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ramvasan/Desktop/Monash_Studies/FIT5147 Data Viz/Assignments/DEP/"/>
    </mc:Choice>
  </mc:AlternateContent>
  <xr:revisionPtr revIDLastSave="0" documentId="8_{316415CA-BB4B-3A45-ABC6-F7A479C8ECC1}" xr6:coauthVersionLast="47" xr6:coauthVersionMax="47" xr10:uidLastSave="{00000000-0000-0000-0000-000000000000}"/>
  <bookViews>
    <workbookView xWindow="2780" yWindow="1500" windowWidth="28040" windowHeight="17440"/>
  </bookViews>
  <sheets>
    <sheet name="PopupDB_FromTableau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</calcChain>
</file>

<file path=xl/sharedStrings.xml><?xml version="1.0" encoding="utf-8"?>
<sst xmlns="http://schemas.openxmlformats.org/spreadsheetml/2006/main" count="133450" uniqueCount="34954">
  <si>
    <t>ASN</t>
  </si>
  <si>
    <t>City</t>
  </si>
  <si>
    <t>Country Code</t>
  </si>
  <si>
    <t>Date</t>
  </si>
  <si>
    <t>Domain</t>
  </si>
  <si>
    <t>Host</t>
  </si>
  <si>
    <t>Ip</t>
  </si>
  <si>
    <t>Ip Orgs</t>
  </si>
  <si>
    <t>Phone_country</t>
  </si>
  <si>
    <t>Phone_country_code</t>
  </si>
  <si>
    <t>Phone_Number</t>
  </si>
  <si>
    <t>UID</t>
  </si>
  <si>
    <t>Url</t>
  </si>
  <si>
    <t>Url_Endingword</t>
  </si>
  <si>
    <t>Url_Security</t>
  </si>
  <si>
    <t>Website_country</t>
  </si>
  <si>
    <t>Latitude</t>
  </si>
  <si>
    <t>Longitude</t>
  </si>
  <si>
    <t>AS46606</t>
  </si>
  <si>
    <t>Houston</t>
  </si>
  <si>
    <t>scenes-making-out.life</t>
  </si>
  <si>
    <t>WEBSITEWELCOME.COM</t>
  </si>
  <si>
    <t>108.167.146.36</t>
  </si>
  <si>
    <t>NetworkSolutions,LLC</t>
  </si>
  <si>
    <t>Germany</t>
  </si>
  <si>
    <t>609e23558571b</t>
  </si>
  <si>
    <t>https://scenes-making-out.life/sexie/W088In01xmse0MN80it0yCED00888W/</t>
  </si>
  <si>
    <t>life</t>
  </si>
  <si>
    <t>https</t>
  </si>
  <si>
    <t>United States</t>
  </si>
  <si>
    <t>horny-movies-show.life</t>
  </si>
  <si>
    <t>60782edd3f54b</t>
  </si>
  <si>
    <t>https://horny-movies-show.life/homosex/W088In01xmse0MN80it0yIE00888W/</t>
  </si>
  <si>
    <t>lesb-erotic-stories.club</t>
  </si>
  <si>
    <t>60311dac0411c</t>
  </si>
  <si>
    <t>https://lesb-erotic-stories.club/fuckx/junk/index.html</t>
  </si>
  <si>
    <t>club</t>
  </si>
  <si>
    <t>eros-lesbo-scenes.club</t>
  </si>
  <si>
    <t>602a6c82be106</t>
  </si>
  <si>
    <t>https://eros-lesbo-scenes.club/zung/junk/index.html</t>
  </si>
  <si>
    <t>eros-movie-videos.club</t>
  </si>
  <si>
    <t>602672905aefd</t>
  </si>
  <si>
    <t>https://eros-movie-videos.club/sol/junk/index.html</t>
  </si>
  <si>
    <t>sexy-canadian-movies.club</t>
  </si>
  <si>
    <t>6023d0d71935c</t>
  </si>
  <si>
    <t>https://sexy-canadian-movies.club/xnxx/junk/index.html</t>
  </si>
  <si>
    <t>scan-off.club</t>
  </si>
  <si>
    <t>5fdc7f4d647c5</t>
  </si>
  <si>
    <t>https://scan-off.club/bisex/junk/index.html</t>
  </si>
  <si>
    <t>erotic-lesbo-scenes.club</t>
  </si>
  <si>
    <t>5fd0c895b5ef7</t>
  </si>
  <si>
    <t>https://erotic-lesbo-scenes.club/vecex/junk/index.html</t>
  </si>
  <si>
    <t>love-duets.club</t>
  </si>
  <si>
    <t>Japan</t>
  </si>
  <si>
    <t>5fcdec82c5930</t>
  </si>
  <si>
    <t>https://love-duets.club/ed/index.html</t>
  </si>
  <si>
    <t>suits-alone.club</t>
  </si>
  <si>
    <t>5fce32b1739ab</t>
  </si>
  <si>
    <t>https://suits-alone.club/oecx/ed/index.html</t>
  </si>
  <si>
    <t>membership-free.club</t>
  </si>
  <si>
    <t>5fc7997b47261</t>
  </si>
  <si>
    <t>https://membership-free.club/xecx/junk/index.html</t>
  </si>
  <si>
    <t>5fbe4ac8d1e8b</t>
  </si>
  <si>
    <t>https://sexy-canadian-movies.club/njs/junk/index.html</t>
  </si>
  <si>
    <t>super-videos.club</t>
  </si>
  <si>
    <t>5fbbb722e24c4</t>
  </si>
  <si>
    <t>https://super-videos.club/asil/junk/index.html</t>
  </si>
  <si>
    <t>bathroom-scenes.club</t>
  </si>
  <si>
    <t>5fb7bd72e589e</t>
  </si>
  <si>
    <t>https://bathroom-scenes.club/desi/junk/index.html</t>
  </si>
  <si>
    <t>rubbing-thighs.club</t>
  </si>
  <si>
    <t>5fb669254fabd</t>
  </si>
  <si>
    <t>https://rubbing-thighs.club/ips/junk/index.html</t>
  </si>
  <si>
    <t>sexy-arab-movies.club</t>
  </si>
  <si>
    <t>5fb3e7dead261</t>
  </si>
  <si>
    <t>https://sexy-arab-movies.club/kissin/junk/index.html</t>
  </si>
  <si>
    <t>athi-bar.club</t>
  </si>
  <si>
    <t>5fb2743dc08eb</t>
  </si>
  <si>
    <t>https://athi-bar.club/junk/junk/index.html</t>
  </si>
  <si>
    <t>gang-lost.club</t>
  </si>
  <si>
    <t>5fabcbc9ce03f</t>
  </si>
  <si>
    <t>https://gang-lost.club/sol/junk/index.html</t>
  </si>
  <si>
    <t>end-sloe.club</t>
  </si>
  <si>
    <t>5fa91be861df4</t>
  </si>
  <si>
    <t>https://end-sloe.club/junk/index.html</t>
  </si>
  <si>
    <t>yrned-awesd.club</t>
  </si>
  <si>
    <t>5fa5291699595</t>
  </si>
  <si>
    <t>https://yrned-awesd.club/junk/index.html</t>
  </si>
  <si>
    <t>angels-daemons.club</t>
  </si>
  <si>
    <t>5fa3dea893385</t>
  </si>
  <si>
    <t>https://angels-daemons.club/junk/index.html</t>
  </si>
  <si>
    <t>5fa13d1ca6655</t>
  </si>
  <si>
    <t>https://sexy-arab-movies.club/slip/index.html</t>
  </si>
  <si>
    <t>sexx-in-toilet.club</t>
  </si>
  <si>
    <t>5f9ff085c301d</t>
  </si>
  <si>
    <t>https://sexx-in-toilet.club/junk/index.html</t>
  </si>
  <si>
    <t>italian-porn.club</t>
  </si>
  <si>
    <t>5f61cbcd16be6</t>
  </si>
  <si>
    <t>https://italian-porn.club/joll/index.html</t>
  </si>
  <si>
    <t>porn-actress.club</t>
  </si>
  <si>
    <t>5f60a9ffe456a</t>
  </si>
  <si>
    <t>https://porn-actress.club/sol/joll/index.html</t>
  </si>
  <si>
    <t>5f60887d9ee5b</t>
  </si>
  <si>
    <t>https://porn-actress.club/joll/index.html</t>
  </si>
  <si>
    <t>porn-scenes.club</t>
  </si>
  <si>
    <t>5f5b3978d00d2</t>
  </si>
  <si>
    <t>https://porn-scenes.club/joll/index.html</t>
  </si>
  <si>
    <t>love-duetz.club</t>
  </si>
  <si>
    <t>5f59e60772872</t>
  </si>
  <si>
    <t>https://love-duetz.club/joll/index.html</t>
  </si>
  <si>
    <t>rump-resi.club</t>
  </si>
  <si>
    <t>5f55ded6d771a</t>
  </si>
  <si>
    <t>https://rump-resi.club/joll/index.html</t>
  </si>
  <si>
    <t>5f563f0a07a57</t>
  </si>
  <si>
    <t>https://rump-resi.club/sol/joll/index.html</t>
  </si>
  <si>
    <t>patt-ttam.club</t>
  </si>
  <si>
    <t>5f5247887a642</t>
  </si>
  <si>
    <t>https://patt-ttam.club/sol/joll/index.html</t>
  </si>
  <si>
    <t>5f51f465a1dcc</t>
  </si>
  <si>
    <t>https://patt-ttam.club/joll/index.html</t>
  </si>
  <si>
    <t>5f50cec16f61c</t>
  </si>
  <si>
    <t>https://athi-bar.club/joll/index.html</t>
  </si>
  <si>
    <t>5f4f498360d6a</t>
  </si>
  <si>
    <t>https://love-duets.club/joll/index.html</t>
  </si>
  <si>
    <t>5f4ca686aa89a</t>
  </si>
  <si>
    <t>https://suits-alone.club/joll/index.html</t>
  </si>
  <si>
    <t>5f4a558fc6211</t>
  </si>
  <si>
    <t>https://gang-lost.club/joll/index.html</t>
  </si>
  <si>
    <t>night-clubs.club</t>
  </si>
  <si>
    <t>5f48b004c2c45</t>
  </si>
  <si>
    <t>https://night-clubs.club/joll/index.html</t>
  </si>
  <si>
    <t>mail.animal-fux.club</t>
  </si>
  <si>
    <t>5f437d67aab16</t>
  </si>
  <si>
    <t>http://mail.animal-fux.club/junk/</t>
  </si>
  <si>
    <t>http</t>
  </si>
  <si>
    <t>animal-fux.club</t>
  </si>
  <si>
    <t>5f43752aa044c</t>
  </si>
  <si>
    <t>https://animal-fux.club/junk/index.html</t>
  </si>
  <si>
    <t>party-foreplays.club</t>
  </si>
  <si>
    <t>5f3fdd6bee67c</t>
  </si>
  <si>
    <t>https://party-foreplays.club/junk/index.html</t>
  </si>
  <si>
    <t>5f3f7a10473d1</t>
  </si>
  <si>
    <t>http://party-foreplays.club/junk/index.html</t>
  </si>
  <si>
    <t>gambling-horse.club</t>
  </si>
  <si>
    <t>5f3f91a5d1a63</t>
  </si>
  <si>
    <t>http://gambling-horse.club/junk/index.html</t>
  </si>
  <si>
    <t>ejaculation-always.club</t>
  </si>
  <si>
    <t>5f3e7f590c23b</t>
  </si>
  <si>
    <t>https://ejaculation-always.club/junk/index.html</t>
  </si>
  <si>
    <t>booties-gals.club</t>
  </si>
  <si>
    <t>5f3e5558a39fb</t>
  </si>
  <si>
    <t>https://booties-gals.club/junk/index.html</t>
  </si>
  <si>
    <t>hot-erotic-scenes.club</t>
  </si>
  <si>
    <t>5f3284d24914b</t>
  </si>
  <si>
    <t>https://hot-erotic-scenes.club/sol/0CH01011001_AG/</t>
  </si>
  <si>
    <t>hot-erotic-movies.club</t>
  </si>
  <si>
    <t>5f3282815568f</t>
  </si>
  <si>
    <t>http://hot-erotic-movies.club/junk/index.html</t>
  </si>
  <si>
    <t>hollywood-erotic-movies.club</t>
  </si>
  <si>
    <t>5f311d692e5b4</t>
  </si>
  <si>
    <t>https://hollywood-erotic-movies.club/junk/index.html</t>
  </si>
  <si>
    <t>hollywood-sexy-movies.club</t>
  </si>
  <si>
    <t>5f30f6bb85e8e</t>
  </si>
  <si>
    <t>https://hollywood-sexy-movies.club/joll/index.html</t>
  </si>
  <si>
    <t>AS26337</t>
  </si>
  <si>
    <t>america-erotic-scenes.club</t>
  </si>
  <si>
    <t>5f2e58cb6b206</t>
  </si>
  <si>
    <t>https://america-erotic-scenes.club/sol/ed/index.html</t>
  </si>
  <si>
    <t>america-hot-stories.club</t>
  </si>
  <si>
    <t>5f2bb615c024f</t>
  </si>
  <si>
    <t>https://america-hot-stories.club/ed/index.html</t>
  </si>
  <si>
    <t>america-hot-movies.club</t>
  </si>
  <si>
    <t>5f29357f7807c</t>
  </si>
  <si>
    <t>https://america-hot-movies.club/ed/index.html</t>
  </si>
  <si>
    <t>hollywood-hot-videos.club</t>
  </si>
  <si>
    <t>5f27d1b6a756e</t>
  </si>
  <si>
    <t>https://hollywood-hot-videos.club/ed/index.html</t>
  </si>
  <si>
    <t>hollywood-horny-scenes.club</t>
  </si>
  <si>
    <t>5f23ff1cab77d</t>
  </si>
  <si>
    <t>https://hollywood-horny-scenes.club/ed/index.html</t>
  </si>
  <si>
    <t>5f229c9c4ec52</t>
  </si>
  <si>
    <t>https://hollywood-sexy-movies.club/ed/index.html</t>
  </si>
  <si>
    <t>hot-sexy-stories.club</t>
  </si>
  <si>
    <t>5f1eb1d5eb26d</t>
  </si>
  <si>
    <t>https://hot-sexy-stories.club/ed/index.html</t>
  </si>
  <si>
    <t>hot-sexy-scenes.club</t>
  </si>
  <si>
    <t>5f1ab9869e870</t>
  </si>
  <si>
    <t>https://hot-sexy-scenes.club/ed/index.html</t>
  </si>
  <si>
    <t>horny-sexy-scenes.club</t>
  </si>
  <si>
    <t>5f1a7288dd847</t>
  </si>
  <si>
    <t>https://horny-sexy-scenes.club/ed/index.html</t>
  </si>
  <si>
    <t>jp-erotic-scenes.club</t>
  </si>
  <si>
    <t>5f179df047d34</t>
  </si>
  <si>
    <t>https://jp-erotic-scenes.club/ed/index.html</t>
  </si>
  <si>
    <t>mail.hot-sexy-videos.club</t>
  </si>
  <si>
    <t>5f1ec30ea4027</t>
  </si>
  <si>
    <t>http://mail.hot-sexy-videos.club/ed/</t>
  </si>
  <si>
    <t>de-horny-videos.club</t>
  </si>
  <si>
    <t>5f1582d86049b</t>
  </si>
  <si>
    <t>https://de-horny-videos.club/ed/index.html</t>
  </si>
  <si>
    <t>japanium-sex-movies.club</t>
  </si>
  <si>
    <t>5f110763a1138</t>
  </si>
  <si>
    <t>https://japanium-sex-movies.club/ed/index.html</t>
  </si>
  <si>
    <t>deutsche-sex-scenes.club</t>
  </si>
  <si>
    <t>Switzeland</t>
  </si>
  <si>
    <t>5f106a038bcca</t>
  </si>
  <si>
    <t>https://deutsche-sex-scenes.club/sol/ed/index.html</t>
  </si>
  <si>
    <t>germani-erotic-scenes.club</t>
  </si>
  <si>
    <t>5f0d99d6ef6bb</t>
  </si>
  <si>
    <t>https://germani-erotic-scenes.club/ed/index.html</t>
  </si>
  <si>
    <t>japaneze-sex-videos.ml</t>
  </si>
  <si>
    <t>5f05bc119ed5a</t>
  </si>
  <si>
    <t>https://japaneze-sex-videos.ml/ed/index.html</t>
  </si>
  <si>
    <t>ml</t>
  </si>
  <si>
    <t>brazilian-horny-scenes.ml</t>
  </si>
  <si>
    <t>5f044146a553d</t>
  </si>
  <si>
    <t>https://brazilian-horny-scenes.ml/ed/index.html</t>
  </si>
  <si>
    <t>brazilian-lesbian-stories.ml</t>
  </si>
  <si>
    <t>5ee88f8b0b59a</t>
  </si>
  <si>
    <t>https://brazilian-lesbian-stories.ml/sol/ed/index.html</t>
  </si>
  <si>
    <t>brazilian-erotic-videos.ml</t>
  </si>
  <si>
    <t>5ee749f4be4a5</t>
  </si>
  <si>
    <t>https://brazilian-erotic-videos.ml/ed/index.html</t>
  </si>
  <si>
    <t>americas-lesbian-scenes.ml</t>
  </si>
  <si>
    <t>5ee5d8b08f122</t>
  </si>
  <si>
    <t>https://americas-lesbian-scenes.ml/ed/index.html</t>
  </si>
  <si>
    <t>americas-horny-scenes.ml</t>
  </si>
  <si>
    <t>5edf4a6c26985</t>
  </si>
  <si>
    <t>https://americas-horny-scenes.ml/ed/index.html</t>
  </si>
  <si>
    <t>americas-horny-videos.ml</t>
  </si>
  <si>
    <t>5ede39f6ca4b2</t>
  </si>
  <si>
    <t>https://americas-horny-videos.ml/ed/index.html</t>
  </si>
  <si>
    <t>americas-horny-movies.ml</t>
  </si>
  <si>
    <t>5eddf456b88b6</t>
  </si>
  <si>
    <t>https://americas-horny-movies.ml/ed/index.html</t>
  </si>
  <si>
    <t>americas-erotic-scenes.ml</t>
  </si>
  <si>
    <t>5eda414daff67</t>
  </si>
  <si>
    <t>https://americas-erotic-scenes.ml/sap/ed/index.html</t>
  </si>
  <si>
    <t>5eda0aed661ab</t>
  </si>
  <si>
    <t>https://americas-erotic-scenes.ml/ed/index.html</t>
  </si>
  <si>
    <t>arabs-horny-videos.ml</t>
  </si>
  <si>
    <t>5ed4c1adb7b93</t>
  </si>
  <si>
    <t>https://arabs-horny-videos.ml/mapbox.js/ed/index.html</t>
  </si>
  <si>
    <t>arabs-erotic-stories.ml</t>
  </si>
  <si>
    <t>5ed22d0234289</t>
  </si>
  <si>
    <t>https://arabs-erotic-stories.ml/ed/index.html</t>
  </si>
  <si>
    <t>americas-erotic-stories.ml</t>
  </si>
  <si>
    <t>5edb707ff1155</t>
  </si>
  <si>
    <t>https://americas-erotic-stories.ml/ed/index.html</t>
  </si>
  <si>
    <t>korean-porn-films.club</t>
  </si>
  <si>
    <t>5ecd096a53954</t>
  </si>
  <si>
    <t>https://korean-porn-films.club/sol/ed/index.html</t>
  </si>
  <si>
    <t>europian-lesbian-stories.ml</t>
  </si>
  <si>
    <t>5ecbde50f37c4</t>
  </si>
  <si>
    <t>https://europian-lesbian-stories.ml/help/ed/index.html</t>
  </si>
  <si>
    <t>europian-erotic-stories.ml</t>
  </si>
  <si>
    <t>5ecbd43e33339</t>
  </si>
  <si>
    <t>https://europian-erotic-stories.ml/sol/ed/index.html</t>
  </si>
  <si>
    <t>europian-lesbian-videos.ml</t>
  </si>
  <si>
    <t>5ecbccbae0da8</t>
  </si>
  <si>
    <t>https://europian-lesbian-videos.ml/help/ed/index.html</t>
  </si>
  <si>
    <t>europian-seduction-videos.ml</t>
  </si>
  <si>
    <t>5ec3d6c466fa0</t>
  </si>
  <si>
    <t>https://europian-seduction-videos.ml/ed/index.html</t>
  </si>
  <si>
    <t>europian-erotic-videos.ml</t>
  </si>
  <si>
    <t>5ec29cc7edd6c</t>
  </si>
  <si>
    <t>https://europian-erotic-videos.ml/ed/index.html</t>
  </si>
  <si>
    <t>europian-hot-videos.ml</t>
  </si>
  <si>
    <t>5ec26c3f7e42e</t>
  </si>
  <si>
    <t>https://europian-hot-videos.ml/sol/ed/index.html</t>
  </si>
  <si>
    <t>AS8075</t>
  </si>
  <si>
    <t>Des Moines</t>
  </si>
  <si>
    <t>poiko.azurewebsites.net</t>
  </si>
  <si>
    <t>Microsoft Corporation</t>
  </si>
  <si>
    <t>104.43.221.31</t>
  </si>
  <si>
    <t>MicrosoftCorporation</t>
  </si>
  <si>
    <t>60392ffb9c2c5</t>
  </si>
  <si>
    <t>https://poiko.azurewebsites.net/WinFhelpxcodexwin444CHeX/</t>
  </si>
  <si>
    <t>net</t>
  </si>
  <si>
    <t>pconlinehelp140.azurewebsites.net</t>
  </si>
  <si>
    <t>5f60793a9115e</t>
  </si>
  <si>
    <t>https://pconlinehelp140.azurewebsites.net/ERDDrHjVfKbFJbQ/</t>
  </si>
  <si>
    <t>pchelpservices27.azurewebsites.net</t>
  </si>
  <si>
    <t>5f57ec776e279</t>
  </si>
  <si>
    <t>https://pchelpservices27.azurewebsites.net/avfFeTpfJfSPuPx/</t>
  </si>
  <si>
    <t>freesupportcall07.azurewebsites.net</t>
  </si>
  <si>
    <t>5f4e73968f18e</t>
  </si>
  <si>
    <t>http://freesupportcall07.azurewebsites.net/q5gCvYnz6kzKvgY/</t>
  </si>
  <si>
    <t>freesupport57.azurewebsites.net</t>
  </si>
  <si>
    <t>5f4c0d6408c0e</t>
  </si>
  <si>
    <t>http://freesupport57.azurewebsites.net/gHBW7zFVGjwcrjr/</t>
  </si>
  <si>
    <t>bx93099232-s.azurewebsites.net</t>
  </si>
  <si>
    <t>France</t>
  </si>
  <si>
    <t>5f4bf86c7d946</t>
  </si>
  <si>
    <t>http://bx93099232-s.azurewebsites.net/chmx/</t>
  </si>
  <si>
    <t>fz34-8876y.azurewebsites.net</t>
  </si>
  <si>
    <t>5f4bf868ec124</t>
  </si>
  <si>
    <t>http://fz34-8876y.azurewebsites.net/chmx/</t>
  </si>
  <si>
    <t>xie93009291.azurewebsites.net</t>
  </si>
  <si>
    <t>5f4bf86495ce0</t>
  </si>
  <si>
    <t>http://xie93009291.azurewebsites.net/chmx/</t>
  </si>
  <si>
    <t>fr-654fgh4.azurewebsites.net</t>
  </si>
  <si>
    <t>5f4bf85ac2913</t>
  </si>
  <si>
    <t>http://fr-654fgh4.azurewebsites.net/chmx/</t>
  </si>
  <si>
    <t>v847380-3e.azurewebsites.net</t>
  </si>
  <si>
    <t>5f4bf8567880a</t>
  </si>
  <si>
    <t>http://v847380-3e.azurewebsites.net/chmx/</t>
  </si>
  <si>
    <t>fr45-96678ik.azurewebsites.net</t>
  </si>
  <si>
    <t>5f4bf851da454</t>
  </si>
  <si>
    <t>http://fr45-96678ik.azurewebsites.net/chmx/</t>
  </si>
  <si>
    <t>hm394803-2.azurewebsites.net</t>
  </si>
  <si>
    <t>5f4bf835dc831</t>
  </si>
  <si>
    <t>http://hm394803-2.azurewebsites.net/chmx/</t>
  </si>
  <si>
    <t>freecallcaresupport40.azurewebsites.net</t>
  </si>
  <si>
    <t>5f4aa2f3e4b2d</t>
  </si>
  <si>
    <t>http://freecallcaresupport40.azurewebsites.net/vTUPHmw6mhDcMgT/</t>
  </si>
  <si>
    <t>micro-jekse.azurewebsites.net</t>
  </si>
  <si>
    <t>5f4972db7edc0</t>
  </si>
  <si>
    <t>http://micro-jekse.azurewebsites.net/MAfjfsdjkhdsjkfhjdshfdSHA/</t>
  </si>
  <si>
    <t>micro-dekfre.azurewebsites.net</t>
  </si>
  <si>
    <t>5f4972b939c78</t>
  </si>
  <si>
    <t>http://micro-dekfre.azurewebsites.net/MAfjfsdjkhdsjkfhjdshfdSHA/</t>
  </si>
  <si>
    <t>micro-dferfe.azurewebsites.net</t>
  </si>
  <si>
    <t>5f4972660d8c2</t>
  </si>
  <si>
    <t>http://micro-dferfe.azurewebsites.net/MAfjfsdjkhdsjkfhjdshfdSHA/</t>
  </si>
  <si>
    <t>ve374893-r473.azurewebsites.net</t>
  </si>
  <si>
    <t>5f4972494308d</t>
  </si>
  <si>
    <t>http://ve374893-r473.azurewebsites.net/macx/</t>
  </si>
  <si>
    <t>v5567-p989.azurewebsites.net</t>
  </si>
  <si>
    <t>5f49714fa6b76</t>
  </si>
  <si>
    <t>http://v5567-p989.azurewebsites.net/macx/</t>
  </si>
  <si>
    <t>5f48589edc770</t>
  </si>
  <si>
    <t>http://v5567-p989.azurewebsites.net/chmx/</t>
  </si>
  <si>
    <t>mr948394-5896t.azurewebsites.net</t>
  </si>
  <si>
    <t>5f48588e13db7</t>
  </si>
  <si>
    <t>http://mr948394-5896t.azurewebsites.net/chmx/</t>
  </si>
  <si>
    <t>5f48018e89d8e</t>
  </si>
  <si>
    <t>http://ve374893-r473.azurewebsites.net/chmx/</t>
  </si>
  <si>
    <t>bm4-20384930tc.azurewebsites.net</t>
  </si>
  <si>
    <t>5f47a8f95a01d</t>
  </si>
  <si>
    <t>http://bm4-20384930tc.azurewebsites.net/chmx/</t>
  </si>
  <si>
    <t>getfreesupport37.azurewebsites.net</t>
  </si>
  <si>
    <t>5f47a706cb332</t>
  </si>
  <si>
    <t>http://getfreesupport37.azurewebsites.net/Zcv6znVbFKDkXCy/</t>
  </si>
  <si>
    <t>frq-28392-k21.azurewebsites.net</t>
  </si>
  <si>
    <t>5f47a1853eead</t>
  </si>
  <si>
    <t>http://frq-28392-k21.azurewebsites.net/chmx/</t>
  </si>
  <si>
    <t>computer36.azurewebsites.net</t>
  </si>
  <si>
    <t>5f479f80bdfee</t>
  </si>
  <si>
    <t>http://computer36.azurewebsites.net/Belle-Plaine/</t>
  </si>
  <si>
    <t>checkup77.azurewebsites.net</t>
  </si>
  <si>
    <t>5f4479a3efd89</t>
  </si>
  <si>
    <t>http://checkup77.azurewebsites.net/Kristy-Cortez/</t>
  </si>
  <si>
    <t>checkup30.azurewebsites.net</t>
  </si>
  <si>
    <t>5f44774192e7c</t>
  </si>
  <si>
    <t>http://checkup30.azurewebsites.net/Kristy-Cortez/</t>
  </si>
  <si>
    <t>freesupportservice85.azurewebsites.net</t>
  </si>
  <si>
    <t>5f443fab5553c</t>
  </si>
  <si>
    <t>https://freesupportservice85.azurewebsites.net/8sx3ztC96XSvHKs/</t>
  </si>
  <si>
    <t>micro-jitegu.azurewebsites.net</t>
  </si>
  <si>
    <t>5f437d609e58f</t>
  </si>
  <si>
    <t>http://micro-jitegu.azurewebsites.net/EDfjfsdjkhdsjkfhjdshfdSHA/</t>
  </si>
  <si>
    <t>getfreesupport170.azurewebsites.net</t>
  </si>
  <si>
    <t>5f419816f25a7</t>
  </si>
  <si>
    <t>http://getfreesupport170.azurewebsites.net/atEdYhpx5ykF2Ru/</t>
  </si>
  <si>
    <t>togetfreesupport110.azurewebsites.net</t>
  </si>
  <si>
    <t>5f4197d25227e</t>
  </si>
  <si>
    <t>http://togetfreesupport110.azurewebsites.net/CxDm3vwargBTus8/</t>
  </si>
  <si>
    <t>togetfreesupport26.azurewebsites.net</t>
  </si>
  <si>
    <t>5f4197cb2e55e</t>
  </si>
  <si>
    <t>http://togetfreesupport26.azurewebsites.net/CxDm3vwargBTus8/</t>
  </si>
  <si>
    <t>supportcenter48.azurewebsites.net</t>
  </si>
  <si>
    <t>5f4197b2e020c</t>
  </si>
  <si>
    <t>http://supportcenter48.azurewebsites.net/RcqJ92dKsXnk9v9/</t>
  </si>
  <si>
    <t>supportcenter05.azurewebsites.net</t>
  </si>
  <si>
    <t>5f4197a87feaf</t>
  </si>
  <si>
    <t>http://supportcenter05.azurewebsites.net/RcqJ92dKsXnk9v9/</t>
  </si>
  <si>
    <t>micro-aehfee.azurewebsites.net</t>
  </si>
  <si>
    <t>5f4168aaa6d97</t>
  </si>
  <si>
    <t>https://micro-aehfee.azurewebsites.net/EDCHfjfsdjkhdsjkfhjdshfdSHA/</t>
  </si>
  <si>
    <t>micro-fejse.azurewebsites.net</t>
  </si>
  <si>
    <t>5f40fdb77dcfc</t>
  </si>
  <si>
    <t>https://micro-fejse.azurewebsites.net/MAfjfkdhkjdhkdjhdskjhSHA/</t>
  </si>
  <si>
    <t>cloning-detected-call-expert.azurewebsites.net</t>
  </si>
  <si>
    <t>5f3aea6901604</t>
  </si>
  <si>
    <t>https://cloning-detected-call-expert.azurewebsites.net/?c=5f3ae91ae8142d00018ea961&amp;amp;source=50b642b208f9c98c5e008894&amp;amp;keyword=tube8&amp;amp;br=IE&amp;amp;s</t>
  </si>
  <si>
    <t>bugwiufguqbqjwhvyqg8dqw088t6nbbf78tet.azurewebsites.net</t>
  </si>
  <si>
    <t>5f39631caef82</t>
  </si>
  <si>
    <t>https://bugwiufguqbqjwhvyqg8dqw088t6nbbf78tet.azurewebsites.net/WINEDERR_USAKJHUN9875GJO9HO/</t>
  </si>
  <si>
    <t>getfreesupport57.azurewebsites.net</t>
  </si>
  <si>
    <t>5f379836809dc</t>
  </si>
  <si>
    <t>http://getfreesupport57.azurewebsites.net/4595-Warwick-Avenue/</t>
  </si>
  <si>
    <t>computer74.azurewebsites.net</t>
  </si>
  <si>
    <t>5f3162e876b90</t>
  </si>
  <si>
    <t>http://computer74.azurewebsites.net/Mer-cado/</t>
  </si>
  <si>
    <t>computer78.azurewebsites.net</t>
  </si>
  <si>
    <t>5f3162db1c976</t>
  </si>
  <si>
    <t>http://computer78.azurewebsites.net/Mer-cado/</t>
  </si>
  <si>
    <t>computer87.azurewebsites.net</t>
  </si>
  <si>
    <t>5f30d87d3c707</t>
  </si>
  <si>
    <t>http://computer87.azurewebsites.net/Mer-cado/</t>
  </si>
  <si>
    <t>computer17.azurewebsites.net</t>
  </si>
  <si>
    <t>5f30d271288d4</t>
  </si>
  <si>
    <t>http://computer17.azurewebsites.net/Kristy-Cortez/</t>
  </si>
  <si>
    <t>systemerrorfix131.azurewebsites.net</t>
  </si>
  <si>
    <t>5f1b29dd7a11c</t>
  </si>
  <si>
    <t>http://systemerrorfix131.azurewebsites.net/403p/ED1001000100110RV/</t>
  </si>
  <si>
    <t>5f1aff019295d</t>
  </si>
  <si>
    <t>http://systemerrorfix131.azurewebsites.net/july1stupdate/0ED01011001_AG/</t>
  </si>
  <si>
    <t>systemerrorfix130.azurewebsites.net</t>
  </si>
  <si>
    <t>5f1afebbca517</t>
  </si>
  <si>
    <t>http://systemerrorfix130.azurewebsites.net/july1stupdate/0ED01011001_AG/</t>
  </si>
  <si>
    <t>systemerrorfix128.azurewebsites.net</t>
  </si>
  <si>
    <t>5f19cdbbbe33a</t>
  </si>
  <si>
    <t>http://systemerrorfix128.azurewebsites.net/july1stupdate/0CH01011001_AG/</t>
  </si>
  <si>
    <t>systemerrorfix129.azurewebsites.net</t>
  </si>
  <si>
    <t>5f19cd3e65b41</t>
  </si>
  <si>
    <t>http://systemerrorfix129.azurewebsites.net/july1stupdate/0ED01011001_AG/</t>
  </si>
  <si>
    <t>systemerrorfix127.azurewebsites.net</t>
  </si>
  <si>
    <t>5f18a0b35ce3f</t>
  </si>
  <si>
    <t>http://systemerrorfix127.azurewebsites.net/july1stupdate/0ED01011001_AG/</t>
  </si>
  <si>
    <t>01ie01xvbc.azurewebsites.net</t>
  </si>
  <si>
    <t>5f04a67ea1db0</t>
  </si>
  <si>
    <t>http://01ie01xvbc.azurewebsites.net/dberror/EDWInhelp10010101xSSAx/</t>
  </si>
  <si>
    <t>mazgranas.azurewebsites.net</t>
  </si>
  <si>
    <t>5f023456327af</t>
  </si>
  <si>
    <t>http://mazgranas.azurewebsites.net/jpegalert/redb13/</t>
  </si>
  <si>
    <t>first-gsfsd.azurewebsites.net</t>
  </si>
  <si>
    <t>5eff84682d90b</t>
  </si>
  <si>
    <t>http://first-gsfsd.azurewebsites.net/xD00ChsfsdfjdsfjdsfjRVU0/</t>
  </si>
  <si>
    <t>53nn3error-callnow.azurewebsites.net</t>
  </si>
  <si>
    <t>5ee11c8dbd97c</t>
  </si>
  <si>
    <t>https://53nn3error-callnow.azurewebsites.net/teddymckeefBx/</t>
  </si>
  <si>
    <t>micro-thuh.azurewebsites.net</t>
  </si>
  <si>
    <t>5ecc01408cd97</t>
  </si>
  <si>
    <t>https://micro-thuh.azurewebsites.net/D00EdjhkjhkhkkjhkkkRV</t>
  </si>
  <si>
    <t>micro-deskto.azurewebsites.net</t>
  </si>
  <si>
    <t>5ec22e0841504</t>
  </si>
  <si>
    <t>http://micro-deskto.azurewebsites.net/0EDhdfgdsjfkjsdhfjksdhNN1/?phone=+1-844-288-8665</t>
  </si>
  <si>
    <t>AS13335</t>
  </si>
  <si>
    <t>Ashburn</t>
  </si>
  <si>
    <t>configure056.ga</t>
  </si>
  <si>
    <t>Cloudflare, Inc.</t>
  </si>
  <si>
    <t>104.27.150.38</t>
  </si>
  <si>
    <t>Cloudflare,Inc.</t>
  </si>
  <si>
    <t>5ec16019ea2a3</t>
  </si>
  <si>
    <t>https://configure056.ga/WIn10010_jnh0101.nnb/XEDdhdsbfhgdfhdgf9x0Xd</t>
  </si>
  <si>
    <t>ga</t>
  </si>
  <si>
    <t>wincaphost.xyz</t>
  </si>
  <si>
    <t>104.28.2.167</t>
  </si>
  <si>
    <t>5ec2ed981c104</t>
  </si>
  <si>
    <t>https://wincaphost.xyz/freezus/DF10010011010FI7V/index.php</t>
  </si>
  <si>
    <t>xyz</t>
  </si>
  <si>
    <t>AS21501</t>
  </si>
  <si>
    <t>Amsterdam</t>
  </si>
  <si>
    <t>windowserror2.xyz</t>
  </si>
  <si>
    <t>Host Europe GmbH</t>
  </si>
  <si>
    <t>160.153.129.38</t>
  </si>
  <si>
    <t>HostEuropeGmbH</t>
  </si>
  <si>
    <t>5ec2b92506f38</t>
  </si>
  <si>
    <t>http://windowserror2.xyz/99TEdsjsjhskhkasdVX/</t>
  </si>
  <si>
    <t>Netherlands</t>
  </si>
  <si>
    <t>Provo</t>
  </si>
  <si>
    <t>hot-beach-cuddles.life</t>
  </si>
  <si>
    <t>Unified Layer</t>
  </si>
  <si>
    <t>162.241.148.179</t>
  </si>
  <si>
    <t>UnifiedLayer</t>
  </si>
  <si>
    <t>60ae048e6eecd</t>
  </si>
  <si>
    <t>https://hot-beach-cuddles.life/tits/W088In01xmse0MN80it0yCH00888W/</t>
  </si>
  <si>
    <t>making-out-theatre.life</t>
  </si>
  <si>
    <t>60ae2f9948aa4</t>
  </si>
  <si>
    <t>https://making-out-theatre.life/boobies/index.html</t>
  </si>
  <si>
    <t>hot-show-videos.life</t>
  </si>
  <si>
    <t>60882599067ab</t>
  </si>
  <si>
    <t>https://hot-show-videos.life/boobs/W088In01xmse0MN80it0yCED00888W/</t>
  </si>
  <si>
    <t>hot-dating-handjob.life</t>
  </si>
  <si>
    <t>6079495b7d08e</t>
  </si>
  <si>
    <t>https://hot-dating-handjob.life/boobs/W088In01xmse0MN80it0yCED00888W/</t>
  </si>
  <si>
    <t>hot-show-movies.life</t>
  </si>
  <si>
    <t>607835dd38a50</t>
  </si>
  <si>
    <t>https://hot-show-movies.life/lesbian/W088In01xmse0MN80it0yIE00888W/</t>
  </si>
  <si>
    <t>home-made-videos.life</t>
  </si>
  <si>
    <t>UNIFIEDLAYER-AS-1</t>
  </si>
  <si>
    <t>60508183ec711</t>
  </si>
  <si>
    <t>https://home-made-videos.life/erotic/W088In01xmse0MN80it0yCED00888W/</t>
  </si>
  <si>
    <t>deutsche-sex-stories.club</t>
  </si>
  <si>
    <t>6023d350f23e8</t>
  </si>
  <si>
    <t>https://deutsche-sex-stories.club/ero/joll/index.html</t>
  </si>
  <si>
    <t>america-sexy-movies.club</t>
  </si>
  <si>
    <t>60248747afb69</t>
  </si>
  <si>
    <t>https://america-sexy-movies.club/ols/W088In01xmse0MN80it0yED00888W/</t>
  </si>
  <si>
    <t>60177e2f3a4ff</t>
  </si>
  <si>
    <t>https://sexx-in-toilet.club/eros/ed/index.html</t>
  </si>
  <si>
    <t>600a3dd0653c3</t>
  </si>
  <si>
    <t>https://jp-erotic-scenes.club/eros/ed/index.html</t>
  </si>
  <si>
    <t>yoni-sex.club</t>
  </si>
  <si>
    <t>5ff2a61a9a252</t>
  </si>
  <si>
    <t>https://yoni-sex.club/hips/ed/index.html</t>
  </si>
  <si>
    <t>germani-horny-movies.club</t>
  </si>
  <si>
    <t>5fd052687e018</t>
  </si>
  <si>
    <t>https://germani-horny-movies.club/kexc/ed/index.html</t>
  </si>
  <si>
    <t>show-videos.club</t>
  </si>
  <si>
    <t>5fc4e37d5f27f</t>
  </si>
  <si>
    <t>https://show-videos.club/xex/joll/index.html</t>
  </si>
  <si>
    <t>gatherin-shows.club</t>
  </si>
  <si>
    <t>5fc46e162098b</t>
  </si>
  <si>
    <t>https://gatherin-shows.club/ness/ed/index.html</t>
  </si>
  <si>
    <t>au-horny-scenes.club</t>
  </si>
  <si>
    <t>5fc1dc75e8453</t>
  </si>
  <si>
    <t>https://au-horny-scenes.club/bus/ed/index.html</t>
  </si>
  <si>
    <t>hotel-chicx.club</t>
  </si>
  <si>
    <t>5fbfa5a284101</t>
  </si>
  <si>
    <t>https://hotel-chicx.club/vils/joll/index.html</t>
  </si>
  <si>
    <t>5fb9033440e08</t>
  </si>
  <si>
    <t>https://porn-scenes.club/fik/joll/index.html</t>
  </si>
  <si>
    <t>mututal-fingering.club</t>
  </si>
  <si>
    <t>5fb51ea416d56</t>
  </si>
  <si>
    <t>https://mututal-fingering.club/kissi/joll/index.html</t>
  </si>
  <si>
    <t>merr-max.club</t>
  </si>
  <si>
    <t>5fb275e623a3d</t>
  </si>
  <si>
    <t>https://merr-max.club/ed/index.html</t>
  </si>
  <si>
    <t>5fa76e0fc70f5</t>
  </si>
  <si>
    <t>https://patt-ttam.club/ed/index.html</t>
  </si>
  <si>
    <t>baby-dolls.club</t>
  </si>
  <si>
    <t>5fa4e48e0437d</t>
  </si>
  <si>
    <t>https://baby-dolls.club/ed/index.html</t>
  </si>
  <si>
    <t>heading-checks.club</t>
  </si>
  <si>
    <t>5fa3719037b87</t>
  </si>
  <si>
    <t>https://heading-checks.club/ed/index.html</t>
  </si>
  <si>
    <t>varen-gingu.club</t>
  </si>
  <si>
    <t>5f9b6f5d4914c</t>
  </si>
  <si>
    <t>https://varen-gingu.club/ed/index.html</t>
  </si>
  <si>
    <t>trucks-babes.club</t>
  </si>
  <si>
    <t>5f9a20ef069df</t>
  </si>
  <si>
    <t>https://trucks-babes.club/ed/index.html</t>
  </si>
  <si>
    <t>aiyando-rekor.club</t>
  </si>
  <si>
    <t>5f83fbddb5f69</t>
  </si>
  <si>
    <t>https://aiyando-rekor.club/ed/index.html</t>
  </si>
  <si>
    <t>erotic-movie-scenes.club</t>
  </si>
  <si>
    <t>5f7bfd7a4b2b1</t>
  </si>
  <si>
    <t>https://erotic-movie-scenes.club/ed/index.html</t>
  </si>
  <si>
    <t>erotic-sex-scenes.club</t>
  </si>
  <si>
    <t>5f76e317557c7</t>
  </si>
  <si>
    <t>https://erotic-sex-scenes.club/ed/index.html</t>
  </si>
  <si>
    <t>three-some-bff.club</t>
  </si>
  <si>
    <t>5f65740b30dd8</t>
  </si>
  <si>
    <t>https://three-some-bff.club/ed/index.html</t>
  </si>
  <si>
    <t>5f5f3965cc35c</t>
  </si>
  <si>
    <t>https://mututal-fingering.club/joll/index.html</t>
  </si>
  <si>
    <t>les-bians.club</t>
  </si>
  <si>
    <t>5f5b3a8cb22c3</t>
  </si>
  <si>
    <t>https://les-bians.club/junk/index.html</t>
  </si>
  <si>
    <t>resting-videos.club</t>
  </si>
  <si>
    <t>5f4e14a5047dd</t>
  </si>
  <si>
    <t>https://resting-videos.club/joll/index.html</t>
  </si>
  <si>
    <t>gambling-coinz.club</t>
  </si>
  <si>
    <t>5f4761145c0fe</t>
  </si>
  <si>
    <t>https://gambling-coinz.club/joll/index.html</t>
  </si>
  <si>
    <t>getting-together.club</t>
  </si>
  <si>
    <t>5f450c93745a8</t>
  </si>
  <si>
    <t>https://getting-together.club/joll/index.html</t>
  </si>
  <si>
    <t>thigh-rubs.club</t>
  </si>
  <si>
    <t>5f3fd94cc1f23</t>
  </si>
  <si>
    <t>https://thigh-rubs.club/joll/index.html</t>
  </si>
  <si>
    <t>sofa-cuddles.club</t>
  </si>
  <si>
    <t>5f3f750b62c21</t>
  </si>
  <si>
    <t>https://sofa-cuddles.club/joll/index.html</t>
  </si>
  <si>
    <t>japaneze-hot-videos.ml</t>
  </si>
  <si>
    <t>5f33d04d59bac</t>
  </si>
  <si>
    <t>https://japaneze-hot-videos.ml/junk/index.html</t>
  </si>
  <si>
    <t>5f3ba1ba4874f</t>
  </si>
  <si>
    <t>https://erotic-sex-scenes.club/joll/index.html</t>
  </si>
  <si>
    <t>japaneze-lesbian-scenes.ml</t>
  </si>
  <si>
    <t>5efaf2929fedf</t>
  </si>
  <si>
    <t>https://japaneze-lesbian-scenes.ml/ed/index.html</t>
  </si>
  <si>
    <t>chinesez-horny-stories.ml</t>
  </si>
  <si>
    <t>5ef34d2f3a839</t>
  </si>
  <si>
    <t>https://chinesez-horny-stories.ml/sol/ed/index.html</t>
  </si>
  <si>
    <t>chinesez-sex-movies.ml</t>
  </si>
  <si>
    <t>5eeda5a435622</t>
  </si>
  <si>
    <t>https://chinesez-sex-movies.ml/sol/ed/index.html</t>
  </si>
  <si>
    <t>chinesez-erotic-movies.ml</t>
  </si>
  <si>
    <t>5eec8c33c8bd7</t>
  </si>
  <si>
    <t>https://chinesez-erotic-movies.ml/sol/ed/index.html</t>
  </si>
  <si>
    <t>chinesez-hot-videos.ml</t>
  </si>
  <si>
    <t>5eea2e429bc4f</t>
  </si>
  <si>
    <t>https://chinesez-hot-videos.ml/sol/ed/index.html</t>
  </si>
  <si>
    <t>chinesez-hot-stories.ml</t>
  </si>
  <si>
    <t>5eea2caf8b208</t>
  </si>
  <si>
    <t>https://chinesez-hot-stories.ml/sol/ed/index.html</t>
  </si>
  <si>
    <t>chinesez-hot-movies.ml</t>
  </si>
  <si>
    <t>5ee9cc2a46419</t>
  </si>
  <si>
    <t>https://chinesez-hot-movies.ml/sol/ed/index.html</t>
  </si>
  <si>
    <t>brazilian-sex-scenes.ml</t>
  </si>
  <si>
    <t>5ee88e3795628</t>
  </si>
  <si>
    <t>https://brazilian-sex-scenes.ml/ed/index.html</t>
  </si>
  <si>
    <t>brazilian-sex-movies.ml</t>
  </si>
  <si>
    <t>5ee73cacd85f9</t>
  </si>
  <si>
    <t>https://brazilian-sex-movies.ml/ed/index.html</t>
  </si>
  <si>
    <t>brazilian-hot-stories.ml</t>
  </si>
  <si>
    <t>5ee5ee827fd62</t>
  </si>
  <si>
    <t>https://brazilian-hot-stories.ml/ed/index.html</t>
  </si>
  <si>
    <t>brazilian-hot-scenes.ml</t>
  </si>
  <si>
    <t>5ee4de6640711</t>
  </si>
  <si>
    <t>https://brazilian-hot-scenes.ml/kiss/ed/index.html</t>
  </si>
  <si>
    <t>americas-hot-scenes.ml</t>
  </si>
  <si>
    <t>5ee0a8046372e</t>
  </si>
  <si>
    <t>https://americas-hot-scenes.ml/ed/index.html</t>
  </si>
  <si>
    <t>americas-sex-videos.ml</t>
  </si>
  <si>
    <t>5edf88da96dc0</t>
  </si>
  <si>
    <t>https://americas-sex-videos.ml/sexy/ed/index.html</t>
  </si>
  <si>
    <t>americas-sex-stories.ml</t>
  </si>
  <si>
    <t>5ede2f62bfbfa</t>
  </si>
  <si>
    <t>https://americas-sex-stories.ml/jung/ed/index.html</t>
  </si>
  <si>
    <t>americas-lesbian-movies.ml</t>
  </si>
  <si>
    <t>5edb8c123ab16</t>
  </si>
  <si>
    <t>https://americas-lesbian-movies.ml/jung/ed/index.html</t>
  </si>
  <si>
    <t>americas-lesbian-stories.ml</t>
  </si>
  <si>
    <t>United Kingdom</t>
  </si>
  <si>
    <t>5edb5a7703539</t>
  </si>
  <si>
    <t>https://americas-lesbian-stories.ml/ed/index.html</t>
  </si>
  <si>
    <t>americas-sex-scenes.ml</t>
  </si>
  <si>
    <t>5eddf06e0e7e5</t>
  </si>
  <si>
    <t>https://americas-sex-scenes.ml/ed/index.html</t>
  </si>
  <si>
    <t>japane-horny-movies.ml</t>
  </si>
  <si>
    <t>5ed8bb4944056</t>
  </si>
  <si>
    <t>https://japane-horny-movies.ml/ed/index.html</t>
  </si>
  <si>
    <t>japane-lesbian-scenes.ml</t>
  </si>
  <si>
    <t>5ed7bf7fcb192</t>
  </si>
  <si>
    <t>https://japane-lesbian-scenes.ml/hips/ed/index.html</t>
  </si>
  <si>
    <t>japane-lesbian-stories.ml</t>
  </si>
  <si>
    <t>5ed759fd579a5</t>
  </si>
  <si>
    <t>https://japane-lesbian-stories.ml/ed/index.html</t>
  </si>
  <si>
    <t>japane-erotic-movies.ml</t>
  </si>
  <si>
    <t>5ed636fdc5007</t>
  </si>
  <si>
    <t>https://japane-erotic-movies.ml/ed/index.html</t>
  </si>
  <si>
    <t>japane-erotic-scenes.ml</t>
  </si>
  <si>
    <t>5ed4edda7d507</t>
  </si>
  <si>
    <t>https://japane-erotic-scenes.ml/ed/index.html</t>
  </si>
  <si>
    <t>arabs-lesbians-scenes.ml</t>
  </si>
  <si>
    <t>5ed0ea4566d33</t>
  </si>
  <si>
    <t>https://arabs-lesbians-scenes.ml/help/ed/index.html</t>
  </si>
  <si>
    <t>arab-sexy-videos.ml</t>
  </si>
  <si>
    <t>5ecfdc0d7f44e</t>
  </si>
  <si>
    <t>https://arab-sexy-videos.ml/jung/ed/index.html</t>
  </si>
  <si>
    <t>arabs-kissing-scenes.ml</t>
  </si>
  <si>
    <t>5ecf763c40750</t>
  </si>
  <si>
    <t>https://arabs-kissing-scenes.ml/ed/index.html</t>
  </si>
  <si>
    <t>morning-enjoys.club</t>
  </si>
  <si>
    <t>5ecd191834e77</t>
  </si>
  <si>
    <t>https://morning-enjoys.club/ed/index.html</t>
  </si>
  <si>
    <t>hiragana-sex-scenes.ml</t>
  </si>
  <si>
    <t>5ec8d99dcc2e8</t>
  </si>
  <si>
    <t>https://hiragana-sex-scenes.ml/ed/index.html</t>
  </si>
  <si>
    <t>hiragana-horny-scenes.ml</t>
  </si>
  <si>
    <t>5ec7b5cd41a41</t>
  </si>
  <si>
    <t>https://hiragana-horny-scenes.ml/ed/index.html</t>
  </si>
  <si>
    <t>hiragana-erotic-videos.ml</t>
  </si>
  <si>
    <t>5ec68e9409e79</t>
  </si>
  <si>
    <t>https://hiragana-erotic-videos.ml/jang/ed/index.html</t>
  </si>
  <si>
    <t>russian-sexy-movies.ml</t>
  </si>
  <si>
    <t>5ec3be44e2587</t>
  </si>
  <si>
    <t>https://russian-sexy-movies.ml/ed/index.html</t>
  </si>
  <si>
    <t>AS14061</t>
  </si>
  <si>
    <t>Santa Clara</t>
  </si>
  <si>
    <t>165.227.19.205</t>
  </si>
  <si>
    <t>DigitalOcean, LLC</t>
  </si>
  <si>
    <t>DigitalOcean,LLC</t>
  </si>
  <si>
    <t>5ec42d79ddd82</t>
  </si>
  <si>
    <t>http://165.227.19.205/err-firef/?phone=+1-(844)-314-4341&amp;amp;</t>
  </si>
  <si>
    <t>netissue654.cf</t>
  </si>
  <si>
    <t>104.31.78.1</t>
  </si>
  <si>
    <t>5ec436957a64a</t>
  </si>
  <si>
    <t>https://netissue654.cf/Win080880_0808ytk.lkm/XEDdhdsbfhgdfhdgf9x0Xd/</t>
  </si>
  <si>
    <t>cf</t>
  </si>
  <si>
    <t>AS22612</t>
  </si>
  <si>
    <t>Phoenix</t>
  </si>
  <si>
    <t>dimension3d.website</t>
  </si>
  <si>
    <t>Namecheap, Inc.</t>
  </si>
  <si>
    <t>199.188.200.254</t>
  </si>
  <si>
    <t>Namecheap,Inc.</t>
  </si>
  <si>
    <t>5ec43786e9253</t>
  </si>
  <si>
    <t>https://dimension3d.website/ofwinX80_homev9dks.1us/3522/</t>
  </si>
  <si>
    <t>website</t>
  </si>
  <si>
    <t>vtip4.azurewebsites.net</t>
  </si>
  <si>
    <t>13.89.172.7</t>
  </si>
  <si>
    <t>60d0e7327544c</t>
  </si>
  <si>
    <t>https://vtip4.azurewebsites.net/W880n01xm888se0cur0it0yMA008VP888Y/index.html</t>
  </si>
  <si>
    <t>vtip5.azurewebsites.net</t>
  </si>
  <si>
    <t>60d0e1ad60686</t>
  </si>
  <si>
    <t>https://vtip5.azurewebsites.net/W880n01xm888se0cur0it0yCH008VP888Y/index.html</t>
  </si>
  <si>
    <t>60d0e1a8354a1</t>
  </si>
  <si>
    <t>https://vtip4.azurewebsites.net/W880n01xm888se0cur0it0yCH008VP888Y/index.html</t>
  </si>
  <si>
    <t>vtip2.azurewebsites.net</t>
  </si>
  <si>
    <t>60d0e19d26a9f</t>
  </si>
  <si>
    <t>https://vtip2.azurewebsites.net/W880n01xm888se0cur0it0yCH008VP888Y/index.html</t>
  </si>
  <si>
    <t>vtip1.azurewebsites.net</t>
  </si>
  <si>
    <t>60d0e19812428</t>
  </si>
  <si>
    <t>https://vtip1.azurewebsites.net/W880n01xm888se0cur0it0yCH008VP888Y/index.html</t>
  </si>
  <si>
    <t>micro-nkjadkjakskad.azurewebsites.net</t>
  </si>
  <si>
    <t>Spain</t>
  </si>
  <si>
    <t>5fa6ef758fb91</t>
  </si>
  <si>
    <t>http://micro-nkjadkjakskad.azurewebsites.net/CHfdfdfdfd100110dfSHA/</t>
  </si>
  <si>
    <t>micro-gkksfkfdkkdd.azurewebsites.net</t>
  </si>
  <si>
    <t>5fa6ef5d231b5</t>
  </si>
  <si>
    <t>http://micro-gkksfkfdkkdd.azurewebsites.net/CHfdfdfdfd100110dfSHA/</t>
  </si>
  <si>
    <t>callsupport060.azurewebsites.net</t>
  </si>
  <si>
    <t>5fa2e5e60e0de</t>
  </si>
  <si>
    <t>https://callsupport060.azurewebsites.net/UsvCPP4t5Gxga6T/</t>
  </si>
  <si>
    <t>bestpchelpsupport16.azurewebsites.net</t>
  </si>
  <si>
    <t>5f778d1117827</t>
  </si>
  <si>
    <t>https://bestpchelpsupport16.azurewebsites.net/TZZsyhcrt2Wrbu9/</t>
  </si>
  <si>
    <t>freecomputerhelp40.azurewebsites.net</t>
  </si>
  <si>
    <t>5f68db0c422ba</t>
  </si>
  <si>
    <t>https://freecomputerhelp40.azurewebsites.net/R7tcvkAFdAwS4B4/</t>
  </si>
  <si>
    <t>freepchelp06.azurewebsites.net</t>
  </si>
  <si>
    <t>5f61c618f1d62</t>
  </si>
  <si>
    <t>https://freepchelp06.azurewebsites.net/ERDDrHjVfKbFJbQ/</t>
  </si>
  <si>
    <t>pconlinehelp170.azurewebsites.net</t>
  </si>
  <si>
    <t>5f60e7292fe50</t>
  </si>
  <si>
    <t>https://pconlinehelp170.azurewebsites.net/ERDDrHjVfKbFJbQ/</t>
  </si>
  <si>
    <t>cr0-4778372.azurewebsites.net</t>
  </si>
  <si>
    <t>5f5ce4a1ba695</t>
  </si>
  <si>
    <t>http://cr0-4778372.azurewebsites.net/chmx/</t>
  </si>
  <si>
    <t>vm938847383-r4.azurewebsites.net</t>
  </si>
  <si>
    <t>5f5ce469f2060</t>
  </si>
  <si>
    <t>http://vm938847383-r4.azurewebsites.net/chmx/</t>
  </si>
  <si>
    <t>pconlinehelp26.azurewebsites.net</t>
  </si>
  <si>
    <t>5f5f9caca3c4f</t>
  </si>
  <si>
    <t>https://pconlinehelp26.azurewebsites.net/ERDDrHjVfKbFJbQ/</t>
  </si>
  <si>
    <t>pchelpservices66.azurewebsites.net</t>
  </si>
  <si>
    <t>5f590d66242ba</t>
  </si>
  <si>
    <t>https://pchelpservices66.azurewebsites.net/dawsonwhlerS7v/</t>
  </si>
  <si>
    <t>pchelpservices06.azurewebsites.net</t>
  </si>
  <si>
    <t>5f57ecbb6cba7</t>
  </si>
  <si>
    <t>https://pchelpservices06.azurewebsites.net/avfFeTpfJfSPuPx/</t>
  </si>
  <si>
    <t>callnow30.azurewebsites.net</t>
  </si>
  <si>
    <t>5f52858cad811</t>
  </si>
  <si>
    <t>http://callnow30.azurewebsites.net/Mer-cado/</t>
  </si>
  <si>
    <t>freesupport107.azurewebsites.net</t>
  </si>
  <si>
    <t>5f4c0e4f2000a</t>
  </si>
  <si>
    <t>http://freesupport107.azurewebsites.net/gHBW7zFVGjwcrjr/</t>
  </si>
  <si>
    <t>freesupport40.azurewebsites.net</t>
  </si>
  <si>
    <t>5f4c0d11dac91</t>
  </si>
  <si>
    <t>http://freesupport40.azurewebsites.net/gHBW7zFVGjwcrjr/</t>
  </si>
  <si>
    <t>callnow-free71.azurewebsites.net</t>
  </si>
  <si>
    <t>5f4c084e5e27f</t>
  </si>
  <si>
    <t>http://callnow-free71.azurewebsites.net/S9M5QFaca7VkHSt/</t>
  </si>
  <si>
    <t>customercaresupport76.azurewebsites.net</t>
  </si>
  <si>
    <t>5f49e0aba3a50</t>
  </si>
  <si>
    <t>http://customercaresupport76.azurewebsites.net/BdvJMsVsaH3HMNC/</t>
  </si>
  <si>
    <t>getfreesupport127.azurewebsites.net</t>
  </si>
  <si>
    <t>5f4975d4e0b28</t>
  </si>
  <si>
    <t>http://getfreesupport127.azurewebsites.net/gHBW7zFVGjwcrjr/</t>
  </si>
  <si>
    <t>freemaintenance86.azurewebsites.net</t>
  </si>
  <si>
    <t>5f495e7423507</t>
  </si>
  <si>
    <t>http://freemaintenance86.azurewebsites.net/q5gCvYnz6kzKvgY/</t>
  </si>
  <si>
    <t>n82mkge4hsnvjheuihif94ufilkng9onoihjoring.azurewebsites.net</t>
  </si>
  <si>
    <t>5f45def62db55</t>
  </si>
  <si>
    <t>http://n82mkge4hsnvjheuihif94ufilkng9onoihjoring.azurewebsites.net/_hakkinguKDSNVJBWUIG8IYF983WFJ7W/EDJP100110HUIFHIUFEWJFW73GRUI7IJBIUGIUYF/</t>
  </si>
  <si>
    <t>pek2fge4hsiuytfyg9868756hj787uhy7ring.azurewebsites.net</t>
  </si>
  <si>
    <t>5f3ed9ca7ae02</t>
  </si>
  <si>
    <t>https://pek2fge4hsiuytfyg9868756hj787uhy7ring.azurewebsites.net/RSTERRXXXCCHACPLIJ?sou=6f8934979dfb08078ccfd0e320615ed1&amp;amp;cat=google&amp;amp;bid=619638&amp;am</t>
  </si>
  <si>
    <t>nni00ge4hsggjhvhjvhvh989y7g78huh78y.azurewebsites.net</t>
  </si>
  <si>
    <t>5f3ec2dcb12fd</t>
  </si>
  <si>
    <t>http://nni00ge4hsggjhvhjvhvh989y7g78huh78y.azurewebsites.net/_JKGHGGFFJYHVGCFGDXXXRR/EDfdfdfdfd100110dfSSY/</t>
  </si>
  <si>
    <t>checkup40.azurewebsites.net</t>
  </si>
  <si>
    <t>5f31648351652</t>
  </si>
  <si>
    <t>http://checkup40.azurewebsites.net/Kristy-Cortez/</t>
  </si>
  <si>
    <t>computer77.azurewebsites.net</t>
  </si>
  <si>
    <t>5f3162deedf13</t>
  </si>
  <si>
    <t>http://computer77.azurewebsites.net/Mer-cado/</t>
  </si>
  <si>
    <t>computer80.azurewebsites.net</t>
  </si>
  <si>
    <t>5f30de492e8a9</t>
  </si>
  <si>
    <t>http://computer80.azurewebsites.net/Mer-cado/</t>
  </si>
  <si>
    <t>www-google-com-anti-hacking-support-error76565ga65.azurewebsites.net</t>
  </si>
  <si>
    <t>5f280ec2a36e0</t>
  </si>
  <si>
    <t>http://www-google-com-anti-hacking-support-error76565ga65.azurewebsites.net/</t>
  </si>
  <si>
    <t>computercheckup26.azurewebsites.net</t>
  </si>
  <si>
    <t>5f23babf4af88</t>
  </si>
  <si>
    <t>http://computercheckup26.azurewebsites.net/Staci-Walsh/</t>
  </si>
  <si>
    <t>micro-kyeth.azurewebsites.net</t>
  </si>
  <si>
    <t>Australia</t>
  </si>
  <si>
    <t>61-1800-431-201</t>
  </si>
  <si>
    <t>5ed748963bc08</t>
  </si>
  <si>
    <t>https://micro-kyeth.azurewebsites.net/D00EdsfsdfjfgfgdsfjdsfjRV/</t>
  </si>
  <si>
    <t>micro-axume.azurewebsites.net</t>
  </si>
  <si>
    <t>5ed008f1c8a20</t>
  </si>
  <si>
    <t>https://micro-axume.azurewebsites.net/D00EdjhkjhkhkkjhkkkRV/</t>
  </si>
  <si>
    <t>malwareindustry32.azurewebsites.net</t>
  </si>
  <si>
    <t>5ec6e3c3f03f9</t>
  </si>
  <si>
    <t>http://malwareindustry32.azurewebsites.net/code4359se/0CHfdfdfdfddfd99900NN1/</t>
  </si>
  <si>
    <t>freecomputerhelp166.azurewebsites.net</t>
  </si>
  <si>
    <t>13.89.172.3</t>
  </si>
  <si>
    <t>5f699e88b1b68</t>
  </si>
  <si>
    <t>https://freecomputerhelp166.azurewebsites.net/R7tcvkAFdAwS4B4</t>
  </si>
  <si>
    <t>freecomputerhelp126.azurewebsites.net</t>
  </si>
  <si>
    <t>5f699e1791767</t>
  </si>
  <si>
    <t>https://freecomputerhelp126.azurewebsites.net/R7tcvkAFdAwS4B4</t>
  </si>
  <si>
    <t>freepchelpforum46.azurewebsites.net</t>
  </si>
  <si>
    <t>5f6288a6ce917</t>
  </si>
  <si>
    <t>https://freepchelpforum46.azurewebsites.net/TxHTvPq9EFWfwjb/</t>
  </si>
  <si>
    <t>freepchelp30.azurewebsites.net</t>
  </si>
  <si>
    <t>5f61c5d54ff28</t>
  </si>
  <si>
    <t>https://freepchelp30.azurewebsites.net/ERDDrHjVfKbFJbQ/</t>
  </si>
  <si>
    <t>pconlinehelp176.azurewebsites.net</t>
  </si>
  <si>
    <t>5f60e7414a918</t>
  </si>
  <si>
    <t>https://pconlinehelp176.azurewebsites.net/ERDDrHjVfKbFJbQ/</t>
  </si>
  <si>
    <t>pchelpdesk40.azurewebsites.net</t>
  </si>
  <si>
    <t>5f5a58a4e3694</t>
  </si>
  <si>
    <t>https://pchelpdesk40.azurewebsites.net/garretttanners7d/</t>
  </si>
  <si>
    <t>pchelpservices170.azurewebsites.net</t>
  </si>
  <si>
    <t>5f593592e4b9d</t>
  </si>
  <si>
    <t>https://pchelpservices170.azurewebsites.net/dawsonwhlerS7v/</t>
  </si>
  <si>
    <t>freesupport87.azurewebsites.net</t>
  </si>
  <si>
    <t>5f4c0df5d69c2</t>
  </si>
  <si>
    <t>http://freesupport87.azurewebsites.net/gHBW7zFVGjwcrjr/</t>
  </si>
  <si>
    <t>freesupportservice136.azurewebsites.net</t>
  </si>
  <si>
    <t>5f4ad9039bedc</t>
  </si>
  <si>
    <t>http://freesupportservice136.azurewebsites.net/vcCsfdvjFg4P5tp/</t>
  </si>
  <si>
    <t>freesupportservice130.azurewebsites.net</t>
  </si>
  <si>
    <t>5f4ad8eb79493</t>
  </si>
  <si>
    <t>http://freesupportservice130.azurewebsites.net/vcCsfdvjFg4P5tp/</t>
  </si>
  <si>
    <t>getfreesupport107.azurewebsites.net</t>
  </si>
  <si>
    <t>5f49756e9d70d</t>
  </si>
  <si>
    <t>http://getfreesupport107.azurewebsites.net/gHBW7zFVGjwcrjr/</t>
  </si>
  <si>
    <t>checkup47.azurewebsites.net</t>
  </si>
  <si>
    <t>5f4478252522d</t>
  </si>
  <si>
    <t>http://checkup47.azurewebsites.net/Kristy-Cortez/</t>
  </si>
  <si>
    <t>callnow-free07.azurewebsites.net</t>
  </si>
  <si>
    <t>5f4448a0dab7d</t>
  </si>
  <si>
    <t>https://callnow-free07.azurewebsites.net/Cortez/</t>
  </si>
  <si>
    <t>micro-lijed.azurewebsites.net</t>
  </si>
  <si>
    <t>5f3afb2735dec</t>
  </si>
  <si>
    <t>https://micro-lijed.azurewebsites.net/MAfjfkdhkjdhkdjhdskjhSHA/</t>
  </si>
  <si>
    <t>micro-guhees.azurewebsites.net</t>
  </si>
  <si>
    <t>5f3ad4d0690b4</t>
  </si>
  <si>
    <t>https://micro-guhees.azurewebsites.net/EDCHfjfkdhkjdhkdjhdskjhSHA/</t>
  </si>
  <si>
    <t>k928392-22.azurewebsites.net</t>
  </si>
  <si>
    <t>5f396419dfcb9</t>
  </si>
  <si>
    <t>http://k928392-22.azurewebsites.net/macx/</t>
  </si>
  <si>
    <t>micro-pyegji.azurewebsites.net</t>
  </si>
  <si>
    <t>5f3963ef8cf1e</t>
  </si>
  <si>
    <t>http://micro-pyegji.azurewebsites.net/MAfjfkdhkjdhkdjhdskjhSHA/</t>
  </si>
  <si>
    <t>micro-fejew.azurewebsites.net</t>
  </si>
  <si>
    <t>5f3963cab7e3a</t>
  </si>
  <si>
    <t>http://micro-fejew.azurewebsites.net/MAfjfkdhkjdhkdjhdskjhSHA/</t>
  </si>
  <si>
    <t>994r9t-43.azurewebsites.net</t>
  </si>
  <si>
    <t>5f3963a6b592d</t>
  </si>
  <si>
    <t>http://994r9t-43.azurewebsites.net/macx/</t>
  </si>
  <si>
    <t>micro-juhfre.azurewebsites.net</t>
  </si>
  <si>
    <t>5f396372ef4ae</t>
  </si>
  <si>
    <t>http://micro-juhfre.azurewebsites.net/MAfjfkdhkjdhkdjhdskjhSHA/</t>
  </si>
  <si>
    <t>x7-077890i43.azurewebsites.net</t>
  </si>
  <si>
    <t>5f38297c8f755</t>
  </si>
  <si>
    <t>http://x7-077890i43.azurewebsites.net/chmx/</t>
  </si>
  <si>
    <t>b6889-9.azurewebsites.net</t>
  </si>
  <si>
    <t>5f381aa601a16</t>
  </si>
  <si>
    <t>http://b6889-9.azurewebsites.net/chmx/</t>
  </si>
  <si>
    <t>getfreesupport157.azurewebsites.net</t>
  </si>
  <si>
    <t>5f349c476f24d</t>
  </si>
  <si>
    <t>http://getfreesupport157.azurewebsites.net/atEdYhpx5ykF2Ru/</t>
  </si>
  <si>
    <t>v749-388493.azurewebsites.net</t>
  </si>
  <si>
    <t>5f349c1b30672</t>
  </si>
  <si>
    <t>http://v749-388493.azurewebsites.net/chmx/</t>
  </si>
  <si>
    <t>nve7383-3883.azurewebsites.net</t>
  </si>
  <si>
    <t>5f349c0503e76</t>
  </si>
  <si>
    <t>http://nve7383-3883.azurewebsites.net/chmx/</t>
  </si>
  <si>
    <t>i78i64-pp.azurewebsites.net</t>
  </si>
  <si>
    <t>5f349bf9f1ed1</t>
  </si>
  <si>
    <t>http://i78i64-pp.azurewebsites.net/chmx/</t>
  </si>
  <si>
    <t>micro-fejes.azurewebsites.net</t>
  </si>
  <si>
    <t>5f3464c13afb7</t>
  </si>
  <si>
    <t>https://micro-fejes.azurewebsites.net/IEfhgfhdkghkfdhglkfhXX/</t>
  </si>
  <si>
    <t>micro-fesje.azurewebsites.net</t>
  </si>
  <si>
    <t>5f3477047b0a8</t>
  </si>
  <si>
    <t>https://micro-fesje.azurewebsites.net/EDCHfhgfhdkghkjhkjjfdhglkfhXX/</t>
  </si>
  <si>
    <t>micro-grehde.azurewebsites.net</t>
  </si>
  <si>
    <t>5f345bdf1cfc7</t>
  </si>
  <si>
    <t>https://micro-grehde.azurewebsites.net/EDCHfhgfhdkghkfdhglkfhXX/</t>
  </si>
  <si>
    <t>micro-guyre.azurewebsites.net</t>
  </si>
  <si>
    <t>5f3309d3169da</t>
  </si>
  <si>
    <t>https://micro-guyre.azurewebsites.net/EDCHfjhfhjdkhfkkrjehrekjdfSHAXX/</t>
  </si>
  <si>
    <t>micro-kijfee.azurewebsites.net</t>
  </si>
  <si>
    <t>5f32f8168db7f</t>
  </si>
  <si>
    <t>https://micro-kijfee.azurewebsites.net/EDCHfjhfhjdkhfkkrjehrekjdfSHAXX/</t>
  </si>
  <si>
    <t>micro-ejser.azurewebsites.net</t>
  </si>
  <si>
    <t>5f32e62ef1ce2</t>
  </si>
  <si>
    <t>https://micro-ejser.azurewebsites.net/EDCHfjhfhjdkhfkkrjehrekjdfSHAXX/</t>
  </si>
  <si>
    <t>neda8ge4hsustfdujjhhgjhgu.azurewebsites.net</t>
  </si>
  <si>
    <t>5f32c342376d8</t>
  </si>
  <si>
    <t>http://neda8ge4hsustfdujjhhgjhgu.azurewebsites.net/_KIJUMNHUYTGBVFREDCFGHUJXXRRUSAED/EDfdfdfdfd100110dfSSY/</t>
  </si>
  <si>
    <t>computer97.azurewebsites.net</t>
  </si>
  <si>
    <t>5f30d79604719</t>
  </si>
  <si>
    <t>http://computer97.azurewebsites.net/Belle-Plaine</t>
  </si>
  <si>
    <t>nb2736728-00928.azurewebsites.net</t>
  </si>
  <si>
    <t>5f309fc8e7c4d</t>
  </si>
  <si>
    <t>http://nb2736728-00928.azurewebsites.net/chmx/</t>
  </si>
  <si>
    <t>rx34-03956610w.azurewebsites.net</t>
  </si>
  <si>
    <t>5f309fba75f10</t>
  </si>
  <si>
    <t>http://rx34-03956610w.azurewebsites.net/chmx/</t>
  </si>
  <si>
    <t>gj30493-t3948.azurewebsites.net</t>
  </si>
  <si>
    <t>5f309fafee3f6</t>
  </si>
  <si>
    <t>http://gj30493-t3948.azurewebsites.net/chmx/</t>
  </si>
  <si>
    <t>bio-099925.azurewebsites.net</t>
  </si>
  <si>
    <t>5f309fa5e39f9</t>
  </si>
  <si>
    <t>http://bio-099925.azurewebsites.net/chmx/</t>
  </si>
  <si>
    <t>gjkf94-003920.azurewebsites.net</t>
  </si>
  <si>
    <t>5f309f92c2578</t>
  </si>
  <si>
    <t>http://gjkf94-003920.azurewebsites.net/chmx/</t>
  </si>
  <si>
    <t>md09304930rut857.azurewebsites.net</t>
  </si>
  <si>
    <t>5f309f88ce8f5</t>
  </si>
  <si>
    <t>http://md09304930rut857.azurewebsites.net/chmx/</t>
  </si>
  <si>
    <t>vx0-3049583.azurewebsites.net</t>
  </si>
  <si>
    <t>5f309f7779f86</t>
  </si>
  <si>
    <t>http://vx0-3049583.azurewebsites.net/chmx/</t>
  </si>
  <si>
    <t>khds47564-3832.azurewebsites.net</t>
  </si>
  <si>
    <t>5f2eb2ad69189</t>
  </si>
  <si>
    <t>http://khds47564-3832.azurewebsites.net/chmx/</t>
  </si>
  <si>
    <t>ji90392-390.azurewebsites.net</t>
  </si>
  <si>
    <t>5f2d68a721a39</t>
  </si>
  <si>
    <t>http://ji90392-390.azurewebsites.net/chmx/</t>
  </si>
  <si>
    <t>l0p-wzx8484-00389.azurewebsites.net</t>
  </si>
  <si>
    <t>5f2d52a4c4102</t>
  </si>
  <si>
    <t>http://l0p-wzx8484-00389.azurewebsites.net/chmx/</t>
  </si>
  <si>
    <t>rsi-309784-r.azurewebsites.net</t>
  </si>
  <si>
    <t>5f2d52683f710</t>
  </si>
  <si>
    <t>http://rsi-309784-r.azurewebsites.net/chmx/</t>
  </si>
  <si>
    <t>micro-sejfed.azurewebsites.net</t>
  </si>
  <si>
    <t>5f2c677904347</t>
  </si>
  <si>
    <t>http://micro-sejfed.azurewebsites.net/MAfdfdffhdkhdkjghkjdfhdfSHAXX/</t>
  </si>
  <si>
    <t>p49403934-t8493.azurewebsites.net</t>
  </si>
  <si>
    <t>5f2ac25caf963</t>
  </si>
  <si>
    <t>http://p49403934-t8493.azurewebsites.net/chmx/</t>
  </si>
  <si>
    <t>g930293-r9302.azurewebsites.net</t>
  </si>
  <si>
    <t>5f2aa88166bd2</t>
  </si>
  <si>
    <t>http://g930293-r9302.azurewebsites.net/chmx/</t>
  </si>
  <si>
    <t>l29302le84-2.azurewebsites.net</t>
  </si>
  <si>
    <t>5f2aa86456b1d</t>
  </si>
  <si>
    <t>http://l29302le84-2.azurewebsites.net/chmx/</t>
  </si>
  <si>
    <t>micro-gujde.azurewebsites.net</t>
  </si>
  <si>
    <t>5f299965eff9c</t>
  </si>
  <si>
    <t>https://micro-gujde.azurewebsites.net/EDCHfdfdffhdkhdkjghkjdfhdfSHAXX/</t>
  </si>
  <si>
    <t>micro-aejfew.azurewebsites.net</t>
  </si>
  <si>
    <t>5f26d25030649</t>
  </si>
  <si>
    <t>http://micro-aejfew.azurewebsites.net/CHfdfdffhdkhdkjghkjdfhdfSHAXXXXX/</t>
  </si>
  <si>
    <t>igc9403-494853.azurewebsites.net</t>
  </si>
  <si>
    <t>5f26c3f78e557</t>
  </si>
  <si>
    <t>http://igc9403-494853.azurewebsites.net/chmx/</t>
  </si>
  <si>
    <t>micro-aejfe.azurewebsites.net</t>
  </si>
  <si>
    <t>5f26b9ed5b7aa</t>
  </si>
  <si>
    <t>http://micro-aejfe.azurewebsites.net/CHfdfdffhdkhdkjghkjdfhdfSHAXX/</t>
  </si>
  <si>
    <t>tic564456-921.azurewebsites.net</t>
  </si>
  <si>
    <t>5f26b9cc1676b</t>
  </si>
  <si>
    <t>http://tic564456-921.azurewebsites.net/chmx/</t>
  </si>
  <si>
    <t>micro-dhefge.azurewebsites.net</t>
  </si>
  <si>
    <t>5f26b9bd8deef</t>
  </si>
  <si>
    <t>http://micro-dhefge.azurewebsites.net/CHfdfdffhdkhdkjghkjdfhdfSHAXX/</t>
  </si>
  <si>
    <t>t5-4495032m.azurewebsites.net</t>
  </si>
  <si>
    <t>5f26b9aa9deb7</t>
  </si>
  <si>
    <t>http://t5-4495032m.azurewebsites.net/chmx/</t>
  </si>
  <si>
    <t>mq1920125.azurewebsites.net</t>
  </si>
  <si>
    <t>5f26ab05b3efe</t>
  </si>
  <si>
    <t>http://mq1920125.azurewebsites.net/chmx/</t>
  </si>
  <si>
    <t>fr-403932ek.azurewebsites.net</t>
  </si>
  <si>
    <t>5f26a34284cab</t>
  </si>
  <si>
    <t>http://fr-403932ek.azurewebsites.net/chmx/</t>
  </si>
  <si>
    <t>gd84738421-t.azurewebsites.net</t>
  </si>
  <si>
    <t>5f26a316054bf</t>
  </si>
  <si>
    <t>http://gd84738421-t.azurewebsites.net/chmx/</t>
  </si>
  <si>
    <t>hq123229p64.azurewebsites.net</t>
  </si>
  <si>
    <t>5f26a2e4b0217</t>
  </si>
  <si>
    <t>http://hq123229p64.azurewebsites.net/chmx/</t>
  </si>
  <si>
    <t>lw92830-45.azurewebsites.net</t>
  </si>
  <si>
    <t>5f26a2b5e77b1</t>
  </si>
  <si>
    <t>http://lw92830-45.azurewebsites.net/chmx/</t>
  </si>
  <si>
    <t>micro-lokdesss.azurewebsites.net</t>
  </si>
  <si>
    <t>5f266ec616226</t>
  </si>
  <si>
    <t>http://micro-lokdesss.azurewebsites.net/CHfdfdffhdkhdkjghkjdfhdfSHAXXXXX/</t>
  </si>
  <si>
    <t>micro-dhejfe.azurewebsites.net</t>
  </si>
  <si>
    <t>5f266ebc64518</t>
  </si>
  <si>
    <t>http://micro-dhejfe.azurewebsites.net/CHfdfdffhdkhdkjghkjdfhdfSHAXXXXX/</t>
  </si>
  <si>
    <t>fiw038493-4.azurewebsites.net</t>
  </si>
  <si>
    <t>5f266e8967495</t>
  </si>
  <si>
    <t>http://fiw038493-4.azurewebsites.net/chmx/</t>
  </si>
  <si>
    <t>h95493d022.azurewebsites.net</t>
  </si>
  <si>
    <t>5f266e3226643</t>
  </si>
  <si>
    <t>http://h95493d022.azurewebsites.net/chmx/</t>
  </si>
  <si>
    <t>7u8776548k.azurewebsites.net</t>
  </si>
  <si>
    <t>5f266e2497d51</t>
  </si>
  <si>
    <t>http://7u8776548k.azurewebsites.net/chmx/</t>
  </si>
  <si>
    <t>mr0594-3948594.azurewebsites.net</t>
  </si>
  <si>
    <t>5f266da53bece</t>
  </si>
  <si>
    <t>http://mr0594-3948594.azurewebsites.net/chmx/</t>
  </si>
  <si>
    <t>hl340654-895.azurewebsites.net</t>
  </si>
  <si>
    <t>5f266d98d7490</t>
  </si>
  <si>
    <t>http://hl340654-895.azurewebsites.net/chmx/</t>
  </si>
  <si>
    <t>rp38495-3w.azurewebsites.net</t>
  </si>
  <si>
    <t>5f266d8c6e85d</t>
  </si>
  <si>
    <t>http://rp38495-3w.azurewebsites.net/chmx/</t>
  </si>
  <si>
    <t>loei93283942.azurewebsites.net</t>
  </si>
  <si>
    <t>5f266d5a89c27</t>
  </si>
  <si>
    <t>http://loei93283942.azurewebsites.net/chmx/</t>
  </si>
  <si>
    <t>micro-sejfe.azurewebsites.net</t>
  </si>
  <si>
    <t>5f245d82e9e1f</t>
  </si>
  <si>
    <t>https://micro-sejfe.azurewebsites.net/EDCHfdfdffhdkhdkjghkjdfhdfSHAXXXXX/</t>
  </si>
  <si>
    <t>yl04-392834o.azurewebsites.net</t>
  </si>
  <si>
    <t>5f22f2a844e8f</t>
  </si>
  <si>
    <t>http://yl04-392834o.azurewebsites.net/chmx/</t>
  </si>
  <si>
    <t>gs12-304958g.azurewebsites.net</t>
  </si>
  <si>
    <t>5f22e84d5521f</t>
  </si>
  <si>
    <t>http://gs12-304958g.azurewebsites.net/chmx/</t>
  </si>
  <si>
    <t>dml1920-39485.azurewebsites.net</t>
  </si>
  <si>
    <t>5f22e847ba526</t>
  </si>
  <si>
    <t>http://dml1920-39485.azurewebsites.net/chmx/</t>
  </si>
  <si>
    <t>gsf0-3048821.azurewebsites.net</t>
  </si>
  <si>
    <t>5f22e83abc0eb</t>
  </si>
  <si>
    <t>http://gsf0-3048821.azurewebsites.net/chmx/</t>
  </si>
  <si>
    <t>g38475-58690.azurewebsites.net</t>
  </si>
  <si>
    <t>5f22e82833a34</t>
  </si>
  <si>
    <t>http://g38475-58690.azurewebsites.net/chmx/</t>
  </si>
  <si>
    <t>jpe45321890.azurewebsites.net</t>
  </si>
  <si>
    <t>5f21b7c53291a</t>
  </si>
  <si>
    <t>http://jpe45321890.azurewebsites.net/macx/</t>
  </si>
  <si>
    <t>vo0987857-u.azurewebsites.net</t>
  </si>
  <si>
    <t>5f21b7b41951b</t>
  </si>
  <si>
    <t>http://vo0987857-u.azurewebsites.net/macx/</t>
  </si>
  <si>
    <t>micro-guhdke.azurewebsites.net</t>
  </si>
  <si>
    <t>5f21a876761d7</t>
  </si>
  <si>
    <t>https://micro-guhdke.azurewebsites.net/EDCHfdfdffhdkhdkjghkjdfhdfSHAXX/</t>
  </si>
  <si>
    <t>li-2-3849034.azurewebsites.net</t>
  </si>
  <si>
    <t>5f218853039ff</t>
  </si>
  <si>
    <t>http://li-2-3849034.azurewebsites.net/chmx/</t>
  </si>
  <si>
    <t>ghp2039432-dpz.azurewebsites.net</t>
  </si>
  <si>
    <t>5f2131b3930ed</t>
  </si>
  <si>
    <t>http://ghp2039432-dpz.azurewebsites.net/macx/</t>
  </si>
  <si>
    <t>micro-hujsef.azurewebsites.net</t>
  </si>
  <si>
    <t>5f21315ab20b3</t>
  </si>
  <si>
    <t>http://micro-hujsef.azurewebsites.net/MAfdfdfdfd100110dfSHA/</t>
  </si>
  <si>
    <t>micro-dujehe.azurewebsites.net</t>
  </si>
  <si>
    <t>5f21314842c61</t>
  </si>
  <si>
    <t>http://micro-dujehe.azurewebsites.net/CHfdfdffhdkhdkjghkjdfhdfSHA/</t>
  </si>
  <si>
    <t>16-fr3329049583f.azurewebsites.net</t>
  </si>
  <si>
    <t>5f21313d60973</t>
  </si>
  <si>
    <t>http://16-fr3329049583f.azurewebsites.net/chmx/</t>
  </si>
  <si>
    <t>jaq29475103.azurewebsites.net</t>
  </si>
  <si>
    <t>5f2130e13e452</t>
  </si>
  <si>
    <t>http://jaq29475103.azurewebsites.net/ffiedgex/</t>
  </si>
  <si>
    <t>xbm3-22703.azurewebsites.net</t>
  </si>
  <si>
    <t>5f2130be8a9e9</t>
  </si>
  <si>
    <t>http://xbm3-22703.azurewebsites.net/macx/</t>
  </si>
  <si>
    <t>mea938475842093e.azurewebsites.net</t>
  </si>
  <si>
    <t>5f2130ae38019</t>
  </si>
  <si>
    <t>http://mea938475842093e.azurewebsites.net/ffiedgex/</t>
  </si>
  <si>
    <t>frw93022934.azurewebsites.net</t>
  </si>
  <si>
    <t>5f21308a8573c</t>
  </si>
  <si>
    <t>http://frw93022934.azurewebsites.net/chmx/</t>
  </si>
  <si>
    <t>5f213077b6ffd</t>
  </si>
  <si>
    <t>http://micro-sejfed.azurewebsites.net/CHfdfdffhdkhdkjghkjdfhdfSHA/</t>
  </si>
  <si>
    <t>micro-jikdes.azurewebsites.net</t>
  </si>
  <si>
    <t>5f20b1a9eb4d7</t>
  </si>
  <si>
    <t>https://micro-jikdes.azurewebsites.net/EDWInhelpjdskjxKKK/?phone=+1-844-470-9943&amp;amp;</t>
  </si>
  <si>
    <t>micro-seifje.azurewebsites.net</t>
  </si>
  <si>
    <t>5f20ae962e8e6</t>
  </si>
  <si>
    <t>https://micro-seifje.azurewebsites.net/EDCHfdfdffhdkhdkjghkjdfhdfSHA/</t>
  </si>
  <si>
    <t>micro-jikse.azurewebsites.net</t>
  </si>
  <si>
    <t>5f1e39f29ca1f</t>
  </si>
  <si>
    <t>http://micro-jikse.azurewebsites.net/MAfdfdfdfd100110dfSHA/</t>
  </si>
  <si>
    <t>verror40.azurewebsites.net</t>
  </si>
  <si>
    <t>5f1c8a11b4520</t>
  </si>
  <si>
    <t>http://verror40.azurewebsites.net/Efrain-Forbes/</t>
  </si>
  <si>
    <t>hkg934-441.azurewebsites.net</t>
  </si>
  <si>
    <t>5f1c89f958975</t>
  </si>
  <si>
    <t>http://hkg934-441.azurewebsites.net/macx/</t>
  </si>
  <si>
    <t>sxy8378873-fr.azurewebsites.net</t>
  </si>
  <si>
    <t>5f1c89e4e13e7</t>
  </si>
  <si>
    <t>http://sxy8378873-fr.azurewebsites.net/macx/</t>
  </si>
  <si>
    <t>gm9-3290k.azurewebsites.net</t>
  </si>
  <si>
    <t>5f1c89cfa3e7d</t>
  </si>
  <si>
    <t>http://gm9-3290k.azurewebsites.net/macx/</t>
  </si>
  <si>
    <t>bmk-9-r4434.azurewebsites.net</t>
  </si>
  <si>
    <t>+33-39-07-55-53-87-</t>
  </si>
  <si>
    <t>5f1c89bebf70a</t>
  </si>
  <si>
    <t>http://bmk-9-r4434.azurewebsites.net/macx/</t>
  </si>
  <si>
    <t>micro-likdes.azurewebsites.net</t>
  </si>
  <si>
    <t>5f1c8008843f9</t>
  </si>
  <si>
    <t>https://micro-likdes.azurewebsites.net/EDWInhelpjdshgjdhfdffgkjxKKK/?phone=+1-888-473-1252&amp;amp;</t>
  </si>
  <si>
    <t>micro-lsefe.azurewebsites.net</t>
  </si>
  <si>
    <t>5f14ac851f02a</t>
  </si>
  <si>
    <t>https://micro-lsefe.azurewebsites.net/EDWInhelpjdshgjdhfgkjxKKK/?phone=+1-866-755-1971&amp;amp;</t>
  </si>
  <si>
    <t>micro-kides.azurewebsites.net</t>
  </si>
  <si>
    <t>5f134741114f2</t>
  </si>
  <si>
    <t>https://micro-kides.azurewebsites.net/EDWInhelpjdshgjdhfgkjxKKK/?phone=+1-888-538-6843&amp;amp;</t>
  </si>
  <si>
    <t>micro-juhdesh.azurewebsites.net</t>
  </si>
  <si>
    <t>5f10b3c9cd311</t>
  </si>
  <si>
    <t>https://micro-juhdesh.azurewebsites.net/OMEDhxvhjdfhjgdfjhgNVx/?phone=+1-866-458-0079&amp;amp;</t>
  </si>
  <si>
    <t>micro-hujdes.azurewebsites.net</t>
  </si>
  <si>
    <t>5f10a3c359e47</t>
  </si>
  <si>
    <t>https://micro-hujdes.azurewebsites.net/EDWInhelp10010101xKKK/?phone=+1-866-540-9226&amp;amp;</t>
  </si>
  <si>
    <t>micro-kijded.azurewebsites.net</t>
  </si>
  <si>
    <t>5f108fd1768a6</t>
  </si>
  <si>
    <t>https://micro-kijded.azurewebsites.net/CHWInhelp10010101xKKK/?phone=+1-866-540-9226&amp;amp;</t>
  </si>
  <si>
    <t>micro-jred.azurewebsites.net</t>
  </si>
  <si>
    <t>5f0f7b72263e5</t>
  </si>
  <si>
    <t>https://micro-jred.azurewebsites.net/CHWInhelp10010101xKKK/?phone=+1-888-537-0751&amp;amp;</t>
  </si>
  <si>
    <t>5f0f7419d8cad</t>
  </si>
  <si>
    <t>https://micro-sejfe.azurewebsites.net/OMEDhxvhjdfhjgdfjhgNVx/?phone=+1-888-535-2427&amp;amp;</t>
  </si>
  <si>
    <t>5f0f6b3d1d7db</t>
  </si>
  <si>
    <t>https://micro-sejfe.azurewebsites.net/OMEDhxvhjdfhjgdfjhgNVx/?phone=+1-888-532-2821&amp;amp;</t>
  </si>
  <si>
    <t>micro-kdese.azurewebsites.net</t>
  </si>
  <si>
    <t>5f0f740d1c7a4</t>
  </si>
  <si>
    <t>https://micro-kdese.azurewebsites.net/D00EdsfhfhghgfjhgjRV/</t>
  </si>
  <si>
    <t>micro-juhdke.azurewebsites.net</t>
  </si>
  <si>
    <t>5f0f5c7e6e148</t>
  </si>
  <si>
    <t>https://micro-juhdke.azurewebsites.net/D00EdsfhfhghgfjhgjRV/</t>
  </si>
  <si>
    <t>micro-ejessh.azurewebsites.net</t>
  </si>
  <si>
    <t>5f0f3cbc88411</t>
  </si>
  <si>
    <t>https://micro-ejessh.azurewebsites.net/D00EdsfhfhghgfjhgjRV/</t>
  </si>
  <si>
    <t>micro-dejse.azurewebsites.net</t>
  </si>
  <si>
    <t>5f0e19c8334e6</t>
  </si>
  <si>
    <t>https://micro-dejse.azurewebsites.net/D00EdssdfkjdshfkjdhkjghRV/</t>
  </si>
  <si>
    <t>5f0dff981439a</t>
  </si>
  <si>
    <t>https://micro-juhdesh.azurewebsites.net/CHOMhxvhjdfhjgdfjhgNVx/index.html</t>
  </si>
  <si>
    <t>micro-lokdes.azurewebsites.net</t>
  </si>
  <si>
    <t>5f0b4ce0cf0e9</t>
  </si>
  <si>
    <t>https://micro-lokdes.azurewebsites.net/0CHhdhfdjkhfgkdjfhNN1/?phone=+1-888-524-3450&amp;amp;</t>
  </si>
  <si>
    <t>5f0b3cfd043bd</t>
  </si>
  <si>
    <t>https://micro-kijded.azurewebsites.net/CHOMhxvhjdfhjgdfjhgNVx/?phone=+1-800-349-1895&amp;amp;</t>
  </si>
  <si>
    <t>5f0b66baad0ee</t>
  </si>
  <si>
    <t>https://micro-kdese.azurewebsites.net/0EDhdfgdsjfkjsdhfjksdhNN1/?phone=+1-800-329-7743&amp;amp;Call_to_protect_your_data_from_hackers=</t>
  </si>
  <si>
    <t>micro-polkes.azurewebsites.net</t>
  </si>
  <si>
    <t>5f08ae893fabc</t>
  </si>
  <si>
    <t>https://micro-polkes.azurewebsites.net/OMEDhxvhjdfhjgdfjhgNVx/?phone=+1-888-523-7088&amp;amp;</t>
  </si>
  <si>
    <t>5f05fe82032c1</t>
  </si>
  <si>
    <t>https://micro-dejse.azurewebsites.net/OMEDhfdmgnfdngmnfdgfNVx/?phone=+1-888-386-0919&amp;amp;</t>
  </si>
  <si>
    <t>5f05faf33a361</t>
  </si>
  <si>
    <t>https://micro-dejse.azurewebsites.net/CHOMhfdmgnfdngmnfdgfNVx/?phone=+1-888-386-0661&amp;amp;</t>
  </si>
  <si>
    <t>micro-kijdes.azurewebsites.net</t>
  </si>
  <si>
    <t>5f04a68d4441e</t>
  </si>
  <si>
    <t>https://micro-kijdes.azurewebsites.net/OMEDhfdmgnfdngmnfdgfNVx/?phone=+1-888-406-3709</t>
  </si>
  <si>
    <t>micro-kiloes.azurewebsites.net</t>
  </si>
  <si>
    <t>5f00f4e1c1ab1</t>
  </si>
  <si>
    <t>https://micro-kiloes.azurewebsites.net/OMEDhfdmgnfdngmnfdgfNVx/?phone=+1-888-393-5365</t>
  </si>
  <si>
    <t>micro-holkesphp.azurewebsites.net</t>
  </si>
  <si>
    <t>5f00dffde5eae</t>
  </si>
  <si>
    <t>http://micro-holkesphp.azurewebsites.net/CHOMhxvhjdfhjgdfjhgNVx/?phone=+1-888-384-1086&amp;amp;</t>
  </si>
  <si>
    <t>micro-lokeds.azurewebsites.net</t>
  </si>
  <si>
    <t>5f00d229a8374</t>
  </si>
  <si>
    <t>https://micro-lokeds.azurewebsites.net/OMEDhxvhjdfhjgdfjhgNVx/?phone=+1-888-396-8549</t>
  </si>
  <si>
    <t>micro-sehfe.azurewebsites.net</t>
  </si>
  <si>
    <t>5f00b0c7b5c15</t>
  </si>
  <si>
    <t>https://micro-sehfe.azurewebsites.net/OMEDhxvhjdfhjgdfjhgNVx/?phone=+1-888-385-1851</t>
  </si>
  <si>
    <t>micro-sedejre.azurewebsites.net</t>
  </si>
  <si>
    <t>5effa7feb5e94</t>
  </si>
  <si>
    <t>https://micro-sedejre.azurewebsites.net/EDWInhelp10010101xKKK/</t>
  </si>
  <si>
    <t>micro-hujode.azurewebsites.net</t>
  </si>
  <si>
    <t>5eff625bc65c1</t>
  </si>
  <si>
    <t>https://micro-hujode.azurewebsites.net/EDWInhelp10010101xKKK/</t>
  </si>
  <si>
    <t>5f00bc16863ea</t>
  </si>
  <si>
    <t>https://micro-sehfe.azurewebsites.net/CHOMhxvhjdfhjgdfjhgNVx/?phone=+1-888-412-5581&amp;amp;</t>
  </si>
  <si>
    <t>micro-guhi.azurewebsites.net</t>
  </si>
  <si>
    <t>5efceaf43c4d2</t>
  </si>
  <si>
    <t>https://micro-guhi.azurewebsites.net/CHOMhxvhjdfhjgdfjhgNVx/?phone=+1-833-416-9564&amp;amp;</t>
  </si>
  <si>
    <t>micro-fyudi.azurewebsites.net</t>
  </si>
  <si>
    <t>5efd82517d9b5</t>
  </si>
  <si>
    <t>https://micro-fyudi.azurewebsites.net/OMEDhxvhjdfhjgdfjhgNVx/?phone=+1-833-403-0648</t>
  </si>
  <si>
    <t>konpyuta-ni-furenaide-kudasai-x011.azurewebsites.net</t>
  </si>
  <si>
    <t>5ee466c3a34f3</t>
  </si>
  <si>
    <t>https://konpyuta-ni-furenaide-kudasai-x011.azurewebsites.net/?siteid=6989958&amp;amp;zoneid=2000&amp;amp;br=Edge</t>
  </si>
  <si>
    <t>konpyuta-ni-furenaide-kudasai-y011.azurewebsites.net</t>
  </si>
  <si>
    <t>5ee466bcf2ffe</t>
  </si>
  <si>
    <t>https://konpyuta-ni-furenaide-kudasai-y011.azurewebsites.net/?siteid=6989958&amp;amp;zoneid=2000&amp;amp;br=Edge</t>
  </si>
  <si>
    <t>konpyuta-ni-furenaide-kudasai-y010.azurewebsites.net</t>
  </si>
  <si>
    <t>5ee455ce157b1</t>
  </si>
  <si>
    <t>https://konpyuta-ni-furenaide-kudasai-y010.azurewebsites.net/?siteid=6989958&amp;amp;zoneid=2000&amp;amp;br=Edge</t>
  </si>
  <si>
    <t>konpyuta-ni-furenaide-kudasai-62.azurewebsites.net</t>
  </si>
  <si>
    <t>5ee1c7509be4c</t>
  </si>
  <si>
    <t>https://konpyuta-ni-furenaide-kudasai-62.azurewebsites.net/?siteid=6989958&amp;amp;zoneid=2000&amp;amp;br=Edge</t>
  </si>
  <si>
    <t>konpyuta-ni-furenaide-kudasai-51.azurewebsites.net</t>
  </si>
  <si>
    <t>5ee1c7481e306</t>
  </si>
  <si>
    <t>https://konpyuta-ni-furenaide-kudasai-51.azurewebsites.net/?siteid=6989958&amp;amp;zoneid=2000&amp;amp;br=Edge</t>
  </si>
  <si>
    <t>call-helpline-now-1.azurewebsites.net</t>
  </si>
  <si>
    <t>5edf29278dd1c</t>
  </si>
  <si>
    <t>https://call-helpline-now-1.azurewebsites.net/?siteid=6989958&amp;amp;zoneid=2000&amp;amp;br=Edge</t>
  </si>
  <si>
    <t>server-internet-error-11.azurewebsites.net</t>
  </si>
  <si>
    <t>5edf291a781a1</t>
  </si>
  <si>
    <t>https://server-internet-error-11.azurewebsites.net/?siteid=6989958&amp;amp;zoneid=2000&amp;amp;br=Edge</t>
  </si>
  <si>
    <t>micro-hujo.azurewebsites.net</t>
  </si>
  <si>
    <t>5ede61b04e142</t>
  </si>
  <si>
    <t>https://micro-hujo.azurewebsites.net/D00EdsfsdfjjhfdkjghfdkjdsfjdsfjRV/</t>
  </si>
  <si>
    <t>64bbv4systemwarning.azurewebsites.net</t>
  </si>
  <si>
    <t>5ed291d323ca2</t>
  </si>
  <si>
    <t>https://64bbv4systemwarning.azurewebsites.net/Ch22tr34/</t>
  </si>
  <si>
    <t>67bb3berror.azurewebsites.net</t>
  </si>
  <si>
    <t>5ec6e91cee0d2</t>
  </si>
  <si>
    <t>https://67bb3berror.azurewebsites.net/Ch22tr34/</t>
  </si>
  <si>
    <t>wish001-call.azurewebsites.net</t>
  </si>
  <si>
    <t>52.173.245.249</t>
  </si>
  <si>
    <t>5ec6f6524ca64</t>
  </si>
  <si>
    <t>https://wish001-call.azurewebsites.net/edgex-newp/</t>
  </si>
  <si>
    <t>AS26496</t>
  </si>
  <si>
    <t>Scottsdale</t>
  </si>
  <si>
    <t>iiyogi.us</t>
  </si>
  <si>
    <t>GoDaddy.com, LLC</t>
  </si>
  <si>
    <t>23.229.179.224</t>
  </si>
  <si>
    <t>GoDaddy.com,LLC</t>
  </si>
  <si>
    <t>5ecce721dd0ee</t>
  </si>
  <si>
    <t>http://iiyogi.us/</t>
  </si>
  <si>
    <t>us</t>
  </si>
  <si>
    <t>www.iiyogi.us</t>
  </si>
  <si>
    <t>5ec70e957ee67</t>
  </si>
  <si>
    <t>http://www.iiyogi.us/</t>
  </si>
  <si>
    <t>London</t>
  </si>
  <si>
    <t>14scan-resultsbgvf.azurewebsites.net</t>
  </si>
  <si>
    <t>51.105.74.162</t>
  </si>
  <si>
    <t>6041238f045f7</t>
  </si>
  <si>
    <t>https://14scan-resultsbgvf.azurewebsites.net/WinProxHelpxMicr0CHsysX0010010X1020xx0101/</t>
  </si>
  <si>
    <t>livequick-support170.azurewebsites.net</t>
  </si>
  <si>
    <t>5faf3e7222f2a</t>
  </si>
  <si>
    <t>http://livequick-support170.azurewebsites.net/JArbZ98cFQJapCA/</t>
  </si>
  <si>
    <t>livequick-support135.azurewebsites.net</t>
  </si>
  <si>
    <t>5faf3dcc0c15f</t>
  </si>
  <si>
    <t>http://livequick-support135.azurewebsites.net/JArbZ98cFQJapCA/</t>
  </si>
  <si>
    <t>livequick-support100.azurewebsites.net</t>
  </si>
  <si>
    <t>5faf39d8975ad</t>
  </si>
  <si>
    <t>http://livequick-support100.azurewebsites.net/JArbZ98cFQJapCA/</t>
  </si>
  <si>
    <t>livequickpcsupport035.azurewebsites.net</t>
  </si>
  <si>
    <t>5fa04d016d9e9</t>
  </si>
  <si>
    <t>https://livequickpcsupport035.azurewebsites.net/gxDdcFJ5WdRaJjW/</t>
  </si>
  <si>
    <t>freequickssupports010.azurewebsites.net</t>
  </si>
  <si>
    <t>5f970c370291f</t>
  </si>
  <si>
    <t>https://freequickssupports010.azurewebsites.net/9GMEFgvzgTaEgPD/</t>
  </si>
  <si>
    <t>freepcquickssupport060.azurewebsites.net</t>
  </si>
  <si>
    <t>5f8dd98daf879</t>
  </si>
  <si>
    <t>https://freepcquickssupport060.azurewebsites.net/Z7GEaSZAR6hyamV/</t>
  </si>
  <si>
    <t>getyourpcdiagnosed25.azurewebsites.net</t>
  </si>
  <si>
    <t>5f848c844cdcc</t>
  </si>
  <si>
    <t>https://getyourpcdiagnosed25.azurewebsites.net/b9Gy3A9CNcgNvdq/</t>
  </si>
  <si>
    <t>onecallhelpdesk65.azurewebsites.net</t>
  </si>
  <si>
    <t>5f7f4f5a8898c</t>
  </si>
  <si>
    <t>https://onecallhelpdesk65.azurewebsites.net/bUAnaP5Cp7yKmv4/</t>
  </si>
  <si>
    <t>onecallhelpdesk25.azurewebsites.net</t>
  </si>
  <si>
    <t>5f7f3c56e1207</t>
  </si>
  <si>
    <t>https://onecallhelpdesk25.azurewebsites.net/bUAnaP5Cp7yKmv4/</t>
  </si>
  <si>
    <t>onecallhelpdesk17.azurewebsites.net</t>
  </si>
  <si>
    <t>5f7f3b1fc4bf9</t>
  </si>
  <si>
    <t>https://onecallhelpdesk17.azurewebsites.net/bUAnaP5Cp7yKmv4/</t>
  </si>
  <si>
    <t>helpbygeekexperts35.azurewebsites.net</t>
  </si>
  <si>
    <t>5f7e00809641a</t>
  </si>
  <si>
    <t>https://helpbygeekexperts35.azurewebsites.net/7mXVCUNqjvYHSbG/</t>
  </si>
  <si>
    <t>livepchelpsupport25.azurewebsites.net</t>
  </si>
  <si>
    <t>5f77681b11a04</t>
  </si>
  <si>
    <t>https://livepchelpsupport25.azurewebsites.net/4vKZdhngXmE9yHj</t>
  </si>
  <si>
    <t>liveonlinepchelp15.azurewebsites.net</t>
  </si>
  <si>
    <t>5f735e5803aac</t>
  </si>
  <si>
    <t>http://liveonlinepchelp15.azurewebsites.net/6Yeqm5nqUDDNFgk/</t>
  </si>
  <si>
    <t>onlinecomputersupport30.azurewebsites.net</t>
  </si>
  <si>
    <t>5f72210582ee6</t>
  </si>
  <si>
    <t>https://onlinecomputersupport30.azurewebsites.net/Kq8XSq5WNCgY68z/</t>
  </si>
  <si>
    <t>freepchelp185.azurewebsites.net</t>
  </si>
  <si>
    <t>5f6e481a828b2</t>
  </si>
  <si>
    <t>https://freepchelp185.azurewebsites.net/uGM5D6wZ9V5J5RY/</t>
  </si>
  <si>
    <t>freecomputersupport185.azurewebsites.net</t>
  </si>
  <si>
    <t>5f6bb1e8da2cd</t>
  </si>
  <si>
    <t>https://freecomputersupport185.azurewebsites.net/PjY6bTgrEnuKddE/</t>
  </si>
  <si>
    <t>freecomputersupport19.azurewebsites.net</t>
  </si>
  <si>
    <t>5f6a3cc3a8387</t>
  </si>
  <si>
    <t>https://freecomputersupport19.azurewebsites.net/PjY6bTgrEnuKddE/</t>
  </si>
  <si>
    <t>freecomputerhelp160.azurewebsites.net</t>
  </si>
  <si>
    <t>5f699e7e45e4f</t>
  </si>
  <si>
    <t>https://freecomputerhelp160.azurewebsites.net/R7tcvkAFdAwS4B4</t>
  </si>
  <si>
    <t>freecomputerhelp26.azurewebsites.net</t>
  </si>
  <si>
    <t>5f68d9bd118c7</t>
  </si>
  <si>
    <t>https://freecomputerhelp26.azurewebsites.net/R7tcvkAFdAwS4B4/</t>
  </si>
  <si>
    <t>freepchelpforum35.azurewebsites.net</t>
  </si>
  <si>
    <t>5f628864bddfe</t>
  </si>
  <si>
    <t>https://freepchelpforum35.azurewebsites.net/TxHTvPq9EFWfwjb/</t>
  </si>
  <si>
    <t>freepchelpforum15.azurewebsites.net</t>
  </si>
  <si>
    <t>5f6287f418495</t>
  </si>
  <si>
    <t>https://freepchelpforum15.azurewebsites.net/TxHTvPq9EFWfwjb/</t>
  </si>
  <si>
    <t>freepchelp106.azurewebsites.net</t>
  </si>
  <si>
    <t>5f6246d23afa0</t>
  </si>
  <si>
    <t>https://freepchelp106.azurewebsites.net/TxHTvPq9EFWfwjb/</t>
  </si>
  <si>
    <t>freepchelp125.azurewebsites.net</t>
  </si>
  <si>
    <t>5f62467ff1f56</t>
  </si>
  <si>
    <t>https://freepchelp125.azurewebsites.net/TxHTvPq9EFWfwjb/</t>
  </si>
  <si>
    <t>freepchelp15.azurewebsites.net</t>
  </si>
  <si>
    <t>5f61c5fa6048e</t>
  </si>
  <si>
    <t>https://freepchelp15.azurewebsites.net/ERDDrHjVfKbFJbQ/</t>
  </si>
  <si>
    <t>freepchelp25.azurewebsites.net</t>
  </si>
  <si>
    <t>5f61c5dd7d5d0</t>
  </si>
  <si>
    <t>https://freepchelp25.azurewebsites.net/ERDDrHjVfKbFJbQ/</t>
  </si>
  <si>
    <t>freepchelp45.azurewebsites.net</t>
  </si>
  <si>
    <t>5f61c5ad72699</t>
  </si>
  <si>
    <t>https://freepchelp45.azurewebsites.net/ERDDrHjVfKbFJbQ/</t>
  </si>
  <si>
    <t>freepchelp75.azurewebsites.net</t>
  </si>
  <si>
    <t>5f61c549bb47d</t>
  </si>
  <si>
    <t>https://freepchelp75.azurewebsites.net/ERDDrHjVfKbFJbQ/</t>
  </si>
  <si>
    <t>freepchelponline20.azurewebsites.net</t>
  </si>
  <si>
    <t>5f6102eed13d9</t>
  </si>
  <si>
    <t>https://freepchelponline20.azurewebsites.net/ERDDrHjVfKbFJbQ/</t>
  </si>
  <si>
    <t>pchelpdesk65.azurewebsites.net</t>
  </si>
  <si>
    <t>5f5a59470c0a7</t>
  </si>
  <si>
    <t>https://pchelpdesk65.azurewebsites.net/garretttanners7d/</t>
  </si>
  <si>
    <t>pchelpdesk35.azurewebsites.net</t>
  </si>
  <si>
    <t>5f5a58834a2a4</t>
  </si>
  <si>
    <t>https://pchelpdesk35.azurewebsites.net/garretttanners7d/</t>
  </si>
  <si>
    <t>pchelpdesk15.azurewebsites.net</t>
  </si>
  <si>
    <t>5f5a57ff604bd</t>
  </si>
  <si>
    <t>https://pchelpdesk15.azurewebsites.net/garretttanners7d/</t>
  </si>
  <si>
    <t>pchelpservices165.azurewebsites.net</t>
  </si>
  <si>
    <t>5f5932feb5272</t>
  </si>
  <si>
    <t>https://pchelpservices165.azurewebsites.net/dawsonwhlerS7v/</t>
  </si>
  <si>
    <t>pchelpservices110.azurewebsites.net</t>
  </si>
  <si>
    <t>5f59152f9d32e</t>
  </si>
  <si>
    <t>https://pchelpservices110.azurewebsites.net/garretttanners7d/</t>
  </si>
  <si>
    <t>pchelpservices55.azurewebsites.net</t>
  </si>
  <si>
    <t>5f590d3d97aa2</t>
  </si>
  <si>
    <t>https://pchelpservices55.azurewebsites.net/dawsonwhlerS7v/</t>
  </si>
  <si>
    <t>pchelpservices15.azurewebsites.net</t>
  </si>
  <si>
    <t>5f57e681b517b</t>
  </si>
  <si>
    <t>https://pchelpservices15.azurewebsites.net/avfFeTpfJfSPuPx/</t>
  </si>
  <si>
    <t>callnow85.azurewebsites.net</t>
  </si>
  <si>
    <t>5f52873e35253</t>
  </si>
  <si>
    <t>http://callnow85.azurewebsites.net/Mer-cado/</t>
  </si>
  <si>
    <t>callnow65.azurewebsites.net</t>
  </si>
  <si>
    <t>5f5286dfd2d4e</t>
  </si>
  <si>
    <t>http://callnow65.azurewebsites.net/Mer-cado/</t>
  </si>
  <si>
    <t>customerfreesupport95.azurewebsites.net</t>
  </si>
  <si>
    <t>5f4d5bb0bf1f7</t>
  </si>
  <si>
    <t>https://customerfreesupport95.azurewebsites.net/HNhGpB5gbMdVDyb/</t>
  </si>
  <si>
    <t>customerfreesupport59.azurewebsites.net</t>
  </si>
  <si>
    <t>5f4d5b6fc6535</t>
  </si>
  <si>
    <t>https://customerfreesupport59.azurewebsites.net/HNhGpB5gbMdVDyb/</t>
  </si>
  <si>
    <t>freesupport115.azurewebsites.net</t>
  </si>
  <si>
    <t>5f4c0e75348ae</t>
  </si>
  <si>
    <t>http://freesupport115.azurewebsites.net/gHBW7zFVGjwcrjr/</t>
  </si>
  <si>
    <t>freesupport65.azurewebsites.net</t>
  </si>
  <si>
    <t>5f4c0d8833aad</t>
  </si>
  <si>
    <t>http://freesupport65.azurewebsites.net/gHBW7zFVGjwcrjr/</t>
  </si>
  <si>
    <t>freesupportservice145.azurewebsites.net</t>
  </si>
  <si>
    <t>5f4ad923a602d</t>
  </si>
  <si>
    <t>http://freesupportservice145.azurewebsites.net/vcCsfdvjFg4P5tp/</t>
  </si>
  <si>
    <t>freecallcaresupport95.azurewebsites.net</t>
  </si>
  <si>
    <t>5f4aa3eba47d4</t>
  </si>
  <si>
    <t>http://freecallcaresupport95.azurewebsites.net/vTUPHmw6mhDcMgT/</t>
  </si>
  <si>
    <t>freecallcaresupport65.azurewebsites.net</t>
  </si>
  <si>
    <t>5f4aa36112668</t>
  </si>
  <si>
    <t>http://freecallcaresupport65.azurewebsites.net/vTUPHmw6mhDcMgT/</t>
  </si>
  <si>
    <t>freecallcaresupport60.azurewebsites.net</t>
  </si>
  <si>
    <t>5f4aa34705722</t>
  </si>
  <si>
    <t>http://freecallcaresupport60.azurewebsites.net/vTUPHmw6mhDcMgT/</t>
  </si>
  <si>
    <t>getfreesupport115.azurewebsites.net</t>
  </si>
  <si>
    <t>5f497597056a7</t>
  </si>
  <si>
    <t>http://getfreesupport115.azurewebsites.net/gHBW7zFVGjwcrjr/</t>
  </si>
  <si>
    <t>freemaintenance97.azurewebsites.net</t>
  </si>
  <si>
    <t>5f495e9fc7f00</t>
  </si>
  <si>
    <t>http://freemaintenance97.azurewebsites.net/q5gCvYnz6kzKvgY/</t>
  </si>
  <si>
    <t>customercaresupport125.azurewebsites.net</t>
  </si>
  <si>
    <t>5f494666e42c7</t>
  </si>
  <si>
    <t>https://customercaresupport125.azurewebsites.net/HNhGpB5gbMdVDyb/</t>
  </si>
  <si>
    <t>customercaresupport175.azurewebsites.net</t>
  </si>
  <si>
    <t>5f4946636c09c</t>
  </si>
  <si>
    <t>https://customercaresupport175.azurewebsites.net/HNhGpB5gbMdVDyb/</t>
  </si>
  <si>
    <t>freemaintenance115.azurewebsites.net</t>
  </si>
  <si>
    <t>5f48ba23af4e7</t>
  </si>
  <si>
    <t>http://freemaintenance115.azurewebsites.net/q5gCvYnz6kzKvgY/</t>
  </si>
  <si>
    <t>carefreesupport05.azurewebsites.net</t>
  </si>
  <si>
    <t>5f4800ee68746</t>
  </si>
  <si>
    <t>http://carefreesupport05.azurewebsites.net/vcCsfdvjFg4P5tp/index.html</t>
  </si>
  <si>
    <t>computer55.azurewebsites.net</t>
  </si>
  <si>
    <t>5f479fee5960c</t>
  </si>
  <si>
    <t>http://computer55.azurewebsites.net/Belle-Plaine/</t>
  </si>
  <si>
    <t>computer47.azurewebsites.net</t>
  </si>
  <si>
    <t>5f479fc2523b0</t>
  </si>
  <si>
    <t>http://computer47.azurewebsites.net/Belle-Plaine/</t>
  </si>
  <si>
    <t>checkup85.azurewebsites.net</t>
  </si>
  <si>
    <t>5f4479e70bd55</t>
  </si>
  <si>
    <t>http://checkup85.azurewebsites.net/Kristy-Cortez/</t>
  </si>
  <si>
    <t>checkup65.azurewebsites.net</t>
  </si>
  <si>
    <t>5f4478f492bb3</t>
  </si>
  <si>
    <t>http://checkup65.azurewebsites.net/Kristy-Cortez/</t>
  </si>
  <si>
    <t>callnow-free18.azurewebsites.net</t>
  </si>
  <si>
    <t>5f444986bdb5f</t>
  </si>
  <si>
    <t>https://callnow-free18.azurewebsites.net/Cortez/</t>
  </si>
  <si>
    <t>freesupportservice11.azurewebsites.net</t>
  </si>
  <si>
    <t>5f4443288bea6</t>
  </si>
  <si>
    <t>https://freesupportservice11.azurewebsites.net/8sx3ztC96XSvHKs/</t>
  </si>
  <si>
    <t>callnowtogetsupport7.azurewebsites.net</t>
  </si>
  <si>
    <t>5f318933bbf20</t>
  </si>
  <si>
    <t>http://callnowtogetsupport7.azurewebsites.net/Mer-cado/</t>
  </si>
  <si>
    <t>80bb3berror.azurewebsites.net</t>
  </si>
  <si>
    <t>5ec7155108316</t>
  </si>
  <si>
    <t>https://80bb3berror.azurewebsites.net/Ch22tr34/</t>
  </si>
  <si>
    <t>Scothern</t>
  </si>
  <si>
    <t>paahujidsa.xyz</t>
  </si>
  <si>
    <t>UK-NC</t>
  </si>
  <si>
    <t>185.61.153.99</t>
  </si>
  <si>
    <t>5ec7a41c058f4</t>
  </si>
  <si>
    <t>http://paahujidsa.xyz/0011jetzt-anrufen-2SW/</t>
  </si>
  <si>
    <t>ccsktinps.ga</t>
  </si>
  <si>
    <t>104.28.0.192</t>
  </si>
  <si>
    <t>5ec7fa0416e88</t>
  </si>
  <si>
    <t>https://ccsktinps.ga/0CHfdfdfdfddfd99JP/</t>
  </si>
  <si>
    <t>compress778.cf</t>
  </si>
  <si>
    <t>104.27.150.27</t>
  </si>
  <si>
    <t>5ec81066a04c2</t>
  </si>
  <si>
    <t>https://compress778.cf/WIn01010_jnh001001.bbl/XEDdhdsbfhgdfhdgf9x0Xd/</t>
  </si>
  <si>
    <t>ivimic.xyz</t>
  </si>
  <si>
    <t>104.28.26.159</t>
  </si>
  <si>
    <t>5ec81b797d220</t>
  </si>
  <si>
    <t>https://ivimic.xyz/Windowsunknown/?=</t>
  </si>
  <si>
    <t>Newark</t>
  </si>
  <si>
    <t>outputdata245.ga</t>
  </si>
  <si>
    <t>104.27.131.236</t>
  </si>
  <si>
    <t>5ec93b27a9bcf</t>
  </si>
  <si>
    <t>https://outputdata245.ga/Win818181_1818m.nnh/XEDdhdsbfhgdfhdgf9x0Xd</t>
  </si>
  <si>
    <t>opensource678.cf</t>
  </si>
  <si>
    <t>104.18.33.113</t>
  </si>
  <si>
    <t>5ec93c6395175</t>
  </si>
  <si>
    <t>https://opensource678.cf/WIn10010u_hyu81818n.mmf/XEDdhdsbfhgdfhdgf7IC/</t>
  </si>
  <si>
    <t>queue548.ml</t>
  </si>
  <si>
    <t>104.27.129.38</t>
  </si>
  <si>
    <t>5ec93d3159ba2</t>
  </si>
  <si>
    <t>https://queue548.ml/Win10010_khhu10010.vvm/XEDdhdsbfhgdfhdgf7IC/</t>
  </si>
  <si>
    <t>quick-support289.azurewebsites.net</t>
  </si>
  <si>
    <t>13.89.172.22</t>
  </si>
  <si>
    <t>5faf4451acd4c</t>
  </si>
  <si>
    <t>http://quick-support289.azurewebsites.net/JArbZ98cFQJapCA/</t>
  </si>
  <si>
    <t>livequick-support146.azurewebsites.net</t>
  </si>
  <si>
    <t>5faf3dfd6e60d</t>
  </si>
  <si>
    <t>http://livequick-support146.azurewebsites.net/JArbZ98cFQJapCA/</t>
  </si>
  <si>
    <t>livequick-support126.azurewebsites.net</t>
  </si>
  <si>
    <t>5faf3da1a1601</t>
  </si>
  <si>
    <t>http://livequick-support126.azurewebsites.net/JArbZ98cFQJapCA/</t>
  </si>
  <si>
    <t>livequick-support120.azurewebsites.net</t>
  </si>
  <si>
    <t>5faf3d82c12a0</t>
  </si>
  <si>
    <t>http://livequick-support120.azurewebsites.net/JArbZ98cFQJapCA/</t>
  </si>
  <si>
    <t>live-app-check.azurewebsites.net</t>
  </si>
  <si>
    <t>5fa715f940ede</t>
  </si>
  <si>
    <t>https://live-app-check.azurewebsites.net/LJfsihiofhieoheiotwyiwexbcvnmbcmsdkwheowpheuwhfeusbfuiwqguqdbDIT/choxxoazx/</t>
  </si>
  <si>
    <t>quick-support096.azurewebsites.net</t>
  </si>
  <si>
    <t>5fa44062aaad1</t>
  </si>
  <si>
    <t>https://quick-support096.azurewebsites.net/KZPnhPzq8R8jHBD/</t>
  </si>
  <si>
    <t>livequickpcsupport059.azurewebsites.net</t>
  </si>
  <si>
    <t>5fa04e2211db7</t>
  </si>
  <si>
    <t>https://livequickpcsupport059.azurewebsites.net/gxDdcFJ5WdRaJjW/</t>
  </si>
  <si>
    <t>hkl87886312-po.azurewebsites.net</t>
  </si>
  <si>
    <t>5f6f81134cb24</t>
  </si>
  <si>
    <t>http://hkl87886312-po.azurewebsites.net/chmx/</t>
  </si>
  <si>
    <t>freepchelp40.azurewebsites.net</t>
  </si>
  <si>
    <t>5f6ccef399bbb</t>
  </si>
  <si>
    <t>https://freepchelp40.azurewebsites.net/Kq8XSq5WNCgY68z/</t>
  </si>
  <si>
    <t>freecomputerhelp140.azurewebsites.net</t>
  </si>
  <si>
    <t>5f699e3979c61</t>
  </si>
  <si>
    <t>https://freecomputerhelp140.azurewebsites.net/R7tcvkAFdAwS4B4</t>
  </si>
  <si>
    <t>freecomputerhelp96.azurewebsites.net</t>
  </si>
  <si>
    <t>5f699dd5b3e2b</t>
  </si>
  <si>
    <t>https://freecomputerhelp96.azurewebsites.net/R7tcvkAFdAwS4B4</t>
  </si>
  <si>
    <t>freepchelpforum26.azurewebsites.net</t>
  </si>
  <si>
    <t>5f628836dd576</t>
  </si>
  <si>
    <t>https://freepchelpforum26.azurewebsites.net/TxHTvPq9EFWfwjb/</t>
  </si>
  <si>
    <t>freepchelpforum06.azurewebsites.net</t>
  </si>
  <si>
    <t>5f6288120e04b</t>
  </si>
  <si>
    <t>https://freepchelpforum06.azurewebsites.net/TxHTvPq9EFWfwjb/</t>
  </si>
  <si>
    <t>freepchelp50.azurewebsites.net</t>
  </si>
  <si>
    <t>5f61c59b8dbd0</t>
  </si>
  <si>
    <t>https://freepchelp50.azurewebsites.net/ERDDrHjVfKbFJbQ/</t>
  </si>
  <si>
    <t>pconlinehelp126.azurewebsites.net</t>
  </si>
  <si>
    <t>5f60795894c0e</t>
  </si>
  <si>
    <t>https://pconlinehelp126.azurewebsites.net/ERDDrHjVfKbFJbQ/</t>
  </si>
  <si>
    <t>pconlinehelp156.azurewebsites.net</t>
  </si>
  <si>
    <t>5f60791f6fb24</t>
  </si>
  <si>
    <t>https://pconlinehelp156.azurewebsites.net/ERDDrHjVfKbFJbQ/</t>
  </si>
  <si>
    <t>pchelpdesk59.azurewebsites.net</t>
  </si>
  <si>
    <t>5f5a5920d8382</t>
  </si>
  <si>
    <t>https://pchelpdesk59.azurewebsites.net/garretttanners7d/</t>
  </si>
  <si>
    <t>callnow07.azurewebsites.net</t>
  </si>
  <si>
    <t>5f5285b92d863</t>
  </si>
  <si>
    <t>http://callnow07.azurewebsites.net/Mer-cado/</t>
  </si>
  <si>
    <t>freesupport77.azurewebsites.net</t>
  </si>
  <si>
    <t>5f4c0dc546341</t>
  </si>
  <si>
    <t>http://freesupport77.azurewebsites.net/gHBW7zFVGjwcrjr/</t>
  </si>
  <si>
    <t>callnow-free107.azurewebsites.net</t>
  </si>
  <si>
    <t>5f4c08f7e7153</t>
  </si>
  <si>
    <t>http://callnow-free107.azurewebsites.net/S9M5QFaca7VkHSt/</t>
  </si>
  <si>
    <t>callnow-free78.azurewebsites.net</t>
  </si>
  <si>
    <t>5f4c086f4787c</t>
  </si>
  <si>
    <t>http://callnow-free78.azurewebsites.net/S9M5QFaca7VkHSt/</t>
  </si>
  <si>
    <t>callnow-free77.azurewebsites.net</t>
  </si>
  <si>
    <t>5f4c086ab1b29</t>
  </si>
  <si>
    <t>http://callnow-free77.azurewebsites.net/S9M5QFaca7VkHSt/</t>
  </si>
  <si>
    <t>freecallcaresupport106.azurewebsites.net</t>
  </si>
  <si>
    <t>5f4aa424dba86</t>
  </si>
  <si>
    <t>http://freecallcaresupport106.azurewebsites.net/vTUPHmw6mhDcMgT/</t>
  </si>
  <si>
    <t>getfreesupport190.azurewebsites.net</t>
  </si>
  <si>
    <t>5f47d51f4d6e9</t>
  </si>
  <si>
    <t>http://getfreesupport190.azurewebsites.net/atEdYhpx5ykF2Ru/</t>
  </si>
  <si>
    <t>checkup79.azurewebsites.net</t>
  </si>
  <si>
    <t>5f4479adaeb3b</t>
  </si>
  <si>
    <t>http://checkup79.azurewebsites.net/Kristy-Cortez/</t>
  </si>
  <si>
    <t>callnow-free57.azurewebsites.net</t>
  </si>
  <si>
    <t>5f444c5ca6733</t>
  </si>
  <si>
    <t>https://callnow-free57.azurewebsites.net/Cortez/</t>
  </si>
  <si>
    <t>freesupportservice06.azurewebsites.net</t>
  </si>
  <si>
    <t>5f4443af2e966</t>
  </si>
  <si>
    <t>https://freesupportservice06.azurewebsites.net/8sx3ztC96XSvHKs/</t>
  </si>
  <si>
    <t>freesupportservice26.azurewebsites.net</t>
  </si>
  <si>
    <t>5f44428b50863</t>
  </si>
  <si>
    <t>https://freesupportservice26.azurewebsites.net/8sx3ztC96XSvHKs/</t>
  </si>
  <si>
    <t>freesupportservice55.azurewebsites.net</t>
  </si>
  <si>
    <t>5f444123c6aa2</t>
  </si>
  <si>
    <t>https://freesupportservice55.azurewebsites.net/8sx3ztC96XSvHKs/</t>
  </si>
  <si>
    <t>getfreesupport99.azurewebsites.net</t>
  </si>
  <si>
    <t>5f37234797898</t>
  </si>
  <si>
    <t>http://getfreesupport99.azurewebsites.net/gHBW7zFVGjwcrjr/</t>
  </si>
  <si>
    <t>weroureeror.azurewebsites.net</t>
  </si>
  <si>
    <t>5f23b7ff08d69</t>
  </si>
  <si>
    <t>http://weroureeror.azurewebsites.net/chrx-np/</t>
  </si>
  <si>
    <t>micro-sinnd22.azurewebsites.net</t>
  </si>
  <si>
    <t>5eecd524a2485</t>
  </si>
  <si>
    <t>https://micro-sinnd22.azurewebsites.net/TEdsjsjhskhkasdVX/</t>
  </si>
  <si>
    <t>micro-gopji.azurewebsites.net</t>
  </si>
  <si>
    <t>5ed2e33bf0a35</t>
  </si>
  <si>
    <t>https://micro-gopji.azurewebsites.net/D00EdsfsdfjfgfgdsfjdsfjRV/</t>
  </si>
  <si>
    <t>micro-fjeww.azurewebsites.net</t>
  </si>
  <si>
    <t>5ececc771b066</t>
  </si>
  <si>
    <t>https://micro-fjeww.azurewebsites.net/0EDhdfgdsjfkjsddfdfdhfjksdhNN1/?phone=+1-888-655-2074</t>
  </si>
  <si>
    <t>micro-sertyko.azurewebsites.net</t>
  </si>
  <si>
    <t>5ecebe6c617bc</t>
  </si>
  <si>
    <t>https://micro-sertyko.azurewebsites.net/0EDhdfgdsjfkjgfdgsdhfjksdhNN1/?phone=+1-888-521-2006</t>
  </si>
  <si>
    <t>reshelp-19.azurewebsites.net</t>
  </si>
  <si>
    <t>5ece40e77f2cb</t>
  </si>
  <si>
    <t>https://reshelp-19.azurewebsites.net/info6839/XEDdhdsbfhgdfhdgf7SF/</t>
  </si>
  <si>
    <t>reshelp-10.azurewebsites.net</t>
  </si>
  <si>
    <t>5ec9439cd2430</t>
  </si>
  <si>
    <t>https://reshelp-10.azurewebsites.net/support5525/11ED_get_help10017Gx/</t>
  </si>
  <si>
    <t>reshelp-13.azurewebsites.net</t>
  </si>
  <si>
    <t>5ec9430139542</t>
  </si>
  <si>
    <t>https://reshelp-13.azurewebsites.net/support5525/11ED_get_help10017Gx/</t>
  </si>
  <si>
    <t>reshelp-12.azurewebsites.net</t>
  </si>
  <si>
    <t>5ec93d5b54094</t>
  </si>
  <si>
    <t>https://reshelp-12.azurewebsites.net/support5525/11ED_get_help10017Gx/</t>
  </si>
  <si>
    <t>liveonlinepchelp46.azurewebsites.net</t>
  </si>
  <si>
    <t>13.89.172.9</t>
  </si>
  <si>
    <t>5f7378151220b</t>
  </si>
  <si>
    <t>https://liveonlinepchelp46.azurewebsites.net/6Yeqm5nqUDDNFgk/</t>
  </si>
  <si>
    <t>freepchelp58.azurewebsites.net</t>
  </si>
  <si>
    <t>5f61c58eefc36</t>
  </si>
  <si>
    <t>https://freepchelp58.azurewebsites.net/ERDDrHjVfKbFJbQ/</t>
  </si>
  <si>
    <t>freepchelp86.azurewebsites.net</t>
  </si>
  <si>
    <t>5f61c5304c49d</t>
  </si>
  <si>
    <t>https://freepchelp86.azurewebsites.net/ERDDrHjVfKbFJbQ/</t>
  </si>
  <si>
    <t>pchelpdesk41.azurewebsites.net</t>
  </si>
  <si>
    <t>5f5a58aac7b35</t>
  </si>
  <si>
    <t>https://pchelpdesk41.azurewebsites.net/garretttanners7d/</t>
  </si>
  <si>
    <t>pchelpdesk26.azurewebsites.net</t>
  </si>
  <si>
    <t>5f5a58492b7ac</t>
  </si>
  <si>
    <t>https://pchelpdesk26.azurewebsites.net/garretttanners7d/</t>
  </si>
  <si>
    <t>customerfreesupport26.azurewebsites.net</t>
  </si>
  <si>
    <t>5f4d5b29a6dcb</t>
  </si>
  <si>
    <t>https://customerfreesupport26.azurewebsites.net/HNhGpB5gbMdVDyb/</t>
  </si>
  <si>
    <t>freesupport47.azurewebsites.net</t>
  </si>
  <si>
    <t>5f4c0d33726f9</t>
  </si>
  <si>
    <t>http://freesupport47.azurewebsites.net/gHBW7zFVGjwcrjr/</t>
  </si>
  <si>
    <t>freesupportservice116.azurewebsites.net</t>
  </si>
  <si>
    <t>5f4ad8b945b4f</t>
  </si>
  <si>
    <t>http://freesupportservice116.azurewebsites.net/vcCsfdvjFg4P5tp/</t>
  </si>
  <si>
    <t>freecallcaresupport100.azurewebsites.net</t>
  </si>
  <si>
    <t>5f4aa405690f3</t>
  </si>
  <si>
    <t>http://freecallcaresupport100.azurewebsites.net/vTUPHmw6mhDcMgT/</t>
  </si>
  <si>
    <t>freecallcaresupport80.azurewebsites.net</t>
  </si>
  <si>
    <t>5f4aa3a7cfbd0</t>
  </si>
  <si>
    <t>http://freecallcaresupport80.azurewebsites.net/vTUPHmw6mhDcMgT/</t>
  </si>
  <si>
    <t>freecallcaresupport26.azurewebsites.net</t>
  </si>
  <si>
    <t>5f4aa2b49efce</t>
  </si>
  <si>
    <t>http://freecallcaresupport26.azurewebsites.net/vTUPHmw6mhDcMgT/</t>
  </si>
  <si>
    <t>freesupport127.azurewebsites.net</t>
  </si>
  <si>
    <t>5f4961e188b79</t>
  </si>
  <si>
    <t>http://freesupport127.azurewebsites.net/pb613cadhekan/</t>
  </si>
  <si>
    <t>freesupportservice41.azurewebsites.net</t>
  </si>
  <si>
    <t>5f4441d945324</t>
  </si>
  <si>
    <t>https://freesupportservice41.azurewebsites.net/8sx3ztC96XSvHKs/</t>
  </si>
  <si>
    <t>jhyftdfxes56ruhmnoiu8tt6fvhjg7t7uyvhjvghdftypyyen.azurewebsites.net</t>
  </si>
  <si>
    <t>5f44af70c8f71</t>
  </si>
  <si>
    <t>http://jhyftdfxes56ruhmnoiu8tt6fvhjg7t7uyvhjvghdftypyyen.azurewebsites.net/_hakkinguKDSNVJBWUIG8IYF983WFJ7W/EDJP100110HUIFHIUFEWJFW73GRUI7IJBIUGIUYF/</t>
  </si>
  <si>
    <t>services07.azurewebsites.net</t>
  </si>
  <si>
    <t>5f43d917c19d2</t>
  </si>
  <si>
    <t>http://services07.azurewebsites.net/pb613cadhekan/</t>
  </si>
  <si>
    <t>callnow-free72.azurewebsites.net</t>
  </si>
  <si>
    <t>5f43d8965b8f7</t>
  </si>
  <si>
    <t>http://callnow-free72.azurewebsites.net/S9M5QFaca7VkHSt/</t>
  </si>
  <si>
    <t>74234191b0337fe66a070230e372f0a6gbeubist.azurewebsites.net</t>
  </si>
  <si>
    <t>5f424a774d076</t>
  </si>
  <si>
    <t>http://74234191b0337fe66a070230e372f0a6gbeubist.azurewebsites.net/_AMDMACOSSXXXRRGB/CHfdfdfdfd100110dfSSY/?sou=4cb91f6425595a535e0e23d2c401b3ff</t>
  </si>
  <si>
    <t>7f75a4f894dd7ef995e2b8a06d308576jpyen.azurewebsites.net</t>
  </si>
  <si>
    <t>5f42225fa66c4</t>
  </si>
  <si>
    <t>http://7f75a4f894dd7ef995e2b8a06d308576jpyen.azurewebsites.net/_hakkingu/EDfdfdfdfd100110dfSS/</t>
  </si>
  <si>
    <t>5c23d0a89a39fbc7ac6f832f4cde28fegbeubist.azurewebsites.net</t>
  </si>
  <si>
    <t>5f3f9fb1f2cdd</t>
  </si>
  <si>
    <t>http://5c23d0a89a39fbc7ac6f832f4cde28fegbeubist.azurewebsites.net/_AMDMACOSSXXXRRGB/EDfdfdfdfd100110dfSSY/?sou=</t>
  </si>
  <si>
    <t>701c6b7e2c9394cea0db839aaff8e706gbeubist.azurewebsites.net</t>
  </si>
  <si>
    <t>5f3eabc033f27</t>
  </si>
  <si>
    <t>http://701c6b7e2c9394cea0db839aaff8e706gbeubist.azurewebsites.net/_AMDMACOSSXXXRRGB/CHfdfdfdfd100110dfSSY/?sou=a2fe217abd606158b19c67de4d45a040</t>
  </si>
  <si>
    <t>enc1uge4hsiuugkjuk9798jhgilhlhring.azurewebsites.net</t>
  </si>
  <si>
    <t>5f3c12ba9bc94</t>
  </si>
  <si>
    <t>http://enc1uge4hsiuugkjuk9798jhgilhlhring.azurewebsites.net/RSTERRXXXCCHACPLIJ/EDfdfdfdfd100110dfSSY/</t>
  </si>
  <si>
    <t>54572f10020c88a032b24d087e337fe3ustdjh8hu8.azurewebsites.net</t>
  </si>
  <si>
    <t>5f3c013070a4a</t>
  </si>
  <si>
    <t>http://54572f10020c88a032b24d087e337fe3ustdjh8hu8.azurewebsites.net/RSTERRXXXCCHACPLIJ/CHfdfdfdfd100110dfSSY/</t>
  </si>
  <si>
    <t>38o8wge4hsihuh78878654ygyfuyt.azurewebsites.net</t>
  </si>
  <si>
    <t>5f35de5b24104</t>
  </si>
  <si>
    <t>http://38o8wge4hsihuh78878654ygyfuyt.azurewebsites.net/_JKGHGGFFJYHVGCFGDXXXRR/CHfdfdfdfd100110dfSSY/?sou=ce211361bb2f9b0833882ba6b6ecf3e5</t>
  </si>
  <si>
    <t>maeidge4hsuskijhyuji812879.azurewebsites.net</t>
  </si>
  <si>
    <t>5f3576433a996</t>
  </si>
  <si>
    <t>http://maeidge4hsuskijhyuji812879.azurewebsites.net/_JKGHGGFFJYHVGCFGDXXXRR/CHfdfdfdfd100110dfSSY/</t>
  </si>
  <si>
    <t>60m3wge4hs897yh543jun.azurewebsites.net</t>
  </si>
  <si>
    <t>5f343a719c1c7</t>
  </si>
  <si>
    <t>http://60m3wge4hs897yh543jun.azurewebsites.net/_JKGHGGFFJYHVGCFGDXXXRR/EDfdfdfdfd100110dfSSY</t>
  </si>
  <si>
    <t>e81b2274055676dd639410b63ae01dc2gbeurh.azurewebsites.net</t>
  </si>
  <si>
    <t>5f33e9d8819b9</t>
  </si>
  <si>
    <t>http://e81b2274055676dd639410b63ae01dc2gbeurh.azurewebsites.net/_AMDMACOSSXXXRRGB/EDfdfdfdfd100110dfSSY/</t>
  </si>
  <si>
    <t>terror54.azurewebsites.net</t>
  </si>
  <si>
    <t>5f1494da1696b</t>
  </si>
  <si>
    <t>http://terror54.azurewebsites.net/Boyd-TX/</t>
  </si>
  <si>
    <t>cerrors75.azurewebsites.net</t>
  </si>
  <si>
    <t>5f1494c149f1a</t>
  </si>
  <si>
    <t>http://cerrors75.azurewebsites.net/Boyd-TX/</t>
  </si>
  <si>
    <t>micro-olozes.azurewebsites.net</t>
  </si>
  <si>
    <t>5f08c11e7edf3</t>
  </si>
  <si>
    <t>https://micro-olozes.azurewebsites.net/0EDfdfdfdfddfd99900NN1/?phone=+1-888-402-8031&amp;amp;</t>
  </si>
  <si>
    <t>sysscanerr03.azurewebsites.net</t>
  </si>
  <si>
    <t>5ed015eaade69</t>
  </si>
  <si>
    <t>https://sysscanerr03.azurewebsites.net/xchrmerr/</t>
  </si>
  <si>
    <t>alert56156d6.azurewebsites.net</t>
  </si>
  <si>
    <t>5ec955951e02c</t>
  </si>
  <si>
    <t>https://alert56156d6.azurewebsites.net/IEEDGE_sdsddshelpXK/</t>
  </si>
  <si>
    <t>AS12876</t>
  </si>
  <si>
    <t>Paris</t>
  </si>
  <si>
    <t>www.triboluminescence.site</t>
  </si>
  <si>
    <t>SCALEWAY</t>
  </si>
  <si>
    <t>51.158.120.63</t>
  </si>
  <si>
    <t>SCALEWAYS.A.S.</t>
  </si>
  <si>
    <t>5ecb9c91c77c5</t>
  </si>
  <si>
    <t>http://www.triboluminescence.site/b/11Ch_get_help10017</t>
  </si>
  <si>
    <t>site</t>
  </si>
  <si>
    <t>www.bskrpglhoja.ga</t>
  </si>
  <si>
    <t>104.18.62.196</t>
  </si>
  <si>
    <t>5ecbfc9733a6b</t>
  </si>
  <si>
    <t>https://www.bskrpglhoja.ga/0CHfdfdfdfddfd99JP/</t>
  </si>
  <si>
    <t>AS54290</t>
  </si>
  <si>
    <t>Seattle</t>
  </si>
  <si>
    <t>networkinfection8080.club</t>
  </si>
  <si>
    <t>Hostwinds LLC.</t>
  </si>
  <si>
    <t>104.168.199.106</t>
  </si>
  <si>
    <t>HostwindsLLC.</t>
  </si>
  <si>
    <t>5f05fafa25263</t>
  </si>
  <si>
    <t>https://networkinfection8080.club/unknown/CHWInhelp10010101/</t>
  </si>
  <si>
    <t>networkinfection8020.club</t>
  </si>
  <si>
    <t>5f04a52224a6d</t>
  </si>
  <si>
    <t>https://networkinfection8020.club/error-report/EDWInhelp10010101/?sou=14892299&amp;amp;subid=9ungv204cfd59f1a631301f0074ebba72676cdb</t>
  </si>
  <si>
    <t>networkinfection7090.club</t>
  </si>
  <si>
    <t>5f049c622e439</t>
  </si>
  <si>
    <t>https://networkinfection7090.club/error-report/EDWInhelp10010101/?sou=14892299&amp;amp;subid=9ungv204cfd59f1a631301f0074ebba72676cdb</t>
  </si>
  <si>
    <t>networkinfection7080.club</t>
  </si>
  <si>
    <t>5f048bda809fa</t>
  </si>
  <si>
    <t>https://networkinfection7080.club/errorreporting/EDWInhelp10010101/?sou=14892299&amp;amp;subid=9123169e41847baca1f596ca071777068</t>
  </si>
  <si>
    <t>networkinfection7070.club</t>
  </si>
  <si>
    <t>5f03a53137414</t>
  </si>
  <si>
    <t>https://networkinfection7070.club/errorreporting/EDWInhelp10010101/?sou=14892299&amp;amp;subid=9ungv204cfd59f1a631301f0074ebba72676cdb</t>
  </si>
  <si>
    <t>networkinfection7040.club</t>
  </si>
  <si>
    <t>5f037aa33710e</t>
  </si>
  <si>
    <t>https://networkinfection7040.club/errorreporting/EDWInhelp10010101/?sou=14892299&amp;amp;subid=9ungv204cfd59f1a631301f0074ebba72676cdb</t>
  </si>
  <si>
    <t>networkinfection6080.club</t>
  </si>
  <si>
    <t>5effb71010cd7</t>
  </si>
  <si>
    <t>https://networkinfection6080.club/errorreporting/EDWInhelp10010101/?sou=14892299&amp;amp;subid=9ungv20d4cdd3abfebdee59b2ea2acc6f35867d</t>
  </si>
  <si>
    <t>networkinfection6070.club</t>
  </si>
  <si>
    <t>5effa74fbbe35</t>
  </si>
  <si>
    <t>https://networkinfection6070.club/errorreporting/EDWInhelp10010101/?sou=14892299&amp;amp;subid=9ungv204cfd59f1a631301f0074ebba72676cdb</t>
  </si>
  <si>
    <t>networkinfection6020.club</t>
  </si>
  <si>
    <t>5eff80afd5da5</t>
  </si>
  <si>
    <t>https://networkinfection6020.club/errorreporting2884/EDWInhelp10010101/?sou=14892299&amp;amp;subid=9ungv20d4cdd3abfebdee59b2ea2acc6f35867d</t>
  </si>
  <si>
    <t>5eff7b0b74ce0</t>
  </si>
  <si>
    <t>https://networkinfection6020.club/errorreporting/EDWInhelp10010101/?sou=14892299&amp;amp;subid=9ungv20d4cdd3abfebdee59b2ea2acc6f35867d</t>
  </si>
  <si>
    <t>networkinfection6040.club</t>
  </si>
  <si>
    <t>5eff831d59b6a</t>
  </si>
  <si>
    <t>https://networkinfection6040.club/errorreporting/EDWInhelp10010101/?sou=14892299&amp;amp;subid=9ungv20d4cdd3abfebdee59b2ea2acc6f35867d</t>
  </si>
  <si>
    <t>networkinfection5090.club</t>
  </si>
  <si>
    <t>5eff76af124c4</t>
  </si>
  <si>
    <t>https://networkinfection5090.club/errorreporting/EDWInhelp10010101/?sou=14892299&amp;amp;subid=9ungv20d4cdd3abfebdee59b2ea2acc6f35867d</t>
  </si>
  <si>
    <t>networkinfection5080.club</t>
  </si>
  <si>
    <t>5eff61588aaae</t>
  </si>
  <si>
    <t>https://networkinfection5080.club/errorreporting/EDWInhelp10010101/?sou=14892299&amp;amp;subid=9ungv20160f9d0ae0256de38e3d70e86dd75ce0</t>
  </si>
  <si>
    <t>networkinfection5070.club</t>
  </si>
  <si>
    <t>5eff49c87ce0f</t>
  </si>
  <si>
    <t>https://networkinfection5070.club/errorreporting/EDWInhelp10010101/?sou=14892299&amp;amp;subid=9ungv20160f9d0ae0256de38e3d70e86dd75ce0</t>
  </si>
  <si>
    <t>networkinfection5040.club</t>
  </si>
  <si>
    <t>5efe30745d353</t>
  </si>
  <si>
    <t>https://networkinfection5040.club/errorreporting2880/EDWInhelp10010101/?sou=14892299&amp;amp;subid=9ungv2096dcfc734adc9afb4c068ca931f09b17</t>
  </si>
  <si>
    <t>networkinfection4940.club</t>
  </si>
  <si>
    <t>5efccb7bf1cee</t>
  </si>
  <si>
    <t>https://networkinfection4940.club/errorreporting2846/EDWInhelp10010101/</t>
  </si>
  <si>
    <t>networkinfection2940.club</t>
  </si>
  <si>
    <t>5efb6cdd6bff1</t>
  </si>
  <si>
    <t>https://networkinfection2940.club/errorreporting/EDWInhelp10010101/?sou=14892299&amp;amp;subid=9ungv20476149dcf2bcbf24d371bc160be31ec4</t>
  </si>
  <si>
    <t>networkinfection2860.club</t>
  </si>
  <si>
    <t>5efa1d205a444</t>
  </si>
  <si>
    <t>https://networkinfection2860.club/errorreporting/EDWInhelp10010101/?sou=14892299&amp;amp;subid=9123169e41847baca1f596ca071777068</t>
  </si>
  <si>
    <t>networkinfection2835.club</t>
  </si>
  <si>
    <t>5ef5216684b27</t>
  </si>
  <si>
    <t>https://networkinfection2835.club/errorreporting8684/OMED01010101010X0NV/?sou=14892299&amp;amp;subid=9123169e41847baca1f596ca071777068</t>
  </si>
  <si>
    <t>networkinfection2833.club</t>
  </si>
  <si>
    <t>5ef4ce9cdd642</t>
  </si>
  <si>
    <t>https://networkinfection2833.club/errorreporting8682/OMED01010101010X0NV/</t>
  </si>
  <si>
    <t>networkinfection2832.club</t>
  </si>
  <si>
    <t>5ef3b7e54e48d</t>
  </si>
  <si>
    <t>https://networkinfection2832.club/errorreporting8682/OMED01010101010X0NV/?sou=14892299&amp;amp;subid=9123169e41847baca1f596ca071777068</t>
  </si>
  <si>
    <t>networkinfections-l34.club</t>
  </si>
  <si>
    <t>5ef265a08ecd8</t>
  </si>
  <si>
    <t>https://networkinfections-l34.club/errorreporting98829742/OMED01010101010X0NV/</t>
  </si>
  <si>
    <t>networkinfections-l33.club</t>
  </si>
  <si>
    <t>5ef2522a5836a</t>
  </si>
  <si>
    <t>https://networkinfections-l33.club/errorreporting9880/OMED01010101010X0NV/?sou=14892299&amp;amp;subid=9ungv20658c01481702d98d3a0814d4d3198e9d</t>
  </si>
  <si>
    <t>networkinfections-l32.club</t>
  </si>
  <si>
    <t>5ef24cbdd167c</t>
  </si>
  <si>
    <t>https://networkinfections-l32.club/errorreporting/OMED01010101010X0NV/?sou=14892299&amp;amp;subid=9ungv20c5bc6455b660ae1686eb6b5c1f8ddd2c</t>
  </si>
  <si>
    <t>networkinfections-l30.club</t>
  </si>
  <si>
    <t>5ef23b505b198</t>
  </si>
  <si>
    <t>https://networkinfections-l30.club/windowserror/OMED01010101010X0NV/?sou=14892299&amp;amp;subid=9123169e41847baca1f596ca071777068</t>
  </si>
  <si>
    <t>networkinfections-l20.club</t>
  </si>
  <si>
    <t>5ef0f2e257325</t>
  </si>
  <si>
    <t>https://networkinfections-l20.club/windowserror/OMED01010101010X0NV/</t>
  </si>
  <si>
    <t>networkinfections-l12.club</t>
  </si>
  <si>
    <t>5eecf1aa79827</t>
  </si>
  <si>
    <t>https://networkinfections-l12.club/windowserror/OMED01010101010X0NV/?sou=14892299&amp;amp;subid=9123169e41847baca1f596ca071777068</t>
  </si>
  <si>
    <t>networkinfections-l8.club</t>
  </si>
  <si>
    <t>5eebaacdf2260</t>
  </si>
  <si>
    <t>https://networkinfections-l8.club/errorlatestwindow/OMED01010101010X0MVJ/?sou=14892299&amp;amp;subid=9123169e41847baca1f596ca071777068</t>
  </si>
  <si>
    <t>networkinfections-j2.club</t>
  </si>
  <si>
    <t>5ede7ae9914f7</t>
  </si>
  <si>
    <t>https://networkinfections-j2.club/errorwindow9826/11ED_get_help10018PK/?sou=14892298</t>
  </si>
  <si>
    <t>networkinfections-h4.club</t>
  </si>
  <si>
    <t>5ed90d3b77680</t>
  </si>
  <si>
    <t>https://networkinfections-h4.club/errorwindow9826/11Ch_get_help10018PK/</t>
  </si>
  <si>
    <t>networkinfections-e4.club</t>
  </si>
  <si>
    <t>5ed6c88a7fe5c</t>
  </si>
  <si>
    <t>https://networkinfections-e4.club/errorwindow9826/11ED_get_help10018PK/</t>
  </si>
  <si>
    <t>securedomain3892.club</t>
  </si>
  <si>
    <t>5ecd697937d10</t>
  </si>
  <si>
    <t>https://securedomain3892.club/micrsoft86092error982/11ED_get_help10018PK/</t>
  </si>
  <si>
    <t>securedomain3890.club</t>
  </si>
  <si>
    <t>5ecd4f2f7e83c</t>
  </si>
  <si>
    <t>https://securedomain3890.club/h83snv834hsrl837688/11ED_get_help10018PK/</t>
  </si>
  <si>
    <t>19reportsrhym.azurewebsites.net</t>
  </si>
  <si>
    <t>40.79.130.129</t>
  </si>
  <si>
    <t>605cc00879fd8</t>
  </si>
  <si>
    <t>https://19reportsrhym.azurewebsites.net/PAHDJ0SGJA844012CHXAGEODB100F/</t>
  </si>
  <si>
    <t>06scan-resultstghy.azurewebsites.net</t>
  </si>
  <si>
    <t>605b89311953b</t>
  </si>
  <si>
    <t>https://06scan-resultstghy.azurewebsites.net/PAHDJ0SGJA844012CHXAGEODB100F/</t>
  </si>
  <si>
    <t>getsyourspcfixed-149eererede.azurewebsites.net</t>
  </si>
  <si>
    <t>601d953f42bf4</t>
  </si>
  <si>
    <t>https://getsyourspcfixed-149eererede.azurewebsites.net/MicOSoCHPC017528240X00/</t>
  </si>
  <si>
    <t>getsyourpcfixed-68fdgdfsfsfsfs.azurewebsites.net</t>
  </si>
  <si>
    <t>6019b068b06cb</t>
  </si>
  <si>
    <t>https://getsyourpcfixed-68fdgdfsfsfsfs.azurewebsites.net/MicOSoCHPC017528240X00/</t>
  </si>
  <si>
    <t>209-getyourpcfixedfdbcbcbffff.azurewebsites.net</t>
  </si>
  <si>
    <t>600f1953424df</t>
  </si>
  <si>
    <t>https://209-getyourpcfixedfdbcbcbffff.azurewebsites.net/MicOSoCHPC017528240X00/</t>
  </si>
  <si>
    <t>onestopsupporthtjyujuj.azurewebsites.net</t>
  </si>
  <si>
    <t>5fff53c7d0023</t>
  </si>
  <si>
    <t>https://onestopsupporthtjyujuj.azurewebsites.net/MicOSoCHPC017528240X00/</t>
  </si>
  <si>
    <t>17onestopsupport.azurewebsites.net</t>
  </si>
  <si>
    <t>5ff7425d8a65a</t>
  </si>
  <si>
    <t>https://17onestopsupport.azurewebsites.net/MicOSoCHPC017528240X00/</t>
  </si>
  <si>
    <t>quick-support286.azurewebsites.net</t>
  </si>
  <si>
    <t>5faf44433a66f</t>
  </si>
  <si>
    <t>http://quick-support286.azurewebsites.net/JArbZ98cFQJapCA/</t>
  </si>
  <si>
    <t>livequick-support149.azurewebsites.net</t>
  </si>
  <si>
    <t>5faf3e0b60c47</t>
  </si>
  <si>
    <t>http://livequick-support149.azurewebsites.net/JArbZ98cFQJapCA/</t>
  </si>
  <si>
    <t>livequick-support137.azurewebsites.net</t>
  </si>
  <si>
    <t>5faf3dd553610</t>
  </si>
  <si>
    <t>http://livequick-support137.azurewebsites.net/JArbZ98cFQJapCA/</t>
  </si>
  <si>
    <t>livequick-support109.azurewebsites.net</t>
  </si>
  <si>
    <t>5faf3d4ef1552</t>
  </si>
  <si>
    <t>http://livequick-support109.azurewebsites.net/JArbZ98cFQJapCA/</t>
  </si>
  <si>
    <t>livequick-support117.azurewebsites.net</t>
  </si>
  <si>
    <t>5faad6df1c408</t>
  </si>
  <si>
    <t>https://livequick-support117.azurewebsites.net/VXJfzDqW2zqUqWz/</t>
  </si>
  <si>
    <t>livequick-support069.azurewebsites.net</t>
  </si>
  <si>
    <t>5faabb17b08ab</t>
  </si>
  <si>
    <t>https://livequick-support069.azurewebsites.net/VXJfzDqW2zqUqWz/</t>
  </si>
  <si>
    <t>quick-support269.azurewebsites.net</t>
  </si>
  <si>
    <t>5fa96cb571314</t>
  </si>
  <si>
    <t>https://quick-support269.azurewebsites.net/VXJfzDqW2zqUqWz/</t>
  </si>
  <si>
    <t>quick-support207.azurewebsites.net</t>
  </si>
  <si>
    <t>5fa59db14329c</t>
  </si>
  <si>
    <t>https://quick-support207.azurewebsites.net/KZPnhPzq8R8jHBD/</t>
  </si>
  <si>
    <t>quick-support077.azurewebsites.net</t>
  </si>
  <si>
    <t>5fa439e07797d</t>
  </si>
  <si>
    <t>https://quick-support077.azurewebsites.net/KZPnhPzq8R8jHBD/</t>
  </si>
  <si>
    <t>quick-support057.azurewebsites.net</t>
  </si>
  <si>
    <t>5fa438ecd3675</t>
  </si>
  <si>
    <t>https://quick-support057.azurewebsites.net/KZPnhPzq8R8jHBD/</t>
  </si>
  <si>
    <t>quick-support069.azurewebsites.net</t>
  </si>
  <si>
    <t>5fa4385985ad8</t>
  </si>
  <si>
    <t>https://quick-support069.azurewebsites.net/KZPnhPzq8R8jHBD/</t>
  </si>
  <si>
    <t>callsupport076.azurewebsites.net</t>
  </si>
  <si>
    <t>5fa2f587b72f6</t>
  </si>
  <si>
    <t>https://callsupport076.azurewebsites.net/UsvCPP4t5Gxga6T/</t>
  </si>
  <si>
    <t>callsupport049.azurewebsites.net</t>
  </si>
  <si>
    <t>5fa2e4842d2fd</t>
  </si>
  <si>
    <t>https://callsupport049.azurewebsites.net/UsvCPP4t5Gxga6T/</t>
  </si>
  <si>
    <t>freequickpcsupport022.azurewebsites.net</t>
  </si>
  <si>
    <t>5f9c429218c8e</t>
  </si>
  <si>
    <t>https://freequickpcsupport022.azurewebsites.net/gxDdcFJ5WdRaJjW/</t>
  </si>
  <si>
    <t>freequickssupports038.azurewebsites.net</t>
  </si>
  <si>
    <t>5f970a9509d32</t>
  </si>
  <si>
    <t>https://freequickssupports038.azurewebsites.net/9GMEFgvzgTaEgPD/</t>
  </si>
  <si>
    <t>freequicksupport39.azurewebsites.net</t>
  </si>
  <si>
    <t>5f872dbb6aa0e</t>
  </si>
  <si>
    <t>https://freequicksupport39.azurewebsites.net/y9eSqh5YrP8gzfs/</t>
  </si>
  <si>
    <t>onecallhelpdesk18.azurewebsites.net</t>
  </si>
  <si>
    <t>5f7f3acca00bb</t>
  </si>
  <si>
    <t>https://onecallhelpdesk18.azurewebsites.net/bUAnaP5Cp7yKmv4/</t>
  </si>
  <si>
    <t>helpbygeekexperts57.azurewebsites.net</t>
  </si>
  <si>
    <t>5f7e10ef82500</t>
  </si>
  <si>
    <t>https://helpbygeekexperts57.azurewebsites.net/7mXVCUNqjvYHSbG/</t>
  </si>
  <si>
    <t>bestgeekscare47.azurewebsites.net</t>
  </si>
  <si>
    <t>5f7b78d9bce2d</t>
  </si>
  <si>
    <t>https://bestgeekscare47.azurewebsites.net/TZZsyhcrt2Wrbu9/</t>
  </si>
  <si>
    <t>bestpchelpsupport19.azurewebsites.net</t>
  </si>
  <si>
    <t>5f778d22566f6</t>
  </si>
  <si>
    <t>https://bestpchelpsupport19.azurewebsites.net/TZZsyhcrt2Wrbu9/</t>
  </si>
  <si>
    <t>livepcexpert59.azurewebsites.net</t>
  </si>
  <si>
    <t>5f761b4b66b3c</t>
  </si>
  <si>
    <t>https://livepcexpert59.azurewebsites.net/TZZsyhcrt2Wrbu9/</t>
  </si>
  <si>
    <t>livepchelpsupport27.azurewebsites.net</t>
  </si>
  <si>
    <t>5f77681ed06a0</t>
  </si>
  <si>
    <t>https://livepchelpsupport27.azurewebsites.net/4vKZdhngXmE9yHj</t>
  </si>
  <si>
    <t>livehelpsupport99.azurewebsites.net</t>
  </si>
  <si>
    <t>5f74e91453650</t>
  </si>
  <si>
    <t>http://livehelpsupport99.azurewebsites.net/P8fBTPd33cqy3WA/</t>
  </si>
  <si>
    <t>liveonlinepchelp29.azurewebsites.net</t>
  </si>
  <si>
    <t>5f7378430dbcb</t>
  </si>
  <si>
    <t>https://liveonlinepchelp29.azurewebsites.net/6Yeqm5nqUDDNFgk/</t>
  </si>
  <si>
    <t>liveonlinepchelp36.azurewebsites.net</t>
  </si>
  <si>
    <t>5f73782b2c1ea</t>
  </si>
  <si>
    <t>https://liveonlinepchelp36.azurewebsites.net/6Yeqm5nqUDDNFgk/</t>
  </si>
  <si>
    <t>liveonlinepchelp49.azurewebsites.net</t>
  </si>
  <si>
    <t>5f73780d5699c</t>
  </si>
  <si>
    <t>https://liveonlinepchelp49.azurewebsites.net/6Yeqm5nqUDDNFgk/</t>
  </si>
  <si>
    <t>liveonlinepchelp18.azurewebsites.net</t>
  </si>
  <si>
    <t>5f735e6bb5e42</t>
  </si>
  <si>
    <t>http://liveonlinepchelp18.azurewebsites.net/6Yeqm5nqUDDNFgk/</t>
  </si>
  <si>
    <t>liveonlinepchelp09.azurewebsites.net</t>
  </si>
  <si>
    <t>5f735e143ab94</t>
  </si>
  <si>
    <t>http://liveonlinepchelp09.azurewebsites.net/6Yeqm5nqUDDNFgk/</t>
  </si>
  <si>
    <t>onlinecomputersupport49.azurewebsites.net</t>
  </si>
  <si>
    <t>5f7221186ba71</t>
  </si>
  <si>
    <t>https://onlinecomputersupport49.azurewebsites.net/Kq8XSq5WNCgY68z/</t>
  </si>
  <si>
    <t>onlinecomputersupport32.azurewebsites.net</t>
  </si>
  <si>
    <t>5f72210799034</t>
  </si>
  <si>
    <t>https://onlinecomputersupport32.azurewebsites.net/Kq8XSq5WNCgY68z/</t>
  </si>
  <si>
    <t>onlinecomputersupport57.azurewebsites.net</t>
  </si>
  <si>
    <t>5f721efe0259a</t>
  </si>
  <si>
    <t>https://onlinecomputersupport57.azurewebsites.net/Kq8XSq5WNCgY68z/</t>
  </si>
  <si>
    <t>freepchelp187.azurewebsites.net</t>
  </si>
  <si>
    <t>5f6e488e8390c</t>
  </si>
  <si>
    <t>https://freepchelp187.azurewebsites.net/uGM5D6wZ9V5J5RY/</t>
  </si>
  <si>
    <t>freepchelp77.azurewebsites.net</t>
  </si>
  <si>
    <t>5f6d8f9b37cdb</t>
  </si>
  <si>
    <t>https://freepchelp77.azurewebsites.net/qbNJp4SCuce6BQh/</t>
  </si>
  <si>
    <t>freecomputersupport09.azurewebsites.net</t>
  </si>
  <si>
    <t>5f6a3cedeecf1</t>
  </si>
  <si>
    <t>https://freecomputersupport09.azurewebsites.net/PjY6bTgrEnuKddE/</t>
  </si>
  <si>
    <t>freecomputerhelp50.azurewebsites.net</t>
  </si>
  <si>
    <t>5f699f1ba4812</t>
  </si>
  <si>
    <t>https://freecomputerhelp50.azurewebsites.net/R7tcvkAFdAwS4B4</t>
  </si>
  <si>
    <t>freecomputerhelp57.azurewebsites.net</t>
  </si>
  <si>
    <t>5f699f12681f5</t>
  </si>
  <si>
    <t>https://freecomputerhelp57.azurewebsites.net/R7tcvkAFdAwS4B4</t>
  </si>
  <si>
    <t>freecomputerhelp69.azurewebsites.net</t>
  </si>
  <si>
    <t>5f699ef90b220</t>
  </si>
  <si>
    <t>https://freecomputerhelp69.azurewebsites.net/R7tcvkAFdAwS4B4</t>
  </si>
  <si>
    <t>freecomputerhelp77.azurewebsites.net</t>
  </si>
  <si>
    <t>5f699ed7e981f</t>
  </si>
  <si>
    <t>https://freecomputerhelp77.azurewebsites.net/R7tcvkAFdAwS4B4</t>
  </si>
  <si>
    <t>freecomputerhelp159.azurewebsites.net</t>
  </si>
  <si>
    <t>5f699e748dfbf</t>
  </si>
  <si>
    <t>https://freecomputerhelp159.azurewebsites.net/R7tcvkAFdAwS4B4</t>
  </si>
  <si>
    <t>freecomputerhelp147.azurewebsites.net</t>
  </si>
  <si>
    <t>5f699e47b11e1</t>
  </si>
  <si>
    <t>https://freecomputerhelp147.azurewebsites.net/R7tcvkAFdAwS4B4</t>
  </si>
  <si>
    <t>freecomputerhelp138.azurewebsites.net</t>
  </si>
  <si>
    <t>5f699e2faac89</t>
  </si>
  <si>
    <t>https://freecomputerhelp138.azurewebsites.net/R7tcvkAFdAwS4B4</t>
  </si>
  <si>
    <t>freecomputerhelp129.azurewebsites.net</t>
  </si>
  <si>
    <t>5f699e1c973ef</t>
  </si>
  <si>
    <t>https://freecomputerhelp129.azurewebsites.net/R7tcvkAFdAwS4B4</t>
  </si>
  <si>
    <t>freecomputerhelp118.azurewebsites.net</t>
  </si>
  <si>
    <t>5f699e02706b7</t>
  </si>
  <si>
    <t>https://freecomputerhelp118.azurewebsites.net/R7tcvkAFdAwS4B4</t>
  </si>
  <si>
    <t>freecomputerhelp107.azurewebsites.net</t>
  </si>
  <si>
    <t>5f699de7b2e47</t>
  </si>
  <si>
    <t>https://freecomputerhelp107.azurewebsites.net/R7tcvkAFdAwS4B4</t>
  </si>
  <si>
    <t>freecomputerhelp98.azurewebsites.net</t>
  </si>
  <si>
    <t>5f699dd7c9646</t>
  </si>
  <si>
    <t>https://freecomputerhelp98.azurewebsites.net/R7tcvkAFdAwS4B4</t>
  </si>
  <si>
    <t>freecomputerhelp37.azurewebsites.net</t>
  </si>
  <si>
    <t>5f68d9f0ed5b7</t>
  </si>
  <si>
    <t>https://freecomputerhelp37.azurewebsites.net/R7tcvkAFdAwS4B4/</t>
  </si>
  <si>
    <t>freecomputerhelp24.azurewebsites.net</t>
  </si>
  <si>
    <t>5f68d9b1e8cb7</t>
  </si>
  <si>
    <t>https://freecomputerhelp24.azurewebsites.net/R7tcvkAFdAwS4B4/</t>
  </si>
  <si>
    <t>freecomputerhelp09.azurewebsites.net</t>
  </si>
  <si>
    <t>5f68d9a16c10c</t>
  </si>
  <si>
    <t>https://freecomputerhelp09.azurewebsites.net/R7tcvkAFdAwS4B4/</t>
  </si>
  <si>
    <t>freepchelpforum49.azurewebsites.net</t>
  </si>
  <si>
    <t>5f6288b83e6b8</t>
  </si>
  <si>
    <t>https://freepchelpforum49.azurewebsites.net/TxHTvPq9EFWfwjb/</t>
  </si>
  <si>
    <t>freepchelpforum37.azurewebsites.net</t>
  </si>
  <si>
    <t>5f62886feea77</t>
  </si>
  <si>
    <t>https://freepchelpforum37.azurewebsites.net/TxHTvPq9EFWfwjb/</t>
  </si>
  <si>
    <t>freepchelpforum29.azurewebsites.net</t>
  </si>
  <si>
    <t>5f628848078a2</t>
  </si>
  <si>
    <t>https://freepchelpforum29.azurewebsites.net/TxHTvPq9EFWfwjb/</t>
  </si>
  <si>
    <t>freepchelpforum16.azurewebsites.net</t>
  </si>
  <si>
    <t>5f6287f98076b</t>
  </si>
  <si>
    <t>https://freepchelpforum16.azurewebsites.net/TxHTvPq9EFWfwjb/</t>
  </si>
  <si>
    <t>freepchelpforum10.azurewebsites.net</t>
  </si>
  <si>
    <t>5f6287dd60db5</t>
  </si>
  <si>
    <t>https://freepchelpforum10.azurewebsites.net/TxHTvPq9EFWfwjb/</t>
  </si>
  <si>
    <t>freepchelp89.azurewebsites.net</t>
  </si>
  <si>
    <t>5f6247013801f</t>
  </si>
  <si>
    <t>https://freepchelp89.azurewebsites.net/TxHTvPq9EFWfwjb/</t>
  </si>
  <si>
    <t>freepchelp99.azurewebsites.net</t>
  </si>
  <si>
    <t>5f6246ea8ba3e</t>
  </si>
  <si>
    <t>https://freepchelp99.azurewebsites.net/TxHTvPq9EFWfwjb/</t>
  </si>
  <si>
    <t>freepchelp108.azurewebsites.net</t>
  </si>
  <si>
    <t>5f6246ce1216d</t>
  </si>
  <si>
    <t>https://freepchelp108.azurewebsites.net/TxHTvPq9EFWfwjb/</t>
  </si>
  <si>
    <t>freepchelp119.azurewebsites.net</t>
  </si>
  <si>
    <t>5f6246b004b34</t>
  </si>
  <si>
    <t>https://freepchelp119.azurewebsites.net/TxHTvPq9EFWfwjb/</t>
  </si>
  <si>
    <t>freepchelp134.azurewebsites.net</t>
  </si>
  <si>
    <t>5f6246956f9ba</t>
  </si>
  <si>
    <t>https://freepchelp134.azurewebsites.net/TxHTvPq9EFWfwjb/</t>
  </si>
  <si>
    <t>freepchelp09.azurewebsites.net</t>
  </si>
  <si>
    <t>5f61c61533e5c</t>
  </si>
  <si>
    <t>https://freepchelp09.azurewebsites.net/ERDDrHjVfKbFJbQ/</t>
  </si>
  <si>
    <t>freepchelp17.azurewebsites.net</t>
  </si>
  <si>
    <t>5f61c5f721897</t>
  </si>
  <si>
    <t>https://freepchelp17.azurewebsites.net/ERDDrHjVfKbFJbQ/</t>
  </si>
  <si>
    <t>freepchelp27.azurewebsites.net</t>
  </si>
  <si>
    <t>5f61c5d9baeeb</t>
  </si>
  <si>
    <t>https://freepchelp27.azurewebsites.net/ERDDrHjVfKbFJbQ/</t>
  </si>
  <si>
    <t>freepchelp39.azurewebsites.net</t>
  </si>
  <si>
    <t>5f61c5b7dd649</t>
  </si>
  <si>
    <t>https://freepchelp39.azurewebsites.net/ERDDrHjVfKbFJbQ/</t>
  </si>
  <si>
    <t>freepchelp46.azurewebsites.net</t>
  </si>
  <si>
    <t>5f61c5ac54d71</t>
  </si>
  <si>
    <t>https://freepchelp46.azurewebsites.net/ERDDrHjVfKbFJbQ/</t>
  </si>
  <si>
    <t>freepchelp69.azurewebsites.net</t>
  </si>
  <si>
    <t>5f61c56e7fa3b</t>
  </si>
  <si>
    <t>https://freepchelp69.azurewebsites.net/ERDDrHjVfKbFJbQ/</t>
  </si>
  <si>
    <t>5f61c547c03e9</t>
  </si>
  <si>
    <t>https://freepchelp77.azurewebsites.net/ERDDrHjVfKbFJbQ/</t>
  </si>
  <si>
    <t>freepchelponline09.azurewebsites.net</t>
  </si>
  <si>
    <t>5f60f969cf204</t>
  </si>
  <si>
    <t>https://freepchelponline09.azurewebsites.net/ERDDrHjVfKbFJbQ/</t>
  </si>
  <si>
    <t>pconlinehelp166.azurewebsites.net</t>
  </si>
  <si>
    <t>5f60e704568d3</t>
  </si>
  <si>
    <t>https://pconlinehelp166.azurewebsites.net/ERDDrHjVfKbFJbQ/</t>
  </si>
  <si>
    <t>pconlinehelp179.azurewebsites.net</t>
  </si>
  <si>
    <t>5f60e6b84b9aa</t>
  </si>
  <si>
    <t>https://pconlinehelp179.azurewebsites.net/ERDDrHjVfKbFJbQ/</t>
  </si>
  <si>
    <t>pconlinehelp109.azurewebsites.net</t>
  </si>
  <si>
    <t>5f607988b246f</t>
  </si>
  <si>
    <t>https://pconlinehelp109.azurewebsites.net/ERDDrHjVfKbFJbQ/</t>
  </si>
  <si>
    <t>pconlinehelp129.azurewebsites.net</t>
  </si>
  <si>
    <t>5f60795451895</t>
  </si>
  <si>
    <t>https://pconlinehelp129.azurewebsites.net/ERDDrHjVfKbFJbQ/</t>
  </si>
  <si>
    <t>pconlinehelp149.azurewebsites.net</t>
  </si>
  <si>
    <t>5f60792e835af</t>
  </si>
  <si>
    <t>https://pconlinehelp149.azurewebsites.net/ERDDrHjVfKbFJbQ/</t>
  </si>
  <si>
    <t>pconlinehelp119.azurewebsites.net</t>
  </si>
  <si>
    <t>5f60792b6bb17</t>
  </si>
  <si>
    <t>https://pconlinehelp119.azurewebsites.net/ERDDrHjVfKbFJbQ/</t>
  </si>
  <si>
    <t>pconlinehelp29.azurewebsites.net</t>
  </si>
  <si>
    <t>5f5f9e96aad83</t>
  </si>
  <si>
    <t>https://pconlinehelp29.azurewebsites.net/ERDDrHjVfKbFJbQ/</t>
  </si>
  <si>
    <t>pconlinehelp08.azurewebsites.net</t>
  </si>
  <si>
    <t>5f5f9bf2b199a</t>
  </si>
  <si>
    <t>https://pconlinehelp08.azurewebsites.net/ERDDrHjVfKbFJbQ/</t>
  </si>
  <si>
    <t>pconlinehelp79.azurewebsites.net</t>
  </si>
  <si>
    <t>5f5fd3f63240a</t>
  </si>
  <si>
    <t>https://pconlinehelp79.azurewebsites.net/ERDDrHjVfKbFJbQ/</t>
  </si>
  <si>
    <t>pchelpdesk56.azurewebsites.net</t>
  </si>
  <si>
    <t>5f5a590dc4d74</t>
  </si>
  <si>
    <t>https://pchelpdesk56.azurewebsites.net/garretttanners7d/</t>
  </si>
  <si>
    <t>pchelpdesk37.azurewebsites.net</t>
  </si>
  <si>
    <t>5f5a5891833b2</t>
  </si>
  <si>
    <t>https://pchelpdesk37.azurewebsites.net/garretttanners7d/</t>
  </si>
  <si>
    <t>pchelpdesk29.azurewebsites.net</t>
  </si>
  <si>
    <t>5f5a585c90b78</t>
  </si>
  <si>
    <t>https://pchelpdesk29.azurewebsites.net/garretttanners7d/</t>
  </si>
  <si>
    <t>pchelpdesk17.azurewebsites.net</t>
  </si>
  <si>
    <t>5f5a580ca4365</t>
  </si>
  <si>
    <t>https://pchelpdesk17.azurewebsites.net/garretttanners7d/</t>
  </si>
  <si>
    <t>pchelpdesk09.azurewebsites.net</t>
  </si>
  <si>
    <t>5f5a57d072f40</t>
  </si>
  <si>
    <t>https://pchelpdesk09.azurewebsites.net/garretttanners7d/</t>
  </si>
  <si>
    <t>pchelpservices49.azurewebsites.net</t>
  </si>
  <si>
    <t>5f59176421764</t>
  </si>
  <si>
    <t>https://pchelpservices49.azurewebsites.net/dawsonwhlerS7v/</t>
  </si>
  <si>
    <t>pchelpservices108.azurewebsites.net</t>
  </si>
  <si>
    <t>5f59171450bdd</t>
  </si>
  <si>
    <t>https://pchelpservices108.azurewebsites.net/dawsonwhlerS7v/</t>
  </si>
  <si>
    <t>pchelpservices89.azurewebsites.net</t>
  </si>
  <si>
    <t>5f5916cd9b95a</t>
  </si>
  <si>
    <t>https://pchelpservices89.azurewebsites.net/dawsonwhlerS7v/</t>
  </si>
  <si>
    <t>pchelpservices77.azurewebsites.net</t>
  </si>
  <si>
    <t>5f5916a3613e6</t>
  </si>
  <si>
    <t>https://pchelpservices77.azurewebsites.net/dawsonwhlerS7v/</t>
  </si>
  <si>
    <t>pchelpservices97.azurewebsites.net</t>
  </si>
  <si>
    <t>5f590f3a5aea0</t>
  </si>
  <si>
    <t>https://pchelpservices97.azurewebsites.net/garretttanners7d/</t>
  </si>
  <si>
    <t>pchelpservices57.azurewebsites.net</t>
  </si>
  <si>
    <t>5f590d45b0ac3</t>
  </si>
  <si>
    <t>https://pchelpservices57.azurewebsites.net/dawsonwhlerS7v/</t>
  </si>
  <si>
    <t>pchelpservices30.azurewebsites.net</t>
  </si>
  <si>
    <t>5f57ec8a7ca2a</t>
  </si>
  <si>
    <t>https://pchelpservices30.azurewebsites.net/avfFeTpfJfSPuPx/</t>
  </si>
  <si>
    <t>pchelpservices09.azurewebsites.net</t>
  </si>
  <si>
    <t>5f57e2bc2a74c</t>
  </si>
  <si>
    <t>https://pchelpservices09.azurewebsites.net/avfFeTpfJfSPuPx/</t>
  </si>
  <si>
    <t>callnow88.azurewebsites.net</t>
  </si>
  <si>
    <t>5f5288b434179</t>
  </si>
  <si>
    <t>http://callnow88.azurewebsites.net/cado/</t>
  </si>
  <si>
    <t>callnow48.azurewebsites.net</t>
  </si>
  <si>
    <t>5f52868f52830</t>
  </si>
  <si>
    <t>http://callnow48.azurewebsites.net/Mer-cado/</t>
  </si>
  <si>
    <t>callnow39.azurewebsites.net</t>
  </si>
  <si>
    <t>5f5286663a06a</t>
  </si>
  <si>
    <t>http://callnow39.azurewebsites.net/Mer-cado/</t>
  </si>
  <si>
    <t>customerfreesupport89.azurewebsites.net</t>
  </si>
  <si>
    <t>5f4d5b92df23d</t>
  </si>
  <si>
    <t>https://customerfreesupport89.azurewebsites.net/HNhGpB5gbMdVDyb/</t>
  </si>
  <si>
    <t>customerfreesupport70.azurewebsites.net</t>
  </si>
  <si>
    <t>5f4d5b876b50e</t>
  </si>
  <si>
    <t>https://customerfreesupport70.azurewebsites.net/HNhGpB5gbMdVDyb/</t>
  </si>
  <si>
    <t>customerfreesupport17.azurewebsites.net</t>
  </si>
  <si>
    <t>5f4d5b4142754</t>
  </si>
  <si>
    <t>https://customerfreesupport17.azurewebsites.net/HNhGpB5gbMdVDyb/</t>
  </si>
  <si>
    <t>customerfreesupport29.azurewebsites.net</t>
  </si>
  <si>
    <t>5f4d5b21ed5bb</t>
  </si>
  <si>
    <t>https://customerfreesupport29.azurewebsites.net/HNhGpB5gbMdVDyb/</t>
  </si>
  <si>
    <t>freesupport98.azurewebsites.net</t>
  </si>
  <si>
    <t>5f4c0e28a4a47</t>
  </si>
  <si>
    <t>http://freesupport98.azurewebsites.net/gHBW7zFVGjwcrjr/</t>
  </si>
  <si>
    <t>freesupport68.azurewebsites.net</t>
  </si>
  <si>
    <t>5f4c0d966b44f</t>
  </si>
  <si>
    <t>http://freesupport68.azurewebsites.net/gHBW7zFVGjwcrjr/</t>
  </si>
  <si>
    <t>freesupport60.azurewebsites.net</t>
  </si>
  <si>
    <t>5f4c0d7189cd3</t>
  </si>
  <si>
    <t>http://freesupport60.azurewebsites.net/gHBW7zFVGjwcrjr/</t>
  </si>
  <si>
    <t>freesupport30.azurewebsites.net</t>
  </si>
  <si>
    <t>5f4c0ce46e245</t>
  </si>
  <si>
    <t>http://freesupport30.azurewebsites.net/gHBW7zFVGjwcrjr/</t>
  </si>
  <si>
    <t>callnow-free138.azurewebsites.net</t>
  </si>
  <si>
    <t>5f4c0986a898b</t>
  </si>
  <si>
    <t>http://callnow-free138.azurewebsites.net/S9M5QFaca7VkHSt/</t>
  </si>
  <si>
    <t>callnow-free130.azurewebsites.net</t>
  </si>
  <si>
    <t>5f4c0962032ae</t>
  </si>
  <si>
    <t>http://callnow-free130.azurewebsites.net/S9M5QFaca7VkHSt/</t>
  </si>
  <si>
    <t>callnow-free98.azurewebsites.net</t>
  </si>
  <si>
    <t>5f4c08cd02a59</t>
  </si>
  <si>
    <t>http://callnow-free98.azurewebsites.net/S9M5QFaca7VkHSt/</t>
  </si>
  <si>
    <t>callnow-free70.azurewebsites.net</t>
  </si>
  <si>
    <t>5f4ae4a994d15</t>
  </si>
  <si>
    <t>http://callnow-free70.azurewebsites.net/S9M5QFaca7VkHSt/</t>
  </si>
  <si>
    <t>freesupportservice159.azurewebsites.net</t>
  </si>
  <si>
    <t>5f4ad9583e660</t>
  </si>
  <si>
    <t>http://freesupportservice159.azurewebsites.net/vcCsfdvjFg4P5tp/</t>
  </si>
  <si>
    <t>freesupportservice127.azurewebsites.net</t>
  </si>
  <si>
    <t>5f4ad8e10e42e</t>
  </si>
  <si>
    <t>http://freesupportservice127.azurewebsites.net/vcCsfdvjFg4P5tp/</t>
  </si>
  <si>
    <t>freecallcaresupport67.azurewebsites.net</t>
  </si>
  <si>
    <t>5f4aa36a7ff9b</t>
  </si>
  <si>
    <t>http://freecallcaresupport67.azurewebsites.net/vTUPHmw6mhDcMgT/</t>
  </si>
  <si>
    <t>freecallcaresupport58.azurewebsites.net</t>
  </si>
  <si>
    <t>5f4aa33d95eff</t>
  </si>
  <si>
    <t>http://freecallcaresupport58.azurewebsites.net/vTUPHmw6mhDcMgT/</t>
  </si>
  <si>
    <t>freecallcaresupport49.azurewebsites.net</t>
  </si>
  <si>
    <t>5f4aa31b4dff2</t>
  </si>
  <si>
    <t>http://freecallcaresupport49.azurewebsites.net/vTUPHmw6mhDcMgT/</t>
  </si>
  <si>
    <t>freecallcaresupport37.azurewebsites.net</t>
  </si>
  <si>
    <t>5f4aa2e595356</t>
  </si>
  <si>
    <t>http://freecallcaresupport37.azurewebsites.net/vTUPHmw6mhDcMgT/</t>
  </si>
  <si>
    <t>freecallcaresupport29.azurewebsites.net</t>
  </si>
  <si>
    <t>5f4aa2c2800a0</t>
  </si>
  <si>
    <t>http://freecallcaresupport29.azurewebsites.net/vTUPHmw6mhDcMgT/</t>
  </si>
  <si>
    <t>freecallcaresupport17.azurewebsites.net</t>
  </si>
  <si>
    <t>5f4aa2887db41</t>
  </si>
  <si>
    <t>http://freecallcaresupport17.azurewebsites.net/vTUPHmw6mhDcMgT/</t>
  </si>
  <si>
    <t>freecallcaresupport09.azurewebsites.net</t>
  </si>
  <si>
    <t>5f4aa25555eae</t>
  </si>
  <si>
    <t>http://freecallcaresupport09.azurewebsites.net/vTUPHmw6mhDcMgT/</t>
  </si>
  <si>
    <t>customercaresupport79.azurewebsites.net</t>
  </si>
  <si>
    <t>5f49cd3110a2a</t>
  </si>
  <si>
    <t>http://customercaresupport79.azurewebsites.net/BdvJMsVsaH3HMNC/</t>
  </si>
  <si>
    <t>getfreesupport140.azurewebsites.net</t>
  </si>
  <si>
    <t>5f49761513afe</t>
  </si>
  <si>
    <t>http://getfreesupport140.azurewebsites.net/gHBW7zFVGjwcrjr/</t>
  </si>
  <si>
    <t>getfreesupport130.azurewebsites.net</t>
  </si>
  <si>
    <t>5f4975e3a1e63</t>
  </si>
  <si>
    <t>http://getfreesupport130.azurewebsites.net/gHBW7zFVGjwcrjr/</t>
  </si>
  <si>
    <t>freemaintenance118.azurewebsites.net</t>
  </si>
  <si>
    <t>5f495ef4b37fe</t>
  </si>
  <si>
    <t>http://freemaintenance118.azurewebsites.net/q5gCvYnz6kzKvgY/</t>
  </si>
  <si>
    <t>services10.azurewebsites.net</t>
  </si>
  <si>
    <t>5f4959161a212</t>
  </si>
  <si>
    <t>http://services10.azurewebsites.net/pb613cadhekan/</t>
  </si>
  <si>
    <t>carefreesupport07.azurewebsites.net</t>
  </si>
  <si>
    <t>5f4800eb2d6fa</t>
  </si>
  <si>
    <t>http://carefreesupport07.azurewebsites.net/vcCsfdvjFg4P5tp/index.html</t>
  </si>
  <si>
    <t>getfreesupport188.azurewebsites.net</t>
  </si>
  <si>
    <t>5f47d514b143a</t>
  </si>
  <si>
    <t>http://getfreesupport188.azurewebsites.net/atEdYhpx5ykF2Ru/</t>
  </si>
  <si>
    <t>getfreesupport10.azurewebsites.net</t>
  </si>
  <si>
    <t>5f47a5ddd368c</t>
  </si>
  <si>
    <t>http://getfreesupport10.azurewebsites.net/Zcv6znVbFKDkXCy/</t>
  </si>
  <si>
    <t>computer27.azurewebsites.net</t>
  </si>
  <si>
    <t>5f47a26a63326</t>
  </si>
  <si>
    <t>http://computer27.azurewebsites.net/Kristy-Cortez/</t>
  </si>
  <si>
    <t>computer70.azurewebsites.net</t>
  </si>
  <si>
    <t>5f47a05996f4d</t>
  </si>
  <si>
    <t>http://computer70.azurewebsites.net/Belle-Plaine/</t>
  </si>
  <si>
    <t>computer58.azurewebsites.net</t>
  </si>
  <si>
    <t>5f479ffeb3e78</t>
  </si>
  <si>
    <t>http://computer58.azurewebsites.net/Belle-Plaine/</t>
  </si>
  <si>
    <t>computer48.azurewebsites.net</t>
  </si>
  <si>
    <t>5f479fc6e47fc</t>
  </si>
  <si>
    <t>http://computer48.azurewebsites.net/Belle-Plaine/</t>
  </si>
  <si>
    <t>computer39.azurewebsites.net</t>
  </si>
  <si>
    <t>5f479f952b3da</t>
  </si>
  <si>
    <t>http://computer39.azurewebsites.net/Belle-Plaine/</t>
  </si>
  <si>
    <t>checkup88.azurewebsites.net</t>
  </si>
  <si>
    <t>5f4479fab07b0</t>
  </si>
  <si>
    <t>http://checkup88.azurewebsites.net/Kristy-Cortez/</t>
  </si>
  <si>
    <t>checkup80.azurewebsites.net</t>
  </si>
  <si>
    <t>5f4479b62549f</t>
  </si>
  <si>
    <t>http://checkup80.azurewebsites.net/Kristy-Cortez/</t>
  </si>
  <si>
    <t>checkup50.azurewebsites.net</t>
  </si>
  <si>
    <t>5f44784c3ffdb</t>
  </si>
  <si>
    <t>http://checkup50.azurewebsites.net/Kristy-Cortez/</t>
  </si>
  <si>
    <t>getfreesupport96.azurewebsites.net</t>
  </si>
  <si>
    <t>5f44520be8193</t>
  </si>
  <si>
    <t>https://getfreesupport96.azurewebsites.net/atEdYhpx5ykF2Ru/</t>
  </si>
  <si>
    <t>getfreesupport90.azurewebsites.net</t>
  </si>
  <si>
    <t>5f4451b928240</t>
  </si>
  <si>
    <t>https://getfreesupport90.azurewebsites.net/atEdYhpx5ykF2Ru/</t>
  </si>
  <si>
    <t>getfreesupport68.azurewebsites.net</t>
  </si>
  <si>
    <t>5f4450c6c7017</t>
  </si>
  <si>
    <t>https://getfreesupport68.azurewebsites.net/atEdYhpx5ykF2Ru/</t>
  </si>
  <si>
    <t>getfreesupport60.azurewebsites.net</t>
  </si>
  <si>
    <t>5f44507428988</t>
  </si>
  <si>
    <t>https://getfreesupport60.azurewebsites.net/atEdYhpx5ykF2Ru/</t>
  </si>
  <si>
    <t>callnow-free60.azurewebsites.net</t>
  </si>
  <si>
    <t>5f444c7edcc4e</t>
  </si>
  <si>
    <t>https://callnow-free60.azurewebsites.net/Cortez/</t>
  </si>
  <si>
    <t>freesupportservice09.azurewebsites.net</t>
  </si>
  <si>
    <t>5f44435c61d6c</t>
  </si>
  <si>
    <t>https://freesupportservice09.azurewebsites.net/8sx3ztC96XSvHKs/</t>
  </si>
  <si>
    <t>freesupportservice29.azurewebsites.net</t>
  </si>
  <si>
    <t>5f444261804a7</t>
  </si>
  <si>
    <t>https://freesupportservice29.azurewebsites.net/8sx3ztC96XSvHKs/</t>
  </si>
  <si>
    <t>freesupportservice39.azurewebsites.net</t>
  </si>
  <si>
    <t>5f4441eeafa36</t>
  </si>
  <si>
    <t>https://freesupportservice39.azurewebsites.net/8sx3ztC96XSvHKs/</t>
  </si>
  <si>
    <t>freesupportservice79.azurewebsites.net</t>
  </si>
  <si>
    <t>5f443f4b42885</t>
  </si>
  <si>
    <t>https://freesupportservice79.azurewebsites.net/8sx3ztC96XSvHKs/</t>
  </si>
  <si>
    <t>freesupportservice69.azurewebsites.net</t>
  </si>
  <si>
    <t>5f443e9401b16</t>
  </si>
  <si>
    <t>https://freesupportservice69.azurewebsites.net/8sx3ztC96XSvHKs/</t>
  </si>
  <si>
    <t>computer90.azurewebsites.net</t>
  </si>
  <si>
    <t>5f30d7b79aff7</t>
  </si>
  <si>
    <t>http://computer90.azurewebsites.net/Belle-Plaine</t>
  </si>
  <si>
    <t>computer108.azurewebsites.net</t>
  </si>
  <si>
    <t>5f30d7577a9db</t>
  </si>
  <si>
    <t>http://computer108.azurewebsites.net/Belle-Plaine</t>
  </si>
  <si>
    <t>computer20.azurewebsites.net</t>
  </si>
  <si>
    <t>5f30d4247b9ad</t>
  </si>
  <si>
    <t>http://computer20.azurewebsites.net/Kristy-Cortez/</t>
  </si>
  <si>
    <t>callnow-free38.azurewebsites.net</t>
  </si>
  <si>
    <t>5f30d285681ce</t>
  </si>
  <si>
    <t>http://callnow-free38.azurewebsites.net/Cortez/</t>
  </si>
  <si>
    <t>freecheckup30.azurewebsites.net</t>
  </si>
  <si>
    <t>5f282d267c6b6</t>
  </si>
  <si>
    <t>http://freecheckup30.azurewebsites.net/Staci-Walsh/</t>
  </si>
  <si>
    <t>computercheckup09.azurewebsites.net</t>
  </si>
  <si>
    <t>5f26d1e8bf519</t>
  </si>
  <si>
    <t>http://computercheckup09.azurewebsites.net/Staci-Walsh/</t>
  </si>
  <si>
    <t>freecheckup10.azurewebsites.net</t>
  </si>
  <si>
    <t>5f26cf6fa110c</t>
  </si>
  <si>
    <t>http://freecheckup10.azurewebsites.net/Staci-Walsh/</t>
  </si>
  <si>
    <t>werror27.azurewebsites.net</t>
  </si>
  <si>
    <t>5f1b44fa8e221</t>
  </si>
  <si>
    <t>http://werror27.azurewebsites.net/Ernst-Place/</t>
  </si>
  <si>
    <t>berror01.azurewebsites.net</t>
  </si>
  <si>
    <t>5f17e8709c883</t>
  </si>
  <si>
    <t>http://berror01.azurewebsites.net/Clair-Avenue/</t>
  </si>
  <si>
    <t>gvygybrgfbhvds742.azurewebsites.net</t>
  </si>
  <si>
    <t>5ef82659919a8</t>
  </si>
  <si>
    <t>http://gvygybrgfbhvds742.azurewebsites.net/n62/fi03</t>
  </si>
  <si>
    <t>08bbv4systemwarning.azurewebsites.net</t>
  </si>
  <si>
    <t>5ecd596b05ab5</t>
  </si>
  <si>
    <t>https://08bbv4systemwarning.azurewebsites.net/Ch22tr34/</t>
  </si>
  <si>
    <t>dahizalilh.xyz</t>
  </si>
  <si>
    <t>104.27.173.106</t>
  </si>
  <si>
    <t>5ecd59e4bb89d</t>
  </si>
  <si>
    <t>https://dahizalilh.xyz/11Ch_get_help10018JP/</t>
  </si>
  <si>
    <t>AS24940</t>
  </si>
  <si>
    <t>Falkenstein</t>
  </si>
  <si>
    <t>firstsaites-marvelpig.xyz</t>
  </si>
  <si>
    <t>Hetzner Online GmbH</t>
  </si>
  <si>
    <t>195.201.179.80</t>
  </si>
  <si>
    <t>HetznerOnlineGmbH</t>
  </si>
  <si>
    <t>5ecd5a1add0af</t>
  </si>
  <si>
    <t>http://firstsaites-marvelpig.xyz/AMsdsdsXsdfsdfvfX/</t>
  </si>
  <si>
    <t>AS16509</t>
  </si>
  <si>
    <t>Dublin</t>
  </si>
  <si>
    <t>3.22.190.130</t>
  </si>
  <si>
    <t>Amazon.com, Inc.</t>
  </si>
  <si>
    <t>Amazon.com,Inc.</t>
  </si>
  <si>
    <t>5ecd6ae0e6ee6</t>
  </si>
  <si>
    <t>http://3.22.190.130/Ed10010110xyRW/</t>
  </si>
  <si>
    <t>circumstantiating.club</t>
  </si>
  <si>
    <t>51.158.107.235</t>
  </si>
  <si>
    <t>5f1358952e07b</t>
  </si>
  <si>
    <t>http://circumstantiating.club/m/</t>
  </si>
  <si>
    <t>5f1353aa642bd</t>
  </si>
  <si>
    <t>http://circumstantiating.club/ch/</t>
  </si>
  <si>
    <t>electroextraction.club</t>
  </si>
  <si>
    <t>5f1339345b3d2</t>
  </si>
  <si>
    <t>http://electroextraction.club/ch</t>
  </si>
  <si>
    <t>5f13358fec1ad</t>
  </si>
  <si>
    <t>http://electroextraction.club/r/Ed10010110xyJP/</t>
  </si>
  <si>
    <t>republicanzation.xyz</t>
  </si>
  <si>
    <t>5f0606c2d9065</t>
  </si>
  <si>
    <t>http://republicanzation.xyz/t/</t>
  </si>
  <si>
    <t>nonecclesistical.site</t>
  </si>
  <si>
    <t>5f0601e3dbeb8</t>
  </si>
  <si>
    <t>http://nonecclesistical.site/t/</t>
  </si>
  <si>
    <t>presystematically.site</t>
  </si>
  <si>
    <t>5ececd658268f</t>
  </si>
  <si>
    <t>http://presystematically.site/p/XED188188181RF/</t>
  </si>
  <si>
    <t>revolutionarines.site</t>
  </si>
  <si>
    <t>5ecd6e3f3e8f9</t>
  </si>
  <si>
    <t>http://revolutionarines.site/ch/</t>
  </si>
  <si>
    <t>Toronto</t>
  </si>
  <si>
    <t>64tinyasdc.azurewebsites.net</t>
  </si>
  <si>
    <t>52.237.22.139</t>
  </si>
  <si>
    <t>60d370fac3471</t>
  </si>
  <si>
    <t>https://64tinyasdc.azurewebsites.net/W088MSi08880Moit0yCED0008Mhi0/index.html</t>
  </si>
  <si>
    <t>Canada</t>
  </si>
  <si>
    <t>39tinyasdw.azurewebsites.net</t>
  </si>
  <si>
    <t>60d3619dee715</t>
  </si>
  <si>
    <t>https://39tinyasdw.azurewebsites.net/W088MSi08880Moit0yCED0008Mhi0/index.html</t>
  </si>
  <si>
    <t>31threptqqwsa.azurewebsites.net</t>
  </si>
  <si>
    <t>60d35dce779cd</t>
  </si>
  <si>
    <t>https://31threptqqwsa.azurewebsites.net/W088MSi08880Moit0yCED0008Mhi0/index.html</t>
  </si>
  <si>
    <t>04getsupportnmjk.azurewebsites.net</t>
  </si>
  <si>
    <t>6036a31c46051</t>
  </si>
  <si>
    <t>https://04getsupportnmjk.azurewebsites.net/bEEMIN00101CH00YY1888/</t>
  </si>
  <si>
    <t>12helpandsupportxcre.azurewebsites.net</t>
  </si>
  <si>
    <t>602feae3a1666</t>
  </si>
  <si>
    <t>https://12helpandsupportxcre.azurewebsites.net/bEEMIN00101CH00YY1888/</t>
  </si>
  <si>
    <t>16helpandsupportcfrt.azurewebsites.net</t>
  </si>
  <si>
    <t>602e98783121e</t>
  </si>
  <si>
    <t>https://16helpandsupportcfrt.azurewebsites.net/bEEMIN00101ED00YY1888/</t>
  </si>
  <si>
    <t>19-geek-support.azurewebsites.net</t>
  </si>
  <si>
    <t>5fd7aa3150df0</t>
  </si>
  <si>
    <t>http://19-geek-support.azurewebsites.net/Wind0HelEDGSyS06016552664/</t>
  </si>
  <si>
    <t>freecomputerhelp46.azurewebsites.net</t>
  </si>
  <si>
    <t>5f699f301e260</t>
  </si>
  <si>
    <t>https://freecomputerhelp46.azurewebsites.net/R7tcvkAFdAwS4B4</t>
  </si>
  <si>
    <t>freecomputerhelp65.azurewebsites.net</t>
  </si>
  <si>
    <t>5f699efdc284f</t>
  </si>
  <si>
    <t>https://freecomputerhelp65.azurewebsites.net/R7tcvkAFdAwS4B4</t>
  </si>
  <si>
    <t>freecomputerhelp115.azurewebsites.net</t>
  </si>
  <si>
    <t>5f699df9f1df5</t>
  </si>
  <si>
    <t>https://freecomputerhelp115.azurewebsites.net/R7tcvkAFdAwS4B4</t>
  </si>
  <si>
    <t>freepchelp05.azurewebsites.net</t>
  </si>
  <si>
    <t>5f61c619ee2c3</t>
  </si>
  <si>
    <t>https://freepchelp05.azurewebsites.net/ERDDrHjVfKbFJbQ/</t>
  </si>
  <si>
    <t>5f61c5b3e58e1</t>
  </si>
  <si>
    <t>https://freepchelp40.azurewebsites.net/ERDDrHjVfKbFJbQ/</t>
  </si>
  <si>
    <t>freepchelp54.azurewebsites.net</t>
  </si>
  <si>
    <t>5f61c5966bb26</t>
  </si>
  <si>
    <t>https://freepchelp54.azurewebsites.net/ERDDrHjVfKbFJbQ/</t>
  </si>
  <si>
    <t>pconlinehelp175.azurewebsites.net</t>
  </si>
  <si>
    <t>5f60e73e93666</t>
  </si>
  <si>
    <t>https://pconlinehelp175.azurewebsites.net/ERDDrHjVfKbFJbQ/</t>
  </si>
  <si>
    <t>pconlinehelp105.azurewebsites.net</t>
  </si>
  <si>
    <t>5f60798ced99b</t>
  </si>
  <si>
    <t>https://pconlinehelp105.azurewebsites.net/ERDDrHjVfKbFJbQ/</t>
  </si>
  <si>
    <t>pconlinehelp115.azurewebsites.net</t>
  </si>
  <si>
    <t>5f60797fadc20</t>
  </si>
  <si>
    <t>https://pconlinehelp115.azurewebsites.net/ERDDrHjVfKbFJbQ/</t>
  </si>
  <si>
    <t>pconlinehelp125.azurewebsites.net</t>
  </si>
  <si>
    <t>5f607959972ac</t>
  </si>
  <si>
    <t>https://pconlinehelp125.azurewebsites.net/ERDDrHjVfKbFJbQ/</t>
  </si>
  <si>
    <t>pconlinehelp145.azurewebsites.net</t>
  </si>
  <si>
    <t>5f607933a2e82</t>
  </si>
  <si>
    <t>https://pconlinehelp145.azurewebsites.net/ERDDrHjVfKbFJbQ/</t>
  </si>
  <si>
    <t>pconlinehelp155.azurewebsites.net</t>
  </si>
  <si>
    <t>5f6079233ab75</t>
  </si>
  <si>
    <t>https://pconlinehelp155.azurewebsites.net/ERDDrHjVfKbFJbQ/</t>
  </si>
  <si>
    <t>pconlinehelp25.azurewebsites.net</t>
  </si>
  <si>
    <t>5f5f9ca8c05f3</t>
  </si>
  <si>
    <t>https://pconlinehelp25.azurewebsites.net/ERDDrHjVfKbFJbQ/</t>
  </si>
  <si>
    <t>pconlinehelp04.azurewebsites.net</t>
  </si>
  <si>
    <t>5f5f9bfc8bdae</t>
  </si>
  <si>
    <t>https://pconlinehelp04.azurewebsites.net/ERDDrHjVfKbFJbQ/</t>
  </si>
  <si>
    <t>pchelpdesk75.azurewebsites.net</t>
  </si>
  <si>
    <t>5f5a5c7bc3562</t>
  </si>
  <si>
    <t>https://pchelpdesk75.azurewebsites.net/garretttanners7d/</t>
  </si>
  <si>
    <t>pchelpdesk25.azurewebsites.net</t>
  </si>
  <si>
    <t>5f5a5842d97d7</t>
  </si>
  <si>
    <t>https://pchelpdesk25.azurewebsites.net/garretttanners7d/</t>
  </si>
  <si>
    <t>pchelpdesk05.azurewebsites.net</t>
  </si>
  <si>
    <t>5f5a57b9ebf5f</t>
  </si>
  <si>
    <t>https://pchelpdesk05.azurewebsites.net/garretttanners7d/</t>
  </si>
  <si>
    <t>pchelpservices155.azurewebsites.net</t>
  </si>
  <si>
    <t>5f5931cd10840</t>
  </si>
  <si>
    <t>https://pchelpservices155.azurewebsites.net/dawsonwhlerS7v/</t>
  </si>
  <si>
    <t>pchelpservices85.azurewebsites.net</t>
  </si>
  <si>
    <t>5f5916c06947d</t>
  </si>
  <si>
    <t>https://pchelpservices85.azurewebsites.net/dawsonwhlerS7v/</t>
  </si>
  <si>
    <t>terror69.azurewebsites.net</t>
  </si>
  <si>
    <t>5f14719b1a6ef</t>
  </si>
  <si>
    <t>http://terror69.azurewebsites.net/Amado-AZ/</t>
  </si>
  <si>
    <t>25bbv4systemwarning.azurewebsites.net</t>
  </si>
  <si>
    <t>5ecd906ac1302</t>
  </si>
  <si>
    <t>https://25bbv4systemwarning.azurewebsites.net/Ch22tr34/</t>
  </si>
  <si>
    <t>AS20473</t>
  </si>
  <si>
    <t>Brooklyn</t>
  </si>
  <si>
    <t>108.61.89.107</t>
  </si>
  <si>
    <t>Choopa</t>
  </si>
  <si>
    <t>TheConstantCompany,LLC</t>
  </si>
  <si>
    <t>5ececb98b4d08</t>
  </si>
  <si>
    <t>http://108.61.89.107/x00EdsjsjhsOkhkasdVX07/</t>
  </si>
  <si>
    <t>gardenservices14.azurewebsites.net</t>
  </si>
  <si>
    <t>40.122.114.229</t>
  </si>
  <si>
    <t>5f77658db8bc6</t>
  </si>
  <si>
    <t>http://gardenservices14.azurewebsites.net/welcome/ED100101010XC/</t>
  </si>
  <si>
    <t>pconlinehelp116.azurewebsites.net</t>
  </si>
  <si>
    <t>5f60797ec7003</t>
  </si>
  <si>
    <t>https://pconlinehelp116.azurewebsites.net/ERDDrHjVfKbFJbQ/</t>
  </si>
  <si>
    <t>cleaningservices10.azurewebsites.net</t>
  </si>
  <si>
    <t>5f5bc48642a14</t>
  </si>
  <si>
    <t>http://cleaningservices10.azurewebsites.net/customer/call-us.html</t>
  </si>
  <si>
    <t>customerportal3.azurewebsites.net</t>
  </si>
  <si>
    <t>5f5bbeb86eb79</t>
  </si>
  <si>
    <t>http://customerportal3.azurewebsites.net/customer/call-us.html</t>
  </si>
  <si>
    <t>securecustomersservices25.azurewebsites.net</t>
  </si>
  <si>
    <t>5f5a58b431c07</t>
  </si>
  <si>
    <t>https://securecustomersservices25.azurewebsites.net/call-us.html</t>
  </si>
  <si>
    <t>pchelpdesk06.azurewebsites.net</t>
  </si>
  <si>
    <t>5f5a57bdd0dd2</t>
  </si>
  <si>
    <t>https://pchelpdesk06.azurewebsites.net/garretttanners7d/</t>
  </si>
  <si>
    <t>pchelpservices116.azurewebsites.net</t>
  </si>
  <si>
    <t>5f591c11f3264</t>
  </si>
  <si>
    <t>https://pchelpservices116.azurewebsites.net/garretttanners7d/</t>
  </si>
  <si>
    <t>callnow77.azurewebsites.net</t>
  </si>
  <si>
    <t>5f528718ed159</t>
  </si>
  <si>
    <t>http://callnow77.azurewebsites.net/Mer-cado/</t>
  </si>
  <si>
    <t>lakdodmdcjsdvkdvsmm.azurewebsites.net</t>
  </si>
  <si>
    <t>5f4d5e367b92a</t>
  </si>
  <si>
    <t>http://lakdodmdcjsdvkdvsmm.azurewebsites.net/TChsfsdfjdsfjdsfjVX/</t>
  </si>
  <si>
    <t>hdudnduddnsmsks.azurewebsites.net</t>
  </si>
  <si>
    <t>5f4d5e1f7246a</t>
  </si>
  <si>
    <t>http://hdudnduddnsmsks.azurewebsites.net/TChsfsdfjdsfjdsfjVX/</t>
  </si>
  <si>
    <t>defdjrkjrkafndsmsk.azurewebsites.net</t>
  </si>
  <si>
    <t>5f4d5e10187d0</t>
  </si>
  <si>
    <t>http://defdjrkjrkafndsmsk.azurewebsites.net/TChsfsdfjdsfjdsfjVX/</t>
  </si>
  <si>
    <t>freesupport07.azurewebsites.net</t>
  </si>
  <si>
    <t>5f4d5ce1c7f5b</t>
  </si>
  <si>
    <t>http://freesupport07.azurewebsites.net/gHBW7zFVGjwcrjr/</t>
  </si>
  <si>
    <t>customerfreesupport50.azurewebsites.net</t>
  </si>
  <si>
    <t>5f4d5ab494ce6</t>
  </si>
  <si>
    <t>https://customerfreesupport50.azurewebsites.net/HNhGpB5gbMdVDyb/</t>
  </si>
  <si>
    <t>freesupportservice156.azurewebsites.net</t>
  </si>
  <si>
    <t>5f4ad94cedf05</t>
  </si>
  <si>
    <t>http://freesupportservice156.azurewebsites.net/vcCsfdvjFg4P5tp/</t>
  </si>
  <si>
    <t>freecallcaresupport20.azurewebsites.net</t>
  </si>
  <si>
    <t>5f4aa296ce138</t>
  </si>
  <si>
    <t>http://freecallcaresupport20.azurewebsites.net/vTUPHmw6mhDcMgT/</t>
  </si>
  <si>
    <t>customercaresupport96.azurewebsites.net</t>
  </si>
  <si>
    <t>5f4aa1dc46f89</t>
  </si>
  <si>
    <t>http://customercaresupport96.azurewebsites.net/vcCsfdvjFg4P5tp/</t>
  </si>
  <si>
    <t>freemaintenance07.azurewebsites.net</t>
  </si>
  <si>
    <t>5f48b93472f37</t>
  </si>
  <si>
    <t>http://freemaintenance07.azurewebsites.net/q5gCvYnz6kzKvgY/</t>
  </si>
  <si>
    <t>freesupportservice91.azurewebsites.net</t>
  </si>
  <si>
    <t>5f443ff848c61</t>
  </si>
  <si>
    <t>https://freesupportservice91.azurewebsites.net/8sx3ztC96XSvHKs/</t>
  </si>
  <si>
    <t>freesupportservice76.azurewebsites.net</t>
  </si>
  <si>
    <t>5f443f1ee2e13</t>
  </si>
  <si>
    <t>https://freesupportservice76.azurewebsites.net/8sx3ztC96XSvHKs/</t>
  </si>
  <si>
    <t>freesupportservice66.azurewebsites.net</t>
  </si>
  <si>
    <t>5f44057555ea3</t>
  </si>
  <si>
    <t>https://freesupportservice66.azurewebsites.net/RcqJ92dKsXnk9v9/</t>
  </si>
  <si>
    <t>hudfjmdnkdjmone.azurewebsites.net</t>
  </si>
  <si>
    <t>5f437df527eca</t>
  </si>
  <si>
    <t>http://hudfjmdnkdjmone.azurewebsites.net/TChsfsdfjdsfjdsfjVX/</t>
  </si>
  <si>
    <t>pldodklsakkdjdkjdm.azurewebsites.net</t>
  </si>
  <si>
    <t>5f437db557fdb</t>
  </si>
  <si>
    <t>http://pldodklsakkdjdkjdm.azurewebsites.net/TChsfsdfjdsfjdsfjVX/</t>
  </si>
  <si>
    <t>jfidkdsmskdsdki.azurewebsites.net</t>
  </si>
  <si>
    <t>5f437daa6242e</t>
  </si>
  <si>
    <t>http://jfidkdsmskdsdki.azurewebsites.net/TChsfsdfjdsfjdsfjVX/</t>
  </si>
  <si>
    <t>hfkfismdmksjdkdfk.azurewebsites.net</t>
  </si>
  <si>
    <t>5f437d0eb2824</t>
  </si>
  <si>
    <t>http://hfkfismdmksjdkdfk.azurewebsites.net/TChsfsdfjdsfjdsfjVX/</t>
  </si>
  <si>
    <t>froklaksmook.azurewebsites.net</t>
  </si>
  <si>
    <t>5f424baa7bacf</t>
  </si>
  <si>
    <t>http://froklaksmook.azurewebsites.net/TChsfsdfjdsfjdsfjVX/</t>
  </si>
  <si>
    <t>olinkardforshop.azurewebsites.net</t>
  </si>
  <si>
    <t>5f41970dc1994</t>
  </si>
  <si>
    <t>http://olinkardforshop.azurewebsites.net/TChsfsdfjdsfjdsfjVX/</t>
  </si>
  <si>
    <t>loopmarcedfe.azurewebsites.net</t>
  </si>
  <si>
    <t>5f41970728c12</t>
  </si>
  <si>
    <t>http://loopmarcedfe.azurewebsites.net/TChsfsdfjdsfjdsfjVX/</t>
  </si>
  <si>
    <t>kdjdimmajdidmm.azurewebsites.net</t>
  </si>
  <si>
    <t>5f4197028c524</t>
  </si>
  <si>
    <t>http://kdjdimmajdidmm.azurewebsites.net/TChsfsdfjdsfjdsfjVX/</t>
  </si>
  <si>
    <t>kidmodkkakol.azurewebsites.net</t>
  </si>
  <si>
    <t>5f4196ff27fd4</t>
  </si>
  <si>
    <t>http://kidmodkkakol.azurewebsites.net/TChsfsdfjdsfjdsfjVX/</t>
  </si>
  <si>
    <t>umikmsjalimik.azurewebsites.net</t>
  </si>
  <si>
    <t>5f417161cb504</t>
  </si>
  <si>
    <t>http://umikmsjalimik.azurewebsites.net/TChsfsdfjdsfjdsfjVX/</t>
  </si>
  <si>
    <t>monnikimsjdj.azurewebsites.net</t>
  </si>
  <si>
    <t>5f4170e0ee82d</t>
  </si>
  <si>
    <t>http://monnikimsjdj.azurewebsites.net/TChsfsdfjdsfjdsfjVX/</t>
  </si>
  <si>
    <t>romnjfhdjbookl.azurewebsites.net</t>
  </si>
  <si>
    <t>5f417073a3faa</t>
  </si>
  <si>
    <t>http://romnjfhdjbookl.azurewebsites.net/TChsfsdfjdsfjdsfjVX/</t>
  </si>
  <si>
    <t>checkup57.azurewebsites.net</t>
  </si>
  <si>
    <t>5f31878b5c8d4</t>
  </si>
  <si>
    <t>http://checkup57.azurewebsites.net/Mer-cado/</t>
  </si>
  <si>
    <t>berror04.azurewebsites.net</t>
  </si>
  <si>
    <t>5f174a425cb7b</t>
  </si>
  <si>
    <t>https://berror04.azurewebsites.net/Tucker-GA/</t>
  </si>
  <si>
    <t>micro-herdy.azurewebsites.net</t>
  </si>
  <si>
    <t>5f134175b96ed</t>
  </si>
  <si>
    <t>https://micro-herdy.azurewebsites.net/11Ch_get_help10018PH_MS/</t>
  </si>
  <si>
    <t>micronerty.azurewebsites.net</t>
  </si>
  <si>
    <t>5f10becc7a6ec</t>
  </si>
  <si>
    <t>https://micronerty.azurewebsites.net/11ED_get_help10018PH_MS/?phone=+1-800-347-5581&amp;amp;</t>
  </si>
  <si>
    <t>ports-to-refine-llp.azurewebsites.net</t>
  </si>
  <si>
    <t>5ed0197012514</t>
  </si>
  <si>
    <t>https://ports-to-refine-llp.azurewebsites.net/Winsdsgsgdsgdsewghweq/</t>
  </si>
  <si>
    <t>tcs-request-spots-llp4.azurewebsites.net</t>
  </si>
  <si>
    <t>5ececccd2a4b7</t>
  </si>
  <si>
    <t>https://tcs-request-spots-llp4.azurewebsites.net/Winsdsgsgdsgdsewghweq/</t>
  </si>
  <si>
    <t>udaemyioncorting.online</t>
  </si>
  <si>
    <t>136.243.219.41</t>
  </si>
  <si>
    <t>5ee7293490d8c</t>
  </si>
  <si>
    <t>https://udaemyioncorting.online/osgdx02-bd5613-vv5f45-45rbvx54-gfg65d46-c1v54d5-rtr4trt4d1-vcv5d56-f5f4g54f-1b48d45-45r7tr4-bv5b/ojprm-1802/chrcvxvdffff</t>
  </si>
  <si>
    <t>online</t>
  </si>
  <si>
    <t>cremotamarketon.online</t>
  </si>
  <si>
    <t>5edf293eb43c3</t>
  </si>
  <si>
    <t>https://cremotamarketon.online/yshdg01-b1vbd6-ere48r7er-cv5d4456f-cv5cv44sd5-er7e8r74d-fvc5v449-re87re74v-cv54c45d-df54d8f4d/ojprm-6988/chrcvxvdffffxvcv</t>
  </si>
  <si>
    <t>maximumvbertialpro.online</t>
  </si>
  <si>
    <t>5ede586017364</t>
  </si>
  <si>
    <t>https://maximumvbertialpro.online/hdftx01-b15f4d64-rte5e1c-fgfg56-4f5g4f5-rt8et7e4-b1cv5-re87re84-cv5c4v8d4f5-n1v54b5c-d87re4r-454xbxu5/nbpacrx01/</t>
  </si>
  <si>
    <t>tragukateinsomana.online</t>
  </si>
  <si>
    <t>5ed12b4c0f97f</t>
  </si>
  <si>
    <t>https://tragukateinsomana.online/teryx01-4gs455-ee5re4vc-vcx5v54s44d-t57e87rev4-vc5v45445-y5e4w54xc-xcf5f5d4f65ew-r4e5r45v4d-x5c54f5f/hbacrx01/</t>
  </si>
  <si>
    <t>xrcriptstanaologic.online</t>
  </si>
  <si>
    <t>5ecfbc6146a6c</t>
  </si>
  <si>
    <t>https://xrcriptstanaologic.online/ksgcty01-b1vg6556-te5t4e4g5-cgg56d4f65-rt5t4r5g5f-cxv1cx5w4e65-gf5g7r8t4-5g45f4gs56-ere5454f5d-cvc5v5sd-cv5v4d5/hbacrx</t>
  </si>
  <si>
    <t>Piscataway</t>
  </si>
  <si>
    <t>ipfirewallalertsystem.online</t>
  </si>
  <si>
    <t>207.148.21.53</t>
  </si>
  <si>
    <t>5ecff27d2784e</t>
  </si>
  <si>
    <t>https://ipfirewallalertsystem.online/028052020Nort1926dav/0OODJJ4892NFNGKL20967/?num=+1-855-956-1926</t>
  </si>
  <si>
    <t>North Bergen</t>
  </si>
  <si>
    <t>todaynotice.today</t>
  </si>
  <si>
    <t>DigitalOcean</t>
  </si>
  <si>
    <t>206.189.205.101</t>
  </si>
  <si>
    <t>5ed02278bddde</t>
  </si>
  <si>
    <t>https://todaynotice.today/service/WED18818811818help7/</t>
  </si>
  <si>
    <t>today</t>
  </si>
  <si>
    <t>Singapore</t>
  </si>
  <si>
    <t>thefirewallssecurity.xyz</t>
  </si>
  <si>
    <t>GODADDY</t>
  </si>
  <si>
    <t>182.50.132.43</t>
  </si>
  <si>
    <t>5ed015bfda59b</t>
  </si>
  <si>
    <t>http://thefirewallssecurity.xyz/c1960ps/Chsdsdswwqw2x/</t>
  </si>
  <si>
    <t>www.trfgtrfgtredrehyujikhygthnbgvfcdes.xyz</t>
  </si>
  <si>
    <t>142.4.3.120</t>
  </si>
  <si>
    <t>5f74687d4e3ed</t>
  </si>
  <si>
    <t>http://www.trfgtrfgtredrehyujikhygthnbgvfcdes.xyz/_Authenticationhvbsugewfew67vytf65vuf76uyv6ftvt/WIDUSACH_MSWinHelpERRO7659/?sou=</t>
  </si>
  <si>
    <t>cdfresedcdfresedhugeerrorsncodesfixes.xyz</t>
  </si>
  <si>
    <t>5f710c1743475</t>
  </si>
  <si>
    <t>http://cdfresedcdfresedhugeerrorsncodesfixes.xyz/_Authenticationhvbsugewfew67vytf65vuf76uyv6ftvt/WINEDERR_USAKJHUN9875GJO9HO/</t>
  </si>
  <si>
    <t>vdrftgvdrftghyujcodesbreachnfixes.xyz</t>
  </si>
  <si>
    <t>5f7092b075f72</t>
  </si>
  <si>
    <t>http://vdrftgvdrftghyujcodesbreachnfixes.xyz/_Authenticationhvbsugewfew67vytf65vuf76uyv6ftvt/WIDUSACH_MSWinHelpERRO7659/?sou=</t>
  </si>
  <si>
    <t>swcfbgmjswcfbgmjdotnetcodeserrorfixes.xyz</t>
  </si>
  <si>
    <t>5f6cae3034911</t>
  </si>
  <si>
    <t>http://swcfbgmjswcfbgmjdotnetcodeserrorfixes.xyz/_Authenticationhvbsugewfew67vytf65vuf76uyv6ftvt/WIDUSACH_MSWinHelpERRO7659/?sou=</t>
  </si>
  <si>
    <t>dgteksecuritybreachcodesnfixes.xyz</t>
  </si>
  <si>
    <t>5f6b47655ae93</t>
  </si>
  <si>
    <t>http://dgteksecuritybreachcodesnfixes.xyz/_Authenticationhvbsugewfew67vytf65vuf76uyv6ftvt/WIDUSACH_MSWinHelpERRO7659/?sou=</t>
  </si>
  <si>
    <t>ohtfrswaohtfrswadotnetcodesnfixes.xyz</t>
  </si>
  <si>
    <t>5f6a3eb316603</t>
  </si>
  <si>
    <t>http://ohtfrswaohtfrswadotnetcodesnfixes.xyz/_Authenticationhvbsugewfew67vytf65vuf76uyv6ftvt/WIDUSACH_MSWinHelpERRO7659/?sou=</t>
  </si>
  <si>
    <t>ldrftghyldrftghyphpcodesbreachnerrorfixes.xyz</t>
  </si>
  <si>
    <t>5f69e121b4121</t>
  </si>
  <si>
    <t>http://ldrftghyldrftghyphpcodesbreachnerrorfixes.xyz/_Authenticationhvbsugewfew67vytf65vuf76uyv6ftvt/WIDUSACH_MSWinHelpERRO7659/?sou=</t>
  </si>
  <si>
    <t>bjhgfcnkbjhgfcnksecuritycodesnerrorfixes.xyz</t>
  </si>
  <si>
    <t>5f68c5be75535</t>
  </si>
  <si>
    <t>https://bjhgfcnkbjhgfcnksecuritycodesnerrorfixes.xyz/_Authentication/WIDUSACH_MSWinHelpERRO7659/?sou=</t>
  </si>
  <si>
    <t>pdervcdspdervcdscodesbreachnerrorsfixes.xyz</t>
  </si>
  <si>
    <t>5f679211d1cae</t>
  </si>
  <si>
    <t>https://pdervcdspdervcdscodesbreachnerrorsfixes.xyz/yfkjewg67t6hvff653fvy67ffwt7fwgf7tuwbfgfhvfyuw/SdCH9988687jht7yuh7bj7tbytghg6ge678g78/?sou=</t>
  </si>
  <si>
    <t>5f66985281585</t>
  </si>
  <si>
    <t>http://pdervcdspdervcdscodesbreachnerrorsfixes.xyz/_Authentication/WIDUSACH_MSWinHelpERRO7659/?sou=</t>
  </si>
  <si>
    <t>hytgfredhytgfredbadcodesnbreahcesfixes.xyz</t>
  </si>
  <si>
    <t>5f65590b0541d</t>
  </si>
  <si>
    <t>http://hytgfredhytgfredbadcodesnbreahcesfixes.xyz/_Authentication/WIDUSACH_MSWinHelpERRO7659/?sou=</t>
  </si>
  <si>
    <t>gytrewsdgytrewsdcodesbreachnfixes.xyz</t>
  </si>
  <si>
    <t>5f623645b0990</t>
  </si>
  <si>
    <t>http://gytrewsdgytrewsdcodesbreachnfixes.xyz/_Authentication/WIDUSACH_MSWinHelpERRO7659/?sou=</t>
  </si>
  <si>
    <t>efiuw7fewfwefgeuykjfioewhfiuehb.xyz</t>
  </si>
  <si>
    <t>5f6166bbc22ff</t>
  </si>
  <si>
    <t>http://efiuw7fewfwefgeuykjfioewhfiuehb.xyz/_Authentication/WIDUSACH_MSWinHelpERRO7659/?sou=</t>
  </si>
  <si>
    <t>fdsagfdsaghugeerrorsncodesbreachfixes.xyz</t>
  </si>
  <si>
    <t>5f5d7be9428ce</t>
  </si>
  <si>
    <t>http://fdsagfdsaghugeerrorsncodesbreachfixes.xyz/_Authentication/WIDUSACH_MSWinHelpERRO7659/</t>
  </si>
  <si>
    <t>chdhbhghjumbreachncodeserrors.xyz</t>
  </si>
  <si>
    <t>5f5ba4cfac921</t>
  </si>
  <si>
    <t>http://chdhbhghjumbreachncodeserrors.xyz/_Authentication/WIDUSACH_MSWinHelpERRO7659/?sou=</t>
  </si>
  <si>
    <t>bbgyhujbbgyhujdotnetphperorrsnfixes.xyz</t>
  </si>
  <si>
    <t>5f5b93eb22485</t>
  </si>
  <si>
    <t>http://bbgyhujbbgyhujdotnetphperorrsnfixes.xyz/_Authentication/WIDUSACH_MSWinHelpERRO7659/?sou=</t>
  </si>
  <si>
    <t>edfcvedfcvgekkserrorsncodesfixes.xyz</t>
  </si>
  <si>
    <t>5f5e4900b9032</t>
  </si>
  <si>
    <t>http://edfcvedfcvgekkserrorsncodesfixes.xyz/_Authentication/WIDUSACH_MSWinHelpERRO7659/</t>
  </si>
  <si>
    <t>jackinbretogotfiredbymalwarencodeserrors.xyz</t>
  </si>
  <si>
    <t>5f440b64daf11</t>
  </si>
  <si>
    <t>http://jackinbretogotfiredbymalwarencodeserrors.xyz/_Authentication/WINEDERR_USAKJHUN9875GJO9HO</t>
  </si>
  <si>
    <t>anycodesnerrorsnbugfixesanytime.xyz</t>
  </si>
  <si>
    <t>5f43e5acbd136</t>
  </si>
  <si>
    <t>http://anycodesnerrorsnbugfixesanytime.xyz/_Authentication/WINEDERR_USAKJHUN9875GJO9HO</t>
  </si>
  <si>
    <t>getitdoneinstantlyandfixallbugsnerrorcodes.xyz</t>
  </si>
  <si>
    <t>5f42a7441e8e9</t>
  </si>
  <si>
    <t>http://getitdoneinstantlyandfixallbugsnerrorcodes.xyz/_Authentication/WIDUSACH_MSWinHelpERRO7659/?sou=</t>
  </si>
  <si>
    <t>getmecodingnerrorfixingjobnowtofix.xyz</t>
  </si>
  <si>
    <t>5f3fab1a8882e</t>
  </si>
  <si>
    <t>https://getmecodingnerrorfixingjobnowtofix.xyz/_Authentication/WINEDERR_USAKJHUN9875GJO9HO/?sou=b4cb8174b2bbeaa9ca7a7a364478c904</t>
  </si>
  <si>
    <t>getinstanthelpforbugsncodeerrors.xyz</t>
  </si>
  <si>
    <t>5f3ebee78d0a3</t>
  </si>
  <si>
    <t>http://getinstanthelpforbugsncodeerrors.xyz/_Authentication/WINEDERR_USAKJHUN9875GJO9HO/</t>
  </si>
  <si>
    <t>bhnj.selfsecurebymalwaresbhgfh.xyz</t>
  </si>
  <si>
    <t>5f3c135d897ba</t>
  </si>
  <si>
    <t>http://bhnj.selfsecurebymalwaresbhgfh.xyz/_Authentication/WIDUSACH_MSWinHelpERRO7659/</t>
  </si>
  <si>
    <t>lnc123.xyz</t>
  </si>
  <si>
    <t>5f3adaec1e973</t>
  </si>
  <si>
    <t>http://lnc123.xyz/_Authentication/WINEDERR_USAKJHUN9875GJO9HO/</t>
  </si>
  <si>
    <t>grape.winaccesssecuredexxr.xyz</t>
  </si>
  <si>
    <t>5f39594d0de5a</t>
  </si>
  <si>
    <t>https://grape.winaccesssecuredexxr.xyz/30APRED_USAjsdbvjsbjbhvefkbek/</t>
  </si>
  <si>
    <t>kijhy.hfuefuiewgiuwgui.uno</t>
  </si>
  <si>
    <t>5f395225d22a5</t>
  </si>
  <si>
    <t>http://kijhy.hfuefuiewgiuwgui.uno/_Authentication/WINEDERR_USAKJHUN9875GJO9HO/</t>
  </si>
  <si>
    <t>uno</t>
  </si>
  <si>
    <t>mkjn.defgthujo.xyz</t>
  </si>
  <si>
    <t>5f1f13b13653d</t>
  </si>
  <si>
    <t>http://mkjn.defgthujo.xyz/_Authentication/WIDUSACH_MSWinHelpERRO7659/?sou=</t>
  </si>
  <si>
    <t>gbhu.defgthujo.xyz</t>
  </si>
  <si>
    <t>5f1f13972ddc8</t>
  </si>
  <si>
    <t>http://gbhu.defgthujo.xyz/30APRED_USAjsdbvjsbjbhvefkbek/</t>
  </si>
  <si>
    <t>bhgv.defgthujo.xyz</t>
  </si>
  <si>
    <t>5f1edec5c3863</t>
  </si>
  <si>
    <t>http://bhgv.defgthujo.xyz/30APRED_USAjsdbvjsbjbhvefkbek</t>
  </si>
  <si>
    <t>edse.defgthujo.xyz</t>
  </si>
  <si>
    <t>5f1ede9b9c799</t>
  </si>
  <si>
    <t>http://edse.defgthujo.xyz/30APRED_USAjsdbvjsbjbhvefkbek/</t>
  </si>
  <si>
    <t>5f1eddd97e7e5</t>
  </si>
  <si>
    <t>https://mkjn.defgthujo.xyz/WINEDERR_USAKJHUN9875GJO9HO/</t>
  </si>
  <si>
    <t>fcdx.defgthujo.xyz</t>
  </si>
  <si>
    <t>5f19e50f5f8d6</t>
  </si>
  <si>
    <t>https://fcdx.defgthujo.xyz/30APRED_USAjsdbvjsbjbhvefkbek/</t>
  </si>
  <si>
    <t>hybrid.winaccesssecuredexxr.xyz</t>
  </si>
  <si>
    <t>5f130792c8b5e</t>
  </si>
  <si>
    <t>https://hybrid.winaccesssecuredexxr.xyz/30APRED_USAjsdbvjsbjbhvefkbek/</t>
  </si>
  <si>
    <t>danger.winaccesssecuredexxr.xyz</t>
  </si>
  <si>
    <t>5f12039b47970</t>
  </si>
  <si>
    <t>https://danger.winaccesssecuredexxr.xyz/30APRED_USAjsdbvjsbjbhvefkbek/</t>
  </si>
  <si>
    <t>cabin.winaccesssecuredexxr.xyz</t>
  </si>
  <si>
    <t>5f108fd8aaea9</t>
  </si>
  <si>
    <t>http://cabin.winaccesssecuredexxr.xyz/30APRED_USAjsdbvjsbjbhvefkbek/</t>
  </si>
  <si>
    <t>borrow.winaccesssecuredexxr.xyz</t>
  </si>
  <si>
    <t>5f106fa86c567</t>
  </si>
  <si>
    <t>http://borrow.winaccesssecuredexxr.xyz/30APRED_USAjsdbvjsbjbhvefkbek/</t>
  </si>
  <si>
    <t>arch.winaccesssecuredexxr.xyz</t>
  </si>
  <si>
    <t>5f0f7ef49e09c</t>
  </si>
  <si>
    <t>http://arch.winaccesssecuredexxr.xyz/30APRED_USAjsdbvjsbjbhvefkbek/</t>
  </si>
  <si>
    <t>lkijh.abdgcvdh.xyz</t>
  </si>
  <si>
    <t>5f0df7fe25ddb</t>
  </si>
  <si>
    <t>https://lkijh.abdgcvdh.xyz/30APRED_USAjsdbvjsbjbhvefkbek/</t>
  </si>
  <si>
    <t>fcdxs.abdgcvdh.xyz</t>
  </si>
  <si>
    <t>5f0b5e054b75a</t>
  </si>
  <si>
    <t>https://fcdxs.abdgcvdh.xyz/30APRED_USAjsdbvjsbjbhvefkbek/</t>
  </si>
  <si>
    <t>vndszbhjvbs.efrdgcfscfajkuhjik.xyz</t>
  </si>
  <si>
    <t>5f0885dd9429f</t>
  </si>
  <si>
    <t>http://vndszbhjvbs.efrdgcfscfajkuhjik.xyz/30APRED_USAjsdbvjsbjbhvefkbek/</t>
  </si>
  <si>
    <t>9wggdcqwg.efrdgcfscfajkuhjik.xyz</t>
  </si>
  <si>
    <t>5f0773b074023</t>
  </si>
  <si>
    <t>https://9wggdcqwg.efrdgcfscfajkuhjik.xyz/30APRED_USAjsdbvjsbjbhvefkbek/</t>
  </si>
  <si>
    <t>7gdhfhgd.efrdgcfscfajkuhjik.xyz</t>
  </si>
  <si>
    <t>5f075bfec70bd</t>
  </si>
  <si>
    <t>https://7gdhfhgd.efrdgcfscfajkuhjik.xyz/30APRED_USAjsdbvjsbjbhvefkbek/</t>
  </si>
  <si>
    <t>ljnk.zxsdcfvgb.xyz</t>
  </si>
  <si>
    <t>5f04a0f684026</t>
  </si>
  <si>
    <t>https://ljnk.zxsdcfvgb.xyz/30APRED_USAjsdbvjsbjbhvefkbek/</t>
  </si>
  <si>
    <t>erch.zxsdcfvgb.xyz</t>
  </si>
  <si>
    <t>5f021f3ae8ecd</t>
  </si>
  <si>
    <t>https://erch.zxsdcfvgb.xyz/30APRED_USAjsdbvjsbjbhvefkbek/</t>
  </si>
  <si>
    <t>cfvg.zxsdcfvgb.xyz</t>
  </si>
  <si>
    <t>5f020e51c6d74</t>
  </si>
  <si>
    <t>https://cfvg.zxsdcfvgb.xyz/30APRED_USAjsdbvjsbjbhvefkbek/</t>
  </si>
  <si>
    <t>mhn.zfsdsvearg.xyz</t>
  </si>
  <si>
    <t>5ef231994a136</t>
  </si>
  <si>
    <t>https://mhn.zfsdsvearg.xyz/30APRED_USAjsdbvjsbjbhvefkbek/</t>
  </si>
  <si>
    <t>bgf.zfsdsvearg.xyz</t>
  </si>
  <si>
    <t>5ede724d25801</t>
  </si>
  <si>
    <t>https://bgf.zfsdsvearg.xyz/30APRED_USAjsdbvjsbjbhvefkbek/</t>
  </si>
  <si>
    <t>jfjfuy.zfsdsvearg.xyz</t>
  </si>
  <si>
    <t>5ed022229c995</t>
  </si>
  <si>
    <t>https://jfjfuy.zfsdsvearg.xyz/30APRED_USAjsdbvjsbjbhvefkbek/</t>
  </si>
  <si>
    <t>bandwidth859.ml</t>
  </si>
  <si>
    <t>104.31.76.147</t>
  </si>
  <si>
    <t>5ed0b552e3310</t>
  </si>
  <si>
    <t>https://bandwidth859.ml/WIn010101_18811010.uub/XEDdhdsbfhgdfhdgf9x0Xd/</t>
  </si>
  <si>
    <t>QuÃ©bec</t>
  </si>
  <si>
    <t>qwertasdfgzxcvnbv56765.azurewebsites.net</t>
  </si>
  <si>
    <t>52.242.22.213</t>
  </si>
  <si>
    <t>6082d9ac2a1a5</t>
  </si>
  <si>
    <t>http://qwertasdfgzxcvnbv56765.azurewebsites.net/Winhelpxcode888securityIED007/index.html</t>
  </si>
  <si>
    <t>callnow96.azurewebsites.net</t>
  </si>
  <si>
    <t>5f5288de520dc</t>
  </si>
  <si>
    <t>http://callnow96.azurewebsites.net/cado/</t>
  </si>
  <si>
    <t>callnow76.azurewebsites.net</t>
  </si>
  <si>
    <t>5f528714052e7</t>
  </si>
  <si>
    <t>http://callnow76.azurewebsites.net/Mer-cado/</t>
  </si>
  <si>
    <t>callnow56.azurewebsites.net</t>
  </si>
  <si>
    <t>5f5286b64d75b</t>
  </si>
  <si>
    <t>http://callnow56.azurewebsites.net/Mer-cado/</t>
  </si>
  <si>
    <t>callnow36.azurewebsites.net</t>
  </si>
  <si>
    <t>5f528658aa805</t>
  </si>
  <si>
    <t>http://callnow36.azurewebsites.net/Mer-cado/</t>
  </si>
  <si>
    <t>callnow16.azurewebsites.net</t>
  </si>
  <si>
    <t>5f5285fa0d2aa</t>
  </si>
  <si>
    <t>http://callnow16.azurewebsites.net/Mer-cado/</t>
  </si>
  <si>
    <t>callnow06.azurewebsites.net</t>
  </si>
  <si>
    <t>5f5285b5beae2</t>
  </si>
  <si>
    <t>http://callnow06.azurewebsites.net/Mer-cado/</t>
  </si>
  <si>
    <t>freesupportcall06.azurewebsites.net</t>
  </si>
  <si>
    <t>5f4e73924c3b0</t>
  </si>
  <si>
    <t>http://freesupportcall06.azurewebsites.net/q5gCvYnz6kzKvgY/</t>
  </si>
  <si>
    <t>freesupport06.azurewebsites.net</t>
  </si>
  <si>
    <t>5f4d5cf305b3a</t>
  </si>
  <si>
    <t>http://freesupport06.azurewebsites.net/gHBW7zFVGjwcrjr/</t>
  </si>
  <si>
    <t>freesupport106.azurewebsites.net</t>
  </si>
  <si>
    <t>5f4c0e4a86ce0</t>
  </si>
  <si>
    <t>http://freesupport106.azurewebsites.net/gHBW7zFVGjwcrjr/</t>
  </si>
  <si>
    <t>freesupport86.azurewebsites.net</t>
  </si>
  <si>
    <t>5f4c0df0d9a67</t>
  </si>
  <si>
    <t>http://freesupport86.azurewebsites.net/gHBW7zFVGjwcrjr/</t>
  </si>
  <si>
    <t>freesupport76.azurewebsites.net</t>
  </si>
  <si>
    <t>5f4c0dc09cb7e</t>
  </si>
  <si>
    <t>http://freesupport76.azurewebsites.net/gHBW7zFVGjwcrjr/</t>
  </si>
  <si>
    <t>freesupport56.azurewebsites.net</t>
  </si>
  <si>
    <t>5f4c0d5f6cbe7</t>
  </si>
  <si>
    <t>http://freesupport56.azurewebsites.net/gHBW7zFVGjwcrjr/</t>
  </si>
  <si>
    <t>freesupport46.azurewebsites.net</t>
  </si>
  <si>
    <t>5f4c0d2f422e4</t>
  </si>
  <si>
    <t>http://freesupport46.azurewebsites.net/gHBW7zFVGjwcrjr/</t>
  </si>
  <si>
    <t>freesupport26.azurewebsites.net</t>
  </si>
  <si>
    <t>5f4c0cd22a5a9</t>
  </si>
  <si>
    <t>http://freesupport26.azurewebsites.net/gHBW7zFVGjwcrjr/</t>
  </si>
  <si>
    <t>callnow-free156.azurewebsites.net</t>
  </si>
  <si>
    <t>5f4c09dc110d1</t>
  </si>
  <si>
    <t>http://callnow-free156.azurewebsites.net/S9M5QFaca7VkHSt/</t>
  </si>
  <si>
    <t>callnow-free146.azurewebsites.net</t>
  </si>
  <si>
    <t>5f4c09acc5781</t>
  </si>
  <si>
    <t>http://callnow-free146.azurewebsites.net/S9M5QFaca7VkHSt/</t>
  </si>
  <si>
    <t>callnow-free106.azurewebsites.net</t>
  </si>
  <si>
    <t>5f4c08f342182</t>
  </si>
  <si>
    <t>http://callnow-free106.azurewebsites.net/S9M5QFaca7VkHSt/</t>
  </si>
  <si>
    <t>callnow-free85.azurewebsites.net</t>
  </si>
  <si>
    <t>5f4c0891c9a53</t>
  </si>
  <si>
    <t>http://callnow-free85.azurewebsites.net/S9M5QFaca7VkHSt/</t>
  </si>
  <si>
    <t>getfreesupport176.azurewebsites.net</t>
  </si>
  <si>
    <t>5f4976c86ab6c</t>
  </si>
  <si>
    <t>http://getfreesupport176.azurewebsites.net/gHBW7zFVGjwcrjr/</t>
  </si>
  <si>
    <t>getfreesupport156.azurewebsites.net</t>
  </si>
  <si>
    <t>5f4976642f97c</t>
  </si>
  <si>
    <t>http://getfreesupport156.azurewebsites.net/gHBW7zFVGjwcrjr/</t>
  </si>
  <si>
    <t>getfreesupport146.azurewebsites.net</t>
  </si>
  <si>
    <t>5f497632b3fff</t>
  </si>
  <si>
    <t>http://getfreesupport146.azurewebsites.net/gHBW7zFVGjwcrjr/</t>
  </si>
  <si>
    <t>getfreesupport136.azurewebsites.net</t>
  </si>
  <si>
    <t>5f49760188f1f</t>
  </si>
  <si>
    <t>http://getfreesupport136.azurewebsites.net/gHBW7zFVGjwcrjr/</t>
  </si>
  <si>
    <t>getfreesupport126.azurewebsites.net</t>
  </si>
  <si>
    <t>5f4975cf60693</t>
  </si>
  <si>
    <t>http://getfreesupport126.azurewebsites.net/gHBW7zFVGjwcrjr/</t>
  </si>
  <si>
    <t>getfreesupport106.azurewebsites.net</t>
  </si>
  <si>
    <t>5f497569026bc</t>
  </si>
  <si>
    <t>http://getfreesupport106.azurewebsites.net/gHBW7zFVGjwcrjr/</t>
  </si>
  <si>
    <t>getfreesupport100.azurewebsites.net</t>
  </si>
  <si>
    <t>5f4973dbb3ee7</t>
  </si>
  <si>
    <t>http://getfreesupport100.azurewebsites.net/gHBW7zFVGjwcrjr/</t>
  </si>
  <si>
    <t>freesupport126.azurewebsites.net</t>
  </si>
  <si>
    <t>5f4961dd7be52</t>
  </si>
  <si>
    <t>http://freesupport126.azurewebsites.net/pb613cadhekan/</t>
  </si>
  <si>
    <t>freemaintenance106.azurewebsites.net</t>
  </si>
  <si>
    <t>5f495ec43ff14</t>
  </si>
  <si>
    <t>http://freemaintenance106.azurewebsites.net/q5gCvYnz6kzKvgY/</t>
  </si>
  <si>
    <t>freemaintenance98.azurewebsites.net</t>
  </si>
  <si>
    <t>5f495ea38c73a</t>
  </si>
  <si>
    <t>http://freemaintenance98.azurewebsites.net/q5gCvYnz6kzKvgY/</t>
  </si>
  <si>
    <t>freemaintenance58.azurewebsites.net</t>
  </si>
  <si>
    <t>5f495dfcbaaf9</t>
  </si>
  <si>
    <t>http://freemaintenance58.azurewebsites.net/q5gCvYnz6kzKvgY/</t>
  </si>
  <si>
    <t>freemaintenance52.azurewebsites.net</t>
  </si>
  <si>
    <t>5f495de4e5d27</t>
  </si>
  <si>
    <t>http://freemaintenance52.azurewebsites.net/q5gCvYnz6kzKvgY/</t>
  </si>
  <si>
    <t>services06.azurewebsites.net</t>
  </si>
  <si>
    <t>5f4958c46a8a0</t>
  </si>
  <si>
    <t>http://services06.azurewebsites.net/pb613cadhekan/</t>
  </si>
  <si>
    <t>freesupport136.azurewebsites.net</t>
  </si>
  <si>
    <t>5f4958ac85e55</t>
  </si>
  <si>
    <t>http://freesupport136.azurewebsites.net/pb613cadhekan/</t>
  </si>
  <si>
    <t>freesupportcall16.azurewebsites.net</t>
  </si>
  <si>
    <t>5f494fb80b00a</t>
  </si>
  <si>
    <t>http://freesupportcall16.azurewebsites.net/q5gCvYnz6kzKvgY/index.html</t>
  </si>
  <si>
    <t>freemaintenance26.azurewebsites.net</t>
  </si>
  <si>
    <t>5f48bc49ade82</t>
  </si>
  <si>
    <t>http://freemaintenance26.azurewebsites.net/q5gCvYnz6kzKvgY/</t>
  </si>
  <si>
    <t>freemaintenance85.azurewebsites.net</t>
  </si>
  <si>
    <t>5f48b9d2e3408</t>
  </si>
  <si>
    <t>http://freemaintenance85.azurewebsites.net/q5gCvYnz6kzKvgY/</t>
  </si>
  <si>
    <t>freemaintenance65.azurewebsites.net</t>
  </si>
  <si>
    <t>5f48b9bbdc4e9</t>
  </si>
  <si>
    <t>http://freemaintenance65.azurewebsites.net/q5gCvYnz6kzKvgY/</t>
  </si>
  <si>
    <t>freemaintenance06.azurewebsites.net</t>
  </si>
  <si>
    <t>5f48b92d32e87</t>
  </si>
  <si>
    <t>http://freemaintenance06.azurewebsites.net/q5gCvYnz6kzKvgY/</t>
  </si>
  <si>
    <t>getfreesupport26.azurewebsites.net</t>
  </si>
  <si>
    <t>5f47a6293698b</t>
  </si>
  <si>
    <t>http://getfreesupport26.azurewebsites.net/Zcv6znVbFKDkXCy/</t>
  </si>
  <si>
    <t>getfreesupport06.azurewebsites.net</t>
  </si>
  <si>
    <t>5f47a5c1e8e79</t>
  </si>
  <si>
    <t>http://getfreesupport06.azurewebsites.net/Zcv6znVbFKDkXCy/</t>
  </si>
  <si>
    <t>computer66.azurewebsites.net</t>
  </si>
  <si>
    <t>5f47a0311bbfc</t>
  </si>
  <si>
    <t>http://computer66.azurewebsites.net/Belle-Plaine/</t>
  </si>
  <si>
    <t>computer35.azurewebsites.net</t>
  </si>
  <si>
    <t>5f479f7b27c1c</t>
  </si>
  <si>
    <t>http://computer35.azurewebsites.net/Belle-Plaine/</t>
  </si>
  <si>
    <t>computer16.azurewebsites.net</t>
  </si>
  <si>
    <t>5f479ebae72be</t>
  </si>
  <si>
    <t>http://computer16.azurewebsites.net/Belle-Plaine/</t>
  </si>
  <si>
    <t>computer06.azurewebsites.net</t>
  </si>
  <si>
    <t>5f479e107addb</t>
  </si>
  <si>
    <t>http://computer06.azurewebsites.net/Belle-Plaine/</t>
  </si>
  <si>
    <t>checkup76.azurewebsites.net</t>
  </si>
  <si>
    <t>5f44799c6afdd</t>
  </si>
  <si>
    <t>http://checkup76.azurewebsites.net/Kristy-Cortez/</t>
  </si>
  <si>
    <t>checkup46.azurewebsites.net</t>
  </si>
  <si>
    <t>5f447811b1704</t>
  </si>
  <si>
    <t>http://checkup46.azurewebsites.net/Kristy-Cortez/</t>
  </si>
  <si>
    <t>checkup36.azurewebsites.net</t>
  </si>
  <si>
    <t>5f4477729aa9a</t>
  </si>
  <si>
    <t>http://checkup36.azurewebsites.net/Kristy-Cortez/</t>
  </si>
  <si>
    <t>getfreesupport86.azurewebsites.net</t>
  </si>
  <si>
    <t>5f44518c98331</t>
  </si>
  <si>
    <t>https://getfreesupport86.azurewebsites.net/atEdYhpx5ykF2Ru/</t>
  </si>
  <si>
    <t>getfreesupport76.azurewebsites.net</t>
  </si>
  <si>
    <t>5f44511bc98b3</t>
  </si>
  <si>
    <t>https://getfreesupport76.azurewebsites.net/atEdYhpx5ykF2Ru/</t>
  </si>
  <si>
    <t>callnow-free56.azurewebsites.net</t>
  </si>
  <si>
    <t>5f444c4ee3bb2</t>
  </si>
  <si>
    <t>https://callnow-free56.azurewebsites.net/Cortez/</t>
  </si>
  <si>
    <t>callnow-free46.azurewebsites.net</t>
  </si>
  <si>
    <t>5f444bc1cc2ea</t>
  </si>
  <si>
    <t>https://callnow-free46.azurewebsites.net/Cortez/</t>
  </si>
  <si>
    <t>callnow-free26.azurewebsites.net</t>
  </si>
  <si>
    <t>5f4449ee32055</t>
  </si>
  <si>
    <t>https://callnow-free26.azurewebsites.net/Cortez/</t>
  </si>
  <si>
    <t>callnow-free20.azurewebsites.net</t>
  </si>
  <si>
    <t>5f4449ab93558</t>
  </si>
  <si>
    <t>https://callnow-free20.azurewebsites.net/Cortez/</t>
  </si>
  <si>
    <t>callnow-free06.azurewebsites.net</t>
  </si>
  <si>
    <t>5f44487717fc9</t>
  </si>
  <si>
    <t>https://callnow-free06.azurewebsites.net/Cortez/</t>
  </si>
  <si>
    <t>callnow-free126.azurewebsites.net</t>
  </si>
  <si>
    <t>5f424c500a445</t>
  </si>
  <si>
    <t>http://callnow-free126.azurewebsites.net/qJRMzcfrH4ZAppa/</t>
  </si>
  <si>
    <t>checkup56.azurewebsites.net</t>
  </si>
  <si>
    <t>5f31878e4f5ff</t>
  </si>
  <si>
    <t>http://checkup56.azurewebsites.net/Mer-cado/</t>
  </si>
  <si>
    <t>computer86.azurewebsites.net</t>
  </si>
  <si>
    <t>5f30d8c31173e</t>
  </si>
  <si>
    <t>http://computer86.azurewebsites.net/Mer-cado/</t>
  </si>
  <si>
    <t>computer96.azurewebsites.net</t>
  </si>
  <si>
    <t>5f30d79b1fafc</t>
  </si>
  <si>
    <t>http://computer96.azurewebsites.net/Belle-Plaine</t>
  </si>
  <si>
    <t>computer116.azurewebsites.net</t>
  </si>
  <si>
    <t>5f30d6825793b</t>
  </si>
  <si>
    <t>http://computer116.azurewebsites.net/Belle-Plaine</t>
  </si>
  <si>
    <t>terror23.azurewebsites.net</t>
  </si>
  <si>
    <t>5f14956519755</t>
  </si>
  <si>
    <t>http://terror23.azurewebsites.net/Boyd-TX/</t>
  </si>
  <si>
    <t>terror38.azurewebsites.net</t>
  </si>
  <si>
    <t>5f14955ae5c25</t>
  </si>
  <si>
    <t>http://terror38.azurewebsites.net/Boyd-TX/</t>
  </si>
  <si>
    <t>cerrors74.azurewebsites.net</t>
  </si>
  <si>
    <t>5f1494fa9d2d0</t>
  </si>
  <si>
    <t>http://cerrors74.azurewebsites.net/Amado-AZ</t>
  </si>
  <si>
    <t>terror06.azurewebsites.net</t>
  </si>
  <si>
    <t>5f14705000827</t>
  </si>
  <si>
    <t>https://terror06.azurewebsites.net/Boyd-TX/</t>
  </si>
  <si>
    <t>freecheckup26.azurewebsites.net</t>
  </si>
  <si>
    <t>5f266d34f0362</t>
  </si>
  <si>
    <t>http://freecheckup26.azurewebsites.net/Staci-Walsh/</t>
  </si>
  <si>
    <t>secureweb50.xyz</t>
  </si>
  <si>
    <t>172.67.185.128</t>
  </si>
  <si>
    <t>5ed0da3d94652</t>
  </si>
  <si>
    <t>https://secureweb50.xyz/c7594ss/Chsdsdswwqw2x/</t>
  </si>
  <si>
    <t>interface485.cf</t>
  </si>
  <si>
    <t>104.24.98.41</t>
  </si>
  <si>
    <t>5ed150038e379</t>
  </si>
  <si>
    <t>https://interface485.cf/WIn100110_8181818.hnr/XEDdhdsbfhgdfhdgf9x0Xd</t>
  </si>
  <si>
    <t>18.217.82.186</t>
  </si>
  <si>
    <t>5ed1563560983</t>
  </si>
  <si>
    <t>http://18.217.82.186/WED18818811818help7rw</t>
  </si>
  <si>
    <t>purcuaciveamendment.online</t>
  </si>
  <si>
    <t>136.243.219.38</t>
  </si>
  <si>
    <t>5ed238bedba4f</t>
  </si>
  <si>
    <t>https://purcuaciveamendment.online/udgtx01-vcb21b56-rt5r46vd-cv21v2v6d-cv254fr-tr78546c-c5v454gd-yte4w5x-kj1d1g6-rt5r4t5-cv2v1vc1-sfr4f5/hbacrx01/</t>
  </si>
  <si>
    <t>AS34119</t>
  </si>
  <si>
    <t>Batley</t>
  </si>
  <si>
    <t>cxe4ddx.ga</t>
  </si>
  <si>
    <t>Wildcard Networks</t>
  </si>
  <si>
    <t>31.22.7.249</t>
  </si>
  <si>
    <t>WildcardUKLimited</t>
  </si>
  <si>
    <t>5f11e2d463a6d</t>
  </si>
  <si>
    <t>http://cxe4ddx.ga/213243546542323243546573243545754655467577557/gserr43r4.ga5456656563455666654342435243522435214521452524365524652465252462/13131313131</t>
  </si>
  <si>
    <t>x43rdx.ga</t>
  </si>
  <si>
    <t>5f10c46c79a50</t>
  </si>
  <si>
    <t>http://x43rdx.ga/213243546542323243546573243545754655467577557/XCHfdfdfdfddfd99900M/</t>
  </si>
  <si>
    <t>5f10bd46a103b</t>
  </si>
  <si>
    <t>http://x43rdx.ga/213243546542323243546573243545754655467577557/gserr43r4.ga5456656563455666654342435243522435214521452524365524652465252462/131313131313</t>
  </si>
  <si>
    <t>5f10975f3b638</t>
  </si>
  <si>
    <t>http://x43rdx.ga/213243546542323243546573243545754655467577557/gserr43r4.ga5456656563455666654342435243522435214521452524365524652465252462/</t>
  </si>
  <si>
    <t>dreredr4v.ga</t>
  </si>
  <si>
    <t>5f0f4a0350adf</t>
  </si>
  <si>
    <t>http://dreredr4v.ga/213243546542323243546573243545754655467577557/gserr43r4.ga5456656563455666654342435243522435214521452524365524652465252462/</t>
  </si>
  <si>
    <t>South Shields</t>
  </si>
  <si>
    <t>gserr4rr4333.ga</t>
  </si>
  <si>
    <t>5f074c3452cae</t>
  </si>
  <si>
    <t>http://gserr4rr4333.ga/213243546542323243546573243545754655467577557/XCHfdfdfdfddfd99900M/</t>
  </si>
  <si>
    <t>5f074adf8da57</t>
  </si>
  <si>
    <t>http://gserr4rr4333.ga/213243546542323243546573243545754655467577557/gserr43r4.ga5456656563455666654342435243522435214521452524365524652465252462/xawqeq</t>
  </si>
  <si>
    <t>gserr43r4.ga</t>
  </si>
  <si>
    <t>5f05e1578ba8e</t>
  </si>
  <si>
    <t>http://gserr43r4.ga/213243546542323243546573243545754655467577557/XCHfdfdfdfddfd99900M/</t>
  </si>
  <si>
    <t>dreredv.ga</t>
  </si>
  <si>
    <t>5f043f5ece94d</t>
  </si>
  <si>
    <t>http://dreredv.ga/windows-sro23049m49405rjf04500430040430405435354354/4556666543455345566665434553455666654566565634556666543455ddd/xawqeqeqdwdqw3/</t>
  </si>
  <si>
    <t>r3error.ga</t>
  </si>
  <si>
    <t>5eff9a5b33dd9</t>
  </si>
  <si>
    <t>http://r3error.ga/windows-sro23049m49405rjf04500430040430405435354354/ASH3442424242442424244242/win293no823324354453423/</t>
  </si>
  <si>
    <t>5eff997075a95</t>
  </si>
  <si>
    <t>http://r3error.ga/windows-sro23049m49405rjf04500430040430405435354354/ASH3442424242442424244242/win293no823324354453423/21212p/</t>
  </si>
  <si>
    <t>yrteero.ga</t>
  </si>
  <si>
    <t>5efcd5be839f3</t>
  </si>
  <si>
    <t>http://yrteero.ga/windows-sro23049m49405rjf04500430040430405435354354/4556666543455345566665434553455666654566565634556666543455ddd/xawqeqeqdwdqw3/</t>
  </si>
  <si>
    <t>rederror.ga</t>
  </si>
  <si>
    <t>5efb74c787e75</t>
  </si>
  <si>
    <t>http://rederror.ga/windows-sro23049m49405rjf04500430040430405435354354/4556666543455345566665434553455666654566565634556666543455ddd/xawqeqeqdwdqw3/</t>
  </si>
  <si>
    <t>rexier33.ga</t>
  </si>
  <si>
    <t>5ef0f30a37472</t>
  </si>
  <si>
    <t>http://rexier33.ga/windows-sro23049m49405rjf04500430040430405435354354/qweeqweqweqwxxawqeqeqdwdqw3455666654345534556666543455345566665456656563455666654</t>
  </si>
  <si>
    <t>Sunderland</t>
  </si>
  <si>
    <t>infoalert39sys.ga</t>
  </si>
  <si>
    <t>5ed2657c04636</t>
  </si>
  <si>
    <t>http://infoalert39sys.ga/windows-sro23049m49405rjf04500430040430405435354354/801901-7410ny/ch/12131/21212p/</t>
  </si>
  <si>
    <t>popuppatch856.cf</t>
  </si>
  <si>
    <t>172.67.147.233</t>
  </si>
  <si>
    <t>5ed28193c203a</t>
  </si>
  <si>
    <t>https://popuppatch856.cf/Win01010_81818hn.ggy/XEDdhdsbfhgdfhdgf9x0Xd</t>
  </si>
  <si>
    <t>3.18.87.55</t>
  </si>
  <si>
    <t>5ed2884963beb</t>
  </si>
  <si>
    <t>http://3.18.87.55/WED18818811818help7rw</t>
  </si>
  <si>
    <t>jts6.azurewebsites.net</t>
  </si>
  <si>
    <t>168.61.159.114</t>
  </si>
  <si>
    <t>6088abaa40570</t>
  </si>
  <si>
    <t>https://jts6.azurewebsites.net/W880n01xm888se0cur0it0yCH008VP888Y/index.html</t>
  </si>
  <si>
    <t>papa0277584-ru3w.azurewebsites.net</t>
  </si>
  <si>
    <t>5fd9006da2a97</t>
  </si>
  <si>
    <t>http://papa0277584-ru3w.azurewebsites.net/</t>
  </si>
  <si>
    <t>pat4214-kkcv.azurewebsites.net</t>
  </si>
  <si>
    <t>5fd8d4df7fd17</t>
  </si>
  <si>
    <t>http://pat4214-kkcv.azurewebsites.net/</t>
  </si>
  <si>
    <t>ro203-48895ur3.azurewebsites.net</t>
  </si>
  <si>
    <t>5fd8a5174eb32</t>
  </si>
  <si>
    <t>http://ro203-48895ur3.azurewebsites.net/</t>
  </si>
  <si>
    <t>p-fr27884202i3.azurewebsites.net</t>
  </si>
  <si>
    <t>5fd8a513620a0</t>
  </si>
  <si>
    <t>http://p-fr27884202i3.azurewebsites.net/</t>
  </si>
  <si>
    <t>b4n4839jd93-la82.azurewebsites.net</t>
  </si>
  <si>
    <t>5fd622bd1f046</t>
  </si>
  <si>
    <t>http://b4n4839jd93-la82.azurewebsites.net/</t>
  </si>
  <si>
    <t>s-ikand920184.azurewebsites.net</t>
  </si>
  <si>
    <t>5fd61c6672ed5</t>
  </si>
  <si>
    <t>http://s-ikand920184.azurewebsites.net/</t>
  </si>
  <si>
    <t>bajo29488593-op2ssa.azurewebsites.net</t>
  </si>
  <si>
    <t>5fd61c2c0e55e</t>
  </si>
  <si>
    <t>http://bajo29488593-op2ssa.azurewebsites.net/</t>
  </si>
  <si>
    <t>2wd83k4l05-38vd.azurewebsites.net</t>
  </si>
  <si>
    <t>5fd511432a040</t>
  </si>
  <si>
    <t>http://2wd83k4l05-38vd.azurewebsites.net/</t>
  </si>
  <si>
    <t>ybb944370-opp.azurewebsites.net</t>
  </si>
  <si>
    <t>5fd4c08e77fc8</t>
  </si>
  <si>
    <t>http://ybb944370-opp.azurewebsites.net/</t>
  </si>
  <si>
    <t>khue239432-l221.azurewebsites.net</t>
  </si>
  <si>
    <t>5fca827019329</t>
  </si>
  <si>
    <t>http://khue239432-l221.azurewebsites.net/</t>
  </si>
  <si>
    <t>pchelpdesk20.azurewebsites.net</t>
  </si>
  <si>
    <t>5f5a581fc7710</t>
  </si>
  <si>
    <t>https://pchelpdesk20.azurewebsites.net/garretttanners7d/</t>
  </si>
  <si>
    <t>pchelpservices80.azurewebsites.net</t>
  </si>
  <si>
    <t>5f5916aec22b7</t>
  </si>
  <si>
    <t>https://pchelpservices80.azurewebsites.net/dawsonwhlerS7v/</t>
  </si>
  <si>
    <t>callnow57.azurewebsites.net</t>
  </si>
  <si>
    <t>5f5286bb29e68</t>
  </si>
  <si>
    <t>http://callnow57.azurewebsites.net/Mer-cado/</t>
  </si>
  <si>
    <t>callnow-free127.azurewebsites.net</t>
  </si>
  <si>
    <t>5f4c095471acf</t>
  </si>
  <si>
    <t>http://callnow-free127.azurewebsites.net/S9M5QFaca7VkHSt/</t>
  </si>
  <si>
    <t>callnow-free74.azurewebsites.net</t>
  </si>
  <si>
    <t>5f4c085ccca70</t>
  </si>
  <si>
    <t>http://callnow-free74.azurewebsites.net/S9M5QFaca7VkHSt/</t>
  </si>
  <si>
    <t>freecallcaresupport86.azurewebsites.net</t>
  </si>
  <si>
    <t>5f4aa3c128624</t>
  </si>
  <si>
    <t>http://freecallcaresupport86.azurewebsites.net/vTUPHmw6mhDcMgT/</t>
  </si>
  <si>
    <t>computer67.azurewebsites.net</t>
  </si>
  <si>
    <t>5f47a0389651e</t>
  </si>
  <si>
    <t>http://computer67.azurewebsites.net/Belle-Plaine/</t>
  </si>
  <si>
    <t>micro-hoky.azurewebsites.net</t>
  </si>
  <si>
    <t>5ee3ccd7d4a0c</t>
  </si>
  <si>
    <t>http://micro-hoky.azurewebsites.net/0MAhdfgdsjfkjsdhfjksdhNN1/?phone=+1-844-262-2618&amp;amp;</t>
  </si>
  <si>
    <t>46nn3error-callnow.azurewebsites.net</t>
  </si>
  <si>
    <t>5ee1183dbd79a</t>
  </si>
  <si>
    <t>https://46nn3error-callnow.azurewebsites.net/teddymckeefBx/</t>
  </si>
  <si>
    <t>65bbv4systemwarning.azurewebsites.net</t>
  </si>
  <si>
    <t>5eda434f8a115</t>
  </si>
  <si>
    <t>http://65bbv4systemwarning.azurewebsites.net/Ch22tr34</t>
  </si>
  <si>
    <t>5eda3c909b417</t>
  </si>
  <si>
    <t>http://65bbv4systemwarning.azurewebsites.net/Mc1v3b1/</t>
  </si>
  <si>
    <t>5ed29326e8b92</t>
  </si>
  <si>
    <t>https://65bbv4systemwarning.azurewebsites.net/Edfr2b1b</t>
  </si>
  <si>
    <t>websolsupport.site</t>
  </si>
  <si>
    <t>Namecheap</t>
  </si>
  <si>
    <t>162.213.251.80</t>
  </si>
  <si>
    <t>5eda41b69ae4d</t>
  </si>
  <si>
    <t>https://websolsupport.site/blue.php</t>
  </si>
  <si>
    <t>5ed2bba311ce3</t>
  </si>
  <si>
    <t>https://websolsupport.site/index-5.html</t>
  </si>
  <si>
    <t>freecomputerhelp135.azurewebsites.net</t>
  </si>
  <si>
    <t>51.140.146.130</t>
  </si>
  <si>
    <t>5f699e288575c</t>
  </si>
  <si>
    <t>https://freecomputerhelp135.azurewebsites.net/R7tcvkAFdAwS4B4</t>
  </si>
  <si>
    <t>callnow-free135.azurewebsites.net</t>
  </si>
  <si>
    <t>5f4c097929166</t>
  </si>
  <si>
    <t>http://callnow-free135.azurewebsites.net/S9M5QFaca7VkHSt/</t>
  </si>
  <si>
    <t>callnow-free115.azurewebsites.net</t>
  </si>
  <si>
    <t>5f4c091c86b45</t>
  </si>
  <si>
    <t>http://callnow-free115.azurewebsites.net/S9M5QFaca7VkHSt/</t>
  </si>
  <si>
    <t>freemaintenance76.azurewebsites.net</t>
  </si>
  <si>
    <t>5f495e4ad2409</t>
  </si>
  <si>
    <t>http://freemaintenance76.azurewebsites.net/q5gCvYnz6kzKvgY/</t>
  </si>
  <si>
    <t>freemaintenance33.azurewebsites.net</t>
  </si>
  <si>
    <t>5f495d92f2750</t>
  </si>
  <si>
    <t>http://freemaintenance33.azurewebsites.net/q5gCvYnz6kzKvgY/</t>
  </si>
  <si>
    <t>freemaintenance45.azurewebsites.net</t>
  </si>
  <si>
    <t>5f48b9a90d6a6</t>
  </si>
  <si>
    <t>http://freemaintenance45.azurewebsites.net/q5gCvYnz6kzKvgY/</t>
  </si>
  <si>
    <t>getfreesupport185.azurewebsites.net</t>
  </si>
  <si>
    <t>5f47d5109021b</t>
  </si>
  <si>
    <t>http://getfreesupport185.azurewebsites.net/atEdYhpx5ykF2Ru/</t>
  </si>
  <si>
    <t>getfreesupport15.azurewebsites.net</t>
  </si>
  <si>
    <t>5f47a5fcc1a90</t>
  </si>
  <si>
    <t>http://getfreesupport15.azurewebsites.net/Zcv6znVbFKDkXCy/</t>
  </si>
  <si>
    <t>computer25.azurewebsites.net</t>
  </si>
  <si>
    <t>5f30d43b8c143</t>
  </si>
  <si>
    <t>http://computer25.azurewebsites.net/Kristy-Cortez/</t>
  </si>
  <si>
    <t>5f30d43b43031</t>
  </si>
  <si>
    <t>berror36.azurewebsites.net</t>
  </si>
  <si>
    <t>5f227298cc9fc</t>
  </si>
  <si>
    <t>http://berror36.azurewebsites.net/Calhoun-TN/</t>
  </si>
  <si>
    <t>74bbv4systemwarning.azurewebsites.net</t>
  </si>
  <si>
    <t>5eda3f7091111</t>
  </si>
  <si>
    <t>http://74bbv4systemwarning.azurewebsites.net/devenvanceSxJ</t>
  </si>
  <si>
    <t>5ed3a0ccad3e9</t>
  </si>
  <si>
    <t>https://74bbv4systemwarning.azurewebsites.net/alexdaleg2N/</t>
  </si>
  <si>
    <t>captcha844.ga</t>
  </si>
  <si>
    <t>104.27.169.181</t>
  </si>
  <si>
    <t>5ed3f539c81b9</t>
  </si>
  <si>
    <t>https://captcha844.ga/Win10010_8881.nnu/XEDdhdsbfhgdfhdgf9x0Xd/</t>
  </si>
  <si>
    <t>brightnaturefitter.online</t>
  </si>
  <si>
    <t>136.243.219.42</t>
  </si>
  <si>
    <t>5eecd52fd1bb6</t>
  </si>
  <si>
    <t>https://brightnaturefitter.online/qhwsyx-c1vd6x-t5ey51dv-cvcvxv4846re-tretr8e97894-v4cx5v48v1-dfgfd56s4-retr8e7874gf-xcv5x465-cv4cv548v45/try14v3acrxt/</t>
  </si>
  <si>
    <t>worldofhounours.online</t>
  </si>
  <si>
    <t>5eeca23a258f9</t>
  </si>
  <si>
    <t>https://worldofhounours.online/sgdtyx01-n1v5cx4c6-g5f4g81-15v456-fd5g7d81-xvcxv45646-f5d8f41v-c1cx4654x6-c5cv8v1-yew5w484-cvcv84-yerucf/acrbgx01/</t>
  </si>
  <si>
    <t>shriplotonpai.online</t>
  </si>
  <si>
    <t>5eea2ceee4f4f</t>
  </si>
  <si>
    <t>https://shriplotonpai.online/putx01-v1cV-sd5s45-cv1cv54s6-cvfs81fdf-vc1v25s45-cv2v456s65-f5e441dfv-vdv2v545d-df5646546s-cv54s545/try14v3acrxt/</t>
  </si>
  <si>
    <t>nueatiosningparama.online</t>
  </si>
  <si>
    <t>5ee88f3177631</t>
  </si>
  <si>
    <t>https://nueatiosningparama.online/wyetz01-b154x56-f45e654-c1vc45646-78t7e94fc-n15x545s-r87e4fd1-x2v54s56-cvd4s5-cv124s456-cv15d45s-v1515s/qpbacrx01/</t>
  </si>
  <si>
    <t>prioccupationg.online</t>
  </si>
  <si>
    <t>5ee7662947ef0</t>
  </si>
  <si>
    <t>https://prioccupationg.online/yersx01-fg564df6-rtrt8r45-vdf6556-r54r45g4-1b1vv465-fg45r5r5-vv484v6x-5r8745d-c45d465-cv154f54d-c5454d/try14v3acrxt/</t>
  </si>
  <si>
    <t>brigosmation.online</t>
  </si>
  <si>
    <t>5ee72d108f17a</t>
  </si>
  <si>
    <t>https://brigosmation.online/bwerx01-n154x6-df54fd2-cvcv54d5646-e87845f-c1v4df6g4d-er5e7841-b1c5564s-d45d4e45-cd5f4d4d5-cv5d4f4d5/qpbacrx01/</t>
  </si>
  <si>
    <t>rasberrycaster.online</t>
  </si>
  <si>
    <t>5ee0a671ee053</t>
  </si>
  <si>
    <t>https://rasberrycaster.online/fsgtcx01-b1v4b54d-t8e71fd-54cx54v6-efe4fd4f6-cv5cv4d46-c5v4d4f5d-e7r9e7-n5v4g5f-nv5454d6-er5e4rd4f5/qpbacrx01/</t>
  </si>
  <si>
    <t>deeperfactor.online</t>
  </si>
  <si>
    <t>5edf82d130958</t>
  </si>
  <si>
    <t>https://deeperfactor.online/qpeysf-b1x6v65-5e4r5e464-cv12cv464f-d54f8d41-cvv1154v564df-544fd-c1v254d5-454e41-cv2x646f-fd5fd4545c/qpbacrx01/</t>
  </si>
  <si>
    <t>mistsonpaller.online</t>
  </si>
  <si>
    <t>5edf5e823af2c</t>
  </si>
  <si>
    <t>https://mistsonpaller.online/ksgdtx01-bc12v45-e57e54ef2d-bx4g6465-ee7e1ds6-vb1d45fg-et7e8t7eg1-c2v4546-5e7545d-gv15465d46-54d54f5d/qpbacrx01/</t>
  </si>
  <si>
    <t>contsnatkiloparkere.online</t>
  </si>
  <si>
    <t>5eddf50fd659e</t>
  </si>
  <si>
    <t>https://contsnatkiloparkere.online/yhdgx01-v1c2v5s46-ere4r4e6fd6-v2cv156dv6-e45f4dfd-b2vcb4x6s-te545gv1x-vcxv2x6f6s-4e546ed-vc2vc4v56d46/blacrx/</t>
  </si>
  <si>
    <t>gorgetinopol.online</t>
  </si>
  <si>
    <t>5eeb1f9e24cdd</t>
  </si>
  <si>
    <t>https://gorgetinopol.online/yetdux01-v1cx6-df2s564-e4e57r1f-vc12v64-df45f4s51-cv12x45-re5t7e9-vv24v4d5-cv245646s-cv2v8s45-cv1er4e1f/nwacrx01/</t>
  </si>
  <si>
    <t>5eda1fb7de918</t>
  </si>
  <si>
    <t>https://contsnatkiloparkere.online/yhdgx01-v1c2v5s46-ere4r4e6fd6-v2cv156dv6-e45f4dfd-b2vcb4x6s-te545gv1x-vcxv2x6f6s-4e546ed-vc2vc4v56d46/hbacrx01/</t>
  </si>
  <si>
    <t>5eda0fbeae465</t>
  </si>
  <si>
    <t>https://contsnatkiloparkere.online/yhdgx01-v1c2v5s46-ere4r4e6fd6-v2cv156dv6-e45f4dfd-b2vcb4x6s-te545gv1x-vcxv2x6f6s-4e546ed-vc2vc4v56d46/nphillx01/</t>
  </si>
  <si>
    <t>dformationlive.online</t>
  </si>
  <si>
    <t>5ed8e42471dc7</t>
  </si>
  <si>
    <t>https://dformationlive.online/gdteyx01-v12fs6-re5r4fd1-v4dx4546-sr454e4f5dv-dfdf4f5e4fd-fd12ds5f465-ere45r45fd-sfsdf54e5-df5f45fe45-df4d5/hbacrx01/</t>
  </si>
  <si>
    <t>pixmistfollower.online</t>
  </si>
  <si>
    <t>5ed8bb22c2074</t>
  </si>
  <si>
    <t>https://pixmistfollower.online/eisfx01-b15fg54d456-rt45454r5-bv2dfg6drt-4r5t445f-45f4g5d-ter4e54dg-f154f5gd-cv1c5v4d5f4-ere45r4ed4f-c54vxf/hbacrx01/</t>
  </si>
  <si>
    <t>procanalyzer.online</t>
  </si>
  <si>
    <t>5ed75779cef43</t>
  </si>
  <si>
    <t>https://procanalyzer.online/gdhfyx01-b1v5b4d5-t7r8t7e4d-vcv45cv4x546d-85f4d-n4vb4x56f-ft7e4g5dv-v4c5vc45v4d5-e4545d-xc5x45s-n1v5g4f5f/hbhillx01/</t>
  </si>
  <si>
    <t>nignomatocama.online</t>
  </si>
  <si>
    <t>5ed52380d4982</t>
  </si>
  <si>
    <t>https://nignomatocama.online/getry01-bcv16s4f6-ere45451vx-n1g1d5-ere5r4e5g2-cx2xv15x-e48re8-c5v1vx51-fg1fgf6d-1t5e45-c1vv6-vc15v45d/hbacrx01/</t>
  </si>
  <si>
    <t>earhjsahsakas.xyz</t>
  </si>
  <si>
    <t>185.61.154.216</t>
  </si>
  <si>
    <t>5eda418c3b86a</t>
  </si>
  <si>
    <t>https://earhjsahsakas.xyz/0011jetzt-anrufen-2SW/</t>
  </si>
  <si>
    <t>fagaljkhaskas.xyz</t>
  </si>
  <si>
    <t>5ed78eab8539b</t>
  </si>
  <si>
    <t>https://fagaljkhaskas.xyz/0011jetzt-anrufen-2SW/</t>
  </si>
  <si>
    <t>aamsaybsasak.xyz</t>
  </si>
  <si>
    <t>5ed63990895c1</t>
  </si>
  <si>
    <t>https://aamsaybsasak.xyz/0011jetzt-anrufen-2SW/</t>
  </si>
  <si>
    <t>Montreal</t>
  </si>
  <si>
    <t>hirecarpenters.site</t>
  </si>
  <si>
    <t>104.28.1.44</t>
  </si>
  <si>
    <t>5f908fe88a7c9</t>
  </si>
  <si>
    <t>https://hirecarpenters.site/code3958g/CHfdfffdgfgfgdfgdfgfKar/</t>
  </si>
  <si>
    <t>emoticon943.ga</t>
  </si>
  <si>
    <t>5ed6861de48ce</t>
  </si>
  <si>
    <t>https://emoticon943.ga/Win18818_188118y.hhp/XEDdhdsbfhgdfhdgf9x0Xd/</t>
  </si>
  <si>
    <t>onlinepcfixer.xyz</t>
  </si>
  <si>
    <t>104.27.189.163</t>
  </si>
  <si>
    <t>5ed6889bc36ca</t>
  </si>
  <si>
    <t>https://onlinepcfixer.xyz/error1960r/1sdafgdfvsdert44bdsbfj2342x/</t>
  </si>
  <si>
    <t>host-support08.site</t>
  </si>
  <si>
    <t>Web-hosting.com</t>
  </si>
  <si>
    <t>104.219.248.114</t>
  </si>
  <si>
    <t>61-1800-215-992</t>
  </si>
  <si>
    <t>5ed74853e4773</t>
  </si>
  <si>
    <t>https://host-support08.site/index-5.html</t>
  </si>
  <si>
    <t>itii998955213.azurewebsites.net</t>
  </si>
  <si>
    <t>13.89.172.8</t>
  </si>
  <si>
    <t>5fee2baa61469</t>
  </si>
  <si>
    <t>http://itii998955213.azurewebsites.net/</t>
  </si>
  <si>
    <t>mmsxms-eeopo.azurewebsites.net</t>
  </si>
  <si>
    <t>5fed08179ba2d</t>
  </si>
  <si>
    <t>http://mmsxms-eeopo.azurewebsites.net/</t>
  </si>
  <si>
    <t>44irllo433.azurewebsites.net</t>
  </si>
  <si>
    <t>5fecd854ed9af</t>
  </si>
  <si>
    <t>http://44irllo433.azurewebsites.net/</t>
  </si>
  <si>
    <t>lpmggs825568.azurewebsites.net</t>
  </si>
  <si>
    <t>5fecd850ad19b</t>
  </si>
  <si>
    <t>http://lpmggs825568.azurewebsites.net/</t>
  </si>
  <si>
    <t>kibfd54554234.azurewebsites.net</t>
  </si>
  <si>
    <t>5fecd84c6a4a2</t>
  </si>
  <si>
    <t>http://kibfd54554234.azurewebsites.net/</t>
  </si>
  <si>
    <t>kingoftime29944.azurewebsites.net</t>
  </si>
  <si>
    <t>5feb64f113135</t>
  </si>
  <si>
    <t>http://kingoftime29944.azurewebsites.net/</t>
  </si>
  <si>
    <t>pushkim385778493.azurewebsites.net</t>
  </si>
  <si>
    <t>5feb64ec93f57</t>
  </si>
  <si>
    <t>http://pushkim385778493.azurewebsites.net/</t>
  </si>
  <si>
    <t>liveonlinepchelp06.azurewebsites.net</t>
  </si>
  <si>
    <t>5f735e07dea92</t>
  </si>
  <si>
    <t>http://liveonlinepchelp06.azurewebsites.net/6Yeqm5nqUDDNFgk/</t>
  </si>
  <si>
    <t>onlinecomputersupport60.azurewebsites.net</t>
  </si>
  <si>
    <t>5f72212b82a32</t>
  </si>
  <si>
    <t>https://onlinecomputersupport60.azurewebsites.net/Kq8XSq5WNCgY68z/</t>
  </si>
  <si>
    <t>freepchelp66.azurewebsites.net</t>
  </si>
  <si>
    <t>5f61c576a916c</t>
  </si>
  <si>
    <t>https://freepchelp66.azurewebsites.net/ERDDrHjVfKbFJbQ/</t>
  </si>
  <si>
    <t>pconlinehelp106.azurewebsites.net</t>
  </si>
  <si>
    <t>5f60798be836c</t>
  </si>
  <si>
    <t>https://pconlinehelp106.azurewebsites.net/ERDDrHjVfKbFJbQ/</t>
  </si>
  <si>
    <t>pconlinehelp20.azurewebsites.net</t>
  </si>
  <si>
    <t>5f5f9ad55f55a</t>
  </si>
  <si>
    <t>https://pconlinehelp20.azurewebsites.net/ERDDrHjVfKbFJbQ/</t>
  </si>
  <si>
    <t>pconlinehelp146.azurewebsites.net</t>
  </si>
  <si>
    <t>5f607932915e6</t>
  </si>
  <si>
    <t>https://pconlinehelp146.azurewebsites.net/ERDDrHjVfKbFJbQ/</t>
  </si>
  <si>
    <t>pchelpservices105.azurewebsites.net</t>
  </si>
  <si>
    <t>5f591709cd72c</t>
  </si>
  <si>
    <t>https://pchelpservices105.azurewebsites.net/dawsonwhlerS7v/</t>
  </si>
  <si>
    <t>callnow-free86.azurewebsites.net</t>
  </si>
  <si>
    <t>5f4c089674415</t>
  </si>
  <si>
    <t>http://callnow-free86.azurewebsites.net/S9M5QFaca7VkHSt/</t>
  </si>
  <si>
    <t>callnow-free73.azurewebsites.net</t>
  </si>
  <si>
    <t>5f4c08579ad93</t>
  </si>
  <si>
    <t>http://callnow-free73.azurewebsites.net/S9M5QFaca7VkHSt/</t>
  </si>
  <si>
    <t>freecallcaresupport50.azurewebsites.net</t>
  </si>
  <si>
    <t>5f4aa31fe3d18</t>
  </si>
  <si>
    <t>http://freecallcaresupport50.azurewebsites.net/vTUPHmw6mhDcMgT/</t>
  </si>
  <si>
    <t>freecallcaresupport46.azurewebsites.net</t>
  </si>
  <si>
    <t>5f4aa30d7bbbb</t>
  </si>
  <si>
    <t>http://freecallcaresupport46.azurewebsites.net/vTUPHmw6mhDcMgT/</t>
  </si>
  <si>
    <t>freecallcaresupport06.azurewebsites.net</t>
  </si>
  <si>
    <t>5f4aa247866f3</t>
  </si>
  <si>
    <t>http://freecallcaresupport06.azurewebsites.net/vTUPHmw6mhDcMgT/</t>
  </si>
  <si>
    <t>freemaintenance107.azurewebsites.net</t>
  </si>
  <si>
    <t>5f495ec84da01</t>
  </si>
  <si>
    <t>http://freemaintenance107.azurewebsites.net/q5gCvYnz6kzKvgY/</t>
  </si>
  <si>
    <t>freemaintenance51.azurewebsites.net</t>
  </si>
  <si>
    <t>5f495de085045</t>
  </si>
  <si>
    <t>http://freemaintenance51.azurewebsites.net/q5gCvYnz6kzKvgY/</t>
  </si>
  <si>
    <t>customercaresupport180.azurewebsites.net</t>
  </si>
  <si>
    <t>5f4945355f6ed</t>
  </si>
  <si>
    <t>https://customercaresupport180.azurewebsites.net/HNhGpB5gbMdVDyb/</t>
  </si>
  <si>
    <t>carefreesupport10.azurewebsites.net</t>
  </si>
  <si>
    <t>5f4800c78234c</t>
  </si>
  <si>
    <t>http://carefreesupport10.azurewebsites.net/vcCsfdvjFg4P5tp/index.html</t>
  </si>
  <si>
    <t>getfreesupport07.azurewebsites.net</t>
  </si>
  <si>
    <t>5f47a5c9aca7e</t>
  </si>
  <si>
    <t>http://getfreesupport07.azurewebsites.net/Zcv6znVbFKDkXCy/</t>
  </si>
  <si>
    <t>getfreesupport87.azurewebsites.net</t>
  </si>
  <si>
    <t>5f3f8902c65ee</t>
  </si>
  <si>
    <t>http://getfreesupport87.azurewebsites.net/tracimartinezFaP/</t>
  </si>
  <si>
    <t>checkup70.azurewebsites.net</t>
  </si>
  <si>
    <t>5f31636fbcf9d</t>
  </si>
  <si>
    <t>http://checkup70.azurewebsites.net/Mer-cado/</t>
  </si>
  <si>
    <t>computer75.azurewebsites.net</t>
  </si>
  <si>
    <t>5f3162e5a75c1</t>
  </si>
  <si>
    <t>http://computer75.azurewebsites.net/Mer-cado/</t>
  </si>
  <si>
    <t>computer79.azurewebsites.net</t>
  </si>
  <si>
    <t>5f30de4d829c8</t>
  </si>
  <si>
    <t>http://computer79.azurewebsites.net/Mer-cado/</t>
  </si>
  <si>
    <t>computercheckup06.azurewebsites.net</t>
  </si>
  <si>
    <t>5f214d6c3f97e</t>
  </si>
  <si>
    <t>http://computercheckup06.azurewebsites.net/Lenox-Drive/</t>
  </si>
  <si>
    <t>werror07.azurewebsites.net</t>
  </si>
  <si>
    <t>5f1ad8c7afb2d</t>
  </si>
  <si>
    <t>http://werror07.azurewebsites.net/Efrain-Forbes/</t>
  </si>
  <si>
    <t>rbnspp.azurewebsites.net</t>
  </si>
  <si>
    <t>5f10b3c07f85c</t>
  </si>
  <si>
    <t>http://rbnspp.azurewebsites.net/Get-helpline-error-909/PKxTEdsjsjhskhkasdSP/</t>
  </si>
  <si>
    <t>suppinform-60.azurewebsites.net</t>
  </si>
  <si>
    <t>5edb597c11276</t>
  </si>
  <si>
    <t>https://suppinform-60.azurewebsites.net/supp5533/Ch01010101_y/</t>
  </si>
  <si>
    <t>suppinform-58.azurewebsites.net</t>
  </si>
  <si>
    <t>5edca2481bfc6</t>
  </si>
  <si>
    <t>https://suppinform-58.azurewebsites.net/supp5533/MSax0101/</t>
  </si>
  <si>
    <t>suppinform-57.azurewebsites.net</t>
  </si>
  <si>
    <t>5edca22da0da3</t>
  </si>
  <si>
    <t>https://suppinform-57.azurewebsites.net/supp5533/Ch01010101_y/</t>
  </si>
  <si>
    <t>suppinform-55.azurewebsites.net</t>
  </si>
  <si>
    <t>5edc67c69e9f6</t>
  </si>
  <si>
    <t>https://suppinform-55.azurewebsites.net/supp5533/Ch01010101_y/</t>
  </si>
  <si>
    <t>suppinform-51.azurewebsites.net</t>
  </si>
  <si>
    <t>5edb58cfa69a2</t>
  </si>
  <si>
    <t>https://suppinform-51.azurewebsites.net/supp5533/MSax0101/</t>
  </si>
  <si>
    <t>server-crashed-callhelpline-9.azurewebsites.net</t>
  </si>
  <si>
    <t>5edddb7894f4c</t>
  </si>
  <si>
    <t>http://server-crashed-callhelpline-9.azurewebsites.net/ED100101010XC/?site=6989958&amp;amp;zone=2000</t>
  </si>
  <si>
    <t>error-files-download1.azurewebsites.net</t>
  </si>
  <si>
    <t>5eda3d9daf3e1</t>
  </si>
  <si>
    <t>https://error-files-download1.azurewebsites.net/</t>
  </si>
  <si>
    <t>error-files-download4.azurewebsites.net</t>
  </si>
  <si>
    <t>5eda3d7a33251</t>
  </si>
  <si>
    <t>https://error-files-download4.azurewebsites.net/</t>
  </si>
  <si>
    <t>error-files-download3.azurewebsites.net</t>
  </si>
  <si>
    <t>5eda3d717e84b</t>
  </si>
  <si>
    <t>https://error-files-download3.azurewebsites.net/</t>
  </si>
  <si>
    <t>61-1800-862-086</t>
  </si>
  <si>
    <t>5ed96880d9585</t>
  </si>
  <si>
    <t>https://error-files-download1.azurewebsites.net/?clickid=gqGonHqpnnUKubvjFok8zv1E9H3heFvCAxXlLiqqN&amp;amp;siteid=6989958&amp;amp;zoneid=2000</t>
  </si>
  <si>
    <t>error-files-download2.azurewebsites.net</t>
  </si>
  <si>
    <t>5ed968532ff1d</t>
  </si>
  <si>
    <t>https://error-files-download2.azurewebsites.net/?clickid=gqGonHqpnnUKubvjFok8zv1E9H3heFvCAxXlLiqqN&amp;amp;siteid=6989958&amp;amp;zoneid=2000</t>
  </si>
  <si>
    <t>porno-content-locked-1.azurewebsites.net</t>
  </si>
  <si>
    <t>5ed74876a5e2d</t>
  </si>
  <si>
    <t>https://porno-content-locked-1.azurewebsites.net/?clickid=Jm6WbSljqqU5uyRGtN5llR1vpFAhJFZCXymlxiRRj&amp;amp;siteid=6989958&amp;amp;zoneid=2000</t>
  </si>
  <si>
    <t>178.128.16.83</t>
  </si>
  <si>
    <t>5ed748e586575</t>
  </si>
  <si>
    <t>http://178.128.16.83/</t>
  </si>
  <si>
    <t>Clifton</t>
  </si>
  <si>
    <t>onlinebillcart.site</t>
  </si>
  <si>
    <t>161.35.136.233</t>
  </si>
  <si>
    <t>5ed77cf7c9c9b</t>
  </si>
  <si>
    <t>https://onlinebillcart.site/XEDdhdsbfhgdfhdgf7xe</t>
  </si>
  <si>
    <t>appilohaz.xyz</t>
  </si>
  <si>
    <t>104.28.15.174</t>
  </si>
  <si>
    <t>5ed7d3716d221</t>
  </si>
  <si>
    <t>https://appilohaz.xyz/iichrom832z/</t>
  </si>
  <si>
    <t>globally559.ml</t>
  </si>
  <si>
    <t>104.18.56.4</t>
  </si>
  <si>
    <t>5ed823de045f7</t>
  </si>
  <si>
    <t>https://globally559.ml/ALSPDPS10112055022408805550sdf50225sadf022203300550220asdf20550220dfs2g0sd550ads020258086546213/HRYDIE18811881187D_S/</t>
  </si>
  <si>
    <t>saoksdoakdo.ml</t>
  </si>
  <si>
    <t>107.180.12.36</t>
  </si>
  <si>
    <t>5ee9f03953aea</t>
  </si>
  <si>
    <t>https://saoksdoakdo.ml/TEdsjsjhskhkasdVX/</t>
  </si>
  <si>
    <t>01hihisgisgsg.ml</t>
  </si>
  <si>
    <t>5eda3ee5e0745</t>
  </si>
  <si>
    <t>https://01hihisgisgsg.ml/TEdsjsjhskhkasdVX</t>
  </si>
  <si>
    <t>5eda3cebb0025</t>
  </si>
  <si>
    <t>https://01hihisgisgsg.ml/TMachdsfgdsffdVX/</t>
  </si>
  <si>
    <t>5eda3ce18d4e0</t>
  </si>
  <si>
    <t>https://01hihisgisgsg.ml/TFdsjsjhskhkasdVX/</t>
  </si>
  <si>
    <t>isighijff.ml</t>
  </si>
  <si>
    <t>5eda285078d6b</t>
  </si>
  <si>
    <t>https://isighijff.ml/TEdsjsjhskhkasdVX/</t>
  </si>
  <si>
    <t>5ed8bb8b05359</t>
  </si>
  <si>
    <t>https://01hihisgisgsg.ml/TEdsjsjhskhkasdVX/</t>
  </si>
  <si>
    <t>myshop2x7.online</t>
  </si>
  <si>
    <t>104.27.158.39</t>
  </si>
  <si>
    <t>5ed9281552a41</t>
  </si>
  <si>
    <t>https://myshop2x7.online/usone/DF10010011010ED7V/</t>
  </si>
  <si>
    <t>beflagoc.icu</t>
  </si>
  <si>
    <t>51.158.124.52</t>
  </si>
  <si>
    <t>601991b487890</t>
  </si>
  <si>
    <t>http://beflagoc.icu/t/W880n01xm888se0cur0it0yED008/index.html</t>
  </si>
  <si>
    <t>icu</t>
  </si>
  <si>
    <t>acediaoc.xyz</t>
  </si>
  <si>
    <t>601991b01b66c</t>
  </si>
  <si>
    <t>http://acediaoc.xyz/t/W880n01xm888se0cur0it0yED008/index.html</t>
  </si>
  <si>
    <t>hyphalit.xyz</t>
  </si>
  <si>
    <t>601991ac7f713</t>
  </si>
  <si>
    <t>http://hyphalit.xyz/t/W880n01xm888se0cur0it0yED008/index.html</t>
  </si>
  <si>
    <t>plenumdc.xyz</t>
  </si>
  <si>
    <t>601991a95c76c</t>
  </si>
  <si>
    <t>http://plenumdc.xyz/t/W880n01xm888se0cur0it0yED008/index.html</t>
  </si>
  <si>
    <t>lubricit.fun</t>
  </si>
  <si>
    <t>601991a64e105</t>
  </si>
  <si>
    <t>http://lubricit.fun/t/W880n01xm888se0cur0it0yED008/index.html</t>
  </si>
  <si>
    <t>fun</t>
  </si>
  <si>
    <t>calidadc.fun</t>
  </si>
  <si>
    <t>601991a25c65d</t>
  </si>
  <si>
    <t>http://calidadc.fun/t/W880n01xm888se0cur0it0yED008/index.html</t>
  </si>
  <si>
    <t>tossupis.icu</t>
  </si>
  <si>
    <t>60198f9f25626</t>
  </si>
  <si>
    <t>http://tossupis.icu/t/W880n01xm888se0cur0it0yED008/index.html</t>
  </si>
  <si>
    <t>joskinis.space</t>
  </si>
  <si>
    <t>6016ece990251</t>
  </si>
  <si>
    <t>http://joskinis.space/t/W880n01xm888se0cur0it0yED008/index.html</t>
  </si>
  <si>
    <t>space</t>
  </si>
  <si>
    <t>caudaeis.xyz</t>
  </si>
  <si>
    <t>6016ef89304a5</t>
  </si>
  <si>
    <t>http://caudaeis.xyz/t/W880n01xm888se0cur0it0yED008/index.html</t>
  </si>
  <si>
    <t>hyperparathyroidism.site</t>
  </si>
  <si>
    <t>5fcb691abe56f</t>
  </si>
  <si>
    <t>http://hyperparathyroidism.site/t2/CHfdfdfdfdfdfdffdfRiJaucode0xhelpms008/index.html</t>
  </si>
  <si>
    <t>electrotherapeutist.online</t>
  </si>
  <si>
    <t>5fcb68ec03427</t>
  </si>
  <si>
    <t>http://electrotherapeutist.online/t2/CHfdfdfdfdfdfdffdfRiJaucode0xhelpms008/index.html</t>
  </si>
  <si>
    <t>electrometallurgist.site</t>
  </si>
  <si>
    <t>5fcb68dacccdb</t>
  </si>
  <si>
    <t>http://electrometallurgist.site/t2/CHfdfdfdfdfdfdffdfRiJaucode0xhelpms008/index.html</t>
  </si>
  <si>
    <t>chronogrammatically.club</t>
  </si>
  <si>
    <t>5fca719135ae9</t>
  </si>
  <si>
    <t>http://chronogrammatically.club/t2/IEfdfdfdfdfdfdffdfRiJaucode0xhelpms008/index.html</t>
  </si>
  <si>
    <t>turbidiimetrically.xyz</t>
  </si>
  <si>
    <t>5fa58b920ed3e</t>
  </si>
  <si>
    <t>http://turbidiimetrically.xyz/t2/IEfdfdfdfdfdfdffdfRiJaucode0xhelpms008/index.html</t>
  </si>
  <si>
    <t>overmultiplication.online</t>
  </si>
  <si>
    <t>5f8f5979aa644</t>
  </si>
  <si>
    <t>http://overmultiplication.online/t2/IEfdfdfdfdfdfdffdfRiJaucode0xhelpms008/index.html</t>
  </si>
  <si>
    <t>precollapsibility.site</t>
  </si>
  <si>
    <t>5f57b291253a2</t>
  </si>
  <si>
    <t>http://precollapsibility.site/t/0CHdhdsbfMShgdfhdgfHrRisf/</t>
  </si>
  <si>
    <t>transessentiatng.club</t>
  </si>
  <si>
    <t>5f57b28dbcd67</t>
  </si>
  <si>
    <t>http://transessentiatng.club/t/0CHdhdsbfMShgdfhdgfHrRisf/</t>
  </si>
  <si>
    <t>psychogenetically.club</t>
  </si>
  <si>
    <t>5f57b27d0876d</t>
  </si>
  <si>
    <t>http://psychogenetically.club/t/0CHdhdsbfMShgdfhdgfHrRisf/</t>
  </si>
  <si>
    <t>impracticableness.club</t>
  </si>
  <si>
    <t>5f57b2790be24</t>
  </si>
  <si>
    <t>http://impracticableness.club/t/0CHdhdsbfMShgdfhdgfHrRisf/</t>
  </si>
  <si>
    <t>disinterestedness.online</t>
  </si>
  <si>
    <t>5f57b264dce77</t>
  </si>
  <si>
    <t>http://disinterestedness.online/t/0CHdhdsbfMShgdfhdgfHrRisf/</t>
  </si>
  <si>
    <t>semiautomatically.xyz</t>
  </si>
  <si>
    <t>5f57b254905d6</t>
  </si>
  <si>
    <t>http://semiautomatically.xyz/t/0CHdhdsbfMShgdfhdgfHrRisf/</t>
  </si>
  <si>
    <t>intermunicipality.club</t>
  </si>
  <si>
    <t>5f418ec42acd7</t>
  </si>
  <si>
    <t>http://intermunicipality.club/j/0EDdhdsbfMShgdfhdgfHrRisf/</t>
  </si>
  <si>
    <t>antirevolutionary.club</t>
  </si>
  <si>
    <t>5f4179ee9d31d</t>
  </si>
  <si>
    <t>http://antirevolutionary.club/j/0CHdhdsbfMShgdfhdgfHrRisf/</t>
  </si>
  <si>
    <t>nondisintegration.site</t>
  </si>
  <si>
    <t>5f10bd45b594f</t>
  </si>
  <si>
    <t>http://nondisintegration.site/ch/</t>
  </si>
  <si>
    <t>electrocardiogram.online</t>
  </si>
  <si>
    <t>5f10afb5c639e</t>
  </si>
  <si>
    <t>http://electrocardiogram.online/ch/</t>
  </si>
  <si>
    <t>unsupportableness.site</t>
  </si>
  <si>
    <t>5f108fdd67131</t>
  </si>
  <si>
    <t>http://unsupportableness.site/t/</t>
  </si>
  <si>
    <t>multidisciplinry.club</t>
  </si>
  <si>
    <t>5f1089cb58070</t>
  </si>
  <si>
    <t>http://multidisciplinry.club/edge/</t>
  </si>
  <si>
    <t>5f1081e173468</t>
  </si>
  <si>
    <t>http://multidisciplinry.club/ch/</t>
  </si>
  <si>
    <t>overembellishment.site</t>
  </si>
  <si>
    <t>5f0a213581e23</t>
  </si>
  <si>
    <t>http://overembellishment.site/ch/</t>
  </si>
  <si>
    <t>chuckleheadednes.club</t>
  </si>
  <si>
    <t>5f0a153a2c990</t>
  </si>
  <si>
    <t>http://chuckleheadednes.club/p</t>
  </si>
  <si>
    <t>5f0a10207b655</t>
  </si>
  <si>
    <t>http://chuckleheadednes.club/t</t>
  </si>
  <si>
    <t>professionalizing.site</t>
  </si>
  <si>
    <t>5f09f841da7cf</t>
  </si>
  <si>
    <t>http://professionalizing.site/t/</t>
  </si>
  <si>
    <t>triskaidekaphobia.site</t>
  </si>
  <si>
    <t>5edfe3526166b</t>
  </si>
  <si>
    <t>http://triskaidekaphobia.site/t/IE10010110xyJP/</t>
  </si>
  <si>
    <t>nonsufferableness.site</t>
  </si>
  <si>
    <t>5ed9625bb9d69</t>
  </si>
  <si>
    <t>http://nonsufferableness.site/edge</t>
  </si>
  <si>
    <t>cryptoclimatology.site</t>
  </si>
  <si>
    <t>5ed9302b58319</t>
  </si>
  <si>
    <t>http://cryptoclimatology.site/edge/</t>
  </si>
  <si>
    <t>New York</t>
  </si>
  <si>
    <t>onlinebillcards.site</t>
  </si>
  <si>
    <t>167.172.225.251</t>
  </si>
  <si>
    <t>5eda3e25a7d72</t>
  </si>
  <si>
    <t>https://onlinebillcards.site/00MSfdfdfdfdfdd0/</t>
  </si>
  <si>
    <t>5eda1f35e27c0</t>
  </si>
  <si>
    <t>https://onlinebillcards.site/XEDdhdsbfhgdfhdgf7xe/</t>
  </si>
  <si>
    <t>hecghhasjsasa.xyz</t>
  </si>
  <si>
    <t>185.61.154.56</t>
  </si>
  <si>
    <t>5ee1f63d8d6b2</t>
  </si>
  <si>
    <t>https://hecghhasjsasa.xyz/0011jetzt-anrufen-2SW/</t>
  </si>
  <si>
    <t>garchasaksal.xyz</t>
  </si>
  <si>
    <t>5ede1a3c8af48</t>
  </si>
  <si>
    <t>https://garchasaksal.xyz/0011jetzt-anrufen-2SW/</t>
  </si>
  <si>
    <t>karhjukishsjdk.xyz</t>
  </si>
  <si>
    <t>5ede083a8eb2b</t>
  </si>
  <si>
    <t>https://karhjukishsjdk.xyz/0011jetzt-anrufen-2SW/</t>
  </si>
  <si>
    <t>sukhjewellerycollection.club</t>
  </si>
  <si>
    <t>162.241.27.69</t>
  </si>
  <si>
    <t>5f21aebfec895</t>
  </si>
  <si>
    <t>https://sukhjewellerycollection.club/micro-alert/EDfdfdfdfd100110dfRS/</t>
  </si>
  <si>
    <t>sunajagiftshop.club</t>
  </si>
  <si>
    <t>5f122609110c1</t>
  </si>
  <si>
    <t>https://sunajagiftshop.club/warning/CHfdfdfdfd100110dfRS/</t>
  </si>
  <si>
    <t>fashionrhydham.club</t>
  </si>
  <si>
    <t>5eff86d1c7518</t>
  </si>
  <si>
    <t>https://fashionrhydham.club/9005/CHfdfdfdfd100110dfRS/</t>
  </si>
  <si>
    <t>rockmusicstore.online</t>
  </si>
  <si>
    <t>5eebdfe09ace4</t>
  </si>
  <si>
    <t>https://rockmusicstore.online/black-5530/CHfdfdfdfd100110dfRS/</t>
  </si>
  <si>
    <t>breadwaysbakers.club</t>
  </si>
  <si>
    <t>5eda88db9066b</t>
  </si>
  <si>
    <t>https://breadwaysbakers.club/zeus/XEDdhdsbfhgdfhdgf7AP</t>
  </si>
  <si>
    <t>5eda88e1f199d</t>
  </si>
  <si>
    <t>https://breadwaysbakers.club/zeus/XMAdhdsbfhgdfhdgf7AP</t>
  </si>
  <si>
    <t>AS15169</t>
  </si>
  <si>
    <t>35.239.70.29</t>
  </si>
  <si>
    <t>Google LLC</t>
  </si>
  <si>
    <t>GoogleLLC</t>
  </si>
  <si>
    <t>5eda360a9280c</t>
  </si>
  <si>
    <t>http://35.239.70.29/ED100101010XCRS/</t>
  </si>
  <si>
    <t>Burlington</t>
  </si>
  <si>
    <t>schutz0977.ml</t>
  </si>
  <si>
    <t>192.185.129.218</t>
  </si>
  <si>
    <t>5f2d22ae3bcba</t>
  </si>
  <si>
    <t>http://schutz0977.ml/NewGer/SS/DE/</t>
  </si>
  <si>
    <t>gormoorter.ml</t>
  </si>
  <si>
    <t>Austria</t>
  </si>
  <si>
    <t>5f2c66a09e84c</t>
  </si>
  <si>
    <t>http://gormoorter.ml/rod/AS/</t>
  </si>
  <si>
    <t>gormoorter.cf</t>
  </si>
  <si>
    <t>5f2c66837e34e</t>
  </si>
  <si>
    <t>http://gormoorter.cf/NewGer/copy/DE/</t>
  </si>
  <si>
    <t>mail.schutz0977.gq</t>
  </si>
  <si>
    <t>5f2c65fc8e8f8</t>
  </si>
  <si>
    <t>http://mail.schutz0977.gq/NewGer/6thAug/DE/</t>
  </si>
  <si>
    <t>gq</t>
  </si>
  <si>
    <t>schutz0977.gq</t>
  </si>
  <si>
    <t>5f2c64db8a00f</t>
  </si>
  <si>
    <t>http://schutz0977.gq/NewGer/6thAug/DE/</t>
  </si>
  <si>
    <t>gormoorter.ga</t>
  </si>
  <si>
    <t>5f2afcaa3066b</t>
  </si>
  <si>
    <t>http://gormoorter.ga/CH/Mdfsfsdfsfsfg00/</t>
  </si>
  <si>
    <t>gormoorter.gq</t>
  </si>
  <si>
    <t>5f2afc88940bf</t>
  </si>
  <si>
    <t>http://gormoorter.gq/DE/Mdfsfsdfsfsfg00/</t>
  </si>
  <si>
    <t>gormoorter.tk</t>
  </si>
  <si>
    <t>5f2afc4e3d74c</t>
  </si>
  <si>
    <t>http://gormoorter.tk/toer/at/</t>
  </si>
  <si>
    <t>tk</t>
  </si>
  <si>
    <t>taxisterm.tk</t>
  </si>
  <si>
    <t>5f2a8f8e05ca9</t>
  </si>
  <si>
    <t>http://taxisterm.tk/DE/Mdfsfsdfsfsfg00/</t>
  </si>
  <si>
    <t>taxisterm.ga</t>
  </si>
  <si>
    <t>5f2a8f5add872</t>
  </si>
  <si>
    <t>http://taxisterm.ga/CH/Mdfsfsdfsfsfg00/</t>
  </si>
  <si>
    <t>taxisterm.ml</t>
  </si>
  <si>
    <t>5f2a8f355db9e</t>
  </si>
  <si>
    <t>http://taxisterm.ml/AT/Mdfsfsdfsfsfg00/</t>
  </si>
  <si>
    <t>taxisterm.gq</t>
  </si>
  <si>
    <t>5f2a8f0157263</t>
  </si>
  <si>
    <t>http://taxisterm.gq/CH/Mdfsfsdfsfsfg00/</t>
  </si>
  <si>
    <t>taxisterm.cf</t>
  </si>
  <si>
    <t>5f2a8b9ae210c</t>
  </si>
  <si>
    <t>http://taxisterm.cf/Tun/ieAT/</t>
  </si>
  <si>
    <t>annehmen-now.ga</t>
  </si>
  <si>
    <t>5f242603602c7</t>
  </si>
  <si>
    <t>http://annehmen-now.ga/Slop/Trs/</t>
  </si>
  <si>
    <t>check-pczustant.gq</t>
  </si>
  <si>
    <t>5f2425bd8e98c</t>
  </si>
  <si>
    <t>http://check-pczustant.gq/1/2/3/</t>
  </si>
  <si>
    <t>check-pczustant.cf</t>
  </si>
  <si>
    <t>5f2425b97116e</t>
  </si>
  <si>
    <t>http://check-pczustant.cf/4/5/6/</t>
  </si>
  <si>
    <t>check-pczustant.ga</t>
  </si>
  <si>
    <t>5f242511ca499</t>
  </si>
  <si>
    <t>http://check-pczustant.ga/1/at/</t>
  </si>
  <si>
    <t>annehmen-now.tk</t>
  </si>
  <si>
    <t>5f23f57b72973</t>
  </si>
  <si>
    <t>http://annehmen-now.tk/at/Aust/</t>
  </si>
  <si>
    <t>checgouyser.ml</t>
  </si>
  <si>
    <t>5f22e6e8d7be4</t>
  </si>
  <si>
    <t>http://checgouyser.ml/public/AT/</t>
  </si>
  <si>
    <t>getserepo.ml</t>
  </si>
  <si>
    <t>5f22e6d292c80</t>
  </si>
  <si>
    <t>http://getserepo.ml/adwcleaner/AT/</t>
  </si>
  <si>
    <t>getserepo.gq</t>
  </si>
  <si>
    <t>5f22e69a304ed</t>
  </si>
  <si>
    <t>http://getserepo.gq/OldGer/ieDE/</t>
  </si>
  <si>
    <t>checgouyser.ga</t>
  </si>
  <si>
    <t>5f21825d78cb5</t>
  </si>
  <si>
    <t>http://checgouyser.ga/you/tube/</t>
  </si>
  <si>
    <t>checgouyser.gq</t>
  </si>
  <si>
    <t>5f2182017454f</t>
  </si>
  <si>
    <t>http://checgouyser.gq/lord/skip/</t>
  </si>
  <si>
    <t>besteenmoseo.cf</t>
  </si>
  <si>
    <t>5f21544446b8a</t>
  </si>
  <si>
    <t>http://besteenmoseo.cf/under/back/</t>
  </si>
  <si>
    <t>mail.esteenmoso.gq</t>
  </si>
  <si>
    <t>5f20460f89686</t>
  </si>
  <si>
    <t>http://mail.esteenmoso.gq/rename/cancel/</t>
  </si>
  <si>
    <t>mail.esteenmoso.cf</t>
  </si>
  <si>
    <t>5f203008198e3</t>
  </si>
  <si>
    <t>http://mail.esteenmoso.cf/name/wifi/</t>
  </si>
  <si>
    <t>www.esteenmoso.cf</t>
  </si>
  <si>
    <t>5f202e1e83333</t>
  </si>
  <si>
    <t>http://www.esteenmoso.cf/name/wifi/</t>
  </si>
  <si>
    <t>esteenmoso.gq</t>
  </si>
  <si>
    <t>5f2045f7b6812</t>
  </si>
  <si>
    <t>http://esteenmoso.gq/rename/cancel/</t>
  </si>
  <si>
    <t>www.fostoermoor.tk</t>
  </si>
  <si>
    <t>5f1ef5e29e890</t>
  </si>
  <si>
    <t>http://www.fostoermoor.tk/at/ieAT/</t>
  </si>
  <si>
    <t>fostoermoor.tk</t>
  </si>
  <si>
    <t>5f1ef142346d6</t>
  </si>
  <si>
    <t>http://fostoermoor.tk/at/ieAT/</t>
  </si>
  <si>
    <t>moerokjuer.ga</t>
  </si>
  <si>
    <t>5f1d89ffa5e4c</t>
  </si>
  <si>
    <t>http://moerokjuer.ga/123/file/</t>
  </si>
  <si>
    <t>www.poweru234-io09834.cf</t>
  </si>
  <si>
    <t>5f1b0c0725743</t>
  </si>
  <si>
    <t>http://www.poweru234-io09834.cf/walt/ner/</t>
  </si>
  <si>
    <t>mail.wernu3423-987uerwe.gq</t>
  </si>
  <si>
    <t>5f1b0be90700b</t>
  </si>
  <si>
    <t>http://mail.wernu3423-987uerwe.gq/hd/EdgeAT/</t>
  </si>
  <si>
    <t>mail.wernu3423-987uerwe.ga</t>
  </si>
  <si>
    <t>5f1b0b966dfe8</t>
  </si>
  <si>
    <t>http://mail.wernu3423-987uerwe.ga/New%20folder/err/</t>
  </si>
  <si>
    <t>wernu3423-987uerwe.ga</t>
  </si>
  <si>
    <t>5f1b0b85ae039</t>
  </si>
  <si>
    <t>http://wernu3423-987uerwe.ga/New%20folder/err/</t>
  </si>
  <si>
    <t>mail.linjostnor.gq</t>
  </si>
  <si>
    <t>5f1b0b05652e4</t>
  </si>
  <si>
    <t>http://mail.linjostnor.gq/cop/EdgeCH/</t>
  </si>
  <si>
    <t>www.poweru234-io09834.ml</t>
  </si>
  <si>
    <t>5f1896272c430</t>
  </si>
  <si>
    <t>http://www.poweru234-io09834.ml/sw/e/</t>
  </si>
  <si>
    <t>5f1896027c22c</t>
  </si>
  <si>
    <t>http://wernu3423-987uerwe.ga/Old/EdgeCH/</t>
  </si>
  <si>
    <t>poweru234-io09834.tk</t>
  </si>
  <si>
    <t>5f18542326ac7</t>
  </si>
  <si>
    <t>http://poweru234-io09834.tk/copy/re/</t>
  </si>
  <si>
    <t>poweru234-io09834.cf</t>
  </si>
  <si>
    <t>5f1853f5ad163</t>
  </si>
  <si>
    <t>http://poweru234-io09834.cf/walt/ner/</t>
  </si>
  <si>
    <t>poweru234-io09834.ga</t>
  </si>
  <si>
    <t>5f1853d6b40b8</t>
  </si>
  <si>
    <t>http://poweru234-io09834.ga/dr/at/</t>
  </si>
  <si>
    <t>poweru234-io09834.ml</t>
  </si>
  <si>
    <t>5f1853c5835d1</t>
  </si>
  <si>
    <t>http://poweru234-io09834.ml/sw/EdgeAT/</t>
  </si>
  <si>
    <t>wernu3423-987uerwe.gq</t>
  </si>
  <si>
    <t>5f1838861b57d</t>
  </si>
  <si>
    <t>http://wernu3423-987uerwe.gq/hd/r/</t>
  </si>
  <si>
    <t>terhueri-euyyw.ga</t>
  </si>
  <si>
    <t>5ee9f02e4bcd3</t>
  </si>
  <si>
    <t>http://terhueri-euyyw.ga/Ganz/</t>
  </si>
  <si>
    <t>hemerleraerwsat.ga</t>
  </si>
  <si>
    <t>5ee7690637d7d</t>
  </si>
  <si>
    <t>http://hemerleraerwsat.ga/Ganz1/</t>
  </si>
  <si>
    <t>schutztojaner.gq</t>
  </si>
  <si>
    <t>5ee4ce0851b57</t>
  </si>
  <si>
    <t>http://schutztojaner.gq/Ganz1/</t>
  </si>
  <si>
    <t>windows-schutz-deaktiviert-trojaner.ga</t>
  </si>
  <si>
    <t>5ee0b576b163f</t>
  </si>
  <si>
    <t>http://windows-schutz-deaktiviert-trojaner.ga/Ganz1/</t>
  </si>
  <si>
    <t>windows-schutz-deaktiviert-trojaner.tk</t>
  </si>
  <si>
    <t>5edf842248bf3</t>
  </si>
  <si>
    <t>http://windows-schutz-deaktiviert-trojaner.tk/Ganz00/</t>
  </si>
  <si>
    <t>ungesicherte-website-besucht.tk</t>
  </si>
  <si>
    <t>5ede405289504</t>
  </si>
  <si>
    <t>http://ungesicherte-website-besucht.tk/Ganz00/</t>
  </si>
  <si>
    <t>spyware-trojaner-shutz-deaktiviert.ga</t>
  </si>
  <si>
    <t>5edb8fb923d2b</t>
  </si>
  <si>
    <t>http://spyware-trojaner-shutz-deaktiviert.ga/Ganz/</t>
  </si>
  <si>
    <t>schutz-deaktiviert-trojaner.ga</t>
  </si>
  <si>
    <t>5eda59cfa39c8</t>
  </si>
  <si>
    <t>http://schutz-deaktiviert-trojaner.ga/Ganz2/</t>
  </si>
  <si>
    <t>cgfrweadswqt.gq</t>
  </si>
  <si>
    <t>5eddf756ec240</t>
  </si>
  <si>
    <t>http://cgfrweadswqt.gq/Ganz/</t>
  </si>
  <si>
    <t>Canberra</t>
  </si>
  <si>
    <t>40bitujkh.azurewebsites.net</t>
  </si>
  <si>
    <t>20.36.106.96</t>
  </si>
  <si>
    <t>60df3b6b4f8eb</t>
  </si>
  <si>
    <t>https://40bitujkh.azurewebsites.net/W088MSi08880Moit0yCED0008Mhi0/index.html</t>
  </si>
  <si>
    <t>23auracdfg.azurewebsites.net</t>
  </si>
  <si>
    <t>60de2a03ce2a0</t>
  </si>
  <si>
    <t>https://23auracdfg.azurewebsites.net/W088MSi08880Moit0yMA0008Mhi0/index.html</t>
  </si>
  <si>
    <t>49bitujkh.azurewebsites.net</t>
  </si>
  <si>
    <t>60ddf36225a97</t>
  </si>
  <si>
    <t>https://49bitujkh.azurewebsites.net/W088MSi08880Moit0yCED0008Mhi0/index.html</t>
  </si>
  <si>
    <t>46bityhcs.azurewebsites.net</t>
  </si>
  <si>
    <t>60ddf20b1ab59</t>
  </si>
  <si>
    <t>https://46bityhcs.azurewebsites.net/W088MSi08880Moit0yCED0008Mhi0/index.html</t>
  </si>
  <si>
    <t>39bitiklp.azurewebsites.net</t>
  </si>
  <si>
    <t>60ddeebf08b45</t>
  </si>
  <si>
    <t>https://39bitiklp.azurewebsites.net/W088MSi08880Moit0yCED0008Mhi0/index.html</t>
  </si>
  <si>
    <t>25messjkio.azurewebsites.net</t>
  </si>
  <si>
    <t>60dca24575a20</t>
  </si>
  <si>
    <t>https://25messjkio.azurewebsites.net/W088MSi08880Moit0yCED0008Mhi0/index.html</t>
  </si>
  <si>
    <t>06torronqwas.azurewebsites.net</t>
  </si>
  <si>
    <t>60d61e581db0d</t>
  </si>
  <si>
    <t>https://06torronqwas.azurewebsites.net/W088MSi08880Moit0yCED0008Mhi0/index.html</t>
  </si>
  <si>
    <t>30threptujkm.azurewebsites.net</t>
  </si>
  <si>
    <t>60d6157a794ff</t>
  </si>
  <si>
    <t>http://30threptujkm.azurewebsites.net/W088MSi08880Moit0yCH0008Mhi0/index.html</t>
  </si>
  <si>
    <t>01torronujki.azurewebsites.net</t>
  </si>
  <si>
    <t>60d21def408c0</t>
  </si>
  <si>
    <t>https://01torronujki.azurewebsites.net/W088MSi08880Moit0yCED0008Mhi0/index.html</t>
  </si>
  <si>
    <t>49tinyqasz.azurewebsites.net</t>
  </si>
  <si>
    <t>60d214cdef7e5</t>
  </si>
  <si>
    <t>https://49tinyqasz.azurewebsites.net/W088MSi08880Moit0yCED0008Mhi0/index.html</t>
  </si>
  <si>
    <t>01threptqwas.azurewebsites.net</t>
  </si>
  <si>
    <t>60d20d74bd777</t>
  </si>
  <si>
    <t>https://01threptqwas.azurewebsites.net/W088MSi08880Moit0yCED0008Mhi0/index.html</t>
  </si>
  <si>
    <t>33tinyqwas.azurewebsites.net</t>
  </si>
  <si>
    <t>60d20cf8885a0</t>
  </si>
  <si>
    <t>https://33tinyqwas.azurewebsites.net/W088MSi08880Moit0yCED0008Mhi0/index.html</t>
  </si>
  <si>
    <t>22torronasdw.azurewebsites.net</t>
  </si>
  <si>
    <t>60d0d42f4ba1f</t>
  </si>
  <si>
    <t>https://22torronasdw.azurewebsites.net/W088MSi08880Moit0yCED0008Mhi0/index.html</t>
  </si>
  <si>
    <t>22torronqwasa.azurewebsites.net</t>
  </si>
  <si>
    <t>60cce560aff9d</t>
  </si>
  <si>
    <t>https://22torronqwasa.azurewebsites.net/W088MSi08880Moit0yCH0008Mhi0/index.html</t>
  </si>
  <si>
    <t>44tinyqwas.azurewebsites.net</t>
  </si>
  <si>
    <t>60ccd07e8f90f</t>
  </si>
  <si>
    <t>https://44tinyqwas.azurewebsites.net/W088MSi08880Moit0yCED0008Mhi0/index.html</t>
  </si>
  <si>
    <t>37tinyasdx.azurewebsites.net</t>
  </si>
  <si>
    <t>60cb7abf67513</t>
  </si>
  <si>
    <t>https://37tinyasdx.azurewebsites.net/W088MSi08880Moit0yCED0008Mhi0/index.html</t>
  </si>
  <si>
    <t>08get-connectederfg.azurewebsites.net</t>
  </si>
  <si>
    <t>6082f1234b509</t>
  </si>
  <si>
    <t>https://08get-connectederfg.azurewebsites.net/W088In01MSi08880it0yCH000811JD/index.html</t>
  </si>
  <si>
    <t>48quicksolutionyhjm.azurewebsites.net</t>
  </si>
  <si>
    <t>60787de09b128</t>
  </si>
  <si>
    <t>https://48quicksolutionyhjm.azurewebsites.net/ed98786543weiuhjbfdhgfJNFDBHGRYT78/</t>
  </si>
  <si>
    <t>22fast-help-ujkm.azurewebsites.net</t>
  </si>
  <si>
    <t>6075ee1d607f9</t>
  </si>
  <si>
    <t>https://22fast-help-ujkm.azurewebsites.net/ed98786543weiuhjbfdhgfJNFDBHGRYT78/</t>
  </si>
  <si>
    <t>01scan-resultsasx.azurewebsites.net</t>
  </si>
  <si>
    <t>605cd497f0019</t>
  </si>
  <si>
    <t>https://01scan-resultsasx.azurewebsites.net/PAHDJ0SGJA844012CHXAGEODB100F/</t>
  </si>
  <si>
    <t>25reportstgfr.azurewebsites.net</t>
  </si>
  <si>
    <t>605cc271f0a91</t>
  </si>
  <si>
    <t>https://25reportstgfr.azurewebsites.net/PAHDJ0SGJA844012CHXAGEODB100F/</t>
  </si>
  <si>
    <t>07scan-resultstghn.azurewebsites.net</t>
  </si>
  <si>
    <t>605b89b13c9b4</t>
  </si>
  <si>
    <t>https://07scan-resultstghn.azurewebsites.net/PAHDJ0SGJA844012CHXAGEODB100F/</t>
  </si>
  <si>
    <t>15reportstghn.azurewebsites.net</t>
  </si>
  <si>
    <t>605b6b45a5d3a</t>
  </si>
  <si>
    <t>https://15reportstghn.azurewebsites.net/PAHDJ0SGJA844012CHXAGEODB100F/</t>
  </si>
  <si>
    <t>15resultsyhnl.azurewebsites.net</t>
  </si>
  <si>
    <t>6058cf89668dd</t>
  </si>
  <si>
    <t>https://15resultsyhnl.azurewebsites.net/PAHDJ0SGJA844012CHXAGEODB100F/</t>
  </si>
  <si>
    <t>106pcfixxzlk.azurewebsites.net</t>
  </si>
  <si>
    <t>603fd28a66c78</t>
  </si>
  <si>
    <t>https://106pcfixxzlk.azurewebsites.net/XOXMUS800844EDG844MMDD1857/</t>
  </si>
  <si>
    <t>getsyourspcfixed-171dgtegerge.azurewebsites.net</t>
  </si>
  <si>
    <t>601da99ad2bfe</t>
  </si>
  <si>
    <t>https://getsyourspcfixed-171dgtegerge.azurewebsites.net/MicOSoCHPC017528240X00/</t>
  </si>
  <si>
    <t>1supportcenterkdbjh.azurewebsites.net</t>
  </si>
  <si>
    <t>https://1supportcenterkdbjh.azurewebsites.net/MicOSoCHPC017528240X00/</t>
  </si>
  <si>
    <t>onestopsupportthrthh.azurewebsites.net</t>
  </si>
  <si>
    <t>5fff554d2a409</t>
  </si>
  <si>
    <t>https://onestopsupportthrthh.azurewebsites.net/MicOSoEDPC017528240X00/</t>
  </si>
  <si>
    <t>onestopsupportsfbhfbhf.azurewebsites.net</t>
  </si>
  <si>
    <t>5fff38b81eb35</t>
  </si>
  <si>
    <t>https://onestopsupportsfbhfbhf.azurewebsites.net/MicOSoEDPC017528240X00/</t>
  </si>
  <si>
    <t>onestopsupportvrgegg.azurewebsites.net</t>
  </si>
  <si>
    <t>5ffe089721a70</t>
  </si>
  <si>
    <t>https://onestopsupportvrgegg.azurewebsites.net/MicOSoMACPC017528240X00/</t>
  </si>
  <si>
    <t>onestopsupportdgdgd.azurewebsites.net</t>
  </si>
  <si>
    <t>5ffc95804e6c5</t>
  </si>
  <si>
    <t>https://onestopsupportdgdgd.azurewebsites.net/MicOSoEDPC017528240X00/</t>
  </si>
  <si>
    <t>supportcode-drt6fhythtryrw.azurewebsites.net</t>
  </si>
  <si>
    <t>5ff8c5f5d14d0</t>
  </si>
  <si>
    <t>https://supportcode-drt6fhythtryrw.azurewebsites.net/MicOSoCHPC017528240X00/</t>
  </si>
  <si>
    <t>supportcode-drt6fhdsgh.azurewebsites.net</t>
  </si>
  <si>
    <t>5ff8bc9a9cfd3</t>
  </si>
  <si>
    <t>https://supportcode-drt6fhdsgh.azurewebsites.net/MicOSoCHPC017528240X00/</t>
  </si>
  <si>
    <t>21-getlivehelp.azurewebsites.net</t>
  </si>
  <si>
    <t>5ff35182f012d</t>
  </si>
  <si>
    <t>https://21-getlivehelp.azurewebsites.net/Wind0HelCHSyS06016552664/</t>
  </si>
  <si>
    <t>supportscenter-01.azurewebsites.net</t>
  </si>
  <si>
    <t>5fe25280a629b</t>
  </si>
  <si>
    <t>https://supportscenter-01.azurewebsites.net/Wind0HelCHSyS06016552664/</t>
  </si>
  <si>
    <t>01-geek-support.azurewebsites.net</t>
  </si>
  <si>
    <t>5fd7aa49af0ca</t>
  </si>
  <si>
    <t>http://01-geek-support.azurewebsites.net/Wind0HelEDGSyS06016552664/</t>
  </si>
  <si>
    <t>21-geek-support.azurewebsites.net</t>
  </si>
  <si>
    <t>5fd7a506dad29</t>
  </si>
  <si>
    <t>http://21-geek-support.azurewebsites.net/Wind0HelEDGSyS06016552664/</t>
  </si>
  <si>
    <t>livequick-support172.azurewebsites.net</t>
  </si>
  <si>
    <t>5faf3e7c50d1e</t>
  </si>
  <si>
    <t>http://livequick-support172.azurewebsites.net/JArbZ98cFQJapCA/</t>
  </si>
  <si>
    <t>livequick-support161.azurewebsites.net</t>
  </si>
  <si>
    <t>5faf3e456f29d</t>
  </si>
  <si>
    <t>http://livequick-support161.azurewebsites.net/JArbZ98cFQJapCA/</t>
  </si>
  <si>
    <t>livequick-support159.azurewebsites.net</t>
  </si>
  <si>
    <t>5faf3e3b406d8</t>
  </si>
  <si>
    <t>http://livequick-support159.azurewebsites.net/JArbZ98cFQJapCA/</t>
  </si>
  <si>
    <t>livequick-support121.azurewebsites.net</t>
  </si>
  <si>
    <t>5faf3d87a1934</t>
  </si>
  <si>
    <t>http://livequick-support121.azurewebsites.net/JArbZ98cFQJapCA/</t>
  </si>
  <si>
    <t>livequick-support101.azurewebsites.net</t>
  </si>
  <si>
    <t>5faf3d292a0c8</t>
  </si>
  <si>
    <t>http://livequick-support101.azurewebsites.net/JArbZ98cFQJapCA/</t>
  </si>
  <si>
    <t>livequick-support092.azurewebsites.net</t>
  </si>
  <si>
    <t>5faf39b3c9db2</t>
  </si>
  <si>
    <t>http://livequick-support092.azurewebsites.net/JArbZ98cFQJapCA/</t>
  </si>
  <si>
    <t>livequick-support086.azurewebsites.net</t>
  </si>
  <si>
    <t>5faf399939177</t>
  </si>
  <si>
    <t>http://livequick-support086.azurewebsites.net/JArbZ98cFQJapCA/</t>
  </si>
  <si>
    <t>livequick-support076.azurewebsites.net</t>
  </si>
  <si>
    <t>5faf3960d5d7d</t>
  </si>
  <si>
    <t>http://livequick-support076.azurewebsites.net/JArbZ98cFQJapCA/</t>
  </si>
  <si>
    <t>livequick-support001.azurewebsites.net</t>
  </si>
  <si>
    <t>5fa97bcddc76d</t>
  </si>
  <si>
    <t>https://livequick-support001.azurewebsites.net/VXJfzDqW2zqUqWz/</t>
  </si>
  <si>
    <t>quick-support091.azurewebsites.net</t>
  </si>
  <si>
    <t>5fa43e64bd327</t>
  </si>
  <si>
    <t>https://quick-support091.azurewebsites.net/KZPnhPzq8R8jHBD/</t>
  </si>
  <si>
    <t>quick-support086.azurewebsites.net</t>
  </si>
  <si>
    <t>5fa43bd8ac049</t>
  </si>
  <si>
    <t>https://quick-support086.azurewebsites.net/KZPnhPzq8R8jHBD</t>
  </si>
  <si>
    <t>quick-support081.azurewebsites.net</t>
  </si>
  <si>
    <t>5fa439fce75e2</t>
  </si>
  <si>
    <t>https://quick-support081.azurewebsites.net/KZPnhPzq8R8jHBD/</t>
  </si>
  <si>
    <t>quick-support061.azurewebsites.net</t>
  </si>
  <si>
    <t>5fa43939b70a9</t>
  </si>
  <si>
    <t>https://quick-support061.azurewebsites.net/KZPnhPzq8R8jHBD/</t>
  </si>
  <si>
    <t>quick-support021.azurewebsites.net</t>
  </si>
  <si>
    <t>5fa303661c748</t>
  </si>
  <si>
    <t>https://quick-support021.azurewebsites.net/UsvCPP4t5Gxga6T/</t>
  </si>
  <si>
    <t>quick-support011.azurewebsites.net</t>
  </si>
  <si>
    <t>5fa2feac08ed7</t>
  </si>
  <si>
    <t>https://quick-support011.azurewebsites.net/UsvCPP4t5Gxga6T/</t>
  </si>
  <si>
    <t>livequickpcsupport001.azurewebsites.net</t>
  </si>
  <si>
    <t>5f9c666e2b86b</t>
  </si>
  <si>
    <t>https://livequickpcsupport001.azurewebsites.net/gxDdcFJ5WdRaJjW/</t>
  </si>
  <si>
    <t>freequickssupports011.azurewebsites.net</t>
  </si>
  <si>
    <t>5f970c456f99c</t>
  </si>
  <si>
    <t>https://freequickssupports011.azurewebsites.net/9GMEFgvzgTaEgPD/</t>
  </si>
  <si>
    <t>onlinepcquickssupport-021.azurewebsites.net</t>
  </si>
  <si>
    <t>5f8f3a5ed85b7</t>
  </si>
  <si>
    <t>https://onlinepcquickssupport-021.azurewebsites.net/Hr8JDeeMQsybEwS/</t>
  </si>
  <si>
    <t>onecallhelpdesk91.azurewebsites.net</t>
  </si>
  <si>
    <t>5f7f5bd85d0db</t>
  </si>
  <si>
    <t>https://onecallhelpdesk91.azurewebsites.net/b9Gy3A9CNcgNvdq/</t>
  </si>
  <si>
    <t>onecallhelpdesk70.azurewebsites.net</t>
  </si>
  <si>
    <t>5f7f513ec3f4b</t>
  </si>
  <si>
    <t>https://onecallhelpdesk70.azurewebsites.net/bUAnaP5Cp7yKmv4/</t>
  </si>
  <si>
    <t>onecallhelpdesk41.azurewebsites.net</t>
  </si>
  <si>
    <t>5f7f443cc73a6</t>
  </si>
  <si>
    <t>https://onecallhelpdesk41.azurewebsites.net/C2u2SPfdurKBA6z/</t>
  </si>
  <si>
    <t>helpbygeekexperts01.azurewebsites.net</t>
  </si>
  <si>
    <t>5f7de5ad94fa5</t>
  </si>
  <si>
    <t>https://helpbygeekexperts01.azurewebsites.net/7mXVCUNqjvYHSbG/</t>
  </si>
  <si>
    <t>bestgeekscare02.azurewebsites.net</t>
  </si>
  <si>
    <t>5f7b535de629b</t>
  </si>
  <si>
    <t>https://bestgeekscare02.azurewebsites.net/TZZsyhcrt2Wrbu9/</t>
  </si>
  <si>
    <t>bestpchelpsupport11.azurewebsites.net</t>
  </si>
  <si>
    <t>5f778d19c260f</t>
  </si>
  <si>
    <t>https://bestpchelpsupport11.azurewebsites.net/TZZsyhcrt2Wrbu9/</t>
  </si>
  <si>
    <t>livepchelpsupport51.azurewebsites.net</t>
  </si>
  <si>
    <t>5f776712dfefa</t>
  </si>
  <si>
    <t>https://livepchelpsupport51.azurewebsites.net/4vKZdhngXmE9yHj/</t>
  </si>
  <si>
    <t>livehelpsupport61.azurewebsites.net</t>
  </si>
  <si>
    <t>5f74c523a3b01</t>
  </si>
  <si>
    <t>https://livehelpsupport61.azurewebsites.net/P8fBTPd33cqy3WA/</t>
  </si>
  <si>
    <t>liveonlinepchelp41.azurewebsites.net</t>
  </si>
  <si>
    <t>5f73782045ac3</t>
  </si>
  <si>
    <t>https://liveonlinepchelp41.azurewebsites.net/6Yeqm5nqUDDNFgk/</t>
  </si>
  <si>
    <t>liveonlinepchelp21.azurewebsites.net</t>
  </si>
  <si>
    <t>5f735e80c0013</t>
  </si>
  <si>
    <t>http://liveonlinepchelp21.azurewebsites.net/6Yeqm5nqUDDNFgk/</t>
  </si>
  <si>
    <t>liveonlinepchelp01.azurewebsites.net</t>
  </si>
  <si>
    <t>5f735df66fdda</t>
  </si>
  <si>
    <t>http://liveonlinepchelp01.azurewebsites.net/6Yeqm5nqUDDNFgk/</t>
  </si>
  <si>
    <t>onlinecomputersupport61.azurewebsites.net</t>
  </si>
  <si>
    <t>5f72212db5e0d</t>
  </si>
  <si>
    <t>https://onlinecomputersupport61.azurewebsites.net/Kq8XSq5WNCgY68z/</t>
  </si>
  <si>
    <t>onlinecomputersupport40.azurewebsites.net</t>
  </si>
  <si>
    <t>5f72210f93db5</t>
  </si>
  <si>
    <t>https://onlinecomputersupport40.azurewebsites.net/Kq8XSq5WNCgY68z/</t>
  </si>
  <si>
    <t>onlinecomputersupport41.azurewebsites.net</t>
  </si>
  <si>
    <t>5f72173f2e2c2</t>
  </si>
  <si>
    <t>https://onlinecomputersupport41.azurewebsites.net/Kq8XSq5WNCgY68z/</t>
  </si>
  <si>
    <t>freepchelp191.azurewebsites.net</t>
  </si>
  <si>
    <t>5f6e497303853</t>
  </si>
  <si>
    <t>https://freepchelp191.azurewebsites.net/uGM5D6wZ9V5J5RY/</t>
  </si>
  <si>
    <t>freepchelp189.azurewebsites.net</t>
  </si>
  <si>
    <t>5f6e48e43e6e5</t>
  </si>
  <si>
    <t>https://freepchelp189.azurewebsites.net/uGM5D6wZ9V5J5RY/</t>
  </si>
  <si>
    <t>freepchelp81.azurewebsites.net</t>
  </si>
  <si>
    <t>5f6d8fd202df7</t>
  </si>
  <si>
    <t>https://freepchelp81.azurewebsites.net/qbNJp4SCuce6BQh/</t>
  </si>
  <si>
    <t>5f6ccee656c1a</t>
  </si>
  <si>
    <t>https://freepchelp46.azurewebsites.net/Kq8XSq5WNCgY68z/</t>
  </si>
  <si>
    <t>freecomputersupport11.azurewebsites.net</t>
  </si>
  <si>
    <t>5f6a3ce9acd98</t>
  </si>
  <si>
    <t>https://freecomputersupport11.azurewebsites.net/PjY6bTgrEnuKddE/</t>
  </si>
  <si>
    <t>freecomputersupport01.azurewebsites.net</t>
  </si>
  <si>
    <t>5f6a2e2f0cbee</t>
  </si>
  <si>
    <t>https://freecomputersupport01.azurewebsites.net/qyJ5k3EAgMS8xqX/</t>
  </si>
  <si>
    <t>freecomputerhelp61.azurewebsites.net</t>
  </si>
  <si>
    <t>5f699f02aa5f4</t>
  </si>
  <si>
    <t>https://freecomputerhelp61.azurewebsites.net/R7tcvkAFdAwS4B4</t>
  </si>
  <si>
    <t>freecomputerhelp83.azurewebsites.net</t>
  </si>
  <si>
    <t>5f699ed31f1be</t>
  </si>
  <si>
    <t>https://freecomputerhelp83.azurewebsites.net/R7tcvkAFdAwS4B4</t>
  </si>
  <si>
    <t>freecomputerhelp91.azurewebsites.net</t>
  </si>
  <si>
    <t>5f699ebf97f16</t>
  </si>
  <si>
    <t>https://freecomputerhelp91.azurewebsites.net/R7tcvkAFdAwS4B4</t>
  </si>
  <si>
    <t>freecomputerhelp161.azurewebsites.net</t>
  </si>
  <si>
    <t>5f699e7f3b14a</t>
  </si>
  <si>
    <t>https://freecomputerhelp161.azurewebsites.net/R7tcvkAFdAwS4B4</t>
  </si>
  <si>
    <t>freecomputerhelp151.azurewebsites.net</t>
  </si>
  <si>
    <t>5f699e6bf2b7a</t>
  </si>
  <si>
    <t>https://freecomputerhelp151.azurewebsites.net/R7tcvkAFdAwS4B4</t>
  </si>
  <si>
    <t>freecomputerhelp150.azurewebsites.net</t>
  </si>
  <si>
    <t>5f699e6a6fec5</t>
  </si>
  <si>
    <t>https://freecomputerhelp150.azurewebsites.net/R7tcvkAFdAwS4B4</t>
  </si>
  <si>
    <t>5f699e683d6ec</t>
  </si>
  <si>
    <t>freecomputerhelp141.azurewebsites.net</t>
  </si>
  <si>
    <t>5f699e3df2da3</t>
  </si>
  <si>
    <t>https://freecomputerhelp141.azurewebsites.net/R7tcvkAFdAwS4B4</t>
  </si>
  <si>
    <t>freecomputerhelp111.azurewebsites.net</t>
  </si>
  <si>
    <t>5f699df319c05</t>
  </si>
  <si>
    <t>https://freecomputerhelp111.azurewebsites.net/R7tcvkAFdAwS4B4</t>
  </si>
  <si>
    <t>freecomputerhelp41.azurewebsites.net</t>
  </si>
  <si>
    <t>5f68db1c88690</t>
  </si>
  <si>
    <t>https://freecomputerhelp41.azurewebsites.net/R7tcvkAFdAwS4B4/</t>
  </si>
  <si>
    <t>freecomputerhelp16.azurewebsites.net</t>
  </si>
  <si>
    <t>5f68d981e0ccb</t>
  </si>
  <si>
    <t>https://freecomputerhelp16.azurewebsites.net/R7tcvkAFdAwS4B4/</t>
  </si>
  <si>
    <t>freepcsupport81.azurewebsites.net</t>
  </si>
  <si>
    <t>5f64ed3c56e39</t>
  </si>
  <si>
    <t>https://freepcsupport81.azurewebsites.net/E4PreC97kTD5YFr/</t>
  </si>
  <si>
    <t>freepchelpforum41.azurewebsites.net</t>
  </si>
  <si>
    <t>5f628887e48f9</t>
  </si>
  <si>
    <t>https://freepchelpforum41.azurewebsites.net/TxHTvPq9EFWfwjb/</t>
  </si>
  <si>
    <t>freepchelpforum21.azurewebsites.net</t>
  </si>
  <si>
    <t>5f6288173eb95</t>
  </si>
  <si>
    <t>https://freepchelpforum21.azurewebsites.net/TxHTvPq9EFWfwjb/</t>
  </si>
  <si>
    <t>freepchelpforum01.azurewebsites.net</t>
  </si>
  <si>
    <t>5f6287f457af7</t>
  </si>
  <si>
    <t>https://freepchelpforum01.azurewebsites.net/TxHTvPq9EFWfwjb/</t>
  </si>
  <si>
    <t>freepchelp91.azurewebsites.net</t>
  </si>
  <si>
    <t>5f6246fb9d503</t>
  </si>
  <si>
    <t>https://freepchelp91.azurewebsites.net/TxHTvPq9EFWfwjb/</t>
  </si>
  <si>
    <t>freepchelp111.azurewebsites.net</t>
  </si>
  <si>
    <t>5f6246c50c393</t>
  </si>
  <si>
    <t>https://freepchelp111.azurewebsites.net/TxHTvPq9EFWfwjb/</t>
  </si>
  <si>
    <t>freepchelp126.azurewebsites.net</t>
  </si>
  <si>
    <t>5f6246823f2d7</t>
  </si>
  <si>
    <t>https://freepchelp126.azurewebsites.net/TxHTvPq9EFWfwjb/</t>
  </si>
  <si>
    <t>freepchelp23.azurewebsites.net</t>
  </si>
  <si>
    <t>5f61c5e054d79</t>
  </si>
  <si>
    <t>https://freepchelp23.azurewebsites.net/ERDDrHjVfKbFJbQ/</t>
  </si>
  <si>
    <t>freepchelp31.azurewebsites.net</t>
  </si>
  <si>
    <t>5f61c5ce00ef7</t>
  </si>
  <si>
    <t>https://freepchelp31.azurewebsites.net/ERDDrHjVfKbFJbQ/</t>
  </si>
  <si>
    <t>freepchelp49.azurewebsites.net</t>
  </si>
  <si>
    <t>5f61c5a85ed42</t>
  </si>
  <si>
    <t>https://freepchelp49.azurewebsites.net/ERDDrHjVfKbFJbQ/</t>
  </si>
  <si>
    <t>freepchelp55.azurewebsites.net</t>
  </si>
  <si>
    <t>5f61c59513082</t>
  </si>
  <si>
    <t>https://freepchelp55.azurewebsites.net/ERDDrHjVfKbFJbQ/</t>
  </si>
  <si>
    <t>freepchelp61.azurewebsites.net</t>
  </si>
  <si>
    <t>5f61c581b0a73</t>
  </si>
  <si>
    <t>https://freepchelp61.azurewebsites.net/ERDDrHjVfKbFJbQ/</t>
  </si>
  <si>
    <t>5f61c53c14792</t>
  </si>
  <si>
    <t>https://freepchelp81.azurewebsites.net/ERDDrHjVfKbFJbQ/</t>
  </si>
  <si>
    <t>freepchelponline01.azurewebsites.net</t>
  </si>
  <si>
    <t>5f60f9774460e</t>
  </si>
  <si>
    <t>https://freepchelponline01.azurewebsites.net/ERDDrHjVfKbFJbQ/</t>
  </si>
  <si>
    <t>pconlinehelp171.azurewebsites.net</t>
  </si>
  <si>
    <t>5f60e72d3f8bc</t>
  </si>
  <si>
    <t>https://pconlinehelp171.azurewebsites.net/ERDDrHjVfKbFJbQ/</t>
  </si>
  <si>
    <t>pconlinehelp101.azurewebsites.net</t>
  </si>
  <si>
    <t>5f607990c959d</t>
  </si>
  <si>
    <t>https://pconlinehelp101.azurewebsites.net/ERDDrHjVfKbFJbQ/</t>
  </si>
  <si>
    <t>pconlinehelp111.azurewebsites.net</t>
  </si>
  <si>
    <t>5f607983b14fd</t>
  </si>
  <si>
    <t>https://pconlinehelp111.azurewebsites.net/ERDDrHjVfKbFJbQ/</t>
  </si>
  <si>
    <t>pconlinehelp121.azurewebsites.net</t>
  </si>
  <si>
    <t>5f60796eaa28f</t>
  </si>
  <si>
    <t>https://pconlinehelp121.azurewebsites.net/ERDDrHjVfKbFJbQ/</t>
  </si>
  <si>
    <t>pconlinehelp21.azurewebsites.net</t>
  </si>
  <si>
    <t>5f5f9ad1dd285</t>
  </si>
  <si>
    <t>https://pconlinehelp21.azurewebsites.net/ERDDrHjVfKbFJbQ/</t>
  </si>
  <si>
    <t>pconlinehelp141.azurewebsites.net</t>
  </si>
  <si>
    <t>5f60793a23d80</t>
  </si>
  <si>
    <t>https://pconlinehelp141.azurewebsites.net/ERDDrHjVfKbFJbQ/</t>
  </si>
  <si>
    <t>pconlinehelp151.azurewebsites.net</t>
  </si>
  <si>
    <t>5f60792645596</t>
  </si>
  <si>
    <t>https://pconlinehelp151.azurewebsites.net/ERDDrHjVfKbFJbQ/</t>
  </si>
  <si>
    <t>pconlinehelp01.azurewebsites.net</t>
  </si>
  <si>
    <t>5f5f9c03393b8</t>
  </si>
  <si>
    <t>https://pconlinehelp01.azurewebsites.net/ERDDrHjVfKbFJbQ/</t>
  </si>
  <si>
    <t>pconlinehelp81.azurewebsites.net</t>
  </si>
  <si>
    <t>5f5fd3f2bbc17</t>
  </si>
  <si>
    <t>https://pconlinehelp81.azurewebsites.net/ERDDrHjVfKbFJbQ/</t>
  </si>
  <si>
    <t>pconlinehelp71.azurewebsites.net</t>
  </si>
  <si>
    <t>5f5fd4145272a</t>
  </si>
  <si>
    <t>https://pconlinehelp71.azurewebsites.net/ERDDrHjVfKbFJbQ/</t>
  </si>
  <si>
    <t>pchelpdesk71.azurewebsites.net</t>
  </si>
  <si>
    <t>5f5a5b71e6bbe</t>
  </si>
  <si>
    <t>https://pchelpdesk71.azurewebsites.net/garretttanners7d/</t>
  </si>
  <si>
    <t>pchelpdesk21.azurewebsites.net</t>
  </si>
  <si>
    <t>5f5a5826bf5c1</t>
  </si>
  <si>
    <t>https://pchelpdesk21.azurewebsites.net/garretttanners7d/</t>
  </si>
  <si>
    <t>pchelpdesk01.azurewebsites.net</t>
  </si>
  <si>
    <t>5f5a57a30de49</t>
  </si>
  <si>
    <t>https://pchelpdesk01.azurewebsites.net/garretttanners7d/</t>
  </si>
  <si>
    <t>pchelpservices111.azurewebsites.net</t>
  </si>
  <si>
    <t>5f5917214eb08</t>
  </si>
  <si>
    <t>https://pchelpservices111.azurewebsites.net/dawsonwhlerS7v/</t>
  </si>
  <si>
    <t>pchelpservices81.azurewebsites.net</t>
  </si>
  <si>
    <t>5f5916b26071d</t>
  </si>
  <si>
    <t>https://pchelpservices81.azurewebsites.net/dawsonwhlerS7v/</t>
  </si>
  <si>
    <t>pchelpservices101.azurewebsites.net</t>
  </si>
  <si>
    <t>5f5910ba131c8</t>
  </si>
  <si>
    <t>https://pchelpservices101.azurewebsites.net/garretttanners7d/</t>
  </si>
  <si>
    <t>pchelpservices61.azurewebsites.net</t>
  </si>
  <si>
    <t>5f58fcc27a0b9</t>
  </si>
  <si>
    <t>https://pchelpservices61.azurewebsites.net/dawsonwhlerS7v/</t>
  </si>
  <si>
    <t>pchelpservices01.azurewebsites.net</t>
  </si>
  <si>
    <t>5f57eca5d154d</t>
  </si>
  <si>
    <t>https://pchelpservices01.azurewebsites.net/avfFeTpfJfSPuPx/</t>
  </si>
  <si>
    <t>pchelpservices22.azurewebsites.net</t>
  </si>
  <si>
    <t>5f57e940eff9f</t>
  </si>
  <si>
    <t>https://pchelpservices22.azurewebsites.net/avfFeTpfJfSPuPx/</t>
  </si>
  <si>
    <t>callnow91.azurewebsites.net</t>
  </si>
  <si>
    <t>5f5288c3b3e1c</t>
  </si>
  <si>
    <t>http://callnow91.azurewebsites.net/cado/</t>
  </si>
  <si>
    <t>callnow71.azurewebsites.net</t>
  </si>
  <si>
    <t>5f5286fba7b0f</t>
  </si>
  <si>
    <t>http://callnow71.azurewebsites.net/Mer-cado/</t>
  </si>
  <si>
    <t>callnow51.azurewebsites.net</t>
  </si>
  <si>
    <t>5f52869e9158a</t>
  </si>
  <si>
    <t>http://callnow51.azurewebsites.net/Mer-cado/</t>
  </si>
  <si>
    <t>callnow31.azurewebsites.net</t>
  </si>
  <si>
    <t>5f5286400faa4</t>
  </si>
  <si>
    <t>http://callnow31.azurewebsites.net/Mer-cado/</t>
  </si>
  <si>
    <t>callnow11.azurewebsites.net</t>
  </si>
  <si>
    <t>5f5285e1796ba</t>
  </si>
  <si>
    <t>http://callnow11.azurewebsites.net/Mer-cado/</t>
  </si>
  <si>
    <t>callnow01.azurewebsites.net</t>
  </si>
  <si>
    <t>5f5285987e2f3</t>
  </si>
  <si>
    <t>http://callnow01.azurewebsites.net/Mer-cado/</t>
  </si>
  <si>
    <t>freesupportcall01.azurewebsites.net</t>
  </si>
  <si>
    <t>5f4e736f451ae</t>
  </si>
  <si>
    <t>http://freesupportcall01.azurewebsites.net/q5gCvYnz6kzKvgY/</t>
  </si>
  <si>
    <t>freesupport01.azurewebsites.net</t>
  </si>
  <si>
    <t>5f4d5c904b69f</t>
  </si>
  <si>
    <t>http://freesupport01.azurewebsites.net/gHBW7zFVGjwcrjr/</t>
  </si>
  <si>
    <t>freesupportcall11.azurewebsites.net</t>
  </si>
  <si>
    <t>5f4e7330ae0d2</t>
  </si>
  <si>
    <t>http://freesupportcall11.azurewebsites.net/q5gCvYnz6kzKvgY/</t>
  </si>
  <si>
    <t>customerfreesupport21.azurewebsites.net</t>
  </si>
  <si>
    <t>5f4d5b314804c</t>
  </si>
  <si>
    <t>https://customerfreesupport21.azurewebsites.net/HNhGpB5gbMdVDyb/</t>
  </si>
  <si>
    <t>customerfreesupport31.azurewebsites.net</t>
  </si>
  <si>
    <t>5f4d5b1ddfc06</t>
  </si>
  <si>
    <t>https://customerfreesupport31.azurewebsites.net/HNhGpB5gbMdVDyb/</t>
  </si>
  <si>
    <t>customerfreesupport51.azurewebsites.net</t>
  </si>
  <si>
    <t>5f4d5a928ba08</t>
  </si>
  <si>
    <t>https://customerfreesupport51.azurewebsites.net/HNhGpB5gbMdVDyb/</t>
  </si>
  <si>
    <t>freesupport101.azurewebsites.net</t>
  </si>
  <si>
    <t>5f4c0e377ca4c</t>
  </si>
  <si>
    <t>http://freesupport101.azurewebsites.net/gHBW7zFVGjwcrjr/</t>
  </si>
  <si>
    <t>freesupport81.azurewebsites.net</t>
  </si>
  <si>
    <t>5f4c0dd82baed</t>
  </si>
  <si>
    <t>http://freesupport81.azurewebsites.net/gHBW7zFVGjwcrjr/</t>
  </si>
  <si>
    <t>freesupport71.azurewebsites.net</t>
  </si>
  <si>
    <t>5f4c0da70bbbe</t>
  </si>
  <si>
    <t>http://freesupport71.azurewebsites.net/gHBW7zFVGjwcrjr/</t>
  </si>
  <si>
    <t>freesupport51.azurewebsites.net</t>
  </si>
  <si>
    <t>5f4c0d462ac3d</t>
  </si>
  <si>
    <t>http://freesupport51.azurewebsites.net/gHBW7zFVGjwcrjr/</t>
  </si>
  <si>
    <t>freesupport41.azurewebsites.net</t>
  </si>
  <si>
    <t>5f4c0d174d029</t>
  </si>
  <si>
    <t>http://freesupport41.azurewebsites.net/gHBW7zFVGjwcrjr/</t>
  </si>
  <si>
    <t>callnow-free151.azurewebsites.net</t>
  </si>
  <si>
    <t>5f4c09c3d56d2</t>
  </si>
  <si>
    <t>http://callnow-free151.azurewebsites.net/S9M5QFaca7VkHSt/</t>
  </si>
  <si>
    <t>callnow-free121.azurewebsites.net</t>
  </si>
  <si>
    <t>5f4c0937d6a8d</t>
  </si>
  <si>
    <t>http://callnow-free121.azurewebsites.net/S9M5QFaca7VkHSt/</t>
  </si>
  <si>
    <t>callnow-free101.azurewebsites.net</t>
  </si>
  <si>
    <t>5f4c08db1b4ae</t>
  </si>
  <si>
    <t>http://callnow-free101.azurewebsites.net/S9M5QFaca7VkHSt/</t>
  </si>
  <si>
    <t>callnow-free80.azurewebsites.net</t>
  </si>
  <si>
    <t>5f4c0878d5aaf</t>
  </si>
  <si>
    <t>http://callnow-free80.azurewebsites.net/S9M5QFaca7VkHSt/</t>
  </si>
  <si>
    <t>freesupport21.azurewebsites.net</t>
  </si>
  <si>
    <t>5f4ae5465b351</t>
  </si>
  <si>
    <t>http://freesupport21.azurewebsites.net/gHBW7zFVGjwcrjr/</t>
  </si>
  <si>
    <t>freesupportservice151.azurewebsites.net</t>
  </si>
  <si>
    <t>5f4ad93a0c051</t>
  </si>
  <si>
    <t>http://freesupportservice151.azurewebsites.net/vcCsfdvjFg4P5tp/</t>
  </si>
  <si>
    <t>freesupportservice131.azurewebsites.net</t>
  </si>
  <si>
    <t>5f4ad8ef6d217</t>
  </si>
  <si>
    <t>http://freesupportservice131.azurewebsites.net/vcCsfdvjFg4P5tp/</t>
  </si>
  <si>
    <t>freesupportservice111.azurewebsites.net</t>
  </si>
  <si>
    <t>5f4ad8a63fa65</t>
  </si>
  <si>
    <t>http://freesupportservice111.azurewebsites.net/vcCsfdvjFg4P5tp/</t>
  </si>
  <si>
    <t>freesupportservice110.azurewebsites.net</t>
  </si>
  <si>
    <t>5f4ad8a10bb63</t>
  </si>
  <si>
    <t>http://freesupportservice110.azurewebsites.net/vcCsfdvjFg4P5tp/</t>
  </si>
  <si>
    <t>freecallcaresupport101.azurewebsites.net</t>
  </si>
  <si>
    <t>5f4aa40a60b9e</t>
  </si>
  <si>
    <t>http://freecallcaresupport101.azurewebsites.net/vTUPHmw6mhDcMgT/</t>
  </si>
  <si>
    <t>freecallcaresupport81.azurewebsites.net</t>
  </si>
  <si>
    <t>5f4aa3ad124b2</t>
  </si>
  <si>
    <t>http://freecallcaresupport81.azurewebsites.net/vTUPHmw6mhDcMgT/</t>
  </si>
  <si>
    <t>freecallcaresupport51.azurewebsites.net</t>
  </si>
  <si>
    <t>5f4aa324ee24b</t>
  </si>
  <si>
    <t>http://freecallcaresupport51.azurewebsites.net/vTUPHmw6mhDcMgT/</t>
  </si>
  <si>
    <t>freecallcaresupport41.azurewebsites.net</t>
  </si>
  <si>
    <t>5f4aa2f9bbe77</t>
  </si>
  <si>
    <t>http://freecallcaresupport41.azurewebsites.net/vTUPHmw6mhDcMgT/</t>
  </si>
  <si>
    <t>freecallcaresupport21.azurewebsites.net</t>
  </si>
  <si>
    <t>5f4aa29bccc6f</t>
  </si>
  <si>
    <t>http://freecallcaresupport21.azurewebsites.net/vTUPHmw6mhDcMgT/</t>
  </si>
  <si>
    <t>freecallcaresupport01.azurewebsites.net</t>
  </si>
  <si>
    <t>5f4aa236afa65</t>
  </si>
  <si>
    <t>http://freecallcaresupport01.azurewebsites.net/vTUPHmw6mhDcMgT/</t>
  </si>
  <si>
    <t>customercaresupport91.azurewebsites.net</t>
  </si>
  <si>
    <t>5f4aa1c370a22</t>
  </si>
  <si>
    <t>http://customercaresupport91.azurewebsites.net/vcCsfdvjFg4P5tp/</t>
  </si>
  <si>
    <t>customercaresupport81.azurewebsites.net</t>
  </si>
  <si>
    <t>5f49e0984b495</t>
  </si>
  <si>
    <t>http://customercaresupport81.azurewebsites.net/BdvJMsVsaH3HMNC/</t>
  </si>
  <si>
    <t>getfreesupport151.azurewebsites.net</t>
  </si>
  <si>
    <t>5f49764b00172</t>
  </si>
  <si>
    <t>http://getfreesupport151.azurewebsites.net/gHBW7zFVGjwcrjr/</t>
  </si>
  <si>
    <t>getfreesupport141.azurewebsites.net</t>
  </si>
  <si>
    <t>5f49761a09f5f</t>
  </si>
  <si>
    <t>http://getfreesupport141.azurewebsites.net/gHBW7zFVGjwcrjr/</t>
  </si>
  <si>
    <t>getfreesupport131.azurewebsites.net</t>
  </si>
  <si>
    <t>5f4975e84a36a</t>
  </si>
  <si>
    <t>http://getfreesupport131.azurewebsites.net/gHBW7zFVGjwcrjr/</t>
  </si>
  <si>
    <t>getfreesupport121.azurewebsites.net</t>
  </si>
  <si>
    <t>5f4975b601162</t>
  </si>
  <si>
    <t>http://getfreesupport121.azurewebsites.net/gHBW7zFVGjwcrjr/</t>
  </si>
  <si>
    <t>getfreesupport101.azurewebsites.net</t>
  </si>
  <si>
    <t>5f49754e1ac12</t>
  </si>
  <si>
    <t>http://getfreesupport101.azurewebsites.net/gHBW7zFVGjwcrjr/</t>
  </si>
  <si>
    <t>freesupport131.azurewebsites.net</t>
  </si>
  <si>
    <t>5f4961efc649d</t>
  </si>
  <si>
    <t>http://freesupport131.azurewebsites.net/pb613cadhekan/</t>
  </si>
  <si>
    <t>freesupport121.azurewebsites.net</t>
  </si>
  <si>
    <t>5f4961c8bf3a6</t>
  </si>
  <si>
    <t>http://freesupport121.azurewebsites.net/pb613cadhekan/</t>
  </si>
  <si>
    <t>freemaintenance101.azurewebsites.net</t>
  </si>
  <si>
    <t>5f495eb01633b</t>
  </si>
  <si>
    <t>http://freemaintenance101.azurewebsites.net/q5gCvYnz6kzKvgY/</t>
  </si>
  <si>
    <t>freemaintenance81.azurewebsites.net</t>
  </si>
  <si>
    <t>5f495e5ecae86</t>
  </si>
  <si>
    <t>http://freemaintenance81.azurewebsites.net/q5gCvYnz6kzKvgY/</t>
  </si>
  <si>
    <t>freemaintenance71.azurewebsites.net</t>
  </si>
  <si>
    <t>5f495e3134ffe</t>
  </si>
  <si>
    <t>http://freemaintenance71.azurewebsites.net/q5gCvYnz6kzKvgY/</t>
  </si>
  <si>
    <t>freemaintenance61.azurewebsites.net</t>
  </si>
  <si>
    <t>5f495e0867255</t>
  </si>
  <si>
    <t>http://freemaintenance61.azurewebsites.net/q5gCvYnz6kzKvgY/</t>
  </si>
  <si>
    <t>freemaintenance57.azurewebsites.net</t>
  </si>
  <si>
    <t>5f495df8e4d77</t>
  </si>
  <si>
    <t>http://freemaintenance57.azurewebsites.net/q5gCvYnz6kzKvgY/</t>
  </si>
  <si>
    <t>freemaintenance39.azurewebsites.net</t>
  </si>
  <si>
    <t>5f495dadb075f</t>
  </si>
  <si>
    <t>http://freemaintenance39.azurewebsites.net/q5gCvYnz6kzKvgY/</t>
  </si>
  <si>
    <t>services01.azurewebsites.net</t>
  </si>
  <si>
    <t>5f4958e1e2d31</t>
  </si>
  <si>
    <t>http://services01.azurewebsites.net/pb613cadhekan/</t>
  </si>
  <si>
    <t>customercaresupport181.azurewebsites.net</t>
  </si>
  <si>
    <t>5f49460a5f171</t>
  </si>
  <si>
    <t>https://customercaresupport181.azurewebsites.net/HNhGpB5gbMdVDyb/</t>
  </si>
  <si>
    <t>freemaintenance21.azurewebsites.net</t>
  </si>
  <si>
    <t>5f48bc3ed9c1e</t>
  </si>
  <si>
    <t>http://freemaintenance21.azurewebsites.net/q5gCvYnz6kzKvgY/</t>
  </si>
  <si>
    <t>freemaintenance19.azurewebsites.net</t>
  </si>
  <si>
    <t>5f48bc3c1b947</t>
  </si>
  <si>
    <t>http://freemaintenance19.azurewebsites.net/q5gCvYnz6kzKvgY/</t>
  </si>
  <si>
    <t>freemaintenance95.azurewebsites.net</t>
  </si>
  <si>
    <t>5f48b9dfe2e36</t>
  </si>
  <si>
    <t>http://freemaintenance95.azurewebsites.net/q5gCvYnz6kzKvgY/</t>
  </si>
  <si>
    <t>freemaintenance01.azurewebsites.net</t>
  </si>
  <si>
    <t>5f48b89a41533</t>
  </si>
  <si>
    <t>http://freemaintenance01.azurewebsites.net/q5gCvYnz6kzKvgY/</t>
  </si>
  <si>
    <t>carefreesupport11.azurewebsites.net</t>
  </si>
  <si>
    <t>5f4800c4d31ce</t>
  </si>
  <si>
    <t>http://carefreesupport11.azurewebsites.net/vcCsfdvjFg4P5tp/index.html</t>
  </si>
  <si>
    <t>getfreesupport171.azurewebsites.net</t>
  </si>
  <si>
    <t>5f47a9687b2cc</t>
  </si>
  <si>
    <t>http://getfreesupport171.azurewebsites.net/atEdYhpx5ykF2Ru/</t>
  </si>
  <si>
    <t>getfreesupport31.azurewebsites.net</t>
  </si>
  <si>
    <t>5f47a637af461</t>
  </si>
  <si>
    <t>http://getfreesupport31.azurewebsites.net/Zcv6znVbFKDkXCy/</t>
  </si>
  <si>
    <t>getfreesupport21.azurewebsites.net</t>
  </si>
  <si>
    <t>5f47a61b364cf</t>
  </si>
  <si>
    <t>http://getfreesupport21.azurewebsites.net/Zcv6znVbFKDkXCy/</t>
  </si>
  <si>
    <t>computer61.azurewebsites.net</t>
  </si>
  <si>
    <t>5f47a01033f2e</t>
  </si>
  <si>
    <t>http://computer61.azurewebsites.net/Belle-Plaine/</t>
  </si>
  <si>
    <t>computer41.azurewebsites.net</t>
  </si>
  <si>
    <t>5f479f9fc40fb</t>
  </si>
  <si>
    <t>http://computer41.azurewebsites.net/Belle-Plaine/</t>
  </si>
  <si>
    <t>computer40.azurewebsites.net</t>
  </si>
  <si>
    <t>5f479f9ad8eeb</t>
  </si>
  <si>
    <t>http://computer40.azurewebsites.net/Belle-Plaine/</t>
  </si>
  <si>
    <t>computer11.azurewebsites.net</t>
  </si>
  <si>
    <t>5f479e575f780</t>
  </si>
  <si>
    <t>http://computer11.azurewebsites.net/Belle-Plaine/</t>
  </si>
  <si>
    <t>computer01.azurewebsites.net</t>
  </si>
  <si>
    <t>5f479da6d5a11</t>
  </si>
  <si>
    <t>http://computer01.azurewebsites.net/Belle-Plaine/</t>
  </si>
  <si>
    <t>checkup71.azurewebsites.net</t>
  </si>
  <si>
    <t>5f4479565c52e</t>
  </si>
  <si>
    <t>http://checkup71.azurewebsites.net/Kristy-Cortez/</t>
  </si>
  <si>
    <t>checkup51.azurewebsites.net</t>
  </si>
  <si>
    <t>5f44786398dbb</t>
  </si>
  <si>
    <t>http://checkup51.azurewebsites.net/Kristy-Cortez/</t>
  </si>
  <si>
    <t>checkup41.azurewebsites.net</t>
  </si>
  <si>
    <t>5f44779b2cea6</t>
  </si>
  <si>
    <t>http://checkup41.azurewebsites.net/Kristy-Cortez/</t>
  </si>
  <si>
    <t>checkup31.azurewebsites.net</t>
  </si>
  <si>
    <t>5f447748a91f5</t>
  </si>
  <si>
    <t>http://checkup31.azurewebsites.net/Kristy-Cortez/</t>
  </si>
  <si>
    <t>getfreesupport81.azurewebsites.net</t>
  </si>
  <si>
    <t>5f445152be8fb</t>
  </si>
  <si>
    <t>https://getfreesupport81.azurewebsites.net/atEdYhpx5ykF2Ru/</t>
  </si>
  <si>
    <t>getfreesupport71.azurewebsites.net</t>
  </si>
  <si>
    <t>5f4450e2b86f7</t>
  </si>
  <si>
    <t>https://getfreesupport71.azurewebsites.net/atEdYhpx5ykF2Ru/</t>
  </si>
  <si>
    <t>callnow-free61.azurewebsites.net</t>
  </si>
  <si>
    <t>5f444c8e4e6ad</t>
  </si>
  <si>
    <t>https://callnow-free61.azurewebsites.net/Cortez/</t>
  </si>
  <si>
    <t>callnow-free51.azurewebsites.net</t>
  </si>
  <si>
    <t>5f444bf34e3f1</t>
  </si>
  <si>
    <t>https://callnow-free51.azurewebsites.net/Cortez/</t>
  </si>
  <si>
    <t>callnow-free21.azurewebsites.net</t>
  </si>
  <si>
    <t>5f4449b83aee8</t>
  </si>
  <si>
    <t>https://callnow-free21.azurewebsites.net/Cortez/</t>
  </si>
  <si>
    <t>callnow-free01.azurewebsites.net</t>
  </si>
  <si>
    <t>5f4447471c232</t>
  </si>
  <si>
    <t>https://callnow-free01.azurewebsites.net/Cortez/</t>
  </si>
  <si>
    <t>freesupportservice01.azurewebsites.net</t>
  </si>
  <si>
    <t>5f4443deb81a4</t>
  </si>
  <si>
    <t>https://freesupportservice01.azurewebsites.net/8sx3ztC96XSvHKs/</t>
  </si>
  <si>
    <t>freesupportservice16.azurewebsites.net</t>
  </si>
  <si>
    <t>5f4442ef72e94</t>
  </si>
  <si>
    <t>https://freesupportservice16.azurewebsites.net/8sx3ztC96XSvHKs/</t>
  </si>
  <si>
    <t>freesupportservice21.azurewebsites.net</t>
  </si>
  <si>
    <t>5f4442be07ff0</t>
  </si>
  <si>
    <t>https://freesupportservice21.azurewebsites.net/8sx3ztC96XSvHKs/</t>
  </si>
  <si>
    <t>freesupportservice36.azurewebsites.net</t>
  </si>
  <si>
    <t>5f44420fa6c6b</t>
  </si>
  <si>
    <t>https://freesupportservice36.azurewebsites.net/8sx3ztC96XSvHKs/</t>
  </si>
  <si>
    <t>freesupportservice90.azurewebsites.net</t>
  </si>
  <si>
    <t>5f443febc9e76</t>
  </si>
  <si>
    <t>https://freesupportservice90.azurewebsites.net/8sx3ztC96XSvHKs/</t>
  </si>
  <si>
    <t>freesupportservice71.azurewebsites.net</t>
  </si>
  <si>
    <t>5f443eb56e9a0</t>
  </si>
  <si>
    <t>https://freesupportservice71.azurewebsites.net/8sx3ztC96XSvHKs/</t>
  </si>
  <si>
    <t>freesupportservice61.azurewebsites.net</t>
  </si>
  <si>
    <t>5f443d60cb936</t>
  </si>
  <si>
    <t>https://freesupportservice61.azurewebsites.net/8sx3ztC96XSvHKs/</t>
  </si>
  <si>
    <t>freesupportservice60.azurewebsites.net</t>
  </si>
  <si>
    <t>5f443d2883284</t>
  </si>
  <si>
    <t>https://freesupportservice60.azurewebsites.net/8sx3ztC96XSvHKs/</t>
  </si>
  <si>
    <t>supportcenter21.azurewebsites.net</t>
  </si>
  <si>
    <t>5f424b1bd3c52</t>
  </si>
  <si>
    <t>http://supportcenter21.azurewebsites.net/8sx3ztC96XSvHKs</t>
  </si>
  <si>
    <t>getfreesupport51.azurewebsites.net</t>
  </si>
  <si>
    <t>5f3d4f95ed08e</t>
  </si>
  <si>
    <t>http://getfreesupport51.azurewebsites.net/4595-Warwick-Avenue/</t>
  </si>
  <si>
    <t>getfreesupport01.azurewebsites.net</t>
  </si>
  <si>
    <t>5f3aea0720b61</t>
  </si>
  <si>
    <t>http://getfreesupport01.azurewebsites.net/Zcv6znVbFKDkXCy/</t>
  </si>
  <si>
    <t>computer81.azurewebsites.net</t>
  </si>
  <si>
    <t>5f30d8d701151</t>
  </si>
  <si>
    <t>http://computer81.azurewebsites.net/Mer-cado/</t>
  </si>
  <si>
    <t>computer91.azurewebsites.net</t>
  </si>
  <si>
    <t>5f30d7d2d2810</t>
  </si>
  <si>
    <t>http://computer91.azurewebsites.net/Belle-Plaine</t>
  </si>
  <si>
    <t>computer111.azurewebsites.net</t>
  </si>
  <si>
    <t>5f30d6a89c426</t>
  </si>
  <si>
    <t>http://computer111.azurewebsites.net/Belle-Plaine</t>
  </si>
  <si>
    <t>callnow-free41.azurewebsites.net</t>
  </si>
  <si>
    <t>5f30d3cf8d7c9</t>
  </si>
  <si>
    <t>http://callnow-free41.azurewebsites.net/Cortez/</t>
  </si>
  <si>
    <t>freecheckup21.azurewebsites.net</t>
  </si>
  <si>
    <t>5f26bd8050d32</t>
  </si>
  <si>
    <t>http://freecheckup21.azurewebsites.net/Staci-Walsh/</t>
  </si>
  <si>
    <t>werror01.azurewebsites.net</t>
  </si>
  <si>
    <t>5f21842f8264c</t>
  </si>
  <si>
    <t>http://werror01.azurewebsites.net/Efrain-Forbes/</t>
  </si>
  <si>
    <t>computercheckup01.azurewebsites.net</t>
  </si>
  <si>
    <t>5f214ed8c04fa</t>
  </si>
  <si>
    <t>http://computercheckup01.azurewebsites.net/Tre-Larson/</t>
  </si>
  <si>
    <t>terror82.azurewebsites.net</t>
  </si>
  <si>
    <t>5f214e0a18b04</t>
  </si>
  <si>
    <t>http://terror82.azurewebsites.net/Boyd-TX/</t>
  </si>
  <si>
    <t>terror65.azurewebsites.net</t>
  </si>
  <si>
    <t>5f1471809193b</t>
  </si>
  <si>
    <t>http://terror65.azurewebsites.net/Boyd-TX/</t>
  </si>
  <si>
    <t>terror01.azurewebsites.net</t>
  </si>
  <si>
    <t>5f147129b05b5</t>
  </si>
  <si>
    <t>http://terror01.azurewebsites.net/Boyd-TX/</t>
  </si>
  <si>
    <t>1nn3error-callnow.azurewebsites.net</t>
  </si>
  <si>
    <t>5edaa777c77ea</t>
  </si>
  <si>
    <t>https://1nn3error-callnow.azurewebsites.net/teddymckeefBx/</t>
  </si>
  <si>
    <t>name-search02.site</t>
  </si>
  <si>
    <t>162.0.229.41</t>
  </si>
  <si>
    <t>5edf5e88873b4</t>
  </si>
  <si>
    <t>https://name-search02.site/index-5.html</t>
  </si>
  <si>
    <t>search-name02.site</t>
  </si>
  <si>
    <t>5edf2b8011a21</t>
  </si>
  <si>
    <t>https://search-name02.site/index-5.html</t>
  </si>
  <si>
    <t>domain-mute04.site</t>
  </si>
  <si>
    <t>5edb8c8aacdca</t>
  </si>
  <si>
    <t>https://domain-mute04.site/blue.php</t>
  </si>
  <si>
    <t>domain-searche06.site</t>
  </si>
  <si>
    <t>5edccec7a5190</t>
  </si>
  <si>
    <t>https://domain-searche06.site/index-5.html</t>
  </si>
  <si>
    <t>domain-searche04.site</t>
  </si>
  <si>
    <t>5edca1d1c6986</t>
  </si>
  <si>
    <t>https://domain-searche04.site/ieff/</t>
  </si>
  <si>
    <t>domain-searche02.site</t>
  </si>
  <si>
    <t>5edc9e0c13ec8</t>
  </si>
  <si>
    <t>https://domain-searche02.site/index-5.html</t>
  </si>
  <si>
    <t>product-mute06.site</t>
  </si>
  <si>
    <t>5edb3e9118d30</t>
  </si>
  <si>
    <t>https://product-mute06.site/blue.php</t>
  </si>
  <si>
    <t>product-mute02.site</t>
  </si>
  <si>
    <t>5edb3e686b2ad</t>
  </si>
  <si>
    <t>https://product-mute02.site/index-5.html</t>
  </si>
  <si>
    <t>product-mute04.site</t>
  </si>
  <si>
    <t>5edb31adaa23c</t>
  </si>
  <si>
    <t>https://product-mute04.site/index-5.html</t>
  </si>
  <si>
    <t>3.130.48.102</t>
  </si>
  <si>
    <t>5edb50383fd2a</t>
  </si>
  <si>
    <t>http://3.130.48.102/be/TChsfsdfjdsfjdsfjVXPV/</t>
  </si>
  <si>
    <t>5edb5887a3b24</t>
  </si>
  <si>
    <t>http://3.130.48.102/es/D00ChsfsdfjdsfjdsfjSSx/</t>
  </si>
  <si>
    <t>5edb4d272bd6a</t>
  </si>
  <si>
    <t>http://3.130.48.102/de/D00EdsjsjhskhkasdSSx/</t>
  </si>
  <si>
    <t>5edb38b524d0e</t>
  </si>
  <si>
    <t>http://3.130.48.102/jpet1088/ED1011000110AC/</t>
  </si>
  <si>
    <t>imsomacti-limitation.online</t>
  </si>
  <si>
    <t>138.201.161.166</t>
  </si>
  <si>
    <t>5ee7292d9bfd5</t>
  </si>
  <si>
    <t>https://imsomacti-limitation.online/bsfdtx02-n15v45bd-4fg4564-4e541df-cv1c54s646d-1c5v4566-rrew8784-v4cv5c44s56-cvc5v45d4-cv1c5v48s45/ktrm-0997/edgcx/</t>
  </si>
  <si>
    <t>simlon-carteasd.online</t>
  </si>
  <si>
    <t>5ee1c7691c944</t>
  </si>
  <si>
    <t>https://simlon-carteasd.online/dgdftyx01-b1vcb4d89-e8785-c5v4v846-f87945-cvc2x5v5-df5f8d4f5s-2v4b6vc-m1c546d-g5f84f5d5-cvv445dd/ktrm-0997/chrcx/?actc=</t>
  </si>
  <si>
    <t>real-reacker.online</t>
  </si>
  <si>
    <t>5ee1c75e9d89e</t>
  </si>
  <si>
    <t>https://real-reacker.online/stdyxn01-v12bb2-g4r4e56g4e-ffd54d6r-rt5rr8er-vbcbc465g4-rtr754rg5-n1vcb96-fdg5d874-gf5gd81-cv45cf/ktrm-3087/chrcx/</t>
  </si>
  <si>
    <t>fastso-master.online</t>
  </si>
  <si>
    <t>5ee0a32dc2b2e</t>
  </si>
  <si>
    <t>https://fastso-master.online/uetyfx02-nc1g5d56-yncx54s-df2dfd5f1-cv2c1v5d5-b165d4f654-rtr8t54-v5b45d456-rtr8r4f-g54c5dfd/ktrm-3087/edgcx/</t>
  </si>
  <si>
    <t>brigoma-tterhis.online</t>
  </si>
  <si>
    <t>5edf29358f435</t>
  </si>
  <si>
    <t>https://brigoma-tterhis.online/nxvgdty01-b1c24v54d-er87rw1w-vcv54d-564df6-7e845-d5d4f5bc15v15-df54df8d2-dfd54d2-cvvwe54sf/ktrm-3087/edgcx/</t>
  </si>
  <si>
    <t>victory-asterisk.online</t>
  </si>
  <si>
    <t>5edf292ddecfa</t>
  </si>
  <si>
    <t>https://victory-asterisk.online/jdvxty01-b215b1f2g-er4e54e1-cv12cd2-ergdf5-ere545e5-bcc52fd-e5e51-bv4ndg-r4tetx4-tcgdfe-c1v5d45d/ktrm-3142/edgcx/</t>
  </si>
  <si>
    <t>crimpton-carbrion.online</t>
  </si>
  <si>
    <t>5edb396438713</t>
  </si>
  <si>
    <t>https://crimpton-carbrion.online/bdhdyx01-vcbc56-r54gff-c5b454-2v5466vc-r5tr7945f-nvc454-f5r445r-vb4v54b5vb4-g5fg5f4-v2bv54/ktrm-3142/edgcx/</t>
  </si>
  <si>
    <t>Frankfurt am Main</t>
  </si>
  <si>
    <t>d33xq5qc9w8epx.cloudfront.net</t>
  </si>
  <si>
    <t>13.225.73.94</t>
  </si>
  <si>
    <t>5ede12212e3b2</t>
  </si>
  <si>
    <t>https://d33xq5qc9w8epx.cloudfront.net/XEDdhdsbfhgdfhdgf7xe/?phone=0271-6760-9025&amp;amp;</t>
  </si>
  <si>
    <t>nota02.xyz</t>
  </si>
  <si>
    <t>160.153.131.202</t>
  </si>
  <si>
    <t>Belgium</t>
  </si>
  <si>
    <t>5ee3d06fd149d</t>
  </si>
  <si>
    <t>http://nota02.xyz/ar_belgbd-cfi-98/english/windows/</t>
  </si>
  <si>
    <t>nota01.xyz</t>
  </si>
  <si>
    <t>5ee3d044dacff</t>
  </si>
  <si>
    <t>http://nota01.xyz/ar_belgbd-cfi-98/english/windows/</t>
  </si>
  <si>
    <t>nota03.xyz</t>
  </si>
  <si>
    <t>5ee3ccf996aa7</t>
  </si>
  <si>
    <t>http://nota03.xyz/ar_belgbd-cfi-98/english/windows/</t>
  </si>
  <si>
    <t>nota00.xyz</t>
  </si>
  <si>
    <t>5ee23963e7ce6</t>
  </si>
  <si>
    <t>http://nota00.xyz/ar_swz_bs7_k/english/windows/</t>
  </si>
  <si>
    <t>5ee2339b1668d</t>
  </si>
  <si>
    <t>http://nota00.xyz/ar_belgbd-cfi-98/english/windows/</t>
  </si>
  <si>
    <t>rikku08.xyz</t>
  </si>
  <si>
    <t>5edf8a5081a74</t>
  </si>
  <si>
    <t>http://rikku08.xyz/ar_swz_bs7_k/english/windows/</t>
  </si>
  <si>
    <t>rikku07.xyz</t>
  </si>
  <si>
    <t>5ede568e02865</t>
  </si>
  <si>
    <t>http://rikku07.xyz/ar_netherland_hfu-adxd/english/windows/</t>
  </si>
  <si>
    <t>5ede55d6dae68</t>
  </si>
  <si>
    <t>http://rikku07.xyz/ar_swz_bs7_k/english/windows/</t>
  </si>
  <si>
    <t>5ede530e65bd1</t>
  </si>
  <si>
    <t>http://rikku07.xyz/ar_belgbd-cfi-98/english/windows/</t>
  </si>
  <si>
    <t>rikku02.xyz</t>
  </si>
  <si>
    <t>5eda44d654bf5</t>
  </si>
  <si>
    <t>http://rikku02.xyz/ar_swz_bs7_k/english/mac</t>
  </si>
  <si>
    <t>5eda44d27ea42</t>
  </si>
  <si>
    <t>http://rikku02.xyz/ar_swz_bs7_k/english/windows/</t>
  </si>
  <si>
    <t>junkmail943.ga</t>
  </si>
  <si>
    <t>104.24.97.176</t>
  </si>
  <si>
    <t>5edd39eb46adf</t>
  </si>
  <si>
    <t>https://junkmail943.ga/WIn1010_881881h.nny/XEDdhdsbfhgdfhdgf9x0Xd/</t>
  </si>
  <si>
    <t>Chicago</t>
  </si>
  <si>
    <t>popupatch495.ml</t>
  </si>
  <si>
    <t>172.67.176.85</t>
  </si>
  <si>
    <t>5edd20f5a57a9</t>
  </si>
  <si>
    <t>https://popupatch495.ml/Win81818_010101hn.vvy/XEDdhdsbfhgdfhdgf9x0Xd/</t>
  </si>
  <si>
    <t>device-infected-account-access-blocked-780.azurewebsites.net</t>
  </si>
  <si>
    <t>13.89.172.4</t>
  </si>
  <si>
    <t>5f5f93f410b14</t>
  </si>
  <si>
    <t>https://device-infected-account-access-blocked-780.azurewebsites.net/denied-171717/CHWInhelp10GK010101AW/</t>
  </si>
  <si>
    <t>pconlinehelp100.azurewebsites.net</t>
  </si>
  <si>
    <t>5f5fd38d1b3ec</t>
  </si>
  <si>
    <t>https://pconlinehelp100.azurewebsites.net/ERDDrHjVfKbFJbQ/</t>
  </si>
  <si>
    <t>device-infected-account-access-blocked-779-call.azurewebsites.net</t>
  </si>
  <si>
    <t>5f5a4bfa25280</t>
  </si>
  <si>
    <t>https://device-infected-account-access-blocked-779-call.azurewebsites.net/Denied/CHWInhelp10GK010101AW/</t>
  </si>
  <si>
    <t>pchelpservices60.azurewebsites.net</t>
  </si>
  <si>
    <t>5f590d507bccf</t>
  </si>
  <si>
    <t>https://pchelpservices60.azurewebsites.net/dawsonwhlerS7v/</t>
  </si>
  <si>
    <t>pchelpservices20.azurewebsites.net</t>
  </si>
  <si>
    <t>5f57ed1272903</t>
  </si>
  <si>
    <t>https://pchelpservices20.azurewebsites.net/avfFeTpfJfSPuPx/</t>
  </si>
  <si>
    <t>callnow97.azurewebsites.net</t>
  </si>
  <si>
    <t>5f5288e382555</t>
  </si>
  <si>
    <t>http://callnow97.azurewebsites.net/cado/</t>
  </si>
  <si>
    <t>paper-access-404.azurewebsites.net</t>
  </si>
  <si>
    <t>5f4f44d7adb28</t>
  </si>
  <si>
    <t>https://paper-access-404.azurewebsites.net/Access-Blocked/CHWInhelp10GK010101AW/</t>
  </si>
  <si>
    <t>callnow-free76.azurewebsites.net</t>
  </si>
  <si>
    <t>5f4c086652c51</t>
  </si>
  <si>
    <t>http://callnow-free76.azurewebsites.net/S9M5QFaca7VkHSt/</t>
  </si>
  <si>
    <t>ijsjakskkajdsjdnkds.azurewebsites.net</t>
  </si>
  <si>
    <t>5f493ea792ce7</t>
  </si>
  <si>
    <t>http://ijsjakskkajdsjdnkds.azurewebsites.net/TChsfsdfjdsfjdsfjVX/</t>
  </si>
  <si>
    <t>carefreesupport16.azurewebsites.net</t>
  </si>
  <si>
    <t>5f480138a532c</t>
  </si>
  <si>
    <t>http://carefreesupport16.azurewebsites.net/vcCsfdvjFg4P5tp/index.html</t>
  </si>
  <si>
    <t>lakdidmamkjsjjsj.azurewebsites.net</t>
  </si>
  <si>
    <t>5f45270709ad8</t>
  </si>
  <si>
    <t>http://lakdidmamkjsjjsj.azurewebsites.net/TChsfsdfjdsfjdsfjVX/</t>
  </si>
  <si>
    <t>callnow-free47.azurewebsites.net</t>
  </si>
  <si>
    <t>5f444bcbb83b5</t>
  </si>
  <si>
    <t>https://callnow-free47.azurewebsites.net/Cortez/</t>
  </si>
  <si>
    <t>kimjufujndujfa.azurewebsites.net</t>
  </si>
  <si>
    <t>5f437d82b2b84</t>
  </si>
  <si>
    <t>http://kimjufujndujfa.azurewebsites.net/TChsfsdfjdsfjdsfjVX/</t>
  </si>
  <si>
    <t>jfjakdkdijdndjk.azurewebsites.net</t>
  </si>
  <si>
    <t>5f424b321ad0f</t>
  </si>
  <si>
    <t>http://jfjakdkdijdndjk.azurewebsites.net/TChsfsdfjdsfjdsfjVX/</t>
  </si>
  <si>
    <t>laodkkmjdidjakskac.azurewebsites.net</t>
  </si>
  <si>
    <t>5f41713ca2331</t>
  </si>
  <si>
    <t>http://laodkkmjdidjakskac.azurewebsites.net/TMachdsfgdsffdVX/</t>
  </si>
  <si>
    <t>edesmakkajdmdk.azurewebsites.net</t>
  </si>
  <si>
    <t>5f4170f870778</t>
  </si>
  <si>
    <t>http://edesmakkajdmdk.azurewebsites.net/TMachdsfgdsffdVX/</t>
  </si>
  <si>
    <t>kaldmkdiajdfdnnf.azurewebsites.net</t>
  </si>
  <si>
    <t>5f4170d4b0c78</t>
  </si>
  <si>
    <t>http://kaldmkdiajdfdnnf.azurewebsites.net/TMachdsfgdsffdVX/</t>
  </si>
  <si>
    <t>5f4170b2a1f82</t>
  </si>
  <si>
    <t>http://kimjufujndujfa.azurewebsites.net/TMachdsfgdsffdVX/</t>
  </si>
  <si>
    <t>humjakdkmdjdo.azurewebsites.net</t>
  </si>
  <si>
    <t>5f4170af4d016</t>
  </si>
  <si>
    <t>http://humjakdkmdjdo.azurewebsites.net/TChsfsdfjdsfjdsfjVX/</t>
  </si>
  <si>
    <t>mkicropdkjfjrkfmmm.azurewebsites.net</t>
  </si>
  <si>
    <t>5f416fdf9f75d</t>
  </si>
  <si>
    <t>http://mkicropdkjfjrkfmmm.azurewebsites.net/TMachdsfgdsffdVX/</t>
  </si>
  <si>
    <t>gandgdhynfgrg.azurewebsites.net</t>
  </si>
  <si>
    <t>5f41703020e02</t>
  </si>
  <si>
    <t>http://gandgdhynfgrg.azurewebsites.net/TMachdsfgdsffdVX/</t>
  </si>
  <si>
    <t>5f410447ef94b</t>
  </si>
  <si>
    <t>http://kaldmkdiajdfdnnf.azurewebsites.net/TChsfsdfjdsfjdsfjVX/</t>
  </si>
  <si>
    <t>mikjduekaimjdi.azurewebsites.net</t>
  </si>
  <si>
    <t>5f410397ac56b</t>
  </si>
  <si>
    <t>http://mikjduekaimjdi.azurewebsites.net/TChsfsdfjdsfjdsfjVX/</t>
  </si>
  <si>
    <t>rumndjdnnjfdijfjj.azurewebsites.net</t>
  </si>
  <si>
    <t>5f410318ab75a</t>
  </si>
  <si>
    <t>http://rumndjdnnjfdijfjj.azurewebsites.net/TChsfsdfjdsfjdsfjVX/</t>
  </si>
  <si>
    <t>omklokkkkklokmmd.azurewebsites.net</t>
  </si>
  <si>
    <t>5f40281a1c13f</t>
  </si>
  <si>
    <t>http://omklokkkkklokmmd.azurewebsites.net/TChsfsdfjdsfjdsfjVX/</t>
  </si>
  <si>
    <t>kimloodmkijjd.azurewebsites.net</t>
  </si>
  <si>
    <t>5f40281760e17</t>
  </si>
  <si>
    <t>http://kimloodmkijjd.azurewebsites.net/TChsfsdfjdsfjdsfjVX/</t>
  </si>
  <si>
    <t>mikmjjdhimejhd.azurewebsites.net</t>
  </si>
  <si>
    <t>5f4028133e58c</t>
  </si>
  <si>
    <t>http://mikmjjdhimejhd.azurewebsites.net/TChsfsdfjdsfjdsfjVX/</t>
  </si>
  <si>
    <t>mikcroujnmiikjd.azurewebsites.net</t>
  </si>
  <si>
    <t>5f402810993b6</t>
  </si>
  <si>
    <t>http://mikcroujnmiikjd.azurewebsites.net/TChsfsdfjdsfjdsfjVX/</t>
  </si>
  <si>
    <t>judmkdieldofkk.azurewebsites.net</t>
  </si>
  <si>
    <t>5f4027e0dcfeb</t>
  </si>
  <si>
    <t>http://judmkdieldofkk.azurewebsites.net/TChsfsdfjdsfjdsfjVX/</t>
  </si>
  <si>
    <t>togetfreesupport115.azurewebsites.net</t>
  </si>
  <si>
    <t>5f4027dde432c</t>
  </si>
  <si>
    <t>http://togetfreesupport115.azurewebsites.net/CxDm3vwargBTus8/</t>
  </si>
  <si>
    <t>ifmfmmfoldkkdk.azurewebsites.net</t>
  </si>
  <si>
    <t>5f4027daf0c43</t>
  </si>
  <si>
    <t>http://ifmfmmfoldkkdk.azurewebsites.net/TChsfsdfjdsfjdsfjVX/</t>
  </si>
  <si>
    <t>tiumdjdkakdimdm.azurewebsites.net</t>
  </si>
  <si>
    <t>5f40278386718</t>
  </si>
  <si>
    <t>http://tiumdjdkakdimdm.azurewebsites.net/TChsfsdfjdsfjdsfjVX/</t>
  </si>
  <si>
    <t>jdidmamkkdidmm.azurewebsites.net</t>
  </si>
  <si>
    <t>5f402780475cf</t>
  </si>
  <si>
    <t>http://jdidmamkkdidmm.azurewebsites.net/TChsfsdfjdsfjdsfjVX/</t>
  </si>
  <si>
    <t>hamjsijhome.azurewebsites.net</t>
  </si>
  <si>
    <t>5f40277c87774</t>
  </si>
  <si>
    <t>http://hamjsijhome.azurewebsites.net/TChsfsdfjdsfjdsfjVX/</t>
  </si>
  <si>
    <t>mivfkojumdhdha.azurewebsites.net</t>
  </si>
  <si>
    <t>5f40276de9fcc</t>
  </si>
  <si>
    <t>http://mivfkojumdhdha.azurewebsites.net/TChsfsdfjdsfjdsfjVX/</t>
  </si>
  <si>
    <t>5f402772dda80</t>
  </si>
  <si>
    <t>http://laodkkmjdidjakskac.azurewebsites.net/TChsfsdfjdsfjdsfjVX/</t>
  </si>
  <si>
    <t>umkidkdlalakdodjd.azurewebsites.net</t>
  </si>
  <si>
    <t>5f40276f1c6e5</t>
  </si>
  <si>
    <t>http://umkidkdlalakdodjd.azurewebsites.net/TChsfsdfjdsfjdsfjVX/</t>
  </si>
  <si>
    <t>supportalart.azurewebsites.net</t>
  </si>
  <si>
    <t>5f3eb4b9852b8</t>
  </si>
  <si>
    <t>https://supportalart.azurewebsites.net/0CHfdfdfdfddfd99GK/</t>
  </si>
  <si>
    <t>hduduunkamindj.azurewebsites.net</t>
  </si>
  <si>
    <t>5f3d384dcecba</t>
  </si>
  <si>
    <t>http://hduduunkamindj.azurewebsites.net/TChsfsdfjdsfjdsfjVX/</t>
  </si>
  <si>
    <t>kimujshanhgs.azurewebsites.net</t>
  </si>
  <si>
    <t>5f3d38428877a</t>
  </si>
  <si>
    <t>http://kimujshanhgs.azurewebsites.net/TChsfsdfjdsfjdsfjVX/</t>
  </si>
  <si>
    <t>jumkoka-webaga.azurewebsites.net</t>
  </si>
  <si>
    <t>5f3c59bb851be</t>
  </si>
  <si>
    <t>http://jumkoka-webaga.azurewebsites.net/TMachdsfgdsffdVX/</t>
  </si>
  <si>
    <t>freemaintenance66.azurewebsites.net</t>
  </si>
  <si>
    <t>5f3c597fa6260</t>
  </si>
  <si>
    <t>http://freemaintenance66.azurewebsites.net/q5gCvYnz6kzKvgY/</t>
  </si>
  <si>
    <t>dfadsfsfa34242ppp.azurewebsites.net</t>
  </si>
  <si>
    <t>5f358257653e5</t>
  </si>
  <si>
    <t>http://dfadsfsfa34242ppp.azurewebsites.net/Windfsd.org/Dedfdfdfdfd777MSa/</t>
  </si>
  <si>
    <t>d222uge4hsuhikju.azurewebsites.net</t>
  </si>
  <si>
    <t>5f31a686ec408</t>
  </si>
  <si>
    <t>http://d222uge4hsuhikju.azurewebsites.net/_JKGHGGFFJYHVGCFGDXXXRR/EDfdfdfdfd100110dfSSY/</t>
  </si>
  <si>
    <t>computer76.azurewebsites.net</t>
  </si>
  <si>
    <t>5f3162e22f250</t>
  </si>
  <si>
    <t>http://computer76.azurewebsites.net/Mer-cado/</t>
  </si>
  <si>
    <t>ppbhdge4hsring.azurewebsites.net</t>
  </si>
  <si>
    <t>5f305f45c9997</t>
  </si>
  <si>
    <t>http://ppbhdge4hsring.azurewebsites.net/RSTERRXXXCCHACPLIJ/EDfdfdfdfd100110dfSSY/?1</t>
  </si>
  <si>
    <t>5f305e6f3ba1b</t>
  </si>
  <si>
    <t>http://ppbhdge4hsring.azurewebsites.net/RSTERRXXXCCHACPLIJ/EDfdfdfdfd100110dfSSY/</t>
  </si>
  <si>
    <t>ppbhdge4hsustd.azurewebsites.net</t>
  </si>
  <si>
    <t>5f3053a77cd2d</t>
  </si>
  <si>
    <t>http://ppbhdge4hsustd.azurewebsites.net/HACKICKXXXRX01010001RR/EDWINERR_UGBKJHUN1010001010GJO9HO/</t>
  </si>
  <si>
    <t>n5k38ge4hsustd.azurewebsites.net</t>
  </si>
  <si>
    <t>5f303a88b764b</t>
  </si>
  <si>
    <t>http://n5k38ge4hsustd.azurewebsites.net/HACKICKXXXRX01010001RR/EDWINERR_UGBKJHUN1010001010GJO9HO</t>
  </si>
  <si>
    <t>m9fc7ge4hsustd.azurewebsites.net</t>
  </si>
  <si>
    <t>5f3032ef08f4c</t>
  </si>
  <si>
    <t>http://m9fc7ge4hsustd.azurewebsites.net/HACKICKXXXRX01010001RR/EDWINERR_UGBKJHUN1010001010GJO9HO/</t>
  </si>
  <si>
    <t>m9650ge4hsgbeu.azurewebsites.net</t>
  </si>
  <si>
    <t>5f300111be76f</t>
  </si>
  <si>
    <t>http://m9650ge4hsgbeu.azurewebsites.net/_AMDMACOSSXXXRRGB/EDfdfdfdfd100110dfSSY/</t>
  </si>
  <si>
    <t>9ouge4hsgbeu.azurewebsites.net</t>
  </si>
  <si>
    <t>5f2f0a01e823c</t>
  </si>
  <si>
    <t>http://9ouge4hsgbeu.azurewebsites.net/WINGBCH_MSWinHelpERRO9875678/?sou=</t>
  </si>
  <si>
    <t>de2psge4hsustd.azurewebsites.net</t>
  </si>
  <si>
    <t>5f2eec90b7218</t>
  </si>
  <si>
    <t>http://de2psge4hsustd.azurewebsites.net/RSTERRXXXCCHACPLIJ/EDfdfdfdfd100110dfSSY/?sou=ec1aed45a8beb6f83bc3b251569a0dd2</t>
  </si>
  <si>
    <t>emnpwge4hsustd.azurewebsites.net</t>
  </si>
  <si>
    <t>5f2ee6c776e6f</t>
  </si>
  <si>
    <t>http://emnpwge4hsustd.azurewebsites.net/HACKICKXXXRX01010001RR/EDWINERR_UGBKJHUN1010001010GJO9HO</t>
  </si>
  <si>
    <t>pzbhjge4hsgbeu.azurewebsites.net</t>
  </si>
  <si>
    <t>5f2e91f0d2709</t>
  </si>
  <si>
    <t>https://pzbhjge4hsgbeu.azurewebsites.net/EDWINERR_UGBKJHUN1010001010GJO9HO/</t>
  </si>
  <si>
    <t>9f61wge4hsustd.azurewebsites.net</t>
  </si>
  <si>
    <t>5f2d87edd3cc6</t>
  </si>
  <si>
    <t>http://9f61wge4hsustd.azurewebsites.net/HACKICKXXXRX01010001RR/EDWINERR_UGBKJHUN1010001010GJO9HO</t>
  </si>
  <si>
    <t>accessblocked404-8085.azurewebsites.net</t>
  </si>
  <si>
    <t>5f2d0deccfd28</t>
  </si>
  <si>
    <t>http://accessblocked404-8085.azurewebsites.net/Faulty-Devices/IEWInhelp1001GK0101AW/</t>
  </si>
  <si>
    <t>accessblocked404-8086.azurewebsites.net</t>
  </si>
  <si>
    <t>5f2d0dd51114e</t>
  </si>
  <si>
    <t>http://accessblocked404-8086.azurewebsites.net/Faulty-Devices/MAC-INFECTED-DEVICE/</t>
  </si>
  <si>
    <t>accessblocked404-8088.azurewebsites.net</t>
  </si>
  <si>
    <t>5f2d0d4d2648b</t>
  </si>
  <si>
    <t>http://accessblocked404-8088.azurewebsites.net/Faulty-Devices/CHW-INFECTED-DEVICE/</t>
  </si>
  <si>
    <t>dge4hsjpy.azurewebsites.net</t>
  </si>
  <si>
    <t>5f2cff9939352</t>
  </si>
  <si>
    <t>http://dge4hsjpy.azurewebsites.net/_hakkingu/EDfdfdfdfd100110dfSS/</t>
  </si>
  <si>
    <t>z595rge4hsustd.azurewebsites.net</t>
  </si>
  <si>
    <t>5f2c69f60345b</t>
  </si>
  <si>
    <t>http://z595rge4hsustd.azurewebsites.net/hackickxxxrx01010001rr/WINGBCH_MSWinHelpERRO9875678/?sou=</t>
  </si>
  <si>
    <t>c2knvge4hsjp.azurewebsites.net</t>
  </si>
  <si>
    <t>5f280fc986d7d</t>
  </si>
  <si>
    <t>http://c2knvge4hsjp.azurewebsites.net/CHfdfdfdfd100110dfSS/?sou=</t>
  </si>
  <si>
    <t>6ge4hsgbeu.azurewebsites.net</t>
  </si>
  <si>
    <t>5f296e1115c9c</t>
  </si>
  <si>
    <t>https://6ge4hsgbeu.azurewebsites.net/EDWINERR_UGBKJHUN1010001010GJO9HO/</t>
  </si>
  <si>
    <t>5f279ef93b90e</t>
  </si>
  <si>
    <t>https://c2knvge4hsjp.azurewebsites.net/EDfdfdfdfd100110dfSS/</t>
  </si>
  <si>
    <t>developjyen.azurewebsites.net</t>
  </si>
  <si>
    <t>5f25626d72021</t>
  </si>
  <si>
    <t>http://developjyen.azurewebsites.net/MAfdfdfdfd100110dfSS/?sou=</t>
  </si>
  <si>
    <t>micro-7gbku.azurewebsites.net</t>
  </si>
  <si>
    <t>5f2556f9a0d06</t>
  </si>
  <si>
    <t>http://micro-7gbku.azurewebsites.net/_AMDMACOSSXXXRRGB/EDfdfdfdfd100110dfSSY</t>
  </si>
  <si>
    <t>5f24e075457b9</t>
  </si>
  <si>
    <t>https://developjyen.azurewebsites.net/EDfdfdfdfd100110dfSS/</t>
  </si>
  <si>
    <t>thytjygbeu.azurewebsites.net</t>
  </si>
  <si>
    <t>5f2408e8880a6</t>
  </si>
  <si>
    <t>http://thytjygbeu.azurewebsites.net/_AMDMACOSSXXXRRGB/EDfdfdfdfd100110dfSSY/</t>
  </si>
  <si>
    <t>djsjkdvbkjdsgb.azurewebsites.net</t>
  </si>
  <si>
    <t>5f229609c2f1c</t>
  </si>
  <si>
    <t>https://djsjkdvbkjdsgb.azurewebsites.net/EDfdfdfdfd100110dfSSY/</t>
  </si>
  <si>
    <t>accountblocked-insecuredevice404-406.azurewebsites.net</t>
  </si>
  <si>
    <t>5f218a5be56e3</t>
  </si>
  <si>
    <t>http://accountblocked-insecuredevice404-406.azurewebsites.net/insecure-device/CHWInhelp10GK010101AW/</t>
  </si>
  <si>
    <t>ngiuegjpy.azurewebsites.net</t>
  </si>
  <si>
    <t>5f214c3ce75db</t>
  </si>
  <si>
    <t>http://ngiuegjpy.azurewebsites.net/CHfdfdfdfd100110dfSS/?sou=</t>
  </si>
  <si>
    <t>accountblocked-insecuredevice404-405.azurewebsites.net</t>
  </si>
  <si>
    <t>5f212d91d65c5</t>
  </si>
  <si>
    <t>http://accountblocked-insecuredevice404-405.azurewebsites.net/insecure-device/CHWInhelp10GK010101AW/</t>
  </si>
  <si>
    <t>accountblocked-insecuredevice404.azurewebsites.net</t>
  </si>
  <si>
    <t>5f212d7bccdad</t>
  </si>
  <si>
    <t>http://accountblocked-insecuredevice404.azurewebsites.net/insecure-device/Machelp100101GK0101AW</t>
  </si>
  <si>
    <t>accountblocked-insecuredevice404-404.azurewebsites.net</t>
  </si>
  <si>
    <t>5f212d524fa0a</t>
  </si>
  <si>
    <t>http://accountblocked-insecuredevice404-404.azurewebsites.net/insecure-device/EDWInhelp100GK10101AW/</t>
  </si>
  <si>
    <t>accountblocked-insecuredevice404-407.azurewebsites.net</t>
  </si>
  <si>
    <t>5f212d287f98b</t>
  </si>
  <si>
    <t>http://accountblocked-insecuredevice404-407.azurewebsites.net/insecure-device/Machelp100101GK0101AW</t>
  </si>
  <si>
    <t>accountblocked-insecuredevice404-408.azurewebsites.net</t>
  </si>
  <si>
    <t>5f2102c5b1fca</t>
  </si>
  <si>
    <t>http://accountblocked-insecuredevice404-408.azurewebsites.net/insecure-device/CHWInhelp10GK010101AW/</t>
  </si>
  <si>
    <t>accessblocked404-4057.azurewebsites.net</t>
  </si>
  <si>
    <t>5f201f3e90468</t>
  </si>
  <si>
    <t>http://accessblocked404-4057.azurewebsites.net/infected-device/XEDdhdsbfhgdfhdgf7xe/</t>
  </si>
  <si>
    <t>accessblocked404-4060.azurewebsites.net</t>
  </si>
  <si>
    <t>5f201623518fb</t>
  </si>
  <si>
    <t>http://accessblocked404-4060.azurewebsites.net/infected-device/Machelp100101GK0101AW/</t>
  </si>
  <si>
    <t>denied-access.azurewebsites.net</t>
  </si>
  <si>
    <t>5efe393b9e02b</t>
  </si>
  <si>
    <t>http://denied-access.azurewebsites.net/infected-device/XMCdhdsbfhgdfhdgf7xe/</t>
  </si>
  <si>
    <t>blocked-access.azurewebsites.net</t>
  </si>
  <si>
    <t>5efd96abce918</t>
  </si>
  <si>
    <t>https://blocked-access.azurewebsites.net/infected-device/XMCdhdsbfhgdfhdgf7xe/index.html</t>
  </si>
  <si>
    <t>testjarvis177.azurewebsites.net</t>
  </si>
  <si>
    <t>5ee137cbd906c</t>
  </si>
  <si>
    <t>http://testjarvis177.azurewebsites.net/info/WED18818811818help7/</t>
  </si>
  <si>
    <t>identity-protector.azurewebsites.net</t>
  </si>
  <si>
    <t>5edd233622c82</t>
  </si>
  <si>
    <t>http://identity-protector.azurewebsites.net/actnow/WED18818811818help7/</t>
  </si>
  <si>
    <t>ksichgery.ml</t>
  </si>
  <si>
    <t>162.241.117.184</t>
  </si>
  <si>
    <t>5f00e17d4125b</t>
  </si>
  <si>
    <t>http://ksichgery.ml/austi/ain/NEWGER/</t>
  </si>
  <si>
    <t>vcert.tk</t>
  </si>
  <si>
    <t>5efb3fafd2125</t>
  </si>
  <si>
    <t>http://vcert.tk/austi/av/NEWGER/</t>
  </si>
  <si>
    <t>crigtron.ga</t>
  </si>
  <si>
    <t>5edb90c9939e5</t>
  </si>
  <si>
    <t>http://crigtron.ga/austi/NEWGER/</t>
  </si>
  <si>
    <t>crigtron.cf</t>
  </si>
  <si>
    <t>5edcb38579c7e</t>
  </si>
  <si>
    <t>http://crigtron.cf/austi/NEWGER/</t>
  </si>
  <si>
    <t>3.137.69.223</t>
  </si>
  <si>
    <t>5edcea3b71ecc</t>
  </si>
  <si>
    <t>http://3.137.69.223/Ch10010110xyMS/</t>
  </si>
  <si>
    <t>95.179.230.170</t>
  </si>
  <si>
    <t>Choopa, LLC</t>
  </si>
  <si>
    <t>5edba46078454</t>
  </si>
  <si>
    <t>http://95.179.230.170/ED100101010XCDH/</t>
  </si>
  <si>
    <t>workhere.site</t>
  </si>
  <si>
    <t>142.93.113.9</t>
  </si>
  <si>
    <t>5edb936a54e8c</t>
  </si>
  <si>
    <t>https://workhere.site/0bexx777xxy/SJ10001101010ED/</t>
  </si>
  <si>
    <t>5edb985198d38</t>
  </si>
  <si>
    <t>https://workhere.site/0chxx777xxy/SJ10001101010ED/</t>
  </si>
  <si>
    <t>datedreampartner.club</t>
  </si>
  <si>
    <t>166.62.10.184</t>
  </si>
  <si>
    <t>5ee504f73799b</t>
  </si>
  <si>
    <t>http://datedreampartner.club/Help/Alert/XPCH/</t>
  </si>
  <si>
    <t>searchprotect.club</t>
  </si>
  <si>
    <t>5ede781062010</t>
  </si>
  <si>
    <t>http://searchprotect.club/ScanResult/XPFH/</t>
  </si>
  <si>
    <t>5ede62c939751</t>
  </si>
  <si>
    <t>http://searchprotect.club/Protect/XPCH/index.html</t>
  </si>
  <si>
    <t>err000xx92.pw</t>
  </si>
  <si>
    <t>137.220.56.178</t>
  </si>
  <si>
    <t>5ede7220ef019</t>
  </si>
  <si>
    <t>https://err000xx92.pw/3773/YXMCdhdsbfhgdfhdgf9xSQ/</t>
  </si>
  <si>
    <t>pw</t>
  </si>
  <si>
    <t>workithere.site</t>
  </si>
  <si>
    <t>206.189.224.45</t>
  </si>
  <si>
    <t>5ede8490b77b0</t>
  </si>
  <si>
    <t>https://workithere.site/0usx7799xy/SJ10001101010ED/</t>
  </si>
  <si>
    <t>emoticon944.ga</t>
  </si>
  <si>
    <t>104.24.100.98</t>
  </si>
  <si>
    <t>Ethiopia</t>
  </si>
  <si>
    <t>5ede89731b06c</t>
  </si>
  <si>
    <t>https://emoticon944.ga/win1010_8181.yyp/0EDfdfdfdfddfd99900MKD01/</t>
  </si>
  <si>
    <t>ushcleandeviceerrors.live</t>
  </si>
  <si>
    <t>159.203.82.41</t>
  </si>
  <si>
    <t>5ede90f2ca00f</t>
  </si>
  <si>
    <t>http://ushcleandeviceerrors.live/decmac/?v=8.6.2020.159.203.82.41&amp;amp;phone=+1-855-907-3453</t>
  </si>
  <si>
    <t>live</t>
  </si>
  <si>
    <t>rootdata355.ml</t>
  </si>
  <si>
    <t>172.67.213.187</t>
  </si>
  <si>
    <t>5edf29210617b</t>
  </si>
  <si>
    <t>https://rootdata355.ml/WIn011010_8181.vvb/TEdsjsjhskhkasdVXPV/</t>
  </si>
  <si>
    <t>128.199.246.31</t>
  </si>
  <si>
    <t>5edf2943d2781</t>
  </si>
  <si>
    <t>http://128.199.246.31/</t>
  </si>
  <si>
    <t>attractiview.online</t>
  </si>
  <si>
    <t>198.187.31.49</t>
  </si>
  <si>
    <t>60bbedb5e269f</t>
  </si>
  <si>
    <t>https://attractiview.online/njpallx01-nc5b6xcv1-d4hfdgs-v1cxv54x56-er5e5r4e-x1vv85xvcx8-v1v54e-e545fd5zv/edgcx/index.html</t>
  </si>
  <si>
    <t>hostin-tld02.site</t>
  </si>
  <si>
    <t>5ee0a04471e40</t>
  </si>
  <si>
    <t>https://hostin-tld02.site/index-4.html</t>
  </si>
  <si>
    <t>hostin-tld06.site</t>
  </si>
  <si>
    <t>5ee09fda2505e</t>
  </si>
  <si>
    <t>https://hostin-tld06.site/index-4.html</t>
  </si>
  <si>
    <t>City of London</t>
  </si>
  <si>
    <t>136.244.79.206</t>
  </si>
  <si>
    <t>5edf958a91b09</t>
  </si>
  <si>
    <t>http://136.244.79.206/ED100101010XCDH/</t>
  </si>
  <si>
    <t>socialpossitivehamervirus.club</t>
  </si>
  <si>
    <t>166.62.28.92</t>
  </si>
  <si>
    <t>5eee4acab193d</t>
  </si>
  <si>
    <t>http://socialpossitivehamervirus.club</t>
  </si>
  <si>
    <t>openpossitivehamervirus.club</t>
  </si>
  <si>
    <t>5eee4ca2d132b</t>
  </si>
  <si>
    <t>http://openpossitivehamervirus.club</t>
  </si>
  <si>
    <t>possitivehamervirusgames.club</t>
  </si>
  <si>
    <t>5eed311830d51</t>
  </si>
  <si>
    <t>http://possitivehamervirusgames.club</t>
  </si>
  <si>
    <t>dailypossitivehamervirus.club</t>
  </si>
  <si>
    <t>5eea551b463ec</t>
  </si>
  <si>
    <t>http://dailypossitivehamervirus.club</t>
  </si>
  <si>
    <t>thinkpossitivehamervirus.club</t>
  </si>
  <si>
    <t>5ee9cc32157b0</t>
  </si>
  <si>
    <t>http://thinkpossitivehamervirus.club/?source=23491277</t>
  </si>
  <si>
    <t>possitivehamerviruscompany.club</t>
  </si>
  <si>
    <t>5edfa91689133</t>
  </si>
  <si>
    <t>http://possitivehamerviruscompany.club</t>
  </si>
  <si>
    <t>possitivehamerviruscafe.club</t>
  </si>
  <si>
    <t>5edfa89e48178</t>
  </si>
  <si>
    <t>http://possitivehamerviruscafe.club</t>
  </si>
  <si>
    <t>possitivehamervirussoftware.club</t>
  </si>
  <si>
    <t>5edfa846dbde6</t>
  </si>
  <si>
    <t>http://possitivehamervirussoftware.club</t>
  </si>
  <si>
    <t>Heiwajima</t>
  </si>
  <si>
    <t>er000xxxx1.pw</t>
  </si>
  <si>
    <t>139.180.154.23</t>
  </si>
  <si>
    <t>5edfba7328d59</t>
  </si>
  <si>
    <t>https://er000xxxx1.pw/4232/YXIEdhdsbfhgdfhdgf9xSQ/</t>
  </si>
  <si>
    <t>Sydney</t>
  </si>
  <si>
    <t>18torronujki.azurewebsites.net</t>
  </si>
  <si>
    <t>13.70.72.33</t>
  </si>
  <si>
    <t>60d6244c8a736</t>
  </si>
  <si>
    <t>https://18torronujki.azurewebsites.net/W088MSi08880Moit0yCH0008Mhi0/index.html</t>
  </si>
  <si>
    <t>11torrontghy.azurewebsites.net</t>
  </si>
  <si>
    <t>60d62110bd2fd</t>
  </si>
  <si>
    <t>https://11torrontghy.azurewebsites.net/W088MSi08880Moit0yCED0008Mhi0/index.html</t>
  </si>
  <si>
    <t>getsyourspcfixed-112wwfwf.azurewebsites.net</t>
  </si>
  <si>
    <t>601d7ccca4149</t>
  </si>
  <si>
    <t>https://getsyourspcfixed-112wwfwf.azurewebsites.net/MicOSoCHPC017528240X00/</t>
  </si>
  <si>
    <t>getsyourpcfixed-62dfxdvvcvcv.azurewebsites.net</t>
  </si>
  <si>
    <t>601af736254ce</t>
  </si>
  <si>
    <t>https://getsyourpcfixed-62dfxdvvcvcv.azurewebsites.net/MicOSoCHPC017528240X00/</t>
  </si>
  <si>
    <t>getsyourpcfixed-02rdgtegegeg.azurewebsites.net</t>
  </si>
  <si>
    <t>60197deeb0ecc</t>
  </si>
  <si>
    <t>https://getsyourpcfixed-02rdgtegegeg.azurewebsites.net/MicOSoCHPC017528240X00/</t>
  </si>
  <si>
    <t>22-geek-support.azurewebsites.net</t>
  </si>
  <si>
    <t>5fd7997bd4ae7</t>
  </si>
  <si>
    <t>https://22-geek-support.azurewebsites.net/Wind0HelCHSyS06016552664/</t>
  </si>
  <si>
    <t>quick-support279.azurewebsites.net</t>
  </si>
  <si>
    <t>5faf4417c6dc1</t>
  </si>
  <si>
    <t>http://quick-support279.azurewebsites.net/JArbZ98cFQJapCA/</t>
  </si>
  <si>
    <t>livequick-support158.azurewebsites.net</t>
  </si>
  <si>
    <t>5faf3e35ecc8d</t>
  </si>
  <si>
    <t>http://livequick-support158.azurewebsites.net/JArbZ98cFQJapCA/</t>
  </si>
  <si>
    <t>livequick-support142.azurewebsites.net</t>
  </si>
  <si>
    <t>5faf3de9b8740</t>
  </si>
  <si>
    <t>http://livequick-support142.azurewebsites.net/JArbZ98cFQJapCA/</t>
  </si>
  <si>
    <t>livequick-support102.azurewebsites.net</t>
  </si>
  <si>
    <t>5faf3d2e18fca</t>
  </si>
  <si>
    <t>http://livequick-support102.azurewebsites.net/JArbZ98cFQJapCA/</t>
  </si>
  <si>
    <t>livequick-support094.azurewebsites.net</t>
  </si>
  <si>
    <t>5faf39bd42cb1</t>
  </si>
  <si>
    <t>http://livequick-support094.azurewebsites.net/JArbZ98cFQJapCA/</t>
  </si>
  <si>
    <t>livequick-support088.azurewebsites.net</t>
  </si>
  <si>
    <t>5faf39a172ac7</t>
  </si>
  <si>
    <t>http://livequick-support088.azurewebsites.net/JArbZ98cFQJapCA/</t>
  </si>
  <si>
    <t>quick-support092.azurewebsites.net</t>
  </si>
  <si>
    <t>5fa43e6da1815</t>
  </si>
  <si>
    <t>https://quick-support092.azurewebsites.net/KZPnhPzq8R8jHBD/</t>
  </si>
  <si>
    <t>quick-support082.azurewebsites.net</t>
  </si>
  <si>
    <t>5fa43a0508d83</t>
  </si>
  <si>
    <t>https://quick-support082.azurewebsites.net/KZPnhPzq8R8jHBD/</t>
  </si>
  <si>
    <t>speedupyourpc02.azurewebsites.net</t>
  </si>
  <si>
    <t>5f808fbb73f0b</t>
  </si>
  <si>
    <t>https://speedupyourpc02.azurewebsites.net/bUAnaP5Cp7yKmv4/</t>
  </si>
  <si>
    <t>helpbygeekexperts63.azurewebsites.net</t>
  </si>
  <si>
    <t>5f7e1515d3942</t>
  </si>
  <si>
    <t>https://helpbygeekexperts63.azurewebsites.net/7mXVCUNqjvYHSbG/</t>
  </si>
  <si>
    <t>unmatchedpchelp15.azurewebsites.net</t>
  </si>
  <si>
    <t>5f7cd74d73687</t>
  </si>
  <si>
    <t>https://unmatchedpchelp15.azurewebsites.net/7mXVCUNqjvYHSbG/</t>
  </si>
  <si>
    <t>unmatchedpchelp17.azurewebsites.net</t>
  </si>
  <si>
    <t>5f7cd53405ae0</t>
  </si>
  <si>
    <t>https://unmatchedpchelp17.azurewebsites.net/ZYJeAhkcZ2wW6Zf/</t>
  </si>
  <si>
    <t>bestpchelpsupport12.azurewebsites.net</t>
  </si>
  <si>
    <t>5f778d1d162e0</t>
  </si>
  <si>
    <t>https://bestpchelpsupport12.azurewebsites.net/TZZsyhcrt2Wrbu9/</t>
  </si>
  <si>
    <t>livepchelp02.azurewebsites.net</t>
  </si>
  <si>
    <t>5f762e4c0de4b</t>
  </si>
  <si>
    <t>https://livepchelp02.azurewebsites.net/TZZsyhcrt2Wrbu9/</t>
  </si>
  <si>
    <t>liveonlinepchelp22.azurewebsites.net</t>
  </si>
  <si>
    <t>5f735e87ac5ae</t>
  </si>
  <si>
    <t>http://liveonlinepchelp22.azurewebsites.net/6Yeqm5nqUDDNFgk/</t>
  </si>
  <si>
    <t>liveonlinepchelp02.azurewebsites.net</t>
  </si>
  <si>
    <t>5f735df9b89e2</t>
  </si>
  <si>
    <t>http://liveonlinepchelp02.azurewebsites.net/6Yeqm5nqUDDNFgk/</t>
  </si>
  <si>
    <t>onlinecomputersupport62.azurewebsites.net</t>
  </si>
  <si>
    <t>5f722160a4361</t>
  </si>
  <si>
    <t>https://onlinecomputersupport62.azurewebsites.net/Kq8XSq5WNCgY68z/</t>
  </si>
  <si>
    <t>freepchelp190.azurewebsites.net</t>
  </si>
  <si>
    <t>5f6e491340281</t>
  </si>
  <si>
    <t>https://freepchelp190.azurewebsites.net/uGM5D6wZ9V5J5RY/</t>
  </si>
  <si>
    <t>freecomputersupport02.azurewebsites.net</t>
  </si>
  <si>
    <t>5f6a3d0413430</t>
  </si>
  <si>
    <t>https://freecomputersupport02.azurewebsites.net/PjY6bTgrEnuKddE/</t>
  </si>
  <si>
    <t>freecomputerhelp62.azurewebsites.net</t>
  </si>
  <si>
    <t>5f699f01507d7</t>
  </si>
  <si>
    <t>https://freecomputerhelp62.azurewebsites.net/R7tcvkAFdAwS4B4</t>
  </si>
  <si>
    <t>freecomputerhelp142.azurewebsites.net</t>
  </si>
  <si>
    <t>5f699e3f92093</t>
  </si>
  <si>
    <t>https://freecomputerhelp142.azurewebsites.net/R7tcvkAFdAwS4B4</t>
  </si>
  <si>
    <t>freecomputerhelp122.azurewebsites.net</t>
  </si>
  <si>
    <t>5f699e1361b28</t>
  </si>
  <si>
    <t>https://freecomputerhelp122.azurewebsites.net/R7tcvkAFdAwS4B4</t>
  </si>
  <si>
    <t>freecomputerhelp112.azurewebsites.net</t>
  </si>
  <si>
    <t>5f699df6f294d</t>
  </si>
  <si>
    <t>https://freecomputerhelp112.azurewebsites.net/R7tcvkAFdAwS4B4</t>
  </si>
  <si>
    <t>freecomputerhelp42.azurewebsites.net</t>
  </si>
  <si>
    <t>5f68dba3ab124</t>
  </si>
  <si>
    <t>https://freecomputerhelp42.azurewebsites.net/R7tcvkAFdAwS4B4/</t>
  </si>
  <si>
    <t>freecomputerhelp17.azurewebsites.net</t>
  </si>
  <si>
    <t>5f68d98873044</t>
  </si>
  <si>
    <t>https://freecomputerhelp17.azurewebsites.net/R7tcvkAFdAwS4B4/</t>
  </si>
  <si>
    <t>freepchelpforum02.azurewebsites.net</t>
  </si>
  <si>
    <t>5f6287fd5c175</t>
  </si>
  <si>
    <t>https://freepchelpforum02.azurewebsites.net/TxHTvPq9EFWfwjb/</t>
  </si>
  <si>
    <t>freepchelp02.azurewebsites.net</t>
  </si>
  <si>
    <t>5f61c61e30658</t>
  </si>
  <si>
    <t>https://freepchelp02.azurewebsites.net/ERDDrHjVfKbFJbQ/</t>
  </si>
  <si>
    <t>freepchelp82.azurewebsites.net</t>
  </si>
  <si>
    <t>5f61c5392fff8</t>
  </si>
  <si>
    <t>https://freepchelp82.azurewebsites.net/ERDDrHjVfKbFJbQ/</t>
  </si>
  <si>
    <t>pconlinehelp102.azurewebsites.net</t>
  </si>
  <si>
    <t>5f60798fc0814</t>
  </si>
  <si>
    <t>https://pconlinehelp102.azurewebsites.net/ERDDrHjVfKbFJbQ/</t>
  </si>
  <si>
    <t>pconlinehelp112.azurewebsites.net</t>
  </si>
  <si>
    <t>5f607983243e8</t>
  </si>
  <si>
    <t>https://pconlinehelp112.azurewebsites.net/ERDDrHjVfKbFJbQ/</t>
  </si>
  <si>
    <t>pconlinehelp22.azurewebsites.net</t>
  </si>
  <si>
    <t>5f5f9a645c30d</t>
  </si>
  <si>
    <t>https://pconlinehelp22.azurewebsites.net/ERDDrHjVfKbFJbQ/</t>
  </si>
  <si>
    <t>pconlinehelp02.azurewebsites.net</t>
  </si>
  <si>
    <t>5f5f9c003d0b6</t>
  </si>
  <si>
    <t>https://pconlinehelp02.azurewebsites.net/ERDDrHjVfKbFJbQ/</t>
  </si>
  <si>
    <t>pchelpdesk72.azurewebsites.net</t>
  </si>
  <si>
    <t>5f5a5b743ddfd</t>
  </si>
  <si>
    <t>https://pchelpdesk72.azurewebsites.net/garretttanners7d/</t>
  </si>
  <si>
    <t>pchelpdesk42.azurewebsites.net</t>
  </si>
  <si>
    <t>5f5a58b1e33c8</t>
  </si>
  <si>
    <t>https://pchelpdesk42.azurewebsites.net/garretttanners7d/</t>
  </si>
  <si>
    <t>pchelpdesk02.azurewebsites.net</t>
  </si>
  <si>
    <t>5f5a57a8312e2</t>
  </si>
  <si>
    <t>https://pchelpdesk02.azurewebsites.net/garretttanners7d/</t>
  </si>
  <si>
    <t>pchelpservices149.azurewebsites.net</t>
  </si>
  <si>
    <t>5f5932e0b5fca</t>
  </si>
  <si>
    <t>https://pchelpservices149.azurewebsites.net/dawsonwhlerS7v/</t>
  </si>
  <si>
    <t>pchelpservices152.azurewebsites.net</t>
  </si>
  <si>
    <t>5f592d142cebf</t>
  </si>
  <si>
    <t>https://pchelpservices152.azurewebsites.net/dawsonwhlerS7v/</t>
  </si>
  <si>
    <t>pchelpservices82.azurewebsites.net</t>
  </si>
  <si>
    <t>5f5916b5e5923</t>
  </si>
  <si>
    <t>https://pchelpservices82.azurewebsites.net/dawsonwhlerS7v/</t>
  </si>
  <si>
    <t>pchelpservices62.azurewebsites.net</t>
  </si>
  <si>
    <t>5f590d58c40f4</t>
  </si>
  <si>
    <t>https://pchelpservices62.azurewebsites.net/dawsonwhlerS7v/</t>
  </si>
  <si>
    <t>callnow92.azurewebsites.net</t>
  </si>
  <si>
    <t>5f5288c8e0565</t>
  </si>
  <si>
    <t>http://callnow92.azurewebsites.net/cado/</t>
  </si>
  <si>
    <t>callnow72.azurewebsites.net</t>
  </si>
  <si>
    <t>5f52870097b23</t>
  </si>
  <si>
    <t>http://callnow72.azurewebsites.net/Mer-cado/</t>
  </si>
  <si>
    <t>callnow52.azurewebsites.net</t>
  </si>
  <si>
    <t>5f5286a34330e</t>
  </si>
  <si>
    <t>http://callnow52.azurewebsites.net/Mer-cado/</t>
  </si>
  <si>
    <t>callnow32.azurewebsites.net</t>
  </si>
  <si>
    <t>5f5286459bc40</t>
  </si>
  <si>
    <t>http://callnow32.azurewebsites.net/Mer-cado/</t>
  </si>
  <si>
    <t>callnow12.azurewebsites.net</t>
  </si>
  <si>
    <t>5f5285e653f82</t>
  </si>
  <si>
    <t>http://callnow12.azurewebsites.net/Mer-cado/</t>
  </si>
  <si>
    <t>callnow02.azurewebsites.net</t>
  </si>
  <si>
    <t>5f5285a17b04c</t>
  </si>
  <si>
    <t>http://callnow02.azurewebsites.net/Mer-cado/</t>
  </si>
  <si>
    <t>freesupportcall02.azurewebsites.net</t>
  </si>
  <si>
    <t>5f4e737b3d847</t>
  </si>
  <si>
    <t>http://freesupportcall02.azurewebsites.net/q5gCvYnz6kzKvgY/</t>
  </si>
  <si>
    <t>freesupportcall12.azurewebsites.net</t>
  </si>
  <si>
    <t>5f4e73359c136</t>
  </si>
  <si>
    <t>http://freesupportcall12.azurewebsites.net/q5gCvYnz6kzKvgY/</t>
  </si>
  <si>
    <t>customerfreesupport62.azurewebsites.net</t>
  </si>
  <si>
    <t>5f4d5b7d91a6b</t>
  </si>
  <si>
    <t>https://customerfreesupport62.azurewebsites.net/HNhGpB5gbMdVDyb/</t>
  </si>
  <si>
    <t>customerfreesupport32.azurewebsites.net</t>
  </si>
  <si>
    <t>5f4d5b1f468f0</t>
  </si>
  <si>
    <t>https://customerfreesupport32.azurewebsites.net/HNhGpB5gbMdVDyb/</t>
  </si>
  <si>
    <t>customerfreesupport52.azurewebsites.net</t>
  </si>
  <si>
    <t>5f4d4659be425</t>
  </si>
  <si>
    <t>https://customerfreesupport52.azurewebsites.net/HNhGpB5gbMdVDyb/</t>
  </si>
  <si>
    <t>freesupport82.azurewebsites.net</t>
  </si>
  <si>
    <t>5f4c0ddd212f8</t>
  </si>
  <si>
    <t>http://freesupport82.azurewebsites.net/gHBW7zFVGjwcrjr/</t>
  </si>
  <si>
    <t>freesupport72.azurewebsites.net</t>
  </si>
  <si>
    <t>5f4c0dac2e980</t>
  </si>
  <si>
    <t>http://freesupport72.azurewebsites.net/gHBW7zFVGjwcrjr/</t>
  </si>
  <si>
    <t>freesupport52.azurewebsites.net</t>
  </si>
  <si>
    <t>5f4c0d4b4c756</t>
  </si>
  <si>
    <t>http://freesupport52.azurewebsites.net/gHBW7zFVGjwcrjr/</t>
  </si>
  <si>
    <t>freesupport42.azurewebsites.net</t>
  </si>
  <si>
    <t>5f4c0d1c0e19a</t>
  </si>
  <si>
    <t>http://freesupport42.azurewebsites.net/gHBW7zFVGjwcrjr/</t>
  </si>
  <si>
    <t>callnow-free152.azurewebsites.net</t>
  </si>
  <si>
    <t>5f4c09c8f2cf5</t>
  </si>
  <si>
    <t>http://callnow-free152.azurewebsites.net/S9M5QFaca7VkHSt/</t>
  </si>
  <si>
    <t>callnow-free142.azurewebsites.net</t>
  </si>
  <si>
    <t>5f4c09995ae73</t>
  </si>
  <si>
    <t>http://callnow-free142.azurewebsites.net/S9M5QFaca7VkHSt/</t>
  </si>
  <si>
    <t>callnow-free122.azurewebsites.net</t>
  </si>
  <si>
    <t>5f4c093cb817c</t>
  </si>
  <si>
    <t>http://callnow-free122.azurewebsites.net/S9M5QFaca7VkHSt/</t>
  </si>
  <si>
    <t>callnow-free102.azurewebsites.net</t>
  </si>
  <si>
    <t>5f4c08e0b6670</t>
  </si>
  <si>
    <t>http://callnow-free102.azurewebsites.net/S9M5QFaca7VkHSt/</t>
  </si>
  <si>
    <t>callnow-free81.azurewebsites.net</t>
  </si>
  <si>
    <t>5f4c087e14ac0</t>
  </si>
  <si>
    <t>http://callnow-free81.azurewebsites.net/S9M5QFaca7VkHSt/</t>
  </si>
  <si>
    <t>freesupport22.azurewebsites.net</t>
  </si>
  <si>
    <t>5f4ae54eee696</t>
  </si>
  <si>
    <t>http://freesupport22.azurewebsites.net/gHBW7zFVGjwcrjr/</t>
  </si>
  <si>
    <t>freesupportservice132.azurewebsites.net</t>
  </si>
  <si>
    <t>5f4ad8f3b0b81</t>
  </si>
  <si>
    <t>http://freesupportservice132.azurewebsites.net/vcCsfdvjFg4P5tp/</t>
  </si>
  <si>
    <t>callnow-free62.azurewebsites.net</t>
  </si>
  <si>
    <t>5f4ae33a948f5</t>
  </si>
  <si>
    <t>http://callnow-free62.azurewebsites.net/S9M5QFaca7VkHSt/</t>
  </si>
  <si>
    <t>freecallcaresupport102.azurewebsites.net</t>
  </si>
  <si>
    <t>5f4aa40f8a25b</t>
  </si>
  <si>
    <t>http://freecallcaresupport102.azurewebsites.net/vTUPHmw6mhDcMgT/</t>
  </si>
  <si>
    <t>freecallcaresupport82.azurewebsites.net</t>
  </si>
  <si>
    <t>5f4aa3b249f29</t>
  </si>
  <si>
    <t>http://freecallcaresupport82.azurewebsites.net/vTUPHmw6mhDcMgT/</t>
  </si>
  <si>
    <t>freecallcaresupport42.azurewebsites.net</t>
  </si>
  <si>
    <t>5f4aa2fe83814</t>
  </si>
  <si>
    <t>http://freecallcaresupport42.azurewebsites.net/vTUPHmw6mhDcMgT/</t>
  </si>
  <si>
    <t>freecallcaresupport22.azurewebsites.net</t>
  </si>
  <si>
    <t>5f4aa2a0e9c21</t>
  </si>
  <si>
    <t>http://freecallcaresupport22.azurewebsites.net/vTUPHmw6mhDcMgT/</t>
  </si>
  <si>
    <t>freecallcaresupport02.azurewebsites.net</t>
  </si>
  <si>
    <t>5f4aa23b04b0a</t>
  </si>
  <si>
    <t>http://freecallcaresupport02.azurewebsites.net/vTUPHmw6mhDcMgT/</t>
  </si>
  <si>
    <t>customercaresupport92.azurewebsites.net</t>
  </si>
  <si>
    <t>5f4aa1c87bfae</t>
  </si>
  <si>
    <t>http://customercaresupport92.azurewebsites.net/vcCsfdvjFg4P5tp/</t>
  </si>
  <si>
    <t>customercaresupport82.azurewebsites.net</t>
  </si>
  <si>
    <t>5f49e0973e1fd</t>
  </si>
  <si>
    <t>http://customercaresupport82.azurewebsites.net/BdvJMsVsaH3HMNC/</t>
  </si>
  <si>
    <t>getfreesupport152.azurewebsites.net</t>
  </si>
  <si>
    <t>5f49765036f7a</t>
  </si>
  <si>
    <t>http://getfreesupport152.azurewebsites.net/gHBW7zFVGjwcrjr/</t>
  </si>
  <si>
    <t>getfreesupport142.azurewebsites.net</t>
  </si>
  <si>
    <t>5f49761f3e874</t>
  </si>
  <si>
    <t>http://getfreesupport142.azurewebsites.net/gHBW7zFVGjwcrjr/</t>
  </si>
  <si>
    <t>getfreesupport122.azurewebsites.net</t>
  </si>
  <si>
    <t>5f4975bb2e259</t>
  </si>
  <si>
    <t>http://getfreesupport122.azurewebsites.net/gHBW7zFVGjwcrjr/</t>
  </si>
  <si>
    <t>getfreesupport102.azurewebsites.net</t>
  </si>
  <si>
    <t>5f497553b2b45</t>
  </si>
  <si>
    <t>http://getfreesupport102.azurewebsites.net/gHBW7zFVGjwcrjr/</t>
  </si>
  <si>
    <t>freesupport132.azurewebsites.net</t>
  </si>
  <si>
    <t>5f4961f3ae145</t>
  </si>
  <si>
    <t>http://freesupport132.azurewebsites.net/pb613cadhekan/</t>
  </si>
  <si>
    <t>freesupport122.azurewebsites.net</t>
  </si>
  <si>
    <t>5f4961cecb208</t>
  </si>
  <si>
    <t>http://freesupport122.azurewebsites.net/pb613cadhekan/</t>
  </si>
  <si>
    <t>freemaintenance102.azurewebsites.net</t>
  </si>
  <si>
    <t>5f495eb459d7a</t>
  </si>
  <si>
    <t>http://freemaintenance102.azurewebsites.net/q5gCvYnz6kzKvgY/</t>
  </si>
  <si>
    <t>freemaintenance82.azurewebsites.net</t>
  </si>
  <si>
    <t>5f495e635e024</t>
  </si>
  <si>
    <t>http://freemaintenance82.azurewebsites.net/q5gCvYnz6kzKvgY/</t>
  </si>
  <si>
    <t>freemaintenance62.azurewebsites.net</t>
  </si>
  <si>
    <t>5f495e0d535b2</t>
  </si>
  <si>
    <t>http://freemaintenance62.azurewebsites.net/q5gCvYnz6kzKvgY/</t>
  </si>
  <si>
    <t>freemaintenance56.azurewebsites.net</t>
  </si>
  <si>
    <t>5f495df4e40b0</t>
  </si>
  <si>
    <t>http://freemaintenance56.azurewebsites.net/q5gCvYnz6kzKvgY/</t>
  </si>
  <si>
    <t>services02.azurewebsites.net</t>
  </si>
  <si>
    <t>5f4958dd318cf</t>
  </si>
  <si>
    <t>http://services02.azurewebsites.net/pb613cadhekan/</t>
  </si>
  <si>
    <t>customercaresupport182.azurewebsites.net</t>
  </si>
  <si>
    <t>5f49460ef2e8c</t>
  </si>
  <si>
    <t>https://customercaresupport182.azurewebsites.net/HNhGpB5gbMdVDyb/</t>
  </si>
  <si>
    <t>freemaintenance22.azurewebsites.net</t>
  </si>
  <si>
    <t>5f48bc42b3ba4</t>
  </si>
  <si>
    <t>http://freemaintenance22.azurewebsites.net/q5gCvYnz6kzKvgY/</t>
  </si>
  <si>
    <t>freemaintenance18.azurewebsites.net</t>
  </si>
  <si>
    <t>5f48bc3b1de07</t>
  </si>
  <si>
    <t>http://freemaintenance18.azurewebsites.net/q5gCvYnz6kzKvgY/</t>
  </si>
  <si>
    <t>freemaintenance100.azurewebsites.net</t>
  </si>
  <si>
    <t>5f48b9eb6d3e4</t>
  </si>
  <si>
    <t>http://freemaintenance100.azurewebsites.net/q5gCvYnz6kzKvgY/</t>
  </si>
  <si>
    <t>freemaintenance02.azurewebsites.net</t>
  </si>
  <si>
    <t>5f48b8d22c6de</t>
  </si>
  <si>
    <t>http://freemaintenance02.azurewebsites.net/q5gCvYnz6kzKvgY/</t>
  </si>
  <si>
    <t>carefreesupport12.azurewebsites.net</t>
  </si>
  <si>
    <t>5f4800a31cee6</t>
  </si>
  <si>
    <t>http://carefreesupport12.azurewebsites.net/vcCsfdvjFg4P5tp/index.html</t>
  </si>
  <si>
    <t>freesupportservice152.azurewebsites.net</t>
  </si>
  <si>
    <t>5f480092bc587</t>
  </si>
  <si>
    <t>http://freesupportservice152.azurewebsites.net/vcCsfdvjFg4P5tp/</t>
  </si>
  <si>
    <t>freesupportservice112.azurewebsites.net</t>
  </si>
  <si>
    <t>5f48007c5435b</t>
  </si>
  <si>
    <t>http://freesupportservice112.azurewebsites.net/vcCsfdvjFg4P5tp/</t>
  </si>
  <si>
    <t>getfreesupport172.azurewebsites.net</t>
  </si>
  <si>
    <t>5f47a9809fce6</t>
  </si>
  <si>
    <t>http://getfreesupport172.azurewebsites.net/atEdYhpx5ykF2Ru/</t>
  </si>
  <si>
    <t>getfreesupport32.azurewebsites.net</t>
  </si>
  <si>
    <t>5f47a65262333</t>
  </si>
  <si>
    <t>http://getfreesupport32.azurewebsites.net/Zcv6znVbFKDkXCy/</t>
  </si>
  <si>
    <t>getfreesupport22.azurewebsites.net</t>
  </si>
  <si>
    <t>5f47a520dbf32</t>
  </si>
  <si>
    <t>http://getfreesupport22.azurewebsites.net/Zcv6znVbFKDkXCy/</t>
  </si>
  <si>
    <t>computer112.azurewebsites.net</t>
  </si>
  <si>
    <t>5f47a3afec79d</t>
  </si>
  <si>
    <t>http://computer112.azurewebsites.net/Belle-Plaine</t>
  </si>
  <si>
    <t>computer62.azurewebsites.net</t>
  </si>
  <si>
    <t>5f47a01688894</t>
  </si>
  <si>
    <t>http://computer62.azurewebsites.net/Belle-Plaine/</t>
  </si>
  <si>
    <t>computer42.azurewebsites.net</t>
  </si>
  <si>
    <t>5f479fa81d449</t>
  </si>
  <si>
    <t>http://computer42.azurewebsites.net/Belle-Plaine/</t>
  </si>
  <si>
    <t>computer31.azurewebsites.net</t>
  </si>
  <si>
    <t>5f479f6091e5d</t>
  </si>
  <si>
    <t>http://computer31.azurewebsites.net/Belle-Plaine/</t>
  </si>
  <si>
    <t>computer02.azurewebsites.net</t>
  </si>
  <si>
    <t>5f479ddc8cdf8</t>
  </si>
  <si>
    <t>http://computer02.azurewebsites.net/Belle-Plaine/</t>
  </si>
  <si>
    <t>checkup72.azurewebsites.net</t>
  </si>
  <si>
    <t>5f447964370ca</t>
  </si>
  <si>
    <t>http://checkup72.azurewebsites.net/Kristy-Cortez/</t>
  </si>
  <si>
    <t>checkup52.azurewebsites.net</t>
  </si>
  <si>
    <t>5f44786c039ea</t>
  </si>
  <si>
    <t>http://checkup52.azurewebsites.net/Kristy-Cortez/</t>
  </si>
  <si>
    <t>checkup42.azurewebsites.net</t>
  </si>
  <si>
    <t>5f4477be7b3f9</t>
  </si>
  <si>
    <t>http://checkup42.azurewebsites.net/Kristy-Cortez/</t>
  </si>
  <si>
    <t>checkup32.azurewebsites.net</t>
  </si>
  <si>
    <t>5f447750df152</t>
  </si>
  <si>
    <t>http://checkup32.azurewebsites.net/Kristy-Cortez/</t>
  </si>
  <si>
    <t>getfreesupport82.azurewebsites.net</t>
  </si>
  <si>
    <t>5f44515ef090b</t>
  </si>
  <si>
    <t>https://getfreesupport82.azurewebsites.net/atEdYhpx5ykF2Ru/</t>
  </si>
  <si>
    <t>getfreesupport72.azurewebsites.net</t>
  </si>
  <si>
    <t>5f4450ee7e1ef</t>
  </si>
  <si>
    <t>https://getfreesupport72.azurewebsites.net/atEdYhpx5ykF2Ru/</t>
  </si>
  <si>
    <t>callnow-free52.azurewebsites.net</t>
  </si>
  <si>
    <t>5f444c20a7498</t>
  </si>
  <si>
    <t>https://callnow-free52.azurewebsites.net/Cortez/</t>
  </si>
  <si>
    <t>callnow-free22.azurewebsites.net</t>
  </si>
  <si>
    <t>5f4449c5e760b</t>
  </si>
  <si>
    <t>https://callnow-free22.azurewebsites.net/Cortez/</t>
  </si>
  <si>
    <t>callnow-free02.azurewebsites.net</t>
  </si>
  <si>
    <t>5f44479ddcb4a</t>
  </si>
  <si>
    <t>https://callnow-free02.azurewebsites.net/Cortez/</t>
  </si>
  <si>
    <t>freesupportservice02.azurewebsites.net</t>
  </si>
  <si>
    <t>5f4443d673228</t>
  </si>
  <si>
    <t>https://freesupportservice02.azurewebsites.net/8sx3ztC96XSvHKs/</t>
  </si>
  <si>
    <t>freesupportservice17.azurewebsites.net</t>
  </si>
  <si>
    <t>5f4442e724238</t>
  </si>
  <si>
    <t>https://freesupportservice17.azurewebsites.net/8sx3ztC96XSvHKs/</t>
  </si>
  <si>
    <t>freesupportservice22.azurewebsites.net</t>
  </si>
  <si>
    <t>5f4442b449420</t>
  </si>
  <si>
    <t>https://freesupportservice22.azurewebsites.net/8sx3ztC96XSvHKs/</t>
  </si>
  <si>
    <t>freesupportservice89.azurewebsites.net</t>
  </si>
  <si>
    <t>5f443fe1d3780</t>
  </si>
  <si>
    <t>https://freesupportservice89.azurewebsites.net/8sx3ztC96XSvHKs/</t>
  </si>
  <si>
    <t>freesupportservice72.azurewebsites.net</t>
  </si>
  <si>
    <t>5f443ec2dcfe8</t>
  </si>
  <si>
    <t>https://freesupportservice72.azurewebsites.net/8sx3ztC96XSvHKs/</t>
  </si>
  <si>
    <t>freesupportservice62.azurewebsites.net</t>
  </si>
  <si>
    <t>5f443d7e506cf</t>
  </si>
  <si>
    <t>https://freesupportservice62.azurewebsites.net/8sx3ztC96XSvHKs/</t>
  </si>
  <si>
    <t>freesupportservice59.azurewebsites.net</t>
  </si>
  <si>
    <t>5f443d0085548</t>
  </si>
  <si>
    <t>https://freesupportservice59.azurewebsites.net/8sx3ztC96XSvHKs/</t>
  </si>
  <si>
    <t>togetfreesupport42.azurewebsites.net</t>
  </si>
  <si>
    <t>5f3f731293886</t>
  </si>
  <si>
    <t>http://togetfreesupport42.azurewebsites.net/CxDm3vwargBTus8/</t>
  </si>
  <si>
    <t>getfreesupport52.azurewebsites.net</t>
  </si>
  <si>
    <t>5f3d511ac79bb</t>
  </si>
  <si>
    <t>http://getfreesupport52.azurewebsites.net/4595-Warwick-Avenue/</t>
  </si>
  <si>
    <t>getfreesupport132.azurewebsites.net</t>
  </si>
  <si>
    <t>5f3bf0f0b7c3d</t>
  </si>
  <si>
    <t>http://getfreesupport132.azurewebsites.net/gHBW7zFVGjwcrjr/</t>
  </si>
  <si>
    <t>getfreesupport02.azurewebsites.net</t>
  </si>
  <si>
    <t>5f326afc5816f</t>
  </si>
  <si>
    <t>http://getfreesupport02.azurewebsites.net/Zcv6znVbFKDkXCy/</t>
  </si>
  <si>
    <t>computer82.azurewebsites.net</t>
  </si>
  <si>
    <t>5f30d8d32dfa5</t>
  </si>
  <si>
    <t>http://computer82.azurewebsites.net/Mer-cado/</t>
  </si>
  <si>
    <t>computer92.azurewebsites.net</t>
  </si>
  <si>
    <t>5f30d7abdef36</t>
  </si>
  <si>
    <t>http://computer92.azurewebsites.net/Belle-Plaine</t>
  </si>
  <si>
    <t>computer12.azurewebsites.net</t>
  </si>
  <si>
    <t>5f30d6a0642aa</t>
  </si>
  <si>
    <t>http://computer12.azurewebsites.net/Belle-Plaine</t>
  </si>
  <si>
    <t>callnow-free42.azurewebsites.net</t>
  </si>
  <si>
    <t>5f30d3da61624</t>
  </si>
  <si>
    <t>http://callnow-free42.azurewebsites.net/Cortez/</t>
  </si>
  <si>
    <t>werror32.azurewebsites.net</t>
  </si>
  <si>
    <t>5f1be5bf69c98</t>
  </si>
  <si>
    <t>http://werror32.azurewebsites.net/Ernst-Place/</t>
  </si>
  <si>
    <t>terror02.azurewebsites.net</t>
  </si>
  <si>
    <t>5f1470ec44d6d</t>
  </si>
  <si>
    <t>http://terror02.azurewebsites.net/Keene-OH/</t>
  </si>
  <si>
    <t>22nn3error-callnow.azurewebsites.net</t>
  </si>
  <si>
    <t>5edfc5ad00c5b</t>
  </si>
  <si>
    <t>https://22nn3error-callnow.azurewebsites.net/teddymckeefBx/</t>
  </si>
  <si>
    <t>web-alert-ax8967.azurewebsites.net</t>
  </si>
  <si>
    <t>40.122.110.154</t>
  </si>
  <si>
    <t>5eef9980995da</t>
  </si>
  <si>
    <t>https://web-alert-ax8967.azurewebsites.net/XEDdhdsbfhgdfhdgf7TLx/</t>
  </si>
  <si>
    <t>web-alert-ax9654.azurewebsites.net</t>
  </si>
  <si>
    <t>5edfca276475c</t>
  </si>
  <si>
    <t>https://web-alert-ax9654.azurewebsites.net/XEDdhdsbfhgdfhdgf7TLx/</t>
  </si>
  <si>
    <t>systemserror.club</t>
  </si>
  <si>
    <t>107.180.25.79</t>
  </si>
  <si>
    <t>5f008b4f19e49</t>
  </si>
  <si>
    <t>http://systemserror.club/</t>
  </si>
  <si>
    <t>systemerrortv.club</t>
  </si>
  <si>
    <t>5effc0c0c151e</t>
  </si>
  <si>
    <t>http://systemerrortv.club/?Subid=14892298</t>
  </si>
  <si>
    <t>planerror.club</t>
  </si>
  <si>
    <t>5efeda6812e4b</t>
  </si>
  <si>
    <t>http://planerror.club/</t>
  </si>
  <si>
    <t>microtec.club</t>
  </si>
  <si>
    <t>5ef4b0a916f05</t>
  </si>
  <si>
    <t>http://microtec.club/AChfbdsfMMdsXjhfbjfX/</t>
  </si>
  <si>
    <t>errorsense.club</t>
  </si>
  <si>
    <t>5ef14f6a4de91</t>
  </si>
  <si>
    <t>http://errorsense.club/</t>
  </si>
  <si>
    <t>accountslips.club</t>
  </si>
  <si>
    <t>5ee890fe52db7</t>
  </si>
  <si>
    <t>http://accountslips.club/AChfbdsfMMdsXjhfbjfX/</t>
  </si>
  <si>
    <t>erroralert.club</t>
  </si>
  <si>
    <t>5edfe5e39d72c</t>
  </si>
  <si>
    <t>http://erroralert.club</t>
  </si>
  <si>
    <t>7uhgvjckhijojvlbknjhgub.neda8ge4hsfuggarehgjk.xyz</t>
  </si>
  <si>
    <t>162.241.114.43</t>
  </si>
  <si>
    <t>5fa362082e3fd</t>
  </si>
  <si>
    <t>http://7uhgvjckhijojvlbknjhgub.neda8ge4hsfuggarehgjk.xyz/_YUTVGUGFRFGYFGYGSGRUGFRYFKJOOHJIGYUEUYGUFGFEEFUHFIUHFEUFEYGFEUGFIU/CHfdfdfdfd100110dfSSY8J9U7J</t>
  </si>
  <si>
    <t>8jhjhfvjhemnhjevjhvnb.b3b7rge4hsnatusijb.xyz</t>
  </si>
  <si>
    <t>5f809fc74fc53</t>
  </si>
  <si>
    <t>http://8jhjhfvjhemnhjevjhvnb.b3b7rge4hsnatusijb.xyz/_FGEGFYGFJSBVVUBVJFVUFVJFVFDIUVHFDVBDFBDFUDKDFDFVIUHFIUBUIVFVFDIU/FRJETYVHBEDNJBVJSGVKUSBVLKBVUGUJVJ</t>
  </si>
  <si>
    <t>6vggjjdggguigguiiu.mdcp7ge4hsusipuubjh.xyz</t>
  </si>
  <si>
    <t>5f7f6368b5505</t>
  </si>
  <si>
    <t>http://6vggjjdggguigguiiu.mdcp7ge4hsusipuubjh.xyz/_FGEGFYGFJSBVVUBVJFVUFVJFVFDIUVHFDVBDFBDFUDKDFDFVIUHFIUBUIVFVFDIU/FRJETYVHBEDNJBVJSGVKUSBVLKBVUGUJVJHV</t>
  </si>
  <si>
    <t>4hiugvvuigvbuvbkjmnj.7cz1sge4hsusnatip.xyz</t>
  </si>
  <si>
    <t>5f7bb1963ceac</t>
  </si>
  <si>
    <t>http://4hiugvvuigvbuvbkjmnj.7cz1sge4hsusnatip.xyz/_BVSUIUVDVDUGVIUDBVJDVUIHIUVHUIVHUIRGIRJKVBIUVGIRVJKVUIGVIUKJVSJKVSIUGVIUVIUVURUHVIRJBVVUIRJUGRBRGFE6T</t>
  </si>
  <si>
    <t>5f7b9ffca2229</t>
  </si>
  <si>
    <t>3er45ty67hj8k.a1vge4hsjpjpy.xyz</t>
  </si>
  <si>
    <t>5f64138f83cd6</t>
  </si>
  <si>
    <t>http://3er45ty67hj8k.a1vge4hsjpjpy.xyz/_hakkinguKDSNVJBWUIG8IYF983WFJ7W/EDJP100110HUIFHIUFEWJFW73GRUI7IJBIUGIUYF/</t>
  </si>
  <si>
    <t>ijh7y8gcrcrtrdc68bhjvy.m9650ge4hseugb.xyz</t>
  </si>
  <si>
    <t>5f5f370558603</t>
  </si>
  <si>
    <t>https://ijh7y8gcrcrtrdc68bhjvy.m9650ge4hseugb.xyz/_MDJBFGIUGMACOSSXXXRRGBCHFR/CHKJSUIGUIFAWEJVB8JNU8J8GBUH8/?sou=</t>
  </si>
  <si>
    <t>vvjkddsyrgryugbvreubiu.m9650ge4hseugb.xyz</t>
  </si>
  <si>
    <t>5f5f7f00dfb43</t>
  </si>
  <si>
    <t>http://vvjkddsyrgryugbvreubiu.m9650ge4hseugb.xyz/_MDJBFGIUGMACOSSXXXRRGBCHFR/CHKJSUIGUIFAWEJVB8JNU8J8GBUH8/?sou=</t>
  </si>
  <si>
    <t>5f5caa1580f85</t>
  </si>
  <si>
    <t>http://ijh7y8gcrcrtrdc68bhjvy.m9650ge4hseugb.xyz/_MDJBFGIUGMACOSSXXXRRGBCHFR/CHKJSUIGUIFAWEJVB8JNU8J8GBUH8/?sou=153072f6f8e1967291757511cc922ae6</t>
  </si>
  <si>
    <t>sjhdjhuejh.mcnmege4hsusnat.xyz</t>
  </si>
  <si>
    <t>5f5a57ecbf5c4</t>
  </si>
  <si>
    <t>http://sjhdjhuejh.mcnmege4hsusnat.xyz/_KIJUMNHUYTGBVFREDCFGHUJXXRRUSAED/CHEBHJSBJEBVJKBVUGUIG7THBYTHB7THBMMY7NGUYF01010I91TTEQ8U9UH/?sou=</t>
  </si>
  <si>
    <t>yubjhtyf.mcnmege4hsusnat.xyz</t>
  </si>
  <si>
    <t>5f5a57decd457</t>
  </si>
  <si>
    <t>http://yubjhtyf.mcnmege4hsusnat.xyz/_KIJUMNHUYTGBVFREDCFGHUJXXRRUSAED/CHEBHJSBJEBVJKBVUGUIG7THBYTHB7THBMMY7NGUYF01010I91TTEQ8U9UH/?sou=</t>
  </si>
  <si>
    <t>bkjfbw78bikgu7.noopdge4hsusnat.xyz</t>
  </si>
  <si>
    <t>5f57d3cb9d796</t>
  </si>
  <si>
    <t>http://bkjfbw78bikgu7.noopdge4hsusnat.xyz/_KIJUMNHUYTGBVFREDCFGHUJXXRRUSAED/MAfdfdfdfd100110dfSSY/?number=+1-124-579-0703</t>
  </si>
  <si>
    <t>7yjbtyfqwuy.m31nfge4hsused.xyz</t>
  </si>
  <si>
    <t>5f57cd339e6b8</t>
  </si>
  <si>
    <t>http://7yjbtyfqwuy.m31nfge4hsused.xyz/_hakkinguKDSNVJBWUIG8IYF983WFJ7W/MAfdfdfdfd100110dfSS/?sou=</t>
  </si>
  <si>
    <t>lkhujgfft.606hvge4hsused.xyz</t>
  </si>
  <si>
    <t>5f57ccc6c6e25</t>
  </si>
  <si>
    <t>http://lkhujgfft.606hvge4hsused.xyz/_MDJBFGIUGMACOSSXXXRRGBCHFR/MANKJVHUIHJNERU8HFJVNUHOREUHOMAC/?sou=</t>
  </si>
  <si>
    <t>3er45ty67hj8k.m31nfge4hsused.xyz</t>
  </si>
  <si>
    <t>5f57cc26626bb</t>
  </si>
  <si>
    <t>http://3er45ty67hj8k.m31nfge4hsused.xyz/_hakkinguKDSNVJBWUIG8IYF983WFJ7W/MAfdfdfdfd100110dfSS/?sou=</t>
  </si>
  <si>
    <t>5f57b6e41f3da</t>
  </si>
  <si>
    <t>http://3er45ty67hj8k.m31nfge4hsused.xyz/_hakkinguKDSNVJBWUIG8IYF983WFJ7W/CHJPIHI8U8JUY78JUY7JBFTHNVGVJBNBBCG09977T6101001/?sou=</t>
  </si>
  <si>
    <t>5f55f2d249922</t>
  </si>
  <si>
    <t>http://7yjbtyfqwuy.m31nfge4hsused.xyz/_hakkinguKDSNVJBWUIG8IYF983WFJ7W/EDJP100110HUIFHIUFEWJFW73GRUI7IJBIUGIUYF/?sou=2ac9a13c5ddc3df4953b005647b761bf</t>
  </si>
  <si>
    <t>sjhdjhuejh.253crge4hsused.xyz</t>
  </si>
  <si>
    <t>5f5527b0c9e03</t>
  </si>
  <si>
    <t>http://sjhdjhuejh.253crge4hsused.xyz/_KIJUMNHUYTGBVFREDCFGHUJXXRRUSAED/CHEBHJSBJEBVJKBVUGUIG7THBYTHB7THBMMY7NGUYF01010I91TTEQ8U9UH/?sou=</t>
  </si>
  <si>
    <t>bkjfbw78bikgu7.253crge4hsused.xyz</t>
  </si>
  <si>
    <t>5f5527aa2d7a8</t>
  </si>
  <si>
    <t>http://bkjfbw78bikgu7.253crge4hsused.xyz/_KIJUMNHUYTGBVFREDCFGHUJXXRRUSAED/CHEBHJSBJEBVJKBVUGUIG7THBYTHB7THBMMY7NGUYF01010I91TTEQ8U9UH/?sou=</t>
  </si>
  <si>
    <t>www.mdb1fge4hsused.xyz</t>
  </si>
  <si>
    <t>5f5527a47cf21</t>
  </si>
  <si>
    <t>http://www.mdb1fge4hsused.xyz/sjhdjhuejh/_KIJUMNHUYTGBVFREDCFGHUJXXRRUSAED/CHEBHJSBJEBVJKBVUGUIG7THBYTHB7THBMMY7NGUYF01010I91TTEQ8U9UH/?sou=</t>
  </si>
  <si>
    <t>bkjfbw78bikgu7.mdb1fge4hsused.xyz</t>
  </si>
  <si>
    <t>5f55279904800</t>
  </si>
  <si>
    <t>http://bkjfbw78bikgu7.mdb1fge4hsused.xyz/_KIJUMNHUYTGBVFREDCFGHUJXXRRUSAED/CHEBHJSBJEBVJKBVUGUIG7THBYTHB7THBMMY7NGUYF01010I91TTEQ8U9UH/?sou=</t>
  </si>
  <si>
    <t>sjhdjhuejh.mdb1fge4hsused.xyz</t>
  </si>
  <si>
    <t>5f55278fd3f9d</t>
  </si>
  <si>
    <t>http://sjhdjhuejh.mdb1fge4hsused.xyz/_KIJUMNHUYTGBVFREDCFGHUJXXRRUSAED/CHEBHJSBJEBVJKBVUGUIG7THBYTHB7THBMMY7NGUYF01010I91TTEQ8U9UH/?sou=</t>
  </si>
  <si>
    <t>5f56902f83545</t>
  </si>
  <si>
    <t>http://7yjbtyfqwuy.m31nfge4hsused.xyz/_hakkinguKDSNVJBWUIG8IYF983WFJ7W/CHJPIHI8U8JUY78JUY7JBFTHNVGVJBNBBCG09977T6101001/?sou=</t>
  </si>
  <si>
    <t>5f56900fb902e</t>
  </si>
  <si>
    <t>http://lkhujgfft.606hvge4hsused.xyz/_MDJBFGIUGMACOSSXXXRRGBCHFR/CHKJSUIGUIFAWEJVB8JNU8J8GBUH8/?sou=</t>
  </si>
  <si>
    <t>sjhdjhuejh.pzhjfge4hsused.xyz</t>
  </si>
  <si>
    <t>5f569000163a0</t>
  </si>
  <si>
    <t>http://sjhdjhuejh.pzhjfge4hsused.xyz/_KIJUMNHUYTGBVFREDCFGHUJXXRRUSAED/CHEBHJSBJEBVJKBVUGUIG7THBYTHB7THBMMY7NGUYF01010I91TTEQ8U9UH/?sou=</t>
  </si>
  <si>
    <t>bkjfbw78bikgu7.pzhjfge4hsused.xyz</t>
  </si>
  <si>
    <t>5f568fd4c0987</t>
  </si>
  <si>
    <t>http://bkjfbw78bikgu7.pzhjfge4hsused.xyz/_KIJUMNHUYTGBVFREDCFGHUJXXRRUSAED/CHEBHJSBJEBVJKBVUGUIG7THBYTHB7THBMMY7NGUYF01010I91TTEQ8U9UH/?sou=</t>
  </si>
  <si>
    <t>bvjbvhb.p4e7jge4hsused.xyz</t>
  </si>
  <si>
    <t>5f4d3cf1e37b4</t>
  </si>
  <si>
    <t>http://bvjbvhb.p4e7jge4hsused.xyz/_KIJUMNHUYTGBVFREDCFGHUJXXRRUSAED/CHEBHJSBJEBVJKBVUGUIG7THBYTHB7THBMMY7NGUYF01010I91TTEQ8U9UH/index.html</t>
  </si>
  <si>
    <t>nhu.nxzztsecuredllsxd11x.xyz</t>
  </si>
  <si>
    <t>5f1fe0831487a</t>
  </si>
  <si>
    <t>http://nhu.nxzztsecuredllsxd11x.xyz/IEdfdfdfdffdfJP/</t>
  </si>
  <si>
    <t>rdf.nxzztsecuredllsxd11x.xyz</t>
  </si>
  <si>
    <t>5f1fe04f48479</t>
  </si>
  <si>
    <t>http://rdf.nxzztsecuredllsxd11x.xyz/WinEDfdfdfdfd100110dfSSYkhacckked/</t>
  </si>
  <si>
    <t>kih.nxzztsecuredllsxd11x.xyz</t>
  </si>
  <si>
    <t>5f1fdfdacfe52</t>
  </si>
  <si>
    <t>http://kih.nxzztsecuredllsxd11x.xyz/CHdfdfdfdffdfJP/?sou=</t>
  </si>
  <si>
    <t>cabin.winhakkingud1eramondai.xyz</t>
  </si>
  <si>
    <t>5f1edcf17ee22</t>
  </si>
  <si>
    <t>http://cabin.winhakkingud1eramondai.xyz/__MACOSXRRGB/EDfdfdfdfd100110dfSSY/</t>
  </si>
  <si>
    <t>arch.winhakkingud1eramondai.xyz</t>
  </si>
  <si>
    <t>5f1e362956228</t>
  </si>
  <si>
    <t>http://arch.winhakkingud1eramondai.xyz/Hakkingu/EDfdfdfdfd100110dfSS/</t>
  </si>
  <si>
    <t>wrnhgk.nxzztsecuredllsxd11x.xyz</t>
  </si>
  <si>
    <t>5f14e6f43b6df</t>
  </si>
  <si>
    <t>https://wrnhgk.nxzztsecuredllsxd11x.xyz/EDdfdfdfdffdfJP/</t>
  </si>
  <si>
    <t>grape.d1cmicro1w34-winhelpfx.xyz</t>
  </si>
  <si>
    <t>5f149d5915ef0</t>
  </si>
  <si>
    <t>http://grape.d1cmicro1w34-winhelpfx.xyz/WinEDfdfdfdfd100110dfSSYkhacckked</t>
  </si>
  <si>
    <t>borrow.d1cmicro1w34-winhelpfx.xyz</t>
  </si>
  <si>
    <t>5f136387bfe49</t>
  </si>
  <si>
    <t>https://borrow.d1cmicro1w34-winhelpfx.xyz/EDfdfdfdfd100110dfSSY/?q=16</t>
  </si>
  <si>
    <t>5f136386bd9f3</t>
  </si>
  <si>
    <t>https://borrow.d1cmicro1w34-winhelpfx.xyz/EDfdfdfdfd100110dfSSY/?q=17</t>
  </si>
  <si>
    <t>5f1363848e66c</t>
  </si>
  <si>
    <t>https://borrow.d1cmicro1w34-winhelpfx.xyz/EDfdfdfdfd100110dfSSY/?q=18</t>
  </si>
  <si>
    <t>5f1363837166e</t>
  </si>
  <si>
    <t>https://borrow.d1cmicro1w34-winhelpfx.xyz/EDfdfdfdfd100110dfSSY/?q=20</t>
  </si>
  <si>
    <t>5f13638172c93</t>
  </si>
  <si>
    <t>https://borrow.d1cmicro1w34-winhelpfx.xyz/EDfdfdfdfd100110dfSSY/?q=19</t>
  </si>
  <si>
    <t>5f13636530285</t>
  </si>
  <si>
    <t>https://borrow.d1cmicro1w34-winhelpfx.xyz/EDfdfdfdfd100110dfSSY/?q=15</t>
  </si>
  <si>
    <t>5f136364389d4</t>
  </si>
  <si>
    <t>https://borrow.d1cmicro1w34-winhelpfx.xyz/EDfdfdfdfd100110dfSSY/?q=14</t>
  </si>
  <si>
    <t>5f1363629ba0f</t>
  </si>
  <si>
    <t>https://borrow.d1cmicro1w34-winhelpfx.xyz/EDfdfdfdfd100110dfSSY/?q=13</t>
  </si>
  <si>
    <t>5f1363611cfc9</t>
  </si>
  <si>
    <t>https://borrow.d1cmicro1w34-winhelpfx.xyz/EDfdfdfdfd100110dfSSY/?q=12</t>
  </si>
  <si>
    <t>5f13635f88970</t>
  </si>
  <si>
    <t>https://borrow.d1cmicro1w34-winhelpfx.xyz/EDfdfdfdfd100110dfSSY/?q=11</t>
  </si>
  <si>
    <t>5f13632ab9a05</t>
  </si>
  <si>
    <t>https://borrow.d1cmicro1w34-winhelpfx.xyz/EDfdfdfdfd100110dfSSY/?q=8</t>
  </si>
  <si>
    <t>5f1363288df0a</t>
  </si>
  <si>
    <t>https://borrow.d1cmicro1w34-winhelpfx.xyz/EDfdfdfdfd100110dfSSY/?q=6</t>
  </si>
  <si>
    <t>5f13632709e38</t>
  </si>
  <si>
    <t>https://borrow.d1cmicro1w34-winhelpfx.xyz/EDfdfdfdfd100110dfSSY/?q=7</t>
  </si>
  <si>
    <t>5f136324d2c49</t>
  </si>
  <si>
    <t>https://borrow.d1cmicro1w34-winhelpfx.xyz/EDfdfdfdfd100110dfSSY/?q=10</t>
  </si>
  <si>
    <t>5f13631f399b4</t>
  </si>
  <si>
    <t>https://borrow.d1cmicro1w34-winhelpfx.xyz/EDfdfdfdfd100110dfSSY/?q=9</t>
  </si>
  <si>
    <t>5f13630830d0a</t>
  </si>
  <si>
    <t>https://borrow.d1cmicro1w34-winhelpfx.xyz/EDfdfdfdfd100110dfSSY/?q=5</t>
  </si>
  <si>
    <t>5f1363069b690</t>
  </si>
  <si>
    <t>https://borrow.d1cmicro1w34-winhelpfx.xyz/EDfdfdfdfd100110dfSSY/?q=4</t>
  </si>
  <si>
    <t>5f1363052a1a8</t>
  </si>
  <si>
    <t>https://borrow.d1cmicro1w34-winhelpfx.xyz/EDfdfdfdfd100110dfSSY/?q=3</t>
  </si>
  <si>
    <t>5f136303014e8</t>
  </si>
  <si>
    <t>https://borrow.d1cmicro1w34-winhelpfx.xyz/EDfdfdfdfd100110dfSSY/?q=2</t>
  </si>
  <si>
    <t>5f1362fd65cc1</t>
  </si>
  <si>
    <t>https://borrow.d1cmicro1w34-winhelpfx.xyz/EDfdfdfdfd100110dfSSY/?q=1</t>
  </si>
  <si>
    <t>5f13619e7d2b2</t>
  </si>
  <si>
    <t>https://borrow.d1cmicro1w34-winhelpfx.xyz/EDfdfdfdfd100110dfSSY/?q=1506743-1866098188-0</t>
  </si>
  <si>
    <t>grocery.d1cmicro1w34-winhelpfx.xyz</t>
  </si>
  <si>
    <t>5f13473a48a7e</t>
  </si>
  <si>
    <t>http://grocery.d1cmicro1w34-winhelpfx.xyz/WinEDfdfdfdfd100110dfSSYkhacckked/</t>
  </si>
  <si>
    <t>cabin.d1cmicro1w34-winhelpfx.xyz</t>
  </si>
  <si>
    <t>5f11e2dfaeb1f</t>
  </si>
  <si>
    <t>https://cabin.d1cmicro1w34-winhelpfx.xyz/DEdfdfd_fdfd777SS/?sou=7cf898c1f88dd2dc91577a48a579a60c</t>
  </si>
  <si>
    <t>access.d1cmicro1w34-winhelpfx.xyz</t>
  </si>
  <si>
    <t>5f11d9830258f</t>
  </si>
  <si>
    <t>http://access.d1cmicro1w34-winhelpfx.xyz/DEdfdfd_fdfd777SS/</t>
  </si>
  <si>
    <t>tjlijh.nxzztsecuredllsxd11x.xyz</t>
  </si>
  <si>
    <t>5f110757084de</t>
  </si>
  <si>
    <t>https://tjlijh.nxzztsecuredllsxd11x.xyz/EDdfdfdfdffdfJP/</t>
  </si>
  <si>
    <t>arch.d1cmicro1w34-winhelpfx.xyz</t>
  </si>
  <si>
    <t>5f10a3ca81b2d</t>
  </si>
  <si>
    <t>http://arch.d1cmicro1w34-winhelpfx.xyz/DEdfdfd_fdfd777SS/</t>
  </si>
  <si>
    <t>nrrths.binarycodeswins.uno</t>
  </si>
  <si>
    <t>5f0f7916eaf43</t>
  </si>
  <si>
    <t>http://nrrths.binarycodeswins.uno/DEdfdfd_fdfd777SS/?sou=1506743-1866098188-0</t>
  </si>
  <si>
    <t>reijir.binarycodeswins.uno</t>
  </si>
  <si>
    <t>5f0f56af3b28d</t>
  </si>
  <si>
    <t>http://reijir.binarycodeswins.uno/DEdfdfd_fdfd777SS/</t>
  </si>
  <si>
    <t>jwourh.binarycodeswins.uno</t>
  </si>
  <si>
    <t>5f0dfccac0efd</t>
  </si>
  <si>
    <t>https://jwourh.binarycodeswins.uno/WinEDfdfdfdfd100110dfSSYkhacckked/</t>
  </si>
  <si>
    <t>jdoghe.binarycodeswins.uno</t>
  </si>
  <si>
    <t>5f0b6f22f3b6c</t>
  </si>
  <si>
    <t>https://jdoghe.binarycodeswins.uno/Dchfdfd_fdfd777SS/</t>
  </si>
  <si>
    <t>rgjeoi.nxzztsecuredllsxd11x.xyz</t>
  </si>
  <si>
    <t>5f09f958ab9d8</t>
  </si>
  <si>
    <t>https://rgjeoi.nxzztsecuredllsxd11x.xyz/EDfdfdfdfd100110dfSSY/</t>
  </si>
  <si>
    <t>jwrgjh.binarycodeswins.xyz</t>
  </si>
  <si>
    <t>5f078a9076f78</t>
  </si>
  <si>
    <t>https://jwrgjh.binarycodeswins.xyz/WinEDfdfdfdfd100110dfSSYkhacckked/</t>
  </si>
  <si>
    <t>jwourh.binarycodeswins.xyz</t>
  </si>
  <si>
    <t>5f0766ae0fc17</t>
  </si>
  <si>
    <t>https://jwourh.binarycodeswins.xyz/WinEDfdfdfdfd100110dfSSYkhacckked/</t>
  </si>
  <si>
    <t>gjefrj.binarycodeswins.uno</t>
  </si>
  <si>
    <t>5f0861329adc3</t>
  </si>
  <si>
    <t>https://gjefrj.binarycodeswins.uno/WinEDfdfdfdfd100110dfSSYkhacckked/</t>
  </si>
  <si>
    <t>awhigi.binarycodeswins.uno</t>
  </si>
  <si>
    <t>5f046a6d95f8d</t>
  </si>
  <si>
    <t>http://awhigi.binarycodeswins.uno/WinEDfdfdfdfd100110dfSSYkhacckked/</t>
  </si>
  <si>
    <t>gjefrj.binarycodeswins.xyz</t>
  </si>
  <si>
    <t>5f00a9335fc3d</t>
  </si>
  <si>
    <t>https://gjefrj.binarycodeswins.xyz/WinEDfdfdfdfd100110dfSSYkhacckked/</t>
  </si>
  <si>
    <t>jdoghe.nxzztsecuredllsxd11x.xyz</t>
  </si>
  <si>
    <t>5f00834d282ca</t>
  </si>
  <si>
    <t>https://jdoghe.nxzztsecuredllsxd11x.xyz/WinEDfdfdfdfd100110dfSSYkhacckked/</t>
  </si>
  <si>
    <t>stamp.binarycodeswins.xyz</t>
  </si>
  <si>
    <t>5efce052264c3</t>
  </si>
  <si>
    <t>https://stamp.binarycodeswins.xyz/WinEDfdfdfdfd100110dfSSYkhacckked/</t>
  </si>
  <si>
    <t>hat.binarycodeswins.uno</t>
  </si>
  <si>
    <t>5efb3f554a8b5</t>
  </si>
  <si>
    <t>https://hat.binarycodeswins.uno/WinEDfdfdfdfd100110dfSSYkhacckked/</t>
  </si>
  <si>
    <t>clump.binarycodeswins.uno</t>
  </si>
  <si>
    <t>5ef3f5e088879</t>
  </si>
  <si>
    <t>https://clump.binarycodeswins.uno/WinEDfdfdfdfd100110dfSSYkhacckked/</t>
  </si>
  <si>
    <t>arch.microsyswinpending.uno</t>
  </si>
  <si>
    <t>5ef2da97655a0</t>
  </si>
  <si>
    <t>https://arch.microsyswinpending.uno/EDfdfdfdfd100110dfSS/</t>
  </si>
  <si>
    <t>access.microsyswinpending.uno</t>
  </si>
  <si>
    <t>5ef0afcea075c</t>
  </si>
  <si>
    <t>http://access.microsyswinpending.uno/WinEDfdfdfdfd100110dfSSYkhacckked/</t>
  </si>
  <si>
    <t>rtyyyj.winerrorsoccurs.uno</t>
  </si>
  <si>
    <t>5eee00334f504</t>
  </si>
  <si>
    <t>https://rtyyyj.winerrorsoccurs.uno/WinEDfdfdfdfd100110dfSSYkhacckked/</t>
  </si>
  <si>
    <t>tuiyru.winpendinghelp.uno</t>
  </si>
  <si>
    <t>5ee3eca504b46</t>
  </si>
  <si>
    <t>http://tuiyru.winpendinghelp.uno/USAjkhgkjsfjhfhjjcjhmjdsbvjhvDJHED/?q=sou=D67O5GNC10-TM4QTOyITOg</t>
  </si>
  <si>
    <t>5ee3cf824782c</t>
  </si>
  <si>
    <t>http://tuiyru.winpendinghelp.uno/USAjkhgkjsfjhfhjjcjhmjdsbvjhvDJHED/?q=D67O5GNC10-TM4QTOyITOg</t>
  </si>
  <si>
    <t>tnoyth.winpendinghelp.uno</t>
  </si>
  <si>
    <t>5ee3ccaa6572b</t>
  </si>
  <si>
    <t>http://tnoyth.winpendinghelp.uno/USAjkhgkjsfjhfhjjcjhmjdsbvjhvDJHED/?q=D67O5GNC10-TM4QTOyITOk</t>
  </si>
  <si>
    <t>5ee3cc804bdf8</t>
  </si>
  <si>
    <t>http://tnoyth.winpendinghelp.uno/USAjkhgkjsfjhfhjjcjhmjdsbvjhvDJHED/?q=</t>
  </si>
  <si>
    <t>5ee3c8e0db689</t>
  </si>
  <si>
    <t>http://tnoyth.winpendinghelp.uno/USAjkhgkjsfjhfhjjcjhmjdsbvjhvDJHED/?q=D67O5GNC10-TM4QTOyITOg</t>
  </si>
  <si>
    <t>rngeiu.winpendinghelp.uno</t>
  </si>
  <si>
    <t>5ee1244932360</t>
  </si>
  <si>
    <t>https://rngeiu.winpendinghelp.uno/USAjkhgkjsfjhfhjjcjhmjdsbvjhvDJHED/?q=D67O5GNC10-TM4QTOyITOk</t>
  </si>
  <si>
    <t>5ee10d5c01249</t>
  </si>
  <si>
    <t>https://rngeiu.winpendinghelp.uno/USAjkhgkjsfjhfhjjcjhmjdsbvjhvDJHED/?q=D67O5GNC10-TM4QTOyITOg</t>
  </si>
  <si>
    <t>rgoigh.winpendinghelp.uno</t>
  </si>
  <si>
    <t>5ee0a337d0f56</t>
  </si>
  <si>
    <t>https://rgoigh.winpendinghelp.uno/EDfdfdfdfd100110dfSS/</t>
  </si>
  <si>
    <t>cruncher430.ml</t>
  </si>
  <si>
    <t>104.28.29.132</t>
  </si>
  <si>
    <t>5ee0a3490f681</t>
  </si>
  <si>
    <t>https://cruncher430.ml/WIn8181_8188101.hhv/TEdsjsjhskhkasdVXPV/</t>
  </si>
  <si>
    <t>hdpornxxx.online</t>
  </si>
  <si>
    <t>198.187.31.101</t>
  </si>
  <si>
    <t>5ef50bf76c722</t>
  </si>
  <si>
    <t>https://hdpornxxx.online/00260601camp/USA/index3.html</t>
  </si>
  <si>
    <t>micro-newlokmne2.azurewebsites.net</t>
  </si>
  <si>
    <t>23.100.82.11</t>
  </si>
  <si>
    <t>5efdca1c02140</t>
  </si>
  <si>
    <t>https://micro-newlokmne2.azurewebsites.net/TChsfsdfjdsfjdsfjVX/</t>
  </si>
  <si>
    <t>micro-makid33.azurewebsites.net</t>
  </si>
  <si>
    <t>5eee01fb0c85e</t>
  </si>
  <si>
    <t>https://micro-makid33.azurewebsites.net/TChsfsdfjdsfjdsfjVX/</t>
  </si>
  <si>
    <t>micro-437spnedf.azurewebsites.net</t>
  </si>
  <si>
    <t>5ee0a93d8bc1a</t>
  </si>
  <si>
    <t>https://micro-437spnedf.azurewebsites.net/TChsfsdfjdsfjdsfjVX/</t>
  </si>
  <si>
    <t>ethernet455.ml</t>
  </si>
  <si>
    <t>104.28.2.231</t>
  </si>
  <si>
    <t>5ee381482b885</t>
  </si>
  <si>
    <t>https://ethernet455.ml/MS_Win_helpline_now85100622/</t>
  </si>
  <si>
    <t>San Francisco</t>
  </si>
  <si>
    <t>onlinewebtips.site</t>
  </si>
  <si>
    <t>161.35.233.88</t>
  </si>
  <si>
    <t>5ee0dd7492e05</t>
  </si>
  <si>
    <t>https://onlinewebtips.site/XIEdhdsbfhgdfhdgf7xe/</t>
  </si>
  <si>
    <t>64.227.122.10</t>
  </si>
  <si>
    <t>5ee0e029af973</t>
  </si>
  <si>
    <t>http://64.227.122.10/</t>
  </si>
  <si>
    <t>onlinedatewebcam.website</t>
  </si>
  <si>
    <t>162.213.251.24</t>
  </si>
  <si>
    <t>5ee0f1d01ff3f</t>
  </si>
  <si>
    <t>https://onlinedatewebcam.website/0EDfdfdfdfddfd99VA/</t>
  </si>
  <si>
    <t>AS14618</t>
  </si>
  <si>
    <t>www.yangonpediaonline.com</t>
  </si>
  <si>
    <t>52.204.15.19</t>
  </si>
  <si>
    <t>5ee0f0e533562</t>
  </si>
  <si>
    <t>http://www.yangonpediaonline.com/error/systemerror-mac/?phone=+1-844-251-5695&amp;amp;</t>
  </si>
  <si>
    <t>com</t>
  </si>
  <si>
    <t>128.199.162.60</t>
  </si>
  <si>
    <t>5ee88e9264c5c</t>
  </si>
  <si>
    <t>http://128.199.162.60/</t>
  </si>
  <si>
    <t>onlinestreamingfun.site</t>
  </si>
  <si>
    <t>134.209.34.2</t>
  </si>
  <si>
    <t>5ee10e049e90e</t>
  </si>
  <si>
    <t>https://onlinestreamingfun.site/XEDdhdsbfhgdfhdgf7xe/</t>
  </si>
  <si>
    <t>137.220.59.43</t>
  </si>
  <si>
    <t>5ee110ade7f9f</t>
  </si>
  <si>
    <t>http://137.220.59.43/Windows_error_8888/99TEdsjsjhskhkasdVX/</t>
  </si>
  <si>
    <t>AS55293</t>
  </si>
  <si>
    <t>Ann Arbor</t>
  </si>
  <si>
    <t>paysite.xyz</t>
  </si>
  <si>
    <t>A2 Hosting, Inc.</t>
  </si>
  <si>
    <t>68.66.226.77</t>
  </si>
  <si>
    <t>A2Hosting,Inc.</t>
  </si>
  <si>
    <t>5ee119715b3b5</t>
  </si>
  <si>
    <t>https://paysite.xyz/phpinfo.php?name=jkjkj%40g.com&amp;amp;pwd=nm%2C</t>
  </si>
  <si>
    <t>freecomputerhelp139.azurewebsites.net</t>
  </si>
  <si>
    <t>40.71.11.146</t>
  </si>
  <si>
    <t>5f699e3509c08</t>
  </si>
  <si>
    <t>https://freecomputerhelp139.azurewebsites.net/R7tcvkAFdAwS4B4</t>
  </si>
  <si>
    <t>freecomputerhelp116.azurewebsites.net</t>
  </si>
  <si>
    <t>5f699dfb56c47</t>
  </si>
  <si>
    <t>https://freecomputerhelp116.azurewebsites.net/R7tcvkAFdAwS4B4</t>
  </si>
  <si>
    <t>pconlinehelp177.azurewebsites.net</t>
  </si>
  <si>
    <t>5f60e5e90e628</t>
  </si>
  <si>
    <t>https://pconlinehelp177.azurewebsites.net/ERDDrHjVfKbFJbQ/</t>
  </si>
  <si>
    <t>pconlinehelp87.azurewebsites.net</t>
  </si>
  <si>
    <t>5f5fd3ea83539</t>
  </si>
  <si>
    <t>https://pconlinehelp87.azurewebsites.net/ERDDrHjVfKbFJbQ/</t>
  </si>
  <si>
    <t>callnow70.azurewebsites.net</t>
  </si>
  <si>
    <t>5f5286f6c75a2</t>
  </si>
  <si>
    <t>http://callnow70.azurewebsites.net/Mer-cado/</t>
  </si>
  <si>
    <t>callnow58.azurewebsites.net</t>
  </si>
  <si>
    <t>5f5286bfce98e</t>
  </si>
  <si>
    <t>http://callnow58.azurewebsites.net/Mer-cado/</t>
  </si>
  <si>
    <t>callnow08.azurewebsites.net</t>
  </si>
  <si>
    <t>5f5285bd808e3</t>
  </si>
  <si>
    <t>http://callnow08.azurewebsites.net/Mer-cado/</t>
  </si>
  <si>
    <t>customerfreesupport19.azurewebsites.net</t>
  </si>
  <si>
    <t>5f4d5b31b7188</t>
  </si>
  <si>
    <t>https://customerfreesupport19.azurewebsites.net/HNhGpB5gbMdVDyb/</t>
  </si>
  <si>
    <t>customerfreesupport49.azurewebsites.net</t>
  </si>
  <si>
    <t>5f4d5abc37bab</t>
  </si>
  <si>
    <t>https://customerfreesupport49.azurewebsites.net/HNhGpB5gbMdVDyb/</t>
  </si>
  <si>
    <t>freesupport120.azurewebsites.net</t>
  </si>
  <si>
    <t>5f4c0e8dd35fa</t>
  </si>
  <si>
    <t>http://freesupport120.azurewebsites.net/gHBW7zFVGjwcrjr/</t>
  </si>
  <si>
    <t>freesupport78.azurewebsites.net</t>
  </si>
  <si>
    <t>5f4c0dca5a2bb</t>
  </si>
  <si>
    <t>http://freesupport78.azurewebsites.net/gHBW7zFVGjwcrjr/</t>
  </si>
  <si>
    <t>callnow-free108.azurewebsites.net</t>
  </si>
  <si>
    <t>5f4c08fc9a3bb</t>
  </si>
  <si>
    <t>http://callnow-free108.azurewebsites.net/S9M5QFaca7VkHSt/</t>
  </si>
  <si>
    <t>callnow-free87.azurewebsites.net</t>
  </si>
  <si>
    <t>5f4c089b01e65</t>
  </si>
  <si>
    <t>http://callnow-free87.azurewebsites.net/S9M5QFaca7VkHSt/</t>
  </si>
  <si>
    <t>freesupportservice129.azurewebsites.net</t>
  </si>
  <si>
    <t>5f4ad8e7d0b17</t>
  </si>
  <si>
    <t>http://freesupportservice129.azurewebsites.net/vcCsfdvjFg4P5tp/</t>
  </si>
  <si>
    <t>freecallcaresupport69.azurewebsites.net</t>
  </si>
  <si>
    <t>5f4aa3738c1e1</t>
  </si>
  <si>
    <t>http://freecallcaresupport69.azurewebsites.net/vTUPHmw6mhDcMgT/</t>
  </si>
  <si>
    <t>freecallcaresupport56.azurewebsites.net</t>
  </si>
  <si>
    <t>5f4aa33456d00</t>
  </si>
  <si>
    <t>http://freecallcaresupport56.azurewebsites.net/vTUPHmw6mhDcMgT/</t>
  </si>
  <si>
    <t>freecallcaresupport39.azurewebsites.net</t>
  </si>
  <si>
    <t>5f4aa2ef15fca</t>
  </si>
  <si>
    <t>http://freecallcaresupport39.azurewebsites.net/vTUPHmw6mhDcMgT/</t>
  </si>
  <si>
    <t>freecallcaresupport27.azurewebsites.net</t>
  </si>
  <si>
    <t>5f4aa2b8cda94</t>
  </si>
  <si>
    <t>http://freecallcaresupport27.azurewebsites.net/vTUPHmw6mhDcMgT/</t>
  </si>
  <si>
    <t>freecallcaresupport07.azurewebsites.net</t>
  </si>
  <si>
    <t>5f4aa24c243e1</t>
  </si>
  <si>
    <t>http://freecallcaresupport07.azurewebsites.net/vTUPHmw6mhDcMgT/</t>
  </si>
  <si>
    <t>customercaresupport97.azurewebsites.net</t>
  </si>
  <si>
    <t>5f4aa1e0dd751</t>
  </si>
  <si>
    <t>http://customercaresupport97.azurewebsites.net/vcCsfdvjFg4P5tp/</t>
  </si>
  <si>
    <t>getfreesupport120.azurewebsites.net</t>
  </si>
  <si>
    <t>5f4975b0e28cc</t>
  </si>
  <si>
    <t>http://getfreesupport120.azurewebsites.net/gHBW7zFVGjwcrjr/</t>
  </si>
  <si>
    <t>getfreesupport169.azurewebsites.net</t>
  </si>
  <si>
    <t>5f4973c12d6aa</t>
  </si>
  <si>
    <t>http://getfreesupport169.azurewebsites.net/gHBW7zFVGjwcrjr/</t>
  </si>
  <si>
    <t>checkup29.azurewebsites.net</t>
  </si>
  <si>
    <t>5f447739800b6</t>
  </si>
  <si>
    <t>http://checkup29.azurewebsites.net/Kristy-Cortez/</t>
  </si>
  <si>
    <t>freesupportservice42.azurewebsites.net</t>
  </si>
  <si>
    <t>5f4441cb3cdb3</t>
  </si>
  <si>
    <t>https://freesupportservice42.azurewebsites.net/8sx3ztC96XSvHKs/</t>
  </si>
  <si>
    <t>freesupportservice67.azurewebsites.net</t>
  </si>
  <si>
    <t>5f443dfd835d8</t>
  </si>
  <si>
    <t>https://freesupportservice67.azurewebsites.net/8sx3ztC96XSvHKs/</t>
  </si>
  <si>
    <t>callnow-free128.azurewebsites.net</t>
  </si>
  <si>
    <t>5f417107c6e2e</t>
  </si>
  <si>
    <t>http://callnow-free128.azurewebsites.net/Zcv6znVbFKDkXCy/</t>
  </si>
  <si>
    <t>getfreesupport138.azurewebsites.net</t>
  </si>
  <si>
    <t>5f34a4d94214c</t>
  </si>
  <si>
    <t>http://getfreesupport138.azurewebsites.net/atEdYhpx5ykF2Ru/</t>
  </si>
  <si>
    <t>getfreesupport158.azurewebsites.net</t>
  </si>
  <si>
    <t>5f34a4b50b90d</t>
  </si>
  <si>
    <t>http://getfreesupport158.azurewebsites.net/atEdYhpx5ykF2Ru/</t>
  </si>
  <si>
    <t>checkup69.azurewebsites.net</t>
  </si>
  <si>
    <t>5f31636c6a1b7</t>
  </si>
  <si>
    <t>http://checkup69.azurewebsites.net/Mer-cado/</t>
  </si>
  <si>
    <t>76nn3error-callnow.azurewebsites.net</t>
  </si>
  <si>
    <t>5ee29d065f2b4</t>
  </si>
  <si>
    <t>https://76nn3error-callnow.azurewebsites.net/teddymckeefBx/</t>
  </si>
  <si>
    <t>binom.ecomapi.org</t>
  </si>
  <si>
    <t>104.18.62.233</t>
  </si>
  <si>
    <t>5ee122f19713c</t>
  </si>
  <si>
    <t>https://binom.ecomapi.org/SJ10001101010ED/</t>
  </si>
  <si>
    <t>org</t>
  </si>
  <si>
    <t>18onestopsupport.azurewebsites.net</t>
  </si>
  <si>
    <t>40.70.147.13</t>
  </si>
  <si>
    <t>5ff742626206e</t>
  </si>
  <si>
    <t>https://18onestopsupport.azurewebsites.net/MicOSoCHPC017528240X00/</t>
  </si>
  <si>
    <t>08onestopsupport.azurewebsites.net</t>
  </si>
  <si>
    <t>5ff741de8ef92</t>
  </si>
  <si>
    <t>https://08onestopsupport.azurewebsites.net/MicOSoCHPC017528240X00/</t>
  </si>
  <si>
    <t>quick-support287.azurewebsites.net</t>
  </si>
  <si>
    <t>5faf44487bf54</t>
  </si>
  <si>
    <t>http://quick-support287.azurewebsites.net/JArbZ98cFQJapCA/</t>
  </si>
  <si>
    <t>livequick-support148.azurewebsites.net</t>
  </si>
  <si>
    <t>5faf3e06cdf1e</t>
  </si>
  <si>
    <t>http://livequick-support148.azurewebsites.net/JArbZ98cFQJapCA/</t>
  </si>
  <si>
    <t>livequick-support128.azurewebsites.net</t>
  </si>
  <si>
    <t>5faf3dab5dda9</t>
  </si>
  <si>
    <t>http://livequick-support128.azurewebsites.net/JArbZ98cFQJapCA/</t>
  </si>
  <si>
    <t>quick-support058.azurewebsites.net</t>
  </si>
  <si>
    <t>5fa438f5e3498</t>
  </si>
  <si>
    <t>https://quick-support058.azurewebsites.net/KZPnhPzq8R8jHBD/</t>
  </si>
  <si>
    <t>freequickssupports097.azurewebsites.net</t>
  </si>
  <si>
    <t>5f973503602ac</t>
  </si>
  <si>
    <t>https://freequickssupports097.azurewebsites.net/2fQrvjWNSPCZCuK/</t>
  </si>
  <si>
    <t>livepcexpert58.azurewebsites.net</t>
  </si>
  <si>
    <t>5f7623879593c</t>
  </si>
  <si>
    <t>https://livepcexpert58.azurewebsites.net/TZZsyhcrt2Wrbu9/</t>
  </si>
  <si>
    <t>livepchelpsupport48.azurewebsites.net</t>
  </si>
  <si>
    <t>5f776592a454d</t>
  </si>
  <si>
    <t>https://livepchelpsupport48.azurewebsites.net/NUySpVpua7vGENJ/</t>
  </si>
  <si>
    <t>liveonlinepchelp28.azurewebsites.net</t>
  </si>
  <si>
    <t>5f737842eb6d4</t>
  </si>
  <si>
    <t>https://liveonlinepchelp28.azurewebsites.net/6Yeqm5nqUDDNFgk/</t>
  </si>
  <si>
    <t>liveonlinepchelp48.azurewebsites.net</t>
  </si>
  <si>
    <t>5f73780ef174c</t>
  </si>
  <si>
    <t>https://liveonlinepchelp48.azurewebsites.net/6Yeqm5nqUDDNFgk/</t>
  </si>
  <si>
    <t>liveonlinepchelp19.azurewebsites.net</t>
  </si>
  <si>
    <t>5f735e72546ed</t>
  </si>
  <si>
    <t>http://liveonlinepchelp19.azurewebsites.net/6Yeqm5nqUDDNFgk/</t>
  </si>
  <si>
    <t>onlinecomputersupport58.azurewebsites.net</t>
  </si>
  <si>
    <t>5f7221282c1bf</t>
  </si>
  <si>
    <t>https://onlinecomputersupport58.azurewebsites.net/Kq8XSq5WNCgY68z/</t>
  </si>
  <si>
    <t>freepchelp188.azurewebsites.net</t>
  </si>
  <si>
    <t>5f6e48bb2ef63</t>
  </si>
  <si>
    <t>https://freepchelp188.azurewebsites.net/uGM5D6wZ9V5J5RY/</t>
  </si>
  <si>
    <t>freecomputersupport08.azurewebsites.net</t>
  </si>
  <si>
    <t>5f6a3cf9136a9</t>
  </si>
  <si>
    <t>https://freecomputersupport08.azurewebsites.net/PjY6bTgrEnuKddE/</t>
  </si>
  <si>
    <t>freecomputerhelp117.azurewebsites.net</t>
  </si>
  <si>
    <t>5f699dfee204b</t>
  </si>
  <si>
    <t>https://freecomputerhelp117.azurewebsites.net/R7tcvkAFdAwS4B4</t>
  </si>
  <si>
    <t>freecomputerhelp08.azurewebsites.net</t>
  </si>
  <si>
    <t>5f68d99cc5f96</t>
  </si>
  <si>
    <t>https://freecomputerhelp08.azurewebsites.net/R7tcvkAFdAwS4B4/</t>
  </si>
  <si>
    <t>freepchelpforum48.azurewebsites.net</t>
  </si>
  <si>
    <t>5f6288b250331</t>
  </si>
  <si>
    <t>https://freepchelpforum48.azurewebsites.net/TxHTvPq9EFWfwjb/</t>
  </si>
  <si>
    <t>freepchelpforum38.azurewebsites.net</t>
  </si>
  <si>
    <t>5f628875ae57f</t>
  </si>
  <si>
    <t>https://freepchelpforum38.azurewebsites.net/TxHTvPq9EFWfwjb/</t>
  </si>
  <si>
    <t>freepchelp118.azurewebsites.net</t>
  </si>
  <si>
    <t>5f6246b2573a2</t>
  </si>
  <si>
    <t>https://freepchelp118.azurewebsites.net/TxHTvPq9EFWfwjb/</t>
  </si>
  <si>
    <t>freepchelp98.azurewebsites.net</t>
  </si>
  <si>
    <t>5f6236039fbb4</t>
  </si>
  <si>
    <t>https://freepchelp98.azurewebsites.net/TxHTvPq9EFWfwjb/</t>
  </si>
  <si>
    <t>freepchelp18.azurewebsites.net</t>
  </si>
  <si>
    <t>5f61c5f45da2a</t>
  </si>
  <si>
    <t>https://freepchelp18.azurewebsites.net/ERDDrHjVfKbFJbQ/</t>
  </si>
  <si>
    <t>freepchelp38.azurewebsites.net</t>
  </si>
  <si>
    <t>5f61c5c538dd4</t>
  </si>
  <si>
    <t>https://freepchelp38.azurewebsites.net/ERDDrHjVfKbFJbQ/</t>
  </si>
  <si>
    <t>pconlinehelp128.azurewebsites.net</t>
  </si>
  <si>
    <t>5f607955dc2fc</t>
  </si>
  <si>
    <t>https://pconlinehelp128.azurewebsites.net/ERDDrHjVfKbFJbQ/</t>
  </si>
  <si>
    <t>pconlinehelp138.azurewebsites.net</t>
  </si>
  <si>
    <t>5f6079467e02b</t>
  </si>
  <si>
    <t>https://pconlinehelp138.azurewebsites.net/ERDDrHjVfKbFJbQ/</t>
  </si>
  <si>
    <t>pconlinehelp88.azurewebsites.net</t>
  </si>
  <si>
    <t>5f5fd367c755a</t>
  </si>
  <si>
    <t>https://pconlinehelp88.azurewebsites.net/ERDDrHjVfKbFJbQ/</t>
  </si>
  <si>
    <t>pchelpdesk68.azurewebsites.net</t>
  </si>
  <si>
    <t>5f5a594560a3e</t>
  </si>
  <si>
    <t>https://pchelpdesk68.azurewebsites.net/garretttanners7d/</t>
  </si>
  <si>
    <t>pchelpdesk38.azurewebsites.net</t>
  </si>
  <si>
    <t>5f5a5897b4043</t>
  </si>
  <si>
    <t>https://pchelpdesk38.azurewebsites.net/garretttanners7d/</t>
  </si>
  <si>
    <t>pchelpdesk18.azurewebsites.net</t>
  </si>
  <si>
    <t>5f5a5812db6a0</t>
  </si>
  <si>
    <t>https://pchelpdesk18.azurewebsites.net/garretttanners7d/</t>
  </si>
  <si>
    <t>pchelpsupport47.azurewebsites.net</t>
  </si>
  <si>
    <t>5f5926c347adb</t>
  </si>
  <si>
    <t>http://pchelpsupport47.azurewebsites.net/avfFeTpfJfSPuPx/</t>
  </si>
  <si>
    <t>pchelpsupport28.azurewebsites.net</t>
  </si>
  <si>
    <t>5f5926b67a652</t>
  </si>
  <si>
    <t>http://pchelpsupport28.azurewebsites.net/avfFeTpfJfSPuPx/</t>
  </si>
  <si>
    <t>accountclosed-reachsupport-4065.azurewebsites.net</t>
  </si>
  <si>
    <t>5f592524c4bda</t>
  </si>
  <si>
    <t>https://accountclosed-reachsupport-4065.azurewebsites.net/Access-Denied/CHWInhelp10GK010101AW/</t>
  </si>
  <si>
    <t>accountclosed-reachsupport-4064.azurewebsites.net</t>
  </si>
  <si>
    <t>5f591aa4afc65</t>
  </si>
  <si>
    <t>https://accountclosed-reachsupport-4064.azurewebsites.net/Access-Denied/CHWInhelp10GK010101AW/</t>
  </si>
  <si>
    <t>pchelpservices99.azurewebsites.net</t>
  </si>
  <si>
    <t>5f5916f2ab9dc</t>
  </si>
  <si>
    <t>https://pchelpservices99.azurewebsites.net/dawsonwhlerS7v/</t>
  </si>
  <si>
    <t>accountclosed-reachsupport-4063.azurewebsites.net</t>
  </si>
  <si>
    <t>5f591473d0fb1</t>
  </si>
  <si>
    <t>https://accountclosed-reachsupport-4063.azurewebsites.net/Access-Denied/CHOfdfdfdfdfd07Sdng100101010110helpline7/index.html</t>
  </si>
  <si>
    <t>pchelpservices107.azurewebsites.net</t>
  </si>
  <si>
    <t>5f5914096ac1b</t>
  </si>
  <si>
    <t>https://pchelpservices107.azurewebsites.net/dawsonwhlerS7v/</t>
  </si>
  <si>
    <t>pchelpservices68.azurewebsites.net</t>
  </si>
  <si>
    <t>5f590d6cb7b32</t>
  </si>
  <si>
    <t>https://pchelpservices68.azurewebsites.net/dawsonwhlerS7v/</t>
  </si>
  <si>
    <t>pchelpservices08.azurewebsites.net</t>
  </si>
  <si>
    <t>5f57e229b7b96</t>
  </si>
  <si>
    <t>https://pchelpservices08.azurewebsites.net/avfFeTpfJfSPuPx/</t>
  </si>
  <si>
    <t>callnow99.azurewebsites.net</t>
  </si>
  <si>
    <t>5f5288ed8f6e7</t>
  </si>
  <si>
    <t>http://callnow99.azurewebsites.net/cado/</t>
  </si>
  <si>
    <t>callnow89.azurewebsites.net</t>
  </si>
  <si>
    <t>5f5288b9e8910</t>
  </si>
  <si>
    <t>http://callnow89.azurewebsites.net/cado/</t>
  </si>
  <si>
    <t>callnow19.azurewebsites.net</t>
  </si>
  <si>
    <t>5f528607e0fea</t>
  </si>
  <si>
    <t>http://callnow19.azurewebsites.net/Mer-cado/</t>
  </si>
  <si>
    <t>account-denied-stop-access-411.azurewebsites.net</t>
  </si>
  <si>
    <t>5f50df5805fa5</t>
  </si>
  <si>
    <t>http://account-denied-stop-access-411.azurewebsites.net/Access-Blocked/CHWInhelp10GK010101AW/</t>
  </si>
  <si>
    <t>account-denied-stop-access-409.azurewebsites.net</t>
  </si>
  <si>
    <t>5f50df49d85dc</t>
  </si>
  <si>
    <t>http://account-denied-stop-access-409.azurewebsites.net/Access-Blocked/CHWInhelp10GK010101AW/</t>
  </si>
  <si>
    <t>account-denied-stop-access-408.azurewebsites.net</t>
  </si>
  <si>
    <t>5f50df4148516</t>
  </si>
  <si>
    <t>http://account-denied-stop-access-408.azurewebsites.net/Access-Blocked/CHWInhelp10GK010101AW/</t>
  </si>
  <si>
    <t>paper-access-408.azurewebsites.net</t>
  </si>
  <si>
    <t>5f4f45051d962</t>
  </si>
  <si>
    <t>https://paper-access-408.azurewebsites.net/Access-Blocked/CHWInhelp10GK010101AW/</t>
  </si>
  <si>
    <t>paper-access-407.azurewebsites.net</t>
  </si>
  <si>
    <t>5f4f44fa65204</t>
  </si>
  <si>
    <t>https://paper-access-407.azurewebsites.net/Access-Blocked/CHWInhelp10GK010101AW/</t>
  </si>
  <si>
    <t>freesupport99.azurewebsites.net</t>
  </si>
  <si>
    <t>5f4c0e2d93399</t>
  </si>
  <si>
    <t>http://freesupport99.azurewebsites.net/gHBW7zFVGjwcrjr/</t>
  </si>
  <si>
    <t>callnow-free159.azurewebsites.net</t>
  </si>
  <si>
    <t>5f4c09e9d1143</t>
  </si>
  <si>
    <t>http://callnow-free159.azurewebsites.net/S9M5QFaca7VkHSt/</t>
  </si>
  <si>
    <t>callnow-free139.azurewebsites.net</t>
  </si>
  <si>
    <t>5f4c098b24e9d</t>
  </si>
  <si>
    <t>http://callnow-free139.azurewebsites.net/S9M5QFaca7VkHSt/</t>
  </si>
  <si>
    <t>callnow-free109.azurewebsites.net</t>
  </si>
  <si>
    <t>5f4c0901246cf</t>
  </si>
  <si>
    <t>http://callnow-free109.azurewebsites.net/S9M5QFaca7VkHSt/</t>
  </si>
  <si>
    <t>callnow-free88.azurewebsites.net</t>
  </si>
  <si>
    <t>5f4c089f9ae0f</t>
  </si>
  <si>
    <t>http://callnow-free88.azurewebsites.net/S9M5QFaca7VkHSt/</t>
  </si>
  <si>
    <t>freesupport12.azurewebsites.net</t>
  </si>
  <si>
    <t>5f4ae50075b17</t>
  </si>
  <si>
    <t>http://freesupport12.azurewebsites.net/gHBW7zFVGjwcrjr/</t>
  </si>
  <si>
    <t>freesupportservice138.azurewebsites.net</t>
  </si>
  <si>
    <t>5f4ad90aeeb47</t>
  </si>
  <si>
    <t>http://freesupportservice138.azurewebsites.net/vcCsfdvjFg4P5tp/</t>
  </si>
  <si>
    <t>freesupportservice118.azurewebsites.net</t>
  </si>
  <si>
    <t>5f4ad8c03f0bf</t>
  </si>
  <si>
    <t>http://freesupportservice118.azurewebsites.net/vcCsfdvjFg4P5tp/</t>
  </si>
  <si>
    <t>freecallcaresupport88.azurewebsites.net</t>
  </si>
  <si>
    <t>5f4aa3ca9d479</t>
  </si>
  <si>
    <t>http://freecallcaresupport88.azurewebsites.net/vTUPHmw6mhDcMgT/</t>
  </si>
  <si>
    <t>freecallcaresupport68.azurewebsites.net</t>
  </si>
  <si>
    <t>5f4aa36f01f21</t>
  </si>
  <si>
    <t>http://freecallcaresupport68.azurewebsites.net/vTUPHmw6mhDcMgT/</t>
  </si>
  <si>
    <t>freecallcaresupport48.azurewebsites.net</t>
  </si>
  <si>
    <t>5f4aa3167e6e5</t>
  </si>
  <si>
    <t>http://freecallcaresupport48.azurewebsites.net/vTUPHmw6mhDcMgT/</t>
  </si>
  <si>
    <t>freecallcaresupport18.azurewebsites.net</t>
  </si>
  <si>
    <t>5f4aa28d10e43</t>
  </si>
  <si>
    <t>http://freecallcaresupport18.azurewebsites.net/vTUPHmw6mhDcMgT/</t>
  </si>
  <si>
    <t>customercaresupport78.azurewebsites.net</t>
  </si>
  <si>
    <t>5f49e0a6d87d7</t>
  </si>
  <si>
    <t>http://customercaresupport78.azurewebsites.net/BdvJMsVsaH3HMNC/</t>
  </si>
  <si>
    <t>getfreesupport149.azurewebsites.net</t>
  </si>
  <si>
    <t>5f49764131a32</t>
  </si>
  <si>
    <t>http://getfreesupport149.azurewebsites.net/gHBW7zFVGjwcrjr/</t>
  </si>
  <si>
    <t>getfreesupport139.azurewebsites.net</t>
  </si>
  <si>
    <t>5f4976101c14c</t>
  </si>
  <si>
    <t>http://getfreesupport139.azurewebsites.net/gHBW7zFVGjwcrjr/</t>
  </si>
  <si>
    <t>getfreesupport109.azurewebsites.net</t>
  </si>
  <si>
    <t>5f497578ee881</t>
  </si>
  <si>
    <t>http://getfreesupport109.azurewebsites.net/gHBW7zFVGjwcrjr/</t>
  </si>
  <si>
    <t>freesupport139.azurewebsites.net</t>
  </si>
  <si>
    <t>5f49620d21050</t>
  </si>
  <si>
    <t>http://freesupport139.azurewebsites.net/pb613cadhekan/</t>
  </si>
  <si>
    <t>freesupport129.azurewebsites.net</t>
  </si>
  <si>
    <t>5f4961e80f45a</t>
  </si>
  <si>
    <t>http://freesupport129.azurewebsites.net/pb613cadhekan/</t>
  </si>
  <si>
    <t>freemaintenance119.azurewebsites.net</t>
  </si>
  <si>
    <t>5f495ef8494b8</t>
  </si>
  <si>
    <t>http://freemaintenance119.azurewebsites.net/q5gCvYnz6kzKvgY/</t>
  </si>
  <si>
    <t>freemaintenance109.azurewebsites.net</t>
  </si>
  <si>
    <t>5f495ed0f2c6c</t>
  </si>
  <si>
    <t>http://freemaintenance109.azurewebsites.net/q5gCvYnz6kzKvgY/</t>
  </si>
  <si>
    <t>services08.azurewebsites.net</t>
  </si>
  <si>
    <t>5f4958ff6d680</t>
  </si>
  <si>
    <t>http://services08.azurewebsites.net/pb613cadhekan/</t>
  </si>
  <si>
    <t>customercaresupport170.azurewebsites.net</t>
  </si>
  <si>
    <t>5f494749ab969</t>
  </si>
  <si>
    <t>https://customercaresupport170.azurewebsites.net/HNhGpB5gbMdVDyb/</t>
  </si>
  <si>
    <t>freemaintenance29.azurewebsites.net</t>
  </si>
  <si>
    <t>5f48bc4862eaf</t>
  </si>
  <si>
    <t>http://freemaintenance29.azurewebsites.net/q5gCvYnz6kzKvgY/</t>
  </si>
  <si>
    <t>getfreesupport179.azurewebsites.net</t>
  </si>
  <si>
    <t>5f47d2af58c15</t>
  </si>
  <si>
    <t>http://getfreesupport179.azurewebsites.net/atEdYhpx5ykF2Ru/</t>
  </si>
  <si>
    <t>computer59.azurewebsites.net</t>
  </si>
  <si>
    <t>5f47a0049a799</t>
  </si>
  <si>
    <t>http://computer59.azurewebsites.net/Belle-Plaine/</t>
  </si>
  <si>
    <t>computer28.azurewebsites.net</t>
  </si>
  <si>
    <t>5f479f41546ee</t>
  </si>
  <si>
    <t>http://computer28.azurewebsites.net/Belle-Plaine/</t>
  </si>
  <si>
    <t>computer09.azurewebsites.net</t>
  </si>
  <si>
    <t>5f479e3b366f6</t>
  </si>
  <si>
    <t>http://computer09.azurewebsites.net/Belle-Plaine/</t>
  </si>
  <si>
    <t>checkup39.azurewebsites.net</t>
  </si>
  <si>
    <t>5f4477b572d85</t>
  </si>
  <si>
    <t>http://checkup39.azurewebsites.net/Kristy-Cortez/</t>
  </si>
  <si>
    <t>getfreesupport97.azurewebsites.net</t>
  </si>
  <si>
    <t>5f445216f249f</t>
  </si>
  <si>
    <t>https://getfreesupport97.azurewebsites.net/atEdYhpx5ykF2Ru/</t>
  </si>
  <si>
    <t>getfreesupport89.azurewebsites.net</t>
  </si>
  <si>
    <t>5f4451aeeb89d</t>
  </si>
  <si>
    <t>https://getfreesupport89.azurewebsites.net/atEdYhpx5ykF2Ru/</t>
  </si>
  <si>
    <t>getfreesupport79.azurewebsites.net</t>
  </si>
  <si>
    <t>5f4451395be28</t>
  </si>
  <si>
    <t>https://getfreesupport79.azurewebsites.net/atEdYhpx5ykF2Ru/</t>
  </si>
  <si>
    <t>getfreesupport59.azurewebsites.net</t>
  </si>
  <si>
    <t>5f44506200b9a</t>
  </si>
  <si>
    <t>https://getfreesupport59.azurewebsites.net/atEdYhpx5ykF2Ru/</t>
  </si>
  <si>
    <t>callnow-free49.azurewebsites.net</t>
  </si>
  <si>
    <t>5f444be0514b8</t>
  </si>
  <si>
    <t>https://callnow-free49.azurewebsites.net/Cortez/</t>
  </si>
  <si>
    <t>callnow-free14.azurewebsites.net</t>
  </si>
  <si>
    <t>5f44493fa548e</t>
  </si>
  <si>
    <t>https://callnow-free14.azurewebsites.net/Cortez/</t>
  </si>
  <si>
    <t>callnow-free09.azurewebsites.net</t>
  </si>
  <si>
    <t>5f4448b2432d1</t>
  </si>
  <si>
    <t>https://callnow-free09.azurewebsites.net/Cortez/</t>
  </si>
  <si>
    <t>freesupportservice68.azurewebsites.net</t>
  </si>
  <si>
    <t>5f443e161ab6a</t>
  </si>
  <si>
    <t>https://freesupportservice68.azurewebsites.net/8sx3ztC96XSvHKs/</t>
  </si>
  <si>
    <t>freesupport89.azurewebsites.net</t>
  </si>
  <si>
    <t>5f437dd726bb1</t>
  </si>
  <si>
    <t>http://freesupport89.azurewebsites.net/atEdYhpx5ykF2Ru/</t>
  </si>
  <si>
    <t>checkup59.azurewebsites.net</t>
  </si>
  <si>
    <t>5f318784819e7</t>
  </si>
  <si>
    <t>http://checkup59.azurewebsites.net/Mer-cado/</t>
  </si>
  <si>
    <t>computer99.azurewebsites.net</t>
  </si>
  <si>
    <t>5f30d78bea126</t>
  </si>
  <si>
    <t>http://computer99.azurewebsites.net/Belle-Plaine</t>
  </si>
  <si>
    <t>computer109.azurewebsites.net</t>
  </si>
  <si>
    <t>5f30d751ab92a</t>
  </si>
  <si>
    <t>http://computer109.azurewebsites.net/Belle-Plaine</t>
  </si>
  <si>
    <t>computer119.azurewebsites.net</t>
  </si>
  <si>
    <t>5f30d6488eea9</t>
  </si>
  <si>
    <t>http://computer119.azurewebsites.net/Belle-Plaine</t>
  </si>
  <si>
    <t>callnow-free39.azurewebsites.net</t>
  </si>
  <si>
    <t>5f30d24a10e53</t>
  </si>
  <si>
    <t>http://callnow-free39.azurewebsites.net/Cortez/</t>
  </si>
  <si>
    <t>freecheckup09.azurewebsites.net</t>
  </si>
  <si>
    <t>5f23baa9b1441</t>
  </si>
  <si>
    <t>http://freecheckup09.azurewebsites.net/Staci-Walsh/</t>
  </si>
  <si>
    <t>55nn3error-callnow.azurewebsites.net</t>
  </si>
  <si>
    <t>5ee12498a7b28</t>
  </si>
  <si>
    <t>https://55nn3error-callnow.azurewebsites.net/teddymckeefBx/</t>
  </si>
  <si>
    <t>Vitry-sur-Seine</t>
  </si>
  <si>
    <t>rurikop.cyou</t>
  </si>
  <si>
    <t>51.15.131.200</t>
  </si>
  <si>
    <t>60c39c3a712ee</t>
  </si>
  <si>
    <t>http://rurikop.cyou/t/W088PP0Y0Ris0y0CED0fv08Mhi/index.html</t>
  </si>
  <si>
    <t>cyou</t>
  </si>
  <si>
    <t>bloodop.xyz</t>
  </si>
  <si>
    <t>60c3971176e24</t>
  </si>
  <si>
    <t>http://bloodop.xyz/t/W088PP0Y0Ris0y0CED0fv08Mhi/index.html</t>
  </si>
  <si>
    <t>troneop.xyz</t>
  </si>
  <si>
    <t>60832c8c1413d</t>
  </si>
  <si>
    <t>http://troneop.xyz/p/W880n01xm888se0cur0it0yCH008/index.html</t>
  </si>
  <si>
    <t>prepossessingness.club</t>
  </si>
  <si>
    <t>Online S.A.S.</t>
  </si>
  <si>
    <t>5ee3eb969349f</t>
  </si>
  <si>
    <t>http://prepossessingness.club/s/Ed10010110xyJP/</t>
  </si>
  <si>
    <t>incommunicatively.club</t>
  </si>
  <si>
    <t>5ee3eac9d109c</t>
  </si>
  <si>
    <t>http://incommunicatively.club/edge/</t>
  </si>
  <si>
    <t>stenothermophilic.site</t>
  </si>
  <si>
    <t>5ee12df4cf378</t>
  </si>
  <si>
    <t>http://stenothermophilic.site/edge/</t>
  </si>
  <si>
    <t>hyperexcitability.club</t>
  </si>
  <si>
    <t>5ee125d802fc8</t>
  </si>
  <si>
    <t>http://hyperexcitability.club/edge/</t>
  </si>
  <si>
    <t>trefratxservergx637.azurewebsites.net</t>
  </si>
  <si>
    <t>13.89.172.6</t>
  </si>
  <si>
    <t>60170ba967f52</t>
  </si>
  <si>
    <t>http://trefratxservergx637.azurewebsites.net/WIn01secu0RJurity0CHSys01888Y/</t>
  </si>
  <si>
    <t>trefratxservergx636.azurewebsites.net</t>
  </si>
  <si>
    <t>60170ba45ddb4</t>
  </si>
  <si>
    <t>http://trefratxservergx636.azurewebsites.net/WIn01secu0RJurity0CHSys01888Y/</t>
  </si>
  <si>
    <t>trefratxservergx635.azurewebsites.net</t>
  </si>
  <si>
    <t>60170b62cfd55</t>
  </si>
  <si>
    <t>http://trefratxservergx635.azurewebsites.net/WIn01secu0RJurity0CHSys01888Y/</t>
  </si>
  <si>
    <t>trefratxservergx634.azurewebsites.net</t>
  </si>
  <si>
    <t>6017076560aeb</t>
  </si>
  <si>
    <t>http://trefratxservergx634.azurewebsites.net/WIn01secu0RJurity0CHSys01888Y/</t>
  </si>
  <si>
    <t>access-from-account-1147475.azurewebsites.net</t>
  </si>
  <si>
    <t>5f816090c2e8e</t>
  </si>
  <si>
    <t>http://access-from-account-1147475.azurewebsites.net/denied-1911/CHW-INFECTED-DEVICE/</t>
  </si>
  <si>
    <t>bs0d-winfail-0xc01.azurewebsites.net</t>
  </si>
  <si>
    <t>5ee1379c912bf</t>
  </si>
  <si>
    <t>https://bs0d-winfail-0xc01.azurewebsites.net/buddha/CH1001000100110RV/</t>
  </si>
  <si>
    <t>Bengaluru</t>
  </si>
  <si>
    <t>thesecurepc.xyz</t>
  </si>
  <si>
    <t>139.59.68.34</t>
  </si>
  <si>
    <t>5ee137bed35bd</t>
  </si>
  <si>
    <t>https://thesecurepc.xyz/code6176111c/CHOM01010101010X0MVJ/</t>
  </si>
  <si>
    <t>India</t>
  </si>
  <si>
    <t>AS6364 A</t>
  </si>
  <si>
    <t>Reston</t>
  </si>
  <si>
    <t>va10jhoni22.xyz</t>
  </si>
  <si>
    <t>Atlantic.net</t>
  </si>
  <si>
    <t>208.117.86.230</t>
  </si>
  <si>
    <t>Atlantic.net,Inc.</t>
  </si>
  <si>
    <t>5ee13890aa2a9</t>
  </si>
  <si>
    <t>https://va10jhoni22.xyz/0923new/edgwin8374002874bfs/</t>
  </si>
  <si>
    <t>workinow.xyz</t>
  </si>
  <si>
    <t>167.172.150.94</t>
  </si>
  <si>
    <t>5ee13a05017d4</t>
  </si>
  <si>
    <t>https://workinow.xyz/0xus43xxyy15xy/SJ10001101010ED/</t>
  </si>
  <si>
    <t>ulidthjtdrsdthyfhyligcfgcgf.online</t>
  </si>
  <si>
    <t>172.67.204.101</t>
  </si>
  <si>
    <t>5ee13f4808e69</t>
  </si>
  <si>
    <t>https://ulidthjtdrsdthyfhyligcfgcgf.online/11ED_get_help10022PH_BB/</t>
  </si>
  <si>
    <t>bitmap754.ml</t>
  </si>
  <si>
    <t>172.67.179.3</t>
  </si>
  <si>
    <t>5ee1c76e2342f</t>
  </si>
  <si>
    <t>https://bitmap754.ml/Win8181_81810.hhy/TEdsjsjhskhkasdVXPV/</t>
  </si>
  <si>
    <t>mywebstorage.site</t>
  </si>
  <si>
    <t>134.209.161.72</t>
  </si>
  <si>
    <t>5ee4cdff42069</t>
  </si>
  <si>
    <t>https://mywebstorage.site/XEDdhdsbfhgdfhdgf7xe/</t>
  </si>
  <si>
    <t>domainlisr05.site</t>
  </si>
  <si>
    <t>198.54.115.169</t>
  </si>
  <si>
    <t>5f19b4720f777</t>
  </si>
  <si>
    <t>https://domainlisr05.site/index-4.html</t>
  </si>
  <si>
    <t>secureonline0x.site</t>
  </si>
  <si>
    <t>5f174030b0f1e</t>
  </si>
  <si>
    <t>https://secureonline0x.site/EDWInhelp10010101xK/</t>
  </si>
  <si>
    <t>datalogfile.website</t>
  </si>
  <si>
    <t>5f156856ed0be</t>
  </si>
  <si>
    <t>https://datalogfile.website/SAMacHelp011010xK/</t>
  </si>
  <si>
    <t>fpcsearch04.site</t>
  </si>
  <si>
    <t>5f15679475637</t>
  </si>
  <si>
    <t>https://fpcsearch04.site/index-4.html</t>
  </si>
  <si>
    <t>domain-regis06.site</t>
  </si>
  <si>
    <t>5f12ce95b7448</t>
  </si>
  <si>
    <t>https://domain-regis06.site/index-4.html</t>
  </si>
  <si>
    <t>host-doms02.site</t>
  </si>
  <si>
    <t>5f116cbb8f811</t>
  </si>
  <si>
    <t>https://host-doms02.site/index-4.html</t>
  </si>
  <si>
    <t>register-host05.site</t>
  </si>
  <si>
    <t>5f0a077fa0006</t>
  </si>
  <si>
    <t>https://register-host05.site/index-4.html</t>
  </si>
  <si>
    <t>informationsearch.site</t>
  </si>
  <si>
    <t>5f0902ca230cb</t>
  </si>
  <si>
    <t>https://informationsearch.site/EDWInhelp10010101xK/</t>
  </si>
  <si>
    <t>windowlogfile.site</t>
  </si>
  <si>
    <t>5f09eebc4a2ce</t>
  </si>
  <si>
    <t>https://windowlogfile.site/EDWInhelp10010101xK/</t>
  </si>
  <si>
    <t>express-dome05.site</t>
  </si>
  <si>
    <t>5efdc724db20c</t>
  </si>
  <si>
    <t>https://express-dome05.site/index-4.html</t>
  </si>
  <si>
    <t>domain-numb05.site</t>
  </si>
  <si>
    <t>5ee5c7523d30d</t>
  </si>
  <si>
    <t>https://domain-numb05.site/index-4.html</t>
  </si>
  <si>
    <t>celeb-security04.site</t>
  </si>
  <si>
    <t>5ee1cc7b801bc</t>
  </si>
  <si>
    <t>https://celeb-security04.site/index-4.html</t>
  </si>
  <si>
    <t>celeb-security02.site</t>
  </si>
  <si>
    <t>5ee1cc4bceffd</t>
  </si>
  <si>
    <t>https://celeb-security02.site/index-7.html</t>
  </si>
  <si>
    <t>onlinestreamingvideo.site</t>
  </si>
  <si>
    <t>142.93.73.1</t>
  </si>
  <si>
    <t>5ee2334d04153</t>
  </si>
  <si>
    <t>https://onlinestreamingvideo.site/XEDdhdsbfhgdfhdgf7xe/</t>
  </si>
  <si>
    <t>Detroit</t>
  </si>
  <si>
    <t>ghumnamhaikoi.tk</t>
  </si>
  <si>
    <t>66.198.240.39</t>
  </si>
  <si>
    <t>5f5ef26b9dc68</t>
  </si>
  <si>
    <t>https://ghumnamhaikoi.tk/jpani5805/K10ED110001ddfddfJP/</t>
  </si>
  <si>
    <t>dichutspa.tk</t>
  </si>
  <si>
    <t>5f5dce74f3dfc</t>
  </si>
  <si>
    <t>https://dichutspa.tk/ajap5805/K10ED110001ddfddfJP/</t>
  </si>
  <si>
    <t>5f5e13437e89b</t>
  </si>
  <si>
    <t>https://dichutspa.tk/ajap5805/K10CH110001ddfddfJP/</t>
  </si>
  <si>
    <t>bhoolbhulaiyame.tk</t>
  </si>
  <si>
    <t>5f58875467a53</t>
  </si>
  <si>
    <t>https://bhoolbhulaiyame.tk/jpee5805/K10ED110001ddfddfJP/</t>
  </si>
  <si>
    <t>nomedigasadios.ga</t>
  </si>
  <si>
    <t>5f4d63fbd484b</t>
  </si>
  <si>
    <t>http://nomedigasadios.ga/win9090_jp1088.nbf/TChsfsdfjdsfjdsfjVXRD/</t>
  </si>
  <si>
    <t>astwerad.tk</t>
  </si>
  <si>
    <t>5f43465f99682</t>
  </si>
  <si>
    <t>https://astwerad.tk/tcmwin/K10ED110001ddfddfJP/</t>
  </si>
  <si>
    <t>tenamena.tk</t>
  </si>
  <si>
    <t>5f410530b22a6</t>
  </si>
  <si>
    <t>https://tenamena.tk/jpet7429/JPsddsdFFss8dsdsds0/</t>
  </si>
  <si>
    <t>5f40ff3f18f30</t>
  </si>
  <si>
    <t>https://tenamena.tk/jpet7429/JPsddsdCHss8dsdsds0/</t>
  </si>
  <si>
    <t>dilkiyehikhatahai.ml</t>
  </si>
  <si>
    <t>5f1e3622909c4</t>
  </si>
  <si>
    <t>https://dilkiyehikhatahai.ml/wintc_jp8833.hhy/TEdsjsjhskhkasdVXRD/</t>
  </si>
  <si>
    <t>www.chalomyltapower.tk</t>
  </si>
  <si>
    <t>5f1c102b90b71</t>
  </si>
  <si>
    <t>http://www.chalomyltapower.tk/wintc_jp8833.hhy/TMachdsfgdsffdVXRD</t>
  </si>
  <si>
    <t>chalomyltapower.tk</t>
  </si>
  <si>
    <t>5f1bd65c1bb47</t>
  </si>
  <si>
    <t>https://chalomyltapower.tk/wintc_jp8833.hhy/TEdsjsjhskhkasdVXRD/</t>
  </si>
  <si>
    <t>www.meriaashiqui.ml</t>
  </si>
  <si>
    <t>5f150f3ac6f0d</t>
  </si>
  <si>
    <t>http://www.meriaashiqui.ml/windev_jp1088.hhy/TChsfsdfjdsfjdsfjVXRD/</t>
  </si>
  <si>
    <t>yeduahai.ga</t>
  </si>
  <si>
    <t>5f14e64ac2482</t>
  </si>
  <si>
    <t>https://yeduahai.ga/windev_jp1088.hhy/TEdsjsjhskhkasdVXRD/</t>
  </si>
  <si>
    <t>ncmwalkers.ga</t>
  </si>
  <si>
    <t>5f05895b6c21b</t>
  </si>
  <si>
    <t>https://ncmwalkers.ga/winpr_jp1088.hhy/TEdsjsjhskhkasdVXRD/</t>
  </si>
  <si>
    <t>buyshoesnow.xyz</t>
  </si>
  <si>
    <t>5ee2397b02f8c</t>
  </si>
  <si>
    <t>https://buyshoesnow.xyz/swiss/D00EdsjsjhskhkasdSSx/</t>
  </si>
  <si>
    <t>unclassifableness.site</t>
  </si>
  <si>
    <t>163.172.170.45</t>
  </si>
  <si>
    <t>5f987b32314fc</t>
  </si>
  <si>
    <t>http://unclassifableness.site/t2/IEfdfdfdfdfdfdffdfRiJaucode0xhelpms008/index.html</t>
  </si>
  <si>
    <t>5f9876dfcd978</t>
  </si>
  <si>
    <t>http://unclassifableness.site/ot/IEfdfdfdfdfdfdffdfRiJaucode0xhelpms008/index.html</t>
  </si>
  <si>
    <t>distinguishability.site</t>
  </si>
  <si>
    <t>5f9856656c283</t>
  </si>
  <si>
    <t>http://distinguishability.site/t2/IEfdfdfdfdfdfdffdfRiJaucode0xhelpms008/index.html</t>
  </si>
  <si>
    <t>pseudosacrilegious.club</t>
  </si>
  <si>
    <t>5f8c3d797b89a</t>
  </si>
  <si>
    <t>http://pseudosacrilegious.club</t>
  </si>
  <si>
    <t>bromochloromethan.xyz</t>
  </si>
  <si>
    <t>5f8c3d6be06c9</t>
  </si>
  <si>
    <t>http://bromochloromethan.xyz</t>
  </si>
  <si>
    <t>pseudomultilocular.club</t>
  </si>
  <si>
    <t>5f8c3cf91d3fe</t>
  </si>
  <si>
    <t>http://pseudomultilocular.club</t>
  </si>
  <si>
    <t>electroluminescent.site</t>
  </si>
  <si>
    <t>5f8b4bdc1b127</t>
  </si>
  <si>
    <t>http://electroluminescent.site/t2/IEfdfdfdfdfdfdffdfRiJaucode0xhelpms008/index.html</t>
  </si>
  <si>
    <t>5f8b47e0de07c</t>
  </si>
  <si>
    <t>http://pseudomultilocular.club/t2/IEfdfdfdfdfdfdffdfRiJaucode0xhelpms008/index.html</t>
  </si>
  <si>
    <t>parliamentarianism.online</t>
  </si>
  <si>
    <t>5f7f9ddb4892f</t>
  </si>
  <si>
    <t>http://parliamentarianism.online/t/IEfdfdfdfdfdfdffdf247ucode0xhelpms008lund/index.html</t>
  </si>
  <si>
    <t>antitraditionalist.xyz</t>
  </si>
  <si>
    <t>5f7f65b668c56</t>
  </si>
  <si>
    <t>http://antitraditionalist.xyz/IEfdfdfdfdfdfdffdf247ucode0xhelpms008Risef/index.html</t>
  </si>
  <si>
    <t>oversolidification.site</t>
  </si>
  <si>
    <t>5f7f5e3c375d1</t>
  </si>
  <si>
    <t>http://oversolidification.site/f/IEfdfdfdfdfdfdffdf247ucode0xhelpms008Risef/index.html</t>
  </si>
  <si>
    <t>interjectionalised.club</t>
  </si>
  <si>
    <t>5f7e602f4848e</t>
  </si>
  <si>
    <t>http://interjectionalised.club/f/IEfdfdfdfdfdfdffdf247ucode0xhelpms008Risef/index.html</t>
  </si>
  <si>
    <t>dispensationalism.xyz</t>
  </si>
  <si>
    <t>5f3d3eed73c90</t>
  </si>
  <si>
    <t>http://dispensationalism.xyz/ch/productch/</t>
  </si>
  <si>
    <t>administratorship.online</t>
  </si>
  <si>
    <t>5f3d3e8eb8f12</t>
  </si>
  <si>
    <t>http://administratorship.online/ch/0CHdhdsbfMShgdfhdgfHrRisf/</t>
  </si>
  <si>
    <t>inconvertibleness.site</t>
  </si>
  <si>
    <t>5f3d3e81ba6b3</t>
  </si>
  <si>
    <t>http://inconvertibleness.site/ch/productch/</t>
  </si>
  <si>
    <t>microreproducton.site</t>
  </si>
  <si>
    <t>5f3984742545b</t>
  </si>
  <si>
    <t>http://microreproducton.site/ch/producted/</t>
  </si>
  <si>
    <t>5f397b417b9a0</t>
  </si>
  <si>
    <t>http://microreproducton.site/t/productch/</t>
  </si>
  <si>
    <t>indispensableness.club</t>
  </si>
  <si>
    <t>5f397232769d5</t>
  </si>
  <si>
    <t>http://indispensableness.club/t/producted/</t>
  </si>
  <si>
    <t>conceptualizaton.club</t>
  </si>
  <si>
    <t>5f3bc49242e4f</t>
  </si>
  <si>
    <t>http://conceptualizaton.club/productch/</t>
  </si>
  <si>
    <t>prerepresentaton.club</t>
  </si>
  <si>
    <t>5f304b897d4f9</t>
  </si>
  <si>
    <t>http://prerepresentaton.club/ch/xEd1001010x01/</t>
  </si>
  <si>
    <t>imperturbableness.xyz</t>
  </si>
  <si>
    <t>5f3047ab14da2</t>
  </si>
  <si>
    <t>http://imperturbableness.xyz/ch/xEd1001010x01/</t>
  </si>
  <si>
    <t>noncensurableness.club</t>
  </si>
  <si>
    <t>5f1b3214cd12e</t>
  </si>
  <si>
    <t>http://noncensurableness.club/ch/Edfdfdfdfdf0vffvvf7/</t>
  </si>
  <si>
    <t>nonmultiplication.site</t>
  </si>
  <si>
    <t>5f1b28a204161</t>
  </si>
  <si>
    <t>http://nonmultiplication.site/CH/Edfdfdfdfdf0vffvvf7/</t>
  </si>
  <si>
    <t>socioeconomically.site</t>
  </si>
  <si>
    <t>5f0b3d035723a</t>
  </si>
  <si>
    <t>http://socioeconomically.site/t/</t>
  </si>
  <si>
    <t>scrophulariaceous.space</t>
  </si>
  <si>
    <t>5eed56a1a5563</t>
  </si>
  <si>
    <t>http://scrophulariaceous.space/ch/Ed10010110xyJP/</t>
  </si>
  <si>
    <t>disadvantageously.club</t>
  </si>
  <si>
    <t>5eec00e129bf4</t>
  </si>
  <si>
    <t>http://disadvantageously.club/ch/Ed10010110xyJP/</t>
  </si>
  <si>
    <t>imperialistically.club</t>
  </si>
  <si>
    <t>5ee29d4c255e6</t>
  </si>
  <si>
    <t>http://imperialistically.club/edge/</t>
  </si>
  <si>
    <t>helplinesecurewinapp24983x9.monster</t>
  </si>
  <si>
    <t>66.42.69.143</t>
  </si>
  <si>
    <t>5ee2a92f5c24e</t>
  </si>
  <si>
    <t>https://helplinesecurewinapp24983x9.monster/Helpline24x7newjune012020xxerrorssf3735/YXEDdhdsbfhgdfhdgf9x0RBAW/</t>
  </si>
  <si>
    <t>monster</t>
  </si>
  <si>
    <t>webxclone334.ml</t>
  </si>
  <si>
    <t>104.18.61.4</t>
  </si>
  <si>
    <t>5ee38ff322699</t>
  </si>
  <si>
    <t>https://webxclone334.ml/MS_Win_helpline_now85234552/</t>
  </si>
  <si>
    <t>popuppatch355.cf</t>
  </si>
  <si>
    <t>104.28.2.204</t>
  </si>
  <si>
    <t>5ee3b56e1e54a</t>
  </si>
  <si>
    <t>https://popuppatch355.cf/MS_Win_helpline_now85234552/</t>
  </si>
  <si>
    <t>06callhelpline.azurewebsites.net</t>
  </si>
  <si>
    <t>52.173.149.254</t>
  </si>
  <si>
    <t>5fd0f9600209b</t>
  </si>
  <si>
    <t>https://06callhelpline.azurewebsites.net/Wind0HelEDGSyS06016552664/</t>
  </si>
  <si>
    <t>micro-lokerjfe.azurewebsites.net</t>
  </si>
  <si>
    <t>5fbd90eaf35b3</t>
  </si>
  <si>
    <t>https://micro-lokerjfe.azurewebsites.net/WinFhelpxcodexwin444CHerrorxxdc/</t>
  </si>
  <si>
    <t>pconlinehelp05.azurewebsites.net</t>
  </si>
  <si>
    <t>5f5f9bfa82e10</t>
  </si>
  <si>
    <t>https://pconlinehelp05.azurewebsites.net/ERDDrHjVfKbFJbQ/</t>
  </si>
  <si>
    <t>freesupportservice150.azurewebsites.net</t>
  </si>
  <si>
    <t>5f4ad9364a574</t>
  </si>
  <si>
    <t>http://freesupportservice150.azurewebsites.net/vcCsfdvjFg4P5tp/</t>
  </si>
  <si>
    <t>supportcenter20.azurewebsites.net</t>
  </si>
  <si>
    <t>5f424b187e735</t>
  </si>
  <si>
    <t>http://supportcenter20.azurewebsites.net/8sx3ztC96XSvHKs</t>
  </si>
  <si>
    <t>fr2807201211.azurewebsites.net</t>
  </si>
  <si>
    <t>5f424ac04e93b</t>
  </si>
  <si>
    <t>http://fr2807201211.azurewebsites.net/chmx/</t>
  </si>
  <si>
    <t>5f4101615c0e5</t>
  </si>
  <si>
    <t>http://fr2807201211.azurewebsites.net/ffiedgex/</t>
  </si>
  <si>
    <t>suppinfo-10.azurewebsites.net</t>
  </si>
  <si>
    <t>5ee3bd966f861</t>
  </si>
  <si>
    <t>https://suppinfo-10.azurewebsites.net/supp1568/MChx0101</t>
  </si>
  <si>
    <t>suppinfo-13.azurewebsites.net</t>
  </si>
  <si>
    <t>5ee3bd5c049dc</t>
  </si>
  <si>
    <t>https://suppinfo-13.azurewebsites.net/supp1568/Ch01010101_y/</t>
  </si>
  <si>
    <t>suppinfo-12.azurewebsites.net</t>
  </si>
  <si>
    <t>5ee3bd1dd63f0</t>
  </si>
  <si>
    <t>https://suppinfo-12.azurewebsites.net/supp1568/Ch01010101_y/</t>
  </si>
  <si>
    <t>suppinfo-11.azurewebsites.net</t>
  </si>
  <si>
    <t>5ee3bd0c22550</t>
  </si>
  <si>
    <t>https://suppinfo-11.azurewebsites.net/supp1568/Ch01010101_y/</t>
  </si>
  <si>
    <t>ubitech292.ml</t>
  </si>
  <si>
    <t>172.67.140.25</t>
  </si>
  <si>
    <t>5ee3c43487439</t>
  </si>
  <si>
    <t>https://ubitech292.ml/WIn8181_818181h.bbi/</t>
  </si>
  <si>
    <t>cavajeans.com</t>
  </si>
  <si>
    <t>195.201.171.163</t>
  </si>
  <si>
    <t>5ee41b8da008e</t>
  </si>
  <si>
    <t>https://cavajeans.com/alert3/11xTChsfsdfjdsfjdsfjVX/</t>
  </si>
  <si>
    <t>livequickpcsupports11.azurewebsites.net</t>
  </si>
  <si>
    <t>52.165.184.170</t>
  </si>
  <si>
    <t>5f9846f7e2f90</t>
  </si>
  <si>
    <t>https://livequickpcsupports11.azurewebsites.net/9GMEFgvzgTaEgPD/</t>
  </si>
  <si>
    <t>liveonlinepchelp40.azurewebsites.net</t>
  </si>
  <si>
    <t>5f737806238c0</t>
  </si>
  <si>
    <t>https://liveonlinepchelp40.azurewebsites.net/6Yeqm5nqUDDNFgk/</t>
  </si>
  <si>
    <t>liveonlinepchelp26.azurewebsites.net</t>
  </si>
  <si>
    <t>5f735ea35e9e7</t>
  </si>
  <si>
    <t>http://liveonlinepchelp26.azurewebsites.net/6Yeqm5nqUDDNFgk/</t>
  </si>
  <si>
    <t>freecomputersupport06.azurewebsites.net</t>
  </si>
  <si>
    <t>5f6a3cfaeaef4</t>
  </si>
  <si>
    <t>https://freecomputersupport06.azurewebsites.net/PjY6bTgrEnuKddE/</t>
  </si>
  <si>
    <t>freecomputerhelp06.azurewebsites.net</t>
  </si>
  <si>
    <t>5f68d99209e57</t>
  </si>
  <si>
    <t>https://freecomputerhelp06.azurewebsites.net/R7tcvkAFdAwS4B4/</t>
  </si>
  <si>
    <t>freepchelpforum19.azurewebsites.net</t>
  </si>
  <si>
    <t>5f62880ae3aa9</t>
  </si>
  <si>
    <t>https://freepchelpforum19.azurewebsites.net/TxHTvPq9EFWfwjb/</t>
  </si>
  <si>
    <t>freepchelp80.azurewebsites.net</t>
  </si>
  <si>
    <t>5f61c53f6a804</t>
  </si>
  <si>
    <t>https://freepchelp80.azurewebsites.net/ERDDrHjVfKbFJbQ/</t>
  </si>
  <si>
    <t>micro-cjacscjsaj.azurewebsites.net</t>
  </si>
  <si>
    <t>5f55f366956b5</t>
  </si>
  <si>
    <t>http://micro-cjacscjsaj.azurewebsites.net/TChsfsdfjdsfjdsfjVX/</t>
  </si>
  <si>
    <t>micro-kkndvmdnns.azurewebsites.net</t>
  </si>
  <si>
    <t>5f54fe35a70c0</t>
  </si>
  <si>
    <t>http://micro-kkndvmdnns.azurewebsites.net/TChsfsdfjdsfjdsfjVX/</t>
  </si>
  <si>
    <t>freesupport27.azurewebsites.net</t>
  </si>
  <si>
    <t>5f4c0cd6ba00f</t>
  </si>
  <si>
    <t>http://freesupport27.azurewebsites.net/gHBW7zFVGjwcrjr/</t>
  </si>
  <si>
    <t>callnow-free157.azurewebsites.net</t>
  </si>
  <si>
    <t>5f4c09e0c7022</t>
  </si>
  <si>
    <t>http://callnow-free157.azurewebsites.net/S9M5QFaca7VkHSt/</t>
  </si>
  <si>
    <t>callnow-free79.azurewebsites.net</t>
  </si>
  <si>
    <t>5f4c0873d4f03</t>
  </si>
  <si>
    <t>http://callnow-free79.azurewebsites.net/S9M5QFaca7VkHSt/</t>
  </si>
  <si>
    <t>callnow-free75.azurewebsites.net</t>
  </si>
  <si>
    <t>5f4c08615f368</t>
  </si>
  <si>
    <t>http://callnow-free75.azurewebsites.net/S9M5QFaca7VkHSt/</t>
  </si>
  <si>
    <t>callnow-free64.azurewebsites.net</t>
  </si>
  <si>
    <t>5f4ae396b7cb8</t>
  </si>
  <si>
    <t>http://callnow-free64.azurewebsites.net/S9M5QFaca7VkHSt/</t>
  </si>
  <si>
    <t>freemaintenance94.azurewebsites.net</t>
  </si>
  <si>
    <t>5f495e93b4a46</t>
  </si>
  <si>
    <t>http://freemaintenance94.azurewebsites.net/q5gCvYnz6kzKvgY/</t>
  </si>
  <si>
    <t>micro-deshes.azurewebsites.net</t>
  </si>
  <si>
    <t>5efbacfe6e2d3</t>
  </si>
  <si>
    <t>https://micro-deshes.azurewebsites.net/OMED01010101010X0NVx/?phone=+1-833-327-0349&amp;amp;</t>
  </si>
  <si>
    <t>5efbaa1ca0ddd</t>
  </si>
  <si>
    <t>https://micro-deshes.azurewebsites.net/OMED01010101010X0NVx/?phone=+1-833-330-6602&amp;amp;</t>
  </si>
  <si>
    <t>5efb995d20297</t>
  </si>
  <si>
    <t>https://micro-deshes.azurewebsites.net/OMED01010101010X0NVx/?phone=+1-833-333-9008</t>
  </si>
  <si>
    <t>micro-sedjre.azurewebsites.net</t>
  </si>
  <si>
    <t>5ef23192c8b32</t>
  </si>
  <si>
    <t>https://micro-sedjre.azurewebsites.net/D00EdsfgfdgfjRVV/?phone=+1-833-410-2471&amp;amp;</t>
  </si>
  <si>
    <t>5ef231a31051c</t>
  </si>
  <si>
    <t>https://micro-sedjre.azurewebsites.net/D00ChsfgfdgfjRVV/?phone=+1-833-297-6972&amp;amp;</t>
  </si>
  <si>
    <t>micro-hujose.azurewebsites.net</t>
  </si>
  <si>
    <t>5ef23183e7603</t>
  </si>
  <si>
    <t>https://micro-hujose.azurewebsites.net/OMED01010101010X0NVx/?phone=+1-888-473-1252&amp;amp;</t>
  </si>
  <si>
    <t>micro-hugi.azurewebsites.net</t>
  </si>
  <si>
    <t>5ef0f317e5b9c</t>
  </si>
  <si>
    <t>https://micro-hugi.azurewebsites.net/D00EdsfgfdgfjRVV/?phone=+1-833-298-5980&amp;amp;</t>
  </si>
  <si>
    <t>micro-juese.azurewebsites.net</t>
  </si>
  <si>
    <t>5eefd165f38bf</t>
  </si>
  <si>
    <t>http://micro-juese.azurewebsites.net/D00EdsfgfdgfjRVV/?phone=+1-833-358-0742&amp;amp;</t>
  </si>
  <si>
    <t>micro-kijse.azurewebsites.net</t>
  </si>
  <si>
    <t>5eef946d58ba8</t>
  </si>
  <si>
    <t>https://micro-kijse.azurewebsites.net/OMED01010101010X0NVx/?phone=+1-833-378-3348&amp;amp;</t>
  </si>
  <si>
    <t>micro-hugoe.azurewebsites.net</t>
  </si>
  <si>
    <t>5eee3885c155e</t>
  </si>
  <si>
    <t>https://micro-hugoe.azurewebsites.net/CHOM01010101010X0NVx/</t>
  </si>
  <si>
    <t>micro-juhise.azurewebsites.net</t>
  </si>
  <si>
    <t>5eee2f4ce862a</t>
  </si>
  <si>
    <t>https://micro-juhise.azurewebsites.net/CHOMhsdjfgdjfgdjgfhjgNVx/?phone=+1-833-298-5977&amp;amp;</t>
  </si>
  <si>
    <t>micro-guhoj.azurewebsites.net</t>
  </si>
  <si>
    <t>5ee674d9de72e</t>
  </si>
  <si>
    <t>https://micro-guhoj.azurewebsites.net/D00EdsfsddgfdgfdRV/</t>
  </si>
  <si>
    <t>micro-hujoe.azurewebsites.net</t>
  </si>
  <si>
    <t>5ee504cf02b7f</t>
  </si>
  <si>
    <t>https://micro-hujoe.azurewebsites.net/D00ChsfshghjgdfjdsfjdsfjRVV/</t>
  </si>
  <si>
    <t>bookmark774.ga</t>
  </si>
  <si>
    <t>172.67.155.55</t>
  </si>
  <si>
    <t>5ee52e229837b</t>
  </si>
  <si>
    <t>https://bookmark774.ga/MS_Win_helpline_now5230775/</t>
  </si>
  <si>
    <t>popuppatch664.ml</t>
  </si>
  <si>
    <t>172.67.155.165</t>
  </si>
  <si>
    <t>5ee5d77aa868a</t>
  </si>
  <si>
    <t>https://popuppatch664.ml/Win01010_81816.nnv/TEdsjsjhskhkasdVXPV/</t>
  </si>
  <si>
    <t>protocol485.ml</t>
  </si>
  <si>
    <t>104.24.104.243</t>
  </si>
  <si>
    <t>5ee5e5c42a9d4</t>
  </si>
  <si>
    <t>https://protocol485.ml/WIn811818_01011h.nvb/TEdsjsjhskhkasdVXPV/</t>
  </si>
  <si>
    <t>compressed467.ml</t>
  </si>
  <si>
    <t>172.67.219.25</t>
  </si>
  <si>
    <t>5ee5eaa41a8bb</t>
  </si>
  <si>
    <t>https://compressed467.ml/MS_Win_helpline_now5214386/</t>
  </si>
  <si>
    <t>Dallas</t>
  </si>
  <si>
    <t>btcsafetyhelpline-virustalert-callnowforhelp.monster</t>
  </si>
  <si>
    <t>45.76.236.79</t>
  </si>
  <si>
    <t>5ee5ed3246041</t>
  </si>
  <si>
    <t>https://btcsafetyhelpline-virustalert-callnowforhelp.monster/Helpline24x7newjune012020xxerrorssf/YXMCdhdsbfhgdfhdgf9x0RBAW/</t>
  </si>
  <si>
    <t>abreviation443.ml</t>
  </si>
  <si>
    <t>172.67.191.227</t>
  </si>
  <si>
    <t>5ee67501501bd</t>
  </si>
  <si>
    <t>https://abreviation443.ml/MS_Win_helpline_now882012/</t>
  </si>
  <si>
    <t>206.189.85.16</t>
  </si>
  <si>
    <t>5ee6f3849f569</t>
  </si>
  <si>
    <t>http://206.189.85.16</t>
  </si>
  <si>
    <t>statusbar392.cf</t>
  </si>
  <si>
    <t>172.67.213.226</t>
  </si>
  <si>
    <t>5ee6f75b81fee</t>
  </si>
  <si>
    <t>https://statusbar392.cf/Win81818_1010h.bbv/TChsfsdfjdsfjdsfjVXPV/</t>
  </si>
  <si>
    <t>datamining443.cf</t>
  </si>
  <si>
    <t>104.27.190.188</t>
  </si>
  <si>
    <t>5ee73a4fceaec</t>
  </si>
  <si>
    <t>https://datamining443.cf/Win8118_81810.hhb/XEDdhdsbfhgdfhdgf9x0Xd/</t>
  </si>
  <si>
    <t>allocated456.ga</t>
  </si>
  <si>
    <t>104.24.113.29</t>
  </si>
  <si>
    <t>5ee73a86b60a5</t>
  </si>
  <si>
    <t>https://allocated456.ga/MS_Win_helpline_now2842216/</t>
  </si>
  <si>
    <t>www.lordofspices.com</t>
  </si>
  <si>
    <t>162.241.197.40</t>
  </si>
  <si>
    <t>60675370f1097</t>
  </si>
  <si>
    <t>http://www.lordofspices.com/secureyourcomputer/WIn01sec0R999ity0CHSys01888Y/</t>
  </si>
  <si>
    <t>605b69ae08e0c</t>
  </si>
  <si>
    <t>http://www.lordofspices.com/abc/WIn01sec0R999ity0FFSys01888Y/</t>
  </si>
  <si>
    <t>605394742355b</t>
  </si>
  <si>
    <t>https://www.lordofspices.com/abc/WIn01sec0R999ity0CHSys01888Y/</t>
  </si>
  <si>
    <t>www.hahalol.cf</t>
  </si>
  <si>
    <t>6055220e8f9f2</t>
  </si>
  <si>
    <t>http://www.hahalol.cf/abc/WIn01sec0R999ity0FFSys01888Y/</t>
  </si>
  <si>
    <t>vvscorp.in</t>
  </si>
  <si>
    <t>6046979af3560</t>
  </si>
  <si>
    <t>https://vvscorp.in/abc/WIn01sec0R999ity0CHSys01888Y/</t>
  </si>
  <si>
    <t>in</t>
  </si>
  <si>
    <t>60453c6678eea</t>
  </si>
  <si>
    <t>https://vvscorp.in/xyz/WIn01sec0R999ity0CHSys01888Y/</t>
  </si>
  <si>
    <t>error-018j0kw.tk</t>
  </si>
  <si>
    <t>5f00dec4b1352</t>
  </si>
  <si>
    <t>http://error-018j0kw.tk/am/6TChsfsdfjdsfjdsfjVX</t>
  </si>
  <si>
    <t>error-13jml84okas0.ml</t>
  </si>
  <si>
    <t>5ee73b469a7ba</t>
  </si>
  <si>
    <t>http://error-13jml84okas0.ml/Axer/6TChsfsdfjdsfjdsfjVX/</t>
  </si>
  <si>
    <t>workonhere.xyz</t>
  </si>
  <si>
    <t>68.183.25.88</t>
  </si>
  <si>
    <t>5ee770ffbae67</t>
  </si>
  <si>
    <t>https://workonhere.xyz/0ch77xxyy10/SJ10001101010ED/</t>
  </si>
  <si>
    <t>Norway/Svalbard and Jan Mayen</t>
  </si>
  <si>
    <t>5ee770f5e8a7f</t>
  </si>
  <si>
    <t>https://workonhere.xyz/0no77xxyy5/SJ10001101010ED/</t>
  </si>
  <si>
    <t>Ireland</t>
  </si>
  <si>
    <t>5ee770ef1916b</t>
  </si>
  <si>
    <t>https://workonhere.xyz/0ire77xxyy12/SJ10001101010ED/</t>
  </si>
  <si>
    <t>Venezuela</t>
  </si>
  <si>
    <t>5ee76c6774e0f</t>
  </si>
  <si>
    <t>https://workonhere.xyz/0fi77xxyy11/SJ10001101010CH/</t>
  </si>
  <si>
    <t>5ee769d3a8fd3</t>
  </si>
  <si>
    <t>https://workonhere.xyz/0be77xxyy6/SJ10001101010ED/</t>
  </si>
  <si>
    <t>35.222.216.82</t>
  </si>
  <si>
    <t>5ee88f8336f92</t>
  </si>
  <si>
    <t>http://35.222.216.82/XEDdhdsbfhgdfhdgf7RSx/</t>
  </si>
  <si>
    <t>exabyte905.ga</t>
  </si>
  <si>
    <t>104.18.57.136</t>
  </si>
  <si>
    <t>5ee890a273dae</t>
  </si>
  <si>
    <t>https://exabyte905.ga/Win1881_81810.hhb/</t>
  </si>
  <si>
    <t>bgtrfdehyujinh.xyz</t>
  </si>
  <si>
    <t>185.61.154.214</t>
  </si>
  <si>
    <t>5eeb57fa30981</t>
  </si>
  <si>
    <t>https://bgtrfdehyujinh.xyz/ED1010101010D/</t>
  </si>
  <si>
    <t>ytgfrdebgswki.xyz</t>
  </si>
  <si>
    <t>5eeb326466fca</t>
  </si>
  <si>
    <t>https://ytgfrdebgswki.xyz/ED1010101010D/</t>
  </si>
  <si>
    <t>afrgtyhujikrfde.xyz</t>
  </si>
  <si>
    <t>5eea2ad0a8c33</t>
  </si>
  <si>
    <t>https://afrgtyhujikrfde.xyz/ED1010101010D/</t>
  </si>
  <si>
    <t>tyuhjioedwfthjo.xyz</t>
  </si>
  <si>
    <t>5ee9f03450fd1</t>
  </si>
  <si>
    <t>https://tyuhjioedwfthjo.xyz/ED1010101010D/</t>
  </si>
  <si>
    <t>swgtiopjnhtr.xyz</t>
  </si>
  <si>
    <t>5ee9df2f37be5</t>
  </si>
  <si>
    <t>https://swgtiopjnhtr.xyz/ED1010101010D/</t>
  </si>
  <si>
    <t>abnyhjinhyjkue.xyz</t>
  </si>
  <si>
    <t>5ee8955c96873</t>
  </si>
  <si>
    <t>https://abnyhjinhyjkue.xyz/ED1010101010D/</t>
  </si>
  <si>
    <t>bookmark843.ga</t>
  </si>
  <si>
    <t>104.18.54.42</t>
  </si>
  <si>
    <t>5ee8ec9e10c99</t>
  </si>
  <si>
    <t>https://bookmark843.ga/Win18818_8181.hby/XEDdhdsbfhgdfhdgf9x0Xd/</t>
  </si>
  <si>
    <t>Miami</t>
  </si>
  <si>
    <t>error00xxx1.pw</t>
  </si>
  <si>
    <t>45.63.108.13</t>
  </si>
  <si>
    <t>5ee8f249bcc5e</t>
  </si>
  <si>
    <t>https://error00xxx1.pw/4248/YXEDdhdsbfhgdfhdgf9xSQ/</t>
  </si>
  <si>
    <t>207.246.72.158</t>
  </si>
  <si>
    <t>5ee8f301527e0</t>
  </si>
  <si>
    <t>http://207.246.72.158/Windows_error_8888/99TEdsjsjhskhkasdVX/</t>
  </si>
  <si>
    <t>myworkreport.xyz</t>
  </si>
  <si>
    <t>68.183.21.171</t>
  </si>
  <si>
    <t>5ee8f68d3fb58</t>
  </si>
  <si>
    <t>https://myworkreport.xyz/0bexxyy77xy6/SJ10001101010ED</t>
  </si>
  <si>
    <t>Finland</t>
  </si>
  <si>
    <t>5ee8f4f49a77d</t>
  </si>
  <si>
    <t>https://myworkreport.xyz/0fixxyy77xy11/SJ10001101010ED</t>
  </si>
  <si>
    <t>configure922.ga</t>
  </si>
  <si>
    <t>104.27.162.151</t>
  </si>
  <si>
    <t>5ee902d0121ca</t>
  </si>
  <si>
    <t>https://configure922.ga/Call_Microsoft_windows_Helpline37940/0ED01011001_10/</t>
  </si>
  <si>
    <t>errorcode-0606.tk</t>
  </si>
  <si>
    <t>162.241.27.68</t>
  </si>
  <si>
    <t>5ee91c0e40ba9</t>
  </si>
  <si>
    <t>http://errorcode-0606.tk/XMCdhdsbfhgdfhdgf7AP/</t>
  </si>
  <si>
    <t>iteration492.cf</t>
  </si>
  <si>
    <t>104.27.147.44</t>
  </si>
  <si>
    <t>5ee91d4edabc6</t>
  </si>
  <si>
    <t>https://iteration492.cf/Win81818_8181.hbv/</t>
  </si>
  <si>
    <t>AS43350</t>
  </si>
  <si>
    <t>www.amreecancorns.club</t>
  </si>
  <si>
    <t>NForce Entertainment B.V.</t>
  </si>
  <si>
    <t>93.157.63.225</t>
  </si>
  <si>
    <t>NForceEntertainmentB.V.</t>
  </si>
  <si>
    <t>5eeceff7233cf</t>
  </si>
  <si>
    <t>http://www.amreecancorns.club/1/DF10010011010ED7V/</t>
  </si>
  <si>
    <t>amricandreams.club</t>
  </si>
  <si>
    <t>5ee92985a303f</t>
  </si>
  <si>
    <t>http://amricandreams.club/1/DF10010011010ED7V/</t>
  </si>
  <si>
    <t>webxclone564.ml</t>
  </si>
  <si>
    <t>172.67.220.237</t>
  </si>
  <si>
    <t>5ee92bd94cccf</t>
  </si>
  <si>
    <t>https://webxclone564.ml/ALLOLD1011as2f05asf54as0f25550asf245a5sdf60as5f50525s0df25adsf50dsf2-5ds0fa5sfd2sadf540adsf2sadf5sdf025/?referer=http%3A%2F%2Fzz</t>
  </si>
  <si>
    <t>myonlineshows.site</t>
  </si>
  <si>
    <t>167.172.230.185</t>
  </si>
  <si>
    <t>5ee9f01f79519</t>
  </si>
  <si>
    <t>https://myonlineshows.site/XEDdhdsbfhgdfhdgf7xe/</t>
  </si>
  <si>
    <t>workinreport.xyz</t>
  </si>
  <si>
    <t>159.89.49.72</t>
  </si>
  <si>
    <t>5eea2e4c1d01e</t>
  </si>
  <si>
    <t>https://workinreport.xyz/0bexxyy77xy6/SJ10001101010ED/</t>
  </si>
  <si>
    <t>5eea2e47ba814</t>
  </si>
  <si>
    <t>https://workinreport.xyz/0fixxyy77xy11/SJ10001101010ED/</t>
  </si>
  <si>
    <t>5eea2e2ca97ee</t>
  </si>
  <si>
    <t>https://workinreport.xyz/0irexxyy77xy12/SJ10001101010CH/</t>
  </si>
  <si>
    <t>5eea2e084044e</t>
  </si>
  <si>
    <t>https://workinreport.xyz/0noxxyy77xy5/SJ10001101010ED/</t>
  </si>
  <si>
    <t>5eea2ca4df460</t>
  </si>
  <si>
    <t>https://workinreport.xyz/0chxxyy77xy10/SJ10001101010ED/</t>
  </si>
  <si>
    <t>alert-error-code-ax6059.azurewebsites.net</t>
  </si>
  <si>
    <t>52.165.163.223</t>
  </si>
  <si>
    <t>5f00b9621ac44</t>
  </si>
  <si>
    <t>https://alert-error-code-ax6059.azurewebsites.net/XYP640Ytsbaksitadhtag89YF/</t>
  </si>
  <si>
    <t>AS394695</t>
  </si>
  <si>
    <t>techssiutsa.xyz</t>
  </si>
  <si>
    <t>PDR</t>
  </si>
  <si>
    <t>209.99.16.100</t>
  </si>
  <si>
    <t>SWITCH,LTD</t>
  </si>
  <si>
    <t>South Africa</t>
  </si>
  <si>
    <t>5eea2d9fe3f68</t>
  </si>
  <si>
    <t>http://techssiutsa.xyz/</t>
  </si>
  <si>
    <t>findysys.xyz</t>
  </si>
  <si>
    <t>172.67.218.247</t>
  </si>
  <si>
    <t>5eea54239f99a</t>
  </si>
  <si>
    <t>https://findysys.xyz/oneusa/DF10010011011ED7V/</t>
  </si>
  <si>
    <t>ghghv.club</t>
  </si>
  <si>
    <t>104.27.168.31</t>
  </si>
  <si>
    <t>5eea593bc8ead</t>
  </si>
  <si>
    <t>https://ghghv.club/PZfFKPHE/M2JhlCNC/Jnwdk6j6/?p_x=1(888)%20406%209165</t>
  </si>
  <si>
    <t>AS25369</t>
  </si>
  <si>
    <t>fr256vortarti.b-cdn.net</t>
  </si>
  <si>
    <t>Hydra Communications Ltd</t>
  </si>
  <si>
    <t>89.34.99.7</t>
  </si>
  <si>
    <t>HydraCommunicationsLtd</t>
  </si>
  <si>
    <t>5eeb2a6420b6a</t>
  </si>
  <si>
    <t>http://fr256vortarti.b-cdn.net/chrome/</t>
  </si>
  <si>
    <t>Atlanta</t>
  </si>
  <si>
    <t>frvirdetectxten45.xyz</t>
  </si>
  <si>
    <t>198.187.29.8</t>
  </si>
  <si>
    <t>5eeb2eb1e1816</t>
  </si>
  <si>
    <t>http://frvirdetectxten45.xyz/NEW5/edge/</t>
  </si>
  <si>
    <t>xxwwnn10.pw</t>
  </si>
  <si>
    <t>45.32.42.133</t>
  </si>
  <si>
    <t>5eefd16d0489d</t>
  </si>
  <si>
    <t>https://xxwwnn10.pw/4253/YXEDdhdsbfhgdfhdgf9xSQ/</t>
  </si>
  <si>
    <t>mynutritionalnews.xyz</t>
  </si>
  <si>
    <t>5eee388fe8b2b</t>
  </si>
  <si>
    <t>https://mynutritionalnews.xyz/4323/YXEDdhdsbfhgdfhdgf9xSQ/</t>
  </si>
  <si>
    <t>xxwwnn7.pw</t>
  </si>
  <si>
    <t>5eef944600665</t>
  </si>
  <si>
    <t>https://xxwwnn7.pw/4356/YXMCdhdsbfhgdfhdgf9xSQ/</t>
  </si>
  <si>
    <t>oricapsdk.casa</t>
  </si>
  <si>
    <t>198.54.115.121</t>
  </si>
  <si>
    <t>5eeb2f6da1a7d</t>
  </si>
  <si>
    <t>http://oricapsdk.casa/</t>
  </si>
  <si>
    <t>casa</t>
  </si>
  <si>
    <t>DÃ¼sseldorf</t>
  </si>
  <si>
    <t>d33l66m61jnvv8.cloudfront.net</t>
  </si>
  <si>
    <t>13.226.156.111</t>
  </si>
  <si>
    <t>5eeb325c467d9</t>
  </si>
  <si>
    <t>https://d33l66m61jnvv8.cloudfront.net/xxxch75xx88/?phone=09-70-18-34-35&amp;amp;</t>
  </si>
  <si>
    <t>unihjksaikljsahsa-env.eba-u7qe5w3f.us-east-2.elasticbeanstalk.com</t>
  </si>
  <si>
    <t>52.15.104.229</t>
  </si>
  <si>
    <t>5eec8c10a655e</t>
  </si>
  <si>
    <t>http://unihjksaikljsahsa-env.eba-u7qe5w3f.us-east-2.elasticbeanstalk.com/OMED01010101010X0MVZA/</t>
  </si>
  <si>
    <t>manually803.ga</t>
  </si>
  <si>
    <t>104.28.30.124</t>
  </si>
  <si>
    <t>5eebab50ce39b</t>
  </si>
  <si>
    <t>https://manually803.ga/Call_Microsoft_windows_Helplin154457x/0ED01011001_10/</t>
  </si>
  <si>
    <t>cruncher043.cf</t>
  </si>
  <si>
    <t>104.24.117.35</t>
  </si>
  <si>
    <t>5eebacbd7189c</t>
  </si>
  <si>
    <t>https://cruncher043.cf/Win81818_01010.hby/</t>
  </si>
  <si>
    <t>www.securityalertwindows.com</t>
  </si>
  <si>
    <t>50.63.92.4</t>
  </si>
  <si>
    <t>5eebbc571ecae</t>
  </si>
  <si>
    <t>http://www.securityalertwindows.com/MCH01010101010X0M/</t>
  </si>
  <si>
    <t>jhoncarwash.site</t>
  </si>
  <si>
    <t>104.18.62.237</t>
  </si>
  <si>
    <t>5eebe38504fd3</t>
  </si>
  <si>
    <t>http://jhoncarwash.site/firewall2393/1sdafgdfvsdert44bdsbfj2342x/</t>
  </si>
  <si>
    <t>104.18.63.237</t>
  </si>
  <si>
    <t>5eebe39586f89</t>
  </si>
  <si>
    <t>https://jhoncarwash.site/firewall3045r/1sdafgdfvsdert44bdsbfj2342x/</t>
  </si>
  <si>
    <t>dotmatrix389.ga</t>
  </si>
  <si>
    <t>104.24.102.211</t>
  </si>
  <si>
    <t>5eee92ab9b2bf</t>
  </si>
  <si>
    <t>https://dotmatrix389.ga/W898998_99980.nuy/</t>
  </si>
  <si>
    <t>konrter-jkweoru.gq</t>
  </si>
  <si>
    <t>64.227.111.2</t>
  </si>
  <si>
    <t>5eecd2d8d4eba</t>
  </si>
  <si>
    <t>https://konrter-jkweoru.gq/Ganz/</t>
  </si>
  <si>
    <t>myworkfound.xyz</t>
  </si>
  <si>
    <t>167.172.139.248</t>
  </si>
  <si>
    <t>5eecd5012c457</t>
  </si>
  <si>
    <t>https://myworkfound.xyz/0chxxyy77xy10/SJ10001101010ED/</t>
  </si>
  <si>
    <t>support4windows.website</t>
  </si>
  <si>
    <t>162.0.229.49</t>
  </si>
  <si>
    <t>5eecd55b88083</t>
  </si>
  <si>
    <t>https://support4windows.website/servicehub4windows0x8545_macosxChro/26May_Chirag_win_mac/XEDdhdsbfhgdfhdgf7CTx/</t>
  </si>
  <si>
    <t>sytemoccur.xyz</t>
  </si>
  <si>
    <t>104.27.171.153</t>
  </si>
  <si>
    <t>5eece1ccc08a2</t>
  </si>
  <si>
    <t>https://sytemoccur.xyz/one/DF10010011011ED7V/index.php?site=14892298</t>
  </si>
  <si>
    <t>pcsecurity365.xyz</t>
  </si>
  <si>
    <t>104.28.27.113</t>
  </si>
  <si>
    <t>5eed07a831700</t>
  </si>
  <si>
    <t>https://pcsecurity365.xyz/C6252/Chsdsdswwqw2x/</t>
  </si>
  <si>
    <t>ukalert1.xyz</t>
  </si>
  <si>
    <t>160.153.133.192</t>
  </si>
  <si>
    <t>5eed2f12ae543</t>
  </si>
  <si>
    <t>http://ukalert1.xyz/</t>
  </si>
  <si>
    <t>geexcnhjasjusahsa-env.eba-pbdvzpgr.us-east-2.elasticbeanstalk.com</t>
  </si>
  <si>
    <t>3.20.25.205</t>
  </si>
  <si>
    <t>5ef1da70a1913</t>
  </si>
  <si>
    <t>http://geexcnhjasjusahsa-env.eba-pbdvzpgr.us-east-2.elasticbeanstalk.com/OMED01010101010X0MVZA/</t>
  </si>
  <si>
    <t>San Jose</t>
  </si>
  <si>
    <t>ec2-54-176-151-102.us-west-1.compute.amazonaws.com</t>
  </si>
  <si>
    <t>54.176.151.102</t>
  </si>
  <si>
    <t>5eed35685a4a2</t>
  </si>
  <si>
    <t>http://ec2-54-176-151-102.us-west-1.compute.amazonaws.com</t>
  </si>
  <si>
    <t>systemsecurityupdatewarningalert.xyz</t>
  </si>
  <si>
    <t>198.54.114.232</t>
  </si>
  <si>
    <t>5eed3a89a6bd6</t>
  </si>
  <si>
    <t>http://systemsecurityupdatewarningalert.xyz/window_error/</t>
  </si>
  <si>
    <t>167.99.73.221</t>
  </si>
  <si>
    <t>5eeda4f7007ef</t>
  </si>
  <si>
    <t>http://167.99.73.221</t>
  </si>
  <si>
    <t>d2iyol3d185o3z.cloudfront.net</t>
  </si>
  <si>
    <t>52.222.149.98</t>
  </si>
  <si>
    <t>Italy</t>
  </si>
  <si>
    <t>5eedf473ba9bf</t>
  </si>
  <si>
    <t>https://d2iyol3d185o3z.cloudfront.net/xxxch75xx88/?phone=+39-06-8350-0026&amp;amp;</t>
  </si>
  <si>
    <t>uonsrewwe-uijer.tk</t>
  </si>
  <si>
    <t>64.227.96.50</t>
  </si>
  <si>
    <t>5eedd70ef02a2</t>
  </si>
  <si>
    <t>https://uonsrewwe-uijer.tk/Brotter/</t>
  </si>
  <si>
    <t>zxhnhjsahsauhujjsahas-env.eba-ame4icdy.us-east-2.elasticbeanstalk.com</t>
  </si>
  <si>
    <t>3.17.99.180</t>
  </si>
  <si>
    <t>5eedd92000ee7</t>
  </si>
  <si>
    <t>http://zxhnhjsahsauhujjsahas-env.eba-ame4icdy.us-east-2.elasticbeanstalk.com/OMED01010101010X0MVZA/</t>
  </si>
  <si>
    <t>onlinecookingsstyle.site</t>
  </si>
  <si>
    <t>161.35.229.220</t>
  </si>
  <si>
    <t>5eedf9bc98655</t>
  </si>
  <si>
    <t>https://onlinecookingsstyle.site/OMED01010101010X0SH/</t>
  </si>
  <si>
    <t>ne33p1-env.eba-x9mdku9p.us-east-1.elasticbeanstalk.com</t>
  </si>
  <si>
    <t>23.23.121.221</t>
  </si>
  <si>
    <t>5eee3f28263b8</t>
  </si>
  <si>
    <t>http://ne33p1-env.eba-x9mdku9p.us-east-1.elasticbeanstalk.com/0012np/0MA01011001_77/</t>
  </si>
  <si>
    <t>lurkingnet643.ml</t>
  </si>
  <si>
    <t>104.18.42.167</t>
  </si>
  <si>
    <t>5eee99835d216</t>
  </si>
  <si>
    <t>https://lurkingnet643.ml/Win_helpline100101.hbv/</t>
  </si>
  <si>
    <t>threaddata478.ml</t>
  </si>
  <si>
    <t>104.27.159.235</t>
  </si>
  <si>
    <t>5ef04453bfd98</t>
  </si>
  <si>
    <t>https://threaddata478.ml/WIn19919_8181.bvc/ED100101010XCDH/</t>
  </si>
  <si>
    <t>querstofwesrmatters.online</t>
  </si>
  <si>
    <t>136.243.219.43</t>
  </si>
  <si>
    <t>5ef464f23d3ee</t>
  </si>
  <si>
    <t>https://querstofwesrmatters.online/pqsex01-n1x4f56s-r5e79efs-cx1v1x5v464-dfw5df5s-c1v5x4v564-w791czxc-n1x456s4-re87re841-c1v5vx4vxf/eacrbgx01/</t>
  </si>
  <si>
    <t>graderinformation.online</t>
  </si>
  <si>
    <t>5ef0afdc3b64a</t>
  </si>
  <si>
    <t>https://graderinformation.online/pqsex01-n1x4f56s-r5e79efs-cx1v1x5v464-dfw5df5s-c1v5x4v564-w791czxc-n1x456s4-re87re841-c1v5vx4vxf/wcacrx01/</t>
  </si>
  <si>
    <t>register-domain002.site</t>
  </si>
  <si>
    <t>68.65.122.75</t>
  </si>
  <si>
    <t>5f0a564c91dfd</t>
  </si>
  <si>
    <t>https://register-domain002.site/OMED01010101010X0SH/</t>
  </si>
  <si>
    <t>problemresolve.site</t>
  </si>
  <si>
    <t>5f0744b3bb168</t>
  </si>
  <si>
    <t>https://problemresolve.site/EDWInhelp10010101xK/</t>
  </si>
  <si>
    <t>transfer-osfer05.site</t>
  </si>
  <si>
    <t>5f04b82f631c9</t>
  </si>
  <si>
    <t>https://transfer-osfer05.site/index-4.html</t>
  </si>
  <si>
    <t>avail-box04.site</t>
  </si>
  <si>
    <t>5ef0afd6899a2</t>
  </si>
  <si>
    <t>https://avail-box04.site/index-4.html</t>
  </si>
  <si>
    <t>getquickturkeyreceipes.site</t>
  </si>
  <si>
    <t>167.71.164.99</t>
  </si>
  <si>
    <t>5ef0f300826f7</t>
  </si>
  <si>
    <t>https://getquickturkeyreceipes.site/XEDdhdsbfhgdfhdgf7xe/</t>
  </si>
  <si>
    <t>chaxesaccs12.xyz</t>
  </si>
  <si>
    <t>166.62.28.142</t>
  </si>
  <si>
    <t>5efd8376b28b7</t>
  </si>
  <si>
    <t>http://chaxesaccs12.xyz/1sdafgdfvsdnbcdjbdsbfj2342x/</t>
  </si>
  <si>
    <t>chaxesaccs11.xyz</t>
  </si>
  <si>
    <t>5efb996f704f8</t>
  </si>
  <si>
    <t>http://chaxesaccs11.xyz/1sdafgdfvsdnbcdjbdsbfj2342x/</t>
  </si>
  <si>
    <t>chasssealt0164.xyz</t>
  </si>
  <si>
    <t>5ef7783b4b860</t>
  </si>
  <si>
    <t>http://chasssealt0164.xyz/1sdafgdfvsdnbcdjbdsbfj2342x/</t>
  </si>
  <si>
    <t>chasssealt0159.xyz</t>
  </si>
  <si>
    <t>5ef14fa7dcbd6</t>
  </si>
  <si>
    <t>http://chasssealt0159.xyz/test/</t>
  </si>
  <si>
    <t>webx-alerts-ax8924.azurewebsites.net</t>
  </si>
  <si>
    <t>52.176.61.128</t>
  </si>
  <si>
    <t>5ef23c8852871</t>
  </si>
  <si>
    <t>https://webx-alerts-ax8924.azurewebsites.net/XEDdhdsbfhgdfhdgf7TLx/</t>
  </si>
  <si>
    <t>abreviation539.cf</t>
  </si>
  <si>
    <t>104.24.97.19</t>
  </si>
  <si>
    <t>5ef23d871b366</t>
  </si>
  <si>
    <t>https://abreviation539.cf/Win1881_1010j.bbh/ED100101010XCDH/</t>
  </si>
  <si>
    <t>iossecuritynow.xyz</t>
  </si>
  <si>
    <t>104.31.71.96</t>
  </si>
  <si>
    <t>5ef249b77a3ef</t>
  </si>
  <si>
    <t>https://iossecuritynow.xyz/C1100/Chsdsdswwqw2x/</t>
  </si>
  <si>
    <t>134.209.82.115</t>
  </si>
  <si>
    <t>5ef249cf150aa</t>
  </si>
  <si>
    <t>http://134.209.82.115/11ED_get_help10018MI/</t>
  </si>
  <si>
    <t>vnx10.club</t>
  </si>
  <si>
    <t>104.27.153.95</t>
  </si>
  <si>
    <t>5ef24b955d28e</t>
  </si>
  <si>
    <t>https://vnx10.club/vOa5YA65IU5VdpbT8cuBftIZGCSSxR/h79FXQU6tE2MUgQNEOqXMh7rD4naHZ/n8qjYE3GbPJNyujINbSGEOwD16CDFz/</t>
  </si>
  <si>
    <t>172.67.203.34</t>
  </si>
  <si>
    <t>5ef25b22d3c10</t>
  </si>
  <si>
    <t>https://vnx10.club/vOa5YA65IU5VdpbT8cuBftIZGCSSxR/h79FXQU6tE2MUgQNEOqXMh7rD4naHZ/n8qjYE3GbPJNyujINbSGEOwD16CDFz/?ung_site=14892299</t>
  </si>
  <si>
    <t>iconbase478.cf</t>
  </si>
  <si>
    <t>104.31.74.199</t>
  </si>
  <si>
    <t>5ef282b6064e4</t>
  </si>
  <si>
    <t>https://iconbase478.cf/Win08808_866h.bvf/</t>
  </si>
  <si>
    <t>199.247.3.72</t>
  </si>
  <si>
    <t>5ef316730ffa1</t>
  </si>
  <si>
    <t>http://199.247.3.72/FFOM01010101010X0MP/</t>
  </si>
  <si>
    <t>134.209.101.242</t>
  </si>
  <si>
    <t>5ef2ba1b3bdc2</t>
  </si>
  <si>
    <t>http://134.209.101.242</t>
  </si>
  <si>
    <t>getonlinedemands.site</t>
  </si>
  <si>
    <t>167.172.238.149</t>
  </si>
  <si>
    <t>5ef38d4e95d8d</t>
  </si>
  <si>
    <t>https://getonlinedemands.site/XEDdhdsbfhgdfhdgf7xe/</t>
  </si>
  <si>
    <t>ferroelectrically.site</t>
  </si>
  <si>
    <t>163.172.169.246</t>
  </si>
  <si>
    <t>5f371c9db3c69</t>
  </si>
  <si>
    <t>http://ferroelectrically.site/productsf/</t>
  </si>
  <si>
    <t>arytenoepiglottic.club</t>
  </si>
  <si>
    <t>5f371c7fefa0f</t>
  </si>
  <si>
    <t>http://arytenoepiglottic.club/product4/</t>
  </si>
  <si>
    <t>consubstantiating.online</t>
  </si>
  <si>
    <t>5f371c6b66f83</t>
  </si>
  <si>
    <t>http://consubstantiating.online/productsf/</t>
  </si>
  <si>
    <t>interprofessionall.club</t>
  </si>
  <si>
    <t>5f371c44b1238</t>
  </si>
  <si>
    <t>http://interprofessionall.club/productsf/</t>
  </si>
  <si>
    <t>gastroenterrostomy.club</t>
  </si>
  <si>
    <t>5f37154cb825a</t>
  </si>
  <si>
    <t>http://gastroenterrostomy.club/productch/</t>
  </si>
  <si>
    <t>unaccountableness.xyz</t>
  </si>
  <si>
    <t>5f35bfdc2f331</t>
  </si>
  <si>
    <t>http://unaccountableness.xyz/productsf/</t>
  </si>
  <si>
    <t>overpreoccupation.online</t>
  </si>
  <si>
    <t>5f346ac7f2b22</t>
  </si>
  <si>
    <t>http://overpreoccupation.online/producted</t>
  </si>
  <si>
    <t>grandmotherliness.online</t>
  </si>
  <si>
    <t>5f2366a2f338a</t>
  </si>
  <si>
    <t>http://grandmotherliness.online/z/MA10010110Ris8/</t>
  </si>
  <si>
    <t>microclimatologic.site</t>
  </si>
  <si>
    <t>5f1b09366e6c1</t>
  </si>
  <si>
    <t>http://microclimatologic.site/ch/Mafdfdfdfdf0vffvvf7/</t>
  </si>
  <si>
    <t>undercapitalizing.club</t>
  </si>
  <si>
    <t>5f1ada4b970f1</t>
  </si>
  <si>
    <t>http://undercapitalizing.club/ch/Mafdfdfdfdf0vffvvf7/</t>
  </si>
  <si>
    <t>untransmutability.online</t>
  </si>
  <si>
    <t>5f19ce86696df</t>
  </si>
  <si>
    <t>http://untransmutability.online/ch/Edfdfdfdfdf0vffvvf7/</t>
  </si>
  <si>
    <t>unparticularising.club</t>
  </si>
  <si>
    <t>5f19ca9c121c6</t>
  </si>
  <si>
    <t>http://unparticularising.club/ch/Edfdfdfdfdf0vffvvf7/</t>
  </si>
  <si>
    <t>lackadaisicalness.site</t>
  </si>
  <si>
    <t>5f18c38b3cd29</t>
  </si>
  <si>
    <t>http://lackadaisicalness.site/ch/</t>
  </si>
  <si>
    <t>gastroenterostomy.club</t>
  </si>
  <si>
    <t>5f18b8498c6fa</t>
  </si>
  <si>
    <t>http://gastroenterostomy.club/ch/</t>
  </si>
  <si>
    <t>memorabiliorabile.site</t>
  </si>
  <si>
    <t>5f1873ae078e0</t>
  </si>
  <si>
    <t>http://memorabiliorabile.site/ch/Edfdfdfdfdf0vffvvf7/</t>
  </si>
  <si>
    <t>anticlimactically.online</t>
  </si>
  <si>
    <t>5f0f375d48e04</t>
  </si>
  <si>
    <t>http://anticlimactically.online/ch/</t>
  </si>
  <si>
    <t>turbidimetrically.online</t>
  </si>
  <si>
    <t>5f0dfaa71a75c</t>
  </si>
  <si>
    <t>http://turbidimetrically.online/t/</t>
  </si>
  <si>
    <t>compassionateness.club</t>
  </si>
  <si>
    <t>5f0df7f775166</t>
  </si>
  <si>
    <t>http://compassionateness.club/t/</t>
  </si>
  <si>
    <t>prerespectability.site</t>
  </si>
  <si>
    <t>5eff8d2198f80</t>
  </si>
  <si>
    <t>http://prerespectability.site/ch/</t>
  </si>
  <si>
    <t>medicochirurgical.site</t>
  </si>
  <si>
    <t>5efe452cb7b13</t>
  </si>
  <si>
    <t>http://medicochirurgical.site/u/</t>
  </si>
  <si>
    <t>psychodiagnosticss.club</t>
  </si>
  <si>
    <t>5efe403661700</t>
  </si>
  <si>
    <t>http://psychodiagnosticss.club/ch/</t>
  </si>
  <si>
    <t>incontestableness.site</t>
  </si>
  <si>
    <t>5ef3b27a88b4a</t>
  </si>
  <si>
    <t>http://incontestableness.site/ch/Ed10010110xyJP/</t>
  </si>
  <si>
    <t>165.22.248.57</t>
  </si>
  <si>
    <t>5ef3f5ed8b135</t>
  </si>
  <si>
    <t>http://165.22.248.57/</t>
  </si>
  <si>
    <t>networkchkhost.xyz</t>
  </si>
  <si>
    <t>Oso Grande IP Services, LLC</t>
  </si>
  <si>
    <t>162.241.85.103</t>
  </si>
  <si>
    <t>5ef5c553da9eb</t>
  </si>
  <si>
    <t>https://networkchkhost.xyz/ED1881818118SW/</t>
  </si>
  <si>
    <t>antiprotsoftchkc.xyz</t>
  </si>
  <si>
    <t>5ef477b10e74b</t>
  </si>
  <si>
    <t>https://antiprotsoftchkc.xyz/ED18181818181XSW/</t>
  </si>
  <si>
    <t>ubitech246.cf</t>
  </si>
  <si>
    <t>104.18.59.53</t>
  </si>
  <si>
    <t>5ef4b735ab5ae</t>
  </si>
  <si>
    <t>https://ubitech246.cf/Win18818_01010j.bhp/ED100101010XCDH/</t>
  </si>
  <si>
    <t>AS63949</t>
  </si>
  <si>
    <t>foundogma.xyz</t>
  </si>
  <si>
    <t>Linode, LLC</t>
  </si>
  <si>
    <t>69.164.192.155</t>
  </si>
  <si>
    <t>AkamaiConnectedCloud</t>
  </si>
  <si>
    <t>5ef4b795dfa32</t>
  </si>
  <si>
    <t>http://foundogma.xyz/secure-me/HRYDCH18811881187D_MS/</t>
  </si>
  <si>
    <t>infoprotect.ga</t>
  </si>
  <si>
    <t>107.180.50.175</t>
  </si>
  <si>
    <t>5f2c4ca12564d</t>
  </si>
  <si>
    <t>http://infoprotect.ga/Alert/0ED01011001_77XC/</t>
  </si>
  <si>
    <t>dnsupdate.cf</t>
  </si>
  <si>
    <t>5f2991fa39b7d</t>
  </si>
  <si>
    <t>http://dnsupdate.cf/US111/0ED01011001_77XC/</t>
  </si>
  <si>
    <t>domainupdate.cf</t>
  </si>
  <si>
    <t>5f2408efd7ce8</t>
  </si>
  <si>
    <t>http://domainupdate.cf/702/0ED01011001_77XC/</t>
  </si>
  <si>
    <t>ipproactive.cf</t>
  </si>
  <si>
    <t>5f0f32e392453</t>
  </si>
  <si>
    <t>http://ipproactive.cf/UpdateUSA/0ED01011001_77XC/</t>
  </si>
  <si>
    <t>securityproinfo.cf</t>
  </si>
  <si>
    <t>5f0e151765682</t>
  </si>
  <si>
    <t>http://securityproinfo.cf/112/ED100101010XC/</t>
  </si>
  <si>
    <t>5f074ae5dabae</t>
  </si>
  <si>
    <t>http://securityproinfo.cf/IPUS/0ED01011001_77XC/</t>
  </si>
  <si>
    <t>systemproinfo.cf</t>
  </si>
  <si>
    <t>5f06012c34111</t>
  </si>
  <si>
    <t>http://systemproinfo.cf/121/0CH01011001_77XC/</t>
  </si>
  <si>
    <t>mscorp.club</t>
  </si>
  <si>
    <t>5ef4cfc1b2156</t>
  </si>
  <si>
    <t>http://mscorp.club/OS_Alert/Alert/0ED01011001_77XC/</t>
  </si>
  <si>
    <t>dsbinzs2y3r85.cloudfront.net</t>
  </si>
  <si>
    <t>Amazon.com</t>
  </si>
  <si>
    <t>143.204.208.208</t>
  </si>
  <si>
    <t>5ef4d0f92ed40</t>
  </si>
  <si>
    <t>https://dsbinzs2y3r85.cloudfront.net/XMCH7xe/?phone=+39-06-8350-0029&amp;amp;</t>
  </si>
  <si>
    <t>iossupport.xyz</t>
  </si>
  <si>
    <t>166.62.27.179</t>
  </si>
  <si>
    <t>5ef4d2b5d79ab</t>
  </si>
  <si>
    <t>http://iossupport.xyz</t>
  </si>
  <si>
    <t>dsthostserverw10x.xyz</t>
  </si>
  <si>
    <t>199.188.200.225</t>
  </si>
  <si>
    <t>5ef52386e8288</t>
  </si>
  <si>
    <t>https://dsthostserverw10x.xyz/helpmewithErrorfileIEsksldlsdd/XEDdhdsbfhgdfhdgf7CTx/</t>
  </si>
  <si>
    <t>unsatisfactoriness.xyz</t>
  </si>
  <si>
    <t>51.15.230.19</t>
  </si>
  <si>
    <t>5f85eb0494063</t>
  </si>
  <si>
    <t>http://unsatisfactoriness.xyz/t/IEfdfdfdfdfdfdffdfRiJaucode0xhelpms008/index.html</t>
  </si>
  <si>
    <t>5f85e22a3caf3</t>
  </si>
  <si>
    <t>http://unsatisfactoriness.xyz/IEfdfdfdfdfdfdffdfRiJaucode0xhelpms008/index.html</t>
  </si>
  <si>
    <t>antirevolutionist.site</t>
  </si>
  <si>
    <t>5f437eb820947</t>
  </si>
  <si>
    <t>http://antirevolutionist.site/j/0CHdhdsbfMShgdfhdgfHrRisf/</t>
  </si>
  <si>
    <t>unreconstructible.xyz</t>
  </si>
  <si>
    <t>5f42c17f0812d</t>
  </si>
  <si>
    <t>http://unreconstructible.xyz/j/0CHdhdsbfMShgdfhdgfHrRisf/</t>
  </si>
  <si>
    <t>phonocardiography.club</t>
  </si>
  <si>
    <t>5f41957550168</t>
  </si>
  <si>
    <t>http://phonocardiography.club/j/0EDdhdsbfMShgdfhdgfHrRisf/</t>
  </si>
  <si>
    <t>underdevelopement.site</t>
  </si>
  <si>
    <t>5ef541ec32a24</t>
  </si>
  <si>
    <t>http://underdevelopement.site/ch/Ed10010110xyJP/</t>
  </si>
  <si>
    <t>firmware844.cf</t>
  </si>
  <si>
    <t>104.18.51.232</t>
  </si>
  <si>
    <t>5ef7e53058087</t>
  </si>
  <si>
    <t>https://firmware844.cf/Win181881_0101108.bhy/ED100101010XCDH/</t>
  </si>
  <si>
    <t>dsw2patje6ogy.cloudfront.net</t>
  </si>
  <si>
    <t>13.225.84.225</t>
  </si>
  <si>
    <t>5efa1e5893223</t>
  </si>
  <si>
    <t>https://dsw2patje6ogy.cloudfront.net/XMCH7xe/?phone=+39-06-8350-0029&amp;amp;</t>
  </si>
  <si>
    <t>virus-alert-hacking-attempt-found-1263.s3.us-east-2.amazonaws.com</t>
  </si>
  <si>
    <t>52.219.96.168</t>
  </si>
  <si>
    <t>5efa8e5e696c3</t>
  </si>
  <si>
    <t>https://virus-alert-hacking-attempt-found-1263.s3.us-east-2.amazonaws.com/chrome_win/index.htm</t>
  </si>
  <si>
    <t>AS47583</t>
  </si>
  <si>
    <t>Asheville</t>
  </si>
  <si>
    <t>web-alert1.xyz</t>
  </si>
  <si>
    <t>Hostinger International Limited</t>
  </si>
  <si>
    <t>185.201.11.140</t>
  </si>
  <si>
    <t>HostingerInternationalLimited</t>
  </si>
  <si>
    <t>5efa936b55425</t>
  </si>
  <si>
    <t>http://web-alert1.xyz/CH100101010110xGK/</t>
  </si>
  <si>
    <t>getonlinehpromos.site</t>
  </si>
  <si>
    <t>165.22.42.191</t>
  </si>
  <si>
    <t>5efb3f41f2036</t>
  </si>
  <si>
    <t>https://getonlinehpromos.site/EDWInhelp10010101x/</t>
  </si>
  <si>
    <t>uhjhssd.club</t>
  </si>
  <si>
    <t>107.180.27.178</t>
  </si>
  <si>
    <t>5f20ff9867a98</t>
  </si>
  <si>
    <t>http://uhjhssd.club/</t>
  </si>
  <si>
    <t>dhhfhdf.club</t>
  </si>
  <si>
    <t>5f201e1b9d2e4</t>
  </si>
  <si>
    <t>http://dhhfhdf.club/?publisher_id=15323383</t>
  </si>
  <si>
    <t>uhjhssds.club</t>
  </si>
  <si>
    <t>5f0e2f0aeab84</t>
  </si>
  <si>
    <t>http://uhjhssds.club</t>
  </si>
  <si>
    <t>uhjhssdweb.club</t>
  </si>
  <si>
    <t>5f0896fc5a9ce</t>
  </si>
  <si>
    <t>http://uhjhssdweb.club/</t>
  </si>
  <si>
    <t>gdlgefol.club</t>
  </si>
  <si>
    <t>5f00cd879e77c</t>
  </si>
  <si>
    <t>http://gdlgefol.club/</t>
  </si>
  <si>
    <t>dfgdgeddtech.club</t>
  </si>
  <si>
    <t>5efe37cf9d54e</t>
  </si>
  <si>
    <t>http://dfgdgeddtech.club/</t>
  </si>
  <si>
    <t>dfgdgedd.club</t>
  </si>
  <si>
    <t>5efb6731dffff</t>
  </si>
  <si>
    <t>http://dfgdgedd.club</t>
  </si>
  <si>
    <t>lurkingnet776.ml</t>
  </si>
  <si>
    <t>104.18.38.18</t>
  </si>
  <si>
    <t>5efb5ba04902e</t>
  </si>
  <si>
    <t>https://lurkingnet776.ml/WIn199191_0101108.gnc/0CH01011001_10x/</t>
  </si>
  <si>
    <t>dxcbjfnvhhjb-13xprbhb.xyz</t>
  </si>
  <si>
    <t>18.221.177.179</t>
  </si>
  <si>
    <t>5efe499f0d7be</t>
  </si>
  <si>
    <t>https://dxcbjfnvhhjb-13xprbhb.xyz/0011Cdyuirwepyx107x/</t>
  </si>
  <si>
    <t>sevenlayerprotocolreport.xyz</t>
  </si>
  <si>
    <t>5efdfda9a414c</t>
  </si>
  <si>
    <t>https://sevenlayerprotocolreport.xyz/AK10101001101010CH/</t>
  </si>
  <si>
    <t>5efcbc2d676cb</t>
  </si>
  <si>
    <t>https://sevenlayerprotocolreport.xyz/Chdsdsdasdasdasdad13123123/</t>
  </si>
  <si>
    <t>5efb8693b5d99</t>
  </si>
  <si>
    <t>https://dxcbjfnvhhjb-13xprbhb.xyz/Chdsdsdasdasdasdad13123123/</t>
  </si>
  <si>
    <t>alerpandemicreport-13ssor.xyz</t>
  </si>
  <si>
    <t>5efb67b07c8d2</t>
  </si>
  <si>
    <t>https://alerpandemicreport-13ssor.xyz/0011Cdyuirwepyx10/</t>
  </si>
  <si>
    <t>totalsolutionunderprocess.xyz</t>
  </si>
  <si>
    <t>5efb679aaa83b</t>
  </si>
  <si>
    <t>https://totalsolutionunderprocess.xyz/0011Cdyuirwepyx10/</t>
  </si>
  <si>
    <t>usafreecountry-13xpr.xyz</t>
  </si>
  <si>
    <t>5efb67908c434</t>
  </si>
  <si>
    <t>https://usafreecountry-13xpr.xyz/0011Cdyuirwepyx10/</t>
  </si>
  <si>
    <t>intererrorandproxyreport.xyz</t>
  </si>
  <si>
    <t>5efb5bcdf03b5</t>
  </si>
  <si>
    <t>https://intererrorandproxyreport.xyz/Chdsdsdasdasdasdad13123123/</t>
  </si>
  <si>
    <t>anroid232.s3-website-us-east-1.amazonaws.com</t>
  </si>
  <si>
    <t>52.216.169.226</t>
  </si>
  <si>
    <t>5efb6aad07471</t>
  </si>
  <si>
    <t>http://anroid232.s3-website-us-east-1.amazonaws.com/</t>
  </si>
  <si>
    <t>6urlhex.azurewebsites.net</t>
  </si>
  <si>
    <t>104.43.142.33</t>
  </si>
  <si>
    <t>5f38131e868b3</t>
  </si>
  <si>
    <t>http://6urlhex.azurewebsites.net/MSaxMD1001011001010110100110101010100101010dfdfd1010100101010110/</t>
  </si>
  <si>
    <t>error-alertx-2037.azurewebsites.net</t>
  </si>
  <si>
    <t>5efe1f2497557</t>
  </si>
  <si>
    <t>https://error-alertx-2037.azurewebsites.net/ZAG7erhgerhtadduts9aYZw/</t>
  </si>
  <si>
    <t>error-alertx-8924.azurewebsites.net</t>
  </si>
  <si>
    <t>5efcc0b663e51</t>
  </si>
  <si>
    <t>https://error-alertx-8924.azurewebsites.net/ZAG7erhgerhtadduts9aYZw/</t>
  </si>
  <si>
    <t>error-alertx-0737.azurewebsites.net</t>
  </si>
  <si>
    <t>5efcc09d29cf9</t>
  </si>
  <si>
    <t>https://error-alertx-0737.azurewebsites.net/ZAG7erhgerhtadduts9aYZw/</t>
  </si>
  <si>
    <t>error-alertx-8967.azurewebsites.net</t>
  </si>
  <si>
    <t>5efb6d6bc2e5c</t>
  </si>
  <si>
    <t>https://error-alertx-8967.azurewebsites.net/XEDdhdsbfhgdfhdgf7TLx/</t>
  </si>
  <si>
    <t>d2a1x70q2va6gx.cloudfront.net</t>
  </si>
  <si>
    <t>143.204.101.42</t>
  </si>
  <si>
    <t>5efb6e6a2bdca</t>
  </si>
  <si>
    <t>https://d2a1x70q2va6gx.cloudfront.net/XMCH7xe/?phone=+39-06-8350-0029&amp;amp;</t>
  </si>
  <si>
    <t>7ms3h.club</t>
  </si>
  <si>
    <t>172.67.128.57</t>
  </si>
  <si>
    <t>5efb6fba63ca5</t>
  </si>
  <si>
    <t>https://7ms3h.club/UmKXO7ZR3UzFAT5PkSzMyMk1qVX9fo/lDXr2NC9KeE9n3d7LywCzQR8N88IVr/rCiA4Lw/?p_x=1(888)-490-0082</t>
  </si>
  <si>
    <t>7d6xb.club</t>
  </si>
  <si>
    <t>104.27.190.227</t>
  </si>
  <si>
    <t>5efb75e0bb6aa</t>
  </si>
  <si>
    <t>https://7d6xb.club/UmKXO7ZR3UzFAT5PkSzMyMk1qVX9fo/lDXr2NC9KeE9n3d7LywCzQR8N88IVr/rCiA4Lw/?p_x=1(888)-522-9542</t>
  </si>
  <si>
    <t>microsoft-windows-defender-security-alert-4926.s3.us-east-2.amazonaws</t>
  </si>
  <si>
    <t>52.219.100.232</t>
  </si>
  <si>
    <t>5f73f80764541</t>
  </si>
  <si>
    <t>https://microsoft-windows-defender-security-alert-4926.s3.us-east-2.amazonaws.com/index.html</t>
  </si>
  <si>
    <t>amazonaws</t>
  </si>
  <si>
    <t>system-security-alerts-hacking-attempt-found-1264.s3.us-east-2.amazon</t>
  </si>
  <si>
    <t>5efb7a7218ab8</t>
  </si>
  <si>
    <t>https://system-security-alerts-hacking-attempt-found-1264.s3.us-east-2.amazonaws.com/chrome_win/index.htm</t>
  </si>
  <si>
    <t>amazon</t>
  </si>
  <si>
    <t>configure334.ga</t>
  </si>
  <si>
    <t>172.67.172.37</t>
  </si>
  <si>
    <t>5efb7a7bc72a7</t>
  </si>
  <si>
    <t>https://configure334.ga/Winhelp18818_101018.bhy/EDWInhelp10010101xK/</t>
  </si>
  <si>
    <t>winerror-5393.gq</t>
  </si>
  <si>
    <t>68.65.122.107</t>
  </si>
  <si>
    <t>5f4d63840ed34</t>
  </si>
  <si>
    <t>https://winerror-5393.gq/0CHfdfdfdfddfd99900V/</t>
  </si>
  <si>
    <t>winerror-5393.cf</t>
  </si>
  <si>
    <t>5f4d6377a77ff</t>
  </si>
  <si>
    <t>https://winerror-5393.cf/0CHfdfdfdfddfd99900V/</t>
  </si>
  <si>
    <t>winerror-5393.ml</t>
  </si>
  <si>
    <t>5f4d63771fc3e</t>
  </si>
  <si>
    <t>https://winerror-5393.ml/0CHfdfdfdfddfd99900V/</t>
  </si>
  <si>
    <t>winerror-5393.ga</t>
  </si>
  <si>
    <t>5f4d636e11f69</t>
  </si>
  <si>
    <t>https://winerror-5393.ga/0CHfdfdfdfddfd99900V/</t>
  </si>
  <si>
    <t>winerror-5393.tk</t>
  </si>
  <si>
    <t>5f4d632b2ae91</t>
  </si>
  <si>
    <t>https://winerror-5393.tk/0CHfdfdfdfddfd99900V/</t>
  </si>
  <si>
    <t>www.win-error3949.tk</t>
  </si>
  <si>
    <t>5f16f5b04989d</t>
  </si>
  <si>
    <t>http://www.win-error3949.tk/OMAD01010101010X0NVx</t>
  </si>
  <si>
    <t>win-error3949.tk</t>
  </si>
  <si>
    <t>5f0cab25df33e</t>
  </si>
  <si>
    <t>https://win-error3949.tk/CHOM01010101010X0NVx/</t>
  </si>
  <si>
    <t>win-error6869.ga</t>
  </si>
  <si>
    <t>5f05f2643193c</t>
  </si>
  <si>
    <t>https://win-error6869.ga/7Cdyui_rwepyx247/</t>
  </si>
  <si>
    <t>win-error6869.tk</t>
  </si>
  <si>
    <t>5eff787d685d0</t>
  </si>
  <si>
    <t>https://win-error6869.tk/7Cdyui_rwepyx247/</t>
  </si>
  <si>
    <t>win-error459.ga</t>
  </si>
  <si>
    <t>5eff625b68f4b</t>
  </si>
  <si>
    <t>https://win-error459.ga/7Cdyui_rwepyx247/</t>
  </si>
  <si>
    <t>win-error459.ml</t>
  </si>
  <si>
    <t>5efe43cb922e5</t>
  </si>
  <si>
    <t>https://win-error459.ml/7Cdyui_rwepyx247/</t>
  </si>
  <si>
    <t>win-error459.gq</t>
  </si>
  <si>
    <t>5efe1c4d05ebd</t>
  </si>
  <si>
    <t>https://win-error459.gq/7Cdyui_rwepyx247/</t>
  </si>
  <si>
    <t>win-error459.tk</t>
  </si>
  <si>
    <t>5efe18e696853</t>
  </si>
  <si>
    <t>https://win-error459.tk/7Cdyui_rwepyx247/</t>
  </si>
  <si>
    <t>win-error2929.cf</t>
  </si>
  <si>
    <t>5efe163ebce66</t>
  </si>
  <si>
    <t>https://win-error2929.cf/7Cdyui_rwepyx247/</t>
  </si>
  <si>
    <t>win-error2929.ga</t>
  </si>
  <si>
    <t>5efb8d45abd3d</t>
  </si>
  <si>
    <t>https://win-error2929.ga/7Cdyui_rwepyx247/</t>
  </si>
  <si>
    <t>win-error2929.ml</t>
  </si>
  <si>
    <t>5efb7b216717c</t>
  </si>
  <si>
    <t>https://win-error2929.ml/7Cdyui_rwepyx247/</t>
  </si>
  <si>
    <t>66-security-alert-hacking-attempt-found-system-blocked-win006.s3.amaz</t>
  </si>
  <si>
    <t>52.217.18.28</t>
  </si>
  <si>
    <t>5efb7c1136b5c</t>
  </si>
  <si>
    <t>https://66-security-alert-hacking-attempt-found-system-blocked-win006.s3.amazonaws.com/chrome_win/index.htm</t>
  </si>
  <si>
    <t>amaz</t>
  </si>
  <si>
    <t>datingpornonline.tk</t>
  </si>
  <si>
    <t>92.249.45.49</t>
  </si>
  <si>
    <t>5fa753a987a0f</t>
  </si>
  <si>
    <t>http://datingpornonline.tk/CHfdfdfdfd100110dfRS/</t>
  </si>
  <si>
    <t>erroronlinealrt111.gq</t>
  </si>
  <si>
    <t>5f6a51838ecd3</t>
  </si>
  <si>
    <t>http://erroronlinealrt111.gq/9mxdfdfdfdfdfdfdfCHd004c/</t>
  </si>
  <si>
    <t>error13x6.online</t>
  </si>
  <si>
    <t>5efb88e962b87</t>
  </si>
  <si>
    <t>http://error13x6.online/CH100101010110xGK/</t>
  </si>
  <si>
    <t>8.12.22.76</t>
  </si>
  <si>
    <t>Level 3 Communications</t>
  </si>
  <si>
    <t>5efb8d889c695</t>
  </si>
  <si>
    <t>http://8.12.22.76/CHOM01010101010X0MP/</t>
  </si>
  <si>
    <t>Los Angeles</t>
  </si>
  <si>
    <t>140.82.22.154</t>
  </si>
  <si>
    <t>5efb99a363716</t>
  </si>
  <si>
    <t>http://140.82.22.154/0ED01011001_77DH/</t>
  </si>
  <si>
    <t>vablleblle13.xyz</t>
  </si>
  <si>
    <t>155.138.255.246</t>
  </si>
  <si>
    <t>5efbb0930fde7</t>
  </si>
  <si>
    <t>https://vablleblle13.xyz/7048neww/edgwin8374002874bfs/</t>
  </si>
  <si>
    <t>d1tpdw0ysztmx8.cloudfront.net</t>
  </si>
  <si>
    <t>143.204.101.34</t>
  </si>
  <si>
    <t>5efc96fed6542</t>
  </si>
  <si>
    <t>https://d1tpdw0ysztmx8.cloudfront.net/XMCH7xe/?phone=09-70-18-35-19&amp;amp;</t>
  </si>
  <si>
    <t>Slough</t>
  </si>
  <si>
    <t>167.172.51.30</t>
  </si>
  <si>
    <t>5efcbcc54f073</t>
  </si>
  <si>
    <t>http://167.172.51.30/</t>
  </si>
  <si>
    <t>configured824.cf</t>
  </si>
  <si>
    <t>172.67.150.160</t>
  </si>
  <si>
    <t>5efcc0f2c7010</t>
  </si>
  <si>
    <t>https://configured824.cf/Win8181_010101j.bnc/ED100101010XCDH/</t>
  </si>
  <si>
    <t>mac-us-117.online</t>
  </si>
  <si>
    <t>92.249.44.246</t>
  </si>
  <si>
    <t>5efcc3d5586e3</t>
  </si>
  <si>
    <t>http://mac-us-117.online</t>
  </si>
  <si>
    <t>trustedsupport.xyz</t>
  </si>
  <si>
    <t>137.220.61.19</t>
  </si>
  <si>
    <t>5efcc8cd884c8</t>
  </si>
  <si>
    <t>http://trustedsupport.xyz/OMEDhxvhjdfhjgdfjhgNVx/?phone=+1-833-261-5808&amp;amp;</t>
  </si>
  <si>
    <t>security-alert-66-hacking-infection-found-system-blocked-win7.s3.amaz</t>
  </si>
  <si>
    <t>52.216.101.19</t>
  </si>
  <si>
    <t>5efcd01310c39</t>
  </si>
  <si>
    <t>https://security-alert-66-hacking-infection-found-system-blocked-win7.s3.amazonaws.com/chrome_win/index.htm</t>
  </si>
  <si>
    <t>149.28.50.77</t>
  </si>
  <si>
    <t>5efcd01da0064</t>
  </si>
  <si>
    <t>http://149.28.50.77/OMED01010101010X0MP/</t>
  </si>
  <si>
    <t>datinggrils.xyz.s3-website.us-east-2.amazonaws.com</t>
  </si>
  <si>
    <t>52.219.100.3</t>
  </si>
  <si>
    <t>5efd823338e86</t>
  </si>
  <si>
    <t>http://datinggrils.xyz.s3-website.us-east-2.amazonaws.com/</t>
  </si>
  <si>
    <t>online-firewall-security-alert-004.tk</t>
  </si>
  <si>
    <t>172.67.130.108</t>
  </si>
  <si>
    <t>5efd830aa5878</t>
  </si>
  <si>
    <t>https://online-firewall-security-alert-004.tk/</t>
  </si>
  <si>
    <t>18.191.91.255</t>
  </si>
  <si>
    <t>5efdc9a1cc790</t>
  </si>
  <si>
    <t>http://18.191.91.255/XEDdhdsbfhgdfhdgf7RSx/</t>
  </si>
  <si>
    <t>amazon.suppot.s3-website.us-east-2.amazonaws.com</t>
  </si>
  <si>
    <t>52.219.80.147</t>
  </si>
  <si>
    <t>5efe281671602</t>
  </si>
  <si>
    <t>http://amazon.suppot.s3-website.us-east-2.amazonaws.com</t>
  </si>
  <si>
    <t>161.35.82.55</t>
  </si>
  <si>
    <t>5efe03e6c2929</t>
  </si>
  <si>
    <t>http://161.35.82.55/11Ch_get_help10018MI/</t>
  </si>
  <si>
    <t>AS29802</t>
  </si>
  <si>
    <t>Portland</t>
  </si>
  <si>
    <t>microsofthelp.online</t>
  </si>
  <si>
    <t>HIVELOCITY, Inc.</t>
  </si>
  <si>
    <t>104.237.1.30</t>
  </si>
  <si>
    <t>HIVELOCITY,Inc.</t>
  </si>
  <si>
    <t>5efe0d6a12b8f</t>
  </si>
  <si>
    <t>https://microsofthelp.online/Chdsdsdasdasdasdad13123123/</t>
  </si>
  <si>
    <t>dnshost.online</t>
  </si>
  <si>
    <t>63.250.38.11</t>
  </si>
  <si>
    <t>5f0c1f63f1868</t>
  </si>
  <si>
    <t>https://dnshost.online/Japan/130701/camp3/Latest/YES.html</t>
  </si>
  <si>
    <t>5efe1efd89278</t>
  </si>
  <si>
    <t>https://dnshost.online/UK/020702/index3.html</t>
  </si>
  <si>
    <t>108.61.171.150</t>
  </si>
  <si>
    <t>5f043bc651282</t>
  </si>
  <si>
    <t>http://108.61.171.150/CHWInhelp10010101xMP/</t>
  </si>
  <si>
    <t>AS26347</t>
  </si>
  <si>
    <t>Brea</t>
  </si>
  <si>
    <t>www.neardating.xyz</t>
  </si>
  <si>
    <t>New Dream Network, LLC</t>
  </si>
  <si>
    <t>173.236.186.16</t>
  </si>
  <si>
    <t>NewDreamNetwork,LLC</t>
  </si>
  <si>
    <t>5efe32d79fe3f</t>
  </si>
  <si>
    <t>https://www.neardating.xyz/0CH0111001_10cxAW/</t>
  </si>
  <si>
    <t>AS204915</t>
  </si>
  <si>
    <t>Charlotte</t>
  </si>
  <si>
    <t>serveronlinesasuhafih.000webhostapp.com</t>
  </si>
  <si>
    <t>145.14.144.12</t>
  </si>
  <si>
    <t>5f43cec85db1d</t>
  </si>
  <si>
    <t>https://serveronlinesasuhafih.000webhostapp.com/CHWInhelp10GK010101AW</t>
  </si>
  <si>
    <t>247sapportalartt.000webhostapp.com</t>
  </si>
  <si>
    <t>5efe3e2899e25</t>
  </si>
  <si>
    <t>https://247sapportalartt.000webhostapp.com/0CH0111001_10cxAW/</t>
  </si>
  <si>
    <t>Council Bluffs</t>
  </si>
  <si>
    <t>35.232.78.50</t>
  </si>
  <si>
    <t>5efe402782b90</t>
  </si>
  <si>
    <t>http://35.232.78.50/ED100101010XC/</t>
  </si>
  <si>
    <t>recipees.xyz</t>
  </si>
  <si>
    <t>92.249.44.231</t>
  </si>
  <si>
    <t>5f1726346ba1c</t>
  </si>
  <si>
    <t>http://recipees.xyz/Chdsdsdasdasdasdad13123123/</t>
  </si>
  <si>
    <t>onlineserver909821347.tk</t>
  </si>
  <si>
    <t>5f0f5de75a448</t>
  </si>
  <si>
    <t>http://onlineserver909821347.tk/Chdsdsdasdasdasdad13123123/</t>
  </si>
  <si>
    <t>datingonlineclub.ml</t>
  </si>
  <si>
    <t>5f0f509217b74</t>
  </si>
  <si>
    <t>http://datingonlineclub.ml/Chdsdsdasdasdasdad13123123/</t>
  </si>
  <si>
    <t>newdaterpornx.cf</t>
  </si>
  <si>
    <t>5f0f2f6d1a80e</t>
  </si>
  <si>
    <t>http://newdaterpornx.cf/Chdsdsdasdasdasdad13123123/</t>
  </si>
  <si>
    <t>newdaterpornx.ga</t>
  </si>
  <si>
    <t>5f0e3a6996593</t>
  </si>
  <si>
    <t>http://newdaterpornx.ga/Chdsdsdasdasdasdad13123123/</t>
  </si>
  <si>
    <t>newdaterpornx.ml</t>
  </si>
  <si>
    <t>5f0e0d91c7682</t>
  </si>
  <si>
    <t>http://newdaterpornx.ml/Chdsdsdasdasdasdad13123123/</t>
  </si>
  <si>
    <t>192server168.cf</t>
  </si>
  <si>
    <t>5f0dfb87509da</t>
  </si>
  <si>
    <t>http://192server168.cf/Chdsdsdasdasdasdad13123123/</t>
  </si>
  <si>
    <t>192server168.ga</t>
  </si>
  <si>
    <t>5f0deb40427e3</t>
  </si>
  <si>
    <t>http://192server168.ga/Chdsdsdasdasdasdad13123123/</t>
  </si>
  <si>
    <t>192server168.ml</t>
  </si>
  <si>
    <t>5f0de77e7bd1c</t>
  </si>
  <si>
    <t>http://192server168.ml/Chdsdsdasdasdasdad13123123/</t>
  </si>
  <si>
    <t>covid19updatenow.cf</t>
  </si>
  <si>
    <t>5eff7117acd6c</t>
  </si>
  <si>
    <t>http://covid19updatenow.cf/Chdsdsdasdasdasdad13123123/</t>
  </si>
  <si>
    <t>newdomainnow.tk</t>
  </si>
  <si>
    <t>5eff4793b5974</t>
  </si>
  <si>
    <t>http://newdomainnow.tk/Chdsdsdasdasdasdad13123123/</t>
  </si>
  <si>
    <t>datingforyou.fun</t>
  </si>
  <si>
    <t>5efe495a6a909</t>
  </si>
  <si>
    <t>http://datingforyou.fun/Chdsdsdasdasdasdad13123123/</t>
  </si>
  <si>
    <t>Elk Grove Village</t>
  </si>
  <si>
    <t>137.220.62.192</t>
  </si>
  <si>
    <t>5efe59dac463e</t>
  </si>
  <si>
    <t>http://137.220.62.192/OMED01010101010X0MP/</t>
  </si>
  <si>
    <t>45.32.202.7</t>
  </si>
  <si>
    <t>5efe6d6ef3bfc</t>
  </si>
  <si>
    <t>http://45.32.202.7/OMED01010101010X0MP/</t>
  </si>
  <si>
    <t>159.65.142.7</t>
  </si>
  <si>
    <t>5efe910593010</t>
  </si>
  <si>
    <t>http://159.65.142.7/</t>
  </si>
  <si>
    <t>www.tastyrecipesnow.xyz</t>
  </si>
  <si>
    <t>173.236.186.192</t>
  </si>
  <si>
    <t>5eff4e9f13afa</t>
  </si>
  <si>
    <t>https://www.tastyrecipesnow.xyz/Chdsdsdasdasdasdad13123123/</t>
  </si>
  <si>
    <t>chottabheem143.ml</t>
  </si>
  <si>
    <t>104.248.232.50</t>
  </si>
  <si>
    <t>5eff502b80251</t>
  </si>
  <si>
    <t>https://chottabheem143.ml/CHR00xxx00000xx000AZ/</t>
  </si>
  <si>
    <t>windows-defender-alert-hacking-attempt-found-1132.s3.us-east-2.amazon</t>
  </si>
  <si>
    <t>52.219.96.216</t>
  </si>
  <si>
    <t>5eff54a499bb4</t>
  </si>
  <si>
    <t>https://windows-defender-alert-hacking-attempt-found-1132.s3.us-east-2.amazonaws.com/chrome_win/index.htm</t>
  </si>
  <si>
    <t>security-alert-66-hacking-attempt-found-system-blocked-win8-04.s3.ama</t>
  </si>
  <si>
    <t>52.216.229.43</t>
  </si>
  <si>
    <t>5eff6b5b790e8</t>
  </si>
  <si>
    <t>https://security-alert-66-hacking-attempt-found-system-blocked-win8-04.s3.amazonaws.com/chrome_win/index.htm</t>
  </si>
  <si>
    <t>ama</t>
  </si>
  <si>
    <t>rdswin2k10seruk.xyz</t>
  </si>
  <si>
    <t>198.54.116.222</t>
  </si>
  <si>
    <t>5eff6f39d1148</t>
  </si>
  <si>
    <t>https://rdswin2k10seruk.xyz/dhkggllklkfddgfhgjh/XEDdhdsbfhgdfhdgf7CTx/</t>
  </si>
  <si>
    <t>pornographic-virus-alert-from-windows.ml</t>
  </si>
  <si>
    <t>45.63.87.195</t>
  </si>
  <si>
    <t>5eff7a2e72e79</t>
  </si>
  <si>
    <t>https://pornographic-virus-alert-from-windows.ml/</t>
  </si>
  <si>
    <t>brokensys.xyz</t>
  </si>
  <si>
    <t>139.59.91.255</t>
  </si>
  <si>
    <t>5eff8874ca201</t>
  </si>
  <si>
    <t>https://brokensys.xyz/code1444a/XMCdhdsbfhgdfhdgf7SA/index.html?phone=+1-833-323-1444</t>
  </si>
  <si>
    <t>vajellyst14.xyz</t>
  </si>
  <si>
    <t>69.28.85.157</t>
  </si>
  <si>
    <t>5eff84720f868</t>
  </si>
  <si>
    <t>https://vajellyst14.xyz/7048neww/edgwin8374002874bfs/</t>
  </si>
  <si>
    <t>AS16276</t>
  </si>
  <si>
    <t>Gravelines</t>
  </si>
  <si>
    <t>www.caffrance.com</t>
  </si>
  <si>
    <t>OVH SAS</t>
  </si>
  <si>
    <t>51.83.50.190</t>
  </si>
  <si>
    <t>OVHSAS</t>
  </si>
  <si>
    <t>5f201be96c373</t>
  </si>
  <si>
    <t>http://www.caffrance.com/134.209.179.103/ee/index.html</t>
  </si>
  <si>
    <t>www.websecure.fr</t>
  </si>
  <si>
    <t>5f2010148d685</t>
  </si>
  <si>
    <t>http://www.websecure.fr/asasas100461/</t>
  </si>
  <si>
    <t>fr</t>
  </si>
  <si>
    <t>websecure.fr</t>
  </si>
  <si>
    <t>5f067883174c4</t>
  </si>
  <si>
    <t>http://websecure.fr/asasas4011</t>
  </si>
  <si>
    <t>5eff8923a529a</t>
  </si>
  <si>
    <t>http://www.websecure.fr/asasas3061/</t>
  </si>
  <si>
    <t>3.124.160.54</t>
  </si>
  <si>
    <t>Amazon Technologies Inc.</t>
  </si>
  <si>
    <t>606495d84a26c</t>
  </si>
  <si>
    <t>http://3.124.160.54/CHdfANfdgfgfgdfgdfgf0008/</t>
  </si>
  <si>
    <t>149.28.85.45</t>
  </si>
  <si>
    <t>5effa6648d1be</t>
  </si>
  <si>
    <t>http://149.28.85.45/SCH01011001/</t>
  </si>
  <si>
    <t>micrososever90.cf</t>
  </si>
  <si>
    <t>92.249.44.180</t>
  </si>
  <si>
    <t>5fbacb10db2f5</t>
  </si>
  <si>
    <t>http://micrososever90.cf/Winhelpxcode888securityCH007/index.html</t>
  </si>
  <si>
    <t>micrososever91.gq</t>
  </si>
  <si>
    <t>5fb6af39dce01</t>
  </si>
  <si>
    <t>http://micrososever91.gq/CHfdfdfdfd100110dfRS/</t>
  </si>
  <si>
    <t>servrceonline13.cf</t>
  </si>
  <si>
    <t>5fb5aa153d5ec</t>
  </si>
  <si>
    <t>http://servrceonline13.cf/CHfdfdfdfd100110dfRS/</t>
  </si>
  <si>
    <t>serveronline123.ml</t>
  </si>
  <si>
    <t>5fb586420db22</t>
  </si>
  <si>
    <t>http://serveronline123.ml/Winhelpxcode888securityCH007/index.html</t>
  </si>
  <si>
    <t>www.247supprtalart.xyz</t>
  </si>
  <si>
    <t>5f26d5097b412</t>
  </si>
  <si>
    <t>http://www.247supprtalart.xyz/Chdsdsdasdasdasdad13123123/</t>
  </si>
  <si>
    <t>www.my247supportalrts.online</t>
  </si>
  <si>
    <t>5f20465f4694e</t>
  </si>
  <si>
    <t>http://www.my247supportalrts.online/0CHfdfdfdfddfd99GK/</t>
  </si>
  <si>
    <t>my247supportalrts.online</t>
  </si>
  <si>
    <t>5f204377a44e3</t>
  </si>
  <si>
    <t>http://my247supportalrts.online/0CHfdfdfdfddfd99GK/</t>
  </si>
  <si>
    <t>247solutionsalrts.online</t>
  </si>
  <si>
    <t>5f1f17e12f8e8</t>
  </si>
  <si>
    <t>http://247solutionsalrts.online/0CHfdfdfdfddfd99GK/</t>
  </si>
  <si>
    <t>the247alartsupprt.online</t>
  </si>
  <si>
    <t>5f1c8e2f4d123</t>
  </si>
  <si>
    <t>http://the247alartsupprt.online/MAwedsdsdasdasda424224323898/</t>
  </si>
  <si>
    <t>247supprtalart.xyz</t>
  </si>
  <si>
    <t>5f1b60f2f3db9</t>
  </si>
  <si>
    <t>http://247supprtalart.xyz/MAwedsdsdasdasda424224323898/</t>
  </si>
  <si>
    <t>247lartsupporrt.online</t>
  </si>
  <si>
    <t>5f1b5cc10099f</t>
  </si>
  <si>
    <t>http://247lartsupporrt.online/Chdsdsdasdasdasdad13123123/</t>
  </si>
  <si>
    <t>247supprtalart.space</t>
  </si>
  <si>
    <t>5f1b30e38277f</t>
  </si>
  <si>
    <t>http://247supprtalart.space/Chdsdsdasdasdasdad13123123/</t>
  </si>
  <si>
    <t>247supprtalart.site</t>
  </si>
  <si>
    <t>5f1b11d69c437</t>
  </si>
  <si>
    <t>http://247supprtalart.site/Chdsdsdasdasdasdad13123123/</t>
  </si>
  <si>
    <t>5f2082d75ede2</t>
  </si>
  <si>
    <t>http://247supprtalart.xyz/Chdsdsdasdasdasdad13123123/</t>
  </si>
  <si>
    <t>247alartsupprt.xyz</t>
  </si>
  <si>
    <t>5f19eaeb0f299</t>
  </si>
  <si>
    <t>http://247alartsupprt.xyz/Chdsdsdasdasdasdad13123123/</t>
  </si>
  <si>
    <t>loveromance.fun</t>
  </si>
  <si>
    <t>5f11da4091b9e</t>
  </si>
  <si>
    <t>http://loveromance.fun/Chdsdsdasdasdasdad13123123/</t>
  </si>
  <si>
    <t>loveromance.space</t>
  </si>
  <si>
    <t>5f03730a91ac3</t>
  </si>
  <si>
    <t>http://loveromance.space/Chdsdsdasdasdasdad13123123/</t>
  </si>
  <si>
    <t>loveromance.host</t>
  </si>
  <si>
    <t>5f009b3dac531</t>
  </si>
  <si>
    <t>http://loveromance.host/Chdsdsdasdasdasdad13123123/</t>
  </si>
  <si>
    <t>host</t>
  </si>
  <si>
    <t>clibigck.xyz</t>
  </si>
  <si>
    <t>149.248.35.208</t>
  </si>
  <si>
    <t>5f00a93a61efa</t>
  </si>
  <si>
    <t>https://clibigck.xyz/4467/YXEDdhdsbfhgdfhdgf9xSQ/</t>
  </si>
  <si>
    <t>161.35.3.216</t>
  </si>
  <si>
    <t>5f00cd3bd9866</t>
  </si>
  <si>
    <t>http://161.35.3.216/YXMCdhdsbfhgdfhdgf9xSQ/</t>
  </si>
  <si>
    <t>ytvfo.club</t>
  </si>
  <si>
    <t>104.27.151.199</t>
  </si>
  <si>
    <t>5f00d6c37e333</t>
  </si>
  <si>
    <t>https://ytvfo.club/Wim_dowsZL7YTTSdQ3hHbcMMlDYekMwaZBMpY0/RMbnBWPMIqfXI0VWHgs0xAGwqIDQXU/438PxsslZc/?p_x=1-(888)-490-0082</t>
  </si>
  <si>
    <t>104.198.232.174</t>
  </si>
  <si>
    <t>5f018d3a4e35c</t>
  </si>
  <si>
    <t>http://104.198.232.174/OMED01010101010X0MRS/</t>
  </si>
  <si>
    <t>jwin168.xyz</t>
  </si>
  <si>
    <t>45.63.60.237</t>
  </si>
  <si>
    <t>5f02084dea41b</t>
  </si>
  <si>
    <t>https://jwin168.xyz/4345/EDWInhelp10010101xPK/</t>
  </si>
  <si>
    <t>52.217.40.131</t>
  </si>
  <si>
    <t>5f020c69562c3</t>
  </si>
  <si>
    <t>http://anroid232.s3-website-us-east-1.amazonaws.com</t>
  </si>
  <si>
    <t>138.197.223.126</t>
  </si>
  <si>
    <t>5f02a2158038f</t>
  </si>
  <si>
    <t>http://138.197.223.126/systemerror-ie-edge/</t>
  </si>
  <si>
    <t>security-alert-66-hacking-attempt-found-system-blocked-066.s3.amazona</t>
  </si>
  <si>
    <t>52.216.139.35</t>
  </si>
  <si>
    <t>5f036a3b6964a</t>
  </si>
  <si>
    <t>https://security-alert-66-hacking-attempt-found-system-blocked-066.s3.amazonaws.com/chrome_win/index.htm</t>
  </si>
  <si>
    <t>amazona</t>
  </si>
  <si>
    <t>95.179.250.204</t>
  </si>
  <si>
    <t>5f0369f53fcc2</t>
  </si>
  <si>
    <t>http://95.179.250.204/EDWInhelp10010101xMP/</t>
  </si>
  <si>
    <t>www.yfhg3.club</t>
  </si>
  <si>
    <t>66.42.101.92</t>
  </si>
  <si>
    <t>5f036ae73a2d1</t>
  </si>
  <si>
    <t>https://www.yfhg3.club/oyexoychromeyyeyye/</t>
  </si>
  <si>
    <t>learntorecipes.xyz</t>
  </si>
  <si>
    <t>138.197.99.168</t>
  </si>
  <si>
    <t>5f037a2d9dcbb</t>
  </si>
  <si>
    <t>https://learntorecipes.xyz/SAMacHelp011010x/</t>
  </si>
  <si>
    <t>www.rw74x.xyz</t>
  </si>
  <si>
    <t>107.191.51.251</t>
  </si>
  <si>
    <t>5f0498e27507a</t>
  </si>
  <si>
    <t>https://www.rw74x.xyz/4348/EDWInhelp10010101xPK/</t>
  </si>
  <si>
    <t>myonlineholders.xyz</t>
  </si>
  <si>
    <t>157.245.220.47</t>
  </si>
  <si>
    <t>5f046ab3081f1</t>
  </si>
  <si>
    <t>https://myonlineholders.xyz/EDWInhelp10010101x/</t>
  </si>
  <si>
    <t>utility827.ml</t>
  </si>
  <si>
    <t>104.27.188.200</t>
  </si>
  <si>
    <t>5f046f7638458</t>
  </si>
  <si>
    <t>https://utility827.ml/Win-code00076-error006.bfe/ED1010010101_10x/</t>
  </si>
  <si>
    <t>161.35.32.38</t>
  </si>
  <si>
    <t>5f047f42daf7c</t>
  </si>
  <si>
    <t>http://161.35.32.38/</t>
  </si>
  <si>
    <t>i0ssupp0rt.us</t>
  </si>
  <si>
    <t>107.180.37.105</t>
  </si>
  <si>
    <t>5f048630ea492</t>
  </si>
  <si>
    <t>http://i0ssupp0rt.us</t>
  </si>
  <si>
    <t>247suportalaert.000webhostapp.com</t>
  </si>
  <si>
    <t>145.14.144.231</t>
  </si>
  <si>
    <t>5f04afd92add5</t>
  </si>
  <si>
    <t>https://247suportalaert.000webhostapp.com/Chdsdsdasdasdasdad13123123/</t>
  </si>
  <si>
    <t>247supportalaart.000webhostapp.com</t>
  </si>
  <si>
    <t>145.14.144.89</t>
  </si>
  <si>
    <t>5f04bce3d8d69</t>
  </si>
  <si>
    <t>https://247supportalaart.000webhostapp.com/Chdsdsdasdasdasdad13123123/</t>
  </si>
  <si>
    <t>defectiveinstruments43.gq</t>
  </si>
  <si>
    <t>54.184.52.232</t>
  </si>
  <si>
    <t>5f04d25499848</t>
  </si>
  <si>
    <t>https://defectiveinstruments43.gq/CHR00xxx00000xx000AZ/</t>
  </si>
  <si>
    <t>defectiveinstruments43.cf</t>
  </si>
  <si>
    <t>5f04b078dada1</t>
  </si>
  <si>
    <t>https://defectiveinstruments43.cf/CHR00xxx00000xx000AZ/</t>
  </si>
  <si>
    <t>illegal-activities-alert-hacking-attempt-found-1265.s3.us-east-2.amaz</t>
  </si>
  <si>
    <t>52.219.104.104</t>
  </si>
  <si>
    <t>5f04c3ca6b89a</t>
  </si>
  <si>
    <t>https://illegal-activities-alert-hacking-attempt-found-1265.s3.us-east-2.amazonaws.com/chrome_win/index.htm</t>
  </si>
  <si>
    <t>AS60781</t>
  </si>
  <si>
    <t>nlvqf.rdtk.io</t>
  </si>
  <si>
    <t>LeaseWeb Netherlands B.V.</t>
  </si>
  <si>
    <t>212.32.250.31</t>
  </si>
  <si>
    <t>LeaseWebNetherlandsB.V.</t>
  </si>
  <si>
    <t>5f057eb399166</t>
  </si>
  <si>
    <t>https://nlvqf.rdtk.io/5ee4ab7a7d26ee0001ccbbc8</t>
  </si>
  <si>
    <t>io</t>
  </si>
  <si>
    <t>eqiloo.club</t>
  </si>
  <si>
    <t>104.18.47.226</t>
  </si>
  <si>
    <t>5f04dcb94cb34</t>
  </si>
  <si>
    <t>https://eqiloo.club/Wim_dows35W8o79IRcb7jQQWdc5XXsN42/xG5GXxh3XhWHvniB2XMWGcsZj/M0njAqpDa/?n_b=MSg4ODgpMzgzIDQxNTM=</t>
  </si>
  <si>
    <t>fqkjmk.club</t>
  </si>
  <si>
    <t>104.28.15.204</t>
  </si>
  <si>
    <t>5f04dd624bfa0</t>
  </si>
  <si>
    <t>https://fqkjmk.club/Wim_dows35W8o79IRcb7jQQWdc5XXsN42/xG5GXxh3XhWHvniB2XMWGcsZj/M0njAqpDa/?n_b=MSg4ODgpMzgzIDQxNTM=</t>
  </si>
  <si>
    <t>gmzowi.club</t>
  </si>
  <si>
    <t>172.67.211.236</t>
  </si>
  <si>
    <t>5f04def3b5e50</t>
  </si>
  <si>
    <t>https://gmzowi.club/Wim_dows35W8o79IRcb7jQQWdc5XXsN42/xG5GXxh3XhWHvniB2XMWGcsZj/M0njAqpDa/?n_b=MSg4ODgpMzgzIDQxNTM=</t>
  </si>
  <si>
    <t>ebepyc.club</t>
  </si>
  <si>
    <t>172.67.148.64</t>
  </si>
  <si>
    <t>5f04dff746aef</t>
  </si>
  <si>
    <t>https://ebepyc.club/Wim_dows35W8o79IRcb7jQQWdc5XXsN42/xG5GXxh3XhWHvniB2XMWGcsZj/M0njAqpDa/?n_b=MSg4ODgpMzgzIDQxNTM=</t>
  </si>
  <si>
    <t>emmguu.club</t>
  </si>
  <si>
    <t>104.18.40.210</t>
  </si>
  <si>
    <t>5f04e04d2d929</t>
  </si>
  <si>
    <t>https://emmguu.club/Wim_dows35W8o79IRcb7jQQWdc5XXsN42/xG5GXxh3XhWHvniB2XMWGcsZj/M0njAqpDa/?n_b=MSg4ODgpMzgzIDQxNTM=</t>
  </si>
  <si>
    <t>myonlinedealers.xyz</t>
  </si>
  <si>
    <t>165.227.182.51</t>
  </si>
  <si>
    <t>5f04f34866338</t>
  </si>
  <si>
    <t>https://myonlinedealers.xyz/EDWInhelp10010101x/</t>
  </si>
  <si>
    <t>totankhamunbtomb.online</t>
  </si>
  <si>
    <t>136.243.219.44</t>
  </si>
  <si>
    <t>5f5887464f526</t>
  </si>
  <si>
    <t>https://totankhamunbtomb.online/edoh01-1xfs46-erw9874-f1d5f54w6-c45xv8gs5-ere5r8re4-x5548s4e4r-5x784fw5-x4v4s8fgt/jproz9619/edgx/</t>
  </si>
  <si>
    <t>tammedfoster.online</t>
  </si>
  <si>
    <t>5f4e107607842</t>
  </si>
  <si>
    <t>https://tammedfoster.online/seiokx01-nx45x6-er7e8r9e-cx5484s46-x5488f4s-s458r7re4-x54s7846-bc8g4s4-454g8sf-n1x545f/jproz9619/edgx/</t>
  </si>
  <si>
    <t>piosamfrendird.online</t>
  </si>
  <si>
    <t>5f44ae23750aa</t>
  </si>
  <si>
    <t>https://piosamfrendird.online/efokx01-2f44g56e-re55t958e74-cvf98f65-vb8g5-sw5r54w-v5b8d56-x5fx78846s-c5b84-c48gtg/jproz6093/edgx/</t>
  </si>
  <si>
    <t>xulahotstarcom.online</t>
  </si>
  <si>
    <t>5f3cb0c3b9444</t>
  </si>
  <si>
    <t>https://xulahotstarcom.online/Uhtsvx01-gd5846-rt56ew7984-vc58b7d56-vc58g74-df5d89r84-cv5b89786-dsf58r74-x5vc878d5-vc8b8d74/auracrx01/</t>
  </si>
  <si>
    <t>hashtagingsportal.online</t>
  </si>
  <si>
    <t>5f3cafab917bd</t>
  </si>
  <si>
    <t>https://hashtagingsportal.online/ryetx01-h2gf4546-rt5e4646-vc4hr65d-de4r8e5-fhgr87r564-s5g4t7r984-fh5t784-d57t8d/jproz7277/edgx/</t>
  </si>
  <si>
    <t>opminiatiingas.online</t>
  </si>
  <si>
    <t>5f2b9be184f4b</t>
  </si>
  <si>
    <t>https://opminiatiingas.online/okreix01-d4f4d5-cb5v5/jproz9446/edgx/</t>
  </si>
  <si>
    <t>partingmastaer.online</t>
  </si>
  <si>
    <t>5f28f43f001b1</t>
  </si>
  <si>
    <t>https://partingmastaer.online/afsrxt01-gdf1256d456-vc598re4-vc58d65-ds5f8r74-xc54596d-vc58gr7e4-fd5g7gd4-cb55g7d84d/ojprm-7277/eidgx01/</t>
  </si>
  <si>
    <t>masdatiygolive.online</t>
  </si>
  <si>
    <t>5f279eff6d5d6</t>
  </si>
  <si>
    <t>https://masdatiygolive.online/pwbhbyx01-b125v6-t4re4r4w5664-c5xv484v45x-er4w8e4-bx4g4s5d-rt45rt874x-4x5v4d8d545-arer84-c4548r48/ojprm-9446/eidgx01/</t>
  </si>
  <si>
    <t>viacakingpaking.online</t>
  </si>
  <si>
    <t>5f2504ba9cc4e</t>
  </si>
  <si>
    <t>https://viacakingpaking.online/qtyxf01-gf4dg456d-57t8e64bcv-56gd46-gfd565e4-cv56d5846-m4c5v8c465d-rt5rer74-cvb56d445f/jproz7277/edgx/</t>
  </si>
  <si>
    <t>aristromaster.online</t>
  </si>
  <si>
    <t>5f23c4a031533</t>
  </si>
  <si>
    <t>https://aristromaster.online/hxbcygux01-g4f5g4d564-vcg57ee56-das5gf98r-fxdvge6-fdv5e87r5-f4xc5vvs56-c45x8s8-df87f4d/jproz7277/edgx/</t>
  </si>
  <si>
    <t>makertsproting.online</t>
  </si>
  <si>
    <t>5f1a9df842ab4</t>
  </si>
  <si>
    <t>https://makertsproting.online/Hdsgy01-g54f586-e5w6946-vxcv5xc5s6-cvx598f78s-wq8amvh4456-r5ete74-cvxv55s78-xc57874f5sf/okjprm-1021/chrcvxvdffffxvcvvv/</t>
  </si>
  <si>
    <t>jeopartinghelp.online</t>
  </si>
  <si>
    <t>5f0ffaabf06e9</t>
  </si>
  <si>
    <t>https://jeopartinghelp.online/Ysddrx02-g454fd46-ret98e4-d4df8d78-n4c4g4de8789-e77r94d-v5c498b7d65-54xcv7d-f87d94-xc5x4df/ojprm-1021/edgcvxvdffffxvcvvv/</t>
  </si>
  <si>
    <t>lotroincarti.online</t>
  </si>
  <si>
    <t>5f0ffabab89ef</t>
  </si>
  <si>
    <t>https://lotroincarti.online/Qwertx01-h5455646-ncv54-re5745cdg-a4s5f4r-trt4e84vc-cv5bc49e-rte7t9r84c-bc54b74d6-d5gdg79rk/ojprm-1021/chrcvxvdffffxvcvvv/</t>
  </si>
  <si>
    <t>swingfasteringf.online</t>
  </si>
  <si>
    <t>5f0d78f4c0cba</t>
  </si>
  <si>
    <t>https://swingfasteringf.online/Wrdgx01-ghjggh454-drytcv-ggdtf454-kvfygf154-yervwas456-bvghfggf-bnvbg454-qwssxs46-nbjbhx45f/ojprm-1021/chrcvxvdffffxvcvvv</t>
  </si>
  <si>
    <t>yankeejasrking.online</t>
  </si>
  <si>
    <t>5f06ded79c381</t>
  </si>
  <si>
    <t>https://yankeejasrking.online/JSGXYx01-v15cxx46-fg5df4845-Fbd84shg-SD5d4v4-c45v4x54d8-f45sVDG-fg45d45468-cv5xv454d-4cv54xf/ojprm-1021/edgcvxvdffffxvcvvv</t>
  </si>
  <si>
    <t>misteasdlkhtyu.online</t>
  </si>
  <si>
    <t>5f05894bc2fb2</t>
  </si>
  <si>
    <t>https://misteasdlkhtyu.online/yeugtx01-n1c4g54d-ybx1f5d-df1s4d84-cvx87s8-af4897d6r-cvv8x78gd4-cx497f98-saf45987-c4v5v78-d1f54/ojprm-1021/chrcvxvdffffxvc</t>
  </si>
  <si>
    <t>romar-gardiuanb.online</t>
  </si>
  <si>
    <t>138.201.161.165</t>
  </si>
  <si>
    <t>5f2b9bdc104fc</t>
  </si>
  <si>
    <t>https://romar-gardiuanb.online/okedyx01-g4d54f-bv545g4f5/njporx-5335/edgcx/</t>
  </si>
  <si>
    <t>sucarova-demaoacas.online</t>
  </si>
  <si>
    <t>5f2504b2c036a</t>
  </si>
  <si>
    <t>https://sucarova-demaoacas.online/kshduxhx01-4gf6d46-tr56e8974-cv56b45d4d65-def569s7f9s84-vb564c798d4-v5cd565-d568794s-vc4d48/jporx-5138/edgcx/</t>
  </si>
  <si>
    <t>ctring-matcino.online</t>
  </si>
  <si>
    <t>5f23c497b66ca</t>
  </si>
  <si>
    <t>https://ctring-matcino.online/ncbhssx01-fd54f456-vc57e1-vc557e45-fg4d5987r4b-c4v5ad5646-ter9874c-45646e456-fd5b8d745/jporx-5138/edgcx/</t>
  </si>
  <si>
    <t>oording-foalsertiing.online</t>
  </si>
  <si>
    <t>5f1a9dfecbd18</t>
  </si>
  <si>
    <t>https://oording-foalsertiing.online/TSUxvyf01-5bh4d5c4b6-r5e65r4g-gfj585-a5d4ae6w-df5g48456w-fgd5gd87tre4-x5fs6-rtr5e7w87/osktrm-6384/edgcx/</t>
  </si>
  <si>
    <t>trigonal-shapozeer.online</t>
  </si>
  <si>
    <t>5f0ffaa627f89</t>
  </si>
  <si>
    <t>https://trigonal-shapozeer.online/KDhsux01-j2654g46-t5y89r416-g5c54b5s7-ew7w44v-5cx74d-JHhjgv47d-4vc98789g4d-s47r984-x578dfgf/ktrm-6353/chrcx/</t>
  </si>
  <si>
    <t>ostrerlin-kartikal.online</t>
  </si>
  <si>
    <t>5f0d7879a496e</t>
  </si>
  <si>
    <t>https://ostrerlin-kartikal.online/Hdgysgx01-g14fd245646-r454def45-cvx12446s-cv5x456s5-e5wr9798-4c56s4f4s6-c2vxv4s66-df5d44ed/ktrm-6384/edgcx/</t>
  </si>
  <si>
    <t>damierl-karzolon.online</t>
  </si>
  <si>
    <t>5f0c1f5b7251b</t>
  </si>
  <si>
    <t>https://damierl-karzolon.online/UWfsrtx01-ncgs665-rtr4841fx-1d5f64g65-rt45r48e1s-v5c54d165r-NFjdhcvv154f6-fg1dd5r-FJhdjfhc/ktrm-0997/edgcx/</t>
  </si>
  <si>
    <t>bratica-marticolar.online</t>
  </si>
  <si>
    <t>5f06dedd36061</t>
  </si>
  <si>
    <t>https://bratica-marticolar.online/FSTYvcx01-nc15b45-fd1dvxd-FEFF54g5d-c2xv546-CSDCSbsd1-5g45v45d6Sd-4cbv54d6-Ffg5f45v-Cdfd54f/ktrm-0997/edgcx/</t>
  </si>
  <si>
    <t>kaliton-castorert.online</t>
  </si>
  <si>
    <t>5f058954ca3bf</t>
  </si>
  <si>
    <t>https://kaliton-castorert.online/gretx01-nv1c546g-hre24546-cv4x5vx4-4f8re78e5-g7gd87r4-c1x54-1c24g6-fg4f541-r4e8781x-ywerstf/ktrm-0997/edgcx/</t>
  </si>
  <si>
    <t>167.99.178.85</t>
  </si>
  <si>
    <t>5f0589d484a2e</t>
  </si>
  <si>
    <t>https://todaynotice.today/jpegr/CHWInhelp10010101xSSAx/</t>
  </si>
  <si>
    <t>myshoppingrinhg.xyz</t>
  </si>
  <si>
    <t>45.55.45.95</t>
  </si>
  <si>
    <t>5f05bb95b348c</t>
  </si>
  <si>
    <t>https://myshoppingrinhg.xyz/EDWInhelp10010101x/</t>
  </si>
  <si>
    <t>neaasdasdypoastyer.online</t>
  </si>
  <si>
    <t>136.243.219.45</t>
  </si>
  <si>
    <t>5f1188d9ec349</t>
  </si>
  <si>
    <t>https://neaasdasdypoastyer.online/TSrerx01-g4d54g45-f5g4879e-f54d98746-re5t984-fd5g487e9-fdd5987e4-fd4g578e9-nc446e7r-r7e9874f/erzacrq01/</t>
  </si>
  <si>
    <t>veiwetrasdionping.online</t>
  </si>
  <si>
    <t>5f0ffa07cd23f</t>
  </si>
  <si>
    <t>https://veiwetrasdionping.online/UApfx01-bc45b8-re97e4f-v54b578x-sdf4s546-Ffdgd5458-vc577d94-cv4b598d74-cxv5x77-cv54yee-cvc5498-n4cf7d/aueacrx01/</t>
  </si>
  <si>
    <t>xingpaertingkatonati.online</t>
  </si>
  <si>
    <t>5f0ed46760e59</t>
  </si>
  <si>
    <t>https://xingpaertingkatonati.online/GSfxt01-m1v24h564-hghDGJ554D4-FG54D7R94-DF4D5456-AR445E68X-24H5E987R-R987R4F-54CB454D-547G98D-N1C56F5F/erzacrq01/</t>
  </si>
  <si>
    <t>vastinghardingastf.online</t>
  </si>
  <si>
    <t>5f0dab41442cc</t>
  </si>
  <si>
    <t>https://vastinghardingastf.online/PQgsrtx01-h4fd454-vc45498d98-Fdfrte846-rte787e987-4fz4564f-Qeesret48-ODjhbdj45-fgd489799-5fd584c-4mc545d/erzacrq01/</t>
  </si>
  <si>
    <t>nepekitomasteran.online</t>
  </si>
  <si>
    <t>5f0d73dd67809</t>
  </si>
  <si>
    <t>https://nepekitomasteran.online/HSgdygx01-45nvhxb-nc2g4de564-rt5r45e64f-f5x45456d46-cx58f14s-bx456456d-54e49r4-v5x4546-n4c5g4-tew54ds4/eacrblx01/</t>
  </si>
  <si>
    <t>vitonamadorepaci.online</t>
  </si>
  <si>
    <t>5f0c1f4a3ff9a</t>
  </si>
  <si>
    <t>https://vitonamadorepaci.online/ysFRCTX01-G12FD5GD46-5TR4G65D6-5D6465-fhGDYFYUSG-N1D2G456D46-RT5RE456461-yFHBfgf54g56-fg45f4d-nxg4646f/eblacrx01/</t>
  </si>
  <si>
    <t>incartingmastafor.online</t>
  </si>
  <si>
    <t>5f08613e331ba</t>
  </si>
  <si>
    <t>https://incartingmastafor.online/QPEHyx01-bxf66FSf-n15c44d6f-fsERFdf-gf4g54g4d68-Jjdhjsfvb-fg5df4g89r56-vb45g4f5-n1nc545cf-GDG4bv-bdd5c96f/eqpbacrx01/</t>
  </si>
  <si>
    <t>xingportalcaster.online</t>
  </si>
  <si>
    <t>5f06e35101fdc</t>
  </si>
  <si>
    <t>https://xingportalcaster.online/WRSTYx01-b1x264DW-f54s5FERe-n1c24g5d4-rt5481f-Fdfdx6-f5g4sd5FEf-fgg5d456-4v4d546FEF-fgf54d84-f4s545W-df4d54f/eqpbacrx01/</t>
  </si>
  <si>
    <t>vectorgastingline.online</t>
  </si>
  <si>
    <t>5f05bb9b597e0</t>
  </si>
  <si>
    <t>https://vectorgastingline.online/TWysx01-b45d4f5d9-gfdFDG49-c54b5d4-fdfSDFDF494-hf5gd57g8-GEG495v6cF-gfg545gfd45-HDFKdfe44-g5f454d56-CGSh49d9/eqpbacrx01</t>
  </si>
  <si>
    <t>bertw234-1308werws.tk</t>
  </si>
  <si>
    <t>161.35.235.164</t>
  </si>
  <si>
    <t>5f05bcbc83b2b</t>
  </si>
  <si>
    <t>https://bertw234-1308werws.tk/Atnnnuemer/</t>
  </si>
  <si>
    <t>iosklm.s3-website.ca-central-1.amazonaws.com</t>
  </si>
  <si>
    <t>52.95.145.201</t>
  </si>
  <si>
    <t>5f05da3a3cb65</t>
  </si>
  <si>
    <t>http://iosklm.s3-website.ca-central-1.amazonaws.com/</t>
  </si>
  <si>
    <t>xr2796874jcdp.club</t>
  </si>
  <si>
    <t>108.174.197.57</t>
  </si>
  <si>
    <t>5f05e1a58ae8f</t>
  </si>
  <si>
    <t>https://xr2796874jcdp.club/unknown/EDWInhelp10010101/?sou=14892299&amp;amp;subid=9ungv20160f9d0ae0256de38e3d70e86dd75ce0</t>
  </si>
  <si>
    <t>report-servicesandserviceundermicro-xyz.preview-domain.com</t>
  </si>
  <si>
    <t>104.18.24.120</t>
  </si>
  <si>
    <t>5f1b01e4350d7</t>
  </si>
  <si>
    <t>https://report-servicesandserviceundermicro-xyz.preview-domain.com/Chdsdsdasdasdasdad13123123/</t>
  </si>
  <si>
    <t>desksupport-administrating13a-xyz.preview-domain.com</t>
  </si>
  <si>
    <t>5f1868332fe7c</t>
  </si>
  <si>
    <t>https://desksupport-administrating13a-xyz.preview-domain.com/Chdsdsdasdasdasdad13123123/</t>
  </si>
  <si>
    <t>request-18helpdesk-online.preview-domain.com</t>
  </si>
  <si>
    <t>5f0f50c415cbf</t>
  </si>
  <si>
    <t>https://request-18helpdesk-online.preview-domain.com/Chdsdsdasdasdasdad13123123/</t>
  </si>
  <si>
    <t>alert-24x7support-xyz.preview-domain.com</t>
  </si>
  <si>
    <t>5f05ef60dd249</t>
  </si>
  <si>
    <t>https://alert-24x7support-xyz.preview-domain.com/11xTChsfsdfjdsfjdsfjVXS/</t>
  </si>
  <si>
    <t>3.128.225.1</t>
  </si>
  <si>
    <t>5f06dee12ce40</t>
  </si>
  <si>
    <t>http://3.128.225.1/j3572/Call-Support2/</t>
  </si>
  <si>
    <t>myshoppingstoer.xyz</t>
  </si>
  <si>
    <t>142.93.70.159</t>
  </si>
  <si>
    <t>5f06052952100</t>
  </si>
  <si>
    <t>https://myshoppingstoer.xyz/EDWInhelp10010101x/</t>
  </si>
  <si>
    <t>security-alert-66-infection-hacking-attempt-found-os-blocked-8.s3.ama</t>
  </si>
  <si>
    <t>52.217.37.244</t>
  </si>
  <si>
    <t>5f0609db8c13d</t>
  </si>
  <si>
    <t>https://security-alert-66-infection-hacking-attempt-found-os-blocked-8.s3.amazonaws.com/chrome_win/index.htm</t>
  </si>
  <si>
    <t>internetsecuritybetax028v63n.club</t>
  </si>
  <si>
    <t>142.11.240.149</t>
  </si>
  <si>
    <t>5f3adf612d77b</t>
  </si>
  <si>
    <t>https://internetsecuritybetax028v63n.club/system32/SdMAfdgdfgdfgdffg-2NV/</t>
  </si>
  <si>
    <t>internetsecuritybetax028v64n.club</t>
  </si>
  <si>
    <t>5f3adf5470d4e</t>
  </si>
  <si>
    <t>https://internetsecuritybetax028v64n.club/system32/SdMAfdgdfgdfgdffg-2NV/</t>
  </si>
  <si>
    <t>internetsecuritybetax028v65n.club</t>
  </si>
  <si>
    <t>5f3adeb6450f7</t>
  </si>
  <si>
    <t>https://internetsecuritybetax028v65n.club/system32/SdMAfdgdfgdfgdffg-2NV/</t>
  </si>
  <si>
    <t>internetsecuritybetax028v70n.club</t>
  </si>
  <si>
    <t>5f3afb79dc6e3</t>
  </si>
  <si>
    <t>https://internetsecuritybetax028v70n.club/system32/SdMAfdgdfgdfgdffg-2NV/</t>
  </si>
  <si>
    <t>internetsecuritybetax028v90n.site</t>
  </si>
  <si>
    <t>5f36c5a717e50</t>
  </si>
  <si>
    <t>https://internetsecuritybetax028v90n.site/system32/SdMAfdgdfgdfgdffg-2NV/</t>
  </si>
  <si>
    <t>internetsecuritybetax028v85n.site</t>
  </si>
  <si>
    <t>5f35bf21ea48d</t>
  </si>
  <si>
    <t>https://internetsecuritybetax028v85n.site/system32/SdMAfdgdfgdfgdffg-2NV/</t>
  </si>
  <si>
    <t>5f35801cb16dc</t>
  </si>
  <si>
    <t>https://internetsecuritybetax028v85n.site/system32/SdEDfdgdfgdfgdffg-2NV/</t>
  </si>
  <si>
    <t>internetsecuritybetax028v84n.site</t>
  </si>
  <si>
    <t>5f357989e5a9a</t>
  </si>
  <si>
    <t>https://internetsecuritybetax028v84n.site/system32/SdMAfdgdfgdfgdffg-2NV/</t>
  </si>
  <si>
    <t>mswn10xpr32668692.club</t>
  </si>
  <si>
    <t>5f3469f642cfd</t>
  </si>
  <si>
    <t>https://mswn10xpr32668692.club/system32/SdMAfdgdfgdfgdffg-2NV/</t>
  </si>
  <si>
    <t>internetsecuritybetax028v80n.club</t>
  </si>
  <si>
    <t>5f32e1aecabcb</t>
  </si>
  <si>
    <t>https://internetsecuritybetax028v80n.club/system32/SdMAfdgdfgdfgdffg-2NV/</t>
  </si>
  <si>
    <t>mswn10xpr32868692.club</t>
  </si>
  <si>
    <t>5f31d70a2957a</t>
  </si>
  <si>
    <t>https://mswn10xpr32868692.club/system32/SdMAfdgdfgdfgdffg-2NV/</t>
  </si>
  <si>
    <t>mswn10xpr32848692.club</t>
  </si>
  <si>
    <t>5f3174033feb6</t>
  </si>
  <si>
    <t>https://mswn10xpr32848692.club/system32/SdMAfdgdfgdfgdffg-2NV/</t>
  </si>
  <si>
    <t>mswn10xpr32828692.club</t>
  </si>
  <si>
    <t>5f2d95d95b026</t>
  </si>
  <si>
    <t>https://mswn10xpr32828692.club/system32/EDWInhelp100NC10101AW/</t>
  </si>
  <si>
    <t>mswn10xpr36878692.club</t>
  </si>
  <si>
    <t>5f2c3c643ca99</t>
  </si>
  <si>
    <t>https://mswn10xpr36878692.club/system32/EDWInhelp100NC10101AW/?sou=14892299&amp;amp;subid=9ungv207ff158a62cf7fc1baddc22c19578b6b5</t>
  </si>
  <si>
    <t>mswn10xpr35878692.club</t>
  </si>
  <si>
    <t>5f2b415fa037c</t>
  </si>
  <si>
    <t>https://mswn10xpr35878692.club/system32/EDWInhelp100NC10101AW/?sou=14892299&amp;amp;subid=9ungv207ff158a62cf7fc1baddc22c19578b6b5</t>
  </si>
  <si>
    <t>mswn10xpr39878693.club</t>
  </si>
  <si>
    <t>5f24b06f76a3d</t>
  </si>
  <si>
    <t>https://mswn10xpr39878693.club/system32/EDWInhelp100NC10101AW/?sou=14892299&amp;amp;subid=9ungv207ff158a62cf7fc1baddc22c19578b6b5</t>
  </si>
  <si>
    <t>mswn10xpr39878692.club</t>
  </si>
  <si>
    <t>5f244abdb642e</t>
  </si>
  <si>
    <t>https://mswn10xpr39878692.club/system32/EDWInhelp100NC10101AW/?sou=14892299&amp;amp;subid=9ungv207ff158a62cf7fc1baddc22c19578b6b5</t>
  </si>
  <si>
    <t>mswn10xpr39878691.club</t>
  </si>
  <si>
    <t>5f23537ced9f5</t>
  </si>
  <si>
    <t>https://mswn10xpr39878691.club/system32/EDWInhelp100NC10101AW/?sou=14892299&amp;amp;subid=9ungv207ff158a62cf7fc1baddc22c19578b6b5</t>
  </si>
  <si>
    <t>mswn10xpr39878690.club</t>
  </si>
  <si>
    <t>5f234591c7d70</t>
  </si>
  <si>
    <t>https://mswn10xpr39878690.club/system32/EDWInhelp100NC10101AW/?sou=14892299&amp;amp;subid=9ungv20403be6cca6dde39c140564b146f6e375</t>
  </si>
  <si>
    <t>mswn10xpr39878695.club</t>
  </si>
  <si>
    <t>5f2491e9e37f7</t>
  </si>
  <si>
    <t>https://mswn10xpr39878695.club/system32/EDWInhelp100NC10101AW/?sou=14892299&amp;amp;subid=9ungv207ba40344fc59343c77afb6e25c272d94</t>
  </si>
  <si>
    <t>wn10xpr398755.club</t>
  </si>
  <si>
    <t>5f11d0162961b</t>
  </si>
  <si>
    <t>https://wn10xpr398755.club/system32/WA10011001010EDV_Lii/</t>
  </si>
  <si>
    <t>xl469348erui.club</t>
  </si>
  <si>
    <t>5f10c79f90248</t>
  </si>
  <si>
    <t>https://xl469348erui.club/system32/WA10011001010EDV_Lii/?sou=14892299&amp;amp;subid=9ungv20403be6cca6dde39c140564b146f6e375</t>
  </si>
  <si>
    <t>xl449348erui.club</t>
  </si>
  <si>
    <t>5f0e551693038</t>
  </si>
  <si>
    <t>https://xl449348erui.club/system32/WA10011001010EDV_Lii/?sou=14892299&amp;amp;subid=9ungv20403be6cca6dde39c140564b146f6e375</t>
  </si>
  <si>
    <t>xp10asop837459.club</t>
  </si>
  <si>
    <t>5f074957eb999</t>
  </si>
  <si>
    <t>https://xp10asop837459.club/system36/WA10011001010CHV_Lii/</t>
  </si>
  <si>
    <t>5f0744ad26250</t>
  </si>
  <si>
    <t>https://xp10asop837459.club/system34/WA10011001010CHV_Lii/</t>
  </si>
  <si>
    <t>5f073f4b67036</t>
  </si>
  <si>
    <t>https://xp10asop837459.club/system32/WA10011001010EDV_Lii/</t>
  </si>
  <si>
    <t>networkinfection8090.club</t>
  </si>
  <si>
    <t>5f0610d92b703</t>
  </si>
  <si>
    <t>https://networkinfection8090.club/unknown/EDWInhelp10010101/?sou=14892298&amp;amp;subid=9b72e76a98ed15e602f4d81858fe9552c</t>
  </si>
  <si>
    <t>165.22.106.239</t>
  </si>
  <si>
    <t>5f06ded1461c2</t>
  </si>
  <si>
    <t>http://165.22.106.239/</t>
  </si>
  <si>
    <t>AS32244</t>
  </si>
  <si>
    <t>Lansing</t>
  </si>
  <si>
    <t>windows-errors.club</t>
  </si>
  <si>
    <t>Liquid Web, L.L.C</t>
  </si>
  <si>
    <t>67.227.213.205</t>
  </si>
  <si>
    <t>LiquidWeb,L.L.C</t>
  </si>
  <si>
    <t>5f424de5f24e8</t>
  </si>
  <si>
    <t>http://windows-errors.club/5927/ChfsdfsKdfsddsds90K/</t>
  </si>
  <si>
    <t>5f2b9957117b0</t>
  </si>
  <si>
    <t>http://windows-errors.club</t>
  </si>
  <si>
    <t>microsoft-alert.club</t>
  </si>
  <si>
    <t>5f26cb5ba5e51</t>
  </si>
  <si>
    <t>http://microsoft-alert.club/</t>
  </si>
  <si>
    <t>www.windows-alert.club</t>
  </si>
  <si>
    <t>5f26a6eab22b7</t>
  </si>
  <si>
    <t>http://www.windows-alert.club/</t>
  </si>
  <si>
    <t>mail.microsoft-alert.club</t>
  </si>
  <si>
    <t>5f200a965d0ee</t>
  </si>
  <si>
    <t>http://mail.microsoft-alert.club/</t>
  </si>
  <si>
    <t>5f06dee57372c</t>
  </si>
  <si>
    <t>https://windows-errors.club/</t>
  </si>
  <si>
    <t>104.42.49.16</t>
  </si>
  <si>
    <t>5f0731d76ccb2</t>
  </si>
  <si>
    <t>http://104.42.49.16/call-service-help-now/D00ChsfsdfjdsfjdsfjRV/?site=11663221&amp;amp;zone=6784</t>
  </si>
  <si>
    <t>oiuwey67623-aefuiysdfh322.gq</t>
  </si>
  <si>
    <t>161.35.147.109</t>
  </si>
  <si>
    <t>5f06e379ca912</t>
  </si>
  <si>
    <t>https://oiuwey67623-aefuiysdfh322.gq/KeinesicherungAT/</t>
  </si>
  <si>
    <t>34.67.174.68</t>
  </si>
  <si>
    <t>5f06e39d5c45c</t>
  </si>
  <si>
    <t>http://34.67.174.68/EDWInhelp10010101xDE/</t>
  </si>
  <si>
    <t>digitallivetecnosiseurounlim09-env.eba-8hgzgqbm.us-east-2.elasticbean</t>
  </si>
  <si>
    <t>3.23.83.97</t>
  </si>
  <si>
    <t>5f06f3315b86d</t>
  </si>
  <si>
    <t>http://digitallivetecnosiseurounlim09-env.eba-8hgzgqbm.us-east-2.elasticbeanstalk.com/</t>
  </si>
  <si>
    <t>elasticbean</t>
  </si>
  <si>
    <t>getitupdate.xyz</t>
  </si>
  <si>
    <t>142.93.185.108</t>
  </si>
  <si>
    <t>5f06fab05eaf5</t>
  </si>
  <si>
    <t>https://getitupdate.xyz/0bexx777x6xy/EDWInhelp10010101x/</t>
  </si>
  <si>
    <t>www.kima00.xyz</t>
  </si>
  <si>
    <t>160.153.133.191</t>
  </si>
  <si>
    <t>5f1bf08cc780b</t>
  </si>
  <si>
    <t>http://www.kima00.xyz/ar_belgbd-cfi-98/french/mac/</t>
  </si>
  <si>
    <t>suki05.xyz</t>
  </si>
  <si>
    <t>5f1bf03f778ae</t>
  </si>
  <si>
    <t>http://suki05.xyz/ar_belgbd-cfi-98/french/mac/</t>
  </si>
  <si>
    <t>kima04.xyz</t>
  </si>
  <si>
    <t>5f1befe0207da</t>
  </si>
  <si>
    <t>http://kima04.xyz/ar_belgbd-cfi-98/other/windows/</t>
  </si>
  <si>
    <t>suki03.xyz</t>
  </si>
  <si>
    <t>5f1856a92b4c7</t>
  </si>
  <si>
    <t>http://suki03.xyz/ar_belgbd-cfi-98/german/windows/</t>
  </si>
  <si>
    <t>suki04.xyz</t>
  </si>
  <si>
    <t>5f185692ca8e1</t>
  </si>
  <si>
    <t>http://suki04.xyz/ar_belgbd-cfi-98/german/windows/</t>
  </si>
  <si>
    <t>suki09.xyz</t>
  </si>
  <si>
    <t>5f185657254bf</t>
  </si>
  <si>
    <t>http://suki09.xyz/ar_belgbd-cfi-98/german/windows/</t>
  </si>
  <si>
    <t>suki08.xyz</t>
  </si>
  <si>
    <t>5f18564507177</t>
  </si>
  <si>
    <t>http://suki08.xyz/ar_belgbd-cfi-98/german/windows/</t>
  </si>
  <si>
    <t>kima00.xyz</t>
  </si>
  <si>
    <t>5f18561f9fa19</t>
  </si>
  <si>
    <t>http://kima00.xyz/ar_belgbd-cfi-98/german/windows/</t>
  </si>
  <si>
    <t>kima02.xyz</t>
  </si>
  <si>
    <t>5f1855ce1d4fd</t>
  </si>
  <si>
    <t>http://kima02.xyz/ar_belgbd-cfi-98/german/windows/</t>
  </si>
  <si>
    <t>www.kima01.xyz</t>
  </si>
  <si>
    <t>5f16f5de38949</t>
  </si>
  <si>
    <t>http://www.kima01.xyz/ar_belgbd-cfi-98/german/windows/</t>
  </si>
  <si>
    <t>kima01.xyz</t>
  </si>
  <si>
    <t>5f16e035a5648</t>
  </si>
  <si>
    <t>http://kima01.xyz/ar_belgbd-cfi-98/english/windows/</t>
  </si>
  <si>
    <t>5f06fb6abd9da</t>
  </si>
  <si>
    <t>http://suki04.xyz/ar_belgbd-cfi-98/english/windows/</t>
  </si>
  <si>
    <t>micro-mainstre323.azurewebsites.net</t>
  </si>
  <si>
    <t>23.101.119.44</t>
  </si>
  <si>
    <t>5f148dc89e83e</t>
  </si>
  <si>
    <t>http://micro-mainstre323.azurewebsites.net/TChsfsdfjdsfjdsfjVX/</t>
  </si>
  <si>
    <t>micro-nfhkdjjj33.azurewebsites.net</t>
  </si>
  <si>
    <t>5f148db3b0ba3</t>
  </si>
  <si>
    <t>http://micro-nfhkdjjj33.azurewebsites.net/</t>
  </si>
  <si>
    <t>micro-mikjjdsjj22.azurewebsites.net</t>
  </si>
  <si>
    <t>5f148da4ca234</t>
  </si>
  <si>
    <t>http://micro-mikjjdsjj22.azurewebsites.net/TChsfsdfjdsfjdsfjVX/</t>
  </si>
  <si>
    <t>micro-mydocswe.azurewebsites.net</t>
  </si>
  <si>
    <t>5f148cfa06a49</t>
  </si>
  <si>
    <t>http://micro-mydocswe.azurewebsites.net/TMachdsfgdsffdVX/</t>
  </si>
  <si>
    <t>micro-mink323.azurewebsites.net</t>
  </si>
  <si>
    <t>5f148cd4812cf</t>
  </si>
  <si>
    <t>http://micro-mink323.azurewebsites.net/TMachdsfgdsffdVX/</t>
  </si>
  <si>
    <t>micro-mujhasde.azurewebsites.net</t>
  </si>
  <si>
    <t>5f148cac05bbf</t>
  </si>
  <si>
    <t>http://micro-mujhasde.azurewebsites.net/TMachdsfgdsffdVX/</t>
  </si>
  <si>
    <t>micro-microsof.azurewebsites.net</t>
  </si>
  <si>
    <t>5f148c88c0724</t>
  </si>
  <si>
    <t>http://micro-microsof.azurewebsites.net/TMachdsfgdsffdVX/</t>
  </si>
  <si>
    <t>micro-munmol.azurewebsites.net</t>
  </si>
  <si>
    <t>5f148c2c1e854</t>
  </si>
  <si>
    <t>http://micro-munmol.azurewebsites.net/TMachdsfgdsffdVX/</t>
  </si>
  <si>
    <t>micro-rachlao2.azurewebsites.net</t>
  </si>
  <si>
    <t>5f148be384462</t>
  </si>
  <si>
    <t>http://micro-rachlao2.azurewebsites.net/TMachdsfgdsffdVX/</t>
  </si>
  <si>
    <t>micro-rachalo1.azurewebsites.net</t>
  </si>
  <si>
    <t>5f148bc99b901</t>
  </si>
  <si>
    <t>http://micro-rachalo1.azurewebsites.net/TMachdsfgdsffdVX/</t>
  </si>
  <si>
    <t>micro-ololkdkd.azurewebsites.net</t>
  </si>
  <si>
    <t>5f11d85194b5d</t>
  </si>
  <si>
    <t>https://micro-ololkdkd.azurewebsites.net/TMachdsfgdsffdVX/</t>
  </si>
  <si>
    <t>micro-kaluinuk1.azurewebsites.net</t>
  </si>
  <si>
    <t>5f11a45de33a5</t>
  </si>
  <si>
    <t>https://micro-kaluinuk1.azurewebsites.net/TMachdsfgdsffdVX/</t>
  </si>
  <si>
    <t>micro-badsamsj.azurewebsites.net</t>
  </si>
  <si>
    <t>5f1054adaa8c6</t>
  </si>
  <si>
    <t>https://micro-badsamsj.azurewebsites.net/TMachdsfgdsffdVX/</t>
  </si>
  <si>
    <t>micro-miunjkikkd.azurewebsites.net</t>
  </si>
  <si>
    <t>5f0edd44b6b6f</t>
  </si>
  <si>
    <t>https://micro-miunjkikkd.azurewebsites.net/TEdsjsjhskhkasdVX/</t>
  </si>
  <si>
    <t>micro-mujh22.azurewebsites.net</t>
  </si>
  <si>
    <t>5f0edd3fc768f</t>
  </si>
  <si>
    <t>https://micro-mujh22.azurewebsites.net/TEdsjsjhskhkasdVX/</t>
  </si>
  <si>
    <t>micro-koliosd.azurewebsites.net</t>
  </si>
  <si>
    <t>5f0c29d1a072b</t>
  </si>
  <si>
    <t>https://micro-koliosd.azurewebsites.net/TChsfsdfjdsfjdsfjVX/</t>
  </si>
  <si>
    <t>micro-jdsnvndsvnsd34.azurewebsites.net</t>
  </si>
  <si>
    <t>5f06fb9223288</t>
  </si>
  <si>
    <t>https://micro-jdsnvndsvnsd34.azurewebsites.net/TEdsjsjhskhkasdVX/</t>
  </si>
  <si>
    <t>windowshelpcenter24x7.tk</t>
  </si>
  <si>
    <t>108.61.220.164</t>
  </si>
  <si>
    <t>5f0733551a35e</t>
  </si>
  <si>
    <t>https://windowshelpcenter24x7.tk/1-844-887-8188/2dbasfjddd333hfj_dshfjsd3843dnsx/</t>
  </si>
  <si>
    <t>myonlinedetails.xyz</t>
  </si>
  <si>
    <t>165.227.190.31</t>
  </si>
  <si>
    <t>5f07393edd754</t>
  </si>
  <si>
    <t>https://myonlinedetails.xyz/EDWInhelp10010101x/</t>
  </si>
  <si>
    <t>videoslives.s3.us-east-2.amazonaws.com</t>
  </si>
  <si>
    <t>52.219.100.0</t>
  </si>
  <si>
    <t>605b9c38e04b1</t>
  </si>
  <si>
    <t>https://videoslives.s3.us-east-2.amazonaws.com/PrimeError.html</t>
  </si>
  <si>
    <t>illegal-activities-alert-acking-attempt-found--1266.s3.us-east-2.amaz</t>
  </si>
  <si>
    <t>5f074d9e3a599</t>
  </si>
  <si>
    <t>https://illegal-activities-alert-acking-attempt-found--1266.s3.us-east-2.amazonaws.com/chrome_win/index.htm</t>
  </si>
  <si>
    <t>myonlinehelp.xyz</t>
  </si>
  <si>
    <t>165.227.220.5</t>
  </si>
  <si>
    <t>5f075bb87bea0</t>
  </si>
  <si>
    <t>https://myonlinehelp.xyz/CHWInhelp10010101x</t>
  </si>
  <si>
    <t>ron65wisley.ml</t>
  </si>
  <si>
    <t>161.35.227.228</t>
  </si>
  <si>
    <t>5f07653cb2830</t>
  </si>
  <si>
    <t>https://ron65wisley.ml/alert/0WCHfdfdfdfddfd0099900YN/</t>
  </si>
  <si>
    <t>Austin</t>
  </si>
  <si>
    <t>satecg12.xyz</t>
  </si>
  <si>
    <t>162.222.226.11</t>
  </si>
  <si>
    <t>5f08695fc7fdc</t>
  </si>
  <si>
    <t>http://satecg12.xyz/south-africa-system-reports01010156666777777777766666YGHHHGJJJJJ/</t>
  </si>
  <si>
    <t>64.225.119.126</t>
  </si>
  <si>
    <t>5f08970285107</t>
  </si>
  <si>
    <t>http://64.225.119.126/edge-8july-2020/?phone=+1-(888)-525-5936&amp;amp;</t>
  </si>
  <si>
    <t>alert-18winxpr-xyz.preview-domain.com</t>
  </si>
  <si>
    <t>104.18.25.120</t>
  </si>
  <si>
    <t>5f57cf17e168d</t>
  </si>
  <si>
    <t>http://alert-18winxpr-xyz.preview-domain.com/9mxdfdfdfdfdfdfdfMAd004c/</t>
  </si>
  <si>
    <t>server-update567-us.preview-domain.com</t>
  </si>
  <si>
    <t>5f47fea42c7d8</t>
  </si>
  <si>
    <t>https://server-update567-us.preview-domain.com/9mxdfdfdfdfdfdfdfCHd004c/</t>
  </si>
  <si>
    <t>pingserverunderrequest-xyz.preview-domain.com</t>
  </si>
  <si>
    <t>5f2040c26ec28</t>
  </si>
  <si>
    <t>https://pingserverunderrequest-xyz.preview-domain.com/CHWInhelp10GK010101AW/</t>
  </si>
  <si>
    <t>server13onlinenow-tk.preview-domain.com</t>
  </si>
  <si>
    <t>5f1f02a35e992</t>
  </si>
  <si>
    <t>http://server13onlinenow-tk.preview-domain.com/CH0101101010101001CS/</t>
  </si>
  <si>
    <t>helpline-858microalert-xyz.preview-domain.com</t>
  </si>
  <si>
    <t>5f1efde36f3e7</t>
  </si>
  <si>
    <t>https://helpline-858microalert-xyz.preview-domain.com/CHWInhelp10GK010101AW/</t>
  </si>
  <si>
    <t>error92now-tk.preview-domain.com</t>
  </si>
  <si>
    <t>5f1efdd2287d0</t>
  </si>
  <si>
    <t>https://error92now-tk.preview-domain.com/CH0101101010101001CS/</t>
  </si>
  <si>
    <t>err-mic-rep-code-7899001-support-com.preview-domain.com</t>
  </si>
  <si>
    <t>5f1b0fe46b5c0</t>
  </si>
  <si>
    <t>http://err-mic-rep-code-7899001-support-com.preview-domain.com/ched/</t>
  </si>
  <si>
    <t>desk-alertmicrobudandreport-xyz.preview-domain.com</t>
  </si>
  <si>
    <t>5f172a5e74e28</t>
  </si>
  <si>
    <t>https://desk-alertmicrobudandreport-xyz.preview-domain.com/Chdsdsdasdasdasdad13123123/</t>
  </si>
  <si>
    <t>helpdesk-55info-online.preview-domain.com</t>
  </si>
  <si>
    <t>5f0dfec18cce7</t>
  </si>
  <si>
    <t>https://helpdesk-55info-online.preview-domain.com/Chdsdsdasdasdasdad13123123/</t>
  </si>
  <si>
    <t>cornoavirusreport-15zxp-online.preview-domain.com</t>
  </si>
  <si>
    <t>5f0c86ef27c1d</t>
  </si>
  <si>
    <t>https://cornoavirusreport-15zxp-online.preview-domain.com/Chdsdsdasdasdasdad13123123/</t>
  </si>
  <si>
    <t>alert-immidiateaction14erp-online.preview-domain.com</t>
  </si>
  <si>
    <t>5f089995d22cc</t>
  </si>
  <si>
    <t>https://alert-immidiateaction14erp-online.preview-domain.com/11xTChsfsdfjdsfjdsfjVXS/</t>
  </si>
  <si>
    <t>247alartsupoort.000webhostapp.com</t>
  </si>
  <si>
    <t>145.14.144.66</t>
  </si>
  <si>
    <t>5f08b86dcb6ab</t>
  </si>
  <si>
    <t>https://247alartsupoort.000webhostapp.com/Chdsdsdasdasdasdad13123123/</t>
  </si>
  <si>
    <t>206.189.74.108</t>
  </si>
  <si>
    <t>5f0a0d13c3583</t>
  </si>
  <si>
    <t>http://206.189.74.108/edge-8july-2020/?phone=+1-(888)-524-0753&amp;amp;</t>
  </si>
  <si>
    <t>app1july12-env.eba-mqjvatvp.us-east-1.elasticbeanstalk.com</t>
  </si>
  <si>
    <t>52.21.130.116</t>
  </si>
  <si>
    <t>5f0b374eb76e2</t>
  </si>
  <si>
    <t>http://app1july12-env.eba-mqjvatvp.us-east-1.elasticbeanstalk.com/0CH01011001_77/</t>
  </si>
  <si>
    <t>167.99.163.154</t>
  </si>
  <si>
    <t>5f0b5d6a2df64</t>
  </si>
  <si>
    <t>http://167.99.163.154/edge-12july-2020/?phone=+1-(888)-529-6231&amp;amp;</t>
  </si>
  <si>
    <t>159.89.137.129</t>
  </si>
  <si>
    <t>5f0b5265c1509</t>
  </si>
  <si>
    <t>http://159.89.137.129/edge-12july-2020/?phone=+1-(888)-526-1029&amp;amp;</t>
  </si>
  <si>
    <t>actuallyveryseriouscondition.cf</t>
  </si>
  <si>
    <t>165.227.217.30</t>
  </si>
  <si>
    <t>5f233d1e323f2</t>
  </si>
  <si>
    <t>https://actuallyveryseriouscondition.cf/alert/0WCHfdfdfdfddfd0099900YN/</t>
  </si>
  <si>
    <t>actuallyveryseriouscondition.ga</t>
  </si>
  <si>
    <t>5f233d16ca82f</t>
  </si>
  <si>
    <t>https://actuallyveryseriouscondition.ga/alert/0WCHfdfdfdfddfd0099900YN/</t>
  </si>
  <si>
    <t>actuallyveryseriouscondition.gq</t>
  </si>
  <si>
    <t>5f23969deede7</t>
  </si>
  <si>
    <t>https://actuallyveryseriouscondition.gq/alert/0WCHfdfdfdfddfd0099900YN/</t>
  </si>
  <si>
    <t>bazinga-24x7.ml</t>
  </si>
  <si>
    <t>5f231e782c675</t>
  </si>
  <si>
    <t>https://bazinga-24x7.ml/alert/0WCHfdfdfdfddfd0099900YN/</t>
  </si>
  <si>
    <t>bazinga-24x7.ga</t>
  </si>
  <si>
    <t>5f233cde23c56</t>
  </si>
  <si>
    <t>https://bazinga-24x7.ga/alert/0WCHfdfdfdfddfd0099900YN/</t>
  </si>
  <si>
    <t>bazinga-24x7.cf</t>
  </si>
  <si>
    <t>5f233ce8e7a4d</t>
  </si>
  <si>
    <t>https://bazinga-24x7.cf/alert/0WCHfdfdfdfddfd0099900YN/</t>
  </si>
  <si>
    <t>bazinga-24x7.gq</t>
  </si>
  <si>
    <t>5f233cf731342</t>
  </si>
  <si>
    <t>https://bazinga-24x7.gq/alert/0WCHfdfdfdfddfd0099900YN/</t>
  </si>
  <si>
    <t>sidhuoyesidhu.cf</t>
  </si>
  <si>
    <t>5f21a2c9aef51</t>
  </si>
  <si>
    <t>https://sidhuoyesidhu.cf/msgalr/0WCHfdfdfdfddfd0099900YN/</t>
  </si>
  <si>
    <t>astalavistababy.ml</t>
  </si>
  <si>
    <t>5f0e2f713ec11</t>
  </si>
  <si>
    <t>https://astalavistababy.ml/alert/0WCHfdfdfdfddfd0099900YN/</t>
  </si>
  <si>
    <t>zubidubizubidubirampam34674.ga</t>
  </si>
  <si>
    <t>5f0caadcee3bc</t>
  </si>
  <si>
    <t>https://zubidubizubidubirampam34674.ga/alert/0WCHfdfdfdfddfd0099900YN/</t>
  </si>
  <si>
    <t>35.239.156.221</t>
  </si>
  <si>
    <t>5f0c1f278835c</t>
  </si>
  <si>
    <t>http://35.239.156.221/CHWInhelp10010101xDE/</t>
  </si>
  <si>
    <t>46.101.164.72</t>
  </si>
  <si>
    <t>5f0c29c91d830</t>
  </si>
  <si>
    <t>http://46.101.164.72/</t>
  </si>
  <si>
    <t>128.199.177.249</t>
  </si>
  <si>
    <t>5f0d786b3bcf7</t>
  </si>
  <si>
    <t>http://128.199.177.249/</t>
  </si>
  <si>
    <t>updatethesys.com</t>
  </si>
  <si>
    <t>178.128.236.47</t>
  </si>
  <si>
    <t>5f0da5cb6b7c5</t>
  </si>
  <si>
    <t>https://updatethesys.com/0fixx777x7xy/EDWInhelp10010101x/</t>
  </si>
  <si>
    <t>5f0d9e59ab555</t>
  </si>
  <si>
    <t>https://updatethesys.com/0noxx777x5xy/EDWInhelp10010101x/</t>
  </si>
  <si>
    <t>Sweden</t>
  </si>
  <si>
    <t>5f0d9ac5a9da5</t>
  </si>
  <si>
    <t>https://updatethesys.com/0swexx777x3xy/EDWInhelp10010101x/</t>
  </si>
  <si>
    <t>164.90.212.160</t>
  </si>
  <si>
    <t>5f0da4659934a</t>
  </si>
  <si>
    <t>http://164.90.212.160/</t>
  </si>
  <si>
    <t>unrte-98uyye.gq</t>
  </si>
  <si>
    <t>164.90.196.194</t>
  </si>
  <si>
    <t>5f0da84779a8b</t>
  </si>
  <si>
    <t>https://unrte-98uyye.gq/OldAt0150/EdgeAT/</t>
  </si>
  <si>
    <t>system-access.xyz</t>
  </si>
  <si>
    <t>166.62.6.101</t>
  </si>
  <si>
    <t>5f0de8510b6f3</t>
  </si>
  <si>
    <t>http://system-access.xyz/0CH01011001_1010x/</t>
  </si>
  <si>
    <t>208.167.239.168</t>
  </si>
  <si>
    <t>5f0e054494f32</t>
  </si>
  <si>
    <t>http://208.167.239.168/CHWInhelp10010101xMP/</t>
  </si>
  <si>
    <t>206.189.166.152</t>
  </si>
  <si>
    <t>5f0e0557367fd</t>
  </si>
  <si>
    <t>http://206.189.166.152/browseredgegedgeedge-14july-2020/?phone=+1-(888)-538-3832&amp;amp;</t>
  </si>
  <si>
    <t>security-alert-hacking-attempt-found-system-blocked-0102.s3.amazonaws</t>
  </si>
  <si>
    <t>52.217.84.100</t>
  </si>
  <si>
    <t>5f0df8cf85a9d</t>
  </si>
  <si>
    <t>https://security-alert-hacking-attempt-found-system-blocked-0102.s3.amazonaws.com/chrome_win/index.htm</t>
  </si>
  <si>
    <t>onlinefoodtricks.site</t>
  </si>
  <si>
    <t>165.227.107.123</t>
  </si>
  <si>
    <t>5f0df9c491d61</t>
  </si>
  <si>
    <t>https://onlinefoodtricks.site/CHWInhelp10010101x/</t>
  </si>
  <si>
    <t>fullhdvideotv.club</t>
  </si>
  <si>
    <t>107.180.28.183</t>
  </si>
  <si>
    <t>5f396518c7c75</t>
  </si>
  <si>
    <t>http://fullhdvideotv.club/LaBlanca-X-78558/</t>
  </si>
  <si>
    <t>crossxvideos.com</t>
  </si>
  <si>
    <t>5f3964a1ad70e</t>
  </si>
  <si>
    <t>http://crossxvideos.com/LaBlanca-X-78558/</t>
  </si>
  <si>
    <t>5f35ddbdb1b33</t>
  </si>
  <si>
    <t>http://fullhdvideotv.club/Hollywood-FL-33029/</t>
  </si>
  <si>
    <t>hdvids.online</t>
  </si>
  <si>
    <t>5f11d7e320cb4</t>
  </si>
  <si>
    <t>http://hdvids.online/?Subid=14892298</t>
  </si>
  <si>
    <t>5f10c05a72dc6</t>
  </si>
  <si>
    <t>http://hdvids.online</t>
  </si>
  <si>
    <t>5f10947d63a17</t>
  </si>
  <si>
    <t>http://hdvids.online/?subid=744767097</t>
  </si>
  <si>
    <t>crossxxvideos.com</t>
  </si>
  <si>
    <t>5f0f7b6a6b9c1</t>
  </si>
  <si>
    <t>http://crossxxvideos.com/AEdgfdgXMMdfhjgdfhX/</t>
  </si>
  <si>
    <t>pornduty.site</t>
  </si>
  <si>
    <t>5f0f4f0f342b0</t>
  </si>
  <si>
    <t>http://pornduty.site/AChfbdsfMMdsXjhfbjfX/</t>
  </si>
  <si>
    <t>5f0dfaad9434b</t>
  </si>
  <si>
    <t>http://crossxvideos.com/AChfbdsfMMdsXjhfbjfX/</t>
  </si>
  <si>
    <t>onlinefoodcourts.site</t>
  </si>
  <si>
    <t>134.209.173.163</t>
  </si>
  <si>
    <t>5f0e08a7316f7</t>
  </si>
  <si>
    <t>https://onlinefoodcourts.site/CHWInhelp10010101x/</t>
  </si>
  <si>
    <t>uhkjh-kjhsd67.tk</t>
  </si>
  <si>
    <t>104.248.95.231</t>
  </si>
  <si>
    <t>5f0f1075aa0ca</t>
  </si>
  <si>
    <t>https://uhkjh-kjhsd67.tk/OldAt0150/ieAT/</t>
  </si>
  <si>
    <t>76789756gcvvjhgb.site</t>
  </si>
  <si>
    <t>138.197.73.65</t>
  </si>
  <si>
    <t>5f0ed45ed60ed</t>
  </si>
  <si>
    <t>https://76789756gcvvjhgb.site/EDWInhelp10010101x/</t>
  </si>
  <si>
    <t>getsysupdate.online</t>
  </si>
  <si>
    <t>159.89.114.56</t>
  </si>
  <si>
    <t>5f1069f94ed67</t>
  </si>
  <si>
    <t>https://getsysupdate.online/0swexx777x3xy/EDWInhelp10010101x</t>
  </si>
  <si>
    <t>5f0edd61d0826</t>
  </si>
  <si>
    <t>https://getsysupdate.online/0noxx777x5xy/EDWInhelp10010101x/</t>
  </si>
  <si>
    <t>morer-87heyrfs.ga</t>
  </si>
  <si>
    <t>164.90.152.77</t>
  </si>
  <si>
    <t>5f0ee1ccde839</t>
  </si>
  <si>
    <t>https://morer-87heyrfs.ga/OldAt0150/ieAT/</t>
  </si>
  <si>
    <t>174.138.34.146</t>
  </si>
  <si>
    <t>5f0f4b2a47c1a</t>
  </si>
  <si>
    <t>http://174.138.34.146/EDWInhelp10010101x/</t>
  </si>
  <si>
    <t>165.227.104.52</t>
  </si>
  <si>
    <t>5f0f4b2e91844</t>
  </si>
  <si>
    <t>http://165.227.104.52/EDWInhelp10010101x/</t>
  </si>
  <si>
    <t>206.189.68.52</t>
  </si>
  <si>
    <t>5f0f4b449664d</t>
  </si>
  <si>
    <t>http://206.189.68.52/chrome-8july-2020/?phone=+1-(866)-664-3874&amp;amp;</t>
  </si>
  <si>
    <t>greencoffe.site</t>
  </si>
  <si>
    <t>108.61.195.202</t>
  </si>
  <si>
    <t>5f0f76b8cd948</t>
  </si>
  <si>
    <t>https://greencoffe.site/9243/EDWInhelp10010101xPK/</t>
  </si>
  <si>
    <t>xxyyddzz2.xyz</t>
  </si>
  <si>
    <t>5f0f4f14b5a49</t>
  </si>
  <si>
    <t>https://xxyyddzz2.xyz/4535/EDWInhelp10010101xPK/</t>
  </si>
  <si>
    <t>iteration639.cf</t>
  </si>
  <si>
    <t>104.18.46.105</t>
  </si>
  <si>
    <t>5f0f4f4791f66</t>
  </si>
  <si>
    <t>https://iteration639.cf/0get-jhb0.bdy/ED100101010XCDH/</t>
  </si>
  <si>
    <t>ioshelp.xyz</t>
  </si>
  <si>
    <t>199.188.201.122</t>
  </si>
  <si>
    <t>5f0f508cc1774</t>
  </si>
  <si>
    <t>https://ioshelp.xyz/</t>
  </si>
  <si>
    <t>167.71.158.166</t>
  </si>
  <si>
    <t>5f0f792172743</t>
  </si>
  <si>
    <t>http://167.71.158.166/xxxxxxbrowseredgegedgeedge-14july-2020xxxxx/?phone=+1-(866)-455-3407&amp;amp;</t>
  </si>
  <si>
    <t>nanannihilability.club</t>
  </si>
  <si>
    <t>51.158.103.172</t>
  </si>
  <si>
    <t>5f21b5b84b928</t>
  </si>
  <si>
    <t>http://nanannihilability.club/CH/Mafdfdfdfdf0vffvvf7/</t>
  </si>
  <si>
    <t>superregenerative.xyz</t>
  </si>
  <si>
    <t>5f21b575dd828</t>
  </si>
  <si>
    <t>http://superregenerative.xyz/CH/Mafdfdfdfdf0vffvvf7/</t>
  </si>
  <si>
    <t>semitheatricalism.site</t>
  </si>
  <si>
    <t>5f21b55e4188b</t>
  </si>
  <si>
    <t>http://semitheatricalism.site/CH/Mafdfdfdfdf0vffvvf7/</t>
  </si>
  <si>
    <t>undescribableness.xyz</t>
  </si>
  <si>
    <t>5f21b1282f049</t>
  </si>
  <si>
    <t>http://undescribableness.xyz/CH/Edfdfdfdfdf0vffvvf7/</t>
  </si>
  <si>
    <t>nonhereditariness.online</t>
  </si>
  <si>
    <t>5f21abd8a11e2</t>
  </si>
  <si>
    <t>http://nonhereditariness.online/</t>
  </si>
  <si>
    <t>proarbitrationist.club</t>
  </si>
  <si>
    <t>5f2194f8ded10</t>
  </si>
  <si>
    <t>http://proarbitrationist.club/ch/</t>
  </si>
  <si>
    <t>institutionalized.online</t>
  </si>
  <si>
    <t>5f2097dc9720d</t>
  </si>
  <si>
    <t>http://institutionalized.online/CH/Mafdfdfdfdf0vffvvf7/</t>
  </si>
  <si>
    <t>excrementitiously.site</t>
  </si>
  <si>
    <t>5f208bf926698</t>
  </si>
  <si>
    <t>http://excrementitiously.site/CH/Edfdfdfdfdf0vffvvf7</t>
  </si>
  <si>
    <t>misclassification.online</t>
  </si>
  <si>
    <t>5f0f66879d36a</t>
  </si>
  <si>
    <t>http://misclassification.online/t/</t>
  </si>
  <si>
    <t>5f0f62dd8bdb8</t>
  </si>
  <si>
    <t>http://misclassification.online/ch/</t>
  </si>
  <si>
    <t>noncreditableness.site</t>
  </si>
  <si>
    <t>5f0f5d0b84b9b</t>
  </si>
  <si>
    <t>http://noncreditableness.site/t/</t>
  </si>
  <si>
    <t>investincooking.site</t>
  </si>
  <si>
    <t>104.131.16.105</t>
  </si>
  <si>
    <t>5f13823f29eb0</t>
  </si>
  <si>
    <t>https://investincooking.site/SAMacHelp011010x/</t>
  </si>
  <si>
    <t>datingword.co</t>
  </si>
  <si>
    <t>107.180.43.18</t>
  </si>
  <si>
    <t>5f0f6205e44c6</t>
  </si>
  <si>
    <t>http://datingword.co/msie/</t>
  </si>
  <si>
    <t>co</t>
  </si>
  <si>
    <t>138.197.198.95</t>
  </si>
  <si>
    <t>5f0f74630c6d6</t>
  </si>
  <si>
    <t>http://138.197.198.95/?number=+1-(866)-462-6410</t>
  </si>
  <si>
    <t>167.71.112.6</t>
  </si>
  <si>
    <t>5f0f80f8a5956</t>
  </si>
  <si>
    <t>http://167.71.112.6/xxxxxxbrowseredgegedgeedge-14july-2020xxxxx/?phone=+1-(866)-531-6991&amp;amp;</t>
  </si>
  <si>
    <t>167.71.118.249</t>
  </si>
  <si>
    <t>5f0f83c618e8b</t>
  </si>
  <si>
    <t>http://167.71.118.249/xxxxxxbrowseredgegedgeedge-14july-2020xxxxx/?phone=+1-(866)-671-7730&amp;amp;</t>
  </si>
  <si>
    <t>rentaccountats.site</t>
  </si>
  <si>
    <t>167.71.100.69</t>
  </si>
  <si>
    <t>5f0f850f33f38</t>
  </si>
  <si>
    <t>https://rentaccountats.site/EDWInhelp10010101x/</t>
  </si>
  <si>
    <t>poire87kjd-dfkjf.tk</t>
  </si>
  <si>
    <t>164.90.204.178</t>
  </si>
  <si>
    <t>5f0f883b9adf5</t>
  </si>
  <si>
    <t>https://poire87kjd-dfkjf.tk/OldAt0150/ieAT/</t>
  </si>
  <si>
    <t>64.225.116.218</t>
  </si>
  <si>
    <t>5f0f8fb94876f</t>
  </si>
  <si>
    <t>http://64.225.116.218/chrome-8july-2020/?phone=+1-(866)-575-5320&amp;amp;</t>
  </si>
  <si>
    <t>206.189.156.70</t>
  </si>
  <si>
    <t>5f0f9cbfa3590</t>
  </si>
  <si>
    <t>http://206.189.156.70</t>
  </si>
  <si>
    <t>80-87-45.ga</t>
  </si>
  <si>
    <t>188.166.255.38</t>
  </si>
  <si>
    <t>5f25c5883990c</t>
  </si>
  <si>
    <t>http://80-87-45.ga/</t>
  </si>
  <si>
    <t>evchert.ml</t>
  </si>
  <si>
    <t>5f1e94d1bcb7a</t>
  </si>
  <si>
    <t>http://evchert.ml/</t>
  </si>
  <si>
    <t>getsysbook.com</t>
  </si>
  <si>
    <t>165.227.47.71</t>
  </si>
  <si>
    <t>5f106a1183b24</t>
  </si>
  <si>
    <t>https://getsysbook.com/0fixx777x7xy/EDWInhelp10010101x</t>
  </si>
  <si>
    <t>5f0f9e3d0541a</t>
  </si>
  <si>
    <t>https://getsysbook.com/0noxx777x5xy/SAMacHelp011010x/?site=</t>
  </si>
  <si>
    <t>159.65.102.207</t>
  </si>
  <si>
    <t>5f107aea93176</t>
  </si>
  <si>
    <t>http://159.65.102.207/xxxx16-2020-edgechromium-xxxx/?phone=+1-(866)-463-1099&amp;amp;</t>
  </si>
  <si>
    <t>searchoscaw.site</t>
  </si>
  <si>
    <t>162.0.229.248</t>
  </si>
  <si>
    <t>5f29adbe2be87</t>
  </si>
  <si>
    <t>https://searchoscaw.site/CHWInhelp10010101xK/</t>
  </si>
  <si>
    <t>onlinewebsolutiona.website</t>
  </si>
  <si>
    <t>5f25c4ee378d1</t>
  </si>
  <si>
    <t>https://onlinewebsolutiona.website/CHWInhelp10010101xK/</t>
  </si>
  <si>
    <t>productsearh05.site</t>
  </si>
  <si>
    <t>5f2101250cd97</t>
  </si>
  <si>
    <t>https://productsearh05.site/index-4.html</t>
  </si>
  <si>
    <t>hostermail07.site</t>
  </si>
  <si>
    <t>5f1d8b31be2e9</t>
  </si>
  <si>
    <t>https://hostermail07.site/ched/index.html</t>
  </si>
  <si>
    <t>searchregistr.site</t>
  </si>
  <si>
    <t>5f1b0e98aabe2</t>
  </si>
  <si>
    <t>https://searchregistr.site/index-5.html</t>
  </si>
  <si>
    <t>hostsearch04.site</t>
  </si>
  <si>
    <t>5f1b7c9953983</t>
  </si>
  <si>
    <t>https://hostsearch04.site/ieff/</t>
  </si>
  <si>
    <t>searchmain04.site</t>
  </si>
  <si>
    <t>5f1ad533bb4aa</t>
  </si>
  <si>
    <t>https://searchmain04.site/SAMacHelp011010xK/</t>
  </si>
  <si>
    <t>protectinformation.website</t>
  </si>
  <si>
    <t>5f18989564e27</t>
  </si>
  <si>
    <t>https://protectinformation.website/CHWInhelp10010101xK/</t>
  </si>
  <si>
    <t>martregister02.site</t>
  </si>
  <si>
    <t>5f181dab717d1</t>
  </si>
  <si>
    <t>https://martregister02.site/SAMacHelp011010xK/</t>
  </si>
  <si>
    <t>supportfact02.site</t>
  </si>
  <si>
    <t>5f0ffa02f274b</t>
  </si>
  <si>
    <t>https://supportfact02.site/index-4.html</t>
  </si>
  <si>
    <t>54.147.90.233</t>
  </si>
  <si>
    <t>5f0ffab545b33</t>
  </si>
  <si>
    <t>http://54.147.90.233/j5323/Call-Support2/</t>
  </si>
  <si>
    <t>learncookingculture.site</t>
  </si>
  <si>
    <t>165.22.35.248</t>
  </si>
  <si>
    <t>5f161a2d3140d</t>
  </si>
  <si>
    <t>https://learncookingculture.site/SAMacHelp011010x/</t>
  </si>
  <si>
    <t>5f1691e2101a2</t>
  </si>
  <si>
    <t>http://165.22.35.248/CHWInhelp10010101x/</t>
  </si>
  <si>
    <t>poire87kjd-dfkjf.ga</t>
  </si>
  <si>
    <t>167.71.0.32</t>
  </si>
  <si>
    <t>5f101c50236be</t>
  </si>
  <si>
    <t>https://poire87kjd-dfkjf.ga/OldAt0150/ieAT/</t>
  </si>
  <si>
    <t>80.240.21.96</t>
  </si>
  <si>
    <t>5f10327e94e63</t>
  </si>
  <si>
    <t>http://80.240.21.96/MAdfdfdfdfdfdf-0fsdsd7/</t>
  </si>
  <si>
    <t>borts-eu23s.ga</t>
  </si>
  <si>
    <t>159.203.103.157</t>
  </si>
  <si>
    <t>5f1032e13c1f4</t>
  </si>
  <si>
    <t>https://borts-eu23s.ga/OldAt0150/ieAT/</t>
  </si>
  <si>
    <t>rentrowhouse.site</t>
  </si>
  <si>
    <t>159.203.167.79</t>
  </si>
  <si>
    <t>5f10330f4cdf1</t>
  </si>
  <si>
    <t>https://rentrowhouse.site/SAMacHelp011010x/</t>
  </si>
  <si>
    <t>mortaerl097-woeiuysd324.ga</t>
  </si>
  <si>
    <t>64.227.100.171</t>
  </si>
  <si>
    <t>5f10546803e10</t>
  </si>
  <si>
    <t>https://mortaerl097-woeiuysd324.ga/OldAt0150/ieAT/</t>
  </si>
  <si>
    <t>mortaerl097-woeiuysd324.cf</t>
  </si>
  <si>
    <t>164.90.150.188</t>
  </si>
  <si>
    <t>5f1064a8b08b9</t>
  </si>
  <si>
    <t>https://mortaerl097-woeiuysd324.cf/OldAt0150/ieAT/</t>
  </si>
  <si>
    <t>46.101.250.102</t>
  </si>
  <si>
    <t>5f1069ff33693</t>
  </si>
  <si>
    <t>http://46.101.250.102/</t>
  </si>
  <si>
    <t>198.199.75.225</t>
  </si>
  <si>
    <t>5f106b1a8d3a6</t>
  </si>
  <si>
    <t>http://198.199.75.225/Ed10010110xyMS/</t>
  </si>
  <si>
    <t>mortaerl097-woeiuysd324.tk</t>
  </si>
  <si>
    <t>104.131.9.108</t>
  </si>
  <si>
    <t>5f10876051b0c</t>
  </si>
  <si>
    <t>https://mortaerl097-woeiuysd324.tk/OldAt0150/ieAT/</t>
  </si>
  <si>
    <t>157.245.166.44</t>
  </si>
  <si>
    <t>5f1089540769d</t>
  </si>
  <si>
    <t>http://157.245.166.44/?number=+1-(866)-709-5515</t>
  </si>
  <si>
    <t>hireelectricians.site</t>
  </si>
  <si>
    <t>104.131.1.89</t>
  </si>
  <si>
    <t>5f109aa75dfa0</t>
  </si>
  <si>
    <t>https://hireelectricians.site/EDWInhelp10010101x/</t>
  </si>
  <si>
    <t>134.209.207.99</t>
  </si>
  <si>
    <t>5f109b606882b</t>
  </si>
  <si>
    <t>http://134.209.207.99/Ed10010110xyMS/</t>
  </si>
  <si>
    <t>34.70.206.24</t>
  </si>
  <si>
    <t>5f10a12763e60</t>
  </si>
  <si>
    <t>http://34.70.206.24/ED100100EXCED/</t>
  </si>
  <si>
    <t>64.227.52.248</t>
  </si>
  <si>
    <t>5f10a3d191e4a</t>
  </si>
  <si>
    <t>http://64.227.52.248/chrome-8july-2020/?phone=+1-(866)-781-8276&amp;amp;</t>
  </si>
  <si>
    <t>mortaerl097-woeiuysd324.ml</t>
  </si>
  <si>
    <t>64.227.72.230</t>
  </si>
  <si>
    <t>5f10a86312a8c</t>
  </si>
  <si>
    <t>https://mortaerl097-woeiuysd324.ml/OldAt0150/ieAT/</t>
  </si>
  <si>
    <t>157.245.231.190</t>
  </si>
  <si>
    <t>5f10b9171653b</t>
  </si>
  <si>
    <t>http://157.245.231.190/?number=+1-(866)-722-9448</t>
  </si>
  <si>
    <t>hirehelpers.site</t>
  </si>
  <si>
    <t>104.131.7.135</t>
  </si>
  <si>
    <t>5f10b98d5d979</t>
  </si>
  <si>
    <t>https://hirehelpers.site/CHWInhelp10010101x/</t>
  </si>
  <si>
    <t>datinggrils.com.s3-website.us-east-2.amazonaws.com</t>
  </si>
  <si>
    <t>52.219.80.139</t>
  </si>
  <si>
    <t>5f10bf938297a</t>
  </si>
  <si>
    <t>http://datinggrils.com.s3-website.us-east-2.amazonaws.com/</t>
  </si>
  <si>
    <t>ugoiusosf.cf</t>
  </si>
  <si>
    <t>107.180.55.13</t>
  </si>
  <si>
    <t>5f31771649c11</t>
  </si>
  <si>
    <t>http://ugoiusosf.cf/TChsfsdfjdsfjdsfjVX/</t>
  </si>
  <si>
    <t>xmsisimds.cf</t>
  </si>
  <si>
    <t>5f317709d93e1</t>
  </si>
  <si>
    <t>http://xmsisimds.cf/TChsfsdfjdsfjdsfjVX/</t>
  </si>
  <si>
    <t>osdoif.cf</t>
  </si>
  <si>
    <t>5f3176ec14c75</t>
  </si>
  <si>
    <t>http://osdoif.cf/TChsfsdfjdsfjdsfjVX/</t>
  </si>
  <si>
    <t>www.gewpgeoro.ml</t>
  </si>
  <si>
    <t>5f16f4429a05a</t>
  </si>
  <si>
    <t>https://www.gewpgeoro.ml/TChsfsdfjdsfjdsfjVX/</t>
  </si>
  <si>
    <t>www.vaooajdks.cf</t>
  </si>
  <si>
    <t>5f16f469d1edf</t>
  </si>
  <si>
    <t>http://www.vaooajdks.cf/TChsfsdfjdsfjdsfjVX/</t>
  </si>
  <si>
    <t>www.znjdoakajd.cf</t>
  </si>
  <si>
    <t>5f16f52c288a4</t>
  </si>
  <si>
    <t>http://www.znjdoakajd.cf/TMachdsfgdsffdVX</t>
  </si>
  <si>
    <t>aoaokzkx.cf</t>
  </si>
  <si>
    <t>5f16e7e8606f5</t>
  </si>
  <si>
    <t>https://aoaokzkx.cf/TMachdsfgdsffdVX/</t>
  </si>
  <si>
    <t>znjdoakajd.cf</t>
  </si>
  <si>
    <t>5f16e7d8e486e</t>
  </si>
  <si>
    <t>http://znjdoakajd.cf/TMachdsfgdsffdVX/</t>
  </si>
  <si>
    <t>gooaoala.cf</t>
  </si>
  <si>
    <t>5f16e7c8bc668</t>
  </si>
  <si>
    <t>http://gooaoala.cf/TMachdsfgdsffdVX/</t>
  </si>
  <si>
    <t>mksiiaos.ml</t>
  </si>
  <si>
    <t>5f16e7b97bfe3</t>
  </si>
  <si>
    <t>http://mksiiaos.ml/TMachdsfgdsffdVX/</t>
  </si>
  <si>
    <t>viososks.cf</t>
  </si>
  <si>
    <t>5f16e7729c243</t>
  </si>
  <si>
    <t>http://viososks.cf/TMachdsfgdsffdVX/</t>
  </si>
  <si>
    <t>ckosoajzks.cf</t>
  </si>
  <si>
    <t>5f16e763647e6</t>
  </si>
  <si>
    <t>http://ckosoajzks.cf/TMachdsfgdsffdVX/</t>
  </si>
  <si>
    <t>viaooakdd.ml</t>
  </si>
  <si>
    <t>5f16e751664b8</t>
  </si>
  <si>
    <t>http://viaooakdd.ml/TMachdsfgdsffdVX/</t>
  </si>
  <si>
    <t>corosoos.ml</t>
  </si>
  <si>
    <t>5f16e6fea2b48</t>
  </si>
  <si>
    <t>http://corosoos.ml/TMachdsfgdsffdVX/</t>
  </si>
  <si>
    <t>yosuisosos.cf</t>
  </si>
  <si>
    <t>5f16e6ef3657f</t>
  </si>
  <si>
    <t>http://yosuisosos.cf/TMachdsfgdsffdVX/</t>
  </si>
  <si>
    <t>bxkosksjs.cf</t>
  </si>
  <si>
    <t>5f16e6de65291</t>
  </si>
  <si>
    <t>http://bxkosksjs.cf/TMachdsfgdsffdVX/</t>
  </si>
  <si>
    <t>topwowkkd.ml</t>
  </si>
  <si>
    <t>5f16e6cb4881b</t>
  </si>
  <si>
    <t>http://topwowkkd.ml/TMachdsfgdsffdVX/</t>
  </si>
  <si>
    <t>vaooajdks.cf</t>
  </si>
  <si>
    <t>5f16e6b52bf19</t>
  </si>
  <si>
    <t>https://vaooajdks.cf/TMachdsfgdsffdVX/</t>
  </si>
  <si>
    <t>qowiekskks.cf</t>
  </si>
  <si>
    <t>5f16e65a1ac41</t>
  </si>
  <si>
    <t>http://qowiekskks.cf/TChsfsdfjdsfjdsfjVX/</t>
  </si>
  <si>
    <t>167.71.175.201</t>
  </si>
  <si>
    <t>5f131f1898d60</t>
  </si>
  <si>
    <t>http://167.71.175.201/HRYDCH18811881187D_MS/</t>
  </si>
  <si>
    <t>107.20.209.104</t>
  </si>
  <si>
    <t>5f1107531939e</t>
  </si>
  <si>
    <t>http://107.20.209.104/j0214/Call-Support1/</t>
  </si>
  <si>
    <t>rentapartment.site</t>
  </si>
  <si>
    <t>104.131.2.216</t>
  </si>
  <si>
    <t>5f110749a4680</t>
  </si>
  <si>
    <t>https://rentapartment.site/EDWInhelp10010101x/</t>
  </si>
  <si>
    <t>systemsupportalertsystemuk.online</t>
  </si>
  <si>
    <t>207.148.73.112</t>
  </si>
  <si>
    <t>5f11075ad4e75</t>
  </si>
  <si>
    <t>https://systemsupportalertsystemuk.online/17072020jpsg/dav/Oajdjhduwjnndjk/</t>
  </si>
  <si>
    <t>bitmap945.ml</t>
  </si>
  <si>
    <t>172.67.154.165</t>
  </si>
  <si>
    <t>5f11076848071</t>
  </si>
  <si>
    <t>https://bitmap945.ml/hbs-hbds-help0.gbs/TEdsjsjhskhkasdVXPV/</t>
  </si>
  <si>
    <t>ksdjuy7-jhsd.cf</t>
  </si>
  <si>
    <t>104.131.0.192</t>
  </si>
  <si>
    <t>5f11a43f47227</t>
  </si>
  <si>
    <t>https://ksdjuy7-jhsd.cf/OldAt0150/ieAT/</t>
  </si>
  <si>
    <t>getsyslook.com</t>
  </si>
  <si>
    <t>165.227.35.209</t>
  </si>
  <si>
    <t>5f11a487e72e2</t>
  </si>
  <si>
    <t>https://getsyslook.com/xno7xxx5xxxy/SAMacHelp011010x/?site=</t>
  </si>
  <si>
    <t>ksdjuy7-jhsd.tk</t>
  </si>
  <si>
    <t>167.71.3.137</t>
  </si>
  <si>
    <t>5f11a97fa8c74</t>
  </si>
  <si>
    <t>https://ksdjuy7-jhsd.tk/OldAt0150/ieAT/</t>
  </si>
  <si>
    <t>159.65.108.59</t>
  </si>
  <si>
    <t>5f11ebdf81d03</t>
  </si>
  <si>
    <t>http://159.65.108.59/xxxx16-2020-edgechromium-xxxx/?phone=+1-(888)-526-1762&amp;amp;</t>
  </si>
  <si>
    <t>0923uwue-32987weuiry.ml</t>
  </si>
  <si>
    <t>164.90.144.175</t>
  </si>
  <si>
    <t>5f11d837c20a4</t>
  </si>
  <si>
    <t>https://0923uwue-32987weuiry.ml/OldAt0150/ieAT/</t>
  </si>
  <si>
    <t>167.172.154.139</t>
  </si>
  <si>
    <t>5f11e2c5a6b77</t>
  </si>
  <si>
    <t>http://167.172.154.139/Ed10010110xyMS/</t>
  </si>
  <si>
    <t>regatestdomain.tk</t>
  </si>
  <si>
    <t>161.35.100.8</t>
  </si>
  <si>
    <t>5f11e2ccd6eb0</t>
  </si>
  <si>
    <t>https://regatestdomain.tk/a/EDWInhelp10010101x/</t>
  </si>
  <si>
    <t>138.68.227.11</t>
  </si>
  <si>
    <t>5f11e2bbaf738</t>
  </si>
  <si>
    <t>http://138.68.227.11/xxxx16-2020-edgechromium-xxxx/?phone=+1-(866)-761-4656&amp;amp;</t>
  </si>
  <si>
    <t>134.122.125.94</t>
  </si>
  <si>
    <t>5f11efa2701da</t>
  </si>
  <si>
    <t>http://134.122.125.94/Ed10010110xyMS/</t>
  </si>
  <si>
    <t>5f11efa6e9861</t>
  </si>
  <si>
    <t>http://134.122.125.94/Ch10010110xyMS/</t>
  </si>
  <si>
    <t>64.225.42.213</t>
  </si>
  <si>
    <t>Cogeco Peer 1</t>
  </si>
  <si>
    <t>5f122c28cfb8e</t>
  </si>
  <si>
    <t>http://64.225.42.213/xxxx16-2020-edgechromium-xxxx/?phone=+1-(866)-533-1807&amp;amp;</t>
  </si>
  <si>
    <t>SÃ£o Paulo</t>
  </si>
  <si>
    <t>03resultszasx.azurewebsites.net</t>
  </si>
  <si>
    <t>104.41.63.108</t>
  </si>
  <si>
    <t>60410cdf634ab</t>
  </si>
  <si>
    <t>https://03resultszasx.azurewebsites.net/XOXMUS800844CHR844MMDD1857/</t>
  </si>
  <si>
    <t>Brazil</t>
  </si>
  <si>
    <t>supportscenter-04.azurewebsites.net</t>
  </si>
  <si>
    <t>5fe25526ea3d5</t>
  </si>
  <si>
    <t>https://supportscenter-04.azurewebsites.net/Wind0HelCHSyS06016552664/</t>
  </si>
  <si>
    <t>20-geek-support.azurewebsites.net</t>
  </si>
  <si>
    <t>5fd7a825bf92a</t>
  </si>
  <si>
    <t>http://20-geek-support.azurewebsites.net/Wind0HelEDGSyS06016552664/</t>
  </si>
  <si>
    <t>freequickpcsupport030.azurewebsites.net</t>
  </si>
  <si>
    <t>5f9c48d8613d6</t>
  </si>
  <si>
    <t>https://freequickpcsupport030.azurewebsites.net/gxDdcFJ5WdRaJjW/</t>
  </si>
  <si>
    <t>freequickssupports044.azurewebsites.net</t>
  </si>
  <si>
    <t>5f970ea31b3ae</t>
  </si>
  <si>
    <t>https://freequickssupports044.azurewebsites.net/9GMEFgvzgTaEgPD/</t>
  </si>
  <si>
    <t>freequickssupports014.azurewebsites.net</t>
  </si>
  <si>
    <t>5f970c935d6e3</t>
  </si>
  <si>
    <t>https://freequickssupports014.azurewebsites.net/9GMEFgvzgTaEgPD/</t>
  </si>
  <si>
    <t>unmatchedpchelp19.azurewebsites.net</t>
  </si>
  <si>
    <t>5f7cd6349a44c</t>
  </si>
  <si>
    <t>https://unmatchedpchelp19.azurewebsites.net/7mXVCUNqjvYHSbG/</t>
  </si>
  <si>
    <t>bestpchelpsupport14.azurewebsites.net</t>
  </si>
  <si>
    <t>5f778ac1e9459</t>
  </si>
  <si>
    <t>https://bestpchelpsupport14.azurewebsites.net/TZZsyhcrt2Wrbu9/</t>
  </si>
  <si>
    <t>liveonlinepchelp44.azurewebsites.net</t>
  </si>
  <si>
    <t>5f737818b7d98</t>
  </si>
  <si>
    <t>https://liveonlinepchelp44.azurewebsites.net/6Yeqm5nqUDDNFgk/</t>
  </si>
  <si>
    <t>onlinecomputersupport37.azurewebsites.net</t>
  </si>
  <si>
    <t>5f72210b7a202</t>
  </si>
  <si>
    <t>https://onlinecomputersupport37.azurewebsites.net/Kq8XSq5WNCgY68z/</t>
  </si>
  <si>
    <t>freecomputersupport84.azurewebsites.net</t>
  </si>
  <si>
    <t>5f6af5d9dc2f2</t>
  </si>
  <si>
    <t>https://freecomputersupport84.azurewebsites.net/PjY6bTgrEnuKddE/</t>
  </si>
  <si>
    <t>freecomputerhelp144.azurewebsites.net</t>
  </si>
  <si>
    <t>5f699e428045b</t>
  </si>
  <si>
    <t>https://freecomputerhelp144.azurewebsites.net/R7tcvkAFdAwS4B4</t>
  </si>
  <si>
    <t>freecomputerhelp124.azurewebsites.net</t>
  </si>
  <si>
    <t>5f699e158f6b9</t>
  </si>
  <si>
    <t>https://freecomputerhelp124.azurewebsites.net/R7tcvkAFdAwS4B4</t>
  </si>
  <si>
    <t>freecomputerhelp44.azurewebsites.net</t>
  </si>
  <si>
    <t>5f68dcb0f34ee</t>
  </si>
  <si>
    <t>https://freecomputerhelp44.azurewebsites.net/6r2nNwfsNjAGcCW/</t>
  </si>
  <si>
    <t>freecomputerhelp04.azurewebsites.net</t>
  </si>
  <si>
    <t>5f68d98194356</t>
  </si>
  <si>
    <t>https://freecomputerhelp04.azurewebsites.net/R7tcvkAFdAwS4B4/</t>
  </si>
  <si>
    <t>freepchelpforum44.azurewebsites.net</t>
  </si>
  <si>
    <t>5f62889b3393b</t>
  </si>
  <si>
    <t>https://freepchelpforum44.azurewebsites.net/TxHTvPq9EFWfwjb/</t>
  </si>
  <si>
    <t>freepchelpforum04.azurewebsites.net</t>
  </si>
  <si>
    <t>5f62880688587</t>
  </si>
  <si>
    <t>https://freepchelpforum04.azurewebsites.net/TxHTvPq9EFWfwjb/</t>
  </si>
  <si>
    <t>freepchelp94.azurewebsites.net</t>
  </si>
  <si>
    <t>5f6246f470187</t>
  </si>
  <si>
    <t>https://freepchelp94.azurewebsites.net/TxHTvPq9EFWfwjb/</t>
  </si>
  <si>
    <t>freepchelp129.azurewebsites.net</t>
  </si>
  <si>
    <t>5f6244939b44d</t>
  </si>
  <si>
    <t>https://freepchelp129.azurewebsites.net/TxHTvPq9EFWfwjb/</t>
  </si>
  <si>
    <t>freepchelp04.azurewebsites.net</t>
  </si>
  <si>
    <t>5f61c61b1b58c</t>
  </si>
  <si>
    <t>https://freepchelp04.azurewebsites.net/ERDDrHjVfKbFJbQ/</t>
  </si>
  <si>
    <t>freepchelp57.azurewebsites.net</t>
  </si>
  <si>
    <t>5f61c5924b5a8</t>
  </si>
  <si>
    <t>https://freepchelp57.azurewebsites.net/ERDDrHjVfKbFJbQ/</t>
  </si>
  <si>
    <t>freepchelp84.azurewebsites.net</t>
  </si>
  <si>
    <t>5f61c5370ec7a</t>
  </si>
  <si>
    <t>https://freepchelp84.azurewebsites.net/ERDDrHjVfKbFJbQ/</t>
  </si>
  <si>
    <t>freepchelponline04.azurewebsites.net</t>
  </si>
  <si>
    <t>5f60f97e98497</t>
  </si>
  <si>
    <t>https://freepchelponline04.azurewebsites.net/ERDDrHjVfKbFJbQ/</t>
  </si>
  <si>
    <t>pconlinehelp174.azurewebsites.net</t>
  </si>
  <si>
    <t>5f60e73c54843</t>
  </si>
  <si>
    <t>https://pconlinehelp174.azurewebsites.net/ERDDrHjVfKbFJbQ/</t>
  </si>
  <si>
    <t>pconlinehelp104.azurewebsites.net</t>
  </si>
  <si>
    <t>5f60798e002c0</t>
  </si>
  <si>
    <t>https://pconlinehelp104.azurewebsites.net/ERDDrHjVfKbFJbQ/</t>
  </si>
  <si>
    <t>pconlinehelp124.azurewebsites.net</t>
  </si>
  <si>
    <t>5f60795aa1958</t>
  </si>
  <si>
    <t>https://pconlinehelp124.azurewebsites.net/ERDDrHjVfKbFJbQ/</t>
  </si>
  <si>
    <t>pconlinehelp154.azurewebsites.net</t>
  </si>
  <si>
    <t>5f607923e7225</t>
  </si>
  <si>
    <t>https://pconlinehelp154.azurewebsites.net/ERDDrHjVfKbFJbQ/</t>
  </si>
  <si>
    <t>pchelpservices154.azurewebsites.net</t>
  </si>
  <si>
    <t>5f5931c9e94ae</t>
  </si>
  <si>
    <t>https://pchelpservices154.azurewebsites.net/dawsonwhlerS7v/</t>
  </si>
  <si>
    <t>pchelpservices147.azurewebsites.net</t>
  </si>
  <si>
    <t>5f592aba5d449</t>
  </si>
  <si>
    <t>https://pchelpservices147.azurewebsites.net/dawsonwhlerS7v/</t>
  </si>
  <si>
    <t>pchelpservices114.azurewebsites.net</t>
  </si>
  <si>
    <t>5f59172cadc74</t>
  </si>
  <si>
    <t>https://pchelpservices114.azurewebsites.net/dawsonwhlerS7v/</t>
  </si>
  <si>
    <t>pchelpservices64.azurewebsites.net</t>
  </si>
  <si>
    <t>5f590d5f3eb15</t>
  </si>
  <si>
    <t>https://pchelpservices64.azurewebsites.net/dawsonwhlerS7v/</t>
  </si>
  <si>
    <t>callnow14.azurewebsites.net</t>
  </si>
  <si>
    <t>5f5285f08b1bd</t>
  </si>
  <si>
    <t>http://callnow14.azurewebsites.net/Mer-cado/</t>
  </si>
  <si>
    <t>freesupportcall14.azurewebsites.net</t>
  </si>
  <si>
    <t>5f4e7340ad9c9</t>
  </si>
  <si>
    <t>http://freesupportcall14.azurewebsites.net/q5gCvYnz6kzKvgY/</t>
  </si>
  <si>
    <t>freesupport104.azurewebsites.net</t>
  </si>
  <si>
    <t>5f4c0e41c5c75</t>
  </si>
  <si>
    <t>http://freesupport104.azurewebsites.net/gHBW7zFVGjwcrjr/</t>
  </si>
  <si>
    <t>freesupport84.azurewebsites.net</t>
  </si>
  <si>
    <t>5f4c0de702ed5</t>
  </si>
  <si>
    <t>http://freesupport84.azurewebsites.net/gHBW7zFVGjwcrjr/</t>
  </si>
  <si>
    <t>freesupport54.azurewebsites.net</t>
  </si>
  <si>
    <t>5f4c0d55836f4</t>
  </si>
  <si>
    <t>http://freesupport54.azurewebsites.net/gHBW7zFVGjwcrjr/</t>
  </si>
  <si>
    <t>freesupport44.azurewebsites.net</t>
  </si>
  <si>
    <t>5f4c0d25ba9a9</t>
  </si>
  <si>
    <t>http://freesupport44.azurewebsites.net/gHBW7zFVGjwcrjr/</t>
  </si>
  <si>
    <t>callnow-free124.azurewebsites.net</t>
  </si>
  <si>
    <t>5f4c09466250f</t>
  </si>
  <si>
    <t>http://callnow-free124.azurewebsites.net/S9M5QFaca7VkHSt/</t>
  </si>
  <si>
    <t>callnow-free104.azurewebsites.net</t>
  </si>
  <si>
    <t>5f4c08ea0f1ea</t>
  </si>
  <si>
    <t>http://callnow-free104.azurewebsites.net/S9M5QFaca7VkHSt/</t>
  </si>
  <si>
    <t>callnow-free83.azurewebsites.net</t>
  </si>
  <si>
    <t>5f4c08881ed86</t>
  </si>
  <si>
    <t>http://callnow-free83.azurewebsites.net/S9M5QFaca7VkHSt/</t>
  </si>
  <si>
    <t>callnow-free65.azurewebsites.net</t>
  </si>
  <si>
    <t>5f4ae3c481ecb</t>
  </si>
  <si>
    <t>http://callnow-free65.azurewebsites.net/S9M5QFaca7VkHSt/</t>
  </si>
  <si>
    <t>getfreesupport154.azurewebsites.net</t>
  </si>
  <si>
    <t>5f49765a93727</t>
  </si>
  <si>
    <t>http://getfreesupport154.azurewebsites.net/gHBW7zFVGjwcrjr/</t>
  </si>
  <si>
    <t>getfreesupport144.azurewebsites.net</t>
  </si>
  <si>
    <t>5f497629526fe</t>
  </si>
  <si>
    <t>http://getfreesupport144.azurewebsites.net/gHBW7zFVGjwcrjr/</t>
  </si>
  <si>
    <t>getfreesupport134.azurewebsites.net</t>
  </si>
  <si>
    <t>5f4975f80ea20</t>
  </si>
  <si>
    <t>http://getfreesupport134.azurewebsites.net/gHBW7zFVGjwcrjr/</t>
  </si>
  <si>
    <t>getfreesupport124.azurewebsites.net</t>
  </si>
  <si>
    <t>5f4975c532afd</t>
  </si>
  <si>
    <t>http://getfreesupport124.azurewebsites.net/gHBW7zFVGjwcrjr/</t>
  </si>
  <si>
    <t>getfreesupport104.azurewebsites.net</t>
  </si>
  <si>
    <t>5f49755dcfef2</t>
  </si>
  <si>
    <t>http://getfreesupport104.azurewebsites.net/gHBW7zFVGjwcrjr/</t>
  </si>
  <si>
    <t>freesupport134.azurewebsites.net</t>
  </si>
  <si>
    <t>5f4961fb7a54a</t>
  </si>
  <si>
    <t>http://freesupport134.azurewebsites.net/pb613cadhekan/</t>
  </si>
  <si>
    <t>freemaintenance104.azurewebsites.net</t>
  </si>
  <si>
    <t>5f495ebc82877</t>
  </si>
  <si>
    <t>http://freemaintenance104.azurewebsites.net/q5gCvYnz6kzKvgY/</t>
  </si>
  <si>
    <t>freemaintenance24.azurewebsites.net</t>
  </si>
  <si>
    <t>5f48bc4481ae5</t>
  </si>
  <si>
    <t>http://freemaintenance24.azurewebsites.net/q5gCvYnz6kzKvgY/</t>
  </si>
  <si>
    <t>getfreesupport174.azurewebsites.net</t>
  </si>
  <si>
    <t>5f47ad807e997</t>
  </si>
  <si>
    <t>http://getfreesupport174.azurewebsites.net/atEdYhpx5ykF2Ru/</t>
  </si>
  <si>
    <t>computer114.azurewebsites.net</t>
  </si>
  <si>
    <t>5f47a3108d439</t>
  </si>
  <si>
    <t>http://computer114.azurewebsites.net/Belle-Plaine</t>
  </si>
  <si>
    <t>computer04.azurewebsites.net</t>
  </si>
  <si>
    <t>5f479dfa8042a</t>
  </si>
  <si>
    <t>http://computer04.azurewebsites.net/Belle-Plaine/</t>
  </si>
  <si>
    <t>checkup54.azurewebsites.net</t>
  </si>
  <si>
    <t>5f44787f9b552</t>
  </si>
  <si>
    <t>http://checkup54.azurewebsites.net/Kristy-Cortez/</t>
  </si>
  <si>
    <t>checkup44.azurewebsites.net</t>
  </si>
  <si>
    <t>5f4477d7b66a8</t>
  </si>
  <si>
    <t>http://checkup44.azurewebsites.net/Kristy-Cortez/</t>
  </si>
  <si>
    <t>checkup34.azurewebsites.net</t>
  </si>
  <si>
    <t>5f447760a3ec4</t>
  </si>
  <si>
    <t>http://checkup34.azurewebsites.net/Kristy-Cortez/</t>
  </si>
  <si>
    <t>getfreesupport84.azurewebsites.net</t>
  </si>
  <si>
    <t>5f445177ac2ff</t>
  </si>
  <si>
    <t>https://getfreesupport84.azurewebsites.net/atEdYhpx5ykF2Ru/</t>
  </si>
  <si>
    <t>getfreesupport74.azurewebsites.net</t>
  </si>
  <si>
    <t>5f445106b9450</t>
  </si>
  <si>
    <t>https://getfreesupport74.azurewebsites.net/atEdYhpx5ykF2Ru/</t>
  </si>
  <si>
    <t>callnow-free24.azurewebsites.net</t>
  </si>
  <si>
    <t>5f4449d6456f3</t>
  </si>
  <si>
    <t>https://callnow-free24.azurewebsites.net/Cortez/</t>
  </si>
  <si>
    <t>callnow-free04.azurewebsites.net</t>
  </si>
  <si>
    <t>5f44485f1f8d7</t>
  </si>
  <si>
    <t>https://callnow-free04.azurewebsites.net/Cortez/</t>
  </si>
  <si>
    <t>services04.azurewebsites.net</t>
  </si>
  <si>
    <t>5f40263c23143</t>
  </si>
  <si>
    <t>http://services04.azurewebsites.net/pokmnbvxaq234/</t>
  </si>
  <si>
    <t>getfreesupport24.azurewebsites.net</t>
  </si>
  <si>
    <t>5f3f88271b535</t>
  </si>
  <si>
    <t>http://getfreesupport24.azurewebsites.net/qJRMzcfrH4ZAppa/</t>
  </si>
  <si>
    <t>computer94.azurewebsites.net</t>
  </si>
  <si>
    <t>5f30d7a34a43f</t>
  </si>
  <si>
    <t>http://computer94.azurewebsites.net/Belle-Plaine</t>
  </si>
  <si>
    <t>computer64.azurewebsites.net</t>
  </si>
  <si>
    <t>5f2d4311b548e</t>
  </si>
  <si>
    <t>http://computer64.azurewebsites.net/Kristy-Cortez/</t>
  </si>
  <si>
    <t>xerror44.azurewebsites.net</t>
  </si>
  <si>
    <t>5f1961742c584</t>
  </si>
  <si>
    <t>http://xerror44.azurewebsites.net/Clair-Avenue/</t>
  </si>
  <si>
    <t>terror04.azurewebsites.net</t>
  </si>
  <si>
    <t>5f12262846bda</t>
  </si>
  <si>
    <t>https://terror04.azurewebsites.net/Boyd-TX/</t>
  </si>
  <si>
    <t>09uyerh-78eru.ml</t>
  </si>
  <si>
    <t>Peer 1 Dedicated Hosting</t>
  </si>
  <si>
    <t>64.225.71.244</t>
  </si>
  <si>
    <t>5f146ac5aa6c8</t>
  </si>
  <si>
    <t>https://09uyerh-78eru.ml/OldAt0150/ieAT/</t>
  </si>
  <si>
    <t>getresults.site</t>
  </si>
  <si>
    <t>104.131.11.134</t>
  </si>
  <si>
    <t>5f122f7abf60e</t>
  </si>
  <si>
    <t>https://getresults.site/EDWInhelp10010101x/</t>
  </si>
  <si>
    <t>qorener-oiu73.cf</t>
  </si>
  <si>
    <t>161.35.233.211</t>
  </si>
  <si>
    <t>5f12ce165d08d</t>
  </si>
  <si>
    <t>https://qorener-oiu73.cf/OldAt0150/ieAT/</t>
  </si>
  <si>
    <t>subcrreqserver113.azurewebsites.net</t>
  </si>
  <si>
    <t>52.173.76.33</t>
  </si>
  <si>
    <t>5fee2b2a83888</t>
  </si>
  <si>
    <t>http://subcrreqserver113.azurewebsites.net/WIn01secu0RJurity0CHSys01888Y/</t>
  </si>
  <si>
    <t>micro-plifgredj.azurewebsites.net</t>
  </si>
  <si>
    <t>5f196322592fa</t>
  </si>
  <si>
    <t>http://micro-plifgredj.azurewebsites.net/TChsfsdfjdsfjdsfjVX/</t>
  </si>
  <si>
    <t>micro-gonelokmo.azurewebsites.net</t>
  </si>
  <si>
    <t>5f1962fb4ea1d</t>
  </si>
  <si>
    <t>http://micro-gonelokmo.azurewebsites.net/TChsfsdfjdsfjdsfjVX/</t>
  </si>
  <si>
    <t>micro-mink3e33.azurewebsites.net</t>
  </si>
  <si>
    <t>5f185375ceea8</t>
  </si>
  <si>
    <t>http://micro-mink3e33.azurewebsites.net/</t>
  </si>
  <si>
    <t>micro-lokilsksk2.azurewebsites.net</t>
  </si>
  <si>
    <t>5f18536a3836d</t>
  </si>
  <si>
    <t>http://micro-lokilsksk2.azurewebsites.net/</t>
  </si>
  <si>
    <t>micro-dedekoical.azurewebsites.net</t>
  </si>
  <si>
    <t>5f1821132c1cf</t>
  </si>
  <si>
    <t>http://micro-dedekoical.azurewebsites.net/TChsfsdfjdsfjdsfjVX/</t>
  </si>
  <si>
    <t>micro-wednesgrt.azurewebsites.net</t>
  </si>
  <si>
    <t>5f181d41c10b5</t>
  </si>
  <si>
    <t>https://micro-wednesgrt.azurewebsites.net/</t>
  </si>
  <si>
    <t>micro-lopkdke.azurewebsites.net</t>
  </si>
  <si>
    <t>5f16eca3d34dc</t>
  </si>
  <si>
    <t>https://micro-lopkdke.azurewebsites.net/TMachdsfgdsffdVX/</t>
  </si>
  <si>
    <t>micro-seitryytt.azurewebsites.net</t>
  </si>
  <si>
    <t>5f15f737d394a</t>
  </si>
  <si>
    <t>https://micro-seitryytt.azurewebsites.net/TMachdsfgdsffdVX/</t>
  </si>
  <si>
    <t>micro-jaimhakl.azurewebsites.net</t>
  </si>
  <si>
    <t>5f154e32d808d</t>
  </si>
  <si>
    <t>https://micro-jaimhakl.azurewebsites.net/TMachdsfgdsffdVX/</t>
  </si>
  <si>
    <t>micro-kilopas.azurewebsites.net</t>
  </si>
  <si>
    <t>5f14994857636</t>
  </si>
  <si>
    <t>http://micro-kilopas.azurewebsites.net/TChsfsdfjdsfjdsfjVX/</t>
  </si>
  <si>
    <t>micro-akahjsale.azurewebsites.net</t>
  </si>
  <si>
    <t>5f14885b2f0f5</t>
  </si>
  <si>
    <t>http://micro-akahjsale.azurewebsites.net/TMachdsfgdsffdVX/</t>
  </si>
  <si>
    <t>micro-fromkoas.azurewebsites.net</t>
  </si>
  <si>
    <t>5f131149a7f48</t>
  </si>
  <si>
    <t>https://micro-fromkoas.azurewebsites.net/</t>
  </si>
  <si>
    <t>micro-lolodefer.azurewebsites.net</t>
  </si>
  <si>
    <t>5f12ce44226ae</t>
  </si>
  <si>
    <t>https://micro-lolodefer.azurewebsites.net/TMachdsfgdsffdVX/</t>
  </si>
  <si>
    <t>getplumbers.site</t>
  </si>
  <si>
    <t>167.71.99.46</t>
  </si>
  <si>
    <t>5f12ce75d48b6</t>
  </si>
  <si>
    <t>https://getplumbers.site/SAMacHelp011010x/</t>
  </si>
  <si>
    <t>iokp.s3-website.ca-central-1.amazonaws.com</t>
  </si>
  <si>
    <t>52.95.146.105</t>
  </si>
  <si>
    <t>5f130fa5d387c</t>
  </si>
  <si>
    <t>http://iokp.s3-website.ca-central-1.amazonaws.com/</t>
  </si>
  <si>
    <t>qorener-oiu73.gq</t>
  </si>
  <si>
    <t>64.227.72.140</t>
  </si>
  <si>
    <t>5f131132a9489</t>
  </si>
  <si>
    <t>https://qorener-oiu73.gq/OldAt0150/ieAT/</t>
  </si>
  <si>
    <t>datemywebsite.ga</t>
  </si>
  <si>
    <t>162.0.232.49</t>
  </si>
  <si>
    <t>601c15900ece1</t>
  </si>
  <si>
    <t>http://datemywebsite.ga/jp/WinFhelpxcodexwin444CHerrorxxdc/</t>
  </si>
  <si>
    <t>ghjikj.tk</t>
  </si>
  <si>
    <t>5f2c31ce9d89b</t>
  </si>
  <si>
    <t>https://ghjikj.tk/Hollywood-FL-33029/index.html</t>
  </si>
  <si>
    <t>fguhk.tk</t>
  </si>
  <si>
    <t>5f2afe91a151c</t>
  </si>
  <si>
    <t>https://fguhk.tk/Hollywood-FL-33029/index.html</t>
  </si>
  <si>
    <t>www.win-error7273.ga</t>
  </si>
  <si>
    <t>5f21cd45ca54b</t>
  </si>
  <si>
    <t>https://www.win-error7273.ga/7MAyui_rwepyx247/</t>
  </si>
  <si>
    <t>bvfgyh.tk</t>
  </si>
  <si>
    <t>5f21b5939deb0</t>
  </si>
  <si>
    <t>http://bvfgyh.tk/</t>
  </si>
  <si>
    <t>win-error7273.tk</t>
  </si>
  <si>
    <t>5f2133f90aaed</t>
  </si>
  <si>
    <t>https://win-error7273.tk/7Cdyui_rwepyx247/</t>
  </si>
  <si>
    <t>5f2133abe6908</t>
  </si>
  <si>
    <t>https://www.win-error7273.ga/7Cdyui_rwepyx247/</t>
  </si>
  <si>
    <t>win-error7273.ml</t>
  </si>
  <si>
    <t>5f2097905b5e7</t>
  </si>
  <si>
    <t>https://win-error7273.ml/7MAyui_rwepyx247/</t>
  </si>
  <si>
    <t>pchsweepstakes.club</t>
  </si>
  <si>
    <t>5f20926a1317c</t>
  </si>
  <si>
    <t>https://pchsweepstakes.club/</t>
  </si>
  <si>
    <t>countrylivings.club</t>
  </si>
  <si>
    <t>5f206cd977fa4</t>
  </si>
  <si>
    <t>https://countrylivings.club/</t>
  </si>
  <si>
    <t>win-error6263.ga</t>
  </si>
  <si>
    <t>5f1b540b1bf8a</t>
  </si>
  <si>
    <t>https://win-error6263.ga/7MAyui_rwepyx247/</t>
  </si>
  <si>
    <t>www.win-error6263.cf</t>
  </si>
  <si>
    <t>5f1b45e985bee</t>
  </si>
  <si>
    <t>https://www.win-error6263.cf/7Cdyui_rwepyx247/</t>
  </si>
  <si>
    <t>win-error6263.gq</t>
  </si>
  <si>
    <t>5f1b4072677c1</t>
  </si>
  <si>
    <t>https://win-error6263.gq/t/7Cdyui_rwepyx247/</t>
  </si>
  <si>
    <t>win-error6263.ml</t>
  </si>
  <si>
    <t>5f1b31c51bc30</t>
  </si>
  <si>
    <t>https://win-error6263.ml/7MAyui_rwepyx247/</t>
  </si>
  <si>
    <t>5f1b31824b359</t>
  </si>
  <si>
    <t>https://win-error6263.ga/7Cdyui_rwepyx247/</t>
  </si>
  <si>
    <t>win-error6263.cf</t>
  </si>
  <si>
    <t>5f1b3106bacf4</t>
  </si>
  <si>
    <t>https://win-error6263.cf/7Cdyui_rwepyx247/</t>
  </si>
  <si>
    <t>5f1bdf5bbe8a5</t>
  </si>
  <si>
    <t>https://win-error6263.cf/7MAyui_rwepyx247/</t>
  </si>
  <si>
    <t>win-error5253.cf</t>
  </si>
  <si>
    <t>5f19baae9a3f8</t>
  </si>
  <si>
    <t>https://win-error5253.cf/7MAyui_rwepyx247/</t>
  </si>
  <si>
    <t>win-error5253.gq</t>
  </si>
  <si>
    <t>5f19ba975624b</t>
  </si>
  <si>
    <t>https://win-error5253.gq/7MAyui_rwepyx247/</t>
  </si>
  <si>
    <t>www.win-error5253.ga</t>
  </si>
  <si>
    <t>5f19651dac48d</t>
  </si>
  <si>
    <t>https://www.win-error5253.ga/7Cdyui_rwepyx247/</t>
  </si>
  <si>
    <t>www.win-error5253.ml</t>
  </si>
  <si>
    <t>5f1897a98a8a8</t>
  </si>
  <si>
    <t>https://www.win-error5253.ml/7Cdyui_rwepyx247/</t>
  </si>
  <si>
    <t>www.win-error5253.cf</t>
  </si>
  <si>
    <t>5f18978c7ae49</t>
  </si>
  <si>
    <t>https://www.win-error5253.cf/7Cdyui_rwepyx247/</t>
  </si>
  <si>
    <t>win-error5253.ga</t>
  </si>
  <si>
    <t>5f1862f76f2d2</t>
  </si>
  <si>
    <t>https://win-error5253.ga/7Cdyui_rwepyx247/</t>
  </si>
  <si>
    <t>win-error5253.ml</t>
  </si>
  <si>
    <t>5f170ddc05a8d</t>
  </si>
  <si>
    <t>https://win-error5253.ml/7Cdyui_rwepyx247/</t>
  </si>
  <si>
    <t>wishishesforyou.tk</t>
  </si>
  <si>
    <t>5f1315d2764c1</t>
  </si>
  <si>
    <t>http://wishishesforyou.tk/AEdgfdgXMMdfhjgdfhX/</t>
  </si>
  <si>
    <t>yioor-iu7khdsd.ga</t>
  </si>
  <si>
    <t>104.248.15.215</t>
  </si>
  <si>
    <t>5f133525ec383</t>
  </si>
  <si>
    <t>https://yioor-iu7khdsd.ga/Mortal/mor/</t>
  </si>
  <si>
    <t>198.199.122.25</t>
  </si>
  <si>
    <t>5f13359669c56</t>
  </si>
  <si>
    <t>http://198.199.122.25/Ed10010110xyMS/</t>
  </si>
  <si>
    <t>app1july18-env.eba-xicwihzu.us-east-2.elasticbeanstalk.com</t>
  </si>
  <si>
    <t>3.135.41.249</t>
  </si>
  <si>
    <t>5f133720aa2f2</t>
  </si>
  <si>
    <t>http://app1july18-env.eba-xicwihzu.us-east-2.elasticbeanstalk.com/0CH01011001_77/</t>
  </si>
  <si>
    <t>callsupport.com.s3-website.us-east-2.amazonaws.com</t>
  </si>
  <si>
    <t>52.219.96.59</t>
  </si>
  <si>
    <t>5f13533100aa8</t>
  </si>
  <si>
    <t>http://callsupport.com.s3-website.us-east-2.amazonaws.com/</t>
  </si>
  <si>
    <t>dsdonlinesupportt.xyz</t>
  </si>
  <si>
    <t>104.219.248.49</t>
  </si>
  <si>
    <t>5f13629282ec1</t>
  </si>
  <si>
    <t>https://dsdonlinesupportt.xyz/EDWInhelp10010101xRBx/</t>
  </si>
  <si>
    <t>104.131.24.93</t>
  </si>
  <si>
    <t>5f138330bd245</t>
  </si>
  <si>
    <t>http://104.131.24.93/GMSaxMS/</t>
  </si>
  <si>
    <t>joerkd-reuhhd7.ga</t>
  </si>
  <si>
    <t>164.90.196.7</t>
  </si>
  <si>
    <t>5f143811d02ec</t>
  </si>
  <si>
    <t>https://joerkd-reuhhd7.ga/OldAt0150/ieAT/</t>
  </si>
  <si>
    <t>investindigitalin.site</t>
  </si>
  <si>
    <t>104.131.12.102</t>
  </si>
  <si>
    <t>5f14383988ac3</t>
  </si>
  <si>
    <t>https://investindigitalin.site/SAMacHelp011010x/</t>
  </si>
  <si>
    <t>21threptasdx.azurewebsites.net</t>
  </si>
  <si>
    <t>13.71.170.130</t>
  </si>
  <si>
    <t>60d0e4b56a355</t>
  </si>
  <si>
    <t>https://21threptasdx.azurewebsites.net/W088MSi08880Moit0yCH0008Mhi0/index.html</t>
  </si>
  <si>
    <t>55tinyyhjn.azurewebsites.net</t>
  </si>
  <si>
    <t>60ca642b94e58</t>
  </si>
  <si>
    <t>https://55tinyyhjn.azurewebsites.net/W088MSi08880Moit0yMA0008Mhi0/index.html</t>
  </si>
  <si>
    <t>51tinyujhn.azurewebsites.net</t>
  </si>
  <si>
    <t>60ca62501e2a1</t>
  </si>
  <si>
    <t>https://51tinyujhn.azurewebsites.net/W088MSi08880Moit0yMA0008Mhi0/index.html</t>
  </si>
  <si>
    <t>22jewelolki.azurewebsites.net</t>
  </si>
  <si>
    <t>60ca536048327</t>
  </si>
  <si>
    <t>https://22jewelolki.azurewebsites.net/W088MSi08880Moit0yCH0008Mhi0/index.html</t>
  </si>
  <si>
    <t>05jewelqasz.azurewebsites.net</t>
  </si>
  <si>
    <t>60ca4ee4b5085</t>
  </si>
  <si>
    <t>https://05jewelqasz.azurewebsites.net/W088MSi08880Moit0yCED0008Mhi0/index.html</t>
  </si>
  <si>
    <t>35tinyqwas.azurewebsites.net</t>
  </si>
  <si>
    <t>60ca2ce476cc7</t>
  </si>
  <si>
    <t>https://35tinyqwas.azurewebsites.net/W088MSi08880Moit0yCED0008Mhi0/index.html</t>
  </si>
  <si>
    <t>09threptqasz.azurewebsites.net</t>
  </si>
  <si>
    <t>60ca2b8ceeac1</t>
  </si>
  <si>
    <t>https://09threptqasz.azurewebsites.net/W088MSi08880Moit0yCED0008Mhi0/index.html</t>
  </si>
  <si>
    <t>30threptyujk.azurewebsites.net</t>
  </si>
  <si>
    <t>60ca29ff0b81e</t>
  </si>
  <si>
    <t>https://30threptyujk.azurewebsites.net/W088MSi08880Moit0yCED0008Mhi0/index.html</t>
  </si>
  <si>
    <t>26threptqwsdf.azurewebsites.net</t>
  </si>
  <si>
    <t>60ca284098485</t>
  </si>
  <si>
    <t>https://26threptqwsdf.azurewebsites.net/W088MSi08880Moit0yCED0008Mhi0/index.html</t>
  </si>
  <si>
    <t>22threptuijk.azurewebsites.net</t>
  </si>
  <si>
    <t>60ca266b8491d</t>
  </si>
  <si>
    <t>https://22threptuijk.azurewebsites.net/W088MSi08880Moit0yCH0008Mhi0/index.html</t>
  </si>
  <si>
    <t>25bufflerfdc.azurewebsites.net</t>
  </si>
  <si>
    <t>60be7202b2d07</t>
  </si>
  <si>
    <t>https://25bufflerfdc.azurewebsites.net/W088MSi08880Moit0yCED0008Mhi0/index.html</t>
  </si>
  <si>
    <t>13buffleasxd.azurewebsites.net</t>
  </si>
  <si>
    <t>60be6bec936c5</t>
  </si>
  <si>
    <t>https://13buffleasxd.azurewebsites.net/W088MSi08880Moit0yCED0008Mhi0/index.html</t>
  </si>
  <si>
    <t>13thintghb.azurewebsites.net</t>
  </si>
  <si>
    <t>60aeb065d690a</t>
  </si>
  <si>
    <t>https://13thintghb.azurewebsites.net/W088MSi08880Moit0yCED0008Mhi0/index.html</t>
  </si>
  <si>
    <t>48ultrawesd.azurewebsites.net</t>
  </si>
  <si>
    <t>60ac177880f78</t>
  </si>
  <si>
    <t>https://48ultrawesd.azurewebsites.net/ERRWINIn01MSi0XXiUIEDG0MXGRAPHIC/index.html</t>
  </si>
  <si>
    <t>30consoleyuhj.azurewebsites.net</t>
  </si>
  <si>
    <t>60a6afda27022</t>
  </si>
  <si>
    <t>https://30consoleyuhj.azurewebsites.net/ERRWINIn01MSi0XXiUIMAC0MXGRAPHIC/index.html</t>
  </si>
  <si>
    <t>19quicksolutiontghn.azurewebsites.net</t>
  </si>
  <si>
    <t>607db11f5ebf1</t>
  </si>
  <si>
    <t>https://19quicksolutiontghn.azurewebsites.net/XUIXN0POTS800XCHXENON800OFF/</t>
  </si>
  <si>
    <t>23quicksolutionuyhg.azurewebsites.net</t>
  </si>
  <si>
    <t>6075ccb818828</t>
  </si>
  <si>
    <t>https://23quicksolutionuyhg.azurewebsites.net/ed98786543weiuhjbfdhgfJNFDBHGRYT78/</t>
  </si>
  <si>
    <t>10universalsupportcxoi.azurewebsites.net</t>
  </si>
  <si>
    <t>6033fbcc2b39e</t>
  </si>
  <si>
    <t>https://10universalsupportcxoi.azurewebsites.net/bEEMIN00101CH00YY1888/</t>
  </si>
  <si>
    <t>09helpandsupportnm.azurewebsites.net</t>
  </si>
  <si>
    <t>602d86b7347b8</t>
  </si>
  <si>
    <t>https://09helpandsupportnm.azurewebsites.net/bEEMIN00101CH00YY1888/</t>
  </si>
  <si>
    <t>getsyourpcfixed-65dfdfdfdfd.azurewebsites.net</t>
  </si>
  <si>
    <t>6019ae558721b</t>
  </si>
  <si>
    <t>https://getsyourpcfixed-65dfdfdfdfd.azurewebsites.net/MicOSoEDPC017528240X00/</t>
  </si>
  <si>
    <t>1supportcenterdjhg.azurewebsites.net</t>
  </si>
  <si>
    <t>60070cba645f5</t>
  </si>
  <si>
    <t>https://1supportcenterdjhg.azurewebsites.net/MicOSoCHPC017528240X00/</t>
  </si>
  <si>
    <t>supportscenter-05.azurewebsites.net</t>
  </si>
  <si>
    <t>5fe2552cab171</t>
  </si>
  <si>
    <t>https://supportscenter-05.azurewebsites.net/Wind0HelCHSyS06016552664/</t>
  </si>
  <si>
    <t>quick-support278.azurewebsites.net</t>
  </si>
  <si>
    <t>5faf4411e2b02</t>
  </si>
  <si>
    <t>http://quick-support278.azurewebsites.net/JArbZ98cFQJapCA/</t>
  </si>
  <si>
    <t>livequick-support165.azurewebsites.net</t>
  </si>
  <si>
    <t>5faf3e5ac01af</t>
  </si>
  <si>
    <t>http://livequick-support165.azurewebsites.net/JArbZ98cFQJapCA/</t>
  </si>
  <si>
    <t>livequick-support156.azurewebsites.net</t>
  </si>
  <si>
    <t>5faf3e2bec213</t>
  </si>
  <si>
    <t>http://livequick-support156.azurewebsites.net/JArbZ98cFQJapCA/</t>
  </si>
  <si>
    <t>livequick-support145.azurewebsites.net</t>
  </si>
  <si>
    <t>5faf3df8ba25c</t>
  </si>
  <si>
    <t>http://livequick-support145.azurewebsites.net/JArbZ98cFQJapCA/</t>
  </si>
  <si>
    <t>livequick-support125.azurewebsites.net</t>
  </si>
  <si>
    <t>5faf3d9cc6d53</t>
  </si>
  <si>
    <t>http://livequick-support125.azurewebsites.net/JArbZ98cFQJapCA/</t>
  </si>
  <si>
    <t>quick-support265.azurewebsites.net</t>
  </si>
  <si>
    <t>5fa96e0416b1b</t>
  </si>
  <si>
    <t>https://quick-support265.azurewebsites.net/VXJfzDqW2zqUqWz/</t>
  </si>
  <si>
    <t>quick-support065.azurewebsites.net</t>
  </si>
  <si>
    <t>5fa43964c4508</t>
  </si>
  <si>
    <t>https://quick-support065.azurewebsites.net/KZPnhPzq8R8jHBD/</t>
  </si>
  <si>
    <t>livequickpcsupports10.azurewebsites.net</t>
  </si>
  <si>
    <t>5f98469fac142</t>
  </si>
  <si>
    <t>https://livequickpcsupports10.azurewebsites.net/9GMEFgvzgTaEgPD/</t>
  </si>
  <si>
    <t>onecallhelpdesk40.azurewebsites.net</t>
  </si>
  <si>
    <t>5f7f4324ad6a2</t>
  </si>
  <si>
    <t>https://onecallhelpdesk40.azurewebsites.net/7mXVCUNqjvYHSbG/</t>
  </si>
  <si>
    <t>unmatchedpchelp10.azurewebsites.net</t>
  </si>
  <si>
    <t>5f7cd76452e63</t>
  </si>
  <si>
    <t>https://unmatchedpchelp10.azurewebsites.net/7mXVCUNqjvYHSbG/</t>
  </si>
  <si>
    <t>bestgeekscare35.azurewebsites.net</t>
  </si>
  <si>
    <t>5f7b6bdb6becd</t>
  </si>
  <si>
    <t>https://bestgeekscare35.azurewebsites.net/TZZsyhcrt2Wrbu9/</t>
  </si>
  <si>
    <t>bestpchelpsupport15.azurewebsites.net</t>
  </si>
  <si>
    <t>5f778d141c5b9</t>
  </si>
  <si>
    <t>https://bestpchelpsupport15.azurewebsites.net/TZZsyhcrt2Wrbu9/</t>
  </si>
  <si>
    <t>livehelpsupport95.azurewebsites.net</t>
  </si>
  <si>
    <t>5f74d57a7726b</t>
  </si>
  <si>
    <t>https://livehelpsupport95.azurewebsites.net/P8fBTPd33cqy3WA/</t>
  </si>
  <si>
    <t>liveonlinepchelp45.azurewebsites.net</t>
  </si>
  <si>
    <t>5f737815cd303</t>
  </si>
  <si>
    <t>https://liveonlinepchelp45.azurewebsites.net/6Yeqm5nqUDDNFgk/</t>
  </si>
  <si>
    <t>liveonlinepchelp25.azurewebsites.net</t>
  </si>
  <si>
    <t>5f735e9c8e1f1</t>
  </si>
  <si>
    <t>http://liveonlinepchelp25.azurewebsites.net/6Yeqm5nqUDDNFgk/</t>
  </si>
  <si>
    <t>liveonlinepchelp05.azurewebsites.net</t>
  </si>
  <si>
    <t>5f735e0371434</t>
  </si>
  <si>
    <t>http://liveonlinepchelp05.azurewebsites.net/6Yeqm5nqUDDNFgk/</t>
  </si>
  <si>
    <t>onlinecomputersupport45.azurewebsites.net</t>
  </si>
  <si>
    <t>5f7221140f102</t>
  </si>
  <si>
    <t>https://onlinecomputersupport45.azurewebsites.net/Kq8XSq5WNCgY68z/</t>
  </si>
  <si>
    <t>onlinecomputersupport36.azurewebsites.net</t>
  </si>
  <si>
    <t>5f72210aacb62</t>
  </si>
  <si>
    <t>https://onlinecomputersupport36.azurewebsites.net/Kq8XSq5WNCgY68z/</t>
  </si>
  <si>
    <t>freepchelp85.azurewebsites.net</t>
  </si>
  <si>
    <t>5f6ce5b92edfe</t>
  </si>
  <si>
    <t>https://freepchelp85.azurewebsites.net/qbNJp4SCuce6BQh/</t>
  </si>
  <si>
    <t>freepchelp41.azurewebsites.net</t>
  </si>
  <si>
    <t>5f6ccef01941e</t>
  </si>
  <si>
    <t>https://freepchelp41.azurewebsites.net/Kq8XSq5WNCgY68z/</t>
  </si>
  <si>
    <t>freecomputersupport155.azurewebsites.net</t>
  </si>
  <si>
    <t>5f6b7c40f2a59</t>
  </si>
  <si>
    <t>https://freecomputersupport155.azurewebsites.net/qyJ5k3EAgMS8xqX/</t>
  </si>
  <si>
    <t>freecomputersupport85.azurewebsites.net</t>
  </si>
  <si>
    <t>5f6b1097168e9</t>
  </si>
  <si>
    <t>https://freecomputersupport85.azurewebsites.net/PjY6bTgrEnuKddE/</t>
  </si>
  <si>
    <t>freecomputersupport05.azurewebsites.net</t>
  </si>
  <si>
    <t>5f6a3cfc175b7</t>
  </si>
  <si>
    <t>https://freecomputersupport05.azurewebsites.net/PjY6bTgrEnuKddE/</t>
  </si>
  <si>
    <t>freecomputersupport15.azurewebsites.net</t>
  </si>
  <si>
    <t>5f6a3ce432512</t>
  </si>
  <si>
    <t>https://freecomputersupport15.azurewebsites.net/PjY6bTgrEnuKddE/</t>
  </si>
  <si>
    <t>freecomputersupport20.azurewebsites.net</t>
  </si>
  <si>
    <t>5f6a3cc6d87e7</t>
  </si>
  <si>
    <t>https://freecomputersupport20.azurewebsites.net/PjY6bTgrEnuKddE/</t>
  </si>
  <si>
    <t>freecomputerhelp165.azurewebsites.net</t>
  </si>
  <si>
    <t>5f699e839e25d</t>
  </si>
  <si>
    <t>https://freecomputerhelp165.azurewebsites.net/R7tcvkAFdAwS4B4</t>
  </si>
  <si>
    <t>freecomputerhelp155.azurewebsites.net</t>
  </si>
  <si>
    <t>5f699e7214317</t>
  </si>
  <si>
    <t>https://freecomputerhelp155.azurewebsites.net/R7tcvkAFdAwS4B4</t>
  </si>
  <si>
    <t>freecomputerhelp145.azurewebsites.net</t>
  </si>
  <si>
    <t>5f699e43b8fc4</t>
  </si>
  <si>
    <t>https://freecomputerhelp145.azurewebsites.net/R7tcvkAFdAwS4B4</t>
  </si>
  <si>
    <t>freecomputerhelp125.azurewebsites.net</t>
  </si>
  <si>
    <t>5f699e16ad551</t>
  </si>
  <si>
    <t>https://freecomputerhelp125.azurewebsites.net/R7tcvkAFdAwS4B4</t>
  </si>
  <si>
    <t>freecomputerhelp110.azurewebsites.net</t>
  </si>
  <si>
    <t>5f699df18d501</t>
  </si>
  <si>
    <t>https://freecomputerhelp110.azurewebsites.net/R7tcvkAFdAwS4B4</t>
  </si>
  <si>
    <t>freecomputerhelp95.azurewebsites.net</t>
  </si>
  <si>
    <t>5f699dc2bb5dc</t>
  </si>
  <si>
    <t>https://freecomputerhelp95.azurewebsites.net/R7tcvkAFdAwS4B4</t>
  </si>
  <si>
    <t>5f68f9871c645</t>
  </si>
  <si>
    <t>https://freecomputerhelp95.azurewebsites.net/R7tcvkAFdAwS4B4/</t>
  </si>
  <si>
    <t>freecomputerhelp45.azurewebsites.net</t>
  </si>
  <si>
    <t>5f68ddd467310</t>
  </si>
  <si>
    <t>https://freecomputerhelp45.azurewebsites.net/6r2nNwfsNjAGcCW/index.html</t>
  </si>
  <si>
    <t>freecomputerhelp20.azurewebsites.net</t>
  </si>
  <si>
    <t>5f68d99adb19f</t>
  </si>
  <si>
    <t>https://freecomputerhelp20.azurewebsites.net/R7tcvkAFdAwS4B4/</t>
  </si>
  <si>
    <t>freecomputerhelp05.azurewebsites.net</t>
  </si>
  <si>
    <t>5f68d98acbb13</t>
  </si>
  <si>
    <t>https://freecomputerhelp05.azurewebsites.net/R7tcvkAFdAwS4B4/</t>
  </si>
  <si>
    <t>freepchelpforum45.azurewebsites.net</t>
  </si>
  <si>
    <t>5f6288a11ba8b</t>
  </si>
  <si>
    <t>https://freepchelpforum45.azurewebsites.net/TxHTvPq9EFWfwjb/</t>
  </si>
  <si>
    <t>freepchelpforum25.azurewebsites.net</t>
  </si>
  <si>
    <t>5f628830d5792</t>
  </si>
  <si>
    <t>https://freepchelpforum25.azurewebsites.net/TxHTvPq9EFWfwjb/</t>
  </si>
  <si>
    <t>freepchelpforum05.azurewebsites.net</t>
  </si>
  <si>
    <t>5f62880ccda9b</t>
  </si>
  <si>
    <t>https://freepchelpforum05.azurewebsites.net/TxHTvPq9EFWfwjb/</t>
  </si>
  <si>
    <t>freepchelp95.azurewebsites.net</t>
  </si>
  <si>
    <t>5f6246f2b461a</t>
  </si>
  <si>
    <t>https://freepchelp95.azurewebsites.net/TxHTvPq9EFWfwjb/</t>
  </si>
  <si>
    <t>freepchelp115.azurewebsites.net</t>
  </si>
  <si>
    <t>5f6246bcf1eeb</t>
  </si>
  <si>
    <t>https://freepchelp115.azurewebsites.net/TxHTvPq9EFWfwjb/</t>
  </si>
  <si>
    <t>freepchelp35.azurewebsites.net</t>
  </si>
  <si>
    <t>5f61c5c8567d1</t>
  </si>
  <si>
    <t>https://freepchelp35.azurewebsites.net/ERDDrHjVfKbFJbQ/</t>
  </si>
  <si>
    <t>freepchelp65.azurewebsites.net</t>
  </si>
  <si>
    <t>5f61c5782c40e</t>
  </si>
  <si>
    <t>https://freepchelp65.azurewebsites.net/ERDDrHjVfKbFJbQ/</t>
  </si>
  <si>
    <t>5f61c5313296c</t>
  </si>
  <si>
    <t>https://freepchelp85.azurewebsites.net/ERDDrHjVfKbFJbQ/</t>
  </si>
  <si>
    <t>freepchelponline05.azurewebsites.net</t>
  </si>
  <si>
    <t>5f60f97f83af1</t>
  </si>
  <si>
    <t>https://freepchelponline05.azurewebsites.net/ERDDrHjVfKbFJbQ/</t>
  </si>
  <si>
    <t>pconlinehelp85.azurewebsites.net</t>
  </si>
  <si>
    <t>5f5fd3ec94af1</t>
  </si>
  <si>
    <t>https://pconlinehelp85.azurewebsites.net/ERDDrHjVfKbFJbQ/</t>
  </si>
  <si>
    <t>pconlinehelp75.azurewebsites.net</t>
  </si>
  <si>
    <t>5f5fd40b6a8e7</t>
  </si>
  <si>
    <t>https://pconlinehelp75.azurewebsites.net/ERDDrHjVfKbFJbQ/</t>
  </si>
  <si>
    <t>pchelpdesk45.azurewebsites.net</t>
  </si>
  <si>
    <t>5f5a58c692eb8</t>
  </si>
  <si>
    <t>https://pchelpdesk45.azurewebsites.net/garretttanners7d/</t>
  </si>
  <si>
    <t>pchelpservices115.azurewebsites.net</t>
  </si>
  <si>
    <t>5f59172f7def2</t>
  </si>
  <si>
    <t>https://pchelpservices115.azurewebsites.net/dawsonwhlerS7v/</t>
  </si>
  <si>
    <t>pchelpservices65.azurewebsites.net</t>
  </si>
  <si>
    <t>5f590d62c43c7</t>
  </si>
  <si>
    <t>https://pchelpservices65.azurewebsites.net/dawsonwhlerS7v/</t>
  </si>
  <si>
    <t>pchelpservices26.azurewebsites.net</t>
  </si>
  <si>
    <t>5f57ea9a80ef9</t>
  </si>
  <si>
    <t>https://pchelpservices26.azurewebsites.net/avfFeTpfJfSPuPx/</t>
  </si>
  <si>
    <t>callnow95.azurewebsites.net</t>
  </si>
  <si>
    <t>5f5288d9b32a9</t>
  </si>
  <si>
    <t>http://callnow95.azurewebsites.net/cado/</t>
  </si>
  <si>
    <t>callnow75.azurewebsites.net</t>
  </si>
  <si>
    <t>5f52870f43285</t>
  </si>
  <si>
    <t>http://callnow75.azurewebsites.net/Mer-cado/</t>
  </si>
  <si>
    <t>callnow55.azurewebsites.net</t>
  </si>
  <si>
    <t>5f5286b182f7e</t>
  </si>
  <si>
    <t>http://callnow55.azurewebsites.net/Mer-cado/</t>
  </si>
  <si>
    <t>callnow35.azurewebsites.net</t>
  </si>
  <si>
    <t>5f5286540a4df</t>
  </si>
  <si>
    <t>http://callnow35.azurewebsites.net/Mer-cado/</t>
  </si>
  <si>
    <t>callnow15.azurewebsites.net</t>
  </si>
  <si>
    <t>5f5285f555fa2</t>
  </si>
  <si>
    <t>http://callnow15.azurewebsites.net/Mer-cado/</t>
  </si>
  <si>
    <t>callnow05.azurewebsites.net</t>
  </si>
  <si>
    <t>5f5285b18da0d</t>
  </si>
  <si>
    <t>http://callnow05.azurewebsites.net/Mer-cado/</t>
  </si>
  <si>
    <t>freesupportcall05.azurewebsites.net</t>
  </si>
  <si>
    <t>5f4e738caefe1</t>
  </si>
  <si>
    <t>http://freesupportcall05.azurewebsites.net/q5gCvYnz6kzKvgY/</t>
  </si>
  <si>
    <t>freesupportcall15.azurewebsites.net</t>
  </si>
  <si>
    <t>5f4e73449ce4d</t>
  </si>
  <si>
    <t>http://freesupportcall15.azurewebsites.net/q5gCvYnz6kzKvgY/</t>
  </si>
  <si>
    <t>freesupport05.azurewebsites.net</t>
  </si>
  <si>
    <t>5f4d5cc85a128</t>
  </si>
  <si>
    <t>http://freesupport05.azurewebsites.net/gHBW7zFVGjwcrjr/</t>
  </si>
  <si>
    <t>customerfreesupport66.azurewebsites.net</t>
  </si>
  <si>
    <t>5f4d5b88b331b</t>
  </si>
  <si>
    <t>https://customerfreesupport66.azurewebsites.net/HNhGpB5gbMdVDyb/</t>
  </si>
  <si>
    <t>customerfreesupport25.azurewebsites.net</t>
  </si>
  <si>
    <t>5f4d5b2ee7bfe</t>
  </si>
  <si>
    <t>https://customerfreesupport25.azurewebsites.net/HNhGpB5gbMdVDyb/</t>
  </si>
  <si>
    <t>customerfreesupport35.azurewebsites.net</t>
  </si>
  <si>
    <t>5f4d5b178946a</t>
  </si>
  <si>
    <t>https://customerfreesupport35.azurewebsites.net/HNhGpB5gbMdVDyb/</t>
  </si>
  <si>
    <t>5f4d5b16ea5ef</t>
  </si>
  <si>
    <t>freesupport105.azurewebsites.net</t>
  </si>
  <si>
    <t>5f4c0e461ddcd</t>
  </si>
  <si>
    <t>http://freesupport105.azurewebsites.net/gHBW7zFVGjwcrjr/</t>
  </si>
  <si>
    <t>freesupport85.azurewebsites.net</t>
  </si>
  <si>
    <t>5f4c0dec402c3</t>
  </si>
  <si>
    <t>http://freesupport85.azurewebsites.net/gHBW7zFVGjwcrjr/</t>
  </si>
  <si>
    <t>freesupport75.azurewebsites.net</t>
  </si>
  <si>
    <t>5f4c0dbbe6c08</t>
  </si>
  <si>
    <t>http://freesupport75.azurewebsites.net/gHBW7zFVGjwcrjr/</t>
  </si>
  <si>
    <t>freesupport55.azurewebsites.net</t>
  </si>
  <si>
    <t>5f4c0d5ac7022</t>
  </si>
  <si>
    <t>http://freesupport55.azurewebsites.net/gHBW7zFVGjwcrjr/</t>
  </si>
  <si>
    <t>freesupport45.azurewebsites.net</t>
  </si>
  <si>
    <t>5f4c0d2a451a6</t>
  </si>
  <si>
    <t>http://freesupport45.azurewebsites.net/gHBW7zFVGjwcrjr/</t>
  </si>
  <si>
    <t>callnow-free155.azurewebsites.net</t>
  </si>
  <si>
    <t>5f4c09d7b9163</t>
  </si>
  <si>
    <t>http://callnow-free155.azurewebsites.net/S9M5QFaca7VkHSt/</t>
  </si>
  <si>
    <t>callnow-free145.azurewebsites.net</t>
  </si>
  <si>
    <t>5f4c09a8299e1</t>
  </si>
  <si>
    <t>http://callnow-free145.azurewebsites.net/S9M5QFaca7VkHSt/</t>
  </si>
  <si>
    <t>callnow-free125.azurewebsites.net</t>
  </si>
  <si>
    <t>5f4c094b497c8</t>
  </si>
  <si>
    <t>http://callnow-free125.azurewebsites.net/S9M5QFaca7VkHSt/</t>
  </si>
  <si>
    <t>callnow-free105.azurewebsites.net</t>
  </si>
  <si>
    <t>5f4c08ee96a49</t>
  </si>
  <si>
    <t>http://callnow-free105.azurewebsites.net/S9M5QFaca7VkHSt/</t>
  </si>
  <si>
    <t>callnow-free84.azurewebsites.net</t>
  </si>
  <si>
    <t>5f4c088cb1b35</t>
  </si>
  <si>
    <t>http://callnow-free84.azurewebsites.net/S9M5QFaca7VkHSt/</t>
  </si>
  <si>
    <t>freesupport25.azurewebsites.net</t>
  </si>
  <si>
    <t>5f4ae566af48b</t>
  </si>
  <si>
    <t>http://freesupport25.azurewebsites.net/gHBW7zFVGjwcrjr/</t>
  </si>
  <si>
    <t>callnow-free66.azurewebsites.net</t>
  </si>
  <si>
    <t>5f4ae3f21c212</t>
  </si>
  <si>
    <t>http://callnow-free66.azurewebsites.net/S9M5QFaca7VkHSt/</t>
  </si>
  <si>
    <t>freesupportservice155.azurewebsites.net</t>
  </si>
  <si>
    <t>5f4ad9497e2b1</t>
  </si>
  <si>
    <t>http://freesupportservice155.azurewebsites.net/vcCsfdvjFg4P5tp/</t>
  </si>
  <si>
    <t>freesupportservice135.azurewebsites.net</t>
  </si>
  <si>
    <t>5f4ad900007e8</t>
  </si>
  <si>
    <t>http://freesupportservice135.azurewebsites.net/vcCsfdvjFg4P5tp/</t>
  </si>
  <si>
    <t>freesupportservice115.azurewebsites.net</t>
  </si>
  <si>
    <t>5f4ad8b5571ac</t>
  </si>
  <si>
    <t>http://freesupportservice115.azurewebsites.net/vcCsfdvjFg4P5tp/</t>
  </si>
  <si>
    <t>freecallcaresupport25.azurewebsites.net</t>
  </si>
  <si>
    <t>5f4aa2af72206</t>
  </si>
  <si>
    <t>http://freecallcaresupport25.azurewebsites.net/vTUPHmw6mhDcMgT/</t>
  </si>
  <si>
    <t>freecallcaresupport05.azurewebsites.net</t>
  </si>
  <si>
    <t>5f4aa24400fb6</t>
  </si>
  <si>
    <t>http://freecallcaresupport05.azurewebsites.net/vTUPHmw6mhDcMgT/</t>
  </si>
  <si>
    <t>customercaresupport95.azurewebsites.net</t>
  </si>
  <si>
    <t>5f4aa1d6cfeb2</t>
  </si>
  <si>
    <t>http://customercaresupport95.azurewebsites.net/vcCsfdvjFg4P5tp/</t>
  </si>
  <si>
    <t>customercaresupport85.azurewebsites.net</t>
  </si>
  <si>
    <t>5f49ce18a775a</t>
  </si>
  <si>
    <t>http://customercaresupport85.azurewebsites.net/BdvJMsVsaH3HMNC/</t>
  </si>
  <si>
    <t>customercaresupport75.azurewebsites.net</t>
  </si>
  <si>
    <t>5f49cdfe7f094</t>
  </si>
  <si>
    <t>http://customercaresupport75.azurewebsites.net/BdvJMsVsaH3HMNC/</t>
  </si>
  <si>
    <t>getfreesupport175.azurewebsites.net</t>
  </si>
  <si>
    <t>5f4976c3b237e</t>
  </si>
  <si>
    <t>http://getfreesupport175.azurewebsites.net/gHBW7zFVGjwcrjr/</t>
  </si>
  <si>
    <t>getfreesupport155.azurewebsites.net</t>
  </si>
  <si>
    <t>5f49765f40eb8</t>
  </si>
  <si>
    <t>http://getfreesupport155.azurewebsites.net/gHBW7zFVGjwcrjr/</t>
  </si>
  <si>
    <t>getfreesupport145.azurewebsites.net</t>
  </si>
  <si>
    <t>5f49762e0cb94</t>
  </si>
  <si>
    <t>http://getfreesupport145.azurewebsites.net/gHBW7zFVGjwcrjr/</t>
  </si>
  <si>
    <t>getfreesupport135.azurewebsites.net</t>
  </si>
  <si>
    <t>5f4975fca6888</t>
  </si>
  <si>
    <t>http://getfreesupport135.azurewebsites.net/gHBW7zFVGjwcrjr/</t>
  </si>
  <si>
    <t>getfreesupport125.azurewebsites.net</t>
  </si>
  <si>
    <t>5f4975ca92d73</t>
  </si>
  <si>
    <t>http://getfreesupport125.azurewebsites.net/gHBW7zFVGjwcrjr/</t>
  </si>
  <si>
    <t>getfreesupport105.azurewebsites.net</t>
  </si>
  <si>
    <t>5f4975636175e</t>
  </si>
  <si>
    <t>http://getfreesupport105.azurewebsites.net/gHBW7zFVGjwcrjr/</t>
  </si>
  <si>
    <t>freesupport135.azurewebsites.net</t>
  </si>
  <si>
    <t>5f4961fee2db4</t>
  </si>
  <si>
    <t>http://freesupport135.azurewebsites.net/pb613cadhekan/</t>
  </si>
  <si>
    <t>freesupport125.azurewebsites.net</t>
  </si>
  <si>
    <t>5f4961da08216</t>
  </si>
  <si>
    <t>http://freesupport125.azurewebsites.net/pb613cadhekan/</t>
  </si>
  <si>
    <t>freemaintenance64.azurewebsites.net</t>
  </si>
  <si>
    <t>5f495e16388c9</t>
  </si>
  <si>
    <t>http://freemaintenance64.azurewebsites.net/q5gCvYnz6kzKvgY/</t>
  </si>
  <si>
    <t>freemaintenance53.azurewebsites.net</t>
  </si>
  <si>
    <t>5f495de8ac76d</t>
  </si>
  <si>
    <t>http://freemaintenance53.azurewebsites.net/q5gCvYnz6kzKvgY/</t>
  </si>
  <si>
    <t>freemaintenance38.azurewebsites.net</t>
  </si>
  <si>
    <t>5f495da765143</t>
  </si>
  <si>
    <t>http://freemaintenance38.azurewebsites.net/q5gCvYnz6kzKvgY/</t>
  </si>
  <si>
    <t>services05.azurewebsites.net</t>
  </si>
  <si>
    <t>5f4958cbf077b</t>
  </si>
  <si>
    <t>http://services05.azurewebsites.net/pb613cadhekan/</t>
  </si>
  <si>
    <t>customercaresupport185.azurewebsites.net</t>
  </si>
  <si>
    <t>5f49476cbacfc</t>
  </si>
  <si>
    <t>https://customercaresupport185.azurewebsites.net/HNhGpB5gbMdVDyb/</t>
  </si>
  <si>
    <t>customercaresupport145.azurewebsites.net</t>
  </si>
  <si>
    <t>5f4946b4f17d1</t>
  </si>
  <si>
    <t>https://customercaresupport145.azurewebsites.net/HNhGpB5gbMdVDyb/</t>
  </si>
  <si>
    <t>customercaresupport135.azurewebsites.net</t>
  </si>
  <si>
    <t>5f4946b22a1b6</t>
  </si>
  <si>
    <t>https://customercaresupport135.azurewebsites.net/HNhGpB5gbMdVDyb/</t>
  </si>
  <si>
    <t>freemaintenance105.azurewebsites.net</t>
  </si>
  <si>
    <t>5f48ba0d66c5d</t>
  </si>
  <si>
    <t>http://freemaintenance105.azurewebsites.net/q5gCvYnz6kzKvgY/</t>
  </si>
  <si>
    <t>freemaintenance25.azurewebsites.net</t>
  </si>
  <si>
    <t>5f48b98e1fd9a</t>
  </si>
  <si>
    <t>http://freemaintenance25.azurewebsites.net/q5gCvYnz6kzKvgY/</t>
  </si>
  <si>
    <t>freemaintenance05.azurewebsites.net</t>
  </si>
  <si>
    <t>5f48b91188048</t>
  </si>
  <si>
    <t>http://freemaintenance05.azurewebsites.net/q5gCvYnz6kzKvgY/</t>
  </si>
  <si>
    <t>carefreesupport15.azurewebsites.net</t>
  </si>
  <si>
    <t>5f480136cb17a</t>
  </si>
  <si>
    <t>http://carefreesupport15.azurewebsites.net/vcCsfdvjFg4P5tp/index.html</t>
  </si>
  <si>
    <t>getfreesupport189.azurewebsites.net</t>
  </si>
  <si>
    <t>5f47d5156e17a</t>
  </si>
  <si>
    <t>http://getfreesupport189.azurewebsites.net/atEdYhpx5ykF2Ru/</t>
  </si>
  <si>
    <t>getfreesupport35.azurewebsites.net</t>
  </si>
  <si>
    <t>5f47a67d76fb0</t>
  </si>
  <si>
    <t>http://getfreesupport35.azurewebsites.net/Zcv6znVbFKDkXCy/</t>
  </si>
  <si>
    <t>getfreesupport05.azurewebsites.net</t>
  </si>
  <si>
    <t>5f47a59ef153f</t>
  </si>
  <si>
    <t>http://getfreesupport05.azurewebsites.net/Zcv6znVbFKDkXCy/</t>
  </si>
  <si>
    <t>computer65.azurewebsites.net</t>
  </si>
  <si>
    <t>5f47a02ad8fcf</t>
  </si>
  <si>
    <t>http://computer65.azurewebsites.net/Belle-Plaine/</t>
  </si>
  <si>
    <t>computer34.azurewebsites.net</t>
  </si>
  <si>
    <t>5f479f7553027</t>
  </si>
  <si>
    <t>http://computer34.azurewebsites.net/Belle-Plaine/</t>
  </si>
  <si>
    <t>computer15.azurewebsites.net</t>
  </si>
  <si>
    <t>5f479ead3a774</t>
  </si>
  <si>
    <t>http://computer15.azurewebsites.net/Belle-Plaine/</t>
  </si>
  <si>
    <t>computer05.azurewebsites.net</t>
  </si>
  <si>
    <t>5f479e0816319</t>
  </si>
  <si>
    <t>http://computer05.azurewebsites.net/Belle-Plaine/</t>
  </si>
  <si>
    <t>checkup75.azurewebsites.net</t>
  </si>
  <si>
    <t>5f44798e65739</t>
  </si>
  <si>
    <t>http://checkup75.azurewebsites.net/Kristy-Cortez/</t>
  </si>
  <si>
    <t>checkup55.azurewebsites.net</t>
  </si>
  <si>
    <t>5f44788637fd4</t>
  </si>
  <si>
    <t>http://checkup55.azurewebsites.net/Kristy-Cortez/</t>
  </si>
  <si>
    <t>checkup45.azurewebsites.net</t>
  </si>
  <si>
    <t>5f4477eb81ca6</t>
  </si>
  <si>
    <t>http://checkup45.azurewebsites.net/Kristy-Cortez/</t>
  </si>
  <si>
    <t>getfreesupport85.azurewebsites.net</t>
  </si>
  <si>
    <t>5f445182a38aa</t>
  </si>
  <si>
    <t>https://getfreesupport85.azurewebsites.net/atEdYhpx5ykF2Ru/</t>
  </si>
  <si>
    <t>getfreesupport75.azurewebsites.net</t>
  </si>
  <si>
    <t>5f445111dc383</t>
  </si>
  <si>
    <t>https://getfreesupport75.azurewebsites.net/atEdYhpx5ykF2Ru/</t>
  </si>
  <si>
    <t>callnow-free55.azurewebsites.net</t>
  </si>
  <si>
    <t>5f444c4431e84</t>
  </si>
  <si>
    <t>https://callnow-free55.azurewebsites.net/Cortez/</t>
  </si>
  <si>
    <t>callnow-free45.azurewebsites.net</t>
  </si>
  <si>
    <t>5f444bb73ac1c</t>
  </si>
  <si>
    <t>https://callnow-free45.azurewebsites.net/Cortez/</t>
  </si>
  <si>
    <t>callnow-free25.azurewebsites.net</t>
  </si>
  <si>
    <t>5f4449e42e1d4</t>
  </si>
  <si>
    <t>https://callnow-free25.azurewebsites.net/Cortez/</t>
  </si>
  <si>
    <t>callnow-free05.azurewebsites.net</t>
  </si>
  <si>
    <t>5f444867a6fa4</t>
  </si>
  <si>
    <t>https://callnow-free05.azurewebsites.net/Cortez/</t>
  </si>
  <si>
    <t>freesupportservice05.azurewebsites.net</t>
  </si>
  <si>
    <t>5f4443b9cfeaa</t>
  </si>
  <si>
    <t>https://freesupportservice05.azurewebsites.net/8sx3ztC96XSvHKs/</t>
  </si>
  <si>
    <t>freesupportservice20.azurewebsites.net</t>
  </si>
  <si>
    <t>5f4442c7d792c</t>
  </si>
  <si>
    <t>https://freesupportservice20.azurewebsites.net/8sx3ztC96XSvHKs/</t>
  </si>
  <si>
    <t>freesupportservice25.azurewebsites.net</t>
  </si>
  <si>
    <t>5f4442987c5a3</t>
  </si>
  <si>
    <t>https://freesupportservice25.azurewebsites.net/8sx3ztC96XSvHKs/</t>
  </si>
  <si>
    <t>freesupportservice37.azurewebsites.net</t>
  </si>
  <si>
    <t>5f444205610dd</t>
  </si>
  <si>
    <t>https://freesupportservice37.azurewebsites.net/8sx3ztC96XSvHKs/</t>
  </si>
  <si>
    <t>freesupportservice86.azurewebsites.net</t>
  </si>
  <si>
    <t>5f443fbd19b5c</t>
  </si>
  <si>
    <t>https://freesupportservice86.azurewebsites.net/8sx3ztC96XSvHKs/</t>
  </si>
  <si>
    <t>freesupportservice75.azurewebsites.net</t>
  </si>
  <si>
    <t>5f443f0a06990</t>
  </si>
  <si>
    <t>https://freesupportservice75.azurewebsites.net/8sx3ztC96XSvHKs/</t>
  </si>
  <si>
    <t>freesupportservice65.azurewebsites.net</t>
  </si>
  <si>
    <t>5f443dc661fd9</t>
  </si>
  <si>
    <t>https://freesupportservice65.azurewebsites.net/8sx3ztC96XSvHKs/</t>
  </si>
  <si>
    <t>freesupportservice56.azurewebsites.net</t>
  </si>
  <si>
    <t>5f4433a07e8b2</t>
  </si>
  <si>
    <t>https://freesupportservice56.azurewebsites.net/8sx3ztC96XSvHKs/</t>
  </si>
  <si>
    <t>checkup35.azurewebsites.net</t>
  </si>
  <si>
    <t>5f424ad345e15</t>
  </si>
  <si>
    <t>http://checkup35.azurewebsites.net/Kristy-Cortez/</t>
  </si>
  <si>
    <t>togetfreesupport66.azurewebsites.net</t>
  </si>
  <si>
    <t>5f41023d4a03e</t>
  </si>
  <si>
    <t>http://togetfreesupport66.azurewebsites.net/CxDm3vwargBTus8/</t>
  </si>
  <si>
    <t>getfreesupport25.azurewebsites.net</t>
  </si>
  <si>
    <t>5f3d4ec320f8f</t>
  </si>
  <si>
    <t>http://getfreesupport25.azurewebsites.net/S9M5QFaca7VkHSt/</t>
  </si>
  <si>
    <t>computer85.azurewebsites.net</t>
  </si>
  <si>
    <t>5f30d8c7368fc</t>
  </si>
  <si>
    <t>http://computer85.azurewebsites.net/Mer-cado/</t>
  </si>
  <si>
    <t>computer95.azurewebsites.net</t>
  </si>
  <si>
    <t>5f30d79f3ef64</t>
  </si>
  <si>
    <t>http://computer95.azurewebsites.net/Belle-Plaine</t>
  </si>
  <si>
    <t>computer115.azurewebsites.net</t>
  </si>
  <si>
    <t>5f30d690d0666</t>
  </si>
  <si>
    <t>http://computer115.azurewebsites.net/Belle-Plaine</t>
  </si>
  <si>
    <t>computercheckup55.azurewebsites.net</t>
  </si>
  <si>
    <t>5f26b8f4226b5</t>
  </si>
  <si>
    <t>http://computercheckup55.azurewebsites.net/Staci-Walsh/</t>
  </si>
  <si>
    <t>terror86.azurewebsites.net</t>
  </si>
  <si>
    <t>5f14770eec8c2</t>
  </si>
  <si>
    <t>http://terror86.azurewebsites.net/Keene-OH/</t>
  </si>
  <si>
    <t>terror05.azurewebsites.net</t>
  </si>
  <si>
    <t>5f14703b7b22b</t>
  </si>
  <si>
    <t>https://terror05.azurewebsites.net/Boyd-TX/</t>
  </si>
  <si>
    <t>livequick-support071.azurewebsites.net</t>
  </si>
  <si>
    <t>40.122.36.65</t>
  </si>
  <si>
    <t>5faabc8fb1282</t>
  </si>
  <si>
    <t>https://livequick-support071.azurewebsites.net/VXJfzDqW2zqUqWz/</t>
  </si>
  <si>
    <t>livepchelpsupport50.azurewebsites.net</t>
  </si>
  <si>
    <t>5f7766ef36201</t>
  </si>
  <si>
    <t>https://livepchelpsupport50.azurewebsites.net/4vKZdhngXmE9yHj/</t>
  </si>
  <si>
    <t>onlinecomputersupport46.azurewebsites.net</t>
  </si>
  <si>
    <t>5f722117ca8af</t>
  </si>
  <si>
    <t>https://onlinecomputersupport46.azurewebsites.net/Kq8XSq5WNCgY68z/</t>
  </si>
  <si>
    <t>pconlinehelp86.azurewebsites.net</t>
  </si>
  <si>
    <t>5f5fc8ff59b70</t>
  </si>
  <si>
    <t>https://pconlinehelp86.azurewebsites.net/ERDDrHjVfKbFJbQ/</t>
  </si>
  <si>
    <t>pchelpdesk46.azurewebsites.net</t>
  </si>
  <si>
    <t>5f5a58ccac178</t>
  </si>
  <si>
    <t>https://pchelpdesk46.azurewebsites.net/garretttanners7d/</t>
  </si>
  <si>
    <t>callnow17.azurewebsites.net</t>
  </si>
  <si>
    <t>5f5285febba99</t>
  </si>
  <si>
    <t>http://callnow17.azurewebsites.net/Mer-cado/</t>
  </si>
  <si>
    <t>freesupportcall17.azurewebsites.net</t>
  </si>
  <si>
    <t>5f4e734ddd845</t>
  </si>
  <si>
    <t>http://freesupportcall17.azurewebsites.net/q5gCvYnz6kzKvgY/</t>
  </si>
  <si>
    <t>customerfreesupport20.azurewebsites.net</t>
  </si>
  <si>
    <t>5f4d5b2fb2d07</t>
  </si>
  <si>
    <t>https://customerfreesupport20.azurewebsites.net/HNhGpB5gbMdVDyb/</t>
  </si>
  <si>
    <t>getfreesupport177.azurewebsites.net</t>
  </si>
  <si>
    <t>5f4976cd34b8e</t>
  </si>
  <si>
    <t>http://getfreesupport177.azurewebsites.net/gHBW7zFVGjwcrjr/</t>
  </si>
  <si>
    <t>getfreesupport147.azurewebsites.net</t>
  </si>
  <si>
    <t>5f49763778abf</t>
  </si>
  <si>
    <t>http://getfreesupport147.azurewebsites.net/gHBW7zFVGjwcrjr/</t>
  </si>
  <si>
    <t>freesupport137.azurewebsites.net</t>
  </si>
  <si>
    <t>5f496206441a0</t>
  </si>
  <si>
    <t>http://freesupport137.azurewebsites.net/pb613cadhekan/</t>
  </si>
  <si>
    <t>computer07.azurewebsites.net</t>
  </si>
  <si>
    <t>5f479e204fadb</t>
  </si>
  <si>
    <t>http://computer07.azurewebsites.net/Belle-Plaine/</t>
  </si>
  <si>
    <t>checkup37.azurewebsites.net</t>
  </si>
  <si>
    <t>5f44778078959</t>
  </si>
  <si>
    <t>http://checkup37.azurewebsites.net/Kristy-Cortez/</t>
  </si>
  <si>
    <t>getfreesupport77.azurewebsites.net</t>
  </si>
  <si>
    <t>5f445125b12db</t>
  </si>
  <si>
    <t>https://getfreesupport77.azurewebsites.net/atEdYhpx5ykF2Ru/</t>
  </si>
  <si>
    <t>freecheckup07.azurewebsites.net</t>
  </si>
  <si>
    <t>5f26fc966fc6f</t>
  </si>
  <si>
    <t>http://freecheckup07.azurewebsites.net/Chandler-Compton/</t>
  </si>
  <si>
    <t>terror07.azurewebsites.net</t>
  </si>
  <si>
    <t>5f1470814162a</t>
  </si>
  <si>
    <t>http://terror07.azurewebsites.net/Keene-OH/</t>
  </si>
  <si>
    <t>Melbourne</t>
  </si>
  <si>
    <t>35digitujkh.azurewebsites.net</t>
  </si>
  <si>
    <t>13.70.146.110</t>
  </si>
  <si>
    <t>60de12b917013</t>
  </si>
  <si>
    <t>https://35digitujkh.azurewebsites.net/W088MSi08880Moit0yMA0008Mhi0/index.html</t>
  </si>
  <si>
    <t>08byteerdfh.azurewebsites.net</t>
  </si>
  <si>
    <t>60ddfece8eb4b</t>
  </si>
  <si>
    <t>https://08byteerdfh.azurewebsites.net/W088MSi08880Moit0yMA0008Mhi0/index.html</t>
  </si>
  <si>
    <t>03auramhjg.azurewebsites.net</t>
  </si>
  <si>
    <t>60dcde1e3562c</t>
  </si>
  <si>
    <t>https://03auramhjg.azurewebsites.net/W088MSi08880Moit0yCH0008Mhi0/index.html</t>
  </si>
  <si>
    <t>08jewelyhjm.azurewebsites.net</t>
  </si>
  <si>
    <t>60d39cc39b6c4</t>
  </si>
  <si>
    <t>https://08jewelyhjm.azurewebsites.net/W088MSi08880Moit0yCH0008Mhi0/index.html</t>
  </si>
  <si>
    <t>46teamujhy.azurewebsites.net</t>
  </si>
  <si>
    <t>60d23a3b343d8</t>
  </si>
  <si>
    <t>https://46teamujhy.azurewebsites.net/W088MSi08880Moit0yCED0008Mhi0/index.html</t>
  </si>
  <si>
    <t>21torroncdfs.azurewebsites.net</t>
  </si>
  <si>
    <t>60d228d884da4</t>
  </si>
  <si>
    <t>https://21torroncdfs.azurewebsites.net/W088MSi08880Moit0yCED0008Mhi0/index.html</t>
  </si>
  <si>
    <t>03torronkjmh.azurewebsites.net</t>
  </si>
  <si>
    <t>60d21edb5de88</t>
  </si>
  <si>
    <t>https://03torronkjmh.azurewebsites.net/W088MSi08880Moit0yCED0008Mhi0/index.html</t>
  </si>
  <si>
    <t>29threptujkh.azurewebsites.net</t>
  </si>
  <si>
    <t>60d4b1d882b17</t>
  </si>
  <si>
    <t>https://29threptujkh.azurewebsites.net/W088MSi08880Moit0yCED0008Mhi0/index.html</t>
  </si>
  <si>
    <t>23threptujhg.azurewebsites.net</t>
  </si>
  <si>
    <t>60d4adc898587</t>
  </si>
  <si>
    <t>https://23threptujhg.azurewebsites.net/W088MSi08880Moit0yCED0008Mhi0/index.html</t>
  </si>
  <si>
    <t>50tinyqwsd.azurewebsites.net</t>
  </si>
  <si>
    <t>60ca337738dbc</t>
  </si>
  <si>
    <t>https://50tinyqwsd.azurewebsites.net/W088MSi08880Moit0yMA0008Mhi0/index.html</t>
  </si>
  <si>
    <t>11threpttgfv.azurewebsites.net</t>
  </si>
  <si>
    <t>60ca2eaed13bc</t>
  </si>
  <si>
    <t>https://11threpttgfv.azurewebsites.net/W088MSi08880Moit0yCH0008Mhi0/index.html</t>
  </si>
  <si>
    <t>28threptyhgt.azurewebsites.net</t>
  </si>
  <si>
    <t>60ca292e91511</t>
  </si>
  <si>
    <t>https://28threptyhgt.azurewebsites.net/W088MSi08880Moit0yCED0008Mhi0/index.html</t>
  </si>
  <si>
    <t>64usleqwas.azurewebsites.net</t>
  </si>
  <si>
    <t>60c26c1732c30</t>
  </si>
  <si>
    <t>https://64usleqwas.azurewebsites.net/W088MSi08880Moit0yCED0008Mhi0/index.html</t>
  </si>
  <si>
    <t>63usleqwas.azurewebsites.net</t>
  </si>
  <si>
    <t>60c26b78ebdb7</t>
  </si>
  <si>
    <t>https://63usleqwas.azurewebsites.net/W088MSi08880Moit0yCH0008Mhi0/index.html</t>
  </si>
  <si>
    <t>60usleqwas.azurewebsites.net</t>
  </si>
  <si>
    <t>60c26a3a70fa2</t>
  </si>
  <si>
    <t>https://60usleqwas.azurewebsites.net/W088MSi08880Moit0yCH0008Mhi0/index.html</t>
  </si>
  <si>
    <t>58usleqwas.azurewebsites.net</t>
  </si>
  <si>
    <t>60c2690e0123f</t>
  </si>
  <si>
    <t>https://58usleqwas.azurewebsites.net/W088MSi08880Moit0yCED0008Mhi0/index.html</t>
  </si>
  <si>
    <t>56usleedsw.azurewebsites.net</t>
  </si>
  <si>
    <t>60c2684739383</t>
  </si>
  <si>
    <t>https://56usleedsw.azurewebsites.net/W088MSi08880Moit0yCH0008Mhi0/index.html</t>
  </si>
  <si>
    <t>53usleqwas.azurewebsites.net</t>
  </si>
  <si>
    <t>60c266e041376</t>
  </si>
  <si>
    <t>https://53usleqwas.azurewebsites.net/W088MSi08880Moit0yCED0008Mhi0/index.html</t>
  </si>
  <si>
    <t>50usleqasz.azurewebsites.net</t>
  </si>
  <si>
    <t>60c262c243823</t>
  </si>
  <si>
    <t>https://50usleqasz.azurewebsites.net/W088MSi08880Moit0yCED0008Mhi0/index.html</t>
  </si>
  <si>
    <t>31buffleyujk.azurewebsites.net</t>
  </si>
  <si>
    <t>60c25a6e40052</t>
  </si>
  <si>
    <t>https://31buffleyujk.azurewebsites.net/W088MSi08880Moit0yCED0008Mhi0/index.html</t>
  </si>
  <si>
    <t>09isgeasdw.azurewebsites.net</t>
  </si>
  <si>
    <t>60c242010c48a</t>
  </si>
  <si>
    <t>https://09isgeasdw.azurewebsites.net/W088MSi08880Moit0yCH0008Mhi0/index.html</t>
  </si>
  <si>
    <t>02hootetgfr.azurewebsites.net</t>
  </si>
  <si>
    <t>60bfb56529b5f</t>
  </si>
  <si>
    <t>http://02hootetgfr.azurewebsites.net/W088MSi08880Moit0yCED0008Mhi0/index.html</t>
  </si>
  <si>
    <t>18bufflerfgh.azurewebsites.net</t>
  </si>
  <si>
    <t>60be6eac01e7d</t>
  </si>
  <si>
    <t>https://18bufflerfgh.azurewebsites.net/W088MSi08880Moit0yCED0008Mhi0/index.html</t>
  </si>
  <si>
    <t>15buffleujhn.azurewebsites.net</t>
  </si>
  <si>
    <t>60be6cb56cfb2</t>
  </si>
  <si>
    <t>https://15buffleujhn.azurewebsites.net/W088MSi08880Moit0yCED0008Mhi0/index.html</t>
  </si>
  <si>
    <t>14buffleasxd.azurewebsites.net</t>
  </si>
  <si>
    <t>60be6c9284153</t>
  </si>
  <si>
    <t>https://14buffleasxd.azurewebsites.net/W088MSi08880Moit0yCH0008Mhi0/index.html</t>
  </si>
  <si>
    <t>11buffleyujk.azurewebsites.net</t>
  </si>
  <si>
    <t>60be6aefbc2ce</t>
  </si>
  <si>
    <t>https://11buffleyujk.azurewebsites.net/W088MSi08880Moit0yCED0008Mhi0/index.html</t>
  </si>
  <si>
    <t>10buffleasxd.azurewebsites.net</t>
  </si>
  <si>
    <t>60be6a944971a</t>
  </si>
  <si>
    <t>https://10buffleasxd.azurewebsites.net/W088MSi08880Moit0yCH0008Mhi0/index.html</t>
  </si>
  <si>
    <t>20buffletgfv.azurewebsites.net</t>
  </si>
  <si>
    <t>60b67bfca9776</t>
  </si>
  <si>
    <t>https://20buffletgfv.azurewebsites.net/W088MSi08880Moit0yCH0008Mhi0/index.html</t>
  </si>
  <si>
    <t>12thintgfv.azurewebsites.net</t>
  </si>
  <si>
    <t>60aeafd80ada7</t>
  </si>
  <si>
    <t>https://12thintgfv.azurewebsites.net/W088MSi08880Moit0yCED0008Mhi0/index.html</t>
  </si>
  <si>
    <t>11thinrfgv.azurewebsites.net</t>
  </si>
  <si>
    <t>60aeafb502b43</t>
  </si>
  <si>
    <t>https://11thinrfgv.azurewebsites.net/W088MSi08880Moit0yCED0008Mhi0/index.html</t>
  </si>
  <si>
    <t>47ultratyhu.azurewebsites.net</t>
  </si>
  <si>
    <t>60ac162b40300</t>
  </si>
  <si>
    <t>https://47ultratyhu.azurewebsites.net/ERRWINIn01MSi0XXiUIEDG0MXGRAPHIC/index.html</t>
  </si>
  <si>
    <t>07thinwesd.azurewebsites.net</t>
  </si>
  <si>
    <t>60aeae824bcc9</t>
  </si>
  <si>
    <t>https://07thinwesd.azurewebsites.net/W088MSi08880Moit0yCH0008Mhi0/index.html</t>
  </si>
  <si>
    <t>06thintygh.azurewebsites.net</t>
  </si>
  <si>
    <t>60aeae0094c15</t>
  </si>
  <si>
    <t>https://06thintygh.azurewebsites.net/W088MSi08880Moit0yCED0008Mhi0/index.html</t>
  </si>
  <si>
    <t>32rebrandlertfg.azurewebsites.net</t>
  </si>
  <si>
    <t>60afde4f80095</t>
  </si>
  <si>
    <t>https://32rebrandlertfg.azurewebsites.net/W088MSi08880Moit0yCH0008Mhi0/index.html</t>
  </si>
  <si>
    <t>31rebrandletygy.azurewebsites.net</t>
  </si>
  <si>
    <t>60afddc5a1eb9</t>
  </si>
  <si>
    <t>https://31rebrandletygy.azurewebsites.net/W088MSi08880Moit0yCED0008Mhi0/index.html</t>
  </si>
  <si>
    <t>08ultratyhj.azurewebsites.net</t>
  </si>
  <si>
    <t>60a6b9e9742e0</t>
  </si>
  <si>
    <t>https://08ultratyhj.azurewebsites.net/ERRWINIn01MSi0XXiUIMAC0MXGRAPHIC/index.html</t>
  </si>
  <si>
    <t>37consoleyuhj.azurewebsites.net</t>
  </si>
  <si>
    <t>60a6b29f4f1ad</t>
  </si>
  <si>
    <t>https://37consoleyuhj.azurewebsites.net/ERRWINIn01MSi0XXiUIMAC0MXGRAPHIC/index.html</t>
  </si>
  <si>
    <t>08mammographtyhy.azurewebsites.net</t>
  </si>
  <si>
    <t>60a6a150f0a66</t>
  </si>
  <si>
    <t>https://08mammographtyhy.azurewebsites.net/ERRWINIn01MSi0XXiUIMAC0MXGRAPHIC/index.html</t>
  </si>
  <si>
    <t>42dogebitfght.azurewebsites.net</t>
  </si>
  <si>
    <t>60a406a1969f4</t>
  </si>
  <si>
    <t>https://42dogebitfght.azurewebsites.net/ERRWINIn01MSi0XXiUICH0MXGRAPHIC/index.html</t>
  </si>
  <si>
    <t>25dogebittygh.azurewebsites.net</t>
  </si>
  <si>
    <t>60a3ff9a13134</t>
  </si>
  <si>
    <t>https://25dogebittygh.azurewebsites.net/ERRWINIn01MSi0XXiUICH0MXGRAPHIC/index.html</t>
  </si>
  <si>
    <t>16bitcerdf.azurewebsites.net</t>
  </si>
  <si>
    <t>60a3fc2525c3b</t>
  </si>
  <si>
    <t>https://16bitcerdf.azurewebsites.net/ERRWINIn01MSi0XXiUICH0MXGRAPHIC/index.html</t>
  </si>
  <si>
    <t>07bitcwedf.azurewebsites.net</t>
  </si>
  <si>
    <t>60a3f99f8cad8</t>
  </si>
  <si>
    <t>https://07bitcwedf.azurewebsites.net/ERRWINIn01MSi0XXiUICH0MXGRAPHIC/index.html</t>
  </si>
  <si>
    <t>24reportsujmk.azurewebsites.net</t>
  </si>
  <si>
    <t>6047a8c8adf18</t>
  </si>
  <si>
    <t>https://24reportsujmk.azurewebsites.net/PAHDJ0SGJA844012CHXAGEODB100F/</t>
  </si>
  <si>
    <t>23reportsujmk.azurewebsites.net</t>
  </si>
  <si>
    <t>6047a88ed05c0</t>
  </si>
  <si>
    <t>https://23reportsujmk.azurewebsites.net/PAHDJ0SGJA844012CHXAGEODB100F/</t>
  </si>
  <si>
    <t>12manage-resultsyhnb.azurewebsites.net</t>
  </si>
  <si>
    <t>604692035ff9d</t>
  </si>
  <si>
    <t>https://12manage-resultsyhnb.azurewebsites.net/PAHDJ0SGJA844012CHXAGEODB100F/</t>
  </si>
  <si>
    <t>37insightsnmhj.azurewebsites.net</t>
  </si>
  <si>
    <t>6046607ac1db5</t>
  </si>
  <si>
    <t>https://37insightsnmhj.azurewebsites.net/PAHDJ0SGJA844012EDXAGEODB100F/</t>
  </si>
  <si>
    <t>03helpnsupportsadcx.azurewebsites.net</t>
  </si>
  <si>
    <t>602aa1bdbc390</t>
  </si>
  <si>
    <t>https://03helpnsupportsadcx.azurewebsites.net/WinProxHelpxMicr0IEsysX0010010X1020xx0101/</t>
  </si>
  <si>
    <t>10getpcfixedvewve.azurewebsites.net</t>
  </si>
  <si>
    <t>6025a86d81350</t>
  </si>
  <si>
    <t>https://10getpcfixedvewve.azurewebsites.net/MicOSoCHPC017528240X00/</t>
  </si>
  <si>
    <t>1supportcenterfghiugh.azurewebsites.net</t>
  </si>
  <si>
    <t>600709dc4e703</t>
  </si>
  <si>
    <t>https://1supportcenterfghiugh.azurewebsites.net/MicOSoCHPC017528240X00/</t>
  </si>
  <si>
    <t>03-geek-support.azurewebsites.net</t>
  </si>
  <si>
    <t>5fd7aa3c6b9ec</t>
  </si>
  <si>
    <t>http://03-geek-support.azurewebsites.net/Wind0HelEDGSyS06016552664/</t>
  </si>
  <si>
    <t>callhelpline03.azurewebsites.net</t>
  </si>
  <si>
    <t>5fd11776aa1a3</t>
  </si>
  <si>
    <t>https://callhelpline03.azurewebsites.net/Wind0HelEDGSyS06016552664/</t>
  </si>
  <si>
    <t>139-getsupport.azurewebsites.net</t>
  </si>
  <si>
    <t>5fce7341a54fd</t>
  </si>
  <si>
    <t>http://139-getsupport.azurewebsites.net/Wind0HelEDGSyS06016552664/</t>
  </si>
  <si>
    <t>livequick-support174.azurewebsites.net</t>
  </si>
  <si>
    <t>5faf3e8614fc0</t>
  </si>
  <si>
    <t>http://livequick-support174.azurewebsites.net/JArbZ98cFQJapCA/</t>
  </si>
  <si>
    <t>livequick-support163.azurewebsites.net</t>
  </si>
  <si>
    <t>5faf3e4fe5b5c</t>
  </si>
  <si>
    <t>http://livequick-support163.azurewebsites.net/JArbZ98cFQJapCA/</t>
  </si>
  <si>
    <t>livequick-support123.azurewebsites.net</t>
  </si>
  <si>
    <t>5faf3d91c5737</t>
  </si>
  <si>
    <t>http://livequick-support123.azurewebsites.net/JArbZ98cFQJapCA/</t>
  </si>
  <si>
    <t>livequick-support089.azurewebsites.net</t>
  </si>
  <si>
    <t>5faf39a55a63c</t>
  </si>
  <si>
    <t>http://livequick-support089.azurewebsites.net/JArbZ98cFQJapCA/</t>
  </si>
  <si>
    <t>quick-support263.azurewebsites.net</t>
  </si>
  <si>
    <t>5fa96df6c573a</t>
  </si>
  <si>
    <t>https://quick-support263.azurewebsites.net/VXJfzDqW2zqUqWz/</t>
  </si>
  <si>
    <t>quick-support083.azurewebsites.net</t>
  </si>
  <si>
    <t>5fa43a0c4e5de</t>
  </si>
  <si>
    <t>https://quick-support083.azurewebsites.net/KZPnhPzq8R8jHBD/</t>
  </si>
  <si>
    <t>livequickpcsupports08.azurewebsites.net</t>
  </si>
  <si>
    <t>5f9845ea7751f</t>
  </si>
  <si>
    <t>https://livequickpcsupports08.azurewebsites.net/9GMEFgvzgTaEgPD/</t>
  </si>
  <si>
    <t>helpbygeekexperts60.azurewebsites.net</t>
  </si>
  <si>
    <t>5f7e121b5576b</t>
  </si>
  <si>
    <t>https://helpbygeekexperts60.azurewebsites.net/7mXVCUNqjvYHSbG/</t>
  </si>
  <si>
    <t>bestgeekscare14.azurewebsites.net</t>
  </si>
  <si>
    <t>5f7b6227032ab</t>
  </si>
  <si>
    <t>https://bestgeekscare14.azurewebsites.net/TZZsyhcrt2Wrbu9/</t>
  </si>
  <si>
    <t>bestpchelpsupport13.azurewebsites.net</t>
  </si>
  <si>
    <t>5f778d1fd001f</t>
  </si>
  <si>
    <t>https://bestpchelpsupport13.azurewebsites.net/TZZsyhcrt2Wrbu9/</t>
  </si>
  <si>
    <t>liveonlinepchelp43.azurewebsites.net</t>
  </si>
  <si>
    <t>5f73781f60f5c</t>
  </si>
  <si>
    <t>https://liveonlinepchelp43.azurewebsites.net/6Yeqm5nqUDDNFgk/</t>
  </si>
  <si>
    <t>liveonlinepchelp23.azurewebsites.net</t>
  </si>
  <si>
    <t>5f735e8eb198a</t>
  </si>
  <si>
    <t>http://liveonlinepchelp23.azurewebsites.net/6Yeqm5nqUDDNFgk/</t>
  </si>
  <si>
    <t>liveonlinepchelp20.azurewebsites.net</t>
  </si>
  <si>
    <t>5f735e79c4b8c</t>
  </si>
  <si>
    <t>http://liveonlinepchelp20.azurewebsites.net/6Yeqm5nqUDDNFgk/</t>
  </si>
  <si>
    <t>onlinecomputersupport42.azurewebsites.net</t>
  </si>
  <si>
    <t>5f7221118eead</t>
  </si>
  <si>
    <t>https://onlinecomputersupport42.azurewebsites.net/Kq8XSq5WNCgY68z/</t>
  </si>
  <si>
    <t>onlinecomputersupport38.azurewebsites.net</t>
  </si>
  <si>
    <t>5f72210d48e60</t>
  </si>
  <si>
    <t>https://onlinecomputersupport38.azurewebsites.net/Kq8XSq5WNCgY68z/</t>
  </si>
  <si>
    <t>freecomputerhelp63.azurewebsites.net</t>
  </si>
  <si>
    <t>5f699eff014bd</t>
  </si>
  <si>
    <t>https://freecomputerhelp63.azurewebsites.net/R7tcvkAFdAwS4B4</t>
  </si>
  <si>
    <t>freecomputerhelp88.azurewebsites.net</t>
  </si>
  <si>
    <t>5f699ec307abd</t>
  </si>
  <si>
    <t>https://freecomputerhelp88.azurewebsites.net/R7tcvkAFdAwS4B4</t>
  </si>
  <si>
    <t>freecomputerhelp163.azurewebsites.net</t>
  </si>
  <si>
    <t>5f699e818e241</t>
  </si>
  <si>
    <t>https://freecomputerhelp163.azurewebsites.net/R7tcvkAFdAwS4B4</t>
  </si>
  <si>
    <t>freecomputerhelp143.azurewebsites.net</t>
  </si>
  <si>
    <t>5f699e418009d</t>
  </si>
  <si>
    <t>https://freecomputerhelp143.azurewebsites.net/R7tcvkAFdAwS4B4</t>
  </si>
  <si>
    <t>freecomputerhelp43.azurewebsites.net</t>
  </si>
  <si>
    <t>5f68dc3eacc63</t>
  </si>
  <si>
    <t>https://freecomputerhelp43.azurewebsites.net/R7tcvkAFdAwS4B4/</t>
  </si>
  <si>
    <t>freecomputerhelp18.azurewebsites.net</t>
  </si>
  <si>
    <t>5f68d98ee26fe</t>
  </si>
  <si>
    <t>https://freecomputerhelp18.azurewebsites.net/R7tcvkAFdAwS4B4/</t>
  </si>
  <si>
    <t>freecomputerhelp03.azurewebsites.net</t>
  </si>
  <si>
    <t>5f68d9746e97c</t>
  </si>
  <si>
    <t>https://freecomputerhelp03.azurewebsites.net/R7tcvkAFdAwS4B4/</t>
  </si>
  <si>
    <t>freepchelpforum23.azurewebsites.net</t>
  </si>
  <si>
    <t>5f627c914cacf</t>
  </si>
  <si>
    <t>https://freepchelpforum23.azurewebsites.net/TxHTvPq9EFWfwjb/</t>
  </si>
  <si>
    <t>freepchelp103.azurewebsites.net</t>
  </si>
  <si>
    <t>5f6246da2032e</t>
  </si>
  <si>
    <t>https://freepchelp103.azurewebsites.net/TxHTvPq9EFWfwjb/</t>
  </si>
  <si>
    <t>freepchelp113.azurewebsites.net</t>
  </si>
  <si>
    <t>5f6246c0c1dde</t>
  </si>
  <si>
    <t>https://freepchelp113.azurewebsites.net/TxHTvPq9EFWfwjb/</t>
  </si>
  <si>
    <t>freepchelp128.azurewebsites.net</t>
  </si>
  <si>
    <t>5f6242d598db7</t>
  </si>
  <si>
    <t>https://freepchelp128.azurewebsites.net/TxHTvPq9EFWfwjb/</t>
  </si>
  <si>
    <t>freepchelp03.azurewebsites.net</t>
  </si>
  <si>
    <t>5f61c61bf27ce</t>
  </si>
  <si>
    <t>https://freepchelp03.azurewebsites.net/ERDDrHjVfKbFJbQ/</t>
  </si>
  <si>
    <t>freepchelp83.azurewebsites.net</t>
  </si>
  <si>
    <t>5f61c5382099b</t>
  </si>
  <si>
    <t>https://freepchelp83.azurewebsites.net/ERDDrHjVfKbFJbQ/</t>
  </si>
  <si>
    <t>freepchelponline03.azurewebsites.net</t>
  </si>
  <si>
    <t>5f60f97ca7d0a</t>
  </si>
  <si>
    <t>https://freepchelponline03.azurewebsites.net/ERDDrHjVfKbFJbQ/</t>
  </si>
  <si>
    <t>pconlinehelp103.azurewebsites.net</t>
  </si>
  <si>
    <t>5f60798ecef2e</t>
  </si>
  <si>
    <t>https://pconlinehelp103.azurewebsites.net/ERDDrHjVfKbFJbQ/</t>
  </si>
  <si>
    <t>pconlinehelp123.azurewebsites.net</t>
  </si>
  <si>
    <t>5f60795be0e1c</t>
  </si>
  <si>
    <t>https://pconlinehelp123.azurewebsites.net/ERDDrHjVfKbFJbQ/</t>
  </si>
  <si>
    <t>pconlinehelp153.azurewebsites.net</t>
  </si>
  <si>
    <t>5f607924a88b3</t>
  </si>
  <si>
    <t>https://pconlinehelp153.azurewebsites.net/ERDDrHjVfKbFJbQ/</t>
  </si>
  <si>
    <t>pchelpdesk73.azurewebsites.net</t>
  </si>
  <si>
    <t>5f5a5b54085cf</t>
  </si>
  <si>
    <t>https://pchelpdesk73.azurewebsites.net/garretttanners7d/</t>
  </si>
  <si>
    <t>pchelpdesk23.azurewebsites.net</t>
  </si>
  <si>
    <t>5f5a58357d9a6</t>
  </si>
  <si>
    <t>https://pchelpdesk23.azurewebsites.net/garretttanners7d/</t>
  </si>
  <si>
    <t>pchelpservices153.azurewebsites.net</t>
  </si>
  <si>
    <t>5f5931c22fd00</t>
  </si>
  <si>
    <t>https://pchelpservices153.azurewebsites.net/dawsonwhlerS7v/</t>
  </si>
  <si>
    <t>pchelpservices113.azurewebsites.net</t>
  </si>
  <si>
    <t>5f5917292c89e</t>
  </si>
  <si>
    <t>https://pchelpservices113.azurewebsites.net/dawsonwhlerS7v/</t>
  </si>
  <si>
    <t>callnow93.azurewebsites.net</t>
  </si>
  <si>
    <t>5f5288ce363a6</t>
  </si>
  <si>
    <t>http://callnow93.azurewebsites.net/cado/</t>
  </si>
  <si>
    <t>callnow73.azurewebsites.net</t>
  </si>
  <si>
    <t>5f52870589cb8</t>
  </si>
  <si>
    <t>http://callnow73.azurewebsites.net/Mer-cado/</t>
  </si>
  <si>
    <t>callnow53.azurewebsites.net</t>
  </si>
  <si>
    <t>5f5286a839829</t>
  </si>
  <si>
    <t>http://callnow53.azurewebsites.net/Mer-cado/</t>
  </si>
  <si>
    <t>callnow33.azurewebsites.net</t>
  </si>
  <si>
    <t>5f52864aa838a</t>
  </si>
  <si>
    <t>http://callnow33.azurewebsites.net/Mer-cado/</t>
  </si>
  <si>
    <t>callnow13.azurewebsites.net</t>
  </si>
  <si>
    <t>5f5285eb3ff79</t>
  </si>
  <si>
    <t>http://callnow13.azurewebsites.net/Mer-cado/</t>
  </si>
  <si>
    <t>callnow03.azurewebsites.net</t>
  </si>
  <si>
    <t>5f5285a7bcfd9</t>
  </si>
  <si>
    <t>http://callnow03.azurewebsites.net/Mer-cado/</t>
  </si>
  <si>
    <t>freesupportcall13.azurewebsites.net</t>
  </si>
  <si>
    <t>5f4e733ad01e1</t>
  </si>
  <si>
    <t>http://freesupportcall13.azurewebsites.net/q5gCvYnz6kzKvgY/</t>
  </si>
  <si>
    <t>customerfreesupport33.azurewebsites.net</t>
  </si>
  <si>
    <t>5f4d5b1b3b609</t>
  </si>
  <si>
    <t>https://customerfreesupport33.azurewebsites.net/HNhGpB5gbMdVDyb/</t>
  </si>
  <si>
    <t>customerfreesupport53.azurewebsites.net</t>
  </si>
  <si>
    <t>5f4d56d2aa351</t>
  </si>
  <si>
    <t>https://customerfreesupport53.azurewebsites.net/HNhGpB5gbMdVDyb/</t>
  </si>
  <si>
    <t>freesupport103.azurewebsites.net</t>
  </si>
  <si>
    <t>5f4c0e3cbfd89</t>
  </si>
  <si>
    <t>http://freesupport103.azurewebsites.net/gHBW7zFVGjwcrjr/</t>
  </si>
  <si>
    <t>freesupport73.azurewebsites.net</t>
  </si>
  <si>
    <t>5f4c0db11f184</t>
  </si>
  <si>
    <t>http://freesupport73.azurewebsites.net/gHBW7zFVGjwcrjr/</t>
  </si>
  <si>
    <t>freesupport53.azurewebsites.net</t>
  </si>
  <si>
    <t>5f4c0d509a4e5</t>
  </si>
  <si>
    <t>http://freesupport53.azurewebsites.net/gHBW7zFVGjwcrjr/</t>
  </si>
  <si>
    <t>freesupport43.azurewebsites.net</t>
  </si>
  <si>
    <t>5f4c0d20dc870</t>
  </si>
  <si>
    <t>http://freesupport43.azurewebsites.net/gHBW7zFVGjwcrjr/</t>
  </si>
  <si>
    <t>callnow-free143.azurewebsites.net</t>
  </si>
  <si>
    <t>5f4c099eac38b</t>
  </si>
  <si>
    <t>http://callnow-free143.azurewebsites.net/S9M5QFaca7VkHSt/</t>
  </si>
  <si>
    <t>callnow-free123.azurewebsites.net</t>
  </si>
  <si>
    <t>5f4c0941ab20d</t>
  </si>
  <si>
    <t>http://callnow-free123.azurewebsites.net/S9M5QFaca7VkHSt/</t>
  </si>
  <si>
    <t>callnow-free103.azurewebsites.net</t>
  </si>
  <si>
    <t>5f4c08e549fba</t>
  </si>
  <si>
    <t>http://callnow-free103.azurewebsites.net/S9M5QFaca7VkHSt/</t>
  </si>
  <si>
    <t>callnow-free82.azurewebsites.net</t>
  </si>
  <si>
    <t>5f4c088324f42</t>
  </si>
  <si>
    <t>http://callnow-free82.azurewebsites.net/S9M5QFaca7VkHSt/</t>
  </si>
  <si>
    <t>freesupport23.azurewebsites.net</t>
  </si>
  <si>
    <t>5f4ae55665bc0</t>
  </si>
  <si>
    <t>http://freesupport23.azurewebsites.net/gHBW7zFVGjwcrjr/</t>
  </si>
  <si>
    <t>freecallcaresupport103.azurewebsites.net</t>
  </si>
  <si>
    <t>5f4aa415b7df1</t>
  </si>
  <si>
    <t>http://freecallcaresupport103.azurewebsites.net/vTUPHmw6mhDcMgT/</t>
  </si>
  <si>
    <t>freecallcaresupport43.azurewebsites.net</t>
  </si>
  <si>
    <t>5f4aa303743ab</t>
  </si>
  <si>
    <t>http://freecallcaresupport43.azurewebsites.net/vTUPHmw6mhDcMgT/</t>
  </si>
  <si>
    <t>customercaresupport73.azurewebsites.net</t>
  </si>
  <si>
    <t>5f49e0b081306</t>
  </si>
  <si>
    <t>http://customercaresupport73.azurewebsites.net/BdvJMsVsaH3HMNC/</t>
  </si>
  <si>
    <t>customercaresupport83.azurewebsites.net</t>
  </si>
  <si>
    <t>5f49e09606b9f</t>
  </si>
  <si>
    <t>http://customercaresupport83.azurewebsites.net/BdvJMsVsaH3HMNC/</t>
  </si>
  <si>
    <t>getfreesupport153.azurewebsites.net</t>
  </si>
  <si>
    <t>5f49765572444</t>
  </si>
  <si>
    <t>http://getfreesupport153.azurewebsites.net/gHBW7zFVGjwcrjr/</t>
  </si>
  <si>
    <t>getfreesupport143.azurewebsites.net</t>
  </si>
  <si>
    <t>5f49762466585</t>
  </si>
  <si>
    <t>http://getfreesupport143.azurewebsites.net/gHBW7zFVGjwcrjr/</t>
  </si>
  <si>
    <t>getfreesupport133.azurewebsites.net</t>
  </si>
  <si>
    <t>5f4975f2c285b</t>
  </si>
  <si>
    <t>http://getfreesupport133.azurewebsites.net/gHBW7zFVGjwcrjr/</t>
  </si>
  <si>
    <t>freesupport133.azurewebsites.net</t>
  </si>
  <si>
    <t>5f4961f7c7bb4</t>
  </si>
  <si>
    <t>http://freesupport133.azurewebsites.net/pb613cadhekan/</t>
  </si>
  <si>
    <t>freesupport123.azurewebsites.net</t>
  </si>
  <si>
    <t>5f4961d2cb702</t>
  </si>
  <si>
    <t>http://freesupport123.azurewebsites.net/pb613cadhekan/</t>
  </si>
  <si>
    <t>freemaintenance103.azurewebsites.net</t>
  </si>
  <si>
    <t>5f495eb89a215</t>
  </si>
  <si>
    <t>http://freemaintenance103.azurewebsites.net/q5gCvYnz6kzKvgY/</t>
  </si>
  <si>
    <t>freemaintenance99.azurewebsites.net</t>
  </si>
  <si>
    <t>5f495ea7b1ead</t>
  </si>
  <si>
    <t>http://freemaintenance99.azurewebsites.net/q5gCvYnz6kzKvgY/</t>
  </si>
  <si>
    <t>freemaintenance83.azurewebsites.net</t>
  </si>
  <si>
    <t>5f495e67ec9af</t>
  </si>
  <si>
    <t>http://freemaintenance83.azurewebsites.net/q5gCvYnz6kzKvgY/</t>
  </si>
  <si>
    <t>services03.azurewebsites.net</t>
  </si>
  <si>
    <t>5f4958d731be4</t>
  </si>
  <si>
    <t>http://services03.azurewebsites.net/pb613cadhekan/</t>
  </si>
  <si>
    <t>customercaresupport183.azurewebsites.net</t>
  </si>
  <si>
    <t>5f494612ca757</t>
  </si>
  <si>
    <t>https://customercaresupport183.azurewebsites.net/HNhGpB5gbMdVDyb/</t>
  </si>
  <si>
    <t>freemaintenance23.azurewebsites.net</t>
  </si>
  <si>
    <t>5f48bc43a809a</t>
  </si>
  <si>
    <t>http://freemaintenance23.azurewebsites.net/q5gCvYnz6kzKvgY/</t>
  </si>
  <si>
    <t>carefreesupport13.azurewebsites.net</t>
  </si>
  <si>
    <t>5f480129a058e</t>
  </si>
  <si>
    <t>http://carefreesupport13.azurewebsites.net/vcCsfdvjFg4P5tp/index.html</t>
  </si>
  <si>
    <t>getfreesupport173.azurewebsites.net</t>
  </si>
  <si>
    <t>5f47aa68db2e5</t>
  </si>
  <si>
    <t>http://getfreesupport173.azurewebsites.net/atEdYhpx5ykF2Ru/</t>
  </si>
  <si>
    <t>getfreesupport03.azurewebsites.net</t>
  </si>
  <si>
    <t>5f47a57ab2864</t>
  </si>
  <si>
    <t>http://getfreesupport03.azurewebsites.net/Zcv6znVbFKDkXCy/</t>
  </si>
  <si>
    <t>computer113.azurewebsites.net</t>
  </si>
  <si>
    <t>5f47a383208b5</t>
  </si>
  <si>
    <t>http://computer113.azurewebsites.net/Belle-Plaine</t>
  </si>
  <si>
    <t>computer63.azurewebsites.net</t>
  </si>
  <si>
    <t>5f47a01d3c723</t>
  </si>
  <si>
    <t>http://computer63.azurewebsites.net/Belle-Plaine/</t>
  </si>
  <si>
    <t>computer32.azurewebsites.net</t>
  </si>
  <si>
    <t>5f479f68b411c</t>
  </si>
  <si>
    <t>http://computer32.azurewebsites.net/Belle-Plaine/</t>
  </si>
  <si>
    <t>computer03.azurewebsites.net</t>
  </si>
  <si>
    <t>5f479dec21ebf</t>
  </si>
  <si>
    <t>http://computer03.azurewebsites.net/Belle-Plaine/</t>
  </si>
  <si>
    <t>checkup33.azurewebsites.net</t>
  </si>
  <si>
    <t>5f447758df4c5</t>
  </si>
  <si>
    <t>http://checkup33.azurewebsites.net/Kristy-Cortez/</t>
  </si>
  <si>
    <t>getfreesupport73.azurewebsites.net</t>
  </si>
  <si>
    <t>5f4450fa733e0</t>
  </si>
  <si>
    <t>https://getfreesupport73.azurewebsites.net/atEdYhpx5ykF2Ru/</t>
  </si>
  <si>
    <t>callnow-free23.azurewebsites.net</t>
  </si>
  <si>
    <t>5f4449cdb26a5</t>
  </si>
  <si>
    <t>https://callnow-free23.azurewebsites.net/Cortez/</t>
  </si>
  <si>
    <t>freesupportservice03.azurewebsites.net</t>
  </si>
  <si>
    <t>5f4443cdc383b</t>
  </si>
  <si>
    <t>https://freesupportservice03.azurewebsites.net/8sx3ztC96XSvHKs/</t>
  </si>
  <si>
    <t>freesupportservice23.azurewebsites.net</t>
  </si>
  <si>
    <t>5f4442ab96bab</t>
  </si>
  <si>
    <t>https://freesupportservice23.azurewebsites.net/8sx3ztC96XSvHKs/</t>
  </si>
  <si>
    <t>togetfreesupport163.azurewebsites.net</t>
  </si>
  <si>
    <t>5f4171f152562</t>
  </si>
  <si>
    <t>http://togetfreesupport163.azurewebsites.net/CxDm3vwargBTus8/</t>
  </si>
  <si>
    <t>computer83.azurewebsites.net</t>
  </si>
  <si>
    <t>5f30d8cf125f9</t>
  </si>
  <si>
    <t>http://computer83.azurewebsites.net/Mer-cado/</t>
  </si>
  <si>
    <t>computer13.azurewebsites.net</t>
  </si>
  <si>
    <t>5f30d699d1efe</t>
  </si>
  <si>
    <t>http://computer13.azurewebsites.net/Belle-Plaine</t>
  </si>
  <si>
    <t>callnow-free43.azurewebsites.net</t>
  </si>
  <si>
    <t>5f30d3fd46d26</t>
  </si>
  <si>
    <t>http://callnow-free43.azurewebsites.net/Cortez/</t>
  </si>
  <si>
    <t>werror03.azurewebsites.net</t>
  </si>
  <si>
    <t>5f218c5aebf44</t>
  </si>
  <si>
    <t>http://werror03.azurewebsites.net/Calhoun-TN/</t>
  </si>
  <si>
    <t>terror03.azurewebsites.net</t>
  </si>
  <si>
    <t>5f1470b979de0</t>
  </si>
  <si>
    <t>http://terror03.azurewebsites.net/Amado-AZ/</t>
  </si>
  <si>
    <t>callnow87.azurewebsites.net</t>
  </si>
  <si>
    <t>52.162.107.3</t>
  </si>
  <si>
    <t>5f528747a0a45</t>
  </si>
  <si>
    <t>http://callnow87.azurewebsites.net/Mer-cado/</t>
  </si>
  <si>
    <t>callnow67.azurewebsites.net</t>
  </si>
  <si>
    <t>5f5286e90a689</t>
  </si>
  <si>
    <t>http://callnow67.azurewebsites.net/Mer-cado/</t>
  </si>
  <si>
    <t>callnow40.azurewebsites.net</t>
  </si>
  <si>
    <t>5f52857865f6c</t>
  </si>
  <si>
    <t>http://callnow40.azurewebsites.net/Mer-cado/</t>
  </si>
  <si>
    <t>freesupport118.azurewebsites.net</t>
  </si>
  <si>
    <t>5f4c0e8400116</t>
  </si>
  <si>
    <t>http://freesupport118.azurewebsites.net/gHBW7zFVGjwcrjr/</t>
  </si>
  <si>
    <t>freesupport67.azurewebsites.net</t>
  </si>
  <si>
    <t>5f4c0d9262c82</t>
  </si>
  <si>
    <t>http://freesupport67.azurewebsites.net/gHBW7zFVGjwcrjr/</t>
  </si>
  <si>
    <t>freesupport36.azurewebsites.net</t>
  </si>
  <si>
    <t>5f4c0cffd5b20</t>
  </si>
  <si>
    <t>http://freesupport36.azurewebsites.net/gHBW7zFVGjwcrjr/</t>
  </si>
  <si>
    <t>callnow-free137.azurewebsites.net</t>
  </si>
  <si>
    <t>5f4c09824185f</t>
  </si>
  <si>
    <t>http://callnow-free137.azurewebsites.net/S9M5QFaca7VkHSt/</t>
  </si>
  <si>
    <t>freemaintenance117.azurewebsites.net</t>
  </si>
  <si>
    <t>5f495ef0c03bf</t>
  </si>
  <si>
    <t>http://freemaintenance117.azurewebsites.net/q5gCvYnz6kzKvgY/</t>
  </si>
  <si>
    <t>freemaintenance70.azurewebsites.net</t>
  </si>
  <si>
    <t>5f48b9c298ce4</t>
  </si>
  <si>
    <t>http://freemaintenance70.azurewebsites.net/q5gCvYnz6kzKvgY/</t>
  </si>
  <si>
    <t>freemaintenance60.azurewebsites.net</t>
  </si>
  <si>
    <t>5f48b9b560f86</t>
  </si>
  <si>
    <t>http://freemaintenance60.azurewebsites.net/q5gCvYnz6kzKvgY/</t>
  </si>
  <si>
    <t>computer57.azurewebsites.net</t>
  </si>
  <si>
    <t>5f479ff8d9ed0</t>
  </si>
  <si>
    <t>http://computer57.azurewebsites.net/Belle-Plaine/</t>
  </si>
  <si>
    <t>getfreesupport95.azurewebsites.net</t>
  </si>
  <si>
    <t>5f4452023c5bc</t>
  </si>
  <si>
    <t>https://getfreesupport95.azurewebsites.net/atEdYhpx5ykF2Ru/</t>
  </si>
  <si>
    <t>getfreesupport67.azurewebsites.net</t>
  </si>
  <si>
    <t>5f4450bc118f4</t>
  </si>
  <si>
    <t>https://getfreesupport67.azurewebsites.net/atEdYhpx5ykF2Ru/</t>
  </si>
  <si>
    <t>callnow-free19.azurewebsites.net</t>
  </si>
  <si>
    <t>5f4449980b168</t>
  </si>
  <si>
    <t>https://callnow-free19.azurewebsites.net/Cortez/</t>
  </si>
  <si>
    <t>callnow-free97.azurewebsites.net</t>
  </si>
  <si>
    <t>5f4170c9e4522</t>
  </si>
  <si>
    <t>http://callnow-free97.azurewebsites.net/Zcv6znVbFKDkXCy/</t>
  </si>
  <si>
    <t>derror78.azurewebsites.net</t>
  </si>
  <si>
    <t>5f22f371e8723</t>
  </si>
  <si>
    <t>http://derror78.azurewebsites.net/Tucker-GA/</t>
  </si>
  <si>
    <t>terror11.azurewebsites.net</t>
  </si>
  <si>
    <t>5f147145dab81</t>
  </si>
  <si>
    <t>http://terror11.azurewebsites.net/Amado-AZ/</t>
  </si>
  <si>
    <t>bestgeekscare49.azurewebsites.net</t>
  </si>
  <si>
    <t>40.71.11.167</t>
  </si>
  <si>
    <t>5f7b79e8c4bb5</t>
  </si>
  <si>
    <t>https://bestgeekscare49.azurewebsites.net/TZZsyhcrt2Wrbu9/</t>
  </si>
  <si>
    <t>livehelpsupport97.azurewebsites.net</t>
  </si>
  <si>
    <t>5f74e97a47b94</t>
  </si>
  <si>
    <t>http://livehelpsupport97.azurewebsites.net/P8fBTPd33cqy3WA/</t>
  </si>
  <si>
    <t>5f6cc7ef67191</t>
  </si>
  <si>
    <t>https://freepchelp39.azurewebsites.net/qbNJp4SCuce6BQh/</t>
  </si>
  <si>
    <t>freecomputersupport169.azurewebsites.net</t>
  </si>
  <si>
    <t>5f6b85e70bf99</t>
  </si>
  <si>
    <t>https://freecomputersupport169.azurewebsites.net/PjY6bTgrEnuKddE/</t>
  </si>
  <si>
    <t>freecomputerhelp79.azurewebsites.net</t>
  </si>
  <si>
    <t>5f699ed2e7681</t>
  </si>
  <si>
    <t>https://freecomputerhelp79.azurewebsites.net/R7tcvkAFdAwS4B4</t>
  </si>
  <si>
    <t>freecomputerhelp109.azurewebsites.net</t>
  </si>
  <si>
    <t>5f699def95412</t>
  </si>
  <si>
    <t>https://freecomputerhelp109.azurewebsites.net/R7tcvkAFdAwS4B4</t>
  </si>
  <si>
    <t>freecomputerhelp39.azurewebsites.net</t>
  </si>
  <si>
    <t>5f68da22455d0</t>
  </si>
  <si>
    <t>https://freecomputerhelp39.azurewebsites.net/R7tcvkAFdAwS4B4/</t>
  </si>
  <si>
    <t>freecomputerhelp22.azurewebsites.net</t>
  </si>
  <si>
    <t>5f68d9a690d53</t>
  </si>
  <si>
    <t>https://freecomputerhelp22.azurewebsites.net/R7tcvkAFdAwS4B4/</t>
  </si>
  <si>
    <t>freecomputerhelp07.azurewebsites.net</t>
  </si>
  <si>
    <t>5f68d996bdea3</t>
  </si>
  <si>
    <t>https://freecomputerhelp07.azurewebsites.net/R7tcvkAFdAwS4B4/</t>
  </si>
  <si>
    <t>freepchelpforum27.azurewebsites.net</t>
  </si>
  <si>
    <t>5f62883c88616</t>
  </si>
  <si>
    <t>https://freepchelpforum27.azurewebsites.net/TxHTvPq9EFWfwjb/</t>
  </si>
  <si>
    <t>freepchelpforum18.azurewebsites.net</t>
  </si>
  <si>
    <t>5f62880527eb5</t>
  </si>
  <si>
    <t>https://freepchelpforum18.azurewebsites.net/TxHTvPq9EFWfwjb/</t>
  </si>
  <si>
    <t>freepchelp132.azurewebsites.net</t>
  </si>
  <si>
    <t>5f6245019a218</t>
  </si>
  <si>
    <t>https://freepchelp132.azurewebsites.net/TxHTvPq9EFWfwjb/</t>
  </si>
  <si>
    <t>freepchelp110.azurewebsites.net</t>
  </si>
  <si>
    <t>5f623bf96a6c3</t>
  </si>
  <si>
    <t>https://freepchelp110.azurewebsites.net/TxHTvPq9EFWfwjb/</t>
  </si>
  <si>
    <t>freepchelp07.azurewebsites.net</t>
  </si>
  <si>
    <t>5f61c61755ad9</t>
  </si>
  <si>
    <t>https://freepchelp07.azurewebsites.net/ERDDrHjVfKbFJbQ/</t>
  </si>
  <si>
    <t>freepchelp67.azurewebsites.net</t>
  </si>
  <si>
    <t>5f61c574878e6</t>
  </si>
  <si>
    <t>https://freepchelp67.azurewebsites.net/ERDDrHjVfKbFJbQ/</t>
  </si>
  <si>
    <t>freepchelp87.azurewebsites.net</t>
  </si>
  <si>
    <t>5f61c526501d3</t>
  </si>
  <si>
    <t>https://freepchelp87.azurewebsites.net/ERDDrHjVfKbFJbQ/</t>
  </si>
  <si>
    <t>pchelpdesk19.azurewebsites.net</t>
  </si>
  <si>
    <t>5f5a581955751</t>
  </si>
  <si>
    <t>https://pchelpdesk19.azurewebsites.net/garretttanners7d/</t>
  </si>
  <si>
    <t>pchelpservices157.azurewebsites.net</t>
  </si>
  <si>
    <t>5f5931fe8ebba</t>
  </si>
  <si>
    <t>https://pchelpservices157.azurewebsites.net/dawsonwhlerS7v/</t>
  </si>
  <si>
    <t>pchelpservices87.azurewebsites.net</t>
  </si>
  <si>
    <t>5f5916c73f621</t>
  </si>
  <si>
    <t>https://pchelpservices87.azurewebsites.net/dawsonwhlerS7v/</t>
  </si>
  <si>
    <t>pchelpservices28.azurewebsites.net</t>
  </si>
  <si>
    <t>5f57ec7fad3ee</t>
  </si>
  <si>
    <t>https://pchelpservices28.azurewebsites.net/avfFeTpfJfSPuPx/</t>
  </si>
  <si>
    <t>freesupport08.azurewebsites.net</t>
  </si>
  <si>
    <t>5f4d5cdb56172</t>
  </si>
  <si>
    <t>http://freesupport08.azurewebsites.net/gHBW7zFVGjwcrjr/</t>
  </si>
  <si>
    <t>customerfreesupport69.azurewebsites.net</t>
  </si>
  <si>
    <t>5f4d5b89b4665</t>
  </si>
  <si>
    <t>https://customerfreesupport69.azurewebsites.net/HNhGpB5gbMdVDyb/</t>
  </si>
  <si>
    <t>freesupport100.azurewebsites.net</t>
  </si>
  <si>
    <t>5f4c0e323d755</t>
  </si>
  <si>
    <t>http://freesupport100.azurewebsites.net/gHBW7zFVGjwcrjr/</t>
  </si>
  <si>
    <t>callnow-free148.azurewebsites.net</t>
  </si>
  <si>
    <t>5f4c09b5e6e6d</t>
  </si>
  <si>
    <t>http://callnow-free148.azurewebsites.net/S9M5QFaca7VkHSt/</t>
  </si>
  <si>
    <t>freesupportservice157.azurewebsites.net</t>
  </si>
  <si>
    <t>5f4ad9508de81</t>
  </si>
  <si>
    <t>http://freesupportservice157.azurewebsites.net/vcCsfdvjFg4P5tp/</t>
  </si>
  <si>
    <t>freesupportservice117.azurewebsites.net</t>
  </si>
  <si>
    <t>5f4ad8bce3ea6</t>
  </si>
  <si>
    <t>http://freesupportservice117.azurewebsites.net/vcCsfdvjFg4P5tp/</t>
  </si>
  <si>
    <t>freecallcaresupport87.azurewebsites.net</t>
  </si>
  <si>
    <t>5f4aa3c5c2c7e</t>
  </si>
  <si>
    <t>http://freecallcaresupport87.azurewebsites.net/vTUPHmw6mhDcMgT/</t>
  </si>
  <si>
    <t>freecallcaresupport47.azurewebsites.net</t>
  </si>
  <si>
    <t>5f4aa311efdfe</t>
  </si>
  <si>
    <t>http://freecallcaresupport47.azurewebsites.net/vTUPHmw6mhDcMgT/</t>
  </si>
  <si>
    <t>freecallcaresupport19.azurewebsites.net</t>
  </si>
  <si>
    <t>5f4aa291a9ced</t>
  </si>
  <si>
    <t>http://freecallcaresupport19.azurewebsites.net/vTUPHmw6mhDcMgT/</t>
  </si>
  <si>
    <t>customercaresupport77.azurewebsites.net</t>
  </si>
  <si>
    <t>5f49e0a95b5db</t>
  </si>
  <si>
    <t>http://customercaresupport77.azurewebsites.net/BdvJMsVsaH3HMNC/</t>
  </si>
  <si>
    <t>checkup100.azurewebsites.net</t>
  </si>
  <si>
    <t>5f497a21cffdb</t>
  </si>
  <si>
    <t>http://checkup100.azurewebsites.net/Mer-cado/</t>
  </si>
  <si>
    <t>customercaresupport179.azurewebsites.net</t>
  </si>
  <si>
    <t>5f49475b4d235</t>
  </si>
  <si>
    <t>https://customercaresupport179.azurewebsites.net/HNhGpB5gbMdVDyb/</t>
  </si>
  <si>
    <t>freemaintenance08.azurewebsites.net</t>
  </si>
  <si>
    <t>5f48b93b2039c</t>
  </si>
  <si>
    <t>http://freemaintenance08.azurewebsites.net/q5gCvYnz6kzKvgY/</t>
  </si>
  <si>
    <t>computer68.azurewebsites.net</t>
  </si>
  <si>
    <t>5f47a0495c769</t>
  </si>
  <si>
    <t>http://computer68.azurewebsites.net/Belle-Plaine/</t>
  </si>
  <si>
    <t>computer29.azurewebsites.net</t>
  </si>
  <si>
    <t>5f479f4c3eeff</t>
  </si>
  <si>
    <t>http://computer29.azurewebsites.net/Belle-Plaine/</t>
  </si>
  <si>
    <t>checkup90.azurewebsites.net</t>
  </si>
  <si>
    <t>5f447a06d5d52</t>
  </si>
  <si>
    <t>http://checkup90.azurewebsites.net/Kristy-Cortez/</t>
  </si>
  <si>
    <t>callnow-free15.azurewebsites.net</t>
  </si>
  <si>
    <t>5f4448d49ac14</t>
  </si>
  <si>
    <t>https://callnow-free15.azurewebsites.net/Cortez/</t>
  </si>
  <si>
    <t>freesupportservice92.azurewebsites.net</t>
  </si>
  <si>
    <t>5f44400b0f8a3</t>
  </si>
  <si>
    <t>https://freesupportservice92.azurewebsites.net/8sx3ztC96XSvHKs/</t>
  </si>
  <si>
    <t>getfreesupport88.azurewebsites.net</t>
  </si>
  <si>
    <t>5f41704fa14a9</t>
  </si>
  <si>
    <t>http://getfreesupport88.azurewebsites.net/atEdYhpx5ykF2Ru/</t>
  </si>
  <si>
    <t>computer110.azurewebsites.net</t>
  </si>
  <si>
    <t>5f30d6dc9cdd1</t>
  </si>
  <si>
    <t>http://computer110.azurewebsites.net/Belle-Plaine</t>
  </si>
  <si>
    <t>freecheckup20.azurewebsites.net</t>
  </si>
  <si>
    <t>5f26bd6167de8</t>
  </si>
  <si>
    <t>http://freecheckup20.azurewebsites.net/Staci-Walsh/</t>
  </si>
  <si>
    <t>computercheckup27.azurewebsites.net</t>
  </si>
  <si>
    <t>5f22730696a0d</t>
  </si>
  <si>
    <t>http://computercheckup27.azurewebsites.net/Staci-Walsh/</t>
  </si>
  <si>
    <t>aerror08.azurewebsites.net</t>
  </si>
  <si>
    <t>5f15c8b486295</t>
  </si>
  <si>
    <t>https://aerror08.azurewebsites.net/Tucker-GA/</t>
  </si>
  <si>
    <t>terror72.azurewebsites.net</t>
  </si>
  <si>
    <t>5f147651d208f</t>
  </si>
  <si>
    <t>http://terror72.azurewebsites.net/Amado-AZ/</t>
  </si>
  <si>
    <t>app2july19-env.eba-uszv74zb.us-east-2.elasticbeanstalk.com</t>
  </si>
  <si>
    <t>3.16.244.73</t>
  </si>
  <si>
    <t>5f14ac7f37b59</t>
  </si>
  <si>
    <t>http://app2july19-env.eba-uszv74zb.us-east-2.elasticbeanstalk.com/0ED01011001_77/</t>
  </si>
  <si>
    <t>pkak.s3-website.ca-central-1.amazonaws.com</t>
  </si>
  <si>
    <t>52.95.147.54</t>
  </si>
  <si>
    <t>5f148992b53d9</t>
  </si>
  <si>
    <t>http://pkak.s3-website.ca-central-1.amazonaws.com/</t>
  </si>
  <si>
    <t>sci-fi.io</t>
  </si>
  <si>
    <t>104.131.16.221</t>
  </si>
  <si>
    <t>5f1515c96c5ea</t>
  </si>
  <si>
    <t>http://sci-fi.io/CHWInhelp10010101x/</t>
  </si>
  <si>
    <t>investinproperty.site</t>
  </si>
  <si>
    <t>5f14d0e482a6e</t>
  </si>
  <si>
    <t>https://investinproperty.site/SAMacHelp011010x/</t>
  </si>
  <si>
    <t>08quicksolutiondfvb.azurewebsites.net</t>
  </si>
  <si>
    <t>191.233.203.33</t>
  </si>
  <si>
    <t>https://08quicksolutiondfvb.azurewebsites.net/ed98786543weiuhjbfdhgfJNFDBHGRYT78/</t>
  </si>
  <si>
    <t>20fast-help-ujhy.azurewebsites.net</t>
  </si>
  <si>
    <t>606f71ad3b4f5</t>
  </si>
  <si>
    <t>https://20fast-help-ujhy.azurewebsites.net/PAHDJ0SGJA844012MACXAGEODB100F/</t>
  </si>
  <si>
    <t>05callnowcdft.azurewebsites.net</t>
  </si>
  <si>
    <t>603fd0b8e3038</t>
  </si>
  <si>
    <t>https://05callnowcdft.azurewebsites.net/XOXMUS800844EDG844MMDD1857/</t>
  </si>
  <si>
    <t>09getsupportcfdx.azurewebsites.net</t>
  </si>
  <si>
    <t>603924270653b</t>
  </si>
  <si>
    <t>https://09getsupportcfdx.azurewebsites.net/bEEMIN00101CH00YY1888/</t>
  </si>
  <si>
    <t>22helpandsupportcdft.azurewebsites.net</t>
  </si>
  <si>
    <t>6036a028c53e7</t>
  </si>
  <si>
    <t>https://22helpandsupportcdft.azurewebsites.net/bEEMIN00101CH00YY1888/</t>
  </si>
  <si>
    <t>12helpandsupportnmju.azurewebsites.net</t>
  </si>
  <si>
    <t>60369a9b51b67</t>
  </si>
  <si>
    <t>https://12helpandsupportnmju.azurewebsites.net/bEEMIN00101CH00YY1888/</t>
  </si>
  <si>
    <t>20getsupportcdft.azurewebsites.net</t>
  </si>
  <si>
    <t>60354d19220b4</t>
  </si>
  <si>
    <t>https://20getsupportcdft.azurewebsites.net/bEEMIN00101CH00YY1888/</t>
  </si>
  <si>
    <t>10getsupportnbvg.azurewebsites.net</t>
  </si>
  <si>
    <t>6030342ccc96c</t>
  </si>
  <si>
    <t>https://10getsupportnbvg.azurewebsites.net/bEEMIN00101CH00YY1888/</t>
  </si>
  <si>
    <t>getsyourspcfixed-176efwfwfwf.azurewebsites.net</t>
  </si>
  <si>
    <t>601dacf25ed94</t>
  </si>
  <si>
    <t>https://getsyourspcfixed-176efwfwfwf.azurewebsites.net/MicOSoCHPC017528240X00/</t>
  </si>
  <si>
    <t>124-getyourpcfixedsrgrgrg.azurewebsites.net</t>
  </si>
  <si>
    <t>6011b68eed077</t>
  </si>
  <si>
    <t>https://124-getyourpcfixedsrgrgrg.azurewebsites.net/MicOSoCHPC017528240X00/</t>
  </si>
  <si>
    <t>134-getyourpcfixedbfbfbbcbffbnf.azurewebsites.net</t>
  </si>
  <si>
    <t>600f0e4ebb09c</t>
  </si>
  <si>
    <t>https://134-getyourpcfixedbfbfbbcbffbnf.azurewebsites.net/MicOSoCHPC017528240X00/</t>
  </si>
  <si>
    <t>livequick-support175.azurewebsites.net</t>
  </si>
  <si>
    <t>5faf3e8aee129</t>
  </si>
  <si>
    <t>http://livequick-support175.azurewebsites.net/JArbZ98cFQJapCA/</t>
  </si>
  <si>
    <t>livequick-support164.azurewebsites.net</t>
  </si>
  <si>
    <t>5faf3e5656fc3</t>
  </si>
  <si>
    <t>http://livequick-support164.azurewebsites.net/JArbZ98cFQJapCA/</t>
  </si>
  <si>
    <t>livequick-support157.azurewebsites.net</t>
  </si>
  <si>
    <t>5faf3e30c51d9</t>
  </si>
  <si>
    <t>http://livequick-support157.azurewebsites.net/JArbZ98cFQJapCA/</t>
  </si>
  <si>
    <t>livequick-support144.azurewebsites.net</t>
  </si>
  <si>
    <t>5faf3df42d7a5</t>
  </si>
  <si>
    <t>http://livequick-support144.azurewebsites.net/JArbZ98cFQJapCA/</t>
  </si>
  <si>
    <t>livequick-support140.azurewebsites.net</t>
  </si>
  <si>
    <t>5faf3de3ede82</t>
  </si>
  <si>
    <t>http://livequick-support140.azurewebsites.net/JArbZ98cFQJapCA/</t>
  </si>
  <si>
    <t>livequick-support124.azurewebsites.net</t>
  </si>
  <si>
    <t>5faf3d9765c13</t>
  </si>
  <si>
    <t>http://livequick-support124.azurewebsites.net/JArbZ98cFQJapCA/</t>
  </si>
  <si>
    <t>livequick-support104.azurewebsites.net</t>
  </si>
  <si>
    <t>5faf3d37f0d9f</t>
  </si>
  <si>
    <t>http://livequick-support104.azurewebsites.net/JArbZ98cFQJapCA/</t>
  </si>
  <si>
    <t>livequick-support064.azurewebsites.net</t>
  </si>
  <si>
    <t>5faf392242f03</t>
  </si>
  <si>
    <t>http://livequick-support064.azurewebsites.net/JArbZ98cFQJapCA/</t>
  </si>
  <si>
    <t>quick-support264.azurewebsites.net</t>
  </si>
  <si>
    <t>5fa96dfe04f94</t>
  </si>
  <si>
    <t>https://quick-support264.azurewebsites.net/VXJfzDqW2zqUqWz/</t>
  </si>
  <si>
    <t>quick-support184.azurewebsites.net</t>
  </si>
  <si>
    <t>5fa58e7746ff0</t>
  </si>
  <si>
    <t>https://quick-support184.azurewebsites.net/VXJfzDqW2zqUqWz/</t>
  </si>
  <si>
    <t>quick-support144.azurewebsites.net</t>
  </si>
  <si>
    <t>5fa45c03dac5c</t>
  </si>
  <si>
    <t>https://quick-support144.azurewebsites.net/KZPnhPzq8R8jHBD/</t>
  </si>
  <si>
    <t>quick-support094.azurewebsites.net</t>
  </si>
  <si>
    <t>5fa43f5db5527</t>
  </si>
  <si>
    <t>https://quick-support094.azurewebsites.net/KZPnhPzq8R8jHBD/</t>
  </si>
  <si>
    <t>quick-support089.azurewebsites.net</t>
  </si>
  <si>
    <t>5fa43cef1e815</t>
  </si>
  <si>
    <t>https://quick-support089.azurewebsites.net/KZPnhPzq8R8jHBD/</t>
  </si>
  <si>
    <t>quick-support084.azurewebsites.net</t>
  </si>
  <si>
    <t>5fa43b5d8058c</t>
  </si>
  <si>
    <t>https://quick-support084.azurewebsites.net/KZPnhPzq8R8jHBD/</t>
  </si>
  <si>
    <t>quick-support064.azurewebsites.net</t>
  </si>
  <si>
    <t>5fa4395b4e2db</t>
  </si>
  <si>
    <t>https://quick-support064.azurewebsites.net/KZPnhPzq8R8jHBD/</t>
  </si>
  <si>
    <t>quick-support014.azurewebsites.net</t>
  </si>
  <si>
    <t>5fa3001bf195a</t>
  </si>
  <si>
    <t>https://quick-support014.azurewebsites.net/UsvCPP4t5Gxga6T/</t>
  </si>
  <si>
    <t>livequickpcsupport015.azurewebsites.net</t>
  </si>
  <si>
    <t>5fa04cf79fee9</t>
  </si>
  <si>
    <t>https://livequickpcsupport015.azurewebsites.net/gxDdcFJ5WdRaJjW/</t>
  </si>
  <si>
    <t>livequickpcsupports04.azurewebsites.net</t>
  </si>
  <si>
    <t>5f9846a8ed758</t>
  </si>
  <si>
    <t>https://livequickpcsupports04.azurewebsites.net/9GMEFgvzgTaEgPD/</t>
  </si>
  <si>
    <t>liveonlinepchelp24.azurewebsites.net</t>
  </si>
  <si>
    <t>5f735e95b1384</t>
  </si>
  <si>
    <t>http://liveonlinepchelp24.azurewebsites.net/6Yeqm5nqUDDNFgk/</t>
  </si>
  <si>
    <t>liveonlinepchelp04.azurewebsites.net</t>
  </si>
  <si>
    <t>5f735e0083f31</t>
  </si>
  <si>
    <t>http://liveonlinepchelp04.azurewebsites.net/6Yeqm5nqUDDNFgk/</t>
  </si>
  <si>
    <t>onlinecomputersupport44.azurewebsites.net</t>
  </si>
  <si>
    <t>5f7221131378c</t>
  </si>
  <si>
    <t>https://onlinecomputersupport44.azurewebsites.net/Kq8XSq5WNCgY68z/</t>
  </si>
  <si>
    <t>freepchelp194.azurewebsites.net</t>
  </si>
  <si>
    <t>5f6e49f241015</t>
  </si>
  <si>
    <t>https://freepchelp194.azurewebsites.net/uGM5D6wZ9V5J5RY/</t>
  </si>
  <si>
    <t>5f6d8fd4dc5cb</t>
  </si>
  <si>
    <t>https://freepchelp84.azurewebsites.net/qbNJp4SCuce6BQh/</t>
  </si>
  <si>
    <t>freepchelp42.azurewebsites.net</t>
  </si>
  <si>
    <t>5f6cceef1d972</t>
  </si>
  <si>
    <t>https://freepchelp42.azurewebsites.net/Kq8XSq5WNCgY68z/</t>
  </si>
  <si>
    <t>freecomputersupport04.azurewebsites.net</t>
  </si>
  <si>
    <t>5f6a3cfd43ee5</t>
  </si>
  <si>
    <t>https://freecomputersupport04.azurewebsites.net/PjY6bTgrEnuKddE/</t>
  </si>
  <si>
    <t>freecomputersupport14.azurewebsites.net</t>
  </si>
  <si>
    <t>5f6a3ce5488f6</t>
  </si>
  <si>
    <t>https://freecomputersupport14.azurewebsites.net/PjY6bTgrEnuKddE/</t>
  </si>
  <si>
    <t>freecomputerhelp89.azurewebsites.net</t>
  </si>
  <si>
    <t>5f699ec79adea</t>
  </si>
  <si>
    <t>https://freecomputerhelp89.azurewebsites.net/R7tcvkAFdAwS4B4</t>
  </si>
  <si>
    <t>freecomputerhelp94.azurewebsites.net</t>
  </si>
  <si>
    <t>5f699eb8822e9</t>
  </si>
  <si>
    <t>https://freecomputerhelp94.azurewebsites.net/R7tcvkAFdAwS4B4</t>
  </si>
  <si>
    <t>freecomputerhelp164.azurewebsites.net</t>
  </si>
  <si>
    <t>5f699e8276259</t>
  </si>
  <si>
    <t>https://freecomputerhelp164.azurewebsites.net/R7tcvkAFdAwS4B4</t>
  </si>
  <si>
    <t>freecomputerhelp154.azurewebsites.net</t>
  </si>
  <si>
    <t>5f699e700eb4d</t>
  </si>
  <si>
    <t>https://freecomputerhelp154.azurewebsites.net/R7tcvkAFdAwS4B4</t>
  </si>
  <si>
    <t>freecomputerhelp114.azurewebsites.net</t>
  </si>
  <si>
    <t>5f699df9061e8</t>
  </si>
  <si>
    <t>https://freecomputerhelp114.azurewebsites.net/R7tcvkAFdAwS4B4</t>
  </si>
  <si>
    <t>freecomputerhelp19.azurewebsites.net</t>
  </si>
  <si>
    <t>5f68d9951ce57</t>
  </si>
  <si>
    <t>https://freecomputerhelp19.azurewebsites.net/R7tcvkAFdAwS4B4/</t>
  </si>
  <si>
    <t>freepchelpforum24.azurewebsites.net</t>
  </si>
  <si>
    <t>5f62882b1e04f</t>
  </si>
  <si>
    <t>https://freepchelpforum24.azurewebsites.net/TxHTvPq9EFWfwjb/</t>
  </si>
  <si>
    <t>freepchelp114.azurewebsites.net</t>
  </si>
  <si>
    <t>5f6246becc2df</t>
  </si>
  <si>
    <t>https://freepchelp114.azurewebsites.net/TxHTvPq9EFWfwjb/</t>
  </si>
  <si>
    <t>freepchelp34.azurewebsites.net</t>
  </si>
  <si>
    <t>5f61c5c942f20</t>
  </si>
  <si>
    <t>https://freepchelp34.azurewebsites.net/ERDDrHjVfKbFJbQ/</t>
  </si>
  <si>
    <t>freepchelp64.azurewebsites.net</t>
  </si>
  <si>
    <t>5f61c57a64b94</t>
  </si>
  <si>
    <t>https://freepchelp64.azurewebsites.net/ERDDrHjVfKbFJbQ/</t>
  </si>
  <si>
    <t>pconlinehelp114.azurewebsites.net</t>
  </si>
  <si>
    <t>5f607980db024</t>
  </si>
  <si>
    <t>https://pconlinehelp114.azurewebsites.net/ERDDrHjVfKbFJbQ/</t>
  </si>
  <si>
    <t>pconlinehelp144.azurewebsites.net</t>
  </si>
  <si>
    <t>5f60793686592</t>
  </si>
  <si>
    <t>https://pconlinehelp144.azurewebsites.net/ERDDrHjVfKbFJbQ/</t>
  </si>
  <si>
    <t>pconlinehelp03.azurewebsites.net</t>
  </si>
  <si>
    <t>5f5f9bfe49b7a</t>
  </si>
  <si>
    <t>https://pconlinehelp03.azurewebsites.net/ERDDrHjVfKbFJbQ/</t>
  </si>
  <si>
    <t>pchelpdesk44.azurewebsites.net</t>
  </si>
  <si>
    <t>5f5a58bfe2cd8</t>
  </si>
  <si>
    <t>https://pchelpdesk44.azurewebsites.net/garretttanners7d/</t>
  </si>
  <si>
    <t>pchelpdesk24.azurewebsites.net</t>
  </si>
  <si>
    <t>5f5a583c81d49</t>
  </si>
  <si>
    <t>https://pchelpdesk24.azurewebsites.net/garretttanners7d/</t>
  </si>
  <si>
    <t>pchelpdesk04.azurewebsites.net</t>
  </si>
  <si>
    <t>5f5a57b583f70</t>
  </si>
  <si>
    <t>https://pchelpdesk04.azurewebsites.net/garretttanners7d/</t>
  </si>
  <si>
    <t>pchelpservices104.azurewebsites.net</t>
  </si>
  <si>
    <t>5f591706657a4</t>
  </si>
  <si>
    <t>https://pchelpservices104.azurewebsites.net/dawsonwhlerS7v/</t>
  </si>
  <si>
    <t>pchelpservices84.azurewebsites.net</t>
  </si>
  <si>
    <t>5f5916bc06a0b</t>
  </si>
  <si>
    <t>https://pchelpservices84.azurewebsites.net/dawsonwhlerS7v/</t>
  </si>
  <si>
    <t>pchelpservices25.azurewebsites.net</t>
  </si>
  <si>
    <t>5f57ea2392678</t>
  </si>
  <si>
    <t>https://pchelpservices25.azurewebsites.net/avfFeTpfJfSPuPx/</t>
  </si>
  <si>
    <t>callnow94.azurewebsites.net</t>
  </si>
  <si>
    <t>5f5288d40053a</t>
  </si>
  <si>
    <t>http://callnow94.azurewebsites.net/cado/</t>
  </si>
  <si>
    <t>callnow74.azurewebsites.net</t>
  </si>
  <si>
    <t>5f52870a789c3</t>
  </si>
  <si>
    <t>http://callnow74.azurewebsites.net/Mer-cado/</t>
  </si>
  <si>
    <t>callnow54.azurewebsites.net</t>
  </si>
  <si>
    <t>5f5286acd9c68</t>
  </si>
  <si>
    <t>http://callnow54.azurewebsites.net/Mer-cado/</t>
  </si>
  <si>
    <t>callnow34.azurewebsites.net</t>
  </si>
  <si>
    <t>5f52864f7da3e</t>
  </si>
  <si>
    <t>http://callnow34.azurewebsites.net/Mer-cado/</t>
  </si>
  <si>
    <t>callnow04.azurewebsites.net</t>
  </si>
  <si>
    <t>5f5285ad10c86</t>
  </si>
  <si>
    <t>http://callnow04.azurewebsites.net/Mer-cado/</t>
  </si>
  <si>
    <t>freesupportcall04.azurewebsites.net</t>
  </si>
  <si>
    <t>5f4e7389adb71</t>
  </si>
  <si>
    <t>http://freesupportcall04.azurewebsites.net/q5gCvYnz6kzKvgY/</t>
  </si>
  <si>
    <t>freesupport02.azurewebsites.net</t>
  </si>
  <si>
    <t>5f4d5c93e913f</t>
  </si>
  <si>
    <t>http://freesupport02.azurewebsites.net/gHBW7zFVGjwcrjr/</t>
  </si>
  <si>
    <t>customerfreesupport64.azurewebsites.net</t>
  </si>
  <si>
    <t>5f4d5b7f694ec</t>
  </si>
  <si>
    <t>https://customerfreesupport64.azurewebsites.net/HNhGpB5gbMdVDyb/</t>
  </si>
  <si>
    <t>customerfreesupport34.azurewebsites.net</t>
  </si>
  <si>
    <t>5f4d5b19060b2</t>
  </si>
  <si>
    <t>https://customerfreesupport34.azurewebsites.net/HNhGpB5gbMdVDyb/</t>
  </si>
  <si>
    <t>freesupport74.azurewebsites.net</t>
  </si>
  <si>
    <t>5f4c0db6c7121</t>
  </si>
  <si>
    <t>http://freesupport74.azurewebsites.net/gHBW7zFVGjwcrjr/</t>
  </si>
  <si>
    <t>callnow-free154.azurewebsites.net</t>
  </si>
  <si>
    <t>5f4c09d2e499b</t>
  </si>
  <si>
    <t>http://callnow-free154.azurewebsites.net/S9M5QFaca7VkHSt/</t>
  </si>
  <si>
    <t>callnow-free144.azurewebsites.net</t>
  </si>
  <si>
    <t>5f4c09a3b3d05</t>
  </si>
  <si>
    <t>http://callnow-free144.azurewebsites.net/S9M5QFaca7VkHSt/</t>
  </si>
  <si>
    <t>freesupport24.azurewebsites.net</t>
  </si>
  <si>
    <t>5f4ae55e82f4f</t>
  </si>
  <si>
    <t>http://freesupport24.azurewebsites.net/gHBW7zFVGjwcrjr/</t>
  </si>
  <si>
    <t>freesupportservice154.azurewebsites.net</t>
  </si>
  <si>
    <t>5f4ad945a378a</t>
  </si>
  <si>
    <t>http://freesupportservice154.azurewebsites.net/vcCsfdvjFg4P5tp/</t>
  </si>
  <si>
    <t>freesupportservice134.azurewebsites.net</t>
  </si>
  <si>
    <t>5f4ad8fc1e0e8</t>
  </si>
  <si>
    <t>http://freesupportservice134.azurewebsites.net/vcCsfdvjFg4P5tp/</t>
  </si>
  <si>
    <t>freesupportservice114.azurewebsites.net</t>
  </si>
  <si>
    <t>5f4ad8b1b157e</t>
  </si>
  <si>
    <t>http://freesupportservice114.azurewebsites.net/vcCsfdvjFg4P5tp/</t>
  </si>
  <si>
    <t>freecallcaresupport105.azurewebsites.net</t>
  </si>
  <si>
    <t>5f4aa41fbc038</t>
  </si>
  <si>
    <t>http://freecallcaresupport105.azurewebsites.net/vTUPHmw6mhDcMgT/</t>
  </si>
  <si>
    <t>freecallcaresupport104.azurewebsites.net</t>
  </si>
  <si>
    <t>5f4aa41abc0ca</t>
  </si>
  <si>
    <t>http://freecallcaresupport104.azurewebsites.net/vTUPHmw6mhDcMgT/</t>
  </si>
  <si>
    <t>freecallcaresupport84.azurewebsites.net</t>
  </si>
  <si>
    <t>5f4aa3bc64c27</t>
  </si>
  <si>
    <t>http://freecallcaresupport84.azurewebsites.net/vTUPHmw6mhDcMgT/</t>
  </si>
  <si>
    <t>freecallcaresupport54.azurewebsites.net</t>
  </si>
  <si>
    <t>5f4aa32f5f64b</t>
  </si>
  <si>
    <t>http://freecallcaresupport54.azurewebsites.net/vTUPHmw6mhDcMgT/</t>
  </si>
  <si>
    <t>freecallcaresupport44.azurewebsites.net</t>
  </si>
  <si>
    <t>5f4aa3089388b</t>
  </si>
  <si>
    <t>http://freecallcaresupport44.azurewebsites.net/vTUPHmw6mhDcMgT/</t>
  </si>
  <si>
    <t>freecallcaresupport24.azurewebsites.net</t>
  </si>
  <si>
    <t>5f4aa2aad6adb</t>
  </si>
  <si>
    <t>http://freecallcaresupport24.azurewebsites.net/vTUPHmw6mhDcMgT/</t>
  </si>
  <si>
    <t>freecallcaresupport04.azurewebsites.net</t>
  </si>
  <si>
    <t>5f4aa23f94596</t>
  </si>
  <si>
    <t>http://freecallcaresupport04.azurewebsites.net/vTUPHmw6mhDcMgT/</t>
  </si>
  <si>
    <t>customercaresupport94.azurewebsites.net</t>
  </si>
  <si>
    <t>5f4aa1d2531b5</t>
  </si>
  <si>
    <t>http://customercaresupport94.azurewebsites.net/vcCsfdvjFg4P5tp/</t>
  </si>
  <si>
    <t>customercaresupport74.azurewebsites.net</t>
  </si>
  <si>
    <t>5f49e0af0b3d7</t>
  </si>
  <si>
    <t>http://customercaresupport74.azurewebsites.net/BdvJMsVsaH3HMNC/</t>
  </si>
  <si>
    <t>customercaresupport84.azurewebsites.net</t>
  </si>
  <si>
    <t>5f49e09481b49</t>
  </si>
  <si>
    <t>http://customercaresupport84.azurewebsites.net/BdvJMsVsaH3HMNC/</t>
  </si>
  <si>
    <t>freesupport124.azurewebsites.net</t>
  </si>
  <si>
    <t>5f4961d687720</t>
  </si>
  <si>
    <t>http://freesupport124.azurewebsites.net/pb613cadhekan/</t>
  </si>
  <si>
    <t>freemaintenance84.azurewebsites.net</t>
  </si>
  <si>
    <t>5f495e6c5d1c9</t>
  </si>
  <si>
    <t>http://freemaintenance84.azurewebsites.net/q5gCvYnz6kzKvgY/</t>
  </si>
  <si>
    <t>freemaintenance63.azurewebsites.net</t>
  </si>
  <si>
    <t>5f495e1208430</t>
  </si>
  <si>
    <t>http://freemaintenance63.azurewebsites.net/q5gCvYnz6kzKvgY/</t>
  </si>
  <si>
    <t>freemaintenance54.azurewebsites.net</t>
  </si>
  <si>
    <t>5f495a34eaf6a</t>
  </si>
  <si>
    <t>http://freemaintenance54.azurewebsites.net/q5gCvYnz6kzKvgY/</t>
  </si>
  <si>
    <t>customercaresupport184.azurewebsites.net</t>
  </si>
  <si>
    <t>5f4946186681c</t>
  </si>
  <si>
    <t>https://customercaresupport184.azurewebsites.net/HNhGpB5gbMdVDyb/</t>
  </si>
  <si>
    <t>freemaintenance40.azurewebsites.net</t>
  </si>
  <si>
    <t>5f48b9a42652c</t>
  </si>
  <si>
    <t>http://freemaintenance40.azurewebsites.net/q5gCvYnz6kzKvgY/</t>
  </si>
  <si>
    <t>freemaintenance04.azurewebsites.net</t>
  </si>
  <si>
    <t>5f48b90a40332</t>
  </si>
  <si>
    <t>http://freemaintenance04.azurewebsites.net/q5gCvYnz6kzKvgY/</t>
  </si>
  <si>
    <t>carefreesupport14.azurewebsites.net</t>
  </si>
  <si>
    <t>5f4801352244f</t>
  </si>
  <si>
    <t>http://carefreesupport14.azurewebsites.net/vcCsfdvjFg4P5tp/index.html</t>
  </si>
  <si>
    <t>getfreesupport34.azurewebsites.net</t>
  </si>
  <si>
    <t>5f47a679f4130</t>
  </si>
  <si>
    <t>http://getfreesupport34.azurewebsites.net/Zcv6znVbFKDkXCy/</t>
  </si>
  <si>
    <t>getfreesupport04.azurewebsites.net</t>
  </si>
  <si>
    <t>5f47a5917709a</t>
  </si>
  <si>
    <t>http://getfreesupport04.azurewebsites.net/Zcv6znVbFKDkXCy/</t>
  </si>
  <si>
    <t>computer33.azurewebsites.net</t>
  </si>
  <si>
    <t>5f479f6ee12e4</t>
  </si>
  <si>
    <t>http://computer33.azurewebsites.net/Belle-Plaine/</t>
  </si>
  <si>
    <t>checkup74.azurewebsites.net</t>
  </si>
  <si>
    <t>5f447976aedb3</t>
  </si>
  <si>
    <t>http://checkup74.azurewebsites.net/Kristy-Cortez/</t>
  </si>
  <si>
    <t>callnow-free54.azurewebsites.net</t>
  </si>
  <si>
    <t>5f444c34ad1b1</t>
  </si>
  <si>
    <t>https://callnow-free54.azurewebsites.net/Cortez/</t>
  </si>
  <si>
    <t>callnow-free44.azurewebsites.net</t>
  </si>
  <si>
    <t>5f444ba95f979</t>
  </si>
  <si>
    <t>https://callnow-free44.azurewebsites.net/Cortez/</t>
  </si>
  <si>
    <t>freesupportservice04.azurewebsites.net</t>
  </si>
  <si>
    <t>5f4443c30d80a</t>
  </si>
  <si>
    <t>https://freesupportservice04.azurewebsites.net/8sx3ztC96XSvHKs/</t>
  </si>
  <si>
    <t>freesupportservice19.azurewebsites.net</t>
  </si>
  <si>
    <t>5f4442d08db91</t>
  </si>
  <si>
    <t>https://freesupportservice19.azurewebsites.net/8sx3ztC96XSvHKs/</t>
  </si>
  <si>
    <t>freesupportservice24.azurewebsites.net</t>
  </si>
  <si>
    <t>5f4442a202945</t>
  </si>
  <si>
    <t>https://freesupportservice24.azurewebsites.net/8sx3ztC96XSvHKs/</t>
  </si>
  <si>
    <t>freesupportservice38.azurewebsites.net</t>
  </si>
  <si>
    <t>5f4441fb51c84</t>
  </si>
  <si>
    <t>https://freesupportservice38.azurewebsites.net/8sx3ztC96XSvHKs/</t>
  </si>
  <si>
    <t>freesupportservice87.azurewebsites.net</t>
  </si>
  <si>
    <t>5f443fcea7e9c</t>
  </si>
  <si>
    <t>https://freesupportservice87.azurewebsites.net/8sx3ztC96XSvHKs/</t>
  </si>
  <si>
    <t>freesupportservice64.azurewebsites.net</t>
  </si>
  <si>
    <t>5f443db3cb61c</t>
  </si>
  <si>
    <t>https://freesupportservice64.azurewebsites.net/8sx3ztC96XSvHKs/</t>
  </si>
  <si>
    <t>freesupportservice57.azurewebsites.net</t>
  </si>
  <si>
    <t>5f443c92097c9</t>
  </si>
  <si>
    <t>https://freesupportservice57.azurewebsites.net/8sx3ztC96XSvHKs/</t>
  </si>
  <si>
    <t>freesupportservices94.azurewebsites.net</t>
  </si>
  <si>
    <t>5f424b57d55cd</t>
  </si>
  <si>
    <t>http://freesupportservices94.azurewebsites.net/CxDm3vwargBTus8/</t>
  </si>
  <si>
    <t>computer84.azurewebsites.net</t>
  </si>
  <si>
    <t>5f30d8cb34f20</t>
  </si>
  <si>
    <t>http://computer84.azurewebsites.net/Mer-cado/</t>
  </si>
  <si>
    <t>computer14.azurewebsites.net</t>
  </si>
  <si>
    <t>5f30d6956c54f</t>
  </si>
  <si>
    <t>http://computer14.azurewebsites.net/Belle-Plaine</t>
  </si>
  <si>
    <t>freecheckup24.azurewebsites.net</t>
  </si>
  <si>
    <t>5f28296490ed3</t>
  </si>
  <si>
    <t>http://freecheckup24.azurewebsites.net/Jenna-Ratliff/</t>
  </si>
  <si>
    <t>computercheckup54.azurewebsites.net</t>
  </si>
  <si>
    <t>5f2829499819e</t>
  </si>
  <si>
    <t>http://computercheckup54.azurewebsites.net/Jenna-Ratliff/</t>
  </si>
  <si>
    <t>computercheckup04.azurewebsites.net</t>
  </si>
  <si>
    <t>5f214ef2b7324</t>
  </si>
  <si>
    <t>http://computercheckup04.azurewebsites.net/Asa-Odonnell/</t>
  </si>
  <si>
    <t>verror24.azurewebsites.net</t>
  </si>
  <si>
    <t>5f1be05016e03</t>
  </si>
  <si>
    <t>http://verror24.azurewebsites.net/Efrain-Forbes/</t>
  </si>
  <si>
    <t>werror21.azurewebsites.net</t>
  </si>
  <si>
    <t>5f1b44d82754c</t>
  </si>
  <si>
    <t>http://werror21.azurewebsites.net/Ernst-Place/</t>
  </si>
  <si>
    <t>verror54.azurewebsites.net</t>
  </si>
  <si>
    <t>5f1be031d5e72</t>
  </si>
  <si>
    <t>http://verror54.azurewebsites.net/Efrain-Forbes/</t>
  </si>
  <si>
    <t>cerrors72.azurewebsites.net</t>
  </si>
  <si>
    <t>5f149534b85f2</t>
  </si>
  <si>
    <t>http://cerrors72.azurewebsites.net/Keene-OH/</t>
  </si>
  <si>
    <t>Quincy</t>
  </si>
  <si>
    <t>livequick-support176.azurewebsites.net</t>
  </si>
  <si>
    <t>13.66.138.105</t>
  </si>
  <si>
    <t>5faf3e8fd381c</t>
  </si>
  <si>
    <t>http://livequick-support176.azurewebsites.net/JArbZ98cFQJapCA/</t>
  </si>
  <si>
    <t>livequick-support151.azurewebsites.net</t>
  </si>
  <si>
    <t>5faf3e14be3fe</t>
  </si>
  <si>
    <t>http://livequick-support151.azurewebsites.net/JArbZ98cFQJapCA/</t>
  </si>
  <si>
    <t>livequick-support111.azurewebsites.net</t>
  </si>
  <si>
    <t>5faf3d586947a</t>
  </si>
  <si>
    <t>http://livequick-support111.azurewebsites.net/JArbZ98cFQJapCA/</t>
  </si>
  <si>
    <t>livequick-support072.azurewebsites.net</t>
  </si>
  <si>
    <t>5faf3945b13bb</t>
  </si>
  <si>
    <t>http://livequick-support072.azurewebsites.net/JArbZ98cFQJapCA/</t>
  </si>
  <si>
    <t>quick-support271.azurewebsites.net</t>
  </si>
  <si>
    <t>5fa96e7f37317</t>
  </si>
  <si>
    <t>https://quick-support271.azurewebsites.net/VXJfzDqW2zqUqWz/</t>
  </si>
  <si>
    <t>quick-support177.azurewebsites.net</t>
  </si>
  <si>
    <t>5fa58a3b8d4f2</t>
  </si>
  <si>
    <t>https://quick-support177.azurewebsites.net/VXJfzDqW2zqUqWz/</t>
  </si>
  <si>
    <t>quick-support071.azurewebsites.net</t>
  </si>
  <si>
    <t>5fa4399c2ee04</t>
  </si>
  <si>
    <t>https://quick-support071.azurewebsites.net/KZPnhPzq8R8jHBD/</t>
  </si>
  <si>
    <t>quick-support051.azurewebsites.net</t>
  </si>
  <si>
    <t>5fa4386b7c43c</t>
  </si>
  <si>
    <t>https://quick-support051.azurewebsites.net/KZPnhPzq8R8jHBD/</t>
  </si>
  <si>
    <t>quick-support001.azurewebsites.net</t>
  </si>
  <si>
    <t>5fa2fce4a7cce</t>
  </si>
  <si>
    <t>https://quick-support001.azurewebsites.net/UsvCPP4t5Gxga6T/</t>
  </si>
  <si>
    <t>onecallhelpdesk31.azurewebsites.net</t>
  </si>
  <si>
    <t>5f7f3f20e0596</t>
  </si>
  <si>
    <t>https://onecallhelpdesk31.azurewebsites.net/bUAnaP5Cp7yKmv4/</t>
  </si>
  <si>
    <t>onecallhelpdesk21.azurewebsites.net</t>
  </si>
  <si>
    <t>5f7f3abe22a8e</t>
  </si>
  <si>
    <t>https://onecallhelpdesk21.azurewebsites.net/bUAnaP5Cp7yKmv4/</t>
  </si>
  <si>
    <t>helpbygeekexperts69.azurewebsites.net</t>
  </si>
  <si>
    <t>5f7e1b3931f49</t>
  </si>
  <si>
    <t>https://helpbygeekexperts69.azurewebsites.net/7mXVCUNqjvYHSbG/</t>
  </si>
  <si>
    <t>helpbygeekexperts51.azurewebsites.net</t>
  </si>
  <si>
    <t>5f7e0c8414e6b</t>
  </si>
  <si>
    <t>https://helpbygeekexperts51.azurewebsites.net/7mXVCUNqjvYHSbG/</t>
  </si>
  <si>
    <t>livehelpsupport100.azurewebsites.net</t>
  </si>
  <si>
    <t>5f74e8e22ceb8</t>
  </si>
  <si>
    <t>http://livehelpsupport100.azurewebsites.net/P8fBTPd33cqy3WA/</t>
  </si>
  <si>
    <t>livepchelpsupport21.azurewebsites.net</t>
  </si>
  <si>
    <t>5f77681768ead</t>
  </si>
  <si>
    <t>https://livepchelpsupport21.azurewebsites.net/4vKZdhngXmE9yHj</t>
  </si>
  <si>
    <t>liveonlinepchelp31.azurewebsites.net</t>
  </si>
  <si>
    <t>5f7378361447c</t>
  </si>
  <si>
    <t>https://liveonlinepchelp31.azurewebsites.net/6Yeqm5nqUDDNFgk/</t>
  </si>
  <si>
    <t>onlinecomputersupport51.azurewebsites.net</t>
  </si>
  <si>
    <t>5f72211d0bae0</t>
  </si>
  <si>
    <t>https://onlinecomputersupport51.azurewebsites.net/Kq8XSq5WNCgY68z/</t>
  </si>
  <si>
    <t>onlinecomputersupport26.azurewebsites.net</t>
  </si>
  <si>
    <t>5f7220fd11b0a</t>
  </si>
  <si>
    <t>https://onlinecomputersupport26.azurewebsites.net/Kq8XSq5WNCgY68z/</t>
  </si>
  <si>
    <t>onlinecomputersupport25.azurewebsites.net</t>
  </si>
  <si>
    <t>5f721f600b1e6</t>
  </si>
  <si>
    <t>https://onlinecomputersupport25.azurewebsites.net/Kq8XSq5WNCgY68z/</t>
  </si>
  <si>
    <t>freepchelp181.azurewebsites.net</t>
  </si>
  <si>
    <t>5f6e42469f88b</t>
  </si>
  <si>
    <t>https://freepchelp181.azurewebsites.net/uGM5D6wZ9V5J5RY/</t>
  </si>
  <si>
    <t>freecomputersupport21.azurewebsites.net</t>
  </si>
  <si>
    <t>5f6a3cc9e727c</t>
  </si>
  <si>
    <t>https://freecomputersupport21.azurewebsites.net/PjY6bTgrEnuKddE/</t>
  </si>
  <si>
    <t>freecomputersupport18.azurewebsites.net</t>
  </si>
  <si>
    <t>5f6a3cc248d7c</t>
  </si>
  <si>
    <t>https://freecomputersupport18.azurewebsites.net/PjY6bTgrEnuKddE/</t>
  </si>
  <si>
    <t>freecomputerhelp71.azurewebsites.net</t>
  </si>
  <si>
    <t>5f699ef05d2d6</t>
  </si>
  <si>
    <t>https://freecomputerhelp71.azurewebsites.net/R7tcvkAFdAwS4B4</t>
  </si>
  <si>
    <t>freecomputerhelp81.azurewebsites.net</t>
  </si>
  <si>
    <t>5f699ecdb2dba</t>
  </si>
  <si>
    <t>https://freecomputerhelp81.azurewebsites.net/R7tcvkAFdAwS4B4</t>
  </si>
  <si>
    <t>freecomputerhelp131.azurewebsites.net</t>
  </si>
  <si>
    <t>5f699e24053de</t>
  </si>
  <si>
    <t>https://freecomputerhelp131.azurewebsites.net/R7tcvkAFdAwS4B4</t>
  </si>
  <si>
    <t>freecomputerhelp101.azurewebsites.net</t>
  </si>
  <si>
    <t>5f699de1c645c</t>
  </si>
  <si>
    <t>https://freecomputerhelp101.azurewebsites.net/R7tcvkAFdAwS4B4</t>
  </si>
  <si>
    <t>freecomputerhelp31.azurewebsites.net</t>
  </si>
  <si>
    <t>5f68d6a28a823</t>
  </si>
  <si>
    <t>https://freecomputerhelp31.azurewebsites.net/R7tcvkAFdAwS4B4/</t>
  </si>
  <si>
    <t>freepchelp101.azurewebsites.net</t>
  </si>
  <si>
    <t>5f6246dee9d15</t>
  </si>
  <si>
    <t>https://freepchelp101.azurewebsites.net/TxHTvPq9EFWfwjb/</t>
  </si>
  <si>
    <t>freepchelp136.azurewebsites.net</t>
  </si>
  <si>
    <t>5f62469eb7a91</t>
  </si>
  <si>
    <t>https://freepchelp136.azurewebsites.net/TxHTvPq9EFWfwjb/</t>
  </si>
  <si>
    <t>freepchelp21.azurewebsites.net</t>
  </si>
  <si>
    <t>5f61c5e2a9301</t>
  </si>
  <si>
    <t>https://freepchelp21.azurewebsites.net/ERDDrHjVfKbFJbQ/</t>
  </si>
  <si>
    <t>freepchelp60.azurewebsites.net</t>
  </si>
  <si>
    <t>5f61c58396f27</t>
  </si>
  <si>
    <t>https://freepchelp60.azurewebsites.net/ERDDrHjVfKbFJbQ/</t>
  </si>
  <si>
    <t>freepchelp71.azurewebsites.net</t>
  </si>
  <si>
    <t>5f61c56541bb9</t>
  </si>
  <si>
    <t>https://freepchelp71.azurewebsites.net/ERDDrHjVfKbFJbQ/</t>
  </si>
  <si>
    <t>freepchelponline11.azurewebsites.net</t>
  </si>
  <si>
    <t>5f60fc627561f</t>
  </si>
  <si>
    <t>https://freepchelponline11.azurewebsites.net/ERDDrHjVfKbFJbQ/</t>
  </si>
  <si>
    <t>pconlinehelp161.azurewebsites.net</t>
  </si>
  <si>
    <t>5f6079bb92382</t>
  </si>
  <si>
    <t>https://pconlinehelp161.azurewebsites.net/ERDDrHjVfKbFJbQ/</t>
  </si>
  <si>
    <t>pconlinehelp61.azurewebsites.net</t>
  </si>
  <si>
    <t>5f5fb8d1c546a</t>
  </si>
  <si>
    <t>https://pconlinehelp61.azurewebsites.net/ERDDrHjVfKbFJbQ/</t>
  </si>
  <si>
    <t>pconlinehelp31.azurewebsites.net</t>
  </si>
  <si>
    <t>5f5fa0954edbe</t>
  </si>
  <si>
    <t>https://pconlinehelp31.azurewebsites.net/ERDDrHjVfKbFJbQ/</t>
  </si>
  <si>
    <t>pconlinehelp11.azurewebsites.net</t>
  </si>
  <si>
    <t>5f5f9b2bef2f6</t>
  </si>
  <si>
    <t>https://pconlinehelp11.azurewebsites.net/ERDDrHjVfKbFJbQ/</t>
  </si>
  <si>
    <t>pchelpdesk31.azurewebsites.net</t>
  </si>
  <si>
    <t>5f5a58692d2d7</t>
  </si>
  <si>
    <t>https://pchelpdesk31.azurewebsites.net/garretttanners7d/</t>
  </si>
  <si>
    <t>pchelpdesk11.azurewebsites.net</t>
  </si>
  <si>
    <t>5f5a57e61deda</t>
  </si>
  <si>
    <t>https://pchelpdesk11.azurewebsites.net/garretttanners7d/</t>
  </si>
  <si>
    <t>pchelpservices91.azurewebsites.net</t>
  </si>
  <si>
    <t>5f5916d713042</t>
  </si>
  <si>
    <t>https://pchelpservices91.azurewebsites.net/dawsonwhlerS7v/</t>
  </si>
  <si>
    <t>pchelpservices71.azurewebsites.net</t>
  </si>
  <si>
    <t>5f59168cd5b17</t>
  </si>
  <si>
    <t>https://pchelpservices71.azurewebsites.net/dawsonwhlerS7v/</t>
  </si>
  <si>
    <t>callnow21.azurewebsites.net</t>
  </si>
  <si>
    <t>5f528611155b5</t>
  </si>
  <si>
    <t>http://callnow21.azurewebsites.net/Mer-cado/</t>
  </si>
  <si>
    <t>paper-access-410.azurewebsites.net</t>
  </si>
  <si>
    <t>5f4f45314e19c</t>
  </si>
  <si>
    <t>https://paper-access-410.azurewebsites.net/Access-Blocked/CHWInhelp10GK010101AW/</t>
  </si>
  <si>
    <t>customerfreesupport91.azurewebsites.net</t>
  </si>
  <si>
    <t>5f4d5b9e7c9af</t>
  </si>
  <si>
    <t>https://customerfreesupport91.azurewebsites.net/HNhGpB5gbMdVDyb/</t>
  </si>
  <si>
    <t>freesupport111.azurewebsites.net</t>
  </si>
  <si>
    <t>5f4c0e62509ab</t>
  </si>
  <si>
    <t>http://freesupport111.azurewebsites.net/gHBW7zFVGjwcrjr/</t>
  </si>
  <si>
    <t>freesupport31.azurewebsites.net</t>
  </si>
  <si>
    <t>5f4c0ce92d4cc</t>
  </si>
  <si>
    <t>http://freesupport31.azurewebsites.net/gHBW7zFVGjwcrjr/</t>
  </si>
  <si>
    <t>freesupport20.azurewebsites.net</t>
  </si>
  <si>
    <t>5f4ae53e35e14</t>
  </si>
  <si>
    <t>http://freesupport20.azurewebsites.net/gHBW7zFVGjwcrjr/</t>
  </si>
  <si>
    <t>freecallcaresupport91.azurewebsites.net</t>
  </si>
  <si>
    <t>5f4aa3d8a159e</t>
  </si>
  <si>
    <t>http://freecallcaresupport91.azurewebsites.net/vTUPHmw6mhDcMgT/</t>
  </si>
  <si>
    <t>freecallcaresupport71.azurewebsites.net</t>
  </si>
  <si>
    <t>5f4aa37d491c3</t>
  </si>
  <si>
    <t>http://freecallcaresupport71.azurewebsites.net/vTUPHmw6mhDcMgT/</t>
  </si>
  <si>
    <t>freecallcaresupport61.azurewebsites.net</t>
  </si>
  <si>
    <t>5f4aa34bd98d0</t>
  </si>
  <si>
    <t>http://freecallcaresupport61.azurewebsites.net/vTUPHmw6mhDcMgT/</t>
  </si>
  <si>
    <t>freecallcaresupport31.azurewebsites.net</t>
  </si>
  <si>
    <t>5f4aa2cbf3be0</t>
  </si>
  <si>
    <t>http://freecallcaresupport31.azurewebsites.net/vTUPHmw6mhDcMgT/</t>
  </si>
  <si>
    <t>freecallcaresupport12.azurewebsites.net</t>
  </si>
  <si>
    <t>5f4aa274dfbd3</t>
  </si>
  <si>
    <t>http://freecallcaresupport12.azurewebsites.net/vTUPHmw6mhDcMgT/</t>
  </si>
  <si>
    <t>getfreesupport111.azurewebsites.net</t>
  </si>
  <si>
    <t>5f497583535e5</t>
  </si>
  <si>
    <t>http://getfreesupport111.azurewebsites.net/gHBW7zFVGjwcrjr/</t>
  </si>
  <si>
    <t>freemaintenance41.azurewebsites.net</t>
  </si>
  <si>
    <t>5f495db6222a9</t>
  </si>
  <si>
    <t>http://freemaintenance41.azurewebsites.net/q5gCvYnz6kzKvgY/</t>
  </si>
  <si>
    <t>freemaintenance37.azurewebsites.net</t>
  </si>
  <si>
    <t>5f495da2d7cab</t>
  </si>
  <si>
    <t>http://freemaintenance37.azurewebsites.net/q5gCvYnz6kzKvgY/</t>
  </si>
  <si>
    <t>computer43.azurewebsites.net</t>
  </si>
  <si>
    <t>5f479fadb6120</t>
  </si>
  <si>
    <t>http://computer43.azurewebsites.net/Belle-Plaine/</t>
  </si>
  <si>
    <t>checkup81.azurewebsites.net</t>
  </si>
  <si>
    <t>5f4479bbaa1bd</t>
  </si>
  <si>
    <t>http://checkup81.azurewebsites.net/Kristy-Cortez/</t>
  </si>
  <si>
    <t>freesupportservice15.azurewebsites.net</t>
  </si>
  <si>
    <t>5f4442fd49b87</t>
  </si>
  <si>
    <t>https://freesupportservice15.azurewebsites.net/8sx3ztC96XSvHKs/</t>
  </si>
  <si>
    <t>freesupportservice30.azurewebsites.net</t>
  </si>
  <si>
    <t>5f444255dea93</t>
  </si>
  <si>
    <t>https://freesupportservice30.azurewebsites.net/8sx3ztC96XSvHKs/</t>
  </si>
  <si>
    <t>checkup61.azurewebsites.net</t>
  </si>
  <si>
    <t>5f31637bbe384</t>
  </si>
  <si>
    <t>http://checkup61.azurewebsites.net/Mer-cado/</t>
  </si>
  <si>
    <t>computer21.azurewebsites.net</t>
  </si>
  <si>
    <t>5f30d42915002</t>
  </si>
  <si>
    <t>http://computer21.azurewebsites.net/Kristy-Cortez/</t>
  </si>
  <si>
    <t>terror64.azurewebsites.net</t>
  </si>
  <si>
    <t>5f149581dc603</t>
  </si>
  <si>
    <t>http://terror64.azurewebsites.net/Amado-AZ/</t>
  </si>
  <si>
    <t>terror32.azurewebsites.net</t>
  </si>
  <si>
    <t>5f149567f3546</t>
  </si>
  <si>
    <t>http://terror32.azurewebsites.net/Boyd-TX/</t>
  </si>
  <si>
    <t>Vilnius</t>
  </si>
  <si>
    <t>recipesonlineserverfd.cf</t>
  </si>
  <si>
    <t>46.17.175.197</t>
  </si>
  <si>
    <t>5f45434ce27d0</t>
  </si>
  <si>
    <t>http://recipesonlineserverfd.cf/CHWInhelp10GK010101AW/</t>
  </si>
  <si>
    <t>Lithuania</t>
  </si>
  <si>
    <t>network-security-alert.ml</t>
  </si>
  <si>
    <t>5f23178c443a2</t>
  </si>
  <si>
    <t>http://network-security-alert.ml/ched/</t>
  </si>
  <si>
    <t>alert-security-0000x.tk</t>
  </si>
  <si>
    <t>5f205b6a0d525</t>
  </si>
  <si>
    <t>http://alert-security-0000x.tk/ched/</t>
  </si>
  <si>
    <t>ip-conflict-network-error.cf</t>
  </si>
  <si>
    <t>5f1f542a10941</t>
  </si>
  <si>
    <t>http://ip-conflict-network-error.cf/MSaxMS/</t>
  </si>
  <si>
    <t>ip-conflict-network-error.tk</t>
  </si>
  <si>
    <t>5f1f374c4260c</t>
  </si>
  <si>
    <t>http://ip-conflict-network-error.tk/ched/</t>
  </si>
  <si>
    <t>5f1efdf26d398</t>
  </si>
  <si>
    <t>http://ip-conflict-network-error.cf/ched/</t>
  </si>
  <si>
    <t>ip-conflict-network-error.ga</t>
  </si>
  <si>
    <t>5f1ca6ca59e7c</t>
  </si>
  <si>
    <t>http://ip-conflict-network-error.ga/ched/</t>
  </si>
  <si>
    <t>www.ip-conflict-network-error.ga</t>
  </si>
  <si>
    <t>5f1f100b28429</t>
  </si>
  <si>
    <t>http://www.ip-conflict-network-error.ga/ieff/</t>
  </si>
  <si>
    <t>ip-conflict-network-error.gq</t>
  </si>
  <si>
    <t>5f1c4ebf9ce91</t>
  </si>
  <si>
    <t>http://ip-conflict-network-error.gq/ched/</t>
  </si>
  <si>
    <t>ip-conflict-servererror.tk</t>
  </si>
  <si>
    <t>5f1b1286ee2f1</t>
  </si>
  <si>
    <t>http://ip-conflict-servererror.tk/ched/</t>
  </si>
  <si>
    <t>www.networksecurityerror.tk</t>
  </si>
  <si>
    <t>5f18b60a1bc67</t>
  </si>
  <si>
    <t>http://www.networksecurityerror.tk/ched/</t>
  </si>
  <si>
    <t>mstendierum.xyz</t>
  </si>
  <si>
    <t>5f187db53d814</t>
  </si>
  <si>
    <t>http://mstendierum.xyz/ched/</t>
  </si>
  <si>
    <t>stromertyui.xyz</t>
  </si>
  <si>
    <t>5f173da6adccd</t>
  </si>
  <si>
    <t>https://stromertyui.xyz/ched/</t>
  </si>
  <si>
    <t>getsys.online</t>
  </si>
  <si>
    <t>138.197.153.48</t>
  </si>
  <si>
    <t>5f15ac36b099a</t>
  </si>
  <si>
    <t>https://getsys.online/xno7xxx5xxxy/SAMacHelp011010x/?site=</t>
  </si>
  <si>
    <t>45.77.143.208</t>
  </si>
  <si>
    <t>5f15661be7df2</t>
  </si>
  <si>
    <t>http://45.77.143.208/CHdfdfdfdfdfdf-0fsdsd7/</t>
  </si>
  <si>
    <t>fixmachineshop.xyz</t>
  </si>
  <si>
    <t>159.65.147.157</t>
  </si>
  <si>
    <t>5f15c72fd6f4e</t>
  </si>
  <si>
    <t>https://fixmachineshop.xyz/code5296e/CHfdfdfdfd100110dfSHA/</t>
  </si>
  <si>
    <t>app.checkmyintegrity.com</t>
  </si>
  <si>
    <t>142.93.131.147</t>
  </si>
  <si>
    <t>5f159e77b95ac</t>
  </si>
  <si>
    <t>http://app.checkmyintegrity.com/OldAt0150/ieAT/</t>
  </si>
  <si>
    <t>poersw0-weriu7.ml</t>
  </si>
  <si>
    <t>5f158727c3935</t>
  </si>
  <si>
    <t>https://poersw0-weriu7.ml/OldAt0150/ieAT/</t>
  </si>
  <si>
    <t>myworkisdone.online</t>
  </si>
  <si>
    <t>138.197.144.223</t>
  </si>
  <si>
    <t>5f16ead446126</t>
  </si>
  <si>
    <t>https://myworkisdone.online/xno7xxx5xxxy/SAMacHelp011010x/?site=</t>
  </si>
  <si>
    <t>onecallhelpdesk20.azurewebsites.net</t>
  </si>
  <si>
    <t>40.70.147.11</t>
  </si>
  <si>
    <t>5f7f3ac471d60</t>
  </si>
  <si>
    <t>https://onecallhelpdesk20.azurewebsites.net/bUAnaP5Cp7yKmv4/</t>
  </si>
  <si>
    <t>bestpchelpsupport18.azurewebsites.net</t>
  </si>
  <si>
    <t>5f778d09ba11d</t>
  </si>
  <si>
    <t>https://bestpchelpsupport18.azurewebsites.net/TZZsyhcrt2Wrbu9/</t>
  </si>
  <si>
    <t>livepchelpsupport20.azurewebsites.net</t>
  </si>
  <si>
    <t>5f776778f38b4</t>
  </si>
  <si>
    <t>https://livepchelpsupport20.azurewebsites.net/4vKZdhngXmE9yHj</t>
  </si>
  <si>
    <t>liveonlinepchelp08.azurewebsites.net</t>
  </si>
  <si>
    <t>5f735e0f54b22</t>
  </si>
  <si>
    <t>http://liveonlinepchelp08.azurewebsites.net/6Yeqm5nqUDDNFgk/</t>
  </si>
  <si>
    <t>onlinecomputersupport33.azurewebsites.net</t>
  </si>
  <si>
    <t>5f72210810b1b</t>
  </si>
  <si>
    <t>https://onlinecomputersupport33.azurewebsites.net/Kq8XSq5WNCgY68z/</t>
  </si>
  <si>
    <t>freepchelp79.azurewebsites.net</t>
  </si>
  <si>
    <t>5f6d8fccec2da</t>
  </si>
  <si>
    <t>https://freepchelp79.azurewebsites.net/qbNJp4SCuce6BQh/</t>
  </si>
  <si>
    <t>freepchelp88.azurewebsites.net</t>
  </si>
  <si>
    <t>5f6ce60c638dd</t>
  </si>
  <si>
    <t>https://freepchelp88.azurewebsites.net/qbNJp4SCuce6BQh/</t>
  </si>
  <si>
    <t>freecomputerhelp23.azurewebsites.net</t>
  </si>
  <si>
    <t>5f68d9ac621b1</t>
  </si>
  <si>
    <t>https://freecomputerhelp23.azurewebsites.net/R7tcvkAFdAwS4B4/</t>
  </si>
  <si>
    <t>aerror09.azurewebsites.net</t>
  </si>
  <si>
    <t>5f15cc1f0cf66</t>
  </si>
  <si>
    <t>https://aerror09.azurewebsites.net/Tucker-GA/</t>
  </si>
  <si>
    <t>freepchelp78.azurewebsites.net</t>
  </si>
  <si>
    <t>40.70.147.7</t>
  </si>
  <si>
    <t>5f6d8fcacc2e7</t>
  </si>
  <si>
    <t>https://freepchelp78.azurewebsites.net/qbNJp4SCuce6BQh/</t>
  </si>
  <si>
    <t>freecomputerhelp128.azurewebsites.net</t>
  </si>
  <si>
    <t>5f699e1bb7b24</t>
  </si>
  <si>
    <t>https://freecomputerhelp128.azurewebsites.net/R7tcvkAFdAwS4B4</t>
  </si>
  <si>
    <t>freepchelpforum08.azurewebsites.net</t>
  </si>
  <si>
    <t>5f62881e18393</t>
  </si>
  <si>
    <t>https://freepchelpforum08.azurewebsites.net/TxHTvPq9EFWfwjb/</t>
  </si>
  <si>
    <t>freepchelp109.azurewebsites.net</t>
  </si>
  <si>
    <t>5f623ac922d0c</t>
  </si>
  <si>
    <t>https://freepchelp109.azurewebsites.net/TxHTvPq9EFWfwjb/</t>
  </si>
  <si>
    <t>freepchelponline23.azurewebsites.net</t>
  </si>
  <si>
    <t>5f6102f57a70a</t>
  </si>
  <si>
    <t>https://freepchelponline23.azurewebsites.net/ERDDrHjVfKbFJbQ/</t>
  </si>
  <si>
    <t>pconlinehelp108.azurewebsites.net</t>
  </si>
  <si>
    <t>5f607989beb40</t>
  </si>
  <si>
    <t>https://pconlinehelp108.azurewebsites.net/ERDDrHjVfKbFJbQ/</t>
  </si>
  <si>
    <t>pconlinehelp148.azurewebsites.net</t>
  </si>
  <si>
    <t>5f60793062eb8</t>
  </si>
  <si>
    <t>https://pconlinehelp148.azurewebsites.net/ERDDrHjVfKbFJbQ/</t>
  </si>
  <si>
    <t>pconlinehelp18.azurewebsites.net</t>
  </si>
  <si>
    <t>5f5f9adb0d2ba</t>
  </si>
  <si>
    <t>https://pconlinehelp18.azurewebsites.net/ERDDrHjVfKbFJbQ/</t>
  </si>
  <si>
    <t>pchelpdesk28.azurewebsites.net</t>
  </si>
  <si>
    <t>5f5a5855db83b</t>
  </si>
  <si>
    <t>https://pchelpdesk28.azurewebsites.net/garretttanners7d/</t>
  </si>
  <si>
    <t>pchelpdesk08.azurewebsites.net</t>
  </si>
  <si>
    <t>5f5a57ca53a57</t>
  </si>
  <si>
    <t>https://pchelpdesk08.azurewebsites.net/garretttanners7d/</t>
  </si>
  <si>
    <t>pchelpservices158.azurewebsites.net</t>
  </si>
  <si>
    <t>5f593203b3d6b</t>
  </si>
  <si>
    <t>https://pchelpservices158.azurewebsites.net/dawsonwhlerS7v/</t>
  </si>
  <si>
    <t>pchelpservices118.azurewebsites.net</t>
  </si>
  <si>
    <t>5f591c1b9e77c</t>
  </si>
  <si>
    <t>https://pchelpservices118.azurewebsites.net/garretttanners7d/</t>
  </si>
  <si>
    <t>pchelpservices88.azurewebsites.net</t>
  </si>
  <si>
    <t>5f5916ca79758</t>
  </si>
  <si>
    <t>https://pchelpservices88.azurewebsites.net/dawsonwhlerS7v/</t>
  </si>
  <si>
    <t>pchelpservices58.azurewebsites.net</t>
  </si>
  <si>
    <t>5f590d49ca740</t>
  </si>
  <si>
    <t>https://pchelpservices58.azurewebsites.net/dawsonwhlerS7v/</t>
  </si>
  <si>
    <t>pchelpservices18.azurewebsites.net</t>
  </si>
  <si>
    <t>5f57ed0a07c0b</t>
  </si>
  <si>
    <t>https://pchelpservices18.azurewebsites.net/avfFeTpfJfSPuPx/</t>
  </si>
  <si>
    <t>callnow69.azurewebsites.net</t>
  </si>
  <si>
    <t>5f5286f23a3d7</t>
  </si>
  <si>
    <t>http://callnow69.azurewebsites.net/Mer-cado/</t>
  </si>
  <si>
    <t>callnow59.azurewebsites.net</t>
  </si>
  <si>
    <t>5f5286c45fa49</t>
  </si>
  <si>
    <t>http://callnow59.azurewebsites.net/Mer-cado/</t>
  </si>
  <si>
    <t>callnow38.azurewebsites.net</t>
  </si>
  <si>
    <t>5f5286622243e</t>
  </si>
  <si>
    <t>http://callnow38.azurewebsites.net/Mer-cado/</t>
  </si>
  <si>
    <t>callnow09.azurewebsites.net</t>
  </si>
  <si>
    <t>5f5285c270309</t>
  </si>
  <si>
    <t>http://callnow09.azurewebsites.net/Mer-cado/</t>
  </si>
  <si>
    <t>freesupport119.azurewebsites.net</t>
  </si>
  <si>
    <t>5f4c0e8932ee1</t>
  </si>
  <si>
    <t>http://freesupport119.azurewebsites.net/gHBW7zFVGjwcrjr/</t>
  </si>
  <si>
    <t>freesupport79.azurewebsites.net</t>
  </si>
  <si>
    <t>5f4c0dcebe7ba</t>
  </si>
  <si>
    <t>http://freesupport79.azurewebsites.net/gHBW7zFVGjwcrjr/</t>
  </si>
  <si>
    <t>freesupport59.azurewebsites.net</t>
  </si>
  <si>
    <t>5f4c0d6d2e403</t>
  </si>
  <si>
    <t>http://freesupport59.azurewebsites.net/gHBW7zFVGjwcrjr/</t>
  </si>
  <si>
    <t>freesupport29.azurewebsites.net</t>
  </si>
  <si>
    <t>5f4c0ce004501</t>
  </si>
  <si>
    <t>http://freesupport29.azurewebsites.net/gHBW7zFVGjwcrjr/</t>
  </si>
  <si>
    <t>callnow-free149.azurewebsites.net</t>
  </si>
  <si>
    <t>5f4c09ba6865d</t>
  </si>
  <si>
    <t>http://callnow-free149.azurewebsites.net/S9M5QFaca7VkHSt/</t>
  </si>
  <si>
    <t>callnow-free129.azurewebsites.net</t>
  </si>
  <si>
    <t>5f4c095d8df65</t>
  </si>
  <si>
    <t>http://callnow-free129.azurewebsites.net/S9M5QFaca7VkHSt/</t>
  </si>
  <si>
    <t>getfreesupport50.azurewebsites.net</t>
  </si>
  <si>
    <t>5f4ae4752f212</t>
  </si>
  <si>
    <t>http://getfreesupport50.azurewebsites.net/4595-Warwick-Avenue/index.html</t>
  </si>
  <si>
    <t>callnow-free69.azurewebsites.net</t>
  </si>
  <si>
    <t>5f4adcd6b7442</t>
  </si>
  <si>
    <t>http://callnow-free69.azurewebsites.net/S9M5QFaca7VkHSt/</t>
  </si>
  <si>
    <t>freesupportservice158.azurewebsites.net</t>
  </si>
  <si>
    <t>5f4ad95491f4a</t>
  </si>
  <si>
    <t>http://freesupportservice158.azurewebsites.net/vcCsfdvjFg4P5tp/</t>
  </si>
  <si>
    <t>freecallcaresupport78.azurewebsites.net</t>
  </si>
  <si>
    <t>5f4aa39e7b29f</t>
  </si>
  <si>
    <t>http://freecallcaresupport78.azurewebsites.net/vTUPHmw6mhDcMgT/</t>
  </si>
  <si>
    <t>freecallcaresupport38.azurewebsites.net</t>
  </si>
  <si>
    <t>5f4aa2ea890a3</t>
  </si>
  <si>
    <t>http://freecallcaresupport38.azurewebsites.net/vTUPHmw6mhDcMgT/</t>
  </si>
  <si>
    <t>freecallcaresupport28.azurewebsites.net</t>
  </si>
  <si>
    <t>5f4aa2be4b6dc</t>
  </si>
  <si>
    <t>http://freecallcaresupport28.azurewebsites.net/vTUPHmw6mhDcMgT/</t>
  </si>
  <si>
    <t>customercaresupport98.azurewebsites.net</t>
  </si>
  <si>
    <t>5f4aa1e5a3faf</t>
  </si>
  <si>
    <t>http://customercaresupport98.azurewebsites.net/vcCsfdvjFg4P5tp/</t>
  </si>
  <si>
    <t>customercaresupport88.azurewebsites.net</t>
  </si>
  <si>
    <t>5f4aa18f7902f</t>
  </si>
  <si>
    <t>http://customercaresupport88.azurewebsites.net/vcCsfdvjFg4P5tp/</t>
  </si>
  <si>
    <t>getfreesupport168.azurewebsites.net</t>
  </si>
  <si>
    <t>5f4976a0dc338</t>
  </si>
  <si>
    <t>http://getfreesupport168.azurewebsites.net/gHBW7zFVGjwcrjr/</t>
  </si>
  <si>
    <t>getfreesupport119.azurewebsites.net</t>
  </si>
  <si>
    <t>5f4975ac10378</t>
  </si>
  <si>
    <t>http://getfreesupport119.azurewebsites.net/gHBW7zFVGjwcrjr/</t>
  </si>
  <si>
    <t>freemaintenance88.azurewebsites.net</t>
  </si>
  <si>
    <t>5f495e7c6623c</t>
  </si>
  <si>
    <t>http://freemaintenance88.azurewebsites.net/q5gCvYnz6kzKvgY/</t>
  </si>
  <si>
    <t>freemaintenance49.azurewebsites.net</t>
  </si>
  <si>
    <t>5f495dd622c81</t>
  </si>
  <si>
    <t>http://freemaintenance49.azurewebsites.net/q5gCvYnz6kzKvgY/</t>
  </si>
  <si>
    <t>freemaintenance80.azurewebsites.net</t>
  </si>
  <si>
    <t>5f48b9cded2fa</t>
  </si>
  <si>
    <t>http://freemaintenance80.azurewebsites.net/q5gCvYnz6kzKvgY/</t>
  </si>
  <si>
    <t>freemaintenance09.azurewebsites.net</t>
  </si>
  <si>
    <t>5f48b9418bad2</t>
  </si>
  <si>
    <t>http://freemaintenance09.azurewebsites.net/q5gCvYnz6kzKvgY/</t>
  </si>
  <si>
    <t>getfreesupport29.azurewebsites.net</t>
  </si>
  <si>
    <t>5f47a62d4e5bf</t>
  </si>
  <si>
    <t>http://getfreesupport29.azurewebsites.net/Zcv6znVbFKDkXCy/</t>
  </si>
  <si>
    <t>getfreesupport19.azurewebsites.net</t>
  </si>
  <si>
    <t>5f47a602a4d17</t>
  </si>
  <si>
    <t>http://getfreesupport19.azurewebsites.net/Zcv6znVbFKDkXCy/</t>
  </si>
  <si>
    <t>getfreesupport09.azurewebsites.net</t>
  </si>
  <si>
    <t>5f47a5d6c5131</t>
  </si>
  <si>
    <t>http://getfreesupport09.azurewebsites.net/Zcv6znVbFKDkXCy/</t>
  </si>
  <si>
    <t>computer69.azurewebsites.net</t>
  </si>
  <si>
    <t>5f47a04fa7e96</t>
  </si>
  <si>
    <t>http://computer69.azurewebsites.net/Belle-Plaine/</t>
  </si>
  <si>
    <t>computer49.azurewebsites.net</t>
  </si>
  <si>
    <t>5f479fcc4cdc3</t>
  </si>
  <si>
    <t>http://computer49.azurewebsites.net/Belle-Plaine/</t>
  </si>
  <si>
    <t>computer38.azurewebsites.net</t>
  </si>
  <si>
    <t>5f479f8d0362f</t>
  </si>
  <si>
    <t>http://computer38.azurewebsites.net/Belle-Plaine/</t>
  </si>
  <si>
    <t>checkup99.azurewebsites.net</t>
  </si>
  <si>
    <t>5f447a786c165</t>
  </si>
  <si>
    <t>http://checkup99.azurewebsites.net/Kristy-Cortez/</t>
  </si>
  <si>
    <t>callnow-free59.azurewebsites.net</t>
  </si>
  <si>
    <t>5f444c74a51c9</t>
  </si>
  <si>
    <t>https://callnow-free59.azurewebsites.net/Cortez/</t>
  </si>
  <si>
    <t>freesupportservice08.azurewebsites.net</t>
  </si>
  <si>
    <t>5f44438c0fb57</t>
  </si>
  <si>
    <t>https://freesupportservice08.azurewebsites.net/8sx3ztC96XSvHKs/</t>
  </si>
  <si>
    <t>freesupportservice43.azurewebsites.net</t>
  </si>
  <si>
    <t>5f4441c0a319c</t>
  </si>
  <si>
    <t>https://freesupportservice43.azurewebsites.net/8sx3ztC96XSvHKs/</t>
  </si>
  <si>
    <t>freesupportservice53.azurewebsites.net</t>
  </si>
  <si>
    <t>5f4441435dff3</t>
  </si>
  <si>
    <t>https://freesupportservice53.azurewebsites.net/8sx3ztC96XSvHKs/</t>
  </si>
  <si>
    <t>freesupportservice94.azurewebsites.net</t>
  </si>
  <si>
    <t>5f444023278bb</t>
  </si>
  <si>
    <t>https://freesupportservice94.azurewebsites.net/8sx3ztC96XSvHKs/</t>
  </si>
  <si>
    <t>freesupportservice78.azurewebsites.net</t>
  </si>
  <si>
    <t>5f443f3fdc053</t>
  </si>
  <si>
    <t>https://freesupportservice78.azurewebsites.net/8sx3ztC96XSvHKs/</t>
  </si>
  <si>
    <t>checkup49.azurewebsites.net</t>
  </si>
  <si>
    <t>5f3be86ca73a0</t>
  </si>
  <si>
    <t>http://checkup49.azurewebsites.net/Mer-cado/</t>
  </si>
  <si>
    <t>checkup68.azurewebsites.net</t>
  </si>
  <si>
    <t>5f31636921770</t>
  </si>
  <si>
    <t>http://checkup68.azurewebsites.net/Mer-cado/</t>
  </si>
  <si>
    <t>computercheckup38.azurewebsites.net</t>
  </si>
  <si>
    <t>5f26bd934ea96</t>
  </si>
  <si>
    <t>http://computercheckup38.azurewebsites.net/Staci-Walsh/</t>
  </si>
  <si>
    <t>computercheckup69.azurewebsites.net</t>
  </si>
  <si>
    <t>5f26bd3f15e74</t>
  </si>
  <si>
    <t>http://computercheckup69.azurewebsites.net/Staci-Walsh/</t>
  </si>
  <si>
    <t>freecheckup29.azurewebsites.net</t>
  </si>
  <si>
    <t>5f26bcadb8e91</t>
  </si>
  <si>
    <t>http://freecheckup29.azurewebsites.net/Staci-Walsh/</t>
  </si>
  <si>
    <t>berror57.azurewebsites.net</t>
  </si>
  <si>
    <t>5f1b621ca714a</t>
  </si>
  <si>
    <t>http://berror57.azurewebsites.net/Efrain-Forbes/</t>
  </si>
  <si>
    <t>werror09.azurewebsites.net</t>
  </si>
  <si>
    <t>5f1b44a0e3d2a</t>
  </si>
  <si>
    <t>http://werror09.azurewebsites.net/Calhoun-TN/</t>
  </si>
  <si>
    <t>aerror52.azurewebsites.net</t>
  </si>
  <si>
    <t>5f16dad4e2899</t>
  </si>
  <si>
    <t>http://aerror52.azurewebsites.net/Clair-Avenue/</t>
  </si>
  <si>
    <t>08zueserror.azurewebsites.net</t>
  </si>
  <si>
    <t>5f16dabe169ad</t>
  </si>
  <si>
    <t>http://08zueserror.azurewebsites.net/Clair-Avenue/</t>
  </si>
  <si>
    <t>aerror76.azurewebsites.net</t>
  </si>
  <si>
    <t>5f16b4762eed3</t>
  </si>
  <si>
    <t>http://aerror76.azurewebsites.net/Hampden-Way/</t>
  </si>
  <si>
    <t>aerror11.azurewebsites.net</t>
  </si>
  <si>
    <t>5f15cc3fc9c18</t>
  </si>
  <si>
    <t>http://aerror11.azurewebsites.net/Clair-Avenue/</t>
  </si>
  <si>
    <t>San Antonio</t>
  </si>
  <si>
    <t>10-getyourpcfixeddfgdgdgdg.azurewebsites.net</t>
  </si>
  <si>
    <t>104.214.20.35</t>
  </si>
  <si>
    <t>60145636a9e4c</t>
  </si>
  <si>
    <t>https://10-getyourpcfixeddfgdgdgdg.azurewebsites.net/MicOSoEDPC017528240X00/</t>
  </si>
  <si>
    <t>29callhelpline.azurewebsites.net</t>
  </si>
  <si>
    <t>5fd10e4e480fb</t>
  </si>
  <si>
    <t>https://29callhelpline.azurewebsites.net/Wind0HelEDGSyS06016552664/</t>
  </si>
  <si>
    <t>livequick-support110.azurewebsites.net</t>
  </si>
  <si>
    <t>5faf3d53a3700</t>
  </si>
  <si>
    <t>http://livequick-support110.azurewebsites.net/JArbZ98cFQJapCA/</t>
  </si>
  <si>
    <t>livequick-support116.azurewebsites.net</t>
  </si>
  <si>
    <t>5faad7cae48a1</t>
  </si>
  <si>
    <t>https://livequick-support116.azurewebsites.net/VXJfzDqW2zqUqWz/</t>
  </si>
  <si>
    <t>quick-support076.azurewebsites.net</t>
  </si>
  <si>
    <t>5fa437ca0ef6c</t>
  </si>
  <si>
    <t>https://quick-support076.azurewebsites.net/KZPnhPzq8R8jHBD/</t>
  </si>
  <si>
    <t>livequickpcsupports15.azurewebsites.net</t>
  </si>
  <si>
    <t>5f9848d53b76a</t>
  </si>
  <si>
    <t>https://livequickpcsupports15.azurewebsites.net/9GMEFgvzgTaEgPD/</t>
  </si>
  <si>
    <t>bestgeekscare46.azurewebsites.net</t>
  </si>
  <si>
    <t>5f7b78a28def2</t>
  </si>
  <si>
    <t>https://bestgeekscare46.azurewebsites.net/TZZsyhcrt2Wrbu9/</t>
  </si>
  <si>
    <t>bestpchelpsupport20.azurewebsites.net</t>
  </si>
  <si>
    <t>5f778d22dd05b</t>
  </si>
  <si>
    <t>https://bestpchelpsupport20.azurewebsites.net/TZZsyhcrt2Wrbu9/</t>
  </si>
  <si>
    <t>livehelpsupport146.azurewebsites.net</t>
  </si>
  <si>
    <t>5f75d329c12a2</t>
  </si>
  <si>
    <t>http://livehelpsupport146.azurewebsites.net/6Yeqm5nqUDDNFgk/</t>
  </si>
  <si>
    <t>livepchelpsupport26.azurewebsites.net</t>
  </si>
  <si>
    <t>5f77681cd59d2</t>
  </si>
  <si>
    <t>https://livepchelpsupport26.azurewebsites.net/4vKZdhngXmE9yHj</t>
  </si>
  <si>
    <t>liveonlinepchelp120.azurewebsites.net</t>
  </si>
  <si>
    <t>5f739a98c4abd</t>
  </si>
  <si>
    <t>https://liveonlinepchelp120.azurewebsites.net/6Yeqm5nqUDDNFgk/</t>
  </si>
  <si>
    <t>onlinecomputersupport31.azurewebsites.net</t>
  </si>
  <si>
    <t>5f72210671229</t>
  </si>
  <si>
    <t>https://onlinecomputersupport31.azurewebsites.net/Kq8XSq5WNCgY68z/</t>
  </si>
  <si>
    <t>onlinecomputersupport50.azurewebsites.net</t>
  </si>
  <si>
    <t>5f721f117c69c</t>
  </si>
  <si>
    <t>https://onlinecomputersupport50.azurewebsites.net/Kq8XSq5WNCgY68z/</t>
  </si>
  <si>
    <t>freecomputersupport10.azurewebsites.net</t>
  </si>
  <si>
    <t>5f6a3ceb49405</t>
  </si>
  <si>
    <t>https://freecomputersupport10.azurewebsites.net/PjY6bTgrEnuKddE/</t>
  </si>
  <si>
    <t>freecomputerhelp76.azurewebsites.net</t>
  </si>
  <si>
    <t>5f699edb324b0</t>
  </si>
  <si>
    <t>https://freecomputerhelp76.azurewebsites.net/R7tcvkAFdAwS4B4</t>
  </si>
  <si>
    <t>freecomputerhelp25.azurewebsites.net</t>
  </si>
  <si>
    <t>5f68d9b785de3</t>
  </si>
  <si>
    <t>https://freecomputerhelp25.azurewebsites.net/R7tcvkAFdAwS4B4/</t>
  </si>
  <si>
    <t>freecomputerhelp10.azurewebsites.net</t>
  </si>
  <si>
    <t>5f68d94fdadcc</t>
  </si>
  <si>
    <t>https://freecomputerhelp10.azurewebsites.net/R7tcvkAFdAwS4B4/</t>
  </si>
  <si>
    <t>freepchelpforum30.azurewebsites.net</t>
  </si>
  <si>
    <t>5f62884dd58f6</t>
  </si>
  <si>
    <t>https://freepchelpforum30.azurewebsites.net/TxHTvPq9EFWfwjb/</t>
  </si>
  <si>
    <t>freepchelpforum09.azurewebsites.net</t>
  </si>
  <si>
    <t>5f62882565330</t>
  </si>
  <si>
    <t>https://freepchelpforum09.azurewebsites.net/TxHTvPq9EFWfwjb/</t>
  </si>
  <si>
    <t>freepchelp100.azurewebsites.net</t>
  </si>
  <si>
    <t>5f6246e69349c</t>
  </si>
  <si>
    <t>https://freepchelp100.azurewebsites.net/TxHTvPq9EFWfwjb/</t>
  </si>
  <si>
    <t>freepchelp107.azurewebsites.net</t>
  </si>
  <si>
    <t>5f6246d07f107</t>
  </si>
  <si>
    <t>https://freepchelp107.azurewebsites.net/TxHTvPq9EFWfwjb/</t>
  </si>
  <si>
    <t>freepchelp70.azurewebsites.net</t>
  </si>
  <si>
    <t>5f61c566f0009</t>
  </si>
  <si>
    <t>https://freepchelp70.azurewebsites.net/ERDDrHjVfKbFJbQ/</t>
  </si>
  <si>
    <t>pconlinehelp167.azurewebsites.net</t>
  </si>
  <si>
    <t>5f60e7200ea0f</t>
  </si>
  <si>
    <t>https://pconlinehelp167.azurewebsites.net/ERDDrHjVfKbFJbQ/</t>
  </si>
  <si>
    <t>pconlinehelp180.azurewebsites.net</t>
  </si>
  <si>
    <t>5f60e6d7eb13a</t>
  </si>
  <si>
    <t>https://pconlinehelp180.azurewebsites.net/ERDDrHjVfKbFJbQ/</t>
  </si>
  <si>
    <t>pconlinehelp130.azurewebsites.net</t>
  </si>
  <si>
    <t>5f607950191a7</t>
  </si>
  <si>
    <t>https://pconlinehelp130.azurewebsites.net/ERDDrHjVfKbFJbQ/</t>
  </si>
  <si>
    <t>pconlinehelp136.azurewebsites.net</t>
  </si>
  <si>
    <t>5f60794948e68</t>
  </si>
  <si>
    <t>https://pconlinehelp136.azurewebsites.net/ERDDrHjVfKbFJbQ/</t>
  </si>
  <si>
    <t>pconlinehelp150.azurewebsites.net</t>
  </si>
  <si>
    <t>5f60792925fb1</t>
  </si>
  <si>
    <t>https://pconlinehelp150.azurewebsites.net/ERDDrHjVfKbFJbQ/</t>
  </si>
  <si>
    <t>pconlinehelp60.azurewebsites.net</t>
  </si>
  <si>
    <t>5f5fb8caa47a1</t>
  </si>
  <si>
    <t>https://pconlinehelp60.azurewebsites.net/ERDDrHjVfKbFJbQ/</t>
  </si>
  <si>
    <t>pconlinehelp30.azurewebsites.net</t>
  </si>
  <si>
    <t>5f5fa08c260e4</t>
  </si>
  <si>
    <t>https://pconlinehelp30.azurewebsites.net/ERDDrHjVfKbFJbQ/</t>
  </si>
  <si>
    <t>pconlinehelp09.azurewebsites.net</t>
  </si>
  <si>
    <t>5f5f9be5e16d9</t>
  </si>
  <si>
    <t>https://pconlinehelp09.azurewebsites.net/ERDDrHjVfKbFJbQ/</t>
  </si>
  <si>
    <t>pchelpdesk55.azurewebsites.net</t>
  </si>
  <si>
    <t>5f5a59072c229</t>
  </si>
  <si>
    <t>https://pchelpdesk55.azurewebsites.net/garretttanners7d/</t>
  </si>
  <si>
    <t>pchelpdesk50.azurewebsites.net</t>
  </si>
  <si>
    <t>5f5a58e6ab76a</t>
  </si>
  <si>
    <t>https://pchelpdesk50.azurewebsites.net/garretttanners7d/</t>
  </si>
  <si>
    <t>pchelpdesk30.azurewebsites.net</t>
  </si>
  <si>
    <t>5f5a5862de27a</t>
  </si>
  <si>
    <t>https://pchelpdesk30.azurewebsites.net/garretttanners7d/</t>
  </si>
  <si>
    <t>pchelpdesk10.azurewebsites.net</t>
  </si>
  <si>
    <t>5f5a57e01b3a9</t>
  </si>
  <si>
    <t>https://pchelpdesk10.azurewebsites.net/garretttanners7d/</t>
  </si>
  <si>
    <t>pchelpservices98.azurewebsites.net</t>
  </si>
  <si>
    <t>5f5916ef07f19</t>
  </si>
  <si>
    <t>https://pchelpservices98.azurewebsites.net/dawsonwhlerS7v/</t>
  </si>
  <si>
    <t>pchelpservices90.azurewebsites.net</t>
  </si>
  <si>
    <t>5f5916d398512</t>
  </si>
  <si>
    <t>https://pchelpservices90.azurewebsites.net/dawsonwhlerS7v/</t>
  </si>
  <si>
    <t>callnow86.azurewebsites.net</t>
  </si>
  <si>
    <t>5f528742debc8</t>
  </si>
  <si>
    <t>http://callnow86.azurewebsites.net/Mer-cado/</t>
  </si>
  <si>
    <t>callnow66.azurewebsites.net</t>
  </si>
  <si>
    <t>5f5286e474887</t>
  </si>
  <si>
    <t>http://callnow66.azurewebsites.net/Mer-cado/</t>
  </si>
  <si>
    <t>callnow46.azurewebsites.net</t>
  </si>
  <si>
    <t>5f52868659aca</t>
  </si>
  <si>
    <t>http://callnow46.azurewebsites.net/Mer-cado/</t>
  </si>
  <si>
    <t>callnow26.azurewebsites.net</t>
  </si>
  <si>
    <t>5f5286289a848</t>
  </si>
  <si>
    <t>http://callnow26.azurewebsites.net/Mer-cado/</t>
  </si>
  <si>
    <t>customerfreesupport90.azurewebsites.net</t>
  </si>
  <si>
    <t>5f4d5b9a31f8b</t>
  </si>
  <si>
    <t>https://customerfreesupport90.azurewebsites.net/HNhGpB5gbMdVDyb/</t>
  </si>
  <si>
    <t>customerfreesupport16.azurewebsites.net</t>
  </si>
  <si>
    <t>5f4d5b435add5</t>
  </si>
  <si>
    <t>https://customerfreesupport16.azurewebsites.net/HNhGpB5gbMdVDyb/</t>
  </si>
  <si>
    <t>customerfreesupport40.azurewebsites.net</t>
  </si>
  <si>
    <t>5f4d5b0cebad9</t>
  </si>
  <si>
    <t>https://customerfreesupport40.azurewebsites.net/HNhGpB5gbMdVDyb/</t>
  </si>
  <si>
    <t>freesupport66.azurewebsites.net</t>
  </si>
  <si>
    <t>5f4c0d8cc3fb0</t>
  </si>
  <si>
    <t>http://freesupport66.azurewebsites.net/gHBW7zFVGjwcrjr/</t>
  </si>
  <si>
    <t>callnow-free136.azurewebsites.net</t>
  </si>
  <si>
    <t>5f4c097dd7a81</t>
  </si>
  <si>
    <t>http://callnow-free136.azurewebsites.net/S9M5QFaca7VkHSt/</t>
  </si>
  <si>
    <t>freesupport15.azurewebsites.net</t>
  </si>
  <si>
    <t>5f4ae51771224</t>
  </si>
  <si>
    <t>http://freesupport15.azurewebsites.net/gHBW7zFVGjwcrjr/</t>
  </si>
  <si>
    <t>freesupportservice144.azurewebsites.net</t>
  </si>
  <si>
    <t>5f4ad92042984</t>
  </si>
  <si>
    <t>http://freesupportservice144.azurewebsites.net/vcCsfdvjFg4P5tp/</t>
  </si>
  <si>
    <t>freesupportservice126.azurewebsites.net</t>
  </si>
  <si>
    <t>5f4ad8dd817a1</t>
  </si>
  <si>
    <t>http://freesupportservice126.azurewebsites.net/vcCsfdvjFg4P5tp/</t>
  </si>
  <si>
    <t>freecallcaresupport96.azurewebsites.net</t>
  </si>
  <si>
    <t>5f4aa3f04cb35</t>
  </si>
  <si>
    <t>http://freecallcaresupport96.azurewebsites.net/vTUPHmw6mhDcMgT/</t>
  </si>
  <si>
    <t>freecallcaresupport66.azurewebsites.net</t>
  </si>
  <si>
    <t>5f4aa365a85df</t>
  </si>
  <si>
    <t>http://freecallcaresupport66.azurewebsites.net/vTUPHmw6mhDcMgT/</t>
  </si>
  <si>
    <t>freecallcaresupport59.azurewebsites.net</t>
  </si>
  <si>
    <t>5f4aa3422d26a</t>
  </si>
  <si>
    <t>http://freecallcaresupport59.azurewebsites.net/vTUPHmw6mhDcMgT/</t>
  </si>
  <si>
    <t>freecallcaresupport36.azurewebsites.net</t>
  </si>
  <si>
    <t>5f4aa2e0ca83a</t>
  </si>
  <si>
    <t>http://freecallcaresupport36.azurewebsites.net/vTUPHmw6mhDcMgT/</t>
  </si>
  <si>
    <t>freecallcaresupport30.azurewebsites.net</t>
  </si>
  <si>
    <t>5f4aa2c73dabc</t>
  </si>
  <si>
    <t>http://freecallcaresupport30.azurewebsites.net/vTUPHmw6mhDcMgT/</t>
  </si>
  <si>
    <t>freecallcaresupport16.azurewebsites.net</t>
  </si>
  <si>
    <t>5f4aa283a92e7</t>
  </si>
  <si>
    <t>http://freecallcaresupport16.azurewebsites.net/vTUPHmw6mhDcMgT/</t>
  </si>
  <si>
    <t>getfreesupport116.azurewebsites.net</t>
  </si>
  <si>
    <t>5f49759bea6a4</t>
  </si>
  <si>
    <t>http://getfreesupport116.azurewebsites.net/gHBW7zFVGjwcrjr/</t>
  </si>
  <si>
    <t>freemaintenance116.azurewebsites.net</t>
  </si>
  <si>
    <t>5f495eecf41c7</t>
  </si>
  <si>
    <t>http://freemaintenance116.azurewebsites.net/q5gCvYnz6kzKvgY/</t>
  </si>
  <si>
    <t>freemaintenance46.azurewebsites.net</t>
  </si>
  <si>
    <t>5f495dca8897e</t>
  </si>
  <si>
    <t>http://freemaintenance46.azurewebsites.net/q5gCvYnz6kzKvgY/</t>
  </si>
  <si>
    <t>customercaresupport126.azurewebsites.net</t>
  </si>
  <si>
    <t>5f4946765567a</t>
  </si>
  <si>
    <t>https://customercaresupport126.azurewebsites.net/HNhGpB5gbMdVDyb/</t>
  </si>
  <si>
    <t>getfreesupport186.azurewebsites.net</t>
  </si>
  <si>
    <t>5f47d5124d30f</t>
  </si>
  <si>
    <t>http://getfreesupport186.azurewebsites.net/atEdYhpx5ykF2Ru/</t>
  </si>
  <si>
    <t>getfreesupport39.azurewebsites.net</t>
  </si>
  <si>
    <t>5f47a70e34b8b</t>
  </si>
  <si>
    <t>http://getfreesupport39.azurewebsites.net/Zcv6znVbFKDkXCy/</t>
  </si>
  <si>
    <t>getfreesupport166.azurewebsites.net</t>
  </si>
  <si>
    <t>5f47a164290af</t>
  </si>
  <si>
    <t>http://getfreesupport166.azurewebsites.net/atEdYhpx5ykF2Ru/</t>
  </si>
  <si>
    <t>computer56.azurewebsites.net</t>
  </si>
  <si>
    <t>5f479ff3edc93</t>
  </si>
  <si>
    <t>http://computer56.azurewebsites.net/Belle-Plaine/</t>
  </si>
  <si>
    <t>checkup26.azurewebsites.net</t>
  </si>
  <si>
    <t>5f44772250ef9</t>
  </si>
  <si>
    <t>http://checkup26.azurewebsites.net/Kristy-Cortez/</t>
  </si>
  <si>
    <t>freesupportservice10.azurewebsites.net</t>
  </si>
  <si>
    <t>5f4443339caa3</t>
  </si>
  <si>
    <t>https://freesupportservice10.azurewebsites.net/8sx3ztC96XSvHKs/</t>
  </si>
  <si>
    <t>freesupportservice35.azurewebsites.net</t>
  </si>
  <si>
    <t>5f44421ba13b6</t>
  </si>
  <si>
    <t>https://freesupportservice35.azurewebsites.net/8sx3ztC96XSvHKs/</t>
  </si>
  <si>
    <t>freesupportservice45.azurewebsites.net</t>
  </si>
  <si>
    <t>5f4441acc9837</t>
  </si>
  <si>
    <t>https://freesupportservice45.azurewebsites.net/8sx3ztC96XSvHKs/</t>
  </si>
  <si>
    <t>freesupportservice95.azurewebsites.net</t>
  </si>
  <si>
    <t>5f44402db3dd2</t>
  </si>
  <si>
    <t>https://freesupportservice95.azurewebsites.net/8sx3ztC96XSvHKs/</t>
  </si>
  <si>
    <t>freesupportservice70.azurewebsites.net</t>
  </si>
  <si>
    <t>5f443ea3aabed</t>
  </si>
  <si>
    <t>https://freesupportservice70.azurewebsites.net/8sx3ztC96XSvHKs/</t>
  </si>
  <si>
    <t>supportcenter40.azurewebsites.net</t>
  </si>
  <si>
    <t>5f424afe84e95</t>
  </si>
  <si>
    <t>http://supportcenter40.azurewebsites.net/RcqJ92dKsXnk9v9/</t>
  </si>
  <si>
    <t>computercheckup40.azurewebsites.net</t>
  </si>
  <si>
    <t>5f26bd864bb69</t>
  </si>
  <si>
    <t>http://computercheckup40.azurewebsites.net/Staci-Walsh/</t>
  </si>
  <si>
    <t>aerror13.azurewebsites.net</t>
  </si>
  <si>
    <t>5f15cc772a206</t>
  </si>
  <si>
    <t>http://aerror13.azurewebsites.net/Hampden-Way/</t>
  </si>
  <si>
    <t>fixmachinetools.xyz</t>
  </si>
  <si>
    <t>157.245.110.167</t>
  </si>
  <si>
    <t>5f15d640a2116</t>
  </si>
  <si>
    <t>https://fixmachinetools.xyz/code6066e/CHfdfdfdfd100110dfSHA/</t>
  </si>
  <si>
    <t>wp.stormofspace.net</t>
  </si>
  <si>
    <t>104.131.18.181</t>
  </si>
  <si>
    <t>5f169396a3bb4</t>
  </si>
  <si>
    <t>http://wp.stormofspace.net/OldAt0150/ieAT/</t>
  </si>
  <si>
    <t>stormofspace.net</t>
  </si>
  <si>
    <t>5f169306346bf</t>
  </si>
  <si>
    <t>http://stormofspace.net/OldAt0150/ieAT/</t>
  </si>
  <si>
    <t>poersw0-weriu7.ga</t>
  </si>
  <si>
    <t>5f15f6f512801</t>
  </si>
  <si>
    <t>https://poersw0-weriu7.ga/OldAt0150/ieAT/</t>
  </si>
  <si>
    <t>learnwebdesign.site</t>
  </si>
  <si>
    <t>104.131.4.19</t>
  </si>
  <si>
    <t>5f16d9a7326c9</t>
  </si>
  <si>
    <t>https://learnwebdesign.site/SAMacHelp011010x/</t>
  </si>
  <si>
    <t>3.128.11.219</t>
  </si>
  <si>
    <t>5f16b3b6cdb25</t>
  </si>
  <si>
    <t>http://3.128.11.219/</t>
  </si>
  <si>
    <t>foodfactoryserieseruope-env.eba-smmc5fpm.us-east-2.elasticbeanstalk.c</t>
  </si>
  <si>
    <t>5f16b35672564</t>
  </si>
  <si>
    <t>http://foodfactoryserieseruope-env.eba-smmc5fpm.us-east-2.elasticbeanstalk.com/</t>
  </si>
  <si>
    <t>c</t>
  </si>
  <si>
    <t>Aubervilliers</t>
  </si>
  <si>
    <t>217.69.15.32</t>
  </si>
  <si>
    <t>5f16cac2908b0</t>
  </si>
  <si>
    <t>http://217.69.15.32/FFWInhelp10010101/index.html</t>
  </si>
  <si>
    <t>Villeurbanne</t>
  </si>
  <si>
    <t>62.4.18.68</t>
  </si>
  <si>
    <t>Online SAS</t>
  </si>
  <si>
    <t>5f2800a70e720</t>
  </si>
  <si>
    <t>http://62.4.18.68/Dx5566/HRYDCH18811881187D_NB/</t>
  </si>
  <si>
    <t>www.thelovers.fun</t>
  </si>
  <si>
    <t>5f16f2534b81c</t>
  </si>
  <si>
    <t>http://www.thelovers.fun/xtDf6545/HRYDED18811881187D_NB/</t>
  </si>
  <si>
    <t>wintech-support.support</t>
  </si>
  <si>
    <t>5f16f214c0c14</t>
  </si>
  <si>
    <t>http://wintech-support.support/xtDf6545/HRYDED18811881187D_NB/</t>
  </si>
  <si>
    <t>support</t>
  </si>
  <si>
    <t>support-tech.support</t>
  </si>
  <si>
    <t>5f16f226c3571</t>
  </si>
  <si>
    <t>http://support-tech.support/xtDf6545/HRYDED18811881187D_NB/</t>
  </si>
  <si>
    <t>angelgaming.hu</t>
  </si>
  <si>
    <t>5f16f26d9dd4a</t>
  </si>
  <si>
    <t>http://angelgaming.hu/xtDf6545/HRYDED18811881187D_NB/</t>
  </si>
  <si>
    <t>hu</t>
  </si>
  <si>
    <t>online-tech.co</t>
  </si>
  <si>
    <t>5f16e2907c205</t>
  </si>
  <si>
    <t>https://online-tech.co/xtDf6545/HRYDED18811881187D_NB/</t>
  </si>
  <si>
    <t>AS60068</t>
  </si>
  <si>
    <t>1972704730.rsc.cdn77.org</t>
  </si>
  <si>
    <t>DataCamp Limited</t>
  </si>
  <si>
    <t>195.181.175.49</t>
  </si>
  <si>
    <t>DatacampLimited</t>
  </si>
  <si>
    <t>6035643e6db43</t>
  </si>
  <si>
    <t>https://1972704730.rsc.cdn77.org/22wx/?phone=+1-(888)-632-7310&amp;amp;</t>
  </si>
  <si>
    <t>1218112869.rsc.cdn77.org</t>
  </si>
  <si>
    <t>6033f33660d01</t>
  </si>
  <si>
    <t>https://1218112869.rsc.cdn77.org/22wx/?phone=+1-(888)-585-6435&amp;amp;</t>
  </si>
  <si>
    <t>1407373941.rsc.cdn77.org</t>
  </si>
  <si>
    <t>602d3f3d851df</t>
  </si>
  <si>
    <t>https://1407373941.rsc.cdn77.org/microfx1macxx1/?phone=+1-(888)-401-3648&amp;amp;</t>
  </si>
  <si>
    <t>1635227574.rsc.cdn77.org</t>
  </si>
  <si>
    <t>5f16e295eaf0e</t>
  </si>
  <si>
    <t>http://1635227574.rsc.cdn77.org/edge/</t>
  </si>
  <si>
    <t>zoirter-powersd0.cf</t>
  </si>
  <si>
    <t>68.183.57.236</t>
  </si>
  <si>
    <t>5f16ea73a85a2</t>
  </si>
  <si>
    <t>https://zoirter-powersd0.cf/mis/te/</t>
  </si>
  <si>
    <t>164.90.219.96</t>
  </si>
  <si>
    <t>5f170afa34d1f</t>
  </si>
  <si>
    <t>http://164.90.219.96/hos/nb/</t>
  </si>
  <si>
    <t>voler-87jiue.tk</t>
  </si>
  <si>
    <t>5f170a92c4698</t>
  </si>
  <si>
    <t>https://voler-87jiue.tk/hos/nb/</t>
  </si>
  <si>
    <t>sysupdates.online</t>
  </si>
  <si>
    <t>164.90.153.229</t>
  </si>
  <si>
    <t>5f170aaf74f9b</t>
  </si>
  <si>
    <t>https://sysupdates.online/xno7xxx5xxxy/SAMacHelp011010x/?site=</t>
  </si>
  <si>
    <t>184.72.155.129</t>
  </si>
  <si>
    <t>5f179ddf3363f</t>
  </si>
  <si>
    <t>http://184.72.155.129/j5323/Call-Support2/</t>
  </si>
  <si>
    <t>security-alert-illegal-hacking-attempt-found-system-blocked-105.s3.am</t>
  </si>
  <si>
    <t>52.216.102.115</t>
  </si>
  <si>
    <t>5f172aa5e964c</t>
  </si>
  <si>
    <t>https://security-alert-illegal-hacking-attempt-found-system-blocked-105.s3.amazonaws.com/chrome_win/index.htm?source_id=s358_818286</t>
  </si>
  <si>
    <t>am</t>
  </si>
  <si>
    <t>opensource483.cf</t>
  </si>
  <si>
    <t>104.18.49.39</t>
  </si>
  <si>
    <t>5f173401c9d48</t>
  </si>
  <si>
    <t>https://opensource483.cf/WIndsds-as00sad0.hnd/XEDdhdsbfhgdfhdgfMKx/</t>
  </si>
  <si>
    <t>157.245.127.162</t>
  </si>
  <si>
    <t>5f17e7985dd59</t>
  </si>
  <si>
    <t>http://157.245.127.162/CHWInhelp10010101x/</t>
  </si>
  <si>
    <t>onlinedishes.site</t>
  </si>
  <si>
    <t>5f17749c8ef42</t>
  </si>
  <si>
    <t>https://onlinedishes.site/SAMacHelp011010x/</t>
  </si>
  <si>
    <t>Alexandria</t>
  </si>
  <si>
    <t>improvenetwork.xyz</t>
  </si>
  <si>
    <t>45.32.240.13</t>
  </si>
  <si>
    <t>5f1749f0e4eb7</t>
  </si>
  <si>
    <t>https://improvenetwork.xyz/code9111e/CHfdfdfdfd100110dfSHA/</t>
  </si>
  <si>
    <t>5f1749955fb71</t>
  </si>
  <si>
    <t>https://improvenetwork.xyz/code3258e/CHfdfdfdfd100110dfSHA/</t>
  </si>
  <si>
    <t>statusbar954.cf</t>
  </si>
  <si>
    <t>172.67.193.30</t>
  </si>
  <si>
    <t>5f179de5cc866</t>
  </si>
  <si>
    <t>https://statusbar954.cf/Winsdsd0-sfsdfs0.twd/TEdsjsjhskhkasdVXPV/</t>
  </si>
  <si>
    <t>miuraxvidhd.online</t>
  </si>
  <si>
    <t>198.187.31.245</t>
  </si>
  <si>
    <t>Czech Republic</t>
  </si>
  <si>
    <t>5fe2cff72c07d</t>
  </si>
  <si>
    <t>https://miuraxvidhd.online/1510202trf/I/index.html</t>
  </si>
  <si>
    <t>xmiuravid.online</t>
  </si>
  <si>
    <t>5fd4c47e25f33</t>
  </si>
  <si>
    <t>https://xmiuravid.online/1810202trf/I/index.html</t>
  </si>
  <si>
    <t>hdqualityjpvideomiura.online</t>
  </si>
  <si>
    <t>5f179df9ab00f</t>
  </si>
  <si>
    <t>https://hdqualityjpvideomiura.online/22072020jpmiura/dav/Oajdjhduwjnndjk/</t>
  </si>
  <si>
    <t>San Leandro</t>
  </si>
  <si>
    <t>servrceonline12.cf</t>
  </si>
  <si>
    <t>185.210.145.79</t>
  </si>
  <si>
    <t>5fb44717b36e8</t>
  </si>
  <si>
    <t>http://servrceonline12.cf/Winhelpxcode888securityCH007/index.html</t>
  </si>
  <si>
    <t>onlineserverasde122.cf</t>
  </si>
  <si>
    <t>5fb4440249897</t>
  </si>
  <si>
    <t>http://onlineserverasde122.cf/CHfdfdfdfd100110dfRS/</t>
  </si>
  <si>
    <t>onlineserverasde12.gq</t>
  </si>
  <si>
    <t>5fa5c88f7662e</t>
  </si>
  <si>
    <t>http://onlineserverasde12.gq/Winhelpxcode888securityCH007/index.html</t>
  </si>
  <si>
    <t>microserveronline191.ml</t>
  </si>
  <si>
    <t>5fa5aad8810bd</t>
  </si>
  <si>
    <t>http://microserveronline191.ml/Winhelpxcode888securityCH007/index.html</t>
  </si>
  <si>
    <t>microserveronline19.ga</t>
  </si>
  <si>
    <t>5fa4420ac2f72</t>
  </si>
  <si>
    <t>http://microserveronline19.ga/Winhelpxcode888securityCH007/index.html</t>
  </si>
  <si>
    <t>onlineserver56tftgyhqa.gq</t>
  </si>
  <si>
    <t>5fa1d56e5cd70</t>
  </si>
  <si>
    <t>http://onlineserver56tftgyhqa.gq/Winhelpxcode888securityCH007/index.html</t>
  </si>
  <si>
    <t>erroronlinealrt111.ml</t>
  </si>
  <si>
    <t>5f6a51923b743</t>
  </si>
  <si>
    <t>http://erroronlinealrt111.ml/9mxdfdfdfdfdfdfdfCHd004c/</t>
  </si>
  <si>
    <t>errormaaleeasetgj.cf</t>
  </si>
  <si>
    <t>5f68ef2d7b3dc</t>
  </si>
  <si>
    <t>http://errormaaleeasetgj.cf/9mxdfdfdfdfdfdfdfFFd004c/</t>
  </si>
  <si>
    <t>serveronline9827364.ga</t>
  </si>
  <si>
    <t>5f5166e62e8aa</t>
  </si>
  <si>
    <t>http://serveronline9827364.ga/9mxdfdfdfdfdfdfdfMAd004c/</t>
  </si>
  <si>
    <t>5f5165d217c55</t>
  </si>
  <si>
    <t>http://serveronline9827364.ga/9mxdfdfdfdfdfdfdfCHd004c/</t>
  </si>
  <si>
    <t>errormaaleeasetgj.ml</t>
  </si>
  <si>
    <t>5f514fed45670</t>
  </si>
  <si>
    <t>http://errormaaleeasetgj.ml/9mxdfdfdfdfdfdfdfMAd004c/</t>
  </si>
  <si>
    <t>5f514f8b2309b</t>
  </si>
  <si>
    <t>http://errormaaleeasetgj.ml/9mxdfdfdfdfdfdfdfCHd004c/</t>
  </si>
  <si>
    <t>5f512d0b10806</t>
  </si>
  <si>
    <t>http://serveronline9827364.ga/27ankitnewnumber/9mxdfdfdfdfdfdfdfCHd004c/</t>
  </si>
  <si>
    <t>serveronline9827364.gq</t>
  </si>
  <si>
    <t>5f512c308a1c0</t>
  </si>
  <si>
    <t>http://serveronline9827364.gq/9mxdfdfdfdfdfdfdfCHd004c/</t>
  </si>
  <si>
    <t>serveronlineasrftg.ml</t>
  </si>
  <si>
    <t>5f485485036c9</t>
  </si>
  <si>
    <t>http://serveronlineasrftg.ml/9mxdfdfdfdfdfdfdfCHd004c</t>
  </si>
  <si>
    <t>serveronlineasrftg.gq</t>
  </si>
  <si>
    <t>5f480445a3b7f</t>
  </si>
  <si>
    <t>http://serveronlineasrftg.gq/9mxdfdfdfdfdfdfdfCHd004c/</t>
  </si>
  <si>
    <t>serveronlineasrftg.tk</t>
  </si>
  <si>
    <t>5f47a1a0c3ca9</t>
  </si>
  <si>
    <t>http://serveronlineasrftg.tk/9mxdfdfdfdfdfdfdfCHd004c/</t>
  </si>
  <si>
    <t>recipesonlineus.ga</t>
  </si>
  <si>
    <t>5f402d9fcbf0d</t>
  </si>
  <si>
    <t>http://recipesonlineus.ga/CHWInhelp10GK010101AW/</t>
  </si>
  <si>
    <t>recipesonlineus.cf</t>
  </si>
  <si>
    <t>5f3ef7ee761fd</t>
  </si>
  <si>
    <t>http://recipesonlineus.cf//CHWInhelp10GK010101AW/</t>
  </si>
  <si>
    <t>weatherinfo.gq</t>
  </si>
  <si>
    <t>5f29aed95bc7e</t>
  </si>
  <si>
    <t>http://weatherinfo.gq/CH0101101010101001CS/</t>
  </si>
  <si>
    <t>server14error.cf</t>
  </si>
  <si>
    <t>5f1b32b93a789</t>
  </si>
  <si>
    <t>http://server14error.cf/MASA01101010101001CS/?phone=+1-800-598-1890</t>
  </si>
  <si>
    <t>server12error.tk</t>
  </si>
  <si>
    <t>5f1b21877b173</t>
  </si>
  <si>
    <t>http://server12error.tk/Chdsdsdasdasdasdad13123123/</t>
  </si>
  <si>
    <t>server12error.ml</t>
  </si>
  <si>
    <t>5f1b7ababb337</t>
  </si>
  <si>
    <t>http://server12error.ml/CH0101101010101001CS/</t>
  </si>
  <si>
    <t>server13error.gq</t>
  </si>
  <si>
    <t>5f19e1fa6a407</t>
  </si>
  <si>
    <t>http://server13error.gq/CH0101101010101001CS/</t>
  </si>
  <si>
    <t>server14error.tk</t>
  </si>
  <si>
    <t>5f19bd20c43bc</t>
  </si>
  <si>
    <t>http://server14error.tk/MASA01101010101001CS/?phone=+1-800-598-1890</t>
  </si>
  <si>
    <t>server14error.ml</t>
  </si>
  <si>
    <t>5f19bcff6d609</t>
  </si>
  <si>
    <t>http://server14error.ml/MASA01101010101001CS/?phone=+1-800-598-1890</t>
  </si>
  <si>
    <t>server13error.ga</t>
  </si>
  <si>
    <t>5f19bcd42f568</t>
  </si>
  <si>
    <t>http://server13error.ga/MASA01101010101001CS/?phone=+1-800-598-1890</t>
  </si>
  <si>
    <t>5f1897182b8b9</t>
  </si>
  <si>
    <t>http://server14error.ml/CH0101101010101001CS/</t>
  </si>
  <si>
    <t>5f1871d90001b</t>
  </si>
  <si>
    <t>http://server14error.tk/CH0101101010101001CS/</t>
  </si>
  <si>
    <t>server13error.cf</t>
  </si>
  <si>
    <t>5f186e2698dd5</t>
  </si>
  <si>
    <t>http://server13error.cf/CH0101101010101001CS/</t>
  </si>
  <si>
    <t>datingonlinenow.online</t>
  </si>
  <si>
    <t>5f185d2bdfac7</t>
  </si>
  <si>
    <t>http://datingonlinenow.online/Chdsdsdasdasdasdad13123123/</t>
  </si>
  <si>
    <t>server13error.tk</t>
  </si>
  <si>
    <t>5f185aa07a1df</t>
  </si>
  <si>
    <t>http://server13error.tk/CH0101101010101001CS/</t>
  </si>
  <si>
    <t>Cheyenne</t>
  </si>
  <si>
    <t>onestopsupportstyjtktk.azurewebsites.net</t>
  </si>
  <si>
    <t>13.78.184.89</t>
  </si>
  <si>
    <t>5fff41f946840</t>
  </si>
  <si>
    <t>https://onestopsupportstyjtktk.azurewebsites.net/MicOSoCHPC017528240X00/</t>
  </si>
  <si>
    <t>onestopsupportytjtjtjt.azurewebsites.net</t>
  </si>
  <si>
    <t>5ffdd23e365ec</t>
  </si>
  <si>
    <t>https://onestopsupportytjtjtjt.azurewebsites.net/MicOSoEDPC017528240X00/</t>
  </si>
  <si>
    <t>quick-support283.azurewebsites.net</t>
  </si>
  <si>
    <t>5faf442b236fb</t>
  </si>
  <si>
    <t>http://quick-support283.azurewebsites.net/JArbZ98cFQJapCA/</t>
  </si>
  <si>
    <t>quick-support273.azurewebsites.net</t>
  </si>
  <si>
    <t>5faf43faed20e</t>
  </si>
  <si>
    <t>http://quick-support273.azurewebsites.net/JArbZ98cFQJapCA/</t>
  </si>
  <si>
    <t>livequick-support178.azurewebsites.net</t>
  </si>
  <si>
    <t>5faf3e9915d72</t>
  </si>
  <si>
    <t>http://livequick-support178.azurewebsites.net/JArbZ98cFQJapCA/</t>
  </si>
  <si>
    <t>livequick-support168.azurewebsites.net</t>
  </si>
  <si>
    <t>5faf3e6912bda</t>
  </si>
  <si>
    <t>http://livequick-support168.azurewebsites.net/JArbZ98cFQJapCA/</t>
  </si>
  <si>
    <t>livequick-support153.azurewebsites.net</t>
  </si>
  <si>
    <t>5faf3e1e533cd</t>
  </si>
  <si>
    <t>http://livequick-support153.azurewebsites.net/JArbZ98cFQJapCA/</t>
  </si>
  <si>
    <t>livequick-support133.azurewebsites.net</t>
  </si>
  <si>
    <t>5faf3dc30f67d</t>
  </si>
  <si>
    <t>http://livequick-support133.azurewebsites.net/JArbZ98cFQJapCA/</t>
  </si>
  <si>
    <t>livequick-support098.azurewebsites.net</t>
  </si>
  <si>
    <t>5faf39ced7ece</t>
  </si>
  <si>
    <t>http://livequick-support098.azurewebsites.net/JArbZ98cFQJapCA/</t>
  </si>
  <si>
    <t>livequick-support083.azurewebsites.net</t>
  </si>
  <si>
    <t>5faf398dc7ae2</t>
  </si>
  <si>
    <t>http://livequick-support083.azurewebsites.net/JArbZ98cFQJapCA/</t>
  </si>
  <si>
    <t>livequick-support074.azurewebsites.net</t>
  </si>
  <si>
    <t>5faf395662d9c</t>
  </si>
  <si>
    <t>http://livequick-support074.azurewebsites.net/JArbZ98cFQJapCA/</t>
  </si>
  <si>
    <t>livequick-support113.azurewebsites.net</t>
  </si>
  <si>
    <t>5faad809af747</t>
  </si>
  <si>
    <t>https://livequick-support113.azurewebsites.net/VXJfzDqW2zqUqWz/</t>
  </si>
  <si>
    <t>quick-support073.azurewebsites.net</t>
  </si>
  <si>
    <t>5fa439b6795c4</t>
  </si>
  <si>
    <t>https://quick-support073.azurewebsites.net/KZPnhPzq8R8jHBD/</t>
  </si>
  <si>
    <t>quick-support053.azurewebsites.net</t>
  </si>
  <si>
    <t>5fa43886f199d</t>
  </si>
  <si>
    <t>https://quick-support053.azurewebsites.net/KZPnhPzq8R8jHBD/</t>
  </si>
  <si>
    <t>quick-support003.azurewebsites.net</t>
  </si>
  <si>
    <t>5fa2fceada9d7</t>
  </si>
  <si>
    <t>https://quick-support003.azurewebsites.net/UsvCPP4t5Gxga6T/</t>
  </si>
  <si>
    <t>livequickpcsupports18.azurewebsites.net</t>
  </si>
  <si>
    <t>5f984a241eac4</t>
  </si>
  <si>
    <t>https://livequickpcsupports18.azurewebsites.net/9GMEFgvzgTaEgPD/</t>
  </si>
  <si>
    <t>onecallhelpdesk13.azurewebsites.net</t>
  </si>
  <si>
    <t>5f7f3b230d672</t>
  </si>
  <si>
    <t>https://onecallhelpdesk13.azurewebsites.net/bUAnaP5Cp7yKmv4/</t>
  </si>
  <si>
    <t>onecallhelpdesk23.azurewebsites.net</t>
  </si>
  <si>
    <t>5f7f3aad2429f</t>
  </si>
  <si>
    <t>https://onecallhelpdesk23.azurewebsites.net/bUAnaP5Cp7yKmv4/</t>
  </si>
  <si>
    <t>bestgeekscare40.azurewebsites.net</t>
  </si>
  <si>
    <t>5f7b750f5cce4</t>
  </si>
  <si>
    <t>https://bestgeekscare40.azurewebsites.net/TZZsyhcrt2Wrbu9/</t>
  </si>
  <si>
    <t>freepchelponline13.azurewebsites.net</t>
  </si>
  <si>
    <t>5f60fd40ecfaa</t>
  </si>
  <si>
    <t>https://freepchelponline13.azurewebsites.net/ERDDrHjVfKbFJbQ/</t>
  </si>
  <si>
    <t>pconlinehelp163.azurewebsites.net</t>
  </si>
  <si>
    <t>5f6079bf6b1e2</t>
  </si>
  <si>
    <t>https://pconlinehelp163.azurewebsites.net/ERDDrHjVfKbFJbQ/</t>
  </si>
  <si>
    <t>pconlinehelp133.azurewebsites.net</t>
  </si>
  <si>
    <t>5f60794c40995</t>
  </si>
  <si>
    <t>https://pconlinehelp133.azurewebsites.net/ERDDrHjVfKbFJbQ/</t>
  </si>
  <si>
    <t>pconlinehelp93.azurewebsites.net</t>
  </si>
  <si>
    <t>5f5fd3dc8521e</t>
  </si>
  <si>
    <t>https://pconlinehelp93.azurewebsites.net/ERDDrHjVfKbFJbQ/</t>
  </si>
  <si>
    <t>pconlinehelp13.azurewebsites.net</t>
  </si>
  <si>
    <t>5f5f9b27a91f0</t>
  </si>
  <si>
    <t>https://pconlinehelp13.azurewebsites.net/ERDDrHjVfKbFJbQ/</t>
  </si>
  <si>
    <t>pchelpdesk52.azurewebsites.net</t>
  </si>
  <si>
    <t>5f5a58f329201</t>
  </si>
  <si>
    <t>https://pchelpdesk52.azurewebsites.net/garretttanners7d/</t>
  </si>
  <si>
    <t>pchelpdesk33.azurewebsites.net</t>
  </si>
  <si>
    <t>5f5a5875bf66b</t>
  </si>
  <si>
    <t>https://pchelpdesk33.azurewebsites.net/garretttanners7d/</t>
  </si>
  <si>
    <t>pchelpdesk13.azurewebsites.net</t>
  </si>
  <si>
    <t>5f5a57f24b99c</t>
  </si>
  <si>
    <t>https://pchelpdesk13.azurewebsites.net/garretttanners7d/</t>
  </si>
  <si>
    <t>pchelpdesk63.azurewebsites.net</t>
  </si>
  <si>
    <t>5f5a57d3c177b</t>
  </si>
  <si>
    <t>https://pchelpdesk63.azurewebsites.net/garretttanners7d/</t>
  </si>
  <si>
    <t>pchelpservices163.azurewebsites.net</t>
  </si>
  <si>
    <t>5f5932193a8d8</t>
  </si>
  <si>
    <t>https://pchelpservices163.azurewebsites.net/dawsonwhlerS7v/</t>
  </si>
  <si>
    <t>pchelpservices123.azurewebsites.net</t>
  </si>
  <si>
    <t>5f591c341ac67</t>
  </si>
  <si>
    <t>https://pchelpservices123.azurewebsites.net/garretttanners7d/</t>
  </si>
  <si>
    <t>pchelpservices93.azurewebsites.net</t>
  </si>
  <si>
    <t>5f5916dd5f088</t>
  </si>
  <si>
    <t>https://pchelpservices93.azurewebsites.net/dawsonwhlerS7v/</t>
  </si>
  <si>
    <t>pchelpservices73.azurewebsites.net</t>
  </si>
  <si>
    <t>5f591694a7d66</t>
  </si>
  <si>
    <t>https://pchelpservices73.azurewebsites.net/dawsonwhlerS7v/</t>
  </si>
  <si>
    <t>pchelpservices53.azurewebsites.net</t>
  </si>
  <si>
    <t>5f590d353f069</t>
  </si>
  <si>
    <t>https://pchelpservices53.azurewebsites.net/dawsonwhlerS7v/</t>
  </si>
  <si>
    <t>pchelpservices13.azurewebsites.net</t>
  </si>
  <si>
    <t>5f57ececd3f23</t>
  </si>
  <si>
    <t>https://pchelpservices13.azurewebsites.net/avfFeTpfJfSPuPx/</t>
  </si>
  <si>
    <t>pchelpsoft53.azurewebsites.net</t>
  </si>
  <si>
    <t>5f57c954a76a2</t>
  </si>
  <si>
    <t>http://pchelpsoft53.azurewebsites.net/Tk9xhaAV6AsWjBd//</t>
  </si>
  <si>
    <t>pchelpsoft23.azurewebsites.net</t>
  </si>
  <si>
    <t>5f57c914eda1c</t>
  </si>
  <si>
    <t>http://pchelpsoft23.azurewebsites.net/Tk9xhaAV6AsWjBd//</t>
  </si>
  <si>
    <t>pchelpsoft03.azurewebsites.net</t>
  </si>
  <si>
    <t>5f57c8e2b2582</t>
  </si>
  <si>
    <t>http://pchelpsoft03.azurewebsites.net/Tk9xhaAV6AsWjBd/</t>
  </si>
  <si>
    <t>callnow83.azurewebsites.net</t>
  </si>
  <si>
    <t>5f5287354cebe</t>
  </si>
  <si>
    <t>http://callnow83.azurewebsites.net/Mer-cado/</t>
  </si>
  <si>
    <t>callnow63.azurewebsites.net</t>
  </si>
  <si>
    <t>5f5286d731906</t>
  </si>
  <si>
    <t>http://callnow63.azurewebsites.net/Mer-cado/</t>
  </si>
  <si>
    <t>callnow43.azurewebsites.net</t>
  </si>
  <si>
    <t>5f528678e2d1c</t>
  </si>
  <si>
    <t>http://callnow43.azurewebsites.net/Mer-cado/</t>
  </si>
  <si>
    <t>callnow23.azurewebsites.net</t>
  </si>
  <si>
    <t>5f52861ab57a4</t>
  </si>
  <si>
    <t>http://callnow23.azurewebsites.net/Mer-cado/</t>
  </si>
  <si>
    <t>customerfreesupport93.azurewebsites.net</t>
  </si>
  <si>
    <t>5f4d5ba187a62</t>
  </si>
  <si>
    <t>https://customerfreesupport93.azurewebsites.net/HNhGpB5gbMdVDyb/</t>
  </si>
  <si>
    <t>freesupportcall20.azurewebsites.net</t>
  </si>
  <si>
    <t>5f4e72c429fb9</t>
  </si>
  <si>
    <t>http://freesupportcall20.azurewebsites.net/q5gCvYnz6kzKvgY/</t>
  </si>
  <si>
    <t>freesupport113.azurewebsites.net</t>
  </si>
  <si>
    <t>5f4c0e6c320c4</t>
  </si>
  <si>
    <t>http://freesupport113.azurewebsites.net/gHBW7zFVGjwcrjr/</t>
  </si>
  <si>
    <t>freesupport93.azurewebsites.net</t>
  </si>
  <si>
    <t>5f4c0e11f1d8c</t>
  </si>
  <si>
    <t>http://freesupport93.azurewebsites.net/gHBW7zFVGjwcrjr/</t>
  </si>
  <si>
    <t>freesupport63.azurewebsites.net</t>
  </si>
  <si>
    <t>5f4c0d7f73227</t>
  </si>
  <si>
    <t>http://freesupport63.azurewebsites.net/gHBW7zFVGjwcrjr/</t>
  </si>
  <si>
    <t>freesupport33.azurewebsites.net</t>
  </si>
  <si>
    <t>5f4c0cf286dcb</t>
  </si>
  <si>
    <t>http://freesupport33.azurewebsites.net/gHBW7zFVGjwcrjr/</t>
  </si>
  <si>
    <t>callnow-free133.azurewebsites.net</t>
  </si>
  <si>
    <t>5f4c0970499d8</t>
  </si>
  <si>
    <t>http://callnow-free133.azurewebsites.net/S9M5QFaca7VkHSt/</t>
  </si>
  <si>
    <t>callnow-free113.azurewebsites.net</t>
  </si>
  <si>
    <t>5f4c0913653c1</t>
  </si>
  <si>
    <t>http://callnow-free113.azurewebsites.net/S9M5QFaca7VkHSt/</t>
  </si>
  <si>
    <t>callnow-free93.azurewebsites.net</t>
  </si>
  <si>
    <t>5f4c08b6732e9</t>
  </si>
  <si>
    <t>http://callnow-free93.azurewebsites.net/S9M5QFaca7VkHSt/</t>
  </si>
  <si>
    <t>freesupport18.azurewebsites.net</t>
  </si>
  <si>
    <t>5f4ae52eaf933</t>
  </si>
  <si>
    <t>http://freesupport18.azurewebsites.net/gHBW7zFVGjwcrjr/</t>
  </si>
  <si>
    <t>freesupportservice147.azurewebsites.net</t>
  </si>
  <si>
    <t>5f4ad92b1d49d</t>
  </si>
  <si>
    <t>http://freesupportservice147.azurewebsites.net/vcCsfdvjFg4P5tp/</t>
  </si>
  <si>
    <t>freesupportservice123.azurewebsites.net</t>
  </si>
  <si>
    <t>5f4ad8d2a0668</t>
  </si>
  <si>
    <t>http://freesupportservice123.azurewebsites.net/vcCsfdvjFg4P5tp/</t>
  </si>
  <si>
    <t>freecallcaresupport93.azurewebsites.net</t>
  </si>
  <si>
    <t>5f4aa3e21b352</t>
  </si>
  <si>
    <t>http://freecallcaresupport93.azurewebsites.net/vTUPHmw6mhDcMgT/</t>
  </si>
  <si>
    <t>freecallcaresupport73.azurewebsites.net</t>
  </si>
  <si>
    <t>5f4aa386d140e</t>
  </si>
  <si>
    <t>http://freecallcaresupport73.azurewebsites.net/vTUPHmw6mhDcMgT/</t>
  </si>
  <si>
    <t>freecallcaresupport63.azurewebsites.net</t>
  </si>
  <si>
    <t>5f4aa35654597</t>
  </si>
  <si>
    <t>http://freecallcaresupport63.azurewebsites.net/vTUPHmw6mhDcMgT/</t>
  </si>
  <si>
    <t>freecallcaresupport33.azurewebsites.net</t>
  </si>
  <si>
    <t>5f4aa2d5c2c97</t>
  </si>
  <si>
    <t>http://freecallcaresupport33.azurewebsites.net/vTUPHmw6mhDcMgT/</t>
  </si>
  <si>
    <t>freecallcaresupport13.azurewebsites.net</t>
  </si>
  <si>
    <t>5f4aa279c2591</t>
  </si>
  <si>
    <t>http://freecallcaresupport13.azurewebsites.net/vTUPHmw6mhDcMgT/</t>
  </si>
  <si>
    <t>getfreesupport163.azurewebsites.net</t>
  </si>
  <si>
    <t>5f49768720dc1</t>
  </si>
  <si>
    <t>http://getfreesupport163.azurewebsites.net/gHBW7zFVGjwcrjr/</t>
  </si>
  <si>
    <t>getfreesupport113.azurewebsites.net</t>
  </si>
  <si>
    <t>5f49758d43544</t>
  </si>
  <si>
    <t>http://getfreesupport113.azurewebsites.net/gHBW7zFVGjwcrjr/</t>
  </si>
  <si>
    <t>freemaintenance113.azurewebsites.net</t>
  </si>
  <si>
    <t>5f495ee06449f</t>
  </si>
  <si>
    <t>http://freemaintenance113.azurewebsites.net/q5gCvYnz6kzKvgY/</t>
  </si>
  <si>
    <t>freemaintenance93.azurewebsites.net</t>
  </si>
  <si>
    <t>5f495e8fcf6e7</t>
  </si>
  <si>
    <t>http://freemaintenance93.azurewebsites.net/q5gCvYnz6kzKvgY/</t>
  </si>
  <si>
    <t>freemaintenance74.azurewebsites.net</t>
  </si>
  <si>
    <t>5f495e427a1ce</t>
  </si>
  <si>
    <t>http://freemaintenance74.azurewebsites.net/q5gCvYnz6kzKvgY/</t>
  </si>
  <si>
    <t>freemaintenance43.azurewebsites.net</t>
  </si>
  <si>
    <t>5f495dbf333ec</t>
  </si>
  <si>
    <t>http://freemaintenance43.azurewebsites.net/q5gCvYnz6kzKvgY/</t>
  </si>
  <si>
    <t>customercaresupport167.azurewebsites.net</t>
  </si>
  <si>
    <t>5f494743d04dc</t>
  </si>
  <si>
    <t>https://customercaresupport167.azurewebsites.net/HNhGpB5gbMdVDyb/</t>
  </si>
  <si>
    <t>customercaresupport173.azurewebsites.net</t>
  </si>
  <si>
    <t>5f49462aa3c5b</t>
  </si>
  <si>
    <t>https://customercaresupport173.azurewebsites.net/HNhGpB5gbMdVDyb/</t>
  </si>
  <si>
    <t>freemaintenance35.azurewebsites.net</t>
  </si>
  <si>
    <t>5f48b99beca86</t>
  </si>
  <si>
    <t>http://freemaintenance35.azurewebsites.net/q5gCvYnz6kzKvgY/</t>
  </si>
  <si>
    <t>freemaintenance15.azurewebsites.net</t>
  </si>
  <si>
    <t>5f48b971ccab8</t>
  </si>
  <si>
    <t>http://freemaintenance15.azurewebsites.net/q5gCvYnz6kzKvgY/</t>
  </si>
  <si>
    <t>carefreesupport03.azurewebsites.net</t>
  </si>
  <si>
    <t>5f4800f0c5b92</t>
  </si>
  <si>
    <t>http://carefreesupport03.azurewebsites.net/vcCsfdvjFg4P5tp/index.html</t>
  </si>
  <si>
    <t>getfreesupport183.azurewebsites.net</t>
  </si>
  <si>
    <t>5f47d50de94ce</t>
  </si>
  <si>
    <t>http://getfreesupport183.azurewebsites.net/atEdYhpx5ykF2Ru/</t>
  </si>
  <si>
    <t>getfreesupport13.azurewebsites.net</t>
  </si>
  <si>
    <t>5f47a5f24b7f7</t>
  </si>
  <si>
    <t>http://getfreesupport13.azurewebsites.net/Zcv6znVbFKDkXCy/</t>
  </si>
  <si>
    <t>computer53.azurewebsites.net</t>
  </si>
  <si>
    <t>5f479fe43f143</t>
  </si>
  <si>
    <t>http://computer53.azurewebsites.net/Belle-Plaine/</t>
  </si>
  <si>
    <t>computer45.azurewebsites.net</t>
  </si>
  <si>
    <t>5f479fb6a6b09</t>
  </si>
  <si>
    <t>http://computer45.azurewebsites.net/Belle-Plaine/</t>
  </si>
  <si>
    <t>checkup93.azurewebsites.net</t>
  </si>
  <si>
    <t>5f447a21a0ba6</t>
  </si>
  <si>
    <t>http://checkup93.azurewebsites.net/Kristy-Cortez/</t>
  </si>
  <si>
    <t>checkup83.azurewebsites.net</t>
  </si>
  <si>
    <t>5f4479d2176f6</t>
  </si>
  <si>
    <t>http://checkup83.azurewebsites.net/Kristy-Cortez/</t>
  </si>
  <si>
    <t>checkup23.azurewebsites.net</t>
  </si>
  <si>
    <t>5f4476fc3cf89</t>
  </si>
  <si>
    <t>http://checkup23.azurewebsites.net/Kristy-Cortez/</t>
  </si>
  <si>
    <t>getfreesupport93.azurewebsites.net</t>
  </si>
  <si>
    <t>5f4451eb594f9</t>
  </si>
  <si>
    <t>https://getfreesupport93.azurewebsites.net/atEdYhpx5ykF2Ru/</t>
  </si>
  <si>
    <t>getfreesupport63.azurewebsites.net</t>
  </si>
  <si>
    <t>5f4450980c393</t>
  </si>
  <si>
    <t>https://getfreesupport63.azurewebsites.net/atEdYhpx5ykF2Ru/</t>
  </si>
  <si>
    <t>callnow-free13.azurewebsites.net</t>
  </si>
  <si>
    <t>5f44493146d78</t>
  </si>
  <si>
    <t>https://callnow-free13.azurewebsites.net/Cortez/</t>
  </si>
  <si>
    <t>callnow-free16.azurewebsites.net</t>
  </si>
  <si>
    <t>5f4448dbadc72</t>
  </si>
  <si>
    <t>https://callnow-free16.azurewebsites.net/Cortez/</t>
  </si>
  <si>
    <t>freesupportservice13.azurewebsites.net</t>
  </si>
  <si>
    <t>5f4443136fe5f</t>
  </si>
  <si>
    <t>https://freesupportservice13.azurewebsites.net/8sx3ztC96XSvHKs/</t>
  </si>
  <si>
    <t>freesupportservice32.azurewebsites.net</t>
  </si>
  <si>
    <t>5f44423d40f34</t>
  </si>
  <si>
    <t>https://freesupportservice32.azurewebsites.net/8sx3ztC96XSvHKs/</t>
  </si>
  <si>
    <t>freesupportservice48.azurewebsites.net</t>
  </si>
  <si>
    <t>5f444183cb6eb</t>
  </si>
  <si>
    <t>https://freesupportservice48.azurewebsites.net/8sx3ztC96XSvHKs/</t>
  </si>
  <si>
    <t>freesupportservice98.azurewebsites.net</t>
  </si>
  <si>
    <t>5f44405242261</t>
  </si>
  <si>
    <t>https://freesupportservice98.azurewebsites.net/8sx3ztC96XSvHKs/</t>
  </si>
  <si>
    <t>freesupportservice82.azurewebsites.net</t>
  </si>
  <si>
    <t>5f443f8704545</t>
  </si>
  <si>
    <t>https://freesupportservice82.azurewebsites.net/8sx3ztC96XSvHKs/</t>
  </si>
  <si>
    <t>supportcall99.azurewebsites.net</t>
  </si>
  <si>
    <t>5f4102e685473</t>
  </si>
  <si>
    <t>http://supportcall99.azurewebsites.net/uDqsMhe3DbefYU9/</t>
  </si>
  <si>
    <t>checkup63.azurewebsites.net</t>
  </si>
  <si>
    <t>5f316372ddff4</t>
  </si>
  <si>
    <t>http://checkup63.azurewebsites.net/Mer-cado/</t>
  </si>
  <si>
    <t>computer73.azurewebsites.net</t>
  </si>
  <si>
    <t>5f3162eb8a0c7</t>
  </si>
  <si>
    <t>http://computer73.azurewebsites.net/Mer-cado/</t>
  </si>
  <si>
    <t>computer103.azurewebsites.net</t>
  </si>
  <si>
    <t>5f30d76497604</t>
  </si>
  <si>
    <t>http://computer103.azurewebsites.net/Belle-Plaine</t>
  </si>
  <si>
    <t>computer23.azurewebsites.net</t>
  </si>
  <si>
    <t>5f30d431c4d3b</t>
  </si>
  <si>
    <t>http://computer23.azurewebsites.net/Kristy-Cortez/</t>
  </si>
  <si>
    <t>callnow-free33.azurewebsites.net</t>
  </si>
  <si>
    <t>5f30d3a496580</t>
  </si>
  <si>
    <t>http://callnow-free33.azurewebsites.net/Cortez/</t>
  </si>
  <si>
    <t>callnow-free36.azurewebsites.net</t>
  </si>
  <si>
    <t>5f30d399c256c</t>
  </si>
  <si>
    <t>http://callnow-free36.azurewebsites.net/Cortez/</t>
  </si>
  <si>
    <t>berror13.azurewebsites.net</t>
  </si>
  <si>
    <t>5f17e84cc344d</t>
  </si>
  <si>
    <t>http://berror13.azurewebsites.net/Hampden-Way</t>
  </si>
  <si>
    <t>46.101.99.242</t>
  </si>
  <si>
    <t>5f1820932e9e7</t>
  </si>
  <si>
    <t>http://46.101.99.242/prior/Torer/</t>
  </si>
  <si>
    <t>coeryuu7-iu76uye.ga</t>
  </si>
  <si>
    <t>5f181d2dbc2f4</t>
  </si>
  <si>
    <t>https://coeryuu7-iu76uye.ga/prior/Torer/</t>
  </si>
  <si>
    <t>164.90.194.167</t>
  </si>
  <si>
    <t>5f181fc074e55</t>
  </si>
  <si>
    <t>http://164.90.194.167/77xxnoxx5xy/CHWInhelp10010101x</t>
  </si>
  <si>
    <t>sysupdation.online</t>
  </si>
  <si>
    <t>5f181d562fb17</t>
  </si>
  <si>
    <t>https://sysupdation.online/77xxnoxx5xy/SAMacHelp011010x/?site=</t>
  </si>
  <si>
    <t>104.131.36.116</t>
  </si>
  <si>
    <t>5f181f3d130fa</t>
  </si>
  <si>
    <t>http://104.131.36.116/SAMacHelp011010x/</t>
  </si>
  <si>
    <t>onlinejoggers.site</t>
  </si>
  <si>
    <t>5f181d88ed84f</t>
  </si>
  <si>
    <t>https://onlinejoggers.site/SAMacHelp011010x/</t>
  </si>
  <si>
    <t>security-alert-illegal-hacking-attempt-found-system-blocked-110.s3.am</t>
  </si>
  <si>
    <t>52.216.105.123</t>
  </si>
  <si>
    <t>5f18721c0b1ca</t>
  </si>
  <si>
    <t>https://security-alert-illegal-hacking-attempt-found-system-blocked-110.s3.amazonaws.com/chrome_win/index.htm</t>
  </si>
  <si>
    <t>onlinetranings.site</t>
  </si>
  <si>
    <t>68.183.62.3</t>
  </si>
  <si>
    <t>5f1874285e604</t>
  </si>
  <si>
    <t>https://onlinetranings.site/EDWInhelp10010101x/</t>
  </si>
  <si>
    <t>popupatch524.ml</t>
  </si>
  <si>
    <t>172.67.205.102</t>
  </si>
  <si>
    <t>5f187cc048ff7</t>
  </si>
  <si>
    <t>https://popupatch524.ml/Winsdasd0-sdsds0.hbd/XEDdhdsbfhgdfhdgfMKx/</t>
  </si>
  <si>
    <t>getlines.site</t>
  </si>
  <si>
    <t>164.90.153.94</t>
  </si>
  <si>
    <t>5f189b160c7aa</t>
  </si>
  <si>
    <t>https://getlines.site/77xxnoxx5xy/SAMacHelp011010x/?site=</t>
  </si>
  <si>
    <t>95.179.250.227</t>
  </si>
  <si>
    <t>5f189e72462e0</t>
  </si>
  <si>
    <t>http://95.179.250.227/MAdfdfdfdfdfdf-0fsdsd7/</t>
  </si>
  <si>
    <t>myaccountfr.site</t>
  </si>
  <si>
    <t>165.22.40.66</t>
  </si>
  <si>
    <t>5f194f3de1fd9</t>
  </si>
  <si>
    <t>https://myaccountfr.site/SAMacHelp011010x/</t>
  </si>
  <si>
    <t>5f19609be27e6</t>
  </si>
  <si>
    <t>http://165.22.40.66/EDWInhelp10010101x/</t>
  </si>
  <si>
    <t>micro-jkfkkfdkfkdkk.azurewebsites.net</t>
  </si>
  <si>
    <t>13.89.172.23</t>
  </si>
  <si>
    <t>5fcf8c3580fea</t>
  </si>
  <si>
    <t>http://micro-jkfkkfdkfkdkk.azurewebsites.net/</t>
  </si>
  <si>
    <t>micro-kdkcdakckdkcdkcd.azurewebsites.net</t>
  </si>
  <si>
    <t>5fcf8ba3cafda</t>
  </si>
  <si>
    <t>http://micro-kdkcdakckdkcdkcd.azurewebsites.net/</t>
  </si>
  <si>
    <t>livequick-support160.azurewebsites.net</t>
  </si>
  <si>
    <t>5faf3e40602e7</t>
  </si>
  <si>
    <t>http://livequick-support160.azurewebsites.net/JArbZ98cFQJapCA/</t>
  </si>
  <si>
    <t>callsupport079.azurewebsites.net</t>
  </si>
  <si>
    <t>5fa2f0b2a81cc</t>
  </si>
  <si>
    <t>https://callsupport079.azurewebsites.net/UsvCPP4t5Gxga6T/</t>
  </si>
  <si>
    <t>helpbygeekexperts15.azurewebsites.net</t>
  </si>
  <si>
    <t>5f7ded56afb81</t>
  </si>
  <si>
    <t>https://helpbygeekexperts15.azurewebsites.net/7mXVCUNqjvYHSbG/</t>
  </si>
  <si>
    <t>livehelpsupport96.azurewebsites.net</t>
  </si>
  <si>
    <t>5f74e9a56e1c8</t>
  </si>
  <si>
    <t>http://livehelpsupport96.azurewebsites.net/P8fBTPd33cqy3WA/</t>
  </si>
  <si>
    <t>5f6ce59d85115</t>
  </si>
  <si>
    <t>https://freepchelp86.azurewebsites.net/qbNJp4SCuce6BQh/</t>
  </si>
  <si>
    <t>freecomputersupport86.azurewebsites.net</t>
  </si>
  <si>
    <t>5f6af736822a7</t>
  </si>
  <si>
    <t>https://freecomputersupport86.azurewebsites.net/PjY6bTgrEnuKddE/</t>
  </si>
  <si>
    <t>freecomputersupport16.azurewebsites.net</t>
  </si>
  <si>
    <t>5f6a3ce321770</t>
  </si>
  <si>
    <t>https://freecomputersupport16.azurewebsites.net/PjY6bTgrEnuKddE/</t>
  </si>
  <si>
    <t>freecomputerhelp47.azurewebsites.net</t>
  </si>
  <si>
    <t>5f699f2f4e3d0</t>
  </si>
  <si>
    <t>https://freecomputerhelp47.azurewebsites.net/R7tcvkAFdAwS4B4</t>
  </si>
  <si>
    <t>freecomputerhelp60.azurewebsites.net</t>
  </si>
  <si>
    <t>5f699f053d371</t>
  </si>
  <si>
    <t>https://freecomputerhelp60.azurewebsites.net/R7tcvkAFdAwS4B4</t>
  </si>
  <si>
    <t>us-12331.azurewebsites.net</t>
  </si>
  <si>
    <t>5f6342785a084</t>
  </si>
  <si>
    <t>https://us-12331.azurewebsites.net/XMCdhdsbfMShgdfhdgfHDMSh/index.html</t>
  </si>
  <si>
    <t>freepchelp96.azurewebsites.net</t>
  </si>
  <si>
    <t>5f6246f078914</t>
  </si>
  <si>
    <t>https://freepchelp96.azurewebsites.net/TxHTvPq9EFWfwjb/</t>
  </si>
  <si>
    <t>freepchelp116.azurewebsites.net</t>
  </si>
  <si>
    <t>5f6246bb047ce</t>
  </si>
  <si>
    <t>https://freepchelp116.azurewebsites.net/TxHTvPq9EFWfwjb/</t>
  </si>
  <si>
    <t>freepchelp131.azurewebsites.net</t>
  </si>
  <si>
    <t>5f62468c699f7</t>
  </si>
  <si>
    <t>https://freepchelp131.azurewebsites.net/TxHTvPq9EFWfwjb/</t>
  </si>
  <si>
    <t>ho0399843-rt.azurewebsites.net</t>
  </si>
  <si>
    <t>5f5f8182056a5</t>
  </si>
  <si>
    <t>http://ho0399843-rt.azurewebsites.net/chmx/</t>
  </si>
  <si>
    <t>mc02-99736562.azurewebsites.net</t>
  </si>
  <si>
    <t>5f5c9f3ab72ff</t>
  </si>
  <si>
    <t>http://mc02-99736562.azurewebsites.net/chmx</t>
  </si>
  <si>
    <t>pchelpdesk70.azurewebsites.net</t>
  </si>
  <si>
    <t>5f5a5b6f14559</t>
  </si>
  <si>
    <t>https://pchelpdesk70.azurewebsites.net/garretttanners7d/</t>
  </si>
  <si>
    <t>pchelpservices86.azurewebsites.net</t>
  </si>
  <si>
    <t>5f5916c3b22eb</t>
  </si>
  <si>
    <t>https://pchelpservices86.azurewebsites.net/dawsonwhlerS7v/</t>
  </si>
  <si>
    <t>so394-99483.azurewebsites.net</t>
  </si>
  <si>
    <t>5f57b7867fdf7</t>
  </si>
  <si>
    <t>http://so394-99483.azurewebsites.net/chmx/</t>
  </si>
  <si>
    <t>5f57b78653ebc</t>
  </si>
  <si>
    <t>http://mc02-99736562.azurewebsites.net/chmx/</t>
  </si>
  <si>
    <t>b84998594-e2.azurewebsites.net</t>
  </si>
  <si>
    <t>5f55291ef0587</t>
  </si>
  <si>
    <t>http://b84998594-e2.azurewebsites.net/chmx/</t>
  </si>
  <si>
    <t>ja12322890-4.azurewebsites.net</t>
  </si>
  <si>
    <t>5f55290d9e5a5</t>
  </si>
  <si>
    <t>http://ja12322890-4.azurewebsites.net/chmx/</t>
  </si>
  <si>
    <t>f47830-rk3.azurewebsites.net</t>
  </si>
  <si>
    <t>5f5528ea08884</t>
  </si>
  <si>
    <t>http://f47830-rk3.azurewebsites.net/chmx/</t>
  </si>
  <si>
    <t>gm4-394893q.azurewebsites.net</t>
  </si>
  <si>
    <t>5f5528e6dfa69</t>
  </si>
  <si>
    <t>http://gm4-394893q.azurewebsites.net/chmx/</t>
  </si>
  <si>
    <t>kl2-4489023e.azurewebsites.net</t>
  </si>
  <si>
    <t>5f5528e3895df</t>
  </si>
  <si>
    <t>http://kl2-4489023e.azurewebsites.net/chmx/</t>
  </si>
  <si>
    <t>qk9-298372.azurewebsites.net</t>
  </si>
  <si>
    <t>5f5528e08c186</t>
  </si>
  <si>
    <t>http://qk9-298372.azurewebsites.net/chmx/</t>
  </si>
  <si>
    <t>bt4-3338472.azurewebsites.net</t>
  </si>
  <si>
    <t>5f5528d951f4a</t>
  </si>
  <si>
    <t>http://bt4-3338472.azurewebsites.net/chmx/</t>
  </si>
  <si>
    <t>vl203982-33.azurewebsites.net</t>
  </si>
  <si>
    <t>5f5528d5c72b3</t>
  </si>
  <si>
    <t>http://vl203982-33.azurewebsites.net/chmx/</t>
  </si>
  <si>
    <t>asgshgahg1.azurewebsites.net</t>
  </si>
  <si>
    <t>5f5528cd25332</t>
  </si>
  <si>
    <t>http://asgshgahg1.azurewebsites.net/ched/</t>
  </si>
  <si>
    <t>frw928-474839z.azurewebsites.net</t>
  </si>
  <si>
    <t>5f4e846def525</t>
  </si>
  <si>
    <t>http://frw928-474839z.azurewebsites.net/chmx/</t>
  </si>
  <si>
    <t>fx39-4758493h.azurewebsites.net</t>
  </si>
  <si>
    <t>5f4e845fbfcce</t>
  </si>
  <si>
    <t>http://fx39-4758493h.azurewebsites.net/chmx/</t>
  </si>
  <si>
    <t>rf-49548992q.azurewebsites.net</t>
  </si>
  <si>
    <t>5f4e84302de23</t>
  </si>
  <si>
    <t>http://rf-49548992q.azurewebsites.net/chmx/</t>
  </si>
  <si>
    <t>br9-49585826.azurewebsites.net</t>
  </si>
  <si>
    <t>5f4e841fcd638</t>
  </si>
  <si>
    <t>http://br9-49585826.azurewebsites.net/chmx/</t>
  </si>
  <si>
    <t>customercaresupport86.azurewebsites.net</t>
  </si>
  <si>
    <t>5f4aa1868550b</t>
  </si>
  <si>
    <t>http://customercaresupport86.azurewebsites.net/vcCsfdvjFg4P5tp/</t>
  </si>
  <si>
    <t>getfreesupport137.azurewebsites.net</t>
  </si>
  <si>
    <t>5f4976063b775</t>
  </si>
  <si>
    <t>http://getfreesupport137.azurewebsites.net/gHBW7zFVGjwcrjr/</t>
  </si>
  <si>
    <t>customercaresupport186.azurewebsites.net</t>
  </si>
  <si>
    <t>5f49476daa047</t>
  </si>
  <si>
    <t>https://customercaresupport186.azurewebsites.net/HNhGpB5gbMdVDyb/</t>
  </si>
  <si>
    <t>computer30.azurewebsites.net</t>
  </si>
  <si>
    <t>5f479f5c0cfdf</t>
  </si>
  <si>
    <t>http://computer30.azurewebsites.net/Belle-Plaine/</t>
  </si>
  <si>
    <t>callnow-free27.azurewebsites.net</t>
  </si>
  <si>
    <t>5f4449f76440f</t>
  </si>
  <si>
    <t>https://callnow-free27.azurewebsites.net/Cortez/</t>
  </si>
  <si>
    <t>service-root1-webflow-secure.azurewebsites.net</t>
  </si>
  <si>
    <t>5f4151b1b2ed6</t>
  </si>
  <si>
    <t>https://service-root1-webflow-secure.azurewebsites.net/Dedfdfdfdfd777Msink/</t>
  </si>
  <si>
    <t>freesupportservices30.azurewebsites.net</t>
  </si>
  <si>
    <t>5f414e3311652</t>
  </si>
  <si>
    <t>http://freesupportservices30.azurewebsites.net/hjgc8ZyvhhgkFt5/</t>
  </si>
  <si>
    <t>computer117.azurewebsites.net</t>
  </si>
  <si>
    <t>5f30d6751600b</t>
  </si>
  <si>
    <t>http://computer117.azurewebsites.net/Belle-Plaine</t>
  </si>
  <si>
    <t>xerror24.azurewebsites.net</t>
  </si>
  <si>
    <t>5f1961ad8d54c</t>
  </si>
  <si>
    <t>http://xerror24.azurewebsites.net/Tucker-GA/</t>
  </si>
  <si>
    <t>xerror55.azurewebsites.net</t>
  </si>
  <si>
    <t>5f18ac1b050ea</t>
  </si>
  <si>
    <t>https://xerror55.azurewebsites.net/Hampden-Way/</t>
  </si>
  <si>
    <t>360news-update.xyz</t>
  </si>
  <si>
    <t>185.201.11.145</t>
  </si>
  <si>
    <t>5f523e948b0a5</t>
  </si>
  <si>
    <t>http://360news-update.xyz/Chdsdsdasdasdasdad13123123/</t>
  </si>
  <si>
    <t>kensaku.space</t>
  </si>
  <si>
    <t>5f19c89fa92be</t>
  </si>
  <si>
    <t>http://kensaku.space/CH100101010110xGK/</t>
  </si>
  <si>
    <t>weather-update.xyz</t>
  </si>
  <si>
    <t>5f19b7f5ab45b</t>
  </si>
  <si>
    <t>http://weather-update.xyz/Chdsdsdasdasdasdad13123123/</t>
  </si>
  <si>
    <t>pornygirls.com</t>
  </si>
  <si>
    <t>107.180.41.151</t>
  </si>
  <si>
    <t>5f2493fb05f36</t>
  </si>
  <si>
    <t>http://pornygirls.com/xpvtrdhgexwet/yzwqpkmydrzvs/EDWInhelp100VWIN10101AW/</t>
  </si>
  <si>
    <t>chathotgirls.com</t>
  </si>
  <si>
    <t>5f2304e4f21d6</t>
  </si>
  <si>
    <t>http://chathotgirls.com/XPD879qyaskuyt127/BGTS8ahtab79AP/GEtayus76a7suoabz/?zoneid=103738&amp;amp;browser=Unknown&amp;amp;bannerid=1132855&amp;amp;os=Windows&amp;amp;co</t>
  </si>
  <si>
    <t>5f20c20c03393</t>
  </si>
  <si>
    <t>http://pornygirls.com/alertxx/errorxx/XYP640Ytsbaksitadhtag89YF/</t>
  </si>
  <si>
    <t>www.pornhuss.com</t>
  </si>
  <si>
    <t>5f19c78d20c60</t>
  </si>
  <si>
    <t>http://www.pornhuss.com/XYP640Ytsbaksitadhtag89YF/</t>
  </si>
  <si>
    <t>allocated584.ml</t>
  </si>
  <si>
    <t>104.27.139.41</t>
  </si>
  <si>
    <t>5f19cbba073a1</t>
  </si>
  <si>
    <t>https://allocated584.ml/Winfdfd-dfd0.bvc/XEDdhdsbfhgdfhdgfMKx/</t>
  </si>
  <si>
    <t>Greenville</t>
  </si>
  <si>
    <t>weather360.xyz</t>
  </si>
  <si>
    <t>HOSTINGER US</t>
  </si>
  <si>
    <t>31.170.161.24</t>
  </si>
  <si>
    <t>5f54fc0b3dcad</t>
  </si>
  <si>
    <t>http://weather360.xyz/Chdsdsdasdasdasdad13123123/</t>
  </si>
  <si>
    <t>weatherinfo.cf</t>
  </si>
  <si>
    <t>5f29a4e7b9f98</t>
  </si>
  <si>
    <t>http://weatherinfo.cf/ched/</t>
  </si>
  <si>
    <t>tastytreats.xyz</t>
  </si>
  <si>
    <t>5f19cf06b5b7b</t>
  </si>
  <si>
    <t>http://tastytreats.xyz/Chdsdsdasdasdasdad13123123/</t>
  </si>
  <si>
    <t>157.245.241.225</t>
  </si>
  <si>
    <t>5f19d0585e391</t>
  </si>
  <si>
    <t>http://157.245.241.225/23win_macv/EDWInhelp100dw10101xVJx/</t>
  </si>
  <si>
    <t>167.172.151.36</t>
  </si>
  <si>
    <t>5f19ffd7a2ca1</t>
  </si>
  <si>
    <t>http://167.172.151.36/Ed10010110xyMS/</t>
  </si>
  <si>
    <t>142.93.183.120</t>
  </si>
  <si>
    <t>5f1b0caa3296b</t>
  </si>
  <si>
    <t>http://142.93.183.120/CHWInhelp10010101x/</t>
  </si>
  <si>
    <t>myaccountshg.site</t>
  </si>
  <si>
    <t>5f1ad4ce46ab5</t>
  </si>
  <si>
    <t>https://myaccountshg.site/SAMacHelp011010x/</t>
  </si>
  <si>
    <t>mouer-87hr.ml</t>
  </si>
  <si>
    <t>206.189.225.28</t>
  </si>
  <si>
    <t>5f1ad4e15479b</t>
  </si>
  <si>
    <t>https://mouer-87hr.ml/nord/nord/</t>
  </si>
  <si>
    <t>104.131.44.27</t>
  </si>
  <si>
    <t>5f1b0d1972b90</t>
  </si>
  <si>
    <t>http://104.131.44.27/77xxnoxx5xy/SAMacHelp011010x/</t>
  </si>
  <si>
    <t>getline.online</t>
  </si>
  <si>
    <t>5f1ad508a03bc</t>
  </si>
  <si>
    <t>https://getline.online/77xxnoxx5xy/SAMacHelp011010x/?site=</t>
  </si>
  <si>
    <t>outputdata584.ml</t>
  </si>
  <si>
    <t>104.31.73.55</t>
  </si>
  <si>
    <t>5f1ad55ec9aeb</t>
  </si>
  <si>
    <t>https://outputdata584.ml/Wixczxc0-zsdsc0.jdc/Mafsdfsdfsddsds90/</t>
  </si>
  <si>
    <t>104.131.30.181</t>
  </si>
  <si>
    <t>5f1b0ee0a7d1f</t>
  </si>
  <si>
    <t>http://104.131.30.181/OldAt0150/ieAT/</t>
  </si>
  <si>
    <t>toerpor-oiudiu78.tk</t>
  </si>
  <si>
    <t>5f1afc268950c</t>
  </si>
  <si>
    <t>https://toerpor-oiudiu78.tk/OldAt0150/ieAT/</t>
  </si>
  <si>
    <t>www.lips.linkpc.net</t>
  </si>
  <si>
    <t>161.35.106.245</t>
  </si>
  <si>
    <t>5f1b4cc724d54</t>
  </si>
  <si>
    <t>http://www.lips.linkpc.net/Ed10010110xyMS/</t>
  </si>
  <si>
    <t>lips.linkpc.net</t>
  </si>
  <si>
    <t>5f1b4cc2a376a</t>
  </si>
  <si>
    <t>http://lips.linkpc.net/Ed10010110xyMS/</t>
  </si>
  <si>
    <t>www.thinkingaboutmysense.com</t>
  </si>
  <si>
    <t>5f1b49fc8e48c</t>
  </si>
  <si>
    <t>http://www.thinkingaboutmysense.com/MChxMS/</t>
  </si>
  <si>
    <t>www.utf87g98tuig98.linkpc.net</t>
  </si>
  <si>
    <t>5f1b499528777</t>
  </si>
  <si>
    <t>http://www.utf87g98tuig98.linkpc.net/Ed10010110xyMS/</t>
  </si>
  <si>
    <t>miospd.linkpc.net</t>
  </si>
  <si>
    <t>5f1b48e6a3b41</t>
  </si>
  <si>
    <t>http://miospd.linkpc.net/MSaxMS/</t>
  </si>
  <si>
    <t>khawab1.linkpc.net</t>
  </si>
  <si>
    <t>5f1b48a03ab2d</t>
  </si>
  <si>
    <t>http://khawab1.linkpc.net/Ch10010110xyMS/</t>
  </si>
  <si>
    <t>utf87g98tuig98.linkpc.net</t>
  </si>
  <si>
    <t>5f1b488f327d0</t>
  </si>
  <si>
    <t>http://utf87g98tuig98.linkpc.net/Ch10010110xyMS/</t>
  </si>
  <si>
    <t>www.78hhyuu.linkpc.net</t>
  </si>
  <si>
    <t>5f1b48826aa08</t>
  </si>
  <si>
    <t>http://www.78hhyuu.linkpc.net/Ch10010110xyMS/</t>
  </si>
  <si>
    <t>thinkingaboutmysense.com</t>
  </si>
  <si>
    <t>5f1b487530881</t>
  </si>
  <si>
    <t>http://thinkingaboutmysense.com/Ch10010110xyMS/</t>
  </si>
  <si>
    <t>5f1b4839be2a5</t>
  </si>
  <si>
    <t>http://161.35.106.245/Ed10010110xyMS/</t>
  </si>
  <si>
    <t>poips.linkpc.net</t>
  </si>
  <si>
    <t>5f1b4c77e6dbc</t>
  </si>
  <si>
    <t>http://poips.linkpc.net/MSaxMS/</t>
  </si>
  <si>
    <t>www.miospd.linkpc.net</t>
  </si>
  <si>
    <t>5f1b48f22ac44</t>
  </si>
  <si>
    <t>http://www.miospd.linkpc.net/IE10010110xyMS/</t>
  </si>
  <si>
    <t>www.poips.linkpc.net</t>
  </si>
  <si>
    <t>5f1b4c83352b4</t>
  </si>
  <si>
    <t>http://www.poips.linkpc.net/MChxMS/</t>
  </si>
  <si>
    <t>hjasd.linkpc.net</t>
  </si>
  <si>
    <t>5f1b4be14d3f3</t>
  </si>
  <si>
    <t>http://hjasd.linkpc.net/Ch10010110xyMS/</t>
  </si>
  <si>
    <t>mansd.linkpc.net</t>
  </si>
  <si>
    <t>5f1b4c1faa91f</t>
  </si>
  <si>
    <t>http://mansd.linkpc.net/Ch10010110xyMS/</t>
  </si>
  <si>
    <t>datamining435.cf</t>
  </si>
  <si>
    <t>172.67.199.148</t>
  </si>
  <si>
    <t>5f1bdce97dd1d</t>
  </si>
  <si>
    <t>https://datamining435.cf/Dsdfsfs0-sdfsdf0.vdb/MA100101010XCDH/</t>
  </si>
  <si>
    <t>iteration033.ga</t>
  </si>
  <si>
    <t>172.67.138.228</t>
  </si>
  <si>
    <t>5f1bdd409230b</t>
  </si>
  <si>
    <t>https://iteration033.ga/Dasdad0-dsdsfsd0.ydf/MA100101010XCDH/</t>
  </si>
  <si>
    <t>yyyyyy-utti-uttam-xxxxx.ml</t>
  </si>
  <si>
    <t>64.225.120.97</t>
  </si>
  <si>
    <t>5f1be16dd9470</t>
  </si>
  <si>
    <t>https://yyyyyy-utti-uttam-xxxxx.ml/alert/0WMAfdfdfdfddfd0099900YN/</t>
  </si>
  <si>
    <t>dwhfejobjcdsicsncen3889484.cf</t>
  </si>
  <si>
    <t>5f1b3cc4c9b34</t>
  </si>
  <si>
    <t>https://dwhfejobjcdsicsncen3889484.cf/alert/0WCHfdfdfdfddfd0099900YN/</t>
  </si>
  <si>
    <t>yyyyyy-utti-uttam-xxxxx.gq</t>
  </si>
  <si>
    <t>5f1b30ffec416</t>
  </si>
  <si>
    <t>https://yyyyyy-utti-uttam-xxxxx.gq/alert/0WCHfdfdfdfddfd0099900YN/</t>
  </si>
  <si>
    <t>5f1b30d8ba797</t>
  </si>
  <si>
    <t>https://yyyyyy-utti-uttam-xxxxx.ml/alert/0WCHfdfdfdfddfd0099900YN/</t>
  </si>
  <si>
    <t>opiusdfmnb98823.cf</t>
  </si>
  <si>
    <t>5f1b30866bb62</t>
  </si>
  <si>
    <t>https://opiusdfmnb98823.cf/alert/0WMAfdfdfdfddfd0099900YN/</t>
  </si>
  <si>
    <t>opiusdfmnb98823.gq</t>
  </si>
  <si>
    <t>5f1b30657d86e</t>
  </si>
  <si>
    <t>https://opiusdfmnb98823.gq/alert/0WMAfdfdfdfddfd0099900YN/</t>
  </si>
  <si>
    <t>unhealthyproblems365.gq</t>
  </si>
  <si>
    <t>5f1b3049d059c</t>
  </si>
  <si>
    <t>https://unhealthyproblems365.gq/alert/0WMAfdfdfdfddfd0099900YN/</t>
  </si>
  <si>
    <t>opiusdfmnb98823.ml</t>
  </si>
  <si>
    <t>5f1b30135098b</t>
  </si>
  <si>
    <t>https://opiusdfmnb98823.ml/alert/0WMAfdfdfdfddfd0099900YN/</t>
  </si>
  <si>
    <t>opiusdfmnb98823.ga</t>
  </si>
  <si>
    <t>5f1b2feb23f86</t>
  </si>
  <si>
    <t>https://opiusdfmnb98823.ga/alert/0WMAfdfdfdfddfd0099900YN/</t>
  </si>
  <si>
    <t>yyyyyy-utti-uttam-xxxxx.ga</t>
  </si>
  <si>
    <t>5f1b2f6948c4e</t>
  </si>
  <si>
    <t>https://yyyyyy-utti-uttam-xxxxx.ga/alert/0WCHfdfdfdfddfd0099900YN/</t>
  </si>
  <si>
    <t>5f1b2f42c0752</t>
  </si>
  <si>
    <t>https://dwhfejobjcdsicsncen3889484.cf/alert/0WMAfdfdfdfddfd0099900YN/</t>
  </si>
  <si>
    <t>dwhfejobjcdsicsncen3889484.gq</t>
  </si>
  <si>
    <t>5f1b2f2c51a13</t>
  </si>
  <si>
    <t>https://dwhfejobjcdsicsncen3889484.gq/alert/0WMAfdfdfdfddfd0099900YN/</t>
  </si>
  <si>
    <t>dwhfejobjcdsicsncen3889484.ml</t>
  </si>
  <si>
    <t>5f1b2ee7bcb05</t>
  </si>
  <si>
    <t>https://dwhfejobjcdsicsncen3889484.ml/alert/0WMAfdfdfdfddfd0099900YN/</t>
  </si>
  <si>
    <t>yyyyyy-utti-uttam-xxxxx.cf</t>
  </si>
  <si>
    <t>5f1b2c02a672a</t>
  </si>
  <si>
    <t>https://yyyyyy-utti-uttam-xxxxx.cf/alert/0WCHfdfdfdfddfd0099900YN/</t>
  </si>
  <si>
    <t>unhealthyproblems365.cf</t>
  </si>
  <si>
    <t>5f1b2b9e9a3ec</t>
  </si>
  <si>
    <t>https://unhealthyproblems365.cf/alert/0WCHfdfdfdfddfd0099900YN/</t>
  </si>
  <si>
    <t>5f1b14bfd03eb</t>
  </si>
  <si>
    <t>https://opiusdfmnb98823.ga/alert/0WCHfdfdfdfddfd0099900YN/</t>
  </si>
  <si>
    <t>implement452.ml</t>
  </si>
  <si>
    <t>172.67.164.179</t>
  </si>
  <si>
    <t>5f1b16f570272</t>
  </si>
  <si>
    <t>https://implement452.ml/Wcscs0-ssdfs0.bvs/ED100101010XCDH/</t>
  </si>
  <si>
    <t>laggissue853.cf</t>
  </si>
  <si>
    <t>172.67.208.193</t>
  </si>
  <si>
    <t>5f1b1a00218bf</t>
  </si>
  <si>
    <t>https://laggissue853.cf/Dsadd0sdf-dsfsd0sdf.gbs/ED100101010XCDH/</t>
  </si>
  <si>
    <t>implement543.cf</t>
  </si>
  <si>
    <t>104.27.141.212</t>
  </si>
  <si>
    <t>5f1b1aad9d1c5</t>
  </si>
  <si>
    <t>https://implement543.cf/Dfsdf-0dsfs0f0.vcd/XEDdhdsbfhgdfhdgfMKx/</t>
  </si>
  <si>
    <t>totalizer466.ml</t>
  </si>
  <si>
    <t>172.67.142.232</t>
  </si>
  <si>
    <t>Cambodia</t>
  </si>
  <si>
    <t>5f1b20d4a0114</t>
  </si>
  <si>
    <t>https://totalizer466.ml/Fsfsfg0f-dfgdg0g.ujs/XEDdhdsbfhgdfhdgfMKx/</t>
  </si>
  <si>
    <t>encryption439.ml</t>
  </si>
  <si>
    <t>104.18.47.147</t>
  </si>
  <si>
    <t>5f1b2e90b45ce</t>
  </si>
  <si>
    <t>https://encryption439.ml/Sdsfsdf0fd-fsdsf0.bve/SSMAffssfdfdfdfd007/</t>
  </si>
  <si>
    <t>firmware454.ml</t>
  </si>
  <si>
    <t>172.67.189.153</t>
  </si>
  <si>
    <t>5f1b3e3c781ea</t>
  </si>
  <si>
    <t>https://firmware454.ml/Wdsds0ssd-fsdfs0.nbv/ED100101010XCDH/</t>
  </si>
  <si>
    <t>steven.waveform.com</t>
  </si>
  <si>
    <t>159.89.135.28</t>
  </si>
  <si>
    <t>5f1b46e4f0914</t>
  </si>
  <si>
    <t>http://steven.waveform.com/chrome-21july-2020/?phone=+1-(888)-530-8132&amp;amp;&amp;amp;</t>
  </si>
  <si>
    <t>debugbase543.ga</t>
  </si>
  <si>
    <t>104.27.143.91</t>
  </si>
  <si>
    <t>5f1b5035d76ca</t>
  </si>
  <si>
    <t>https://debugbase543.ga/Wdfdfsd0-dfsdf0.hnb/ED100101010XCDH/</t>
  </si>
  <si>
    <t>allocated965.ga</t>
  </si>
  <si>
    <t>172.67.197.190</t>
  </si>
  <si>
    <t>5f1b5cceb9ad1</t>
  </si>
  <si>
    <t>https://allocated965.ga/Call_Microsoft_windows_Helpline250704/EDfdfdfdfd_AK/</t>
  </si>
  <si>
    <t>liveonlinepchelp30.azurewebsites.net</t>
  </si>
  <si>
    <t>104.214.20.0</t>
  </si>
  <si>
    <t>5f737837b9fd5</t>
  </si>
  <si>
    <t>https://liveonlinepchelp30.azurewebsites.net/6Yeqm5nqUDDNFgk/</t>
  </si>
  <si>
    <t>liveonlinepchelp39.azurewebsites.net</t>
  </si>
  <si>
    <t>5f7378237e67e</t>
  </si>
  <si>
    <t>https://liveonlinepchelp39.azurewebsites.net/6Yeqm5nqUDDNFgk/</t>
  </si>
  <si>
    <t>liveonlinepchelp16.azurewebsites.net</t>
  </si>
  <si>
    <t>5f735a72b9175</t>
  </si>
  <si>
    <t>https://liveonlinepchelp16.azurewebsites.net/6Yeqm5nqUDDNFgk/</t>
  </si>
  <si>
    <t>freepchelp186.azurewebsites.net</t>
  </si>
  <si>
    <t>5f6e48615a050</t>
  </si>
  <si>
    <t>https://freepchelp186.azurewebsites.net/uGM5D6wZ9V5J5RY/</t>
  </si>
  <si>
    <t>freepchelp76.azurewebsites.net</t>
  </si>
  <si>
    <t>5f6d8fb7079f6</t>
  </si>
  <si>
    <t>https://freepchelp76.azurewebsites.net/qbNJp4SCuce6BQh/</t>
  </si>
  <si>
    <t>freecomputerhelp70.azurewebsites.net</t>
  </si>
  <si>
    <t>5f699ef1782d3</t>
  </si>
  <si>
    <t>https://freecomputerhelp70.azurewebsites.net/R7tcvkAFdAwS4B4</t>
  </si>
  <si>
    <t>freecomputerhelp169.azurewebsites.net</t>
  </si>
  <si>
    <t>5f699e8853679</t>
  </si>
  <si>
    <t>https://freecomputerhelp169.azurewebsites.net/R7tcvkAFdAwS4B4</t>
  </si>
  <si>
    <t>freecomputerhelp137.azurewebsites.net</t>
  </si>
  <si>
    <t>5f699e2e83c88</t>
  </si>
  <si>
    <t>https://freecomputerhelp137.azurewebsites.net/R7tcvkAFdAwS4B4</t>
  </si>
  <si>
    <t>freecomputerhelp119.azurewebsites.net</t>
  </si>
  <si>
    <t>5f699e0431857</t>
  </si>
  <si>
    <t>https://freecomputerhelp119.azurewebsites.net/R7tcvkAFdAwS4B4</t>
  </si>
  <si>
    <t>freecomputerhelp106.azurewebsites.net</t>
  </si>
  <si>
    <t>5f699de685175</t>
  </si>
  <si>
    <t>https://freecomputerhelp106.azurewebsites.net/R7tcvkAFdAwS4B4</t>
  </si>
  <si>
    <t>freecomputerhelp100.azurewebsites.net</t>
  </si>
  <si>
    <t>5f699de0e7244</t>
  </si>
  <si>
    <t>https://freecomputerhelp100.azurewebsites.net/R7tcvkAFdAwS4B4</t>
  </si>
  <si>
    <t>freepchelponline21.azurewebsites.net</t>
  </si>
  <si>
    <t>5f6102f279b29</t>
  </si>
  <si>
    <t>https://freepchelponline21.azurewebsites.net/ERDDrHjVfKbFJbQ/</t>
  </si>
  <si>
    <t>freepchelponline10.azurewebsites.net</t>
  </si>
  <si>
    <t>5f60f96db3ddf</t>
  </si>
  <si>
    <t>https://freepchelponline10.azurewebsites.net/ERDDrHjVfKbFJbQ/</t>
  </si>
  <si>
    <t>pconlinehelp160.azurewebsites.net</t>
  </si>
  <si>
    <t>5f6079b56e1f5</t>
  </si>
  <si>
    <t>https://pconlinehelp160.azurewebsites.net/ERDDrHjVfKbFJbQ/</t>
  </si>
  <si>
    <t>pconlinehelp110.azurewebsites.net</t>
  </si>
  <si>
    <t>5f6079864ef5b</t>
  </si>
  <si>
    <t>https://pconlinehelp110.azurewebsites.net/ERDDrHjVfKbFJbQ/</t>
  </si>
  <si>
    <t>pconlinehelp120.azurewebsites.net</t>
  </si>
  <si>
    <t>5f607971b14a5</t>
  </si>
  <si>
    <t>https://pconlinehelp120.azurewebsites.net/ERDDrHjVfKbFJbQ/</t>
  </si>
  <si>
    <t>pconlinehelp96.azurewebsites.net</t>
  </si>
  <si>
    <t>5f5fd3cf16c3c</t>
  </si>
  <si>
    <t>https://pconlinehelp96.azurewebsites.net/ERDDrHjVfKbFJbQ/</t>
  </si>
  <si>
    <t>pconlinehelp16.azurewebsites.net</t>
  </si>
  <si>
    <t>5f5f9ae183d7f</t>
  </si>
  <si>
    <t>https://pconlinehelp16.azurewebsites.net/ERDDrHjVfKbFJbQ/</t>
  </si>
  <si>
    <t>pchelpdesk66.azurewebsites.net</t>
  </si>
  <si>
    <t>5f5a594d6b9eb</t>
  </si>
  <si>
    <t>https://pchelpdesk66.azurewebsites.net/garretttanners7d/</t>
  </si>
  <si>
    <t>pchelpdesk36.azurewebsites.net</t>
  </si>
  <si>
    <t>5f5a588ae6916</t>
  </si>
  <si>
    <t>https://pchelpdesk36.azurewebsites.net/garretttanners7d/</t>
  </si>
  <si>
    <t>pchelpdesk16.azurewebsites.net</t>
  </si>
  <si>
    <t>5f5a5805d7550</t>
  </si>
  <si>
    <t>https://pchelpdesk16.azurewebsites.net/garretttanners7d/</t>
  </si>
  <si>
    <t>pchelpservices166.azurewebsites.net</t>
  </si>
  <si>
    <t>5f5933e0a682d</t>
  </si>
  <si>
    <t>https://pchelpservices166.azurewebsites.net/dawsonwhlerS7v/</t>
  </si>
  <si>
    <t>pchelpservices120.azurewebsites.net</t>
  </si>
  <si>
    <t>5f591c2519876</t>
  </si>
  <si>
    <t>https://pchelpservices120.azurewebsites.net/garretttanners7d/</t>
  </si>
  <si>
    <t>pchelpservices109.azurewebsites.net</t>
  </si>
  <si>
    <t>5f591717441d9</t>
  </si>
  <si>
    <t>https://pchelpservices109.azurewebsites.net/dawsonwhlerS7v/</t>
  </si>
  <si>
    <t>pchelpservices76.azurewebsites.net</t>
  </si>
  <si>
    <t>5f59169f9729a</t>
  </si>
  <si>
    <t>https://pchelpservices76.azurewebsites.net/dawsonwhlerS7v/</t>
  </si>
  <si>
    <t>pchelpservices96.azurewebsites.net</t>
  </si>
  <si>
    <t>5f590e915d708</t>
  </si>
  <si>
    <t>https://pchelpservices96.azurewebsites.net/dawsonwhlerS7v/</t>
  </si>
  <si>
    <t>pchelpservices70.azurewebsites.net</t>
  </si>
  <si>
    <t>5f590d72df262</t>
  </si>
  <si>
    <t>https://pchelpservices70.azurewebsites.net/dawsonwhlerS7v/</t>
  </si>
  <si>
    <t>pchelpservices50.azurewebsites.net</t>
  </si>
  <si>
    <t>5f590d25ebde5</t>
  </si>
  <si>
    <t>https://pchelpservices50.azurewebsites.net/dawsonwhlerS7v/</t>
  </si>
  <si>
    <t>pchelpservices56.azurewebsites.net</t>
  </si>
  <si>
    <t>5f58fa7a33dca</t>
  </si>
  <si>
    <t>https://pchelpservices56.azurewebsites.net/dawsonwhlerS7v/</t>
  </si>
  <si>
    <t>pchelpservices16.azurewebsites.net</t>
  </si>
  <si>
    <t>5f57ecfb80f01</t>
  </si>
  <si>
    <t>https://pchelpservices16.azurewebsites.net/avfFeTpfJfSPuPx/</t>
  </si>
  <si>
    <t>pchelpservices10.azurewebsites.net</t>
  </si>
  <si>
    <t>5f57ecd0d9bb1</t>
  </si>
  <si>
    <t>https://pchelpservices10.azurewebsites.net/avfFeTpfJfSPuPx/</t>
  </si>
  <si>
    <t>customerfreesupport46.azurewebsites.net</t>
  </si>
  <si>
    <t>5f4d5afbb67ed</t>
  </si>
  <si>
    <t>https://customerfreesupport46.azurewebsites.net/HNhGpB5gbMdVDyb/</t>
  </si>
  <si>
    <t>callnow-free116.azurewebsites.net</t>
  </si>
  <si>
    <t>5f4c0920b6427</t>
  </si>
  <si>
    <t>http://callnow-free116.azurewebsites.net/S9M5QFaca7VkHSt/</t>
  </si>
  <si>
    <t>callnow-free96.azurewebsites.net</t>
  </si>
  <si>
    <t>5f4c08c3e5145</t>
  </si>
  <si>
    <t>http://callnow-free96.azurewebsites.net/S9M5QFaca7VkHSt/</t>
  </si>
  <si>
    <t>freesupportservice160.azurewebsites.net</t>
  </si>
  <si>
    <t>5f4ad95bde8c2</t>
  </si>
  <si>
    <t>http://freesupportservice160.azurewebsites.net/vcCsfdvjFg4P5tp/</t>
  </si>
  <si>
    <t>freesupportservice140.azurewebsites.net</t>
  </si>
  <si>
    <t>5f4ad911efe5f</t>
  </si>
  <si>
    <t>http://freesupportservice140.azurewebsites.net/vcCsfdvjFg4P5tp/</t>
  </si>
  <si>
    <t>freesupportservice120.azurewebsites.net</t>
  </si>
  <si>
    <t>5f4ad8c74a930</t>
  </si>
  <si>
    <t>http://freesupportservice120.azurewebsites.net/vcCsfdvjFg4P5tp/</t>
  </si>
  <si>
    <t>freecallcaresupport90.azurewebsites.net</t>
  </si>
  <si>
    <t>5f4aa3d41fd3c</t>
  </si>
  <si>
    <t>http://freecallcaresupport90.azurewebsites.net/vTUPHmw6mhDcMgT/</t>
  </si>
  <si>
    <t>freecallcaresupport76.azurewebsites.net</t>
  </si>
  <si>
    <t>5f4aa394f12b9</t>
  </si>
  <si>
    <t>http://freecallcaresupport76.azurewebsites.net/vTUPHmw6mhDcMgT/</t>
  </si>
  <si>
    <t>freecallcaresupport10.azurewebsites.net</t>
  </si>
  <si>
    <t>5f4aa26b812cc</t>
  </si>
  <si>
    <t>http://freecallcaresupport10.azurewebsites.net/vTUPHmw6mhDcMgT/</t>
  </si>
  <si>
    <t>customercaresupport90.azurewebsites.net</t>
  </si>
  <si>
    <t>5f4aa1be77326</t>
  </si>
  <si>
    <t>http://customercaresupport90.azurewebsites.net/vcCsfdvjFg4P5tp/</t>
  </si>
  <si>
    <t>customercaresupport80.azurewebsites.net</t>
  </si>
  <si>
    <t>5f49cddf5d7d7</t>
  </si>
  <si>
    <t>http://customercaresupport80.azurewebsites.net/BdvJMsVsaH3HMNC/</t>
  </si>
  <si>
    <t>customercaresupport176.azurewebsites.net</t>
  </si>
  <si>
    <t>5f49475328005</t>
  </si>
  <si>
    <t>https://customercaresupport176.azurewebsites.net/HNhGpB5gbMdVDyb/</t>
  </si>
  <si>
    <t>carefreesupport06.azurewebsites.net</t>
  </si>
  <si>
    <t>5f4800ed4836b</t>
  </si>
  <si>
    <t>http://carefreesupport06.azurewebsites.net/vcCsfdvjFg4P5tp/index.html</t>
  </si>
  <si>
    <t>checkup86.azurewebsites.net</t>
  </si>
  <si>
    <t>5f4479ef5164c</t>
  </si>
  <si>
    <t>http://checkup86.azurewebsites.net/Kristy-Cortez/</t>
  </si>
  <si>
    <t>freesupportservice51.azurewebsites.net</t>
  </si>
  <si>
    <t>5f44415d233ab</t>
  </si>
  <si>
    <t>https://freesupportservice51.azurewebsites.net/8sx3ztC96XSvHKs/</t>
  </si>
  <si>
    <t>freesupportservice80.azurewebsites.net</t>
  </si>
  <si>
    <t>5f443f5a841d5</t>
  </si>
  <si>
    <t>https://freesupportservice80.azurewebsites.net/8sx3ztC96XSvHKs/</t>
  </si>
  <si>
    <t>supportcall09.azurewebsites.net</t>
  </si>
  <si>
    <t>5f3d37f483e7e</t>
  </si>
  <si>
    <t>http://supportcall09.azurewebsites.net/nhyh7sGqKS8bfqN/</t>
  </si>
  <si>
    <t>freemaintenance77.azurewebsites.net</t>
  </si>
  <si>
    <t>5f3cf9c6198d4</t>
  </si>
  <si>
    <t>http://freemaintenance77.azurewebsites.net/q5gCvYnz6kzKvgY/</t>
  </si>
  <si>
    <t>checkup96.azurewebsites.net</t>
  </si>
  <si>
    <t>5f3c5bec4a553</t>
  </si>
  <si>
    <t>http://checkup96.azurewebsites.net/Mer-cado/</t>
  </si>
  <si>
    <t>computer26.azurewebsites.net</t>
  </si>
  <si>
    <t>5f3c5bb323471</t>
  </si>
  <si>
    <t>http://computer26.azurewebsites.net/Mer-cado/</t>
  </si>
  <si>
    <t>getfreesupport16.azurewebsites.net</t>
  </si>
  <si>
    <t>5f3c5b98cfa4f</t>
  </si>
  <si>
    <t>http://getfreesupport16.azurewebsites.net/S9M5QFaca7VkHSt/</t>
  </si>
  <si>
    <t>getfreesupport66.azurewebsites.net</t>
  </si>
  <si>
    <t>5f3c5b652c847</t>
  </si>
  <si>
    <t>http://getfreesupport66.azurewebsites.net/gHBW7zFVGjwcrjr/</t>
  </si>
  <si>
    <t>freesupport96.azurewebsites.net</t>
  </si>
  <si>
    <t>5f3c5b44621e1</t>
  </si>
  <si>
    <t>http://freesupport96.azurewebsites.net/gHBW7zFVGjwcrjr/</t>
  </si>
  <si>
    <t>freemaintenance32.azurewebsites.net</t>
  </si>
  <si>
    <t>5f3c5afb57fdd</t>
  </si>
  <si>
    <t>http://freemaintenance32.azurewebsites.net/q5gCvYnz6kzKvgY/</t>
  </si>
  <si>
    <t>freemaintenance12.azurewebsites.net</t>
  </si>
  <si>
    <t>5f3c5af1c85d7</t>
  </si>
  <si>
    <t>http://freemaintenance12.azurewebsites.net/q5gCvYnz6kzKvgY/</t>
  </si>
  <si>
    <t>getfreesupport94.azurewebsites.net</t>
  </si>
  <si>
    <t>5f3bf175d6cde</t>
  </si>
  <si>
    <t>http://getfreesupport94.azurewebsites.net/atEdYhpx5ykF2Ru/</t>
  </si>
  <si>
    <t>checkup66.azurewebsites.net</t>
  </si>
  <si>
    <t>5f31635f37ae7</t>
  </si>
  <si>
    <t>http://checkup66.azurewebsites.net/Mer-cado/</t>
  </si>
  <si>
    <t>computer106.azurewebsites.net</t>
  </si>
  <si>
    <t>5f30d75af3d3e</t>
  </si>
  <si>
    <t>http://computer106.azurewebsites.net/Mer-cado/</t>
  </si>
  <si>
    <t>computercheckup30.azurewebsites.net</t>
  </si>
  <si>
    <t>5f22f3c949521</t>
  </si>
  <si>
    <t>http://computercheckup30.azurewebsites.net/Jenna-Ratliff</t>
  </si>
  <si>
    <t>berror60.azurewebsites.net</t>
  </si>
  <si>
    <t>5f1be6080dd7c</t>
  </si>
  <si>
    <t>http://berror60.azurewebsites.net/Calhoun-TN/</t>
  </si>
  <si>
    <t>161.35.87.119</t>
  </si>
  <si>
    <t>5f1c09f0d3885</t>
  </si>
  <si>
    <t>http://161.35.87.119/ins/swiss/</t>
  </si>
  <si>
    <t>tourret-678fg.gq</t>
  </si>
  <si>
    <t>5f1c0212bbda0</t>
  </si>
  <si>
    <t>https://tourret-678fg.gq/ins/swiss/</t>
  </si>
  <si>
    <t>bookmark454.ga</t>
  </si>
  <si>
    <t>104.28.13.45</t>
  </si>
  <si>
    <t>5f1c172e5d654</t>
  </si>
  <si>
    <t>https://bookmark454.ga/Dsdsd0-sdsds0.hnf/XMAdhdsbfhgdfhdgfMKx/</t>
  </si>
  <si>
    <t>slatedata589.ga</t>
  </si>
  <si>
    <t>104.18.43.66</t>
  </si>
  <si>
    <t>5f1c17520a52a</t>
  </si>
  <si>
    <t>https://slatedata589.ga/Call_Microsoft_windows_Helpline232324/MAfdfdfdfd_AK/</t>
  </si>
  <si>
    <t>104.131.43.70</t>
  </si>
  <si>
    <t>5f1c2135ac4d0</t>
  </si>
  <si>
    <t>http://104.131.43.70/EDWInhelp10010101x</t>
  </si>
  <si>
    <t>onlinelivecamp.site</t>
  </si>
  <si>
    <t>5f1c1fd9147c2</t>
  </si>
  <si>
    <t>https://onlinelivecamp.site/EDWInhelp10010101x/</t>
  </si>
  <si>
    <t>izphxx.club</t>
  </si>
  <si>
    <t>104.28.11.102</t>
  </si>
  <si>
    <t>5f1c5f730cece</t>
  </si>
  <si>
    <t>https://izphxx.club/Wim_dows35W8o79IRcb7jQQWdc5XXsN42/xG5GXxh3XhWHvniB2XMWGcsZj/xW5SoxtuQ/?n_b=MSg4ODgpNDE0IDYxOTk=</t>
  </si>
  <si>
    <t>64.227.53.9</t>
  </si>
  <si>
    <t>5f1c67791f910</t>
  </si>
  <si>
    <t>http://64.227.53.9/Ed10010110xyMS/</t>
  </si>
  <si>
    <t>configure903.ml</t>
  </si>
  <si>
    <t>172.67.161.61</t>
  </si>
  <si>
    <t>5f1c687baf541</t>
  </si>
  <si>
    <t>https://configure903.ml/Windfsdf0sf-sdfs0.gbd/XEDdhdsbfhgdfhdgfMKx/</t>
  </si>
  <si>
    <t>iteration859.ml</t>
  </si>
  <si>
    <t>104.31.76.14</t>
  </si>
  <si>
    <t>5f1d03dd75be3</t>
  </si>
  <si>
    <t>https://iteration859.ml/Sxcx0-edc0ed0.hbe/Edfsdfsdfsddsds90/</t>
  </si>
  <si>
    <t>mamantram.club</t>
  </si>
  <si>
    <t>35.213.152.97</t>
  </si>
  <si>
    <t>60e8c5f3b9081</t>
  </si>
  <si>
    <t>https://mamantram.club/ed/</t>
  </si>
  <si>
    <t>micratara.club</t>
  </si>
  <si>
    <t>60cb81169ba08</t>
  </si>
  <si>
    <t>https://micratara.club/ed/</t>
  </si>
  <si>
    <t>neomacrottpro.club</t>
  </si>
  <si>
    <t>60a2a569a7a0c</t>
  </si>
  <si>
    <t>https://neomacrottpro.club/ed/</t>
  </si>
  <si>
    <t>AS55410</t>
  </si>
  <si>
    <t>bloomwinx.club</t>
  </si>
  <si>
    <t>6087e936f3658</t>
  </si>
  <si>
    <t>http://bloomwinx.club/ed/</t>
  </si>
  <si>
    <t>makranaghy.club</t>
  </si>
  <si>
    <t>6085b826b0964</t>
  </si>
  <si>
    <t>https://makranaghy.club/edd/</t>
  </si>
  <si>
    <t>ghasama.club</t>
  </si>
  <si>
    <t>6081416e8224e</t>
  </si>
  <si>
    <t>http://ghasama.club/service1/</t>
  </si>
  <si>
    <t>japanon.club</t>
  </si>
  <si>
    <t>607fdf79bf561</t>
  </si>
  <si>
    <t>http://japanon.club/ser/</t>
  </si>
  <si>
    <t>japasanmicro.club</t>
  </si>
  <si>
    <t>607e9498b550d</t>
  </si>
  <si>
    <t>http://japasanmicro.club/ed/</t>
  </si>
  <si>
    <t>masanapa.club</t>
  </si>
  <si>
    <t>607bd0c17596b</t>
  </si>
  <si>
    <t>http://masanapa.club/edd/</t>
  </si>
  <si>
    <t>60794ddcb2bd0</t>
  </si>
  <si>
    <t>http://masanapa.club/ed/</t>
  </si>
  <si>
    <t>micspan.club</t>
  </si>
  <si>
    <t>606f6ad296f19</t>
  </si>
  <si>
    <t>https://micspan.club/dd/</t>
  </si>
  <si>
    <t>6073107451f45</t>
  </si>
  <si>
    <t>https://micspan.club/ndd/</t>
  </si>
  <si>
    <t>mapasana.club</t>
  </si>
  <si>
    <t>https://mapasana.club/edd/</t>
  </si>
  <si>
    <t>6043e6e1a829f</t>
  </si>
  <si>
    <t>https://mapasana.club/ed/</t>
  </si>
  <si>
    <t>japanmicroerr.live</t>
  </si>
  <si>
    <t>6020393bbcd5e</t>
  </si>
  <si>
    <t>https://japanmicroerr.live/ed/</t>
  </si>
  <si>
    <t>microerorpop.club</t>
  </si>
  <si>
    <t>601866a4a0848</t>
  </si>
  <si>
    <t>https://microerorpop.club/ed/</t>
  </si>
  <si>
    <t>newerrjapan.live</t>
  </si>
  <si>
    <t>5ffe18e5e053b</t>
  </si>
  <si>
    <t>https://newerrjapan.live/ed/</t>
  </si>
  <si>
    <t>microjpnewerr.club</t>
  </si>
  <si>
    <t>5feb70de26887</t>
  </si>
  <si>
    <t>https://microjpnewerr.club/ed/</t>
  </si>
  <si>
    <t>www.japanmicrok.live</t>
  </si>
  <si>
    <t>5fe8c8b8d8911</t>
  </si>
  <si>
    <t>http://www.japanmicrok.live/ed/</t>
  </si>
  <si>
    <t>www.japanmicronn.live</t>
  </si>
  <si>
    <t>5fe8c88950f8d</t>
  </si>
  <si>
    <t>https://www.japanmicronn.live/ed/</t>
  </si>
  <si>
    <t>www.microjperror.club</t>
  </si>
  <si>
    <t>5fe8c7bf855bc</t>
  </si>
  <si>
    <t>https://www.microjperror.club/ed/</t>
  </si>
  <si>
    <t>japanmicrok.live</t>
  </si>
  <si>
    <t>5fe8b7eb59197</t>
  </si>
  <si>
    <t>http://japanmicrok.live/ed/</t>
  </si>
  <si>
    <t>japanmicronn.live</t>
  </si>
  <si>
    <t>5fe8b7c18242d</t>
  </si>
  <si>
    <t>https://japanmicronn.live/ed/</t>
  </si>
  <si>
    <t>microjperror.club</t>
  </si>
  <si>
    <t>5fe8b7b106616</t>
  </si>
  <si>
    <t>https://microjperror.club/ed/</t>
  </si>
  <si>
    <t>microjerror.club</t>
  </si>
  <si>
    <t>5fd3acca46410</t>
  </si>
  <si>
    <t>https://microjerror.club/ed/</t>
  </si>
  <si>
    <t>japanmicro-t.club</t>
  </si>
  <si>
    <t>5fd09f1360a8c</t>
  </si>
  <si>
    <t>https://japanmicro-t.club/ed/</t>
  </si>
  <si>
    <t>microfjapan.club</t>
  </si>
  <si>
    <t>5fca895848400</t>
  </si>
  <si>
    <t>http://microfjapan.club/ed/</t>
  </si>
  <si>
    <t>microjapant.club</t>
  </si>
  <si>
    <t>5fca2ca955d22</t>
  </si>
  <si>
    <t>http://microjapant.club/ed/</t>
  </si>
  <si>
    <t>japantmicro.club</t>
  </si>
  <si>
    <t>5fca2c35886ea</t>
  </si>
  <si>
    <t>http://japantmicro.club/ed/</t>
  </si>
  <si>
    <t>microjapanerror.club</t>
  </si>
  <si>
    <t>5faf118c0707b</t>
  </si>
  <si>
    <t>https://microjapanerror.club/ex/</t>
  </si>
  <si>
    <t>micronew-pop.club</t>
  </si>
  <si>
    <t>5f42b2e03e9ae</t>
  </si>
  <si>
    <t>https://micronew-pop.club/</t>
  </si>
  <si>
    <t>www.windows-alerts.xyz</t>
  </si>
  <si>
    <t>5f1fe319bbf6d</t>
  </si>
  <si>
    <t>https://www.windows-alerts.xyz/</t>
  </si>
  <si>
    <t>www.windows-warning.club</t>
  </si>
  <si>
    <t>5f1d3434871df</t>
  </si>
  <si>
    <t>https://www.windows-warning.club/</t>
  </si>
  <si>
    <t>windows-alerts.xyz</t>
  </si>
  <si>
    <t>5f1d3346771cb</t>
  </si>
  <si>
    <t>https://windows-alerts.xyz/</t>
  </si>
  <si>
    <t>windows-warning.club</t>
  </si>
  <si>
    <t>5f1d03e553c7a</t>
  </si>
  <si>
    <t>https://windows-warning.club/</t>
  </si>
  <si>
    <t>onlinelivestudies.site</t>
  </si>
  <si>
    <t>167.71.188.140</t>
  </si>
  <si>
    <t>5f1d8b02e3cfc</t>
  </si>
  <si>
    <t>https://onlinelivestudies.site/SAMacHelp011010x/</t>
  </si>
  <si>
    <t>encryption853.ga</t>
  </si>
  <si>
    <t>172.67.197.170</t>
  </si>
  <si>
    <t>5f1d8b812a67a</t>
  </si>
  <si>
    <t>https://encryption853.ga/Ssdsds0dss-dsfdsfs0.bve/MA100101010XCDH/</t>
  </si>
  <si>
    <t>164.90.158.60</t>
  </si>
  <si>
    <t>5f1e96067b1dc</t>
  </si>
  <si>
    <t>http://164.90.158.60/EDWInhelp10010101x/</t>
  </si>
  <si>
    <t>myaccountscore.site</t>
  </si>
  <si>
    <t>5f1e31a6b671f</t>
  </si>
  <si>
    <t>https://myaccountscore.site/EDWInhelp10010101x/</t>
  </si>
  <si>
    <t>emoticon854.cf</t>
  </si>
  <si>
    <t>172.67.167.212</t>
  </si>
  <si>
    <t>5f1e3411e4698</t>
  </si>
  <si>
    <t>https://emoticon854.cf/Wsds0-dsadew0.nve/Mafsdfsdfsddsds90/</t>
  </si>
  <si>
    <t>exabyte839.cf</t>
  </si>
  <si>
    <t>104.31.80.93</t>
  </si>
  <si>
    <t>5f1ddcd87fdff</t>
  </si>
  <si>
    <t>https://exabyte839.cf/Dfd0d-dfgdg0.mwd/ED100101010XCDH/</t>
  </si>
  <si>
    <t>encrypted895.ga</t>
  </si>
  <si>
    <t>104.18.52.19</t>
  </si>
  <si>
    <t>5f1e3616b6916</t>
  </si>
  <si>
    <t>https://encrypted895.ga/Sdsd0s-wscdsdd0.bsq/Edfsdfsdfsddsds90/index.html</t>
  </si>
  <si>
    <t>tsedert.ml</t>
  </si>
  <si>
    <t>188.166.255.35</t>
  </si>
  <si>
    <t>5f1e368144bf7</t>
  </si>
  <si>
    <t>http://tsedert.ml/</t>
  </si>
  <si>
    <t>evedert.ml</t>
  </si>
  <si>
    <t>5f1e361c5dbc9</t>
  </si>
  <si>
    <t>http://evedert.ml/ieff/</t>
  </si>
  <si>
    <t>xactomastrings.online</t>
  </si>
  <si>
    <t>136.243.219.46</t>
  </si>
  <si>
    <t>5f2c06963fb4a</t>
  </si>
  <si>
    <t>https://xactomastrings.online/nshyxu01-gfdg25d465-tr5t89e74-x5g5798r6-ds5rf8784e-x579846sf-ret78e4f-x578s-x54d88/wregacr01/</t>
  </si>
  <si>
    <t>ungilishpatron.online</t>
  </si>
  <si>
    <t>5f2bb96791749</t>
  </si>
  <si>
    <t>https://ungilishpatron.online/weigfx01-bc4bd46-rt5w8e7w54-x587f7s85-cx57s985s6-cx587e4-a58r78er4-x5r978ew4-g58745sf/wregacr01/</t>
  </si>
  <si>
    <t>zeematocalring.online</t>
  </si>
  <si>
    <t>5f2a99c9daa80</t>
  </si>
  <si>
    <t>https://zeematocalring.online/yshdtx01-gd24g5d46-er5w58we45-45g4df4546-s45ret8r4-z54564as6-ee54d54s-4g57t8ew-hd5454ef/wregacr01/</t>
  </si>
  <si>
    <t>wingersitulation.online</t>
  </si>
  <si>
    <t>5f296e1914282</t>
  </si>
  <si>
    <t>https://wingersitulation.online/bsgycx01-2g54d55r6-2v48x456e-5erw87e8r-sf545srtr-dg545t8e6-dg58t78ree4-dg5f4r54t-5asrtr8-x545r4/wregacr01/</t>
  </si>
  <si>
    <t>jingpastrohakato.online</t>
  </si>
  <si>
    <t>5f2943fb54967</t>
  </si>
  <si>
    <t>https://jingpastrohakato.online/treysx01-g45414x-vx5w98e4-cb54987sf6r-tw5874xcv-x4589789e4-a45488we-78x4x56-5we487w4x-v8484fs/wregacr01/</t>
  </si>
  <si>
    <t>solumasterpro.online</t>
  </si>
  <si>
    <t>5f2811bdd8f80</t>
  </si>
  <si>
    <t>https://solumasterpro.online/ncxv01-gh5d4f54-vc589eg4-as5f4e9r84-c5x4v456-g5df84-ae5w48re4-f5rtr6-dt4r5t45-vc5b44-5ds454rf/eacix01/</t>
  </si>
  <si>
    <t>zoneofhaul.online</t>
  </si>
  <si>
    <t>5f27cb73839c2</t>
  </si>
  <si>
    <t>https://zoneofhaul.online/hdsyewux01-45h4446fgd-tr5e978e4-cb4c5987d6-g5cb47g8d6-bc4b4e46-rt5e9874b-c45b4987d564-cb58gd8f/eacix01/</t>
  </si>
  <si>
    <t>doormatickoastring.online</t>
  </si>
  <si>
    <t>5f2408ddc7641</t>
  </si>
  <si>
    <t>https://doormatickoastring.online/steyc01-fg5d4646cv-b54er98e46-vc54446r-te579r9g4x-v5e4e46vd-bv45cvb48v45-rew5984-45d98ge46/racedgx/</t>
  </si>
  <si>
    <t>beaieringlomart.online</t>
  </si>
  <si>
    <t>5f1edce4560fc</t>
  </si>
  <si>
    <t>https://beaieringlomart.online/BXHsyx01-gdf544s56-xc564rew6-cvx59v87s6s-5w987r8e9-nxc5v4x4x6-er5e57984z-sfd5s58r-cxv5x4fd4/eacrzv01/</t>
  </si>
  <si>
    <t>xoolabkart.online</t>
  </si>
  <si>
    <t>5f1ea29c16d80</t>
  </si>
  <si>
    <t>https://xoolabkart.online/Yatfx01-bchsdyx01-gf454de6-ereww74f-f5s5a67r-cx587s6-c5x87s4-df5s787e4-xv588s6-d85s8e8/eacrzv01/</t>
  </si>
  <si>
    <t>macronet324.ml</t>
  </si>
  <si>
    <t>172.67.174.170</t>
  </si>
  <si>
    <t>5f1ecd9f6adcc</t>
  </si>
  <si>
    <t>https://macronet324.ml/Sdsfsdf0fd-fsdsf4.bve/SSMAffssfdfdfdfd007/</t>
  </si>
  <si>
    <t>letsplaygemase.site</t>
  </si>
  <si>
    <t>167.99.88.144</t>
  </si>
  <si>
    <t>5f1ecdc561596</t>
  </si>
  <si>
    <t>https://letsplaygemase.site/SAMacHelp011010x/</t>
  </si>
  <si>
    <t>searchfacts05.site</t>
  </si>
  <si>
    <t>162.0.229.244</t>
  </si>
  <si>
    <t>5f24e06d9ca05</t>
  </si>
  <si>
    <t>https://searchfacts05.site/EDWInhelp10010101xK/</t>
  </si>
  <si>
    <t>namesearch006.site</t>
  </si>
  <si>
    <t>5f23c332a4e75</t>
  </si>
  <si>
    <t>https://namesearch006.site/EDWInhelp10010101xK/</t>
  </si>
  <si>
    <t>hostsearch05.site</t>
  </si>
  <si>
    <t>5f22ff4b5cafd</t>
  </si>
  <si>
    <t>https://hostsearch05.site/CHWInhelp10010101xK/</t>
  </si>
  <si>
    <t>serachmate04.site</t>
  </si>
  <si>
    <t>5f22ff3ee5f2c</t>
  </si>
  <si>
    <t>https://serachmate04.site/index-4.html</t>
  </si>
  <si>
    <t>domainhelpserach09.site</t>
  </si>
  <si>
    <t>5f22ff1858faa</t>
  </si>
  <si>
    <t>https://domainhelpserach09.site/index-4.html</t>
  </si>
  <si>
    <t>www.namedomain08.site</t>
  </si>
  <si>
    <t>5f20466d5e6f6</t>
  </si>
  <si>
    <t>https://www.namedomain08.site/ched/</t>
  </si>
  <si>
    <t>www.bigdom07.site</t>
  </si>
  <si>
    <t>5f2046574d13d</t>
  </si>
  <si>
    <t>https://www.bigdom07.site/SAMacHelp011010xK/</t>
  </si>
  <si>
    <t>enterdragon04.site</t>
  </si>
  <si>
    <t>5f2014f0572ae</t>
  </si>
  <si>
    <t>https://enterdragon04.site/index-4.html</t>
  </si>
  <si>
    <t>www.searchlisty02.site</t>
  </si>
  <si>
    <t>5f1ecebea33ce</t>
  </si>
  <si>
    <t>https://www.searchlisty02.site/index-4.html</t>
  </si>
  <si>
    <t>domainnest.website</t>
  </si>
  <si>
    <t>5f1ece0a1cb85</t>
  </si>
  <si>
    <t>https://domainnest.website/ched/</t>
  </si>
  <si>
    <t>queue849.ga</t>
  </si>
  <si>
    <t>104.27.134.130</t>
  </si>
  <si>
    <t>5f1ece5db88a1</t>
  </si>
  <si>
    <t>https://queue849.ga/Sdsf-sfsdf-sdf-sd.hbt/MA100101010XCDH/</t>
  </si>
  <si>
    <t>rancher.entrostat.xyz</t>
  </si>
  <si>
    <t>45.63.115.165</t>
  </si>
  <si>
    <t>5f1ed7bcc248d</t>
  </si>
  <si>
    <t>http://rancher.entrostat.xyz/XMCdhdsbfMShgdfhdgfHD/index.html</t>
  </si>
  <si>
    <t>5f1ed61302953</t>
  </si>
  <si>
    <t>http://45.63.115.165/XEDdhdsbfMShgdfhdgfHD/index.html</t>
  </si>
  <si>
    <t>52.209.54.54</t>
  </si>
  <si>
    <t>5f1eda16e7bee</t>
  </si>
  <si>
    <t>http://52.209.54.54/fix/straight.html?phone=+4133-534-91-94</t>
  </si>
  <si>
    <t>jimk04.club</t>
  </si>
  <si>
    <t>160.153.131.139</t>
  </si>
  <si>
    <t>5f27ff62285fe</t>
  </si>
  <si>
    <t>http://jimk04.club/ar_netherland_hfu-adxd/english/windows/</t>
  </si>
  <si>
    <t>5f27f6dad9383</t>
  </si>
  <si>
    <t>http://jimk04.club/ar_belgbd-cfi-98/english/windows/</t>
  </si>
  <si>
    <t>rika00.club</t>
  </si>
  <si>
    <t>5f26d71d9baaa</t>
  </si>
  <si>
    <t>http://rika00.club/ar_sdn_dhu-wuj07/french/</t>
  </si>
  <si>
    <t>mail.jimk00.club</t>
  </si>
  <si>
    <t>5f26d44772a56</t>
  </si>
  <si>
    <t>http://mail.jimk00.club/ar_netherland_hfu-adxd/french/windows/</t>
  </si>
  <si>
    <t>mail.jimk03.club</t>
  </si>
  <si>
    <t>5f26c1259458c</t>
  </si>
  <si>
    <t>http://mail.jimk03.club/ar_finu_7sh/other/windows/</t>
  </si>
  <si>
    <t>jimk02.club</t>
  </si>
  <si>
    <t>5f245590605c9</t>
  </si>
  <si>
    <t>http://jimk02.club/ar_belgbd-cfi-98/</t>
  </si>
  <si>
    <t>jimk00.club</t>
  </si>
  <si>
    <t>5f24555e7e605</t>
  </si>
  <si>
    <t>http://jimk00.club/ar_netherland_hfu-adxd/italian/windows/</t>
  </si>
  <si>
    <t>jimk03.club</t>
  </si>
  <si>
    <t>5f2402fe5b2e0</t>
  </si>
  <si>
    <t>http://jimk03.club/ar_netherland_hfu-adxd/english/windows/</t>
  </si>
  <si>
    <t>5f23f58480de2</t>
  </si>
  <si>
    <t>http://jimk03.club/ar_belgbd-cfi-98/english/windows/</t>
  </si>
  <si>
    <t>rika02.club</t>
  </si>
  <si>
    <t>5f1ee087b8eb9</t>
  </si>
  <si>
    <t>http://rika02.club/ar_belgbd-cfi-98/dutch/mac/</t>
  </si>
  <si>
    <t>rika04.club</t>
  </si>
  <si>
    <t>5f1eda2a416c4</t>
  </si>
  <si>
    <t>http://rika04.club/ar_belgbd-cfi-98/english/windows/</t>
  </si>
  <si>
    <t>koirarhj45.vip</t>
  </si>
  <si>
    <t>199.188.206.59</t>
  </si>
  <si>
    <t>5f1eeacef2bba</t>
  </si>
  <si>
    <t>http://koirarhj45.vip/100/edge/</t>
  </si>
  <si>
    <t>vip</t>
  </si>
  <si>
    <t>goafhajhfh000x.b-cdn.net</t>
  </si>
  <si>
    <t>Datacamp Limited</t>
  </si>
  <si>
    <t>185.93.2.205</t>
  </si>
  <si>
    <t>5f1eda869919b</t>
  </si>
  <si>
    <t>https://goafhajhfh000x.b-cdn.net/edge/</t>
  </si>
  <si>
    <t>66.42.77.128</t>
  </si>
  <si>
    <t>5f1edceb06403</t>
  </si>
  <si>
    <t>http://66.42.77.128/0ED01011001_77DH/</t>
  </si>
  <si>
    <t>134.122.24.253</t>
  </si>
  <si>
    <t>5f1edd99f33b4</t>
  </si>
  <si>
    <t>http://134.122.24.253/Ed10010110xyMS/</t>
  </si>
  <si>
    <t>ww1000000000000000000000000.macafeesupport.com</t>
  </si>
  <si>
    <t>212.32.245.110</t>
  </si>
  <si>
    <t>5f5e3225df7c2</t>
  </si>
  <si>
    <t>http://ww1000000000000000000000000.macafeesupport.com/figg04.club/ar_belgbd-cfi-98/english/windows/</t>
  </si>
  <si>
    <t>real01.zigxi.com</t>
  </si>
  <si>
    <t>5f5e3003b686b</t>
  </si>
  <si>
    <t>http://real01.zigxi.com/ar_finu_7sh/other/windows/</t>
  </si>
  <si>
    <t>mail.real01.club</t>
  </si>
  <si>
    <t>5f5e2fdcf0d40</t>
  </si>
  <si>
    <t>http://mail.real01.club/ar_finu_7sh/english/windows/</t>
  </si>
  <si>
    <t>figg04.club</t>
  </si>
  <si>
    <t>5f5e2a9d5377b</t>
  </si>
  <si>
    <t>http://figg04.club/ar_belgbd-cfi-98/english/windows/</t>
  </si>
  <si>
    <t>aakui02.club</t>
  </si>
  <si>
    <t>5f5e2a50dd312</t>
  </si>
  <si>
    <t>http://aakui02.club/ar_sdn_dhu-wuj07/other/windows/</t>
  </si>
  <si>
    <t>5f5e2a30b6348</t>
  </si>
  <si>
    <t>http://figg04.club/ar_belgbd-cfi-98/other/windows/</t>
  </si>
  <si>
    <t>real00.club</t>
  </si>
  <si>
    <t>5f5e2a1ecbc0d</t>
  </si>
  <si>
    <t>http://real00.club/ar_belgbd-cfi-98/other/windows/</t>
  </si>
  <si>
    <t>real01.club</t>
  </si>
  <si>
    <t>5f5e2a18aff92</t>
  </si>
  <si>
    <t>http://real01.club/ar_belgbd-cfi-98/other/windows/</t>
  </si>
  <si>
    <t>5f55189d5fce1</t>
  </si>
  <si>
    <t>http://real01.club/ar_belgbd-cfi-98/english/windows/</t>
  </si>
  <si>
    <t>5f551843db42a</t>
  </si>
  <si>
    <t>http://real00.club/ar_belgbd-cfi-98/french/windows/</t>
  </si>
  <si>
    <t>5f5514976e125</t>
  </si>
  <si>
    <t>http://real00.club/ar_belgbd-cfi-98/english/windows/</t>
  </si>
  <si>
    <t>aakui02.zigxi.com</t>
  </si>
  <si>
    <t>5f424e5604054</t>
  </si>
  <si>
    <t>http://aakui02.zigxi.com/ar_belgbd-cfi-98/german/windows/</t>
  </si>
  <si>
    <t>www.rig00.zigxi.com</t>
  </si>
  <si>
    <t>5f416f0d24a4e</t>
  </si>
  <si>
    <t>http://www.rig00.zigxi.com/ar_finu_7sh/english/mac/</t>
  </si>
  <si>
    <t>www.rig03.club</t>
  </si>
  <si>
    <t>5f416ee47b5a4</t>
  </si>
  <si>
    <t>http://www.rig03.club/ar_sdn_dhu-wuj07/german/windows/</t>
  </si>
  <si>
    <t>mail.rig04.club</t>
  </si>
  <si>
    <t>5f416e8c97aaf</t>
  </si>
  <si>
    <t>http://mail.rig04.club/ar_belgbd-cfi-98/english/windows/</t>
  </si>
  <si>
    <t>mic01.zigxi.com</t>
  </si>
  <si>
    <t>5f416e8453828</t>
  </si>
  <si>
    <t>http://mic01.zigxi.com/ar_netherland_hfu-adxd/other/windows/</t>
  </si>
  <si>
    <t>www.rig04.club</t>
  </si>
  <si>
    <t>5f416e7706b91</t>
  </si>
  <si>
    <t>http://www.rig04.club/ar_belgbd-cfi-98/english/windows/</t>
  </si>
  <si>
    <t>mic02.zigxi.com</t>
  </si>
  <si>
    <t>5f416e6fd15a5</t>
  </si>
  <si>
    <t>http://mic02.zigxi.com/ar_netherland_hfu-adxd/other/windows/</t>
  </si>
  <si>
    <t>mic04.zigxi.com</t>
  </si>
  <si>
    <t>5f416e5f532d2</t>
  </si>
  <si>
    <t>http://mic04.zigxi.com/ar_netherland_hfu-adxd/other/windows/</t>
  </si>
  <si>
    <t>mic07.zigxi.com</t>
  </si>
  <si>
    <t>5f416da22fdaa</t>
  </si>
  <si>
    <t>http://mic07.zigxi.com/ar_belgbd-cfi-98/english/windows/index.php</t>
  </si>
  <si>
    <t>5f416d88e6cb8</t>
  </si>
  <si>
    <t>http://mic07.zigxi.com/ar_belgbd-cfi-98/english/mac/index.php</t>
  </si>
  <si>
    <t>figg00.zigxi.com</t>
  </si>
  <si>
    <t>5f416d65e4901</t>
  </si>
  <si>
    <t>http://figg00.zigxi.com/ar_finu_7sh/english/windows/</t>
  </si>
  <si>
    <t>5f416d606143f</t>
  </si>
  <si>
    <t>http://figg00.zigxi.com/ar_finu_7sh/english/mac/</t>
  </si>
  <si>
    <t>5f416cdc176bc</t>
  </si>
  <si>
    <t>http://figg04.club/ar_belgbd-cfi-98/english/windows/index.php</t>
  </si>
  <si>
    <t>www.figg03.zigxi.com</t>
  </si>
  <si>
    <t>5f416b6037885</t>
  </si>
  <si>
    <t>http://www.figg03.zigxi.com/ar_belgbd-cfi-98/</t>
  </si>
  <si>
    <t>figg04.zigxi.com</t>
  </si>
  <si>
    <t>5f416aa1aaf9e</t>
  </si>
  <si>
    <t>http://figg04.zigxi.com/ar_belgbd-cfi-98/english/windows/</t>
  </si>
  <si>
    <t>5f4168f6a670f</t>
  </si>
  <si>
    <t>http://aakui02.club/ar_belgbd-cfi-98/english/windows/</t>
  </si>
  <si>
    <t>www.aakui00.zigxi.com</t>
  </si>
  <si>
    <t>5f4168db29226</t>
  </si>
  <si>
    <t>http://www.aakui00.zigxi.com/ar_finu_7sh/english/windows/index.php</t>
  </si>
  <si>
    <t>5f4168d6a15f0</t>
  </si>
  <si>
    <t>http://aakui02.zigxi.com/ar_belgbd-cfi-98/english/windows/index.php</t>
  </si>
  <si>
    <t>5f4168c7a0aad</t>
  </si>
  <si>
    <t>http://www.aakui00.zigxi.com/ar_finu_7sh/english/mac/index.php</t>
  </si>
  <si>
    <t>aakui01.zigxi.com</t>
  </si>
  <si>
    <t>5f4168b32c41e</t>
  </si>
  <si>
    <t>http://aakui01.zigxi.com/ar_belgbd-cfi-98/english/windows/index.php</t>
  </si>
  <si>
    <t>5f4168a574857</t>
  </si>
  <si>
    <t>http://www.aakui00.zigxi.com/ar_belgbd-cfi-98/english/windows/index.php</t>
  </si>
  <si>
    <t>aakui00.zigxi.com</t>
  </si>
  <si>
    <t>5f41685c4cb2e</t>
  </si>
  <si>
    <t>http://aakui00.zigxi.com/ar_belgbd-cfi-98/english/windows/index.php</t>
  </si>
  <si>
    <t>5f41683726759</t>
  </si>
  <si>
    <t>http://aakui00.zigxi.com/ar_finu_7sh/english/windows/index.php</t>
  </si>
  <si>
    <t>aakui00.club</t>
  </si>
  <si>
    <t>5f416829a2c6e</t>
  </si>
  <si>
    <t>http://aakui00.club/ar_sdn_dhu-wuj07/english/windows/index.php</t>
  </si>
  <si>
    <t>5f41681e8e506</t>
  </si>
  <si>
    <t>http://aakui01.zigxi.com/ar_sdn_dhu-wuj07/english/windows/index.php</t>
  </si>
  <si>
    <t>5f4167e6b0b24</t>
  </si>
  <si>
    <t>http://aakui00.zigxi.com/ar_sdn_dhu-wuj07/english/windows/index.php</t>
  </si>
  <si>
    <t>5f4167a60c8e1</t>
  </si>
  <si>
    <t>http://aakui00.zigxi.com/ar_netherland_hfu-adxd/english/windows/index.php</t>
  </si>
  <si>
    <t>5f41676b52373</t>
  </si>
  <si>
    <t>http://aakui00.zigxi.com/ar_netherland_hfu-adxd/english/mac/index.php</t>
  </si>
  <si>
    <t>5f4167578a6b9</t>
  </si>
  <si>
    <t>http://aakui00.zigxi.com/ar_finu_7sh/english/mac/index.php</t>
  </si>
  <si>
    <t>aakui01.club</t>
  </si>
  <si>
    <t>5f4166e753b27</t>
  </si>
  <si>
    <t>http://aakui01.club/ar_sdn_dhu-wuj07/italian/windows/</t>
  </si>
  <si>
    <t>5f4166cea44da</t>
  </si>
  <si>
    <t>http://aakui00.zigxi.com/ar_belgbd-cfi-98/english/mac/index.php</t>
  </si>
  <si>
    <t>5f4166c56d22f</t>
  </si>
  <si>
    <t>http://aakui00.club/ar_sdn_dhu-wuj07/other/windows/</t>
  </si>
  <si>
    <t>5f41669cee57d</t>
  </si>
  <si>
    <t>http://aakui00.club/ar_swz_bs7_k/english/mac/index.php</t>
  </si>
  <si>
    <t>5f416685e50a4</t>
  </si>
  <si>
    <t>http://aakui00.club/ar_sdn_dhu-wuj07/english/mac/index.php</t>
  </si>
  <si>
    <t>5f416638544e2</t>
  </si>
  <si>
    <t>http://aakui00.club/ar_netherland_hfu-adxd/english/mac/index.php</t>
  </si>
  <si>
    <t>5f41662ac5d1f</t>
  </si>
  <si>
    <t>http://aakui00.club/ar_finu_7sh/english/mac/index.php</t>
  </si>
  <si>
    <t>5f4166124a3ac</t>
  </si>
  <si>
    <t>http://aakui00.club/ar_belgbd-cfi-98/english/mac/index.php</t>
  </si>
  <si>
    <t>5f4165d48bce3</t>
  </si>
  <si>
    <t>http://figg04.club/ar_swz_bs7_k/english/mac/index.php</t>
  </si>
  <si>
    <t>5f4165be7ea46</t>
  </si>
  <si>
    <t>http://figg04.club/ar_sdn_dhu-wuj07/english/mac/index.php</t>
  </si>
  <si>
    <t>5f4165aa90e2e</t>
  </si>
  <si>
    <t>http://figg04.club/ar_netherland_hfu-adxd/english/mac/index.php</t>
  </si>
  <si>
    <t>mail.figg03.club</t>
  </si>
  <si>
    <t>5f41656d2cc79</t>
  </si>
  <si>
    <t>http://mail.figg03.club/ar_belgbd-cfi-98/english/mac/</t>
  </si>
  <si>
    <t>5f41653817489</t>
  </si>
  <si>
    <t>http://figg04.club/ar_finu_7sh/english/mac/</t>
  </si>
  <si>
    <t>5f4164f5c8361</t>
  </si>
  <si>
    <t>http://figg04.club/ar_belgbd-cfi-98/english/mac/index.php</t>
  </si>
  <si>
    <t>www.figg04.zigxi.com</t>
  </si>
  <si>
    <t>5f4164bf90f85</t>
  </si>
  <si>
    <t>http://www.figg04.zigxi.com/ar_belgbd-cfi-98/english/mac/</t>
  </si>
  <si>
    <t>5f416420e8134</t>
  </si>
  <si>
    <t>http://www.figg03.zigxi.com/ar_finu_7sh/english/mac/index.php</t>
  </si>
  <si>
    <t>5f41640fa5bf2</t>
  </si>
  <si>
    <t>http://www.figg03.zigxi.com/ar_netherland_hfu-adxd/english/mac/index.php</t>
  </si>
  <si>
    <t>5f4163f993984</t>
  </si>
  <si>
    <t>http://www.figg03.zigxi.com/ar_sdn_dhu-wuj07/english/mac/index.php</t>
  </si>
  <si>
    <t>5f4163c3dc165</t>
  </si>
  <si>
    <t>http://www.figg03.zigxi.com/ar_belgbd-cfi-98/english/mac/index.php</t>
  </si>
  <si>
    <t>www.aakui02.club</t>
  </si>
  <si>
    <t>5f416256c309a</t>
  </si>
  <si>
    <t>http://www.aakui02.club/ar_netherland_hfu-adxd/other/windows/</t>
  </si>
  <si>
    <t>www.aakui01.club</t>
  </si>
  <si>
    <t>5f4161c8485d0</t>
  </si>
  <si>
    <t>http://www.aakui01.club/ar_sdn_dhu-wuj07/</t>
  </si>
  <si>
    <t>www.aakui02.zigxi.com</t>
  </si>
  <si>
    <t>5f402916bbb2a</t>
  </si>
  <si>
    <t>http://www.aakui02.zigxi.com/ar_sdn_dhu-wuj07/</t>
  </si>
  <si>
    <t>5f4028fcd6d60</t>
  </si>
  <si>
    <t>http://www.aakui01.club/ar_finu_7sh/</t>
  </si>
  <si>
    <t>www.aakui01.zigxi.com</t>
  </si>
  <si>
    <t>5f4028e98ae8c</t>
  </si>
  <si>
    <t>http://www.aakui01.zigxi.com/ar_sdn_dhu-wuj07/</t>
  </si>
  <si>
    <t>5f4028d6c0f55</t>
  </si>
  <si>
    <t>http://aakui02.club/ar_sdn_dhu-wuj07/</t>
  </si>
  <si>
    <t>mic00.club</t>
  </si>
  <si>
    <t>5f3e9e08937f6</t>
  </si>
  <si>
    <t>http://mic00.club/ar_netherland_hfu-adxd/other/windows/</t>
  </si>
  <si>
    <t>5f3e90e431c3c</t>
  </si>
  <si>
    <t>http://figg04.club/ar_sdn_dhu-wuj07/</t>
  </si>
  <si>
    <t>figg03.club</t>
  </si>
  <si>
    <t>5f3e90cb4e75b</t>
  </si>
  <si>
    <t>http://figg03.club/ar_finu_7sh/</t>
  </si>
  <si>
    <t>5f3e90beddc68</t>
  </si>
  <si>
    <t>http://aakui01.club/ar_belgbd-cfi-98/</t>
  </si>
  <si>
    <t>5f3e90a3661ad</t>
  </si>
  <si>
    <t>http://www.aakui01.zigxi.com/ar_netherland_hfu-adxd/</t>
  </si>
  <si>
    <t>5f3d3a76e7f67</t>
  </si>
  <si>
    <t>http://figg00.zigxi.com/ar_belgbd-cfi-98/</t>
  </si>
  <si>
    <t>figg00.club</t>
  </si>
  <si>
    <t>5f3d3a6ae63d5</t>
  </si>
  <si>
    <t>http://figg00.club/ar_sdn_dhu-wuj07/</t>
  </si>
  <si>
    <t>5f3d3ab2bb5e6</t>
  </si>
  <si>
    <t>http://figg00.club/ar_belgbd-cfi-98/</t>
  </si>
  <si>
    <t>www.figg03.club</t>
  </si>
  <si>
    <t>5f3d3a2695781</t>
  </si>
  <si>
    <t>http://www.figg03.club/ar_swz_bs7_k/</t>
  </si>
  <si>
    <t>www.figg04.club</t>
  </si>
  <si>
    <t>5f3d3a1a3efee</t>
  </si>
  <si>
    <t>http://www.figg04.club/ar_belgbd-cfi-98/</t>
  </si>
  <si>
    <t>figg03.zigxi.com</t>
  </si>
  <si>
    <t>5f3d3a44e2137</t>
  </si>
  <si>
    <t>http://figg03.zigxi.com/ar_netherland_hfu-adxd/</t>
  </si>
  <si>
    <t>5f3d3a0a65782</t>
  </si>
  <si>
    <t>http://figg03.club/ar_belgbd-cfi-98/</t>
  </si>
  <si>
    <t>5f3c235934207</t>
  </si>
  <si>
    <t>http://figg00.club/ar_netherland_hfu-adxd/english/mac/</t>
  </si>
  <si>
    <t>5f3c224823c20</t>
  </si>
  <si>
    <t>http://figg00.club/ar_netherland_hfu-adxd/english/windows/</t>
  </si>
  <si>
    <t>5f3c2178e3e08</t>
  </si>
  <si>
    <t>http://mic00.club/ar_sdn_dhu-wuj07/english/windows/</t>
  </si>
  <si>
    <t>5f3c1219462b5</t>
  </si>
  <si>
    <t>http://mic00.club/ar_sdn_dhu-wuj07/italian/windows/</t>
  </si>
  <si>
    <t>mic01.club</t>
  </si>
  <si>
    <t>5f3c11fde144b</t>
  </si>
  <si>
    <t>http://mic01.club/ar_sdn_dhu-wuj07/italian/windows/</t>
  </si>
  <si>
    <t>mic02.club</t>
  </si>
  <si>
    <t>5f3c11f9c5044</t>
  </si>
  <si>
    <t>http://mic02.club/ar_sdn_dhu-wuj07/italian/windows/</t>
  </si>
  <si>
    <t>mic03.club</t>
  </si>
  <si>
    <t>5f3c11df3f59a</t>
  </si>
  <si>
    <t>http://mic03.club/ar_sdn_dhu-wuj07/italian/windows/</t>
  </si>
  <si>
    <t>mic04.club</t>
  </si>
  <si>
    <t>5f3c119c0f28b</t>
  </si>
  <si>
    <t>http://mic04.club/ar_belgbd-cfi-98/italian/windows/</t>
  </si>
  <si>
    <t>mic07.club</t>
  </si>
  <si>
    <t>5f3c11783c1a9</t>
  </si>
  <si>
    <t>http://mic07.club/ar_sdn_dhu-wuj07/italian/windows/</t>
  </si>
  <si>
    <t>5f3c115a98bca</t>
  </si>
  <si>
    <t>http://figg00.club/ar_netherland_hfu-adxd/italian/windows/</t>
  </si>
  <si>
    <t>5f3c1121aeec3</t>
  </si>
  <si>
    <t>http://figg04.zigxi.com/ar_netherland_hfu-adxd/italian/windows/</t>
  </si>
  <si>
    <t>5f3c10d92acc4</t>
  </si>
  <si>
    <t>http://figg04.club/ar_netherland_hfu-adxd/italian/windows/</t>
  </si>
  <si>
    <t>5f349a4fc70ed</t>
  </si>
  <si>
    <t>http://mic03.club/ar_belgbd-cfi-98/</t>
  </si>
  <si>
    <t>www.mic04.club</t>
  </si>
  <si>
    <t>5f349a339b060</t>
  </si>
  <si>
    <t>http://www.mic04.club/ar_belgbd-cfi-98/</t>
  </si>
  <si>
    <t>mail.mic03.club</t>
  </si>
  <si>
    <t>5f349a2aeee08</t>
  </si>
  <si>
    <t>http://mail.mic03.club/ar_finu_7sh/</t>
  </si>
  <si>
    <t>mail.mic04.club</t>
  </si>
  <si>
    <t>5f349a1bdc38e</t>
  </si>
  <si>
    <t>http://mail.mic04.club/ar_sdn_dhu-wuj07/</t>
  </si>
  <si>
    <t>rig05.zigxi.com</t>
  </si>
  <si>
    <t>5f3176a86f7e7</t>
  </si>
  <si>
    <t>http://rig05.zigxi.com/ar_sdn_dhu-wuj07/</t>
  </si>
  <si>
    <t>rig05.club</t>
  </si>
  <si>
    <t>5f3176a1288aa</t>
  </si>
  <si>
    <t>http://rig05.club/ar_belgbd-cfi-98/</t>
  </si>
  <si>
    <t>mail.rig05.club</t>
  </si>
  <si>
    <t>5f317681a1d99</t>
  </si>
  <si>
    <t>http://mail.rig05.club/ar_sdn_dhu-wuj07/</t>
  </si>
  <si>
    <t>5f30a26b2b1ad</t>
  </si>
  <si>
    <t>http://mail.rig04.club/ar_belgbd-cfi-98/</t>
  </si>
  <si>
    <t>rig04.club</t>
  </si>
  <si>
    <t>5f2f0d0a0d44d</t>
  </si>
  <si>
    <t>http://rig04.club/ar_netherland_hfu-adxd/italian/windows/</t>
  </si>
  <si>
    <t>5f2c624c8bb19</t>
  </si>
  <si>
    <t>http://rig04.club/ar_swz_bs7_k/italian/windows/</t>
  </si>
  <si>
    <t>mail.rig03.club</t>
  </si>
  <si>
    <t>5f2c57e00a031</t>
  </si>
  <si>
    <t>http://mail.rig03.club/ar_sdn_dhu-wuj07/italian/windows/</t>
  </si>
  <si>
    <t>5f2bf17febe2f</t>
  </si>
  <si>
    <t>http://rig04.club/ar_finu_7sh/english/mac/</t>
  </si>
  <si>
    <t>5f2be82a80bc3</t>
  </si>
  <si>
    <t>http://rig04.club/ar_netherland_hfu-adxd/english/windows/</t>
  </si>
  <si>
    <t>5f2be8252638c</t>
  </si>
  <si>
    <t>http://rig04.club/ar_sdn_dhu-wuj07/english/windows/</t>
  </si>
  <si>
    <t>5f2be09e7cae9</t>
  </si>
  <si>
    <t>http://rig04.club/ar_swz_bs7_k/english/windows/</t>
  </si>
  <si>
    <t>5f2be81ec0390</t>
  </si>
  <si>
    <t>http://rig04.club/ar_finu_7sh/english/windows/</t>
  </si>
  <si>
    <t>5f2be8145f958</t>
  </si>
  <si>
    <t>http://rig04.club/ar_belgbd-cfi-98/english/windows/</t>
  </si>
  <si>
    <t>rig00.zigxi.com</t>
  </si>
  <si>
    <t>5f2aa3fdb8731</t>
  </si>
  <si>
    <t>http://rig00.zigxi.com/ar_finu_7sh/italian/windows/</t>
  </si>
  <si>
    <t>rig00.club</t>
  </si>
  <si>
    <t>5f2a8fec8cc05</t>
  </si>
  <si>
    <t>http://rig00.club/ar_netherland_hfu-adxd/italian/windows/</t>
  </si>
  <si>
    <t>rig02.zigxi.com</t>
  </si>
  <si>
    <t>5f2aa3ee8109d</t>
  </si>
  <si>
    <t>http://rig02.zigxi.com/ar_swz_bs7_k/italian/windows/</t>
  </si>
  <si>
    <t>rig02.club</t>
  </si>
  <si>
    <t>5f2a8479d2d6f</t>
  </si>
  <si>
    <t>http://rig02.club/ar_swz_bs7_k/german/windows/</t>
  </si>
  <si>
    <t>rika03.zigxi.com</t>
  </si>
  <si>
    <t>5f1fde72f0dc5</t>
  </si>
  <si>
    <t>http://rika03.zigxi.com/ar_netherland_hfu-adxd/english/chrome/</t>
  </si>
  <si>
    <t>mail.rika03.club</t>
  </si>
  <si>
    <t>5f1fde4630232</t>
  </si>
  <si>
    <t>http://mail.rika03.club/ar_netherland_hfu-adxd/english/chrome/</t>
  </si>
  <si>
    <t>rika03.club</t>
  </si>
  <si>
    <t>5f1eddd8b0235</t>
  </si>
  <si>
    <t>http://rika03.club/ar_belgbd-cfi-98/english/chrome/</t>
  </si>
  <si>
    <t>monoaristi.com</t>
  </si>
  <si>
    <t>172.67.203.189</t>
  </si>
  <si>
    <t>5f1f5ae663b52</t>
  </si>
  <si>
    <t>https://monoaristi.com/WindowsChrome/?tid=MxZsAvyXyX4hSXQ4SDZ9om</t>
  </si>
  <si>
    <t>www.letsplaysolitares.site</t>
  </si>
  <si>
    <t>164.90.157.23</t>
  </si>
  <si>
    <t>5f1fda03f06d0</t>
  </si>
  <si>
    <t>https://www.letsplaysolitares.site/IEWInhelp10010101x/</t>
  </si>
  <si>
    <t>5f1fd9c97d12f</t>
  </si>
  <si>
    <t>http://164.90.157.23/FFMacHelp011010x</t>
  </si>
  <si>
    <t>letsplaysolitares.site</t>
  </si>
  <si>
    <t>5f1f6fb87ac13</t>
  </si>
  <si>
    <t>https://letsplaysolitares.site/SAMacHelp011010x/</t>
  </si>
  <si>
    <t>bitmap394.ga</t>
  </si>
  <si>
    <t>172.67.170.102</t>
  </si>
  <si>
    <t>5f1f8b886f329</t>
  </si>
  <si>
    <t>https://bitmap394.ga/Sdsf-fs-dfs-dsd0.bed/Mafsdfsdfsddsds90/</t>
  </si>
  <si>
    <t>64.227.51.56</t>
  </si>
  <si>
    <t>5f20ada5ead55</t>
  </si>
  <si>
    <t>http://64.227.51.56/edgechromium-26july/?phone=+1-(844)-471-4944&amp;amp;</t>
  </si>
  <si>
    <t>raicloudaven.tk</t>
  </si>
  <si>
    <t>104.24.106.190</t>
  </si>
  <si>
    <t>5f200b9f45c0c</t>
  </si>
  <si>
    <t>http://raicloudaven.tk/WChsfsdfjdsfjdsfjVX/</t>
  </si>
  <si>
    <t>206.189.168.119</t>
  </si>
  <si>
    <t>5f200ba990f17</t>
  </si>
  <si>
    <t>http://206.189.168.119/CHFIR_sdsddshelpXQ/</t>
  </si>
  <si>
    <t>64.227.61.171</t>
  </si>
  <si>
    <t>5f200bb3dc5d8</t>
  </si>
  <si>
    <t>http://64.227.61.171/CHFIR_sdsddshelpXQ/</t>
  </si>
  <si>
    <t>affeslichild.ga</t>
  </si>
  <si>
    <t>104.24.106.65</t>
  </si>
  <si>
    <t>5f200c907a643</t>
  </si>
  <si>
    <t>http://affeslichild.ga/WChsfsdfjdsfjdsfjVX/</t>
  </si>
  <si>
    <t>aresexri.ga</t>
  </si>
  <si>
    <t>104.27.188.212</t>
  </si>
  <si>
    <t>5f200d4b1a43b</t>
  </si>
  <si>
    <t>http://aresexri.ga/WChsfsdfjdsfjdsfjVX/</t>
  </si>
  <si>
    <t>call-bulgaria-support-errortype2949225.000webhostapp.com</t>
  </si>
  <si>
    <t>145.14.144.176</t>
  </si>
  <si>
    <t>5f200d666249f</t>
  </si>
  <si>
    <t>https://call-bulgaria-support-errortype2949225.000webhostapp.com/call-support/en/windows/</t>
  </si>
  <si>
    <t>fahlrepoma.tk</t>
  </si>
  <si>
    <t>104.27.189.211</t>
  </si>
  <si>
    <t>5f200d84da6ef</t>
  </si>
  <si>
    <t>http://fahlrepoma.tk/WChsfsdfjdsfjdsfjVX/</t>
  </si>
  <si>
    <t>faividunpha.gq</t>
  </si>
  <si>
    <t>104.18.56.213</t>
  </si>
  <si>
    <t>5f200d907e49a</t>
  </si>
  <si>
    <t>http://faividunpha.gq/WChsfsdfjdsfjdsfjVX/</t>
  </si>
  <si>
    <t>myslohochpinn.ml</t>
  </si>
  <si>
    <t>172.67.210.242</t>
  </si>
  <si>
    <t>5f39ee8638548</t>
  </si>
  <si>
    <t>http://myslohochpinn.ml/WMachdsfgdsffdVX/</t>
  </si>
  <si>
    <t>5f200e4b80df5</t>
  </si>
  <si>
    <t>http://myslohochpinn.ml/WChsfsdfjdsfjdsfjVX/</t>
  </si>
  <si>
    <t>suppresse.tk</t>
  </si>
  <si>
    <t>104.27.169.136</t>
  </si>
  <si>
    <t>5f200e808985b</t>
  </si>
  <si>
    <t>http://suppresse.tk/WEdsjsjhskhkasdVX/</t>
  </si>
  <si>
    <t>upmadano.ml</t>
  </si>
  <si>
    <t>104.27.170.144</t>
  </si>
  <si>
    <t>5f39ee2ba67e3</t>
  </si>
  <si>
    <t>http://upmadano.ml/WMachdsfgdsffdVX/</t>
  </si>
  <si>
    <t>5f200ec27b49f</t>
  </si>
  <si>
    <t>http://upmadano.ml/WChsfsdfjdsfjdsfjVX/</t>
  </si>
  <si>
    <t>alltomeger.cf</t>
  </si>
  <si>
    <t>178.128.113.14</t>
  </si>
  <si>
    <t>5f30a36133943</t>
  </si>
  <si>
    <t>http://alltomeger.cf/</t>
  </si>
  <si>
    <t>alltomeger.ml</t>
  </si>
  <si>
    <t>5f30a35d3f0ac</t>
  </si>
  <si>
    <t>http://alltomeger.ml/</t>
  </si>
  <si>
    <t>simon564says.ml</t>
  </si>
  <si>
    <t>5f30a34ea072b</t>
  </si>
  <si>
    <t>http://simon564says.ml/</t>
  </si>
  <si>
    <t>movster3s4.ga</t>
  </si>
  <si>
    <t>5f30a32fce4bd</t>
  </si>
  <si>
    <t>http://movster3s4.ga/</t>
  </si>
  <si>
    <t>121324538a.ga</t>
  </si>
  <si>
    <t>5f30a30c5fbff</t>
  </si>
  <si>
    <t>http://121324538a.ga/</t>
  </si>
  <si>
    <t>121324538a.ml</t>
  </si>
  <si>
    <t>5f30a31a54927</t>
  </si>
  <si>
    <t>http://121324538a.ml/</t>
  </si>
  <si>
    <t>yinyanyox.ml</t>
  </si>
  <si>
    <t>5f200ffe24eb7</t>
  </si>
  <si>
    <t>http://yinyanyox.ml/</t>
  </si>
  <si>
    <t>rootdata574.cf</t>
  </si>
  <si>
    <t>172.67.177.186</t>
  </si>
  <si>
    <t>5f201467abe2f</t>
  </si>
  <si>
    <t>https://rootdata574.cf/Dsdsd-sd0sds0ds-dsds.bph/MA100101010XCDH/</t>
  </si>
  <si>
    <t>firmware852.ml</t>
  </si>
  <si>
    <t>172.67.142.114</t>
  </si>
  <si>
    <t>5f201485686e2</t>
  </si>
  <si>
    <t>https://firmware852.ml/Sdsd-dsfsdf-0dsfs.nbf/XMAdhdsbfhgdfhdgfMKx/</t>
  </si>
  <si>
    <t>ptc.kreativaproducciones.com</t>
  </si>
  <si>
    <t>162.213.248.86</t>
  </si>
  <si>
    <t>5f201451de7e0</t>
  </si>
  <si>
    <t>http://ptc.kreativaproducciones.com/error/systemerror-ie-edge/?phone=+1-888-521-2008&amp;amp;</t>
  </si>
  <si>
    <t>AS53755</t>
  </si>
  <si>
    <t>conducttest.com</t>
  </si>
  <si>
    <t>Input Output Flood LLC</t>
  </si>
  <si>
    <t>107.189.160.195</t>
  </si>
  <si>
    <t>InputOutputFloodLLC</t>
  </si>
  <si>
    <t>5f20146ce5dfe</t>
  </si>
  <si>
    <t>https://conducttest.com/error/systemerror-ie-edge/?phone=+1-888-521-2008&amp;amp;</t>
  </si>
  <si>
    <t>hostidea.online</t>
  </si>
  <si>
    <t>161.35.145.63</t>
  </si>
  <si>
    <t>5f2014b1bf2e1</t>
  </si>
  <si>
    <t>https://hostidea.online/77xxnoxx5xy/SAMacHelp011010x/?site=</t>
  </si>
  <si>
    <t>onlinepersonalcare.site</t>
  </si>
  <si>
    <t>164.90.149.56</t>
  </si>
  <si>
    <t>5f2014cfcf077</t>
  </si>
  <si>
    <t>https://onlinepersonalcare.site/SAMacHelp011010x/</t>
  </si>
  <si>
    <t>64.227.80.143</t>
  </si>
  <si>
    <t>5f205b2dd2255</t>
  </si>
  <si>
    <t>http://64.227.80.143/edgechromium-26july/?phone=+1-(844)-472-2358&amp;amp;</t>
  </si>
  <si>
    <t>ioshellpsuport.info</t>
  </si>
  <si>
    <t>166.62.73.64</t>
  </si>
  <si>
    <t>5fcf9a1853f75</t>
  </si>
  <si>
    <t>http://ioshellpsuport.info/</t>
  </si>
  <si>
    <t>info</t>
  </si>
  <si>
    <t>ioshelpsupport.info</t>
  </si>
  <si>
    <t>5fca4ff082a80</t>
  </si>
  <si>
    <t>http://ioshelpsupport.info/</t>
  </si>
  <si>
    <t>supportweb.info</t>
  </si>
  <si>
    <t>5fca4f990e2d9</t>
  </si>
  <si>
    <t>http://supportweb.info/chrx-np/</t>
  </si>
  <si>
    <t>ioshelp.info</t>
  </si>
  <si>
    <t>5fca4f5c18386</t>
  </si>
  <si>
    <t>http://ioshelp.info/</t>
  </si>
  <si>
    <t>heiipiossupporrt.info</t>
  </si>
  <si>
    <t>5f742dfd5267d</t>
  </si>
  <si>
    <t>http://heiipiossupporrt.info/micr/chrx-np/</t>
  </si>
  <si>
    <t>helpiossuprrt.info</t>
  </si>
  <si>
    <t>5f742caa93e7e</t>
  </si>
  <si>
    <t>http://helpiossuprrt.info/</t>
  </si>
  <si>
    <t>heiipiossuport.info</t>
  </si>
  <si>
    <t>5f742c0855cae</t>
  </si>
  <si>
    <t>http://heiipiossuport.info/</t>
  </si>
  <si>
    <t>heiipmicros.info</t>
  </si>
  <si>
    <t>5f742bf685004</t>
  </si>
  <si>
    <t>http://heiipmicros.info/micr/chrx-np/</t>
  </si>
  <si>
    <t>heilpiossuporta.info</t>
  </si>
  <si>
    <t>5f494d5fab832</t>
  </si>
  <si>
    <t>http://heilpiossuporta.info/</t>
  </si>
  <si>
    <t>hellppiossuporrta.info</t>
  </si>
  <si>
    <t>5f494d4e638b8</t>
  </si>
  <si>
    <t>http://hellppiossuporrta.info/</t>
  </si>
  <si>
    <t>hhiilpiossuporrt.info</t>
  </si>
  <si>
    <t>5f494b970f01b</t>
  </si>
  <si>
    <t>http://hhiilpiossuporrt.info/</t>
  </si>
  <si>
    <t>hiilpiosupoorrt.info</t>
  </si>
  <si>
    <t>5f494b7499c73</t>
  </si>
  <si>
    <t>http://hiilpiosupoorrt.info/</t>
  </si>
  <si>
    <t>helpiiossuprta.info</t>
  </si>
  <si>
    <t>5f494be04b4ae</t>
  </si>
  <si>
    <t>http://helpiiossuprta.info/</t>
  </si>
  <si>
    <t>helpanderosupprrt.xyz</t>
  </si>
  <si>
    <t>5f4949e62dac2</t>
  </si>
  <si>
    <t>http://helpanderosupprrt.xyz/</t>
  </si>
  <si>
    <t>heilpiossupprrt.info</t>
  </si>
  <si>
    <t>5f4949cd34c18</t>
  </si>
  <si>
    <t>http://heilpiossupprrt.info/</t>
  </si>
  <si>
    <t>heipiosspprt.info</t>
  </si>
  <si>
    <t>5f4949b47c029</t>
  </si>
  <si>
    <t>http://heipiosspprt.info/</t>
  </si>
  <si>
    <t>ululi1.ga</t>
  </si>
  <si>
    <t>104.27.156.148</t>
  </si>
  <si>
    <t>5f2015a2cb1bd</t>
  </si>
  <si>
    <t>https://ululi1.ga/mcc2-0531/Saf-321749/</t>
  </si>
  <si>
    <t>error-code-2319-675-call-support.azurewebsites.net</t>
  </si>
  <si>
    <t>52.176.104.120</t>
  </si>
  <si>
    <t>5f2015b323ea9</t>
  </si>
  <si>
    <t>http://error-code-2319-675-call-support.azurewebsites.net/0MA01011001_1010x/</t>
  </si>
  <si>
    <t>ulole4.ga</t>
  </si>
  <si>
    <t>104.24.113.245</t>
  </si>
  <si>
    <t>5f2015ecab87d</t>
  </si>
  <si>
    <t>https://ulole4.ga/waf1-8642/Saf-912381/</t>
  </si>
  <si>
    <t>AS393398</t>
  </si>
  <si>
    <t>Bradenton</t>
  </si>
  <si>
    <t>oyunabagsh.com</t>
  </si>
  <si>
    <t>DFW Datacenter</t>
  </si>
  <si>
    <t>72.9.158.14</t>
  </si>
  <si>
    <t>DFWDatacenter</t>
  </si>
  <si>
    <t>5f381345820e2</t>
  </si>
  <si>
    <t>http://oyunabagsh.com/error-fail/MSaxMD_S/</t>
  </si>
  <si>
    <t>www.tumurt-urguu.com</t>
  </si>
  <si>
    <t>5f26bb60cd684</t>
  </si>
  <si>
    <t>http://www.tumurt-urguu.com/errors/fail/S1001010101001CHY/</t>
  </si>
  <si>
    <t>mail.inspiration.mn</t>
  </si>
  <si>
    <t>5f26a1bdd7b0c</t>
  </si>
  <si>
    <t>http://mail.inspiration.mn/error/MSaxMD_S/</t>
  </si>
  <si>
    <t>mn</t>
  </si>
  <si>
    <t>qualsmart.com</t>
  </si>
  <si>
    <t>5f2671f4e3e0d</t>
  </si>
  <si>
    <t>https://qualsmart.com/error/S1001010101001CHY/</t>
  </si>
  <si>
    <t>reiwaplan.com</t>
  </si>
  <si>
    <t>5f2671c53b6e8</t>
  </si>
  <si>
    <t>https://reiwaplan.com/check-errors/S1001010101001CHY/</t>
  </si>
  <si>
    <t>inspiration.mn</t>
  </si>
  <si>
    <t>5f2450ab547bd</t>
  </si>
  <si>
    <t>https://inspiration.mn/error/MSaxMD_S/</t>
  </si>
  <si>
    <t>hantushig.com</t>
  </si>
  <si>
    <t>5f2029eceb3b0</t>
  </si>
  <si>
    <t>http://hantushig.com/fatal/error/S1001010101001CHY/</t>
  </si>
  <si>
    <t>tumurt-urguu.com</t>
  </si>
  <si>
    <t>5f20298cadd89</t>
  </si>
  <si>
    <t>https://tumurt-urguu.com/errors/fail/S1001010101001CHY/</t>
  </si>
  <si>
    <t>www.reiwaplan.com</t>
  </si>
  <si>
    <t>5f2018ca4339c</t>
  </si>
  <si>
    <t>http://www.reiwaplan.com/check/fail/fatal/error/MFixMD_S/</t>
  </si>
  <si>
    <t>5f2016e3b313a</t>
  </si>
  <si>
    <t>http://reiwaplan.com/check/fail/fatal/error/S1001010101001CHY/</t>
  </si>
  <si>
    <t>winsecurity7.fr</t>
  </si>
  <si>
    <t>104.18.58.154</t>
  </si>
  <si>
    <t>5f201a3dda2e9</t>
  </si>
  <si>
    <t>http://winsecurity7.fr/index.php/campaigns/hn080dxj2ddc4/track-url/xp164gw8s18e7/f81d8a079e5e0c0bbb49c650ea7b9193ed2af970</t>
  </si>
  <si>
    <t>winsecurity8.fr</t>
  </si>
  <si>
    <t>172.67.128.15</t>
  </si>
  <si>
    <t>5f201a616e13b</t>
  </si>
  <si>
    <t>http://winsecurity8.fr/index.php/campaigns/tt020fkzmrabd/track-url/bb450q3vre877/4c0f19da0de193dec77396ccbfb5767fff7fca2d</t>
  </si>
  <si>
    <t>ministe.xyz</t>
  </si>
  <si>
    <t>45.79.50.225</t>
  </si>
  <si>
    <t>5f201f47b5dd0</t>
  </si>
  <si>
    <t>http://ministe.xyz/agzr-edon/</t>
  </si>
  <si>
    <t>AS32475</t>
  </si>
  <si>
    <t>Walnut</t>
  </si>
  <si>
    <t>imediasolutions.co</t>
  </si>
  <si>
    <t>SingleHop</t>
  </si>
  <si>
    <t>173.236.44.34</t>
  </si>
  <si>
    <t>SingleHopLLC</t>
  </si>
  <si>
    <t>5f201fdf9a6d9</t>
  </si>
  <si>
    <t>https://imediasolutions.co/error/MSaxMD_S/</t>
  </si>
  <si>
    <t>104.27.157.148</t>
  </si>
  <si>
    <t>5f20235203686</t>
  </si>
  <si>
    <t>https://ululi1.ga/mcc2-0531/newchrome/chxchxchxchxchx/?phone=+1-888-441-0531&amp;amp;</t>
  </si>
  <si>
    <t>104.24.112.245</t>
  </si>
  <si>
    <t>5f20229500fe2</t>
  </si>
  <si>
    <t>https://ulole4.ga/waf1-8642/newchrome/chxchxchxchxchx/?phone=+1-888-388-8642&amp;amp;</t>
  </si>
  <si>
    <t>mail.yellowmaze.xyz</t>
  </si>
  <si>
    <t>166.62.28.123</t>
  </si>
  <si>
    <t>5f26d483ccdf9</t>
  </si>
  <si>
    <t>http://mail.yellowmaze.xyz/1sdafgdfvsdnbcdjbdsbfj2342x/</t>
  </si>
  <si>
    <t>yellowmaze.xyz</t>
  </si>
  <si>
    <t>5f20232d2f1d2</t>
  </si>
  <si>
    <t>http://yellowmaze.xyz/1sdafgdfvsdnbcdjbdsbfj2342x/</t>
  </si>
  <si>
    <t>microsoft.error541.xyz</t>
  </si>
  <si>
    <t>104.27.175.90</t>
  </si>
  <si>
    <t>5f2049d04e8a3</t>
  </si>
  <si>
    <t>http://microsoft.error541.xyz/</t>
  </si>
  <si>
    <t>livequick-support108.azurewebsites.net</t>
  </si>
  <si>
    <t>20.49.97.0</t>
  </si>
  <si>
    <t>5faf3d4a7fcbe</t>
  </si>
  <si>
    <t>http://livequick-support108.azurewebsites.net/JArbZ98cFQJapCA/</t>
  </si>
  <si>
    <t>livequick-support095.azurewebsites.net</t>
  </si>
  <si>
    <t>5faf39c1b2645</t>
  </si>
  <si>
    <t>http://livequick-support095.azurewebsites.net/JArbZ98cFQJapCA/</t>
  </si>
  <si>
    <t>livequick-support068.azurewebsites.net</t>
  </si>
  <si>
    <t>5faf390f59be5</t>
  </si>
  <si>
    <t>http://livequick-support068.azurewebsites.net/JArbZ98cFQJapCA/</t>
  </si>
  <si>
    <t>quick-support078.azurewebsites.net</t>
  </si>
  <si>
    <t>5fa439e6f405a</t>
  </si>
  <si>
    <t>https://quick-support078.azurewebsites.net/KZPnhPzq8R8jHBD/</t>
  </si>
  <si>
    <t>quick-support068.azurewebsites.net</t>
  </si>
  <si>
    <t>5fa439814b008</t>
  </si>
  <si>
    <t>https://quick-support068.azurewebsites.net/KZPnhPzq8R8jHBD/</t>
  </si>
  <si>
    <t>callsupport077.azurewebsites.net</t>
  </si>
  <si>
    <t>5fa2efc2ad330</t>
  </si>
  <si>
    <t>https://callsupport077.azurewebsites.net/UsvCPP4t5Gxga6T/</t>
  </si>
  <si>
    <t>freequickssupports037.azurewebsites.net</t>
  </si>
  <si>
    <t>5f970d5c6f6e8</t>
  </si>
  <si>
    <t>https://freequickssupports037.azurewebsites.net/9GMEFgvzgTaEgPD/</t>
  </si>
  <si>
    <t>bestgeekscare48.azurewebsites.net</t>
  </si>
  <si>
    <t>5f7b7989dd9e1</t>
  </si>
  <si>
    <t>https://bestgeekscare48.azurewebsites.net/TZZsyhcrt2Wrbu9/</t>
  </si>
  <si>
    <t>livehelpsupport98.azurewebsites.net</t>
  </si>
  <si>
    <t>5f74e9640d749</t>
  </si>
  <si>
    <t>http://livehelpsupport98.azurewebsites.net/P8fBTPd33cqy3WA/</t>
  </si>
  <si>
    <t>livehelpsupport109.azurewebsites.net</t>
  </si>
  <si>
    <t>5f74dc0d41125</t>
  </si>
  <si>
    <t>https://livehelpsupport109.azurewebsites.net/P8fBTPd33cqy3WA/</t>
  </si>
  <si>
    <t>liveonlinepchelp37.azurewebsites.net</t>
  </si>
  <si>
    <t>5f737829dfb3a</t>
  </si>
  <si>
    <t>https://liveonlinepchelp37.azurewebsites.net/6Yeqm5nqUDDNFgk/</t>
  </si>
  <si>
    <t>freeonlinepchelp17.azurewebsites.net</t>
  </si>
  <si>
    <t>5f6b9e5eb5cde</t>
  </si>
  <si>
    <t>https://freeonlinepchelp17.azurewebsites.net/PjY6bTgrEnuKddE/</t>
  </si>
  <si>
    <t>freecomputerhelp158.azurewebsites.net</t>
  </si>
  <si>
    <t>5f699e7652d1c</t>
  </si>
  <si>
    <t>https://freecomputerhelp158.azurewebsites.net/R7tcvkAFdAwS4B4</t>
  </si>
  <si>
    <t>freecomputerhelp108.azurewebsites.net</t>
  </si>
  <si>
    <t>5f699dee4c3de</t>
  </si>
  <si>
    <t>https://freecomputerhelp108.azurewebsites.net/R7tcvkAFdAwS4B4</t>
  </si>
  <si>
    <t>freecomputerhelp38.azurewebsites.net</t>
  </si>
  <si>
    <t>5f68d9f6c60bb</t>
  </si>
  <si>
    <t>https://freecomputerhelp38.azurewebsites.net/R7tcvkAFdAwS4B4/</t>
  </si>
  <si>
    <t>5f6338892616e</t>
  </si>
  <si>
    <t>https://freepchelp188.azurewebsites.net/TxHTvPq9EFWfwjb/</t>
  </si>
  <si>
    <t>freepchelpforum28.azurewebsites.net</t>
  </si>
  <si>
    <t>5f62884272412</t>
  </si>
  <si>
    <t>https://freepchelpforum28.azurewebsites.net/TxHTvPq9EFWfwjb/</t>
  </si>
  <si>
    <t>freepchelp08.azurewebsites.net</t>
  </si>
  <si>
    <t>5f61c6164e9e9</t>
  </si>
  <si>
    <t>https://freepchelp08.azurewebsites.net/ERDDrHjVfKbFJbQ/</t>
  </si>
  <si>
    <t>freepchelp47.azurewebsites.net</t>
  </si>
  <si>
    <t>5f61c5ab36a67</t>
  </si>
  <si>
    <t>https://freepchelp47.azurewebsites.net/ERDDrHjVfKbFJbQ/</t>
  </si>
  <si>
    <t>freepchelp59.azurewebsites.net</t>
  </si>
  <si>
    <t>5f61c58d18054</t>
  </si>
  <si>
    <t>https://freepchelp59.azurewebsites.net/ERDDrHjVfKbFJbQ/</t>
  </si>
  <si>
    <t>5f6166596d441</t>
  </si>
  <si>
    <t>https://freepchelp88.azurewebsites.net/ERDDrHjVfKbFJbQ/</t>
  </si>
  <si>
    <t>freepchelponline08.azurewebsites.net</t>
  </si>
  <si>
    <t>5f60f968b8ba3</t>
  </si>
  <si>
    <t>https://freepchelponline08.azurewebsites.net/ERDDrHjVfKbFJbQ/</t>
  </si>
  <si>
    <t>pconlinehelp168.azurewebsites.net</t>
  </si>
  <si>
    <t>5f60e72334bcb</t>
  </si>
  <si>
    <t>https://pconlinehelp168.azurewebsites.net/ERDDrHjVfKbFJbQ/</t>
  </si>
  <si>
    <t>pconlinehelp178.azurewebsites.net</t>
  </si>
  <si>
    <t>5f60e6c629153</t>
  </si>
  <si>
    <t>https://pconlinehelp178.azurewebsites.net/ERDDrHjVfKbFJbQ/</t>
  </si>
  <si>
    <t>pconlinehelp118.azurewebsites.net</t>
  </si>
  <si>
    <t>5f60797a0aeb5</t>
  </si>
  <si>
    <t>https://pconlinehelp118.azurewebsites.net/ERDDrHjVfKbFJbQ/</t>
  </si>
  <si>
    <t>pconlinehelp158.azurewebsites.net</t>
  </si>
  <si>
    <t>5f60791dc5676</t>
  </si>
  <si>
    <t>https://pconlinehelp158.azurewebsites.net/ERDDrHjVfKbFJbQ/</t>
  </si>
  <si>
    <t>pconlinehelp98.azurewebsites.net</t>
  </si>
  <si>
    <t>5f5fd3d1c532b</t>
  </si>
  <si>
    <t>https://pconlinehelp98.azurewebsites.net/ERDDrHjVfKbFJbQ/</t>
  </si>
  <si>
    <t>pconlinehelp28.azurewebsites.net</t>
  </si>
  <si>
    <t>5f5f9e0b1e3bd</t>
  </si>
  <si>
    <t>https://pconlinehelp28.azurewebsites.net/ERDDrHjVfKbFJbQ/</t>
  </si>
  <si>
    <t>pconlinehelp07.azurewebsites.net</t>
  </si>
  <si>
    <t>5f5f9bf589959</t>
  </si>
  <si>
    <t>https://pconlinehelp07.azurewebsites.net/ERDDrHjVfKbFJbQ/</t>
  </si>
  <si>
    <t>pchelpdesk57.azurewebsites.net</t>
  </si>
  <si>
    <t>5f5a5914523b8</t>
  </si>
  <si>
    <t>https://pchelpdesk57.azurewebsites.net/garretttanners7d/</t>
  </si>
  <si>
    <t>pchelpdesk48.azurewebsites.net</t>
  </si>
  <si>
    <t>5f5a58d990c32</t>
  </si>
  <si>
    <t>https://pchelpdesk48.azurewebsites.net/garretttanners7d/</t>
  </si>
  <si>
    <t>pchelpservices168.azurewebsites.net</t>
  </si>
  <si>
    <t>5f5934b5c413a</t>
  </si>
  <si>
    <t>https://pchelpservices168.azurewebsites.net/dawsonwhlerS7v/</t>
  </si>
  <si>
    <t>pchelpservices78.azurewebsites.net</t>
  </si>
  <si>
    <t>5f5916a67d21c</t>
  </si>
  <si>
    <t>https://pchelpservices78.azurewebsites.net/dawsonwhlerS7v/</t>
  </si>
  <si>
    <t>pchelpservices29.azurewebsites.net</t>
  </si>
  <si>
    <t>5f57ec8415a51</t>
  </si>
  <si>
    <t>https://pchelpservices29.azurewebsites.net/avfFeTpfJfSPuPx/</t>
  </si>
  <si>
    <t>callnow79.azurewebsites.net</t>
  </si>
  <si>
    <t>5f528722280c5</t>
  </si>
  <si>
    <t>http://callnow79.azurewebsites.net/Mer-cado/</t>
  </si>
  <si>
    <t>callnow49.azurewebsites.net</t>
  </si>
  <si>
    <t>5f52869418ba7</t>
  </si>
  <si>
    <t>http://callnow49.azurewebsites.net/Mer-cado/</t>
  </si>
  <si>
    <t>callnow28.azurewebsites.net</t>
  </si>
  <si>
    <t>5f52863198412</t>
  </si>
  <si>
    <t>http://callnow28.azurewebsites.net/Mer-cado/</t>
  </si>
  <si>
    <t>freesupportcall09.azurewebsites.net</t>
  </si>
  <si>
    <t>5f4e73a11c40a</t>
  </si>
  <si>
    <t>http://freesupportcall09.azurewebsites.net/q5gCvYnz6kzKvgY/</t>
  </si>
  <si>
    <t>customerfreesupport88.azurewebsites.net</t>
  </si>
  <si>
    <t>5f4d5b91adbee</t>
  </si>
  <si>
    <t>https://customerfreesupport88.azurewebsites.net/HNhGpB5gbMdVDyb/</t>
  </si>
  <si>
    <t>5f4d5b91017f9</t>
  </si>
  <si>
    <t>customerfreesupport18.azurewebsites.net</t>
  </si>
  <si>
    <t>5f4d5b3684567</t>
  </si>
  <si>
    <t>https://customerfreesupport18.azurewebsites.net/HNhGpB5gbMdVDyb/</t>
  </si>
  <si>
    <t>customerfreesupport28.azurewebsites.net</t>
  </si>
  <si>
    <t>5f4d5b272919e</t>
  </si>
  <si>
    <t>https://customerfreesupport28.azurewebsites.net/HNhGpB5gbMdVDyb/</t>
  </si>
  <si>
    <t>customerfreesupport38.azurewebsites.net</t>
  </si>
  <si>
    <t>5f4d5b133cc7c</t>
  </si>
  <si>
    <t>https://customerfreesupport38.azurewebsites.net/HNhGpB5gbMdVDyb/</t>
  </si>
  <si>
    <t>freesupport49.azurewebsites.net</t>
  </si>
  <si>
    <t>5f4c0d3c99a32</t>
  </si>
  <si>
    <t>http://freesupport49.azurewebsites.net/gHBW7zFVGjwcrjr/</t>
  </si>
  <si>
    <t>callnow-free119.azurewebsites.net</t>
  </si>
  <si>
    <t>5f4c092e5f38c</t>
  </si>
  <si>
    <t>http://callnow-free119.azurewebsites.net/S9M5QFaca7VkHSt/</t>
  </si>
  <si>
    <t>freesupportservice128.azurewebsites.net</t>
  </si>
  <si>
    <t>5f4ad8e440578</t>
  </si>
  <si>
    <t>http://freesupportservice128.azurewebsites.net/vcCsfdvjFg4P5tp/</t>
  </si>
  <si>
    <t>freecallcaresupport98.azurewebsites.net</t>
  </si>
  <si>
    <t>5f4aa3f9d1ed7</t>
  </si>
  <si>
    <t>http://freecallcaresupport98.azurewebsites.net/vTUPHmw6mhDcMgT/</t>
  </si>
  <si>
    <t>freecallcaresupport57.azurewebsites.net</t>
  </si>
  <si>
    <t>5f4aa338abc7a</t>
  </si>
  <si>
    <t>http://freecallcaresupport57.azurewebsites.net/vTUPHmw6mhDcMgT/</t>
  </si>
  <si>
    <t>freecallcaresupport08.azurewebsites.net</t>
  </si>
  <si>
    <t>5f4aa25093ae6</t>
  </si>
  <si>
    <t>http://freecallcaresupport08.azurewebsites.net/vTUPHmw6mhDcMgT/</t>
  </si>
  <si>
    <t>getfreesupport129.azurewebsites.net</t>
  </si>
  <si>
    <t>5f4975de2e9de</t>
  </si>
  <si>
    <t>http://getfreesupport129.azurewebsites.net/gHBW7zFVGjwcrjr/</t>
  </si>
  <si>
    <t>freemaintenance68.azurewebsites.net</t>
  </si>
  <si>
    <t>5f495e257aeb3</t>
  </si>
  <si>
    <t>http://freemaintenance68.azurewebsites.net/q5gCvYnz6kzKvgY/</t>
  </si>
  <si>
    <t>customercaresupport178.azurewebsites.net</t>
  </si>
  <si>
    <t>5f4947588dffc</t>
  </si>
  <si>
    <t>https://customercaresupport178.azurewebsites.net/HNhGpB5gbMdVDyb/</t>
  </si>
  <si>
    <t>carefreesupport18.azurewebsites.net</t>
  </si>
  <si>
    <t>5f48013b27cfc</t>
  </si>
  <si>
    <t>http://carefreesupport18.azurewebsites.net/vcCsfdvjFg4P5tp/index.html</t>
  </si>
  <si>
    <t>carefreesupport08.azurewebsites.net</t>
  </si>
  <si>
    <t>5f4800d154c88</t>
  </si>
  <si>
    <t>http://carefreesupport08.azurewebsites.net/vcCsfdvjFg4P5tp/index.html</t>
  </si>
  <si>
    <t>checkup28.azurewebsites.net</t>
  </si>
  <si>
    <t>5f447731d4580</t>
  </si>
  <si>
    <t>http://checkup28.azurewebsites.net/Kristy-Cortez/</t>
  </si>
  <si>
    <t>getfreesupport69.azurewebsites.net</t>
  </si>
  <si>
    <t>5f4450cf8dc7a</t>
  </si>
  <si>
    <t>https://getfreesupport69.azurewebsites.net/atEdYhpx5ykF2Ru/</t>
  </si>
  <si>
    <t>freesupportservice28.azurewebsites.net</t>
  </si>
  <si>
    <t>5f44426cc8836</t>
  </si>
  <si>
    <t>https://freesupportservice28.azurewebsites.net/8sx3ztC96XSvHKs/</t>
  </si>
  <si>
    <t>supportcenter69.azurewebsites.net</t>
  </si>
  <si>
    <t>5f4100faeeec5</t>
  </si>
  <si>
    <t>http://supportcenter69.azurewebsites.net/RcqJ92dKsXnk9v9/</t>
  </si>
  <si>
    <t>freesupport38.azurewebsites.net</t>
  </si>
  <si>
    <t>5f40299984ad1</t>
  </si>
  <si>
    <t>http://freesupport38.azurewebsites.net/atEdYhpx5ykF2Ru/</t>
  </si>
  <si>
    <t>togetfreesupport13.azurewebsites.net</t>
  </si>
  <si>
    <t>5f40298748c9c</t>
  </si>
  <si>
    <t>http://togetfreesupport13.azurewebsites.net/CxDm3vwargBTus8/</t>
  </si>
  <si>
    <t>calltogetfreesupport88.azurewebsites.net</t>
  </si>
  <si>
    <t>5f40298a789b0</t>
  </si>
  <si>
    <t>http://calltogetfreesupport88.azurewebsites.net/CxDm3vwargBTus8/</t>
  </si>
  <si>
    <t>calltogetfreesupport28.azurewebsites.net</t>
  </si>
  <si>
    <t>5f40297e44707</t>
  </si>
  <si>
    <t>http://calltogetfreesupport28.azurewebsites.net/uDqsMhe3DbefYU9/</t>
  </si>
  <si>
    <t>togetfreesupport148.azurewebsites.net</t>
  </si>
  <si>
    <t>5f4029686012b</t>
  </si>
  <si>
    <t>http://togetfreesupport148.azurewebsites.net/CxDm3vwargBTus8/</t>
  </si>
  <si>
    <t>freesupportservices18.azurewebsites.net</t>
  </si>
  <si>
    <t>5f402964c00a6</t>
  </si>
  <si>
    <t>http://freesupportservices18.azurewebsites.net/CxDm3vwargBTus8/</t>
  </si>
  <si>
    <t>togetfreesupport158.azurewebsites.net</t>
  </si>
  <si>
    <t>5f40296102f49</t>
  </si>
  <si>
    <t>http://togetfreesupport158.azurewebsites.net/CxDm3vwargBTus8/</t>
  </si>
  <si>
    <t>freesupportservices158.azurewebsites.net</t>
  </si>
  <si>
    <t>5f40294bcfe58</t>
  </si>
  <si>
    <t>http://freesupportservices158.azurewebsites.net/RcqJ92dKsXnk9v9/</t>
  </si>
  <si>
    <t>freesupport69.azurewebsites.net</t>
  </si>
  <si>
    <t>5f3f73645be22</t>
  </si>
  <si>
    <t>http://freesupport69.azurewebsites.net/atEdYhpx5ykF2Ru/</t>
  </si>
  <si>
    <t>supportcall78.azurewebsites.net</t>
  </si>
  <si>
    <t>5f3f734379006</t>
  </si>
  <si>
    <t>http://supportcall78.azurewebsites.net/uDqsMhe3DbefYU9/</t>
  </si>
  <si>
    <t>checkup89.azurewebsites.net</t>
  </si>
  <si>
    <t>5f3be884cc971</t>
  </si>
  <si>
    <t>http://checkup89.azurewebsites.net/Mer-cado/</t>
  </si>
  <si>
    <t>getfreesupport159.azurewebsites.net</t>
  </si>
  <si>
    <t>5f34a4d590dfa</t>
  </si>
  <si>
    <t>http://getfreesupport159.azurewebsites.net/atEdYhpx5ykF2Ru/</t>
  </si>
  <si>
    <t>computer89.azurewebsites.net</t>
  </si>
  <si>
    <t>5f30d7d836228</t>
  </si>
  <si>
    <t>http://computer89.azurewebsites.net/Belle-Plaine</t>
  </si>
  <si>
    <t>e33o3-engine-0100100132.azurewebsites.net</t>
  </si>
  <si>
    <t>5f20474a0d385</t>
  </si>
  <si>
    <t>http://e33o3-engine-0100100132.azurewebsites.net/MSaxMSXC/</t>
  </si>
  <si>
    <t>tihadnata.tk</t>
  </si>
  <si>
    <t>104.31.80.21</t>
  </si>
  <si>
    <t>5f204a0904d32</t>
  </si>
  <si>
    <t>http://tihadnata.tk/WChsfsdfjdsfjdsfjVX/</t>
  </si>
  <si>
    <t>onlinegymings.site</t>
  </si>
  <si>
    <t>104.131.51.23</t>
  </si>
  <si>
    <t>5f2056563d401</t>
  </si>
  <si>
    <t>https://onlinegymings.site/SAMacHelp011010x/</t>
  </si>
  <si>
    <t>system-security-alerts-hacking-attempt-found-0252.s3.us-east-2.amazon</t>
  </si>
  <si>
    <t>52.219.104.32</t>
  </si>
  <si>
    <t>5f20832d63303</t>
  </si>
  <si>
    <t>https://system-security-alerts-hacking-attempt-found-0252.s3.us-east-2.amazonaws.com/chrome_win/index.htm</t>
  </si>
  <si>
    <t>hellonet9esdlsdp.website</t>
  </si>
  <si>
    <t>198.54.126.106</t>
  </si>
  <si>
    <t>5f206a84f03e7</t>
  </si>
  <si>
    <t>https://hellonet9esdlsdp.website/54jhudtufjhkj/XEDdhdsbfhgdfhdgf7CTx/</t>
  </si>
  <si>
    <t>iconbase543.ml</t>
  </si>
  <si>
    <t>104.24.127.227</t>
  </si>
  <si>
    <t>5f207ed497b8b</t>
  </si>
  <si>
    <t>https://iconbase543.ml/Wfsdfd0sfsd-f0dsf.byf/XEDdhdsbfhgdfhdgfMKx/</t>
  </si>
  <si>
    <t>abreviation858.ml</t>
  </si>
  <si>
    <t>104.28.24.215</t>
  </si>
  <si>
    <t>5f2087715ec4a</t>
  </si>
  <si>
    <t>https://abreviation858.ml/Call_Microsoft_windows_Helpline519434/CHfdfdfdfd_AK/</t>
  </si>
  <si>
    <t>iteration493.cf</t>
  </si>
  <si>
    <t>172.67.203.118</t>
  </si>
  <si>
    <t>5f20887a20e24</t>
  </si>
  <si>
    <t>https://iteration493.cf/Wsadfsa0-df-sdf0.bdw/ED100101010XCDH/</t>
  </si>
  <si>
    <t>104.131.54.70</t>
  </si>
  <si>
    <t>5f2132190cf08</t>
  </si>
  <si>
    <t>http://104.131.54.70/SAMacHelp011010x/</t>
  </si>
  <si>
    <t>onlinepersonalsaloon.site</t>
  </si>
  <si>
    <t>5f20a52bb7362</t>
  </si>
  <si>
    <t>https://onlinepersonalsaloon.site/SAMacHelp011010x/</t>
  </si>
  <si>
    <t>globally493.ga</t>
  </si>
  <si>
    <t>172.67.186.119</t>
  </si>
  <si>
    <t>5f20aae60acab</t>
  </si>
  <si>
    <t>https://globally493.ga/Ddfsd-sdfsd-fds0.bvs/XEDdhdsbfhgdfhdgfMKx/</t>
  </si>
  <si>
    <t>nodenet484.ga</t>
  </si>
  <si>
    <t>104.24.109.241</t>
  </si>
  <si>
    <t>5f20d55448e9d</t>
  </si>
  <si>
    <t>https://nodenet484.ga/SAafsdf0-sdfsfd0s-dfs0f.hvd/Mafsdfsdfsddsds90/</t>
  </si>
  <si>
    <t>extelradad.ga</t>
  </si>
  <si>
    <t>104.18.61.3</t>
  </si>
  <si>
    <t>5f20db6393fc8</t>
  </si>
  <si>
    <t>http://extelradad.ga/WChsfsdfjdsfjdsfjVX/</t>
  </si>
  <si>
    <t>andracenic.ga</t>
  </si>
  <si>
    <t>104.24.122.7</t>
  </si>
  <si>
    <t>5f20db81af9ac</t>
  </si>
  <si>
    <t>http://andracenic.ga/WChsfsdfjdsfjdsfjVX/</t>
  </si>
  <si>
    <t>allurl.azurewebsites.net</t>
  </si>
  <si>
    <t>104.43.140.101</t>
  </si>
  <si>
    <t>5f23ba5f28e32</t>
  </si>
  <si>
    <t>http://allurl.azurewebsites.net/0CHfdfdfdfddfd99MD1001011001010110100110101010100101010dfdfd101010/</t>
  </si>
  <si>
    <t>hetro3.azurewebsites.net</t>
  </si>
  <si>
    <t>5f21836b192ac</t>
  </si>
  <si>
    <t>http://hetro3.azurewebsites.net/MSaxMD1001011001010110100110101010100101010dfdfd1010100101010110/</t>
  </si>
  <si>
    <t>fileseries.azurewebsites.net</t>
  </si>
  <si>
    <t>5f2183516dfc1</t>
  </si>
  <si>
    <t>http://fileseries.azurewebsites.net/MSaxMD1001011001010110100110101010100101010dfdfd1010100101010110/</t>
  </si>
  <si>
    <t>fileseries1.azurewebsites.net</t>
  </si>
  <si>
    <t>5f2183443a5cf</t>
  </si>
  <si>
    <t>http://fileseries1.azurewebsites.net/MSaxMD1001011001010110100110101010100101010dfdfd1010100101010110/</t>
  </si>
  <si>
    <t>types1.azurewebsites.net</t>
  </si>
  <si>
    <t>5f21832f9fc8b</t>
  </si>
  <si>
    <t>http://types1.azurewebsites.net/MSaxMD1001011001010110100110101010100101010dfdfd1010100101010110/</t>
  </si>
  <si>
    <t>hetro5.azurewebsites.net</t>
  </si>
  <si>
    <t>5f215158722d5</t>
  </si>
  <si>
    <t>http://hetro5.azurewebsites.net/MFixMD1001011001010110100110101010100101010dfdfd1010100101010110/</t>
  </si>
  <si>
    <t>hetro4.azurewebsites.net</t>
  </si>
  <si>
    <t>5f2151213adbc</t>
  </si>
  <si>
    <t>http://hetro4.azurewebsites.net/0CHfdfdfdfddfd99MD1001011001010110100110101010100101010dfdfd101010/</t>
  </si>
  <si>
    <t>onlinepersonalstran.site</t>
  </si>
  <si>
    <t>104.131.7.47</t>
  </si>
  <si>
    <t>5f21545a59535</t>
  </si>
  <si>
    <t>https://onlinepersonalstran.site/SAMacHelp011010x/</t>
  </si>
  <si>
    <t>64.227.55.152</t>
  </si>
  <si>
    <t>5f21a870b1375</t>
  </si>
  <si>
    <t>http://64.227.55.152/edgechromium-26july/?phone=+1-(844)-488-3626&amp;amp;</t>
  </si>
  <si>
    <t>micro-fhtrffdfdfddfd77.azurewebsites.net</t>
  </si>
  <si>
    <t>23.99.192.132</t>
  </si>
  <si>
    <t>5f358f2ac91f6</t>
  </si>
  <si>
    <t>http://micro-fhtrffdfdfddfd77.azurewebsites.net/</t>
  </si>
  <si>
    <t>5f32e0955a902</t>
  </si>
  <si>
    <t>http://micro-fhtrffdfdfddfd77.azurewebsites.net/TChsfsdfjdsfjdsfjVX/</t>
  </si>
  <si>
    <t>micro-lokmin.azurewebsites.net</t>
  </si>
  <si>
    <t>5f32e05f9e4a6</t>
  </si>
  <si>
    <t>http://micro-lokmin.azurewebsites.net/TChsfsdfjdsfjdsfjVX/</t>
  </si>
  <si>
    <t>micro-gertokim11.azurewebsites.net</t>
  </si>
  <si>
    <t>5f326b09dd95f</t>
  </si>
  <si>
    <t>http://micro-gertokim11.azurewebsites.net/TChsfsdfjdsfjdsfjVX/</t>
  </si>
  <si>
    <t>span-kidsjsdndsds33.azurewebsites.net</t>
  </si>
  <si>
    <t>5f3181b431cc4</t>
  </si>
  <si>
    <t>http://span-kidsjsdndsds33.azurewebsites.net/TChsfsdfjdsfjdsfjVX/</t>
  </si>
  <si>
    <t>micro-dferddfsfss.azurewebsites.net</t>
  </si>
  <si>
    <t>5f31761456775</t>
  </si>
  <si>
    <t>http://micro-dferddfsfss.azurewebsites.net/</t>
  </si>
  <si>
    <t>micro-gertokim33.azurewebsites.net</t>
  </si>
  <si>
    <t>5f3175eda4816</t>
  </si>
  <si>
    <t>http://micro-gertokim33.azurewebsites.net/</t>
  </si>
  <si>
    <t>5f3164c3c589c</t>
  </si>
  <si>
    <t>http://micro-gertokim33.azurewebsites.net/TChsfsdfjdsfjdsfjVX/</t>
  </si>
  <si>
    <t>micro-badsjjsjdsj.azurewebsites.net</t>
  </si>
  <si>
    <t>5f30a1db3e60c</t>
  </si>
  <si>
    <t>http://micro-badsjjsjdsj.azurewebsites.net/TChsfsdfjdsfjdsfjVX/</t>
  </si>
  <si>
    <t>micro-ajshsdhhjsdjj.azurewebsites.net</t>
  </si>
  <si>
    <t>5f30a1d3d0604</t>
  </si>
  <si>
    <t>http://micro-ajshsdhhjsdjj.azurewebsites.net/TChsfsdfjdsfjdsfjVX/</t>
  </si>
  <si>
    <t>micro-hilodoodde.azurewebsites.net</t>
  </si>
  <si>
    <t>5f30a1c9a7cca</t>
  </si>
  <si>
    <t>http://micro-hilodoodde.azurewebsites.net/TChsfsdfjdsfjdsfjVX/</t>
  </si>
  <si>
    <t>micro-eferdklal.azurewebsites.net</t>
  </si>
  <si>
    <t>5f30a1c09c3bb</t>
  </si>
  <si>
    <t>http://micro-eferdklal.azurewebsites.net/TChsfsdfjdsfjdsfjVX/</t>
  </si>
  <si>
    <t>micro-jdfudfjdjdj.azurewebsites.net</t>
  </si>
  <si>
    <t>5f30a1b90a319</t>
  </si>
  <si>
    <t>http://micro-jdfudfjdjdj.azurewebsites.net/TChsfsdfjdsfjdsfjVX/</t>
  </si>
  <si>
    <t>micro-kilojksdjj.azurewebsites.net</t>
  </si>
  <si>
    <t>5f30a1a65a656</t>
  </si>
  <si>
    <t>http://micro-kilojksdjj.azurewebsites.net/TChsfsdfjdsfjdsfjVX/</t>
  </si>
  <si>
    <t>5f30253b4bc5c</t>
  </si>
  <si>
    <t>http://micro-dferddfsfss.azurewebsites.net/TChsfsdfjdsfjdsfjVX/</t>
  </si>
  <si>
    <t>micro-kusdsjjsdhh.azurewebsites.net</t>
  </si>
  <si>
    <t>5f30252d5887f</t>
  </si>
  <si>
    <t>http://micro-kusdsjjsdhh.azurewebsites.net/TChsfsdfjdsfjdsfjVX/</t>
  </si>
  <si>
    <t>span-frodjdne.azurewebsites.net</t>
  </si>
  <si>
    <t>5f2f0aa695459</t>
  </si>
  <si>
    <t>http://span-frodjdne.azurewebsites.net/TChsfsdfjdsfjdsfjVX/</t>
  </si>
  <si>
    <t>micro-nsdvnnvsns222.azurewebsites.net</t>
  </si>
  <si>
    <t>5f2f0a7b9f422</t>
  </si>
  <si>
    <t>http://micro-nsdvnnvsns222.azurewebsites.net/</t>
  </si>
  <si>
    <t>micro-plokidjjs223.azurewebsites.net</t>
  </si>
  <si>
    <t>5f2f0a7533cad</t>
  </si>
  <si>
    <t>http://micro-plokidjjs223.azurewebsites.net</t>
  </si>
  <si>
    <t>micro-sakdsjfjdjm32.azurewebsites.net</t>
  </si>
  <si>
    <t>5f2f0a6f97915</t>
  </si>
  <si>
    <t>http://micro-sakdsjfjdjm32.azurewebsites.net</t>
  </si>
  <si>
    <t>micro-oploeder22.azurewebsites.net</t>
  </si>
  <si>
    <t>5f2f0a6a21e69</t>
  </si>
  <si>
    <t>http://micro-oploeder22.azurewebsites.net/</t>
  </si>
  <si>
    <t>micro-hilleopsls.azurewebsites.net</t>
  </si>
  <si>
    <t>5f2f0a62f05c6</t>
  </si>
  <si>
    <t>http://micro-hilleopsls.azurewebsites.net/</t>
  </si>
  <si>
    <t>micro-derfdefde21.azurewebsites.net</t>
  </si>
  <si>
    <t>5f2f0a5ccd9c6</t>
  </si>
  <si>
    <t>http://micro-derfdefde21.azurewebsites.net/</t>
  </si>
  <si>
    <t>micro-juksdjdsj33.azurewebsites.net</t>
  </si>
  <si>
    <t>5f2f0a539b4eb</t>
  </si>
  <si>
    <t>http://micro-juksdjdsj33.azurewebsites.net/</t>
  </si>
  <si>
    <t>micro-cgerfdedede.azurewebsites.net</t>
  </si>
  <si>
    <t>5f2f0a4872a1c</t>
  </si>
  <si>
    <t>http://micro-cgerfdedede.azurewebsites.net/</t>
  </si>
  <si>
    <t>micro-dfredssdsds.azurewebsites.net</t>
  </si>
  <si>
    <t>5f2f0a41a96bd</t>
  </si>
  <si>
    <t>http://micro-dfredssdsds.azurewebsites.net/TChsfsdfjdsfjdsfjVX/</t>
  </si>
  <si>
    <t>micro-nhuhdjhsdjd3.azurewebsites.net</t>
  </si>
  <si>
    <t>5f2ed61d861a9</t>
  </si>
  <si>
    <t>http://micro-nhuhdjhsdjd3.azurewebsites.net/TChsfsdfjdsfjdsfjVX/</t>
  </si>
  <si>
    <t>micro-mkilfjdfjd22.azurewebsites.net</t>
  </si>
  <si>
    <t>5f2ed3305a6a1</t>
  </si>
  <si>
    <t>http://micro-mkilfjdfjd22.azurewebsites.net/TChsfsdfjdsfjdsfjVX/</t>
  </si>
  <si>
    <t>5f2ec9a2726ca</t>
  </si>
  <si>
    <t>http://micro-cgerfdedede.azurewebsites.net/TChsfsdfjdsfjdsfjVX/</t>
  </si>
  <si>
    <t>5f2d075e3f8fc</t>
  </si>
  <si>
    <t>http://micro-sakdsjfjdjm32.azurewebsites.net/TChsfsdfjdsfjdsfjVX/</t>
  </si>
  <si>
    <t>micro-desdfddeddw22.azurewebsites.net</t>
  </si>
  <si>
    <t>5f2c15ac5b226</t>
  </si>
  <si>
    <t>http://micro-desdfddeddw22.azurewebsites.net</t>
  </si>
  <si>
    <t>5f2c156d879c2</t>
  </si>
  <si>
    <t>http://micro-nhuhdjhsdjd3.azurewebsites.net</t>
  </si>
  <si>
    <t>5f2c155cca390</t>
  </si>
  <si>
    <t>http://micro-mkilfjdfjd22.azurewebsites.net</t>
  </si>
  <si>
    <t>micro-forhilldsj33.azurewebsites.net</t>
  </si>
  <si>
    <t>5f2c154f5931f</t>
  </si>
  <si>
    <t>http://micro-forhilldsj33.azurewebsites.net</t>
  </si>
  <si>
    <t>micro-edkjjpon.azurewebsites.net</t>
  </si>
  <si>
    <t>5f2c1461ebc1b</t>
  </si>
  <si>
    <t>https://micro-edkjjpon.azurewebsites.net/TMachdsfgdsffdVX/</t>
  </si>
  <si>
    <t>micro-golkdkdjjs322.azurewebsites.net</t>
  </si>
  <si>
    <t>5f2c06f7180d4</t>
  </si>
  <si>
    <t>https://micro-golkdkdjjs322.azurewebsites.net/TEdsjsjhskhkasdVX/</t>
  </si>
  <si>
    <t>micro-hillderodn33.azurewebsites.net</t>
  </si>
  <si>
    <t>5f2aa83e1632b</t>
  </si>
  <si>
    <t>http://micro-hillderodn33.azurewebsites.net/TChsfsdfjdsfjdsfjVX/</t>
  </si>
  <si>
    <t>micro-mjfkjjsksjjd33.azurewebsites.net</t>
  </si>
  <si>
    <t>5f26ab257b4bb</t>
  </si>
  <si>
    <t>http://micro-mjfkjjsksjjd33.azurewebsites.net/TChsfsdfjdsfjdsfjVX/</t>
  </si>
  <si>
    <t>micro-klijnjasnjdnd22.azurewebsites.net</t>
  </si>
  <si>
    <t>5f26aaf31694e</t>
  </si>
  <si>
    <t>http://micro-klijnjasnjdnd22.azurewebsites.net/TChsfsdfjdsfjdsfjVX/</t>
  </si>
  <si>
    <t>micro-plijhfhhh222.azurewebsites.net</t>
  </si>
  <si>
    <t>5f266d481397e</t>
  </si>
  <si>
    <t>http://micro-plijhfhhh222.azurewebsites.net/TChsfsdfjdsfjdsfjVX/</t>
  </si>
  <si>
    <t>micro-kilmommm3.azurewebsites.net</t>
  </si>
  <si>
    <t>5f23b74c9dbbf</t>
  </si>
  <si>
    <t>http://micro-kilmommm3.azurewebsites.net/TChsfsdfjdsfjdsfjVX/</t>
  </si>
  <si>
    <t>micro-kimdksjjs33.azurewebsites.net</t>
  </si>
  <si>
    <t>5f2273f97abfc</t>
  </si>
  <si>
    <t>http://micro-kimdksjjs33.azurewebsites.net/TChsfsdfjdsfjdsfjVX/</t>
  </si>
  <si>
    <t>micro-kilkkjsdjjs44.azurewebsites.net</t>
  </si>
  <si>
    <t>5f22723c236cb</t>
  </si>
  <si>
    <t>http://micro-kilkkjsdjjs44.azurewebsites.net/TChsfsdfjdsfjdsfjVX/</t>
  </si>
  <si>
    <t>micro-mkilkkkdkkd33.azurewebsites.net</t>
  </si>
  <si>
    <t>5f2272f2d7a24</t>
  </si>
  <si>
    <t>http://micro-mkilkkkdkkd33.azurewebsites.net/TChsfsdfjdsfjdsfjVX/</t>
  </si>
  <si>
    <t>micro-mikjdjsjfjs33.azurewebsites.net</t>
  </si>
  <si>
    <t>5f2272816621c</t>
  </si>
  <si>
    <t>http://micro-mikjdjsjfjs33.azurewebsites.net/TChsfsdfjdsfjdsfjVX/</t>
  </si>
  <si>
    <t>micro-adcfvmsdmsm3.azurewebsites.net</t>
  </si>
  <si>
    <t>5f21894ca1f83</t>
  </si>
  <si>
    <t>http://micro-adcfvmsdmsm3.azurewebsites.net/TChsfsdfjdsfjdsfjVX/</t>
  </si>
  <si>
    <t>livequick-support087.azurewebsites.net</t>
  </si>
  <si>
    <t>52.173.151.229</t>
  </si>
  <si>
    <t>5faf399d5b260</t>
  </si>
  <si>
    <t>http://livequick-support087.azurewebsites.net/JArbZ98cFQJapCA/</t>
  </si>
  <si>
    <t>quick-support016.azurewebsites.net</t>
  </si>
  <si>
    <t>5fa3010678715</t>
  </si>
  <si>
    <t>https://quick-support016.azurewebsites.net/UsvCPP4t5Gxga6T/</t>
  </si>
  <si>
    <t>freecomputerhelp87.azurewebsites.net</t>
  </si>
  <si>
    <t>5f699edd0c3ea</t>
  </si>
  <si>
    <t>https://freecomputerhelp87.azurewebsites.net/R7tcvkAFdAwS4B4</t>
  </si>
  <si>
    <t>freecomputerhelp146.azurewebsites.net</t>
  </si>
  <si>
    <t>5f699e46a03cb</t>
  </si>
  <si>
    <t>https://freecomputerhelp146.azurewebsites.net/R7tcvkAFdAwS4B4</t>
  </si>
  <si>
    <t>freecomputerhelp21.azurewebsites.net</t>
  </si>
  <si>
    <t>5f68d9a0bff6f</t>
  </si>
  <si>
    <t>https://freecomputerhelp21.azurewebsites.net/R7tcvkAFdAwS4B4/</t>
  </si>
  <si>
    <t>freepchelp36.azurewebsites.net</t>
  </si>
  <si>
    <t>5f61c5c725262</t>
  </si>
  <si>
    <t>https://freepchelp36.azurewebsites.net/ERDDrHjVfKbFJbQ/</t>
  </si>
  <si>
    <t>freecallcaresupport70.azurewebsites.net</t>
  </si>
  <si>
    <t>5f4aa3786609d</t>
  </si>
  <si>
    <t>http://freecallcaresupport70.azurewebsites.net/vTUPHmw6mhDcMgT/</t>
  </si>
  <si>
    <t>8be9d1798624c4142cfc0bad9b2b4834oikuy.azurewebsites.net</t>
  </si>
  <si>
    <t>5f35736fd6ee2</t>
  </si>
  <si>
    <t>https://8be9d1798624c4142cfc0bad9b2b4834oikuy.azurewebsites.net/WINEDERR_USAKJHUN9875GJO9HO/</t>
  </si>
  <si>
    <t>28befd4a973430840b04d033d929c409ikuj.azurewebsites.net</t>
  </si>
  <si>
    <t>5f343a963df01</t>
  </si>
  <si>
    <t>https://28befd4a973430840b04d033d929c409ikuj.azurewebsites.net/WINEDERR_USAKJHUN9875GJO9HO/</t>
  </si>
  <si>
    <t>e81b2274055676dd639410b63ae01dc2.azurewebsites.net</t>
  </si>
  <si>
    <t>5f32ea9cbe2f0</t>
  </si>
  <si>
    <t>https://e81b2274055676dd639410b63ae01dc2.azurewebsites.net/WINEDERR_USAKJHUN9875GJO9HO</t>
  </si>
  <si>
    <t>701c6b7e2c9394cea0db839aaff8e706.azurewebsites.net</t>
  </si>
  <si>
    <t>5f32ddd2681e3</t>
  </si>
  <si>
    <t>https://701c6b7e2c9394cea0db839aaff8e706.azurewebsites.net/WINEDERR_USAKJHUN9875GJO9HO/</t>
  </si>
  <si>
    <t>381cce57d9dc9f3655c1401e2ef265ed.azurewebsites.net</t>
  </si>
  <si>
    <t>5f32c34d723e1</t>
  </si>
  <si>
    <t>https://381cce57d9dc9f3655c1401e2ef265ed.azurewebsites.net/WINEDERR_USAKJHUN9875GJO9HO/</t>
  </si>
  <si>
    <t>d1f2f428dfa9e8912a7fd91c0bcd79c7.azurewebsites.net</t>
  </si>
  <si>
    <t>5f30ffa253a29</t>
  </si>
  <si>
    <t>http://d1f2f428dfa9e8912a7fd91c0bcd79c7.azurewebsites.net/WIDUSACH_MSWinHelpERRO7659/?sou=</t>
  </si>
  <si>
    <t>de91fc446bb443ad0a78b4554ab709f2.azurewebsites.net</t>
  </si>
  <si>
    <t>5f2d71c657274</t>
  </si>
  <si>
    <t>https://de91fc446bb443ad0a78b4554ab709f2.azurewebsites.net/WIDUSACH_MSWinHelpERRO7659/</t>
  </si>
  <si>
    <t>5f2d6fc6df1be</t>
  </si>
  <si>
    <t>https://de91fc446bb443ad0a78b4554ab709f2.azurewebsites.net/WINEDERR_USAKJHUN9875GJO9HO/</t>
  </si>
  <si>
    <t>54572f10020c88a032b24d087e337fe3.azurewebsites.net</t>
  </si>
  <si>
    <t>5f2d5eaf827f6</t>
  </si>
  <si>
    <t>https://54572f10020c88a032b24d087e337fe3.azurewebsites.net/WINEDERR_USAKJHUN9875GJO9HO/</t>
  </si>
  <si>
    <t>11319b1645ccf6fe869c5de513f16e83.azurewebsites.net</t>
  </si>
  <si>
    <t>5f2c67eb33db9</t>
  </si>
  <si>
    <t>http://11319b1645ccf6fe869c5de513f16e83.azurewebsites.net/WIDUSACH_MSWinHelpERRO7659/?sou=</t>
  </si>
  <si>
    <t>5f2c415662b68</t>
  </si>
  <si>
    <t>https://11319b1645ccf6fe869c5de513f16e83.azurewebsites.net/WINEDERR_USAKJHUN9875GJO9HO/</t>
  </si>
  <si>
    <t>02dc2d946418553a5f728be3e1d336dd.azurewebsites.net</t>
  </si>
  <si>
    <t>5f2ae23981584</t>
  </si>
  <si>
    <t>https://02dc2d946418553a5f728be3e1d336dd.azurewebsites.net/WIDUSACH_MSWinHelpERRO7659</t>
  </si>
  <si>
    <t>917251fab24a26757461365c6bd0825b.azurewebsites.net</t>
  </si>
  <si>
    <t>5f2ac0c074b34</t>
  </si>
  <si>
    <t>https://917251fab24a26757461365c6bd0825b.azurewebsites.net/WINEDERR_USAKJHUN9875GJO9HO/</t>
  </si>
  <si>
    <t>c4dacf7c3415f230adbebd8e3405f0ac.azurewebsites.net</t>
  </si>
  <si>
    <t>5f2abcdd55734</t>
  </si>
  <si>
    <t>https://c4dacf7c3415f230adbebd8e3405f0ac.azurewebsites.net/WINEDERR_USAKJHUN9875GJO9HO/</t>
  </si>
  <si>
    <t>jgiuytr.azurewebsites.net</t>
  </si>
  <si>
    <t>5f26f0291dca6</t>
  </si>
  <si>
    <t>https://jgiuytr.azurewebsites.net/WINEDERR_USAKJHUN9875GJO9HO/</t>
  </si>
  <si>
    <t>iokiujk.azurewebsites.net</t>
  </si>
  <si>
    <t>5f26d7f99af8e</t>
  </si>
  <si>
    <t>http://iokiujk.azurewebsites.net/WIDUSACH_MSWinHelpERRO7659/?sou=</t>
  </si>
  <si>
    <t>gsdef.azurewebsites.net</t>
  </si>
  <si>
    <t>5f26d7271e514</t>
  </si>
  <si>
    <t>https://gsdef.azurewebsites.net/WINEDERR_USAKJHUN9875GJO9HO/</t>
  </si>
  <si>
    <t>9kkjghyyj.azurewebsites.net</t>
  </si>
  <si>
    <t>5f258cda7cbd5</t>
  </si>
  <si>
    <t>https://9kkjghyyj.azurewebsites.net/WINEDERR_USAKJHUN9875GJO9HO/</t>
  </si>
  <si>
    <t>kijug.azurewebsites.net</t>
  </si>
  <si>
    <t>5f2191beaf540</t>
  </si>
  <si>
    <t>https://kijug.azurewebsites.net/WINEDERR_USAKJHUN9875GJO9HO/</t>
  </si>
  <si>
    <t>161.35.3.231</t>
  </si>
  <si>
    <t>5f21950e905fd</t>
  </si>
  <si>
    <t>http://161.35.3.231/Ed10010110xyMS/</t>
  </si>
  <si>
    <t>iconbase578.cf</t>
  </si>
  <si>
    <t>104.27.184.251</t>
  </si>
  <si>
    <t>5f219d4c5178a</t>
  </si>
  <si>
    <t>https://iconbase578.cf/i0s1010sdsd.hbf/</t>
  </si>
  <si>
    <t>167.71.150.149</t>
  </si>
  <si>
    <t>5f21a210a37c1</t>
  </si>
  <si>
    <t>http://167.71.150.149/edgechromium-26july/?phone=+1-(844)-471-4944&amp;amp;</t>
  </si>
  <si>
    <t>d3o12sqd3xtxci.cloudfront.net</t>
  </si>
  <si>
    <t>143.204.225.6</t>
  </si>
  <si>
    <t>5f21af019206d</t>
  </si>
  <si>
    <t>https://d3o12sqd3xtxci.cloudfront.net/6501/index.html</t>
  </si>
  <si>
    <t>onlinegrocerycases.site</t>
  </si>
  <si>
    <t>104.131.40.137</t>
  </si>
  <si>
    <t>5f21af07a2c6e</t>
  </si>
  <si>
    <t>https://onlinegrocerycases.site/EDWInhelp10010101x/</t>
  </si>
  <si>
    <t>tdfehsy.online</t>
  </si>
  <si>
    <t>199.188.205.235</t>
  </si>
  <si>
    <t>60022dc6214cb</t>
  </si>
  <si>
    <t>https://tdfehsy.online/qtryx01-g5544ew-df55798w456-sf2s7f4w56f-x598fa6a-we887-v5xf9f8s6-xv5x878rs-m1c5g54d/nchrx6093/index.html</t>
  </si>
  <si>
    <t>ysbsfe.online</t>
  </si>
  <si>
    <t>5ffd0d00d896c</t>
  </si>
  <si>
    <t>https://ysbsfe.online/ysfirx01/njporx-0373/iegcx/index.php</t>
  </si>
  <si>
    <t>lafstyc.online</t>
  </si>
  <si>
    <t>5fbef612eef0e</t>
  </si>
  <si>
    <t>https://lafstyc.online/qtryx01-g5544ew-df55798w456-sf2s7f4w56f-x598fa6a-we887-v5xf9f8s6-xv5x878rs-m1c5g54d/nchrx32/index.html</t>
  </si>
  <si>
    <t>woijsdfasdopf.online</t>
  </si>
  <si>
    <t>5f21b10e28891</t>
  </si>
  <si>
    <t>https://woijsdfasdopf.online/sodihfs0w3ehfowdfs/XEDdhdsbfhgdfhdgf7CTx/</t>
  </si>
  <si>
    <t>azzrerxt3.xyz</t>
  </si>
  <si>
    <t>96.30.193.138</t>
  </si>
  <si>
    <t>5f22e79c3f2c7</t>
  </si>
  <si>
    <t>https://azzrerxt3.xyz/t0rjan_alert/</t>
  </si>
  <si>
    <t>azzrerxt4.xyz</t>
  </si>
  <si>
    <t>5f21cbf92ae64</t>
  </si>
  <si>
    <t>https://azzrerxt4.xyz/t0rjan_alert/OMAD01010101010X0IYxx/?phone=+&amp;amp;</t>
  </si>
  <si>
    <t>onlinegrocerycards.site</t>
  </si>
  <si>
    <t>104.131.56.164</t>
  </si>
  <si>
    <t>5f2200d188e46</t>
  </si>
  <si>
    <t>https://onlinegrocerycards.site/SAMacHelp011010x/</t>
  </si>
  <si>
    <t>runfiles.azurewebsites.net</t>
  </si>
  <si>
    <t>52.176.165.69</t>
  </si>
  <si>
    <t>5f22783e4390f</t>
  </si>
  <si>
    <t>http://runfiles.azurewebsites.net/MFixMD1001011001010110100110101010100101010dfdfd1010100101010110/</t>
  </si>
  <si>
    <t>runfiles2.azurewebsites.net</t>
  </si>
  <si>
    <t>5f22781b0b4aa</t>
  </si>
  <si>
    <t>http://runfiles2.azurewebsites.net/0CHfdfdfdfddfd99MD1001011001010110100110101010100101010dfdfd101010/</t>
  </si>
  <si>
    <t>164.90.152.41</t>
  </si>
  <si>
    <t>609c2e3ae08d7</t>
  </si>
  <si>
    <t>http://164.90.152.41/system-alert/W080In01x08880it0y0CED008VJ08010110100101010101010101010101Rti/index.html</t>
  </si>
  <si>
    <t>myonlinevideos.site</t>
  </si>
  <si>
    <t>5f229601c43e2</t>
  </si>
  <si>
    <t>https://myonlinevideos.site/EDWInhelp10010101x/</t>
  </si>
  <si>
    <t>rootermor.tk</t>
  </si>
  <si>
    <t>161.35.153.137</t>
  </si>
  <si>
    <t>5f229ca22586e</t>
  </si>
  <si>
    <t>https://rootermor.tk/AuStria/AT/</t>
  </si>
  <si>
    <t>myonlinelink.site</t>
  </si>
  <si>
    <t>104.131.51.44</t>
  </si>
  <si>
    <t>5f22cdd5553ce</t>
  </si>
  <si>
    <t>https://myonlinelink.site/SAMacHelp011010x/</t>
  </si>
  <si>
    <t>microsoft.affilier544.xyz</t>
  </si>
  <si>
    <t>104.31.76.11</t>
  </si>
  <si>
    <t>5f22e9258a202</t>
  </si>
  <si>
    <t>https://microsoft.affilier544.xyz/</t>
  </si>
  <si>
    <t>defender-security-alert-hacking-attempt-found-system-failed-502.s3.am</t>
  </si>
  <si>
    <t>52.217.40.228</t>
  </si>
  <si>
    <t>5f22fb3917e8b</t>
  </si>
  <si>
    <t>https://defender-security-alert-hacking-attempt-found-system-failed-502.s3.amazonaws.com/chrome_win/index.htm</t>
  </si>
  <si>
    <t>sabkjfb37483ecjdnc.cf</t>
  </si>
  <si>
    <t>167.71.248.205</t>
  </si>
  <si>
    <t>5f29b364f2e0a</t>
  </si>
  <si>
    <t>https://sabkjfb37483ecjdnc.cf/phpinfophp/0WCHfdfdfdfddfd0099900YN/</t>
  </si>
  <si>
    <t>wadhiya-ghatiyax365.cf</t>
  </si>
  <si>
    <t>5f2300399ef98</t>
  </si>
  <si>
    <t>https://wadhiya-ghatiyax365.cf/alert/0WCHfdfdfdfddfd0099900YN/</t>
  </si>
  <si>
    <t>knbchdojweifbw7382y947.ga</t>
  </si>
  <si>
    <t>5f23002804fe2</t>
  </si>
  <si>
    <t>https://knbchdojweifbw7382y947.ga/alert/0WCHfdfdfdfddfd0099900YN/</t>
  </si>
  <si>
    <t>uparneecheaagepiche.ga</t>
  </si>
  <si>
    <t>5f230016cb89d</t>
  </si>
  <si>
    <t>https://uparneecheaagepiche.ga/alert/0WCHfdfdfdfddfd0099900YN/</t>
  </si>
  <si>
    <t>knbchdojweifbw7382y947.ml</t>
  </si>
  <si>
    <t>5f2300051958e</t>
  </si>
  <si>
    <t>https://knbchdojweifbw7382y947.ml/alert/0WCHfdfdfdfddfd0099900YN/</t>
  </si>
  <si>
    <t>uparneecheaagepiche.cf</t>
  </si>
  <si>
    <t>5f22ffe6d7e01</t>
  </si>
  <si>
    <t>https://uparneecheaagepiche.cf/alert/0WCHfdfdfdfddfd0099900YN/</t>
  </si>
  <si>
    <t>wadhiya-ghatiyax365.gq</t>
  </si>
  <si>
    <t>5f22ffdde4c7b</t>
  </si>
  <si>
    <t>https://wadhiya-ghatiyax365.gq/alert/0WCHfdfdfdfddfd0099900YN/</t>
  </si>
  <si>
    <t>wadhiya-ghatiyax365.ga</t>
  </si>
  <si>
    <t>5f22ffcde03e7</t>
  </si>
  <si>
    <t>https://wadhiya-ghatiyax365.ga/alert/0WCHfdfdfdfddfd0099900YN/</t>
  </si>
  <si>
    <t>uparneecheaagepiche.ml</t>
  </si>
  <si>
    <t>5f22ffb50fb4f</t>
  </si>
  <si>
    <t>https://uparneecheaagepiche.ml/alert/0WCHfdfdfdfddfd0099900YN/</t>
  </si>
  <si>
    <t>knbchdojweifbw7382y947.cf</t>
  </si>
  <si>
    <t>5f22ff94d0f50</t>
  </si>
  <si>
    <t>https://knbchdojweifbw7382y947.cf/alert/0WCHfdfdfdfddfd0099900YN/</t>
  </si>
  <si>
    <t>wadhiya-ghatiyax365.ml</t>
  </si>
  <si>
    <t>5f22fb791b0db</t>
  </si>
  <si>
    <t>https://wadhiya-ghatiyax365.ml/alert/0WCHfdfdfdfddfd0099900YN/</t>
  </si>
  <si>
    <t>moireer.ga</t>
  </si>
  <si>
    <t>104.131.69.229</t>
  </si>
  <si>
    <t>5f2300589cdd4</t>
  </si>
  <si>
    <t>https://moireer.ga/ter/AT/</t>
  </si>
  <si>
    <t>clone935.cf</t>
  </si>
  <si>
    <t>172.67.144.98</t>
  </si>
  <si>
    <t>5f23007996ce5</t>
  </si>
  <si>
    <t>https://clone935.cf/NOriefdfd0fdfdfdf0d0.myd/CHFIR_sdsddshelpAW/</t>
  </si>
  <si>
    <t>macronet595.ga</t>
  </si>
  <si>
    <t>104.27.161.121</t>
  </si>
  <si>
    <t>5f2e89261563b</t>
  </si>
  <si>
    <t>https://macronet595.ga/Call_Microsoft_windows_Helpline4080074/Dchfdfdfdfd777/</t>
  </si>
  <si>
    <t>datamining865.ga</t>
  </si>
  <si>
    <t>104.31.71.142</t>
  </si>
  <si>
    <t>5f233405c615c</t>
  </si>
  <si>
    <t>https://datamining865.ga/Safsdf0-sdf-sdf0.hbd/MA100101010XCDH/</t>
  </si>
  <si>
    <t>yioor-iu7khdsd.ml</t>
  </si>
  <si>
    <t>64.227.105.220</t>
  </si>
  <si>
    <t>5f2913e533e67</t>
  </si>
  <si>
    <t>https://yioor-iu7khdsd.ml/AT/111/</t>
  </si>
  <si>
    <t>8.9.8.156</t>
  </si>
  <si>
    <t>5f25ecf819916</t>
  </si>
  <si>
    <t>http://8.9.8.156/11ED_get_help10018PH_MS/?phone=+1-866-717-4549&amp;amp;rtkcid=5f25ecaa7a050c00010a19f1&amp;amp;rtkcmpid=5f22ab95cc769d00016b65a8</t>
  </si>
  <si>
    <t>ototo2.ga</t>
  </si>
  <si>
    <t>172.67.128.105</t>
  </si>
  <si>
    <t>5f2a8e9888495</t>
  </si>
  <si>
    <t>https://ototo2.ga/mctue2-4983/Chxrx-526421/index.html</t>
  </si>
  <si>
    <t>18141190156-xxyyzzaa.azurewebsites.net</t>
  </si>
  <si>
    <t>23.99.196.180</t>
  </si>
  <si>
    <t>5f280e4348c87</t>
  </si>
  <si>
    <t>http://18141190156-xxyyzzaa.azurewebsites.net/ched/</t>
  </si>
  <si>
    <t>www.perfectsuccessonline.club</t>
  </si>
  <si>
    <t>172.67.174.149</t>
  </si>
  <si>
    <t>5f23bc135420b</t>
  </si>
  <si>
    <t>https://www.perfectsuccessonline.club/alert/0WCHfdfdfdfddfd0099900YN/</t>
  </si>
  <si>
    <t>www.alert.egeekservices.com</t>
  </si>
  <si>
    <t>104.219.248.47</t>
  </si>
  <si>
    <t>5f23bcab3fb83</t>
  </si>
  <si>
    <t>https://www.alert.egeekservices.com/</t>
  </si>
  <si>
    <t>myonlinels.site</t>
  </si>
  <si>
    <t>104.131.57.221</t>
  </si>
  <si>
    <t>5f23f2331b7e9</t>
  </si>
  <si>
    <t>https://myonlinels.site/EDWInhelp10010101x/</t>
  </si>
  <si>
    <t>myonlinecommands.site</t>
  </si>
  <si>
    <t>164.90.152.226</t>
  </si>
  <si>
    <t>5f23f237b6900</t>
  </si>
  <si>
    <t>https://myonlinecommands.site/EDWInhelp10010101x/</t>
  </si>
  <si>
    <t>iteration949.ga</t>
  </si>
  <si>
    <t>172.67.196.170</t>
  </si>
  <si>
    <t>5f244b01942e7</t>
  </si>
  <si>
    <t>https://iteration949.ga/DSds0-sd0sd.hbs/MA100101010XCDH/</t>
  </si>
  <si>
    <t>secureserver253.cloud</t>
  </si>
  <si>
    <t>107.180.57.15</t>
  </si>
  <si>
    <t>5f3c0b7d690e4</t>
  </si>
  <si>
    <t>http://secureserver253.cloud/?1</t>
  </si>
  <si>
    <t>cloud</t>
  </si>
  <si>
    <t>secureserver252.cloud</t>
  </si>
  <si>
    <t>5f335badcac3b</t>
  </si>
  <si>
    <t>http://secureserver252.cloud/</t>
  </si>
  <si>
    <t>5f31d6fa55cb8</t>
  </si>
  <si>
    <t>http://secureserver253.cloud/</t>
  </si>
  <si>
    <t>secureserver134.xyz</t>
  </si>
  <si>
    <t>5f2c629ed8ca0</t>
  </si>
  <si>
    <t>http://secureserver134.xyz/</t>
  </si>
  <si>
    <t>secureserver133.xyz</t>
  </si>
  <si>
    <t>5f2c4d378231f</t>
  </si>
  <si>
    <t>http://secureserver133.xyz/</t>
  </si>
  <si>
    <t>secureserver132.club</t>
  </si>
  <si>
    <t>5f2c3ce470b44</t>
  </si>
  <si>
    <t>http://secureserver132.club/99TEdsjsjhskhkasdVX/</t>
  </si>
  <si>
    <t>secureserver131.cloud</t>
  </si>
  <si>
    <t>5f2c2f41b84be</t>
  </si>
  <si>
    <t>http://secureserver131.cloud/99TEdsjsjhskhkasdVX/</t>
  </si>
  <si>
    <t>secureserver130.cloud</t>
  </si>
  <si>
    <t>5f2c14a423ac5</t>
  </si>
  <si>
    <t>http://secureserver130.cloud/99TMachdsfgdsffdVX/</t>
  </si>
  <si>
    <t>secureserver129.club</t>
  </si>
  <si>
    <t>5f2b414ad76e8</t>
  </si>
  <si>
    <t>http://secureserver129.club/99TMachdsfgdsffdVX/</t>
  </si>
  <si>
    <t>secureserver126.club</t>
  </si>
  <si>
    <t>5f2afba07f08a</t>
  </si>
  <si>
    <t>http://secureserver126.club/99TMachdsfgdsffdVX/</t>
  </si>
  <si>
    <t>5f2ae24542d1f</t>
  </si>
  <si>
    <t>http://secureserver126.club/99TEdsjsjhskhkasdVX/</t>
  </si>
  <si>
    <t>secureserver124.club</t>
  </si>
  <si>
    <t>5f29a14f580af</t>
  </si>
  <si>
    <t>http://secureserver124.club/99TEdsjsjhskhkasdVX/</t>
  </si>
  <si>
    <t>secureserver123.cloud</t>
  </si>
  <si>
    <t>5f297e529fce9</t>
  </si>
  <si>
    <t>http://secureserver123.cloud/99TEdsjsjhskhkasdVX/</t>
  </si>
  <si>
    <t>secureserver125.club</t>
  </si>
  <si>
    <t>5f29acd6e8c38</t>
  </si>
  <si>
    <t>http://secureserver125.club/99TMachdsfgdsffdVX/</t>
  </si>
  <si>
    <t>5f28a89461c7d</t>
  </si>
  <si>
    <t>http://secureserver123.cloud/99TMachdsfgdsffdVX/</t>
  </si>
  <si>
    <t>secureserver122.co</t>
  </si>
  <si>
    <t>5f27321c2d4b3</t>
  </si>
  <si>
    <t>http://secureserver122.co/99TEdsjsjhskhkasdVX/</t>
  </si>
  <si>
    <t>secureserver121.co</t>
  </si>
  <si>
    <t>5f245808db076</t>
  </si>
  <si>
    <t>http://secureserver121.co/99TEdsjsjhskhkasdVX/</t>
  </si>
  <si>
    <t>allocated453.ml</t>
  </si>
  <si>
    <t>104.18.62.150</t>
  </si>
  <si>
    <t>5f245b0b31043</t>
  </si>
  <si>
    <t>https://allocated453.ml/Wdsfsf0d-fsd-f0.hbw/XEDdhdsbfhgdfhdgfMKx/</t>
  </si>
  <si>
    <t>threadata403.ga</t>
  </si>
  <si>
    <t>104.18.34.250</t>
  </si>
  <si>
    <t>5f24e07b0cfda</t>
  </si>
  <si>
    <t>https://threadata403.ga/Sdasds0-d-sd0s0da-s0.hbs/TEdsjsjhskhkasdVXPV/</t>
  </si>
  <si>
    <t>terminal494.ga</t>
  </si>
  <si>
    <t>172.67.205.143</t>
  </si>
  <si>
    <t>5f25618b469f8</t>
  </si>
  <si>
    <t>https://terminal494.ga/Wadfsfd-0sdfsf0.hbe/MA100101010XCDH/</t>
  </si>
  <si>
    <t>outputdata548.cf</t>
  </si>
  <si>
    <t>172.67.169.31</t>
  </si>
  <si>
    <t>5f25646f332ea</t>
  </si>
  <si>
    <t>https://outputdata548.cf/sdsfs0-sdfsfs0.hbd/XEDdhdsbfhgdfhdgfMKx/</t>
  </si>
  <si>
    <t>138.197.195.44</t>
  </si>
  <si>
    <t>5f25943cc6e59</t>
  </si>
  <si>
    <t>http://138.197.195.44/edgechromium-30july/?phone=+1-(888)-979-4883&amp;amp;</t>
  </si>
  <si>
    <t>sat1soli-env.eba-rs58dzjh.us-east-2.elasticbeanstalk.com</t>
  </si>
  <si>
    <t>3.129.197.157</t>
  </si>
  <si>
    <t>5f25967d352b8</t>
  </si>
  <si>
    <t>http://sat1soli-env.eba-rs58dzjh.us-east-2.elasticbeanstalk.com/ED0101101010101001CM/</t>
  </si>
  <si>
    <t>3jrctrurls.azurewebsites.net</t>
  </si>
  <si>
    <t>13.89.172.0</t>
  </si>
  <si>
    <t>5f5fcc66ecd0b</t>
  </si>
  <si>
    <t>https://3jrctrurls.azurewebsites.net/chromedeltasystemresourcesystemgreatfall980888088889898/</t>
  </si>
  <si>
    <t>6jrctrurls.azurewebsites.net</t>
  </si>
  <si>
    <t>5f5fd56c88b36</t>
  </si>
  <si>
    <t>https://6jrctrurls.azurewebsites.net/chromedeltasystemresourcesystemgreatfall980888088889898/</t>
  </si>
  <si>
    <t>hrtcfurls.azurewebsites.net</t>
  </si>
  <si>
    <t>5f5fdf64a7646</t>
  </si>
  <si>
    <t>https://hrtcfurls.azurewebsites.net/chromedeltasystemresourcesystemgreatfall980888088889898/</t>
  </si>
  <si>
    <t>folder5.azurewebsites.net</t>
  </si>
  <si>
    <t>5f26ad64116d2</t>
  </si>
  <si>
    <t>http://folder5.azurewebsites.net/MFixMD1001011001010110100110101010100101010dfdfd1010100101010110/</t>
  </si>
  <si>
    <t>folder6.azurewebsites.net</t>
  </si>
  <si>
    <t>5f26ab158346a</t>
  </si>
  <si>
    <t>http://folder6.azurewebsites.net/0CHfdfdfdfddfd99MD1001011001010110100110101010100101010dfdfd101010/</t>
  </si>
  <si>
    <t>cores3.azurewebsites.net</t>
  </si>
  <si>
    <t>5f266ee7d1501</t>
  </si>
  <si>
    <t>http://cores3.azurewebsites.net/0CHfdfdfdfddfd99MD1001011001010110100110101010100101010dfdfd101010/</t>
  </si>
  <si>
    <t>freepchelponline07.azurewebsites.net</t>
  </si>
  <si>
    <t>40.71.11.140</t>
  </si>
  <si>
    <t>5f60f5412925a</t>
  </si>
  <si>
    <t>https://freepchelponline07.azurewebsites.net/ERDDrHjVfKbFJbQ/</t>
  </si>
  <si>
    <t>pconlinehelp189.azurewebsites.net</t>
  </si>
  <si>
    <t>5f60ed3ff41a8</t>
  </si>
  <si>
    <t>https://pconlinehelp189.azurewebsites.net/ERDDrHjVfKbFJbQ/</t>
  </si>
  <si>
    <t>pconlinehelp139.azurewebsites.net</t>
  </si>
  <si>
    <t>5f60794565fbf</t>
  </si>
  <si>
    <t>https://pconlinehelp139.azurewebsites.net/ERDDrHjVfKbFJbQ/</t>
  </si>
  <si>
    <t>freesupportcall08.azurewebsites.net</t>
  </si>
  <si>
    <t>5f4e739ab1ed2</t>
  </si>
  <si>
    <t>http://freesupportcall08.azurewebsites.net/q5gCvYnz6kzKvgY/</t>
  </si>
  <si>
    <t>freemaintenance67.azurewebsites.net</t>
  </si>
  <si>
    <t>5f495e21e06c7</t>
  </si>
  <si>
    <t>http://freemaintenance67.azurewebsites.net/q5gCvYnz6kzKvgY/</t>
  </si>
  <si>
    <t>freemaintenance50.azurewebsites.net</t>
  </si>
  <si>
    <t>5f48b9ad40e34</t>
  </si>
  <si>
    <t>http://freemaintenance50.azurewebsites.net/q5gCvYnz6kzKvgY/</t>
  </si>
  <si>
    <t>computercheckup19.azurewebsites.net</t>
  </si>
  <si>
    <t>5f266f156a80b</t>
  </si>
  <si>
    <t>http://computercheckup19.azurewebsites.net/Jenna-Ratliff/</t>
  </si>
  <si>
    <t>brooklynsironwork.com</t>
  </si>
  <si>
    <t>35.166.26.241</t>
  </si>
  <si>
    <t>5f26718e2e1c4</t>
  </si>
  <si>
    <t>http://brooklynsironwork.com/error/S1001010101001CHY/</t>
  </si>
  <si>
    <t>webs12.azurewebsites.net</t>
  </si>
  <si>
    <t>40.112.243.46</t>
  </si>
  <si>
    <t>609591753f191</t>
  </si>
  <si>
    <t>https://webs12.azurewebsites.net/Winhelpxcode888securityCH007/index.html</t>
  </si>
  <si>
    <t>livequick-support177.azurewebsites.net</t>
  </si>
  <si>
    <t>5faf3e9445f92</t>
  </si>
  <si>
    <t>http://livequick-support177.azurewebsites.net/JArbZ98cFQJapCA/</t>
  </si>
  <si>
    <t>livequick-support132.azurewebsites.net</t>
  </si>
  <si>
    <t>5faf3dbe5e9bf</t>
  </si>
  <si>
    <t>http://livequick-support132.azurewebsites.net/JArbZ98cFQJapCA/</t>
  </si>
  <si>
    <t>livequick-support073.azurewebsites.net</t>
  </si>
  <si>
    <t>5faf39504fc3f</t>
  </si>
  <si>
    <t>http://livequick-support073.azurewebsites.net/JArbZ98cFQJapCA/</t>
  </si>
  <si>
    <t>quick-support072.azurewebsites.net</t>
  </si>
  <si>
    <t>5fa439ac3b536</t>
  </si>
  <si>
    <t>https://quick-support072.azurewebsites.net/KZPnhPzq8R8jHBD/</t>
  </si>
  <si>
    <t>quick-support052.azurewebsites.net</t>
  </si>
  <si>
    <t>5fa4387b19c5a</t>
  </si>
  <si>
    <t>https://quick-support052.azurewebsites.net/KZPnhPzq8R8jHBD/</t>
  </si>
  <si>
    <t>speedupyourpc12.azurewebsites.net</t>
  </si>
  <si>
    <t>5f808f94de63a</t>
  </si>
  <si>
    <t>https://speedupyourpc12.azurewebsites.net/bUAnaP5Cp7yKmv4/</t>
  </si>
  <si>
    <t>onecallhelpdesk12.azurewebsites.net</t>
  </si>
  <si>
    <t>5f7f3b24e7d36</t>
  </si>
  <si>
    <t>https://onecallhelpdesk12.azurewebsites.net/bUAnaP5Cp7yKmv4/</t>
  </si>
  <si>
    <t>bestpchelpsupport10.azurewebsites.net</t>
  </si>
  <si>
    <t>5f778d16ee5e6</t>
  </si>
  <si>
    <t>https://bestpchelpsupport10.azurewebsites.net/TZZsyhcrt2Wrbu9/</t>
  </si>
  <si>
    <t>onlinecomputersupport27.azurewebsites.net</t>
  </si>
  <si>
    <t>5f7221014b649</t>
  </si>
  <si>
    <t>https://onlinecomputersupport27.azurewebsites.net/Kq8XSq5WNCgY68z/</t>
  </si>
  <si>
    <t>freepchelp182.azurewebsites.net</t>
  </si>
  <si>
    <t>5f6e4b271b5d2</t>
  </si>
  <si>
    <t>https://freepchelp182.azurewebsites.net/uGM5D6wZ9V5J5RY/</t>
  </si>
  <si>
    <t>freecomputerhelp121.azurewebsites.net</t>
  </si>
  <si>
    <t>5f699e1257b65</t>
  </si>
  <si>
    <t>https://freecomputerhelp121.azurewebsites.net/R7tcvkAFdAwS4B4</t>
  </si>
  <si>
    <t>freecomputerhelp32.azurewebsites.net</t>
  </si>
  <si>
    <t>5f68d9da92bcb</t>
  </si>
  <si>
    <t>https://freecomputerhelp32.azurewebsites.net/R7tcvkAFdAwS4B4/</t>
  </si>
  <si>
    <t>freecomputerhelp29.azurewebsites.net</t>
  </si>
  <si>
    <t>5f68d9c88195f</t>
  </si>
  <si>
    <t>https://freecomputerhelp29.azurewebsites.net/R7tcvkAFdAwS4B4/</t>
  </si>
  <si>
    <t>freepchelp122.azurewebsites.net</t>
  </si>
  <si>
    <t>5f62467790f99</t>
  </si>
  <si>
    <t>https://freepchelp122.azurewebsites.net/TxHTvPq9EFWfwjb/</t>
  </si>
  <si>
    <t>freepchelp22.azurewebsites.net</t>
  </si>
  <si>
    <t>5f61c5e174c15</t>
  </si>
  <si>
    <t>https://freepchelp22.azurewebsites.net/ERDDrHjVfKbFJbQ/</t>
  </si>
  <si>
    <t>freepchelp72.azurewebsites.net</t>
  </si>
  <si>
    <t>5f61c54dd0eba</t>
  </si>
  <si>
    <t>https://freepchelp72.azurewebsites.net/ERDDrHjVfKbFJbQ/</t>
  </si>
  <si>
    <t>pconlinehelp162.azurewebsites.net</t>
  </si>
  <si>
    <t>5f6079bd78a5d</t>
  </si>
  <si>
    <t>https://pconlinehelp162.azurewebsites.net/ERDDrHjVfKbFJbQ/</t>
  </si>
  <si>
    <t>pconlinehelp132.azurewebsites.net</t>
  </si>
  <si>
    <t>5f60794d156e1</t>
  </si>
  <si>
    <t>https://pconlinehelp132.azurewebsites.net/ERDDrHjVfKbFJbQ/</t>
  </si>
  <si>
    <t>pconlinehelp92.azurewebsites.net</t>
  </si>
  <si>
    <t>5f5fd3c9eaafe</t>
  </si>
  <si>
    <t>https://pconlinehelp92.azurewebsites.net/ERDDrHjVfKbFJbQ/</t>
  </si>
  <si>
    <t>pconlinehelp12.azurewebsites.net</t>
  </si>
  <si>
    <t>5f5f9b2a01c15</t>
  </si>
  <si>
    <t>https://pconlinehelp12.azurewebsites.net/ERDDrHjVfKbFJbQ/</t>
  </si>
  <si>
    <t>pchelpdesk12.azurewebsites.net</t>
  </si>
  <si>
    <t>5f5a57ec4faf3</t>
  </si>
  <si>
    <t>https://pchelpdesk12.azurewebsites.net/garretttanners7d/</t>
  </si>
  <si>
    <t>pchelpservices162.azurewebsites.net</t>
  </si>
  <si>
    <t>5f59321413849</t>
  </si>
  <si>
    <t>https://pchelpservices162.azurewebsites.net/dawsonwhlerS7v/</t>
  </si>
  <si>
    <t>pchelpservices122.azurewebsites.net</t>
  </si>
  <si>
    <t>5f591c2f3e2e5</t>
  </si>
  <si>
    <t>https://pchelpservices122.azurewebsites.net/garretttanners7d/</t>
  </si>
  <si>
    <t>pchelpservices52.azurewebsites.net</t>
  </si>
  <si>
    <t>5f590d3128d7f</t>
  </si>
  <si>
    <t>https://pchelpservices52.azurewebsites.net/dawsonwhlerS7v/</t>
  </si>
  <si>
    <t>pchelpservices12.azurewebsites.net</t>
  </si>
  <si>
    <t>5f57ece85cdd2</t>
  </si>
  <si>
    <t>https://pchelpservices12.azurewebsites.net/avfFeTpfJfSPuPx/</t>
  </si>
  <si>
    <t>pchelpsoft52.azurewebsites.net</t>
  </si>
  <si>
    <t>5f57c94fc4d02</t>
  </si>
  <si>
    <t>http://pchelpsoft52.azurewebsites.net/Tk9xhaAV6AsWjBd//</t>
  </si>
  <si>
    <t>pchelpsoft02.azurewebsites.net</t>
  </si>
  <si>
    <t>5f57c8da834ee</t>
  </si>
  <si>
    <t>http://pchelpsoft02.azurewebsites.net/Tk9xhaAV6AsWjBd/</t>
  </si>
  <si>
    <t>callnow82.azurewebsites.net</t>
  </si>
  <si>
    <t>5f52873055458</t>
  </si>
  <si>
    <t>http://callnow82.azurewebsites.net/Mer-cado/</t>
  </si>
  <si>
    <t>callnow62.azurewebsites.net</t>
  </si>
  <si>
    <t>5f5286d2725ea</t>
  </si>
  <si>
    <t>http://callnow62.azurewebsites.net/Mer-cado/</t>
  </si>
  <si>
    <t>callnow22.azurewebsites.net</t>
  </si>
  <si>
    <t>5f528615ed1ed</t>
  </si>
  <si>
    <t>http://callnow22.azurewebsites.net/Mer-cado/</t>
  </si>
  <si>
    <t>paper-access-409.azurewebsites.net</t>
  </si>
  <si>
    <t>5f4f451b48b18</t>
  </si>
  <si>
    <t>https://paper-access-409.azurewebsites.net/Access-Blocked/CHWInhelp10GK010101AW/</t>
  </si>
  <si>
    <t>freesupportcall19.azurewebsites.net</t>
  </si>
  <si>
    <t>5f4e735791178</t>
  </si>
  <si>
    <t>http://freesupportcall19.azurewebsites.net/q5gCvYnz6kzKvgY/</t>
  </si>
  <si>
    <t>freesupport92.azurewebsites.net</t>
  </si>
  <si>
    <t>5f4c0e0d3b52b</t>
  </si>
  <si>
    <t>http://freesupport92.azurewebsites.net/gHBW7zFVGjwcrjr/</t>
  </si>
  <si>
    <t>freesupport62.azurewebsites.net</t>
  </si>
  <si>
    <t>5f4c0d7ab8cd5</t>
  </si>
  <si>
    <t>http://freesupport62.azurewebsites.net/gHBW7zFVGjwcrjr/</t>
  </si>
  <si>
    <t>freesupport32.azurewebsites.net</t>
  </si>
  <si>
    <t>5f4c0cee041cf</t>
  </si>
  <si>
    <t>http://freesupport32.azurewebsites.net/gHBW7zFVGjwcrjr/</t>
  </si>
  <si>
    <t>callnow-free112.azurewebsites.net</t>
  </si>
  <si>
    <t>5f4c090ecf3c7</t>
  </si>
  <si>
    <t>http://callnow-free112.azurewebsites.net/S9M5QFaca7VkHSt/</t>
  </si>
  <si>
    <t>callnow-free67.azurewebsites.net</t>
  </si>
  <si>
    <t>5f4ae42143437</t>
  </si>
  <si>
    <t>http://callnow-free67.azurewebsites.net/S9M5QFaca7VkHSt/</t>
  </si>
  <si>
    <t>freesupportservice99.azurewebsites.net</t>
  </si>
  <si>
    <t>5f4ad89cd6412</t>
  </si>
  <si>
    <t>http://freesupportservice99.azurewebsites.net/vcCsfdvjFg4P5tp/</t>
  </si>
  <si>
    <t>freecallcaresupport92.azurewebsites.net</t>
  </si>
  <si>
    <t>5f4aa3dd7df33</t>
  </si>
  <si>
    <t>http://freecallcaresupport92.azurewebsites.net/vTUPHmw6mhDcMgT/</t>
  </si>
  <si>
    <t>freecallcaresupport11.azurewebsites.net</t>
  </si>
  <si>
    <t>5f4aa2702cb1e</t>
  </si>
  <si>
    <t>http://freecallcaresupport11.azurewebsites.net/vTUPHmw6mhDcMgT/</t>
  </si>
  <si>
    <t>getfreesupport162.azurewebsites.net</t>
  </si>
  <si>
    <t>5f4976824e97b</t>
  </si>
  <si>
    <t>http://getfreesupport162.azurewebsites.net/gHBW7zFVGjwcrjr/</t>
  </si>
  <si>
    <t>freemaintenance112.azurewebsites.net</t>
  </si>
  <si>
    <t>5f495edc53a43</t>
  </si>
  <si>
    <t>http://freemaintenance112.azurewebsites.net/q5gCvYnz6kzKvgY/</t>
  </si>
  <si>
    <t>freemaintenance92.azurewebsites.net</t>
  </si>
  <si>
    <t>5f495e8c24268</t>
  </si>
  <si>
    <t>http://freemaintenance92.azurewebsites.net/q5gCvYnz6kzKvgY/</t>
  </si>
  <si>
    <t>freemaintenance42.azurewebsites.net</t>
  </si>
  <si>
    <t>5f495db9ea09b</t>
  </si>
  <si>
    <t>http://freemaintenance42.azurewebsites.net/q5gCvYnz6kzKvgY/</t>
  </si>
  <si>
    <t>freemaintenance36.azurewebsites.net</t>
  </si>
  <si>
    <t>5f495d9ed622c</t>
  </si>
  <si>
    <t>http://freemaintenance36.azurewebsites.net/q5gCvYnz6kzKvgY/</t>
  </si>
  <si>
    <t>computer52.azurewebsites.net</t>
  </si>
  <si>
    <t>5f479fdd69db8</t>
  </si>
  <si>
    <t>http://computer52.azurewebsites.net/Belle-Plaine/</t>
  </si>
  <si>
    <t>computer44.azurewebsites.net</t>
  </si>
  <si>
    <t>5f479fb207ddb</t>
  </si>
  <si>
    <t>http://computer44.azurewebsites.net/Belle-Plaine/</t>
  </si>
  <si>
    <t>getfreesupport92.azurewebsites.net</t>
  </si>
  <si>
    <t>5f4451d20a855</t>
  </si>
  <si>
    <t>https://getfreesupport92.azurewebsites.net/atEdYhpx5ykF2Ru/</t>
  </si>
  <si>
    <t>getfreesupport62.azurewebsites.net</t>
  </si>
  <si>
    <t>5f44508dce282</t>
  </si>
  <si>
    <t>https://getfreesupport62.azurewebsites.net/atEdYhpx5ykF2Ru/</t>
  </si>
  <si>
    <t>callnow-free12.azurewebsites.net</t>
  </si>
  <si>
    <t>5f44492828b9f</t>
  </si>
  <si>
    <t>https://callnow-free12.azurewebsites.net/Cortez/</t>
  </si>
  <si>
    <t>freesupportservice49.azurewebsites.net</t>
  </si>
  <si>
    <t>5f444177afb5c</t>
  </si>
  <si>
    <t>https://freesupportservice49.azurewebsites.net/8sx3ztC96XSvHKs/</t>
  </si>
  <si>
    <t>freesupport19.azurewebsites.net</t>
  </si>
  <si>
    <t>5f4029af3a677</t>
  </si>
  <si>
    <t>http://freesupport19.azurewebsites.net/atEdYhpx5ykF2Ru/</t>
  </si>
  <si>
    <t>computer72.azurewebsites.net</t>
  </si>
  <si>
    <t>5f3162f159477</t>
  </si>
  <si>
    <t>http://computer72.azurewebsites.net/Mer-cado/</t>
  </si>
  <si>
    <t>computer102.azurewebsites.net</t>
  </si>
  <si>
    <t>5f30d7697f592</t>
  </si>
  <si>
    <t>http://computer102.azurewebsites.net/Belle-Plaine</t>
  </si>
  <si>
    <t>werror16.azurewebsites.net</t>
  </si>
  <si>
    <t>5f26bb1876482</t>
  </si>
  <si>
    <t>http://werror16.azurewebsites.net/Ernst-Place/</t>
  </si>
  <si>
    <t>berror39.azurewebsites.net</t>
  </si>
  <si>
    <t>5f26bac79bf4a</t>
  </si>
  <si>
    <t>http://berror39.azurewebsites.net/Calhoun-TN/</t>
  </si>
  <si>
    <t>pchelpdesk61.azurewebsites.net</t>
  </si>
  <si>
    <t>13.77.182.13</t>
  </si>
  <si>
    <t>5f5a592d78687</t>
  </si>
  <si>
    <t>https://pchelpdesk61.azurewebsites.net/garretttanners7d/</t>
  </si>
  <si>
    <t>pchelpdesk60.azurewebsites.net</t>
  </si>
  <si>
    <t>5f5a592747b04</t>
  </si>
  <si>
    <t>https://pchelpdesk60.azurewebsites.net/garretttanners7d/</t>
  </si>
  <si>
    <t>pchelpservices161.azurewebsites.net</t>
  </si>
  <si>
    <t>5f59320f0ce31</t>
  </si>
  <si>
    <t>https://pchelpservices161.azurewebsites.net/dawsonwhlerS7v/</t>
  </si>
  <si>
    <t>pchelpservices121.azurewebsites.net</t>
  </si>
  <si>
    <t>5f591c2a26953</t>
  </si>
  <si>
    <t>https://pchelpservices121.azurewebsites.net/garretttanners7d/</t>
  </si>
  <si>
    <t>pchelpservices11.azurewebsites.net</t>
  </si>
  <si>
    <t>5f57ece3d5df5</t>
  </si>
  <si>
    <t>https://pchelpservices11.azurewebsites.net/avfFeTpfJfSPuPx/</t>
  </si>
  <si>
    <t>callnow61.azurewebsites.net</t>
  </si>
  <si>
    <t>5f5286cd929ed</t>
  </si>
  <si>
    <t>http://callnow61.azurewebsites.net/Mer-cado/</t>
  </si>
  <si>
    <t>callnow41.azurewebsites.net</t>
  </si>
  <si>
    <t>5f52866f8a5cf</t>
  </si>
  <si>
    <t>http://callnow41.azurewebsites.net/Mer-cado/</t>
  </si>
  <si>
    <t>freesupport91.azurewebsites.net</t>
  </si>
  <si>
    <t>5f4c0e08b57fb</t>
  </si>
  <si>
    <t>http://freesupport91.azurewebsites.net/gHBW7zFVGjwcrjr/</t>
  </si>
  <si>
    <t>callnow-free131.azurewebsites.net</t>
  </si>
  <si>
    <t>5f4c0966c3ad4</t>
  </si>
  <si>
    <t>http://callnow-free131.azurewebsites.net/S9M5QFaca7VkHSt/</t>
  </si>
  <si>
    <t>callnow-free91.azurewebsites.net</t>
  </si>
  <si>
    <t>5f4c08ad33646</t>
  </si>
  <si>
    <t>http://callnow-free91.azurewebsites.net/S9M5QFaca7VkHSt/</t>
  </si>
  <si>
    <t>freemaintenance72.azurewebsites.net</t>
  </si>
  <si>
    <t>5f495e3794427</t>
  </si>
  <si>
    <t>http://freemaintenance72.azurewebsites.net/q5gCvYnz6kzKvgY/</t>
  </si>
  <si>
    <t>customercaresupport171.azurewebsites.net</t>
  </si>
  <si>
    <t>5f49462228c43</t>
  </si>
  <si>
    <t>https://customercaresupport171.azurewebsites.net/HNhGpB5gbMdVDyb/</t>
  </si>
  <si>
    <t>freemaintenance17.azurewebsites.net</t>
  </si>
  <si>
    <t>5f48bc3a0cdfc</t>
  </si>
  <si>
    <t>http://freemaintenance17.azurewebsites.net/q5gCvYnz6kzKvgY/</t>
  </si>
  <si>
    <t>getfreesupport181.azurewebsites.net</t>
  </si>
  <si>
    <t>5f47d50b2bee7</t>
  </si>
  <si>
    <t>http://getfreesupport181.azurewebsites.net/atEdYhpx5ykF2Ru/</t>
  </si>
  <si>
    <t>getfreesupport11.azurewebsites.net</t>
  </si>
  <si>
    <t>5f47a5e2418ba</t>
  </si>
  <si>
    <t>http://getfreesupport11.azurewebsites.net/Zcv6znVbFKDkXCy/</t>
  </si>
  <si>
    <t>checkup91.azurewebsites.net</t>
  </si>
  <si>
    <t>5f447a12a9546</t>
  </si>
  <si>
    <t>http://checkup91.azurewebsites.net/Kristy-Cortez/</t>
  </si>
  <si>
    <t>checkup21.azurewebsites.net</t>
  </si>
  <si>
    <t>5f4476bf872a1</t>
  </si>
  <si>
    <t>http://checkup21.azurewebsites.net/Kristy-Cortez/</t>
  </si>
  <si>
    <t>callnow-free11.azurewebsites.net</t>
  </si>
  <si>
    <t>5f4448cf5bb93</t>
  </si>
  <si>
    <t>https://callnow-free11.azurewebsites.net/Cortez/</t>
  </si>
  <si>
    <t>computer71.azurewebsites.net</t>
  </si>
  <si>
    <t>5f3162f365e7a</t>
  </si>
  <si>
    <t>http://computer71.azurewebsites.net/Mer-cado/</t>
  </si>
  <si>
    <t>computer101.azurewebsites.net</t>
  </si>
  <si>
    <t>5f30d78644518</t>
  </si>
  <si>
    <t>http://computer101.azurewebsites.net/Belle-Plaine</t>
  </si>
  <si>
    <t>callnow-free31.azurewebsites.net</t>
  </si>
  <si>
    <t>5f30d3af8a00f</t>
  </si>
  <si>
    <t>http://callnow-free31.azurewebsites.net/Cortez/</t>
  </si>
  <si>
    <t>freecheckup31.azurewebsites.net</t>
  </si>
  <si>
    <t>5f26bd98c6f87</t>
  </si>
  <si>
    <t>http://freecheckup31.azurewebsites.net/Staci-Walsh/</t>
  </si>
  <si>
    <t>104.24.122.97</t>
  </si>
  <si>
    <t>5f26bead55c8c</t>
  </si>
  <si>
    <t>https://clone935.cf/Finlfdfd0fdfdfdf0d0.myd/IEEDGE_sdsddshelpAW/</t>
  </si>
  <si>
    <t>138.197.215.170</t>
  </si>
  <si>
    <t>5f26bf7c08423</t>
  </si>
  <si>
    <t>http://138.197.215.170/IEEDGE_sdsddshelpXQ/</t>
  </si>
  <si>
    <t>rootdata485.cf</t>
  </si>
  <si>
    <t>104.24.125.34</t>
  </si>
  <si>
    <t>5f26c2287fe7c</t>
  </si>
  <si>
    <t>https://rootdata485.cf/Windfdsf0sdf-sdsd0.bhd/FF100101010XCDH/</t>
  </si>
  <si>
    <t>45.76.240.20</t>
  </si>
  <si>
    <t>5f26dfa841f0c</t>
  </si>
  <si>
    <t>http://45.76.240.20/0ED01011001_77DH/</t>
  </si>
  <si>
    <t>165.227.55.46</t>
  </si>
  <si>
    <t>5f26e273ab0b6</t>
  </si>
  <si>
    <t>http://165.227.55.46/edgechromium-30july/?phone=+1-(844)-490-4750&amp;amp;</t>
  </si>
  <si>
    <t>5f26e26e59421</t>
  </si>
  <si>
    <t>http://165.227.55.46/edgechromium-30july/?phone=+1-(888)-985-6944&amp;amp;</t>
  </si>
  <si>
    <t>67.205.135.178</t>
  </si>
  <si>
    <t>5f26e8d271b82</t>
  </si>
  <si>
    <t>http://67.205.135.178/Ed10010110xyMS/</t>
  </si>
  <si>
    <t>64.227.89.155</t>
  </si>
  <si>
    <t>5f26f3a165ecf</t>
  </si>
  <si>
    <t>http://64.227.89.155/edgechromium-30july/?phone=+1-(844)-474-3086&amp;amp;</t>
  </si>
  <si>
    <t>okapiet.cyou</t>
  </si>
  <si>
    <t>51.158.117.245</t>
  </si>
  <si>
    <t>60d7c80d91f16</t>
  </si>
  <si>
    <t>http://okapiet.cyou/t/W088PP0Y0Ris0y0CED0fv08Mhi/index.html</t>
  </si>
  <si>
    <t>akbarup.xyz</t>
  </si>
  <si>
    <t>60d77b69843f9</t>
  </si>
  <si>
    <t>http://akbarup.xyz/t/W088PP0Y0Ris0y00IE0fv08Mhi/index.html</t>
  </si>
  <si>
    <t>varnain.xyz</t>
  </si>
  <si>
    <t>60d3789bee958</t>
  </si>
  <si>
    <t>http://varnain.xyz/t/Wind0ws-008firwal09alertECH00Mni08FF/index.html</t>
  </si>
  <si>
    <t>jessedn.xyz</t>
  </si>
  <si>
    <t>60d4b6b6a2d65</t>
  </si>
  <si>
    <t>http://jessedn.xyz/t/W088PP0Y0Ris0y0CED0fv08Mhi/index.html</t>
  </si>
  <si>
    <t>avoirdn.cyou</t>
  </si>
  <si>
    <t>60c6a0e05ff13</t>
  </si>
  <si>
    <t>http://avoirdn.cyou/t/W088PP0Y0Ris0y0CED0fv08Mhi/index.html</t>
  </si>
  <si>
    <t>graveue.cyou</t>
  </si>
  <si>
    <t>60b918677ca59</t>
  </si>
  <si>
    <t>http://graveue.cyou/t/Wind0ws-008firwal09alertECH00Mni08FF/index.html</t>
  </si>
  <si>
    <t>hypersophisticated.club</t>
  </si>
  <si>
    <t>5f863602b930d</t>
  </si>
  <si>
    <t>http://hypersophisticated.club/t2/IEfdfdfdfdfdfdffdfRiJaucode0xhelpms008/index.html</t>
  </si>
  <si>
    <t>pseudoconglomerate.site</t>
  </si>
  <si>
    <t>5f85f1ce67e5d</t>
  </si>
  <si>
    <t>http://pseudoconglomerate.site/IEfdfdfdfdfdfdffdfRiJaucode0xhelpms008/index.html</t>
  </si>
  <si>
    <t>psychophysiologic.xyz</t>
  </si>
  <si>
    <t>5f7a2309c9d7c</t>
  </si>
  <si>
    <t>http://psychophysiologic.xyz/f/CHfdfdfdfdfdfdffdf247ucode0xhelpms008Risef/</t>
  </si>
  <si>
    <t>pseudoorganically.online</t>
  </si>
  <si>
    <t>5f7a1abbd83b6</t>
  </si>
  <si>
    <t>http://pseudoorganically.online/IEfdfdfdfdfdfdffdf247ucode0xhelpms008Risef/index.html</t>
  </si>
  <si>
    <t>5f7a21efc336a</t>
  </si>
  <si>
    <t>http://psychophysiologic.xyz/IEfdfdfdfdfdfdffdf247ucode0xhelpms008Risef/index.html</t>
  </si>
  <si>
    <t>overdomesticating.online</t>
  </si>
  <si>
    <t>5f26fe0f90883</t>
  </si>
  <si>
    <t>http://overdomesticating.online/t/ED10010110Ris8/</t>
  </si>
  <si>
    <t>nonrelinquishment.club</t>
  </si>
  <si>
    <t>5f26f583bd829</t>
  </si>
  <si>
    <t>http://nonrelinquishment.club/t/ED10010110Ris8/</t>
  </si>
  <si>
    <t>iteration743.ml</t>
  </si>
  <si>
    <t>104.28.28.252</t>
  </si>
  <si>
    <t>5f277490b9077</t>
  </si>
  <si>
    <t>https://iteration743.ml/Call_Microsoft_windows_Helpline7894504/Dchfdfdfdfd777/</t>
  </si>
  <si>
    <t>macronet693.ga</t>
  </si>
  <si>
    <t>172.67.214.125</t>
  </si>
  <si>
    <t>5f2774b34dac2</t>
  </si>
  <si>
    <t>https://macronet693.ga/Sfsdf0-sdfsdf0.gbs/MA100101010XCDH/</t>
  </si>
  <si>
    <t>helpsecurityerrorecodecbd78868779pp2.monster</t>
  </si>
  <si>
    <t>45.76.239.253</t>
  </si>
  <si>
    <t>5f27759a89a90</t>
  </si>
  <si>
    <t>https://helpsecurityerrorecodecbd78868779pp2.monster/Helpline24x7newjune012020xxerrorssf0232/YXMCdhdsbfhgdfhdgf9x0RBAW/</t>
  </si>
  <si>
    <t>64.227.81.137</t>
  </si>
  <si>
    <t>5f297cb98217c</t>
  </si>
  <si>
    <t>http://64.227.81.137/chrome-21july-2020/?phone=+44-800-014-8078</t>
  </si>
  <si>
    <t>opensource349.ml</t>
  </si>
  <si>
    <t>104.27.161.164</t>
  </si>
  <si>
    <t>5f27e768bde0d</t>
  </si>
  <si>
    <t>https://opensource349.ml/Call_Microsoft_windows_Helpline7059894/Dchfdfdfdfd777/</t>
  </si>
  <si>
    <t>18141190156-xxyyzz.azurewebsites.net</t>
  </si>
  <si>
    <t>52.173.139.99</t>
  </si>
  <si>
    <t>5f280ea4212eb</t>
  </si>
  <si>
    <t>http://18141190156-xxyyzz.azurewebsites.net/ched/</t>
  </si>
  <si>
    <t>18141190156-xxyyzzaabbcc.azurewebsites.net</t>
  </si>
  <si>
    <t>52.165.237.15</t>
  </si>
  <si>
    <t>5f280eb05c797</t>
  </si>
  <si>
    <t>http://18141190156-xxyyzzaabbcc.azurewebsites.net/ched/</t>
  </si>
  <si>
    <t>onlinedailynews.site</t>
  </si>
  <si>
    <t>104.131.57.175</t>
  </si>
  <si>
    <t>5f2811b401e2c</t>
  </si>
  <si>
    <t>https://onlinedailynews.site/EDWInhelp10010101x/</t>
  </si>
  <si>
    <t>137.220.36.60</t>
  </si>
  <si>
    <t>5f2811c2d4f39</t>
  </si>
  <si>
    <t>http://137.220.36.60/0ED01011001_77DH/</t>
  </si>
  <si>
    <t>filesmanager.xyz</t>
  </si>
  <si>
    <t>68.183.89.76</t>
  </si>
  <si>
    <t>5f2847371890d</t>
  </si>
  <si>
    <t>https://filesmanager.xyz/code1863e/CHfdfdfdfd100110dfSHA/</t>
  </si>
  <si>
    <t>nodenet639.cf</t>
  </si>
  <si>
    <t>104.27.152.210</t>
  </si>
  <si>
    <t>5f2828a8321c6</t>
  </si>
  <si>
    <t>https://nodenet639.cf/Ehfjfgy0-gjh0.hbd/MA100101010XCDH/</t>
  </si>
  <si>
    <t>104.131.53.145</t>
  </si>
  <si>
    <t>5f28353f5a793</t>
  </si>
  <si>
    <t>http://104.131.53.145/AT/111/</t>
  </si>
  <si>
    <t>moireer.ml</t>
  </si>
  <si>
    <t>5f2828ff8d559</t>
  </si>
  <si>
    <t>https://moireer.ml/AT/111/</t>
  </si>
  <si>
    <t>protocol448.ml</t>
  </si>
  <si>
    <t>104.24.114.187</t>
  </si>
  <si>
    <t>5f29144ee69e1</t>
  </si>
  <si>
    <t>https://protocol448.ml/dsad0sd-fsd-fs.hbd/MA100101010XCDH/</t>
  </si>
  <si>
    <t>myonlinecasecovers.site</t>
  </si>
  <si>
    <t>104.131.72.26</t>
  </si>
  <si>
    <t>5f29378235ec3</t>
  </si>
  <si>
    <t>https://myonlinecasecovers.site/EDWInhelp10010101x/</t>
  </si>
  <si>
    <t>weromrer.tk</t>
  </si>
  <si>
    <t>164.90.198.102</t>
  </si>
  <si>
    <t>5f294409bdfd8</t>
  </si>
  <si>
    <t>https://weromrer.tk/AT/111/</t>
  </si>
  <si>
    <t>mircrosolutionshelp.ml</t>
  </si>
  <si>
    <t>155.138.216.140</t>
  </si>
  <si>
    <t>5f29810f28d01</t>
  </si>
  <si>
    <t>https://mircrosolutionshelp.ml/support/OMED01010101010X0MS7/</t>
  </si>
  <si>
    <t>167.99.150.133</t>
  </si>
  <si>
    <t>5f298423cfa28</t>
  </si>
  <si>
    <t>http://167.99.150.133/XEDdhdsbfMShgdfhdgfAK/</t>
  </si>
  <si>
    <t>167.172.214.159</t>
  </si>
  <si>
    <t>5f2988524f30f</t>
  </si>
  <si>
    <t>http://167.172.214.159/edgechromium-30july/?phone=+1-(888)-526-3731&amp;amp;</t>
  </si>
  <si>
    <t>161.35.118.52</t>
  </si>
  <si>
    <t>5f298ff3a34d0</t>
  </si>
  <si>
    <t>http://161.35.118.52/XEDdhdsbfMShgdfhdgfAK/</t>
  </si>
  <si>
    <t>xcabsnaaa.com</t>
  </si>
  <si>
    <t>172.67.193.232</t>
  </si>
  <si>
    <t>5f299b8fb7e72</t>
  </si>
  <si>
    <t>https://xcabsnaaa.com/WindowsChrome/?14</t>
  </si>
  <si>
    <t>5f299b5941a7f</t>
  </si>
  <si>
    <t>https://xcabsnaaa.com/WindowsChrome/?4</t>
  </si>
  <si>
    <t>5f2999c3f3cae</t>
  </si>
  <si>
    <t>https://xcabsnaaa.com/WindowsChrome/?tid=wn81osdgfknihhv023vp0dss&amp;amp;conversion=&amp;amp;refdomain=&amp;amp;id=ChNPIcGZNwA</t>
  </si>
  <si>
    <t>104.24.112.130</t>
  </si>
  <si>
    <t>5f299b929e536</t>
  </si>
  <si>
    <t>https://xcabsnaaa.com/WindowsChrome/?15</t>
  </si>
  <si>
    <t>5f299b8d1d670</t>
  </si>
  <si>
    <t>https://xcabsnaaa.com/WindowsChrome/?13</t>
  </si>
  <si>
    <t>5f299b586a1b8</t>
  </si>
  <si>
    <t>https://xcabsnaaa.com/WindowsChrome/?5</t>
  </si>
  <si>
    <t>5f299b56b3135</t>
  </si>
  <si>
    <t>https://xcabsnaaa.com/WindowsChrome/?3</t>
  </si>
  <si>
    <t>5f299b54dd9b7</t>
  </si>
  <si>
    <t>https://xcabsnaaa.com/WindowsChrome/?2</t>
  </si>
  <si>
    <t>5f299b4e6ea67</t>
  </si>
  <si>
    <t>https://xcabsnaaa.com/WindowsChrome/?1</t>
  </si>
  <si>
    <t>104.24.113.130</t>
  </si>
  <si>
    <t>5f299b9b83131</t>
  </si>
  <si>
    <t>https://xcabsnaaa.com/WindowsChrome/?19</t>
  </si>
  <si>
    <t>5f299b6a95c21</t>
  </si>
  <si>
    <t>https://xcabsnaaa.com/WindowsChrome/?10</t>
  </si>
  <si>
    <t>104.248.115.11</t>
  </si>
  <si>
    <t>5f299ef5e6d25</t>
  </si>
  <si>
    <t>http://104.248.115.11/AFUS9606/EDWInhelp100dw10101xVJx/?p_num=+1-844-467-9606</t>
  </si>
  <si>
    <t>popupatch493.ga</t>
  </si>
  <si>
    <t>104.24.107.201</t>
  </si>
  <si>
    <t>5f299f80393f4</t>
  </si>
  <si>
    <t>https://popupatch493.ga/Dsfd0-dsf0sd0fs.gbs/XEDdhdsbfhgdfhdgfMKx/</t>
  </si>
  <si>
    <t>165.227.63.199</t>
  </si>
  <si>
    <t>5f29a33fa206f</t>
  </si>
  <si>
    <t>http://165.227.63.199/edgechromium-30july/?phone=+1-(888)-525-1830&amp;amp;</t>
  </si>
  <si>
    <t>emoticon594.ml</t>
  </si>
  <si>
    <t>104.27.182.151</t>
  </si>
  <si>
    <t>5f29acff32fda</t>
  </si>
  <si>
    <t>https://emoticon594.ml/Call_Microsoft_windows_Helpline2795058/Dchfdfdfdfd777/</t>
  </si>
  <si>
    <t>outputdata644.ml</t>
  </si>
  <si>
    <t>172.67.160.119</t>
  </si>
  <si>
    <t>5f29ad203d71a</t>
  </si>
  <si>
    <t>https://outputdata644.ml/assd0-sdas0d0as.gbs/MA100101010XCDH/</t>
  </si>
  <si>
    <t>myonlinelists.site</t>
  </si>
  <si>
    <t>161.35.234.49</t>
  </si>
  <si>
    <t>5f29ad2f01607</t>
  </si>
  <si>
    <t>https://myonlinelists.site/EDWInhelp10010101x/</t>
  </si>
  <si>
    <t>exabyte955.ml</t>
  </si>
  <si>
    <t>104.27.179.60</t>
  </si>
  <si>
    <t>5f2a8d60dd47d</t>
  </si>
  <si>
    <t>https://exabyte955.ml/Call_Microsoft_windows_Helpline4267348/Dchfdfdfdfd777/</t>
  </si>
  <si>
    <t>slatedata659.cf</t>
  </si>
  <si>
    <t>104.31.79.119</t>
  </si>
  <si>
    <t>5f2a8d7913481</t>
  </si>
  <si>
    <t>https://slatedata659.cf/helpline098ccdcinfo/MA100101010XCDH/</t>
  </si>
  <si>
    <t>164.90.194.19</t>
  </si>
  <si>
    <t>5f2a8d9a049db</t>
  </si>
  <si>
    <t>http://164.90.194.19/EDWInhelp10010101xDE/</t>
  </si>
  <si>
    <t>myonlinecrade.site</t>
  </si>
  <si>
    <t>164.90.145.246</t>
  </si>
  <si>
    <t>5f2a99ba3f876</t>
  </si>
  <si>
    <t>https://myonlinecrade.site/EDWInhelp10010101x/</t>
  </si>
  <si>
    <t>206.189.238.224</t>
  </si>
  <si>
    <t>5f2ab7ac81489</t>
  </si>
  <si>
    <t>http://206.189.238.224/Ed10010110xyMS/</t>
  </si>
  <si>
    <t>46.101.96.82</t>
  </si>
  <si>
    <t>5f2aa50116656</t>
  </si>
  <si>
    <t>http://46.101.96.82/</t>
  </si>
  <si>
    <t>winsecurity10.fr</t>
  </si>
  <si>
    <t>104.28.11.193</t>
  </si>
  <si>
    <t>5f2aa580879f8</t>
  </si>
  <si>
    <t>http://winsecurity10.fr/index.php/campaigns/pl158azqnrd4a/track-url/ek323z20j0587/265b4e2ddd38e570e2130f5a08c3ed981f290fe7</t>
  </si>
  <si>
    <t>www.winsecurity2.fr</t>
  </si>
  <si>
    <t>213.32.95.74</t>
  </si>
  <si>
    <t>5f2aa5a4b41a8</t>
  </si>
  <si>
    <t>http://www.winsecurity2.fr/index.php/campaigns/wh563waz418bd/track-url/kr98836txyb68/a1244b820182b4c6f8b915309a9b1a62869c917b</t>
  </si>
  <si>
    <t>compile499.ml</t>
  </si>
  <si>
    <t>104.24.121.136</t>
  </si>
  <si>
    <t>5f2ac4c922a4b</t>
  </si>
  <si>
    <t>https://compile499.ml/dfdasdf0-dsafds0.space/XEDdhdsbfhgdfhdgfMKx/</t>
  </si>
  <si>
    <t>167.71.120.129</t>
  </si>
  <si>
    <t>5f2ae23fbc8e7</t>
  </si>
  <si>
    <t>http://167.71.120.129/edgechromium-30july/?phone=+1-(866)-565-6576&amp;amp;</t>
  </si>
  <si>
    <t>Gosforth</t>
  </si>
  <si>
    <t>microalert156.epizy.com</t>
  </si>
  <si>
    <t>UK-IFASTNET</t>
  </si>
  <si>
    <t>185.27.134.225</t>
  </si>
  <si>
    <t>5f2aff9303377</t>
  </si>
  <si>
    <t>http://microalert156.epizy.com/0FIfdfdfdfddfd99900V/</t>
  </si>
  <si>
    <t>www.onlinevideogames.epizy.com</t>
  </si>
  <si>
    <t>5f2afd6a0636a</t>
  </si>
  <si>
    <t>http://www.onlinevideogames.epizy.com/</t>
  </si>
  <si>
    <t>data-security.epizy.com</t>
  </si>
  <si>
    <t>5f2afbf3d92fd</t>
  </si>
  <si>
    <t>http://data-security.epizy.com</t>
  </si>
  <si>
    <t>apple-alert152.epizy.com</t>
  </si>
  <si>
    <t>5f2af9b00be61</t>
  </si>
  <si>
    <t>http://apple-alert152.epizy.com</t>
  </si>
  <si>
    <t>microsoft-alert444.epizy.com</t>
  </si>
  <si>
    <t>5f2af9ab58eae</t>
  </si>
  <si>
    <t>http://microsoft-alert444.epizy.com</t>
  </si>
  <si>
    <t>www.errorsupport2020.epizy.com</t>
  </si>
  <si>
    <t>5f2af6e6d11cf</t>
  </si>
  <si>
    <t>http://www.errorsupport2020.epizy.com/Hug/please/?i=2</t>
  </si>
  <si>
    <t>covid-alert.epizy.com</t>
  </si>
  <si>
    <t>5f2af4d01c0a3</t>
  </si>
  <si>
    <t>http://covid-alert.epizy.com/ATT/EW/</t>
  </si>
  <si>
    <t>free-call-support-for-covid19.epizy.com</t>
  </si>
  <si>
    <t>5f2af3f2240a9</t>
  </si>
  <si>
    <t>http://free-call-support-for-covid19.epizy.com/</t>
  </si>
  <si>
    <t>aoejqog.epizy.com</t>
  </si>
  <si>
    <t>5f2af25d06084</t>
  </si>
  <si>
    <t>http://aoejqog.epizy.com/</t>
  </si>
  <si>
    <t>admin.sgiewhgpiwjehi0wje409y.epizy.com</t>
  </si>
  <si>
    <t>5f2af11928124</t>
  </si>
  <si>
    <t>http://admin.sgiewhgpiwjehi0wje409y.epizy.com/</t>
  </si>
  <si>
    <t>erro290fj2gsg.sgiewhgpiwjehi0wje409y.epizy.com</t>
  </si>
  <si>
    <t>5f2ae984e289e</t>
  </si>
  <si>
    <t>http://erro290fj2gsg.sgiewhgpiwjehi0wje409y.epizy.com/support/abcdefg/</t>
  </si>
  <si>
    <t>wogopwg.sgiewhgpiwjehi0wje409y.epizy.com</t>
  </si>
  <si>
    <t>5f2ae950ebc35</t>
  </si>
  <si>
    <t>http://wogopwg.sgiewhgpiwjehi0wje409y.epizy.com/</t>
  </si>
  <si>
    <t>this-system-is-blocked-call-now1.azurewebsites.net</t>
  </si>
  <si>
    <t>52.176.6.0</t>
  </si>
  <si>
    <t>5f30250a4eb38</t>
  </si>
  <si>
    <t>http://this-system-is-blocked-call-now1.azurewebsites.net/CHWInhelp10VWIN010101AW/</t>
  </si>
  <si>
    <t>enters1.azurewebsites.net</t>
  </si>
  <si>
    <t>40.113.204.88</t>
  </si>
  <si>
    <t>5f2afa4f47581</t>
  </si>
  <si>
    <t>http://enters1.azurewebsites.net/0CHfdfdfdfddfd99MD1001011001010110100110101010100101010dfdfd101010/</t>
  </si>
  <si>
    <t>debugbase493.ga</t>
  </si>
  <si>
    <t>104.18.41.63</t>
  </si>
  <si>
    <t>5f2afb82844cd</t>
  </si>
  <si>
    <t>https://debugbase493.ga/dfasf0-sdfs0ds.info/MA100101010XCDH/</t>
  </si>
  <si>
    <t>fsghuw.club</t>
  </si>
  <si>
    <t>172.67.168.5</t>
  </si>
  <si>
    <t>5f2b094fe1060</t>
  </si>
  <si>
    <t>https://fsghuw.club/_Win_dowsH2_01MFO__5SLNVY/65_QDV_HAZGOU4201_BR/_CR_XY29/?n_b=MSg4ODgpNDA4IDYwOTY=</t>
  </si>
  <si>
    <t>bandwidth585.ga</t>
  </si>
  <si>
    <t>104.31.89.7</t>
  </si>
  <si>
    <t>5f2b0e887b917</t>
  </si>
  <si>
    <t>https://bandwidth585.ga/Call_Microsoft_windows_Helpline3343438/Dchfdfdfdfd777/</t>
  </si>
  <si>
    <t>outputdata494.cf</t>
  </si>
  <si>
    <t>104.18.58.183</t>
  </si>
  <si>
    <t>5f2b41cba6095</t>
  </si>
  <si>
    <t>https://outputdata494.cf/Call_Microsoft_windows_Helpline3580728/Dchfdfdfdfd777/</t>
  </si>
  <si>
    <t>threadata940.ga</t>
  </si>
  <si>
    <t>172.67.211.188</t>
  </si>
  <si>
    <t>5f2b527b97483</t>
  </si>
  <si>
    <t>https://threadata940.ga/sdfds0fsff-dfsdf0d.win/XEDdhdsbfhgdfhdgfMKx/</t>
  </si>
  <si>
    <t>v-porn.xyz</t>
  </si>
  <si>
    <t>162.0.229.246</t>
  </si>
  <si>
    <t>5f2b9be74093d</t>
  </si>
  <si>
    <t>https://v-porn.xyz/New/0608/2/POP/indexneweg.php</t>
  </si>
  <si>
    <t>54.157.35.206</t>
  </si>
  <si>
    <t>5f2b9bf15337f</t>
  </si>
  <si>
    <t>http://54.157.35.206/j3558/Call-Support2/</t>
  </si>
  <si>
    <t>spammer330.ga</t>
  </si>
  <si>
    <t>104.27.136.218</t>
  </si>
  <si>
    <t>5f352f107e3e6</t>
  </si>
  <si>
    <t>https://spammer330.ga/Call_Microsoft_windows_Helpline6900924/Dchfdfdfdfd777/</t>
  </si>
  <si>
    <t>myonlinedates.site</t>
  </si>
  <si>
    <t>64.227.105.188</t>
  </si>
  <si>
    <t>5f2bd94cc8b46</t>
  </si>
  <si>
    <t>https://myonlinedates.site/SAMacHelp011010x/</t>
  </si>
  <si>
    <t>danilostreeandlandscaping.site</t>
  </si>
  <si>
    <t>104.18.39.152</t>
  </si>
  <si>
    <t>5f5f9f5aee2b9</t>
  </si>
  <si>
    <t>https://danilostreeandlandscaping.site/code2717g/CHfdfffdgfgfgdfgdfgfKar/</t>
  </si>
  <si>
    <t>bookmark433.ml</t>
  </si>
  <si>
    <t>5f2bd9930a92e</t>
  </si>
  <si>
    <t>https://bookmark433.ml/fsdfsd0-sdfs0sd.online/XMAdhdsbfhgdfhdgf9x0Xd/</t>
  </si>
  <si>
    <t>arraynet443.ml</t>
  </si>
  <si>
    <t>172.67.175.156</t>
  </si>
  <si>
    <t>5f2bd9ac3abc5</t>
  </si>
  <si>
    <t>https://arraynet443.ml/asdd0-asdads0.info/MA100101010XCDH/</t>
  </si>
  <si>
    <t>compile303.ga</t>
  </si>
  <si>
    <t>172.67.196.210</t>
  </si>
  <si>
    <t>5f2bd9d15ca28</t>
  </si>
  <si>
    <t>https://compile303.ga/Call_Microsoft_windows_Helpline3822109/Dchfdfdfdfd777/</t>
  </si>
  <si>
    <t>199.247.11.81</t>
  </si>
  <si>
    <t>5f2be0a4c79cd</t>
  </si>
  <si>
    <t>http://199.247.11.81/index.html?phone=0800-101-202</t>
  </si>
  <si>
    <t>134.122.63.2</t>
  </si>
  <si>
    <t>5f2c06d6ada7b</t>
  </si>
  <si>
    <t>http://134.122.63.2/EDWInhelp10010101xDE/</t>
  </si>
  <si>
    <t>decompress435.cf</t>
  </si>
  <si>
    <t>104.31.89.101</t>
  </si>
  <si>
    <t>5f2c0d862bd34</t>
  </si>
  <si>
    <t>https://decompress435.cf/Call_Microsoft_windows_Helpline3343438/Dedfdfdfdfd777/</t>
  </si>
  <si>
    <t>totalizer044.ml</t>
  </si>
  <si>
    <t>172.67.131.43</t>
  </si>
  <si>
    <t>5f2c14cb5c521</t>
  </si>
  <si>
    <t>https://totalizer044.ml/Call_Microsoft_windows_Helpline3257603/Dchfdfdfdfd777/</t>
  </si>
  <si>
    <t>iconbase955.cf</t>
  </si>
  <si>
    <t>172.67.153.80</t>
  </si>
  <si>
    <t>5f2c14df4b9e7</t>
  </si>
  <si>
    <t>https://iconbase955.cf/Sfdsdf0sd-0sdf.bdf/XMAdhdsbfhgdfhdgf9x0Xd/</t>
  </si>
  <si>
    <t>exabyte443.ml</t>
  </si>
  <si>
    <t>172.67.215.181</t>
  </si>
  <si>
    <t>5f2c18d2d5607</t>
  </si>
  <si>
    <t>https://exabyte443.ml/ddsfsaf-sd0f0sdf-sd.hnq/XEDdhdsbfhgdfhdgfMKx/</t>
  </si>
  <si>
    <t>138.68.4.79</t>
  </si>
  <si>
    <t>5f2c25a158bf9</t>
  </si>
  <si>
    <t>http://138.68.4.79/windowsmacosxxedgechromium-6august/?phone=+1-(866)-767-1458&amp;amp;</t>
  </si>
  <si>
    <t>myonlinerewards.site</t>
  </si>
  <si>
    <t>161.35.238.204</t>
  </si>
  <si>
    <t>5f2c33b7c207a</t>
  </si>
  <si>
    <t>https://myonlinerewards.site/CHWInhelp10010101x/</t>
  </si>
  <si>
    <t>macronet903.ga</t>
  </si>
  <si>
    <t>104.18.42.19</t>
  </si>
  <si>
    <t>5f2c36acda280</t>
  </si>
  <si>
    <t>https://macronet903.ga/ccac0-dads0.hnbd/XMCdhdsbfMShgdfhdgfHD247/</t>
  </si>
  <si>
    <t>159.89.83.20</t>
  </si>
  <si>
    <t>5f2c3a2d51f98</t>
  </si>
  <si>
    <t>http://159.89.83.20/AFUS9510/chrome-21july-2020/?p_num=++1-866-574-9510</t>
  </si>
  <si>
    <t>64.227.52.169</t>
  </si>
  <si>
    <t>5f2c3b8793dbb</t>
  </si>
  <si>
    <t>http://64.227.52.169/windowsoschrome-6aug-2020/?phone=+1-(866)-720-5514&amp;amp;</t>
  </si>
  <si>
    <t>firmware904.ga</t>
  </si>
  <si>
    <t>104.24.119.144</t>
  </si>
  <si>
    <t>5f2c3c7852fa0</t>
  </si>
  <si>
    <t>https://firmware904.ga/Call_Microsoft_windows_Helpline3580728/Dchfdfdfdfd777/</t>
  </si>
  <si>
    <t>159.65.218.133</t>
  </si>
  <si>
    <t>5f2c41b87fa84</t>
  </si>
  <si>
    <t>http://159.65.218.133/AFUS7799/edgechromium-30july/?p_num=+1-866-536-7799&amp;amp;</t>
  </si>
  <si>
    <t>rancherfreeipa.qa.rancher.space</t>
  </si>
  <si>
    <t>64.227.56.235</t>
  </si>
  <si>
    <t>5f2c531e80287</t>
  </si>
  <si>
    <t>http://rancherfreeipa.qa.rancher.space/windowsoschrome-6aug-2020/?phone=+1-(866)-764-3568&amp;amp;amp</t>
  </si>
  <si>
    <t>5f2c431de06fc</t>
  </si>
  <si>
    <t>http://64.227.56.235/windowsmacosxxedgechromium-6august/?phone=+1-(866)-764-3568&amp;amp;</t>
  </si>
  <si>
    <t>5f2c415b46eab</t>
  </si>
  <si>
    <t>http://64.227.56.235/windowsmacosxxedgechromium-6august/?phone=+1-(866)-516-4293&amp;amp;</t>
  </si>
  <si>
    <t>oppo38383dbcuru.ga</t>
  </si>
  <si>
    <t>161.35.234.79</t>
  </si>
  <si>
    <t>5f3054c9434ce</t>
  </si>
  <si>
    <t>https://oppo38383dbcuru.ga/alert/0WFIfdfdfdfddfd0099900YN/</t>
  </si>
  <si>
    <t>5f3054c287ebb</t>
  </si>
  <si>
    <t>https://oppo38383dbcuru.ga/alert/0WEDfdfdfdfddfd0099900YN/</t>
  </si>
  <si>
    <t>5f3054bb87ce2</t>
  </si>
  <si>
    <t>https://oppo38383dbcuru.ga/alert/0WMAfdfdfdfddfd0099900YN/</t>
  </si>
  <si>
    <t>5f3054ae2ba4c</t>
  </si>
  <si>
    <t>https://oppo38383dbcuru.ga/alert/0WIEfdfdfdfddfd0099900YN/</t>
  </si>
  <si>
    <t>note9737cndnjdn.gq</t>
  </si>
  <si>
    <t>5f2f0b8141a54</t>
  </si>
  <si>
    <t>https://note9737cndnjdn.gq/alert/0WCHfdfdfdfddfd0099900YN/</t>
  </si>
  <si>
    <t>note9737cndnjdn.ga</t>
  </si>
  <si>
    <t>5f2f0b7e3d4f3</t>
  </si>
  <si>
    <t>https://note9737cndnjdn.ga/alert/0WCHfdfdfdfddfd0099900YN/</t>
  </si>
  <si>
    <t>note9737cndnjdn.cf</t>
  </si>
  <si>
    <t>5f2f0b75ddae3</t>
  </si>
  <si>
    <t>https://note9737cndnjdn.cf/alert/0WCHfdfdfdfddfd0099900YN/</t>
  </si>
  <si>
    <t>galaxy3774hwecbsbhd.cf</t>
  </si>
  <si>
    <t>5f2f0b674c20c</t>
  </si>
  <si>
    <t>https://galaxy3774hwecbsbhd.cf/alert/0WCHfdfdfdfddfd0099900YN/</t>
  </si>
  <si>
    <t>galaxy3774hwecbsbhd.ml</t>
  </si>
  <si>
    <t>5f2f0b6398290</t>
  </si>
  <si>
    <t>https://galaxy3774hwecbsbhd.ml/alert/0WCHfdfdfdfddfd0099900YN/</t>
  </si>
  <si>
    <t>galaxy3774hwecbsbhd.ga</t>
  </si>
  <si>
    <t>5f2f0b6019c06</t>
  </si>
  <si>
    <t>https://galaxy3774hwecbsbhd.ga/alert/0WCHfdfdfdfddfd0099900YN/</t>
  </si>
  <si>
    <t>galaxy3774hwecbsbhd.gq</t>
  </si>
  <si>
    <t>5f2f0b5caebc4</t>
  </si>
  <si>
    <t>https://galaxy3774hwecbsbhd.gq/alert/0WCHfdfdfdfddfd0099900YN/</t>
  </si>
  <si>
    <t>oppo38383dbcuru.gq</t>
  </si>
  <si>
    <t>5f2f0b5377e65</t>
  </si>
  <si>
    <t>https://oppo38383dbcuru.gq/alert/0WCHfdfdfdfddfd0099900YN/</t>
  </si>
  <si>
    <t>oppo38383dbcuru.cf</t>
  </si>
  <si>
    <t>5f2f0b4b2ae98</t>
  </si>
  <si>
    <t>https://oppo38383dbcuru.cf/alert/0WCHfdfdfdfddfd0099900YN/</t>
  </si>
  <si>
    <t>xiaomi3894babvbd.cf</t>
  </si>
  <si>
    <t>5f2f0b37d4f94</t>
  </si>
  <si>
    <t>https://xiaomi3894babvbd.cf//alert/0WCHfdfdfdfddfd0099900YN/</t>
  </si>
  <si>
    <t>oppo38383dbcuru.ml</t>
  </si>
  <si>
    <t>5f2f0b1bb3a52</t>
  </si>
  <si>
    <t>https://oppo38383dbcuru.ml/alert/0WCHfdfdfdfddfd0099900YN/</t>
  </si>
  <si>
    <t>5f2f0b115c747</t>
  </si>
  <si>
    <t>https://oppo38383dbcuru.ga/alert/0WCHfdfdfdfddfd0099900YN/</t>
  </si>
  <si>
    <t>note9737cndnjdn.ml</t>
  </si>
  <si>
    <t>5f2e0212ecdfd</t>
  </si>
  <si>
    <t>https://note9737cndnjdn.ml/alert/0WCHfdfdfdfddfd0099900YN/</t>
  </si>
  <si>
    <t>mpueyrh848.ml</t>
  </si>
  <si>
    <t>5f2c6413d08c7</t>
  </si>
  <si>
    <t>https://mpueyrh848.ml/alert/0WCHfdfdfdfddfd0099900YN/</t>
  </si>
  <si>
    <t>gu237yreuriivn.ga</t>
  </si>
  <si>
    <t>5f2c63f7c5d9f</t>
  </si>
  <si>
    <t>https://gu237yreuriivn.ga/alert/0WCHfdfdfdfddfd0099900YN/</t>
  </si>
  <si>
    <t>gu237yreuriivn.gq</t>
  </si>
  <si>
    <t>5f2c63e9e0ec9</t>
  </si>
  <si>
    <t>https://gu237yreuriivn.gq/alert/0WCHfdfdfdfddfd0099900YN/</t>
  </si>
  <si>
    <t>bho67iosifbsh.gq</t>
  </si>
  <si>
    <t>5f2c63b4c8d3d</t>
  </si>
  <si>
    <t>https://bho67iosifbsh.gq/alert/0WCHfdfdfdfddfd0099900YN/</t>
  </si>
  <si>
    <t>mpueyrh848.cf</t>
  </si>
  <si>
    <t>5f2c63b27f17f</t>
  </si>
  <si>
    <t>https://mpueyrh848.cf/alert/0WCHfdfdfdfddfd0099900YN/</t>
  </si>
  <si>
    <t>mpueyrh848.gq</t>
  </si>
  <si>
    <t>5f2c63a9c5c93</t>
  </si>
  <si>
    <t>https://mpueyrh848.gq/alert/0WCHfdfdfdfddfd0099900YN/</t>
  </si>
  <si>
    <t>mpueyrh848.ga</t>
  </si>
  <si>
    <t>5f2c63a1e429b</t>
  </si>
  <si>
    <t>https://mpueyrh848.ga/alert/0WCHfdfdfdfddfd0099900YN/</t>
  </si>
  <si>
    <t>su9883terqovdjnv.ga</t>
  </si>
  <si>
    <t>5f2c6398218fd</t>
  </si>
  <si>
    <t>https://su9883terqovdjnv.ga/alert/0WCHfdfdfdfddfd0099900YN/</t>
  </si>
  <si>
    <t>gu237yreuriivn.ml</t>
  </si>
  <si>
    <t>5f2c638e4e4d6</t>
  </si>
  <si>
    <t>https://gu237yreuriivn.ml/alert/0WCHfdfdfdfddfd0099900YN/</t>
  </si>
  <si>
    <t>bho67iosifbsh.cf</t>
  </si>
  <si>
    <t>5f2c6382d5e25</t>
  </si>
  <si>
    <t>https://bho67iosifbsh.cf/alert/0WCHfdfdfdfddfd0099900YN/</t>
  </si>
  <si>
    <t>su9883terqovdjnv.gq</t>
  </si>
  <si>
    <t>5f2c6378017f7</t>
  </si>
  <si>
    <t>https://su9883terqovdjnv.gq/alert/0WCHfdfdfdfddfd0099900YN/</t>
  </si>
  <si>
    <t>su9883terqovdjnv.ml</t>
  </si>
  <si>
    <t>5f2c635e405e2</t>
  </si>
  <si>
    <t>https://su9883terqovdjnv.ml/alert/0WCHfdfdfdfddfd0099900YN/</t>
  </si>
  <si>
    <t>gu237yreuriivn.cf</t>
  </si>
  <si>
    <t>5f2c635924964</t>
  </si>
  <si>
    <t>https://gu237yreuriivn.cf/alert/0WCHfdfdfdfddfd0099900YN/</t>
  </si>
  <si>
    <t>bho67iosifbsh.ga</t>
  </si>
  <si>
    <t>5f2c4a45aeeec</t>
  </si>
  <si>
    <t>https://bho67iosifbsh.ga/alert/0WCHfdfdfdfddfd0099900YN/</t>
  </si>
  <si>
    <t>x.postsimple.email</t>
  </si>
  <si>
    <t>198.211.115.239</t>
  </si>
  <si>
    <t>5f2c520f18748</t>
  </si>
  <si>
    <t>http://x.postsimple.email/AFUS7204/chrome-21july-2020/?p_num=+1-(866)-802-7204&amp;amp;</t>
  </si>
  <si>
    <t>email</t>
  </si>
  <si>
    <t>rjrbixzmb.pw</t>
  </si>
  <si>
    <t>5f2c51fe5b88b</t>
  </si>
  <si>
    <t>http://rjrbixzmb.pw/AFUS7204/chrome-21july-2020/?p_num=+1-(866)-802-7204&amp;amp;</t>
  </si>
  <si>
    <t>5f2c4eff399ac</t>
  </si>
  <si>
    <t>http://198.211.115.239/AFUS7204/edgechromium-30july/?p_num=+1-866-802-7204&amp;amp;mid=7204&amp;amp;ip=72.176.161.59&amp;amp;city=us&amp;amp;Browser=EDGE_18.18362</t>
  </si>
  <si>
    <t>www.insurancestoreusa.club</t>
  </si>
  <si>
    <t>104.18.60.167</t>
  </si>
  <si>
    <t>5f2c566c8a593</t>
  </si>
  <si>
    <t>https://www.insurancestoreusa.club/alert/0WCHfdfdfdfddfd0099900YN/</t>
  </si>
  <si>
    <t>bcfwget.online</t>
  </si>
  <si>
    <t>198.187.31.158</t>
  </si>
  <si>
    <t>6024cfcebae98</t>
  </si>
  <si>
    <t>https://bcfwget.online/ojpedgx01-bxcvx46-er5er8e4-bv5x454xc46-er45t8r4-x54x465d-rer8e4-cv445f45-rt5r8t4vcf/nchrx-0533/index.html</t>
  </si>
  <si>
    <t>weblogsomeinfo.cf</t>
  </si>
  <si>
    <t>5f480c6aebb3e</t>
  </si>
  <si>
    <t>https://weblogsomeinfo.cf/CHWInhelp10010101xK/</t>
  </si>
  <si>
    <t>newwebservices.ml</t>
  </si>
  <si>
    <t>5f44ac6304c09</t>
  </si>
  <si>
    <t>https://newwebservices.ml/EDWInhelp10010101xK/</t>
  </si>
  <si>
    <t>worldwebrunner.tk</t>
  </si>
  <si>
    <t>5f3f98dc3932c</t>
  </si>
  <si>
    <t>https://worldwebrunner.tk/EDWInhelp10010101xK/</t>
  </si>
  <si>
    <t>attackporn.website</t>
  </si>
  <si>
    <t>5f3e95b30526a</t>
  </si>
  <si>
    <t>https://attackporn.website/DMAfdfdfdfd777MSa/index.html</t>
  </si>
  <si>
    <t>solutionswebsites.ml</t>
  </si>
  <si>
    <t>5f3e699645358</t>
  </si>
  <si>
    <t>https://solutionswebsites.ml/DMAfdfdfdfd777MSa/index.html</t>
  </si>
  <si>
    <t>webfindsolutions.tk</t>
  </si>
  <si>
    <t>5f3e684d98513</t>
  </si>
  <si>
    <t>https://webfindsolutions.tk/CHWInhelp10010101xK/</t>
  </si>
  <si>
    <t>pausewebdark.gq</t>
  </si>
  <si>
    <t>5f3c203c38d4f</t>
  </si>
  <si>
    <t>https://pausewebdark.gq/EDWInhelp10010101xK/</t>
  </si>
  <si>
    <t>virusalert3534xx.ga</t>
  </si>
  <si>
    <t>5f3a9c8222487</t>
  </si>
  <si>
    <t>https://virusalert3534xx.ga/CHWInhelp10010101xK/</t>
  </si>
  <si>
    <t>damagealertxx003.gq</t>
  </si>
  <si>
    <t>5f368d79c2b1a</t>
  </si>
  <si>
    <t>https://damagealertxx003.gq/CHWInhelp10010101xK/</t>
  </si>
  <si>
    <t>msxalert.cf</t>
  </si>
  <si>
    <t>5f32a9eabeb79</t>
  </si>
  <si>
    <t>https://msxalert.cf/CHWInhelp10010101xK/</t>
  </si>
  <si>
    <t>windowsalerterrors.ml</t>
  </si>
  <si>
    <t>5f31775e59e35</t>
  </si>
  <si>
    <t>https://windowsalerterrors.ml/CHWInhelp10010101xK/</t>
  </si>
  <si>
    <t>criticlealert.tk</t>
  </si>
  <si>
    <t>5f309d500326e</t>
  </si>
  <si>
    <t>https://criticlealert.tk/CHWInhelp10010101xK/</t>
  </si>
  <si>
    <t>msxalert.tk</t>
  </si>
  <si>
    <t>5f2cfa8e69209</t>
  </si>
  <si>
    <t>https://msxalert.tk/EDWInhelp10010101xK/</t>
  </si>
  <si>
    <t>xxalertweb.tk</t>
  </si>
  <si>
    <t>5f2c61f3b2350</t>
  </si>
  <si>
    <t>https://xxalertweb.tk/index-4.html</t>
  </si>
  <si>
    <t>webalerthgd.ga</t>
  </si>
  <si>
    <t>5f2c619ee48ba</t>
  </si>
  <si>
    <t>https://webalerthgd.ga/CHWInhelp10010101xK/</t>
  </si>
  <si>
    <t>198.199.80.227</t>
  </si>
  <si>
    <t>5f2c61d55205a</t>
  </si>
  <si>
    <t>http://198.199.80.227/AFUS5098/edgechromium-30july/?p_num=+1-(866)-754-5098&amp;amp;mid=5098&amp;amp;ip=99.8.183.195&amp;amp;city=us&amp;amp;Browser=EDGE_18.18362</t>
  </si>
  <si>
    <t>134.122.117.89</t>
  </si>
  <si>
    <t>5f2c62f726377</t>
  </si>
  <si>
    <t>http://134.122.117.89/Ed10010110xyMS/</t>
  </si>
  <si>
    <t>laggissue393.ml</t>
  </si>
  <si>
    <t>104.24.101.120</t>
  </si>
  <si>
    <t>5f2c651a3a137</t>
  </si>
  <si>
    <t>https://laggissue393.ml/sdfsf0sd0fs0df-dsf0sf0-665.info/SdCHfdgdfgdfgdffg-1SS/</t>
  </si>
  <si>
    <t>online20.azurewebsites.net</t>
  </si>
  <si>
    <t>52.173.84.157</t>
  </si>
  <si>
    <t>5fe6764ca5ea2</t>
  </si>
  <si>
    <t>https://online20.azurewebsites.net/Winhelpxcode888securityCH007/index.html</t>
  </si>
  <si>
    <t>critical-system-issue-509.azurewebsites.net</t>
  </si>
  <si>
    <t>5f2c6799304b6</t>
  </si>
  <si>
    <t>http://critical-system-issue-509.azurewebsites.net/CHWInhelp10VWIN010101AW/</t>
  </si>
  <si>
    <t>critical-system-issue-515.azurewebsites.net</t>
  </si>
  <si>
    <t>40.122.65.162</t>
  </si>
  <si>
    <t>5f2c6aa9f2115</t>
  </si>
  <si>
    <t>http://critical-system-issue-515.azurewebsites.net/CHWInhelp10VWIN010101AW/</t>
  </si>
  <si>
    <t>securityfailedduetovirus311.azurewebsites.net</t>
  </si>
  <si>
    <t>40.86.91.212</t>
  </si>
  <si>
    <t>5f3adfd0e01a1</t>
  </si>
  <si>
    <t>https://securityfailedduetovirus311.azurewebsites.net/CHWInhelp10VWIN010101AW/index.html</t>
  </si>
  <si>
    <t>critical-system-issue-516.azurewebsites.net</t>
  </si>
  <si>
    <t>5f2c6b1bce6b1</t>
  </si>
  <si>
    <t>http://critical-system-issue-516.azurewebsites.net/FFWInhelp1001VWIN0101AW/</t>
  </si>
  <si>
    <t>macronet904.ga</t>
  </si>
  <si>
    <t>172.67.208.38</t>
  </si>
  <si>
    <t>5f2c8556ca72d</t>
  </si>
  <si>
    <t>https://macronet904.ga/Call_Microsoft_windows_Helpline3580728/Dchfdfdfdfd777/</t>
  </si>
  <si>
    <t>128.199.218.172</t>
  </si>
  <si>
    <t>5f2d02e39972a</t>
  </si>
  <si>
    <t>http://128.199.218.172/</t>
  </si>
  <si>
    <t>verticaldroppers.site</t>
  </si>
  <si>
    <t>136.243.219.47</t>
  </si>
  <si>
    <t>5f51fd9373452</t>
  </si>
  <si>
    <t>https://verticaldroppers.site/wprtys01-v15d4-r5tr87e84-cx44v846-5g87re9-cx5487e6-x5v4887fs-bx4f656-r5r87e4-x48484g/eacrx01/</t>
  </si>
  <si>
    <t>democartasuion.online</t>
  </si>
  <si>
    <t>5f449c46cac5c</t>
  </si>
  <si>
    <t>https://democartasuion.online/blquyx01-cd45s89-rfe89we-c5x7v97s6-d58r8bfd-cxs465-er5e9w87ew4-xc568s56-x5sds88e/aueoacrx01/</t>
  </si>
  <si>
    <t>asaratrojanplaner.online</t>
  </si>
  <si>
    <t>5f44e45376487</t>
  </si>
  <si>
    <t>https://asaratrojanplaner.online/blwhtx01-g5df6-c5x8s6-ere987we46-x5897s84s65-a589r7e5e6-xc5g87s5s-x57878ds-te4rw45x/ewhtx01/</t>
  </si>
  <si>
    <t>yingridportal.online</t>
  </si>
  <si>
    <t>5f437f965a901</t>
  </si>
  <si>
    <t>https://yingridportal.online/Wysht01-df5s46-cvx5878s4-err8we8w-x598s46fs-x4v7845-z5f87s5-xcb4578f4-x448g4df/owegungxt/</t>
  </si>
  <si>
    <t>functioneditfiler.online</t>
  </si>
  <si>
    <t>5f3e6d2f1a5f2</t>
  </si>
  <si>
    <t>https://functioneditfiler.online/ueiokx01-2g4f5d456-cvx98s84s6-x58v8s-x45v598s46-5euxgs-gd2s456-er5er58e4-xv58sf4j/wreungx01/</t>
  </si>
  <si>
    <t>proactiveininfo.online</t>
  </si>
  <si>
    <t>5f33e9cc6f98f</t>
  </si>
  <si>
    <t>https://proactiveininfo.online/wnspx01-gd2f45d4-vc2b5545e6-rt5re98r56-5dgf6d56-er5rw84-vc5b87er6-d58r74d-hbf54bd54g-rtrr5et8-fdsfrx5/wreacrx01/</t>
  </si>
  <si>
    <t>paramaountingasfolocaga.online</t>
  </si>
  <si>
    <t>5f2d0bee695dd</t>
  </si>
  <si>
    <t>https://paramaountingasfolocaga.online/gatsyx01-gf5s4646-er5e98w46-x587f5s-a4rcxde544-s587e845-xv58fs456-x58f5s4f5-m1c4g54fg6/owegacrxt/</t>
  </si>
  <si>
    <t>myonlinecreditpagges.site</t>
  </si>
  <si>
    <t>64.227.104.126</t>
  </si>
  <si>
    <t>5f2d21f22fa26</t>
  </si>
  <si>
    <t>https://myonlinecreditpagges.site/SAMacHelp011010x/</t>
  </si>
  <si>
    <t>popupatch450.ml</t>
  </si>
  <si>
    <t>172.67.208.118</t>
  </si>
  <si>
    <t>5f2d2231afd1a</t>
  </si>
  <si>
    <t>https://popupatch450.ml/Call_Microsoft_windows_Helpline133369/Dchfdfdfdfd777/</t>
  </si>
  <si>
    <t>iconbase390.cf</t>
  </si>
  <si>
    <t>104.27.185.8</t>
  </si>
  <si>
    <t>5f2d224bb41ce</t>
  </si>
  <si>
    <t>https://iconbase390.cf/fsdf0-dsfsdaf0.infon/MA100101010XCDH/</t>
  </si>
  <si>
    <t>hostidea.site</t>
  </si>
  <si>
    <t>134.209.162.171</t>
  </si>
  <si>
    <t>5f2d46d3243b7</t>
  </si>
  <si>
    <t>https://hostidea.site/51xxnoexx5xy/SAMacHelp011010x/?site=</t>
  </si>
  <si>
    <t>toolbar932.ga</t>
  </si>
  <si>
    <t>104.18.49.226</t>
  </si>
  <si>
    <t>5f2d5db5c4bb7</t>
  </si>
  <si>
    <t>https://toolbar932.ga/dadf0-fsd0f0sdf0-sdf0.vyh/XEDdhdsbfMShgdfhdgfHD247/</t>
  </si>
  <si>
    <t>www.freescambaitingonline.epizy.com</t>
  </si>
  <si>
    <t>185.27.134.222</t>
  </si>
  <si>
    <t>5f2d933886a45</t>
  </si>
  <si>
    <t>http://www.freescambaitingonline.epizy.com/?i=1</t>
  </si>
  <si>
    <t>www.epicfortnitehack.epizy.com</t>
  </si>
  <si>
    <t>5f2d92efa4522</t>
  </si>
  <si>
    <t>http://www.epicfortnitehack.epizy.com/?i=1</t>
  </si>
  <si>
    <t>freepunbabi.epizy.com</t>
  </si>
  <si>
    <t>5f2d90979d28d</t>
  </si>
  <si>
    <t>http://freepunbabi.epizy.com/CH/14/</t>
  </si>
  <si>
    <t>hentai-free3434.epizy.com</t>
  </si>
  <si>
    <t>5f2d8d9cd4a63</t>
  </si>
  <si>
    <t>http://hentai-free3434.epizy.com/</t>
  </si>
  <si>
    <t>childporn-purchase472.epizy.com</t>
  </si>
  <si>
    <t>5f2d8b67206a3</t>
  </si>
  <si>
    <t>http://childporn-purchase472.epizy.com/msie1.html</t>
  </si>
  <si>
    <t>free-hacking-facebuk-accounts.epizy.com</t>
  </si>
  <si>
    <t>United Arab Emirates</t>
  </si>
  <si>
    <t>971-585-5553-58</t>
  </si>
  <si>
    <t>5f2d725da2262</t>
  </si>
  <si>
    <t>http://free-hacking-facebuk-accounts.epizy.com/DGDG/AS/</t>
  </si>
  <si>
    <t>free-iphone-11.epizy.com</t>
  </si>
  <si>
    <t>5f2d701394516</t>
  </si>
  <si>
    <t>http://free-iphone-11.epizy.com/13/</t>
  </si>
  <si>
    <t>micro-pirating-your-dreams.epizy.com</t>
  </si>
  <si>
    <t>5f2d6e75bacff</t>
  </si>
  <si>
    <t>http://micro-pirating-your-dreams.epizy.com/</t>
  </si>
  <si>
    <t>wewew.epizy.com</t>
  </si>
  <si>
    <t>5f2d6d0c33a1a</t>
  </si>
  <si>
    <t>http://wewew.epizy.com/</t>
  </si>
  <si>
    <t>teetett.epizy.com</t>
  </si>
  <si>
    <t>5f2d6c79e4100</t>
  </si>
  <si>
    <t>http://teetett.epizy.com/</t>
  </si>
  <si>
    <t>ipaddressonline.epizy.com</t>
  </si>
  <si>
    <t>5f2d6bf6195a9</t>
  </si>
  <si>
    <t>http://ipaddressonline.epizy.com/</t>
  </si>
  <si>
    <t>freeipaddresshacking.epizy.com</t>
  </si>
  <si>
    <t>5f2d6bec8b71d</t>
  </si>
  <si>
    <t>http://freeipaddresshacking.epizy.com</t>
  </si>
  <si>
    <t>protocol494.cf</t>
  </si>
  <si>
    <t>104.31.71.14</t>
  </si>
  <si>
    <t>5f2d7acf8be5d</t>
  </si>
  <si>
    <t>https://protocol494.cf/Call_Microsoft_windows_Helpline3427274/Dchfdfdfdfd777/</t>
  </si>
  <si>
    <t>d16ow6g3lvo94q.cloudfront.net</t>
  </si>
  <si>
    <t>143.204.225.117</t>
  </si>
  <si>
    <t>5f2d7bf585eca</t>
  </si>
  <si>
    <t>https://d16ow6g3lvo94q.cloudfront.net/7947/index.html</t>
  </si>
  <si>
    <t>administration.epizy.com</t>
  </si>
  <si>
    <t>185.27.134.144</t>
  </si>
  <si>
    <t>5f2da637d3aac</t>
  </si>
  <si>
    <t>http://administration.epizy.com/</t>
  </si>
  <si>
    <t>157.245.228.19</t>
  </si>
  <si>
    <t>5f2d87e7e9dac</t>
  </si>
  <si>
    <t>http://157.245.228.19/windowsmacosxxedgechromium-6august/?phone=+1-(866)-802-9851&amp;amp;</t>
  </si>
  <si>
    <t>AS32097</t>
  </si>
  <si>
    <t>Kansas City</t>
  </si>
  <si>
    <t>ariferransan.online</t>
  </si>
  <si>
    <t>WholeSale Internet</t>
  </si>
  <si>
    <t>173.208.246.125</t>
  </si>
  <si>
    <t>WholeSaleInternet,Inc.</t>
  </si>
  <si>
    <t>5f2e58a360b00</t>
  </si>
  <si>
    <t>https://ariferransan.online/bgatsyx01-5df74d45-ret5e784-x5578ss5-5a79e8r9-gv5g845s-ewr787w87-s57f87s4/njporx-5335/edgcx/</t>
  </si>
  <si>
    <t>167.172.118.216</t>
  </si>
  <si>
    <t>5f2d998be3404</t>
  </si>
  <si>
    <t>http://167.172.118.216/windowsmacosxxedgechromium-6august/?phone=+1-(866)-710-3790&amp;amp;</t>
  </si>
  <si>
    <t>134.122.116.75</t>
  </si>
  <si>
    <t>5f2d9b5f0dce7</t>
  </si>
  <si>
    <t>http://134.122.116.75/AFUS6630/edgechromium-30july/?p_num=+1-(866)-719-6630&amp;amp;</t>
  </si>
  <si>
    <t>novglow.com</t>
  </si>
  <si>
    <t>172.67.208.248</t>
  </si>
  <si>
    <t>5f2db058ece49</t>
  </si>
  <si>
    <t>https://novglow.com/Windowsunknown/?tid=CwHC8mr9sjRidgWGG6ogpy</t>
  </si>
  <si>
    <t>queue044.cf</t>
  </si>
  <si>
    <t>104.24.103.213</t>
  </si>
  <si>
    <t>5f2db1dfc58bb</t>
  </si>
  <si>
    <t>https://queue044.cf/Call_Microsoft_windows_Helpline4080074/Dchfdfdfdfd777/</t>
  </si>
  <si>
    <t>laggissue424.cf</t>
  </si>
  <si>
    <t>104.27.172.98</t>
  </si>
  <si>
    <t>5f2e894c57d68</t>
  </si>
  <si>
    <t>https://laggissue424.cf/ddasd-sda0d0.online/XMAdhdsbfhgdfhdgf9x0Xd/</t>
  </si>
  <si>
    <t>64.225.118.202</t>
  </si>
  <si>
    <t>5f2ecc57ab7fa</t>
  </si>
  <si>
    <t>http://64.225.118.202/windowsmacosxxedgechromium-6august/?phone=+1-(866)-803-0064&amp;amp;</t>
  </si>
  <si>
    <t>app1aug8-env.eba-ptgffnui.us-east-1.elasticbeanstalk.com</t>
  </si>
  <si>
    <t>3.225.153.177</t>
  </si>
  <si>
    <t>5f2edc8c45db1</t>
  </si>
  <si>
    <t>http://app1aug8-env.eba-ptgffnui.us-east-1.elasticbeanstalk.com/ED0101101010101001CM/</t>
  </si>
  <si>
    <t>slatedata750.cf</t>
  </si>
  <si>
    <t>104.27.173.7</t>
  </si>
  <si>
    <t>5f2eec55efa54</t>
  </si>
  <si>
    <t>https://slatedata750.cf/Call_Microsoft_windows_Helpline3932919/Dchfdfdfdfd777/</t>
  </si>
  <si>
    <t>utility546.ml</t>
  </si>
  <si>
    <t>104.27.149.182</t>
  </si>
  <si>
    <t>5f2f3e6b51744</t>
  </si>
  <si>
    <t>https://utility546.ml/dsd0-dfsd0.info/ED100101010XCDH/</t>
  </si>
  <si>
    <t>rootdata959.ml</t>
  </si>
  <si>
    <t>104.27.158.99</t>
  </si>
  <si>
    <t>5f31ef48e7c93</t>
  </si>
  <si>
    <t>https://rootdata959.ml/Call_Microsoft_windows_Helpline5308760/Dchfdfdfdfd777/</t>
  </si>
  <si>
    <t>157.245.181.202</t>
  </si>
  <si>
    <t>5f30267519450</t>
  </si>
  <si>
    <t>http://157.245.181.202/windowsmacosxxedgechromium-6august/?phone=+1-(866)-489-7117&amp;amp;</t>
  </si>
  <si>
    <t>123fixit.site</t>
  </si>
  <si>
    <t>162.241.47.37</t>
  </si>
  <si>
    <t>5f302d78632bc</t>
  </si>
  <si>
    <t>http://123fixit.site/veganchallenge.site/mac.php</t>
  </si>
  <si>
    <t>5f302c0b1577c</t>
  </si>
  <si>
    <t>http://123fixit.site/windows-security-alert.site/mac.php</t>
  </si>
  <si>
    <t>5f302bae128ae</t>
  </si>
  <si>
    <t>http://123fixit.site/windows-security-alert.site/call-now3/</t>
  </si>
  <si>
    <t>5f302b5fb0815</t>
  </si>
  <si>
    <t>http://123fixit.site/windows-security-alert.site/call-now2/</t>
  </si>
  <si>
    <t>5f302adc850e7</t>
  </si>
  <si>
    <t>http://123fixit.site/windows-security-alert.site/call-now1/</t>
  </si>
  <si>
    <t>mail.contacthelpnumber.info</t>
  </si>
  <si>
    <t>108.167.141.2</t>
  </si>
  <si>
    <t>5f3032417e3a5</t>
  </si>
  <si>
    <t>http://mail.contacthelpnumber.info/hello/index197.php</t>
  </si>
  <si>
    <t>freepchelp97.azurewebsites.net</t>
  </si>
  <si>
    <t>40.71.11.143</t>
  </si>
  <si>
    <t>5f6246ed80dd5</t>
  </si>
  <si>
    <t>https://freepchelp97.azurewebsites.net/TxHTvPq9EFWfwjb/</t>
  </si>
  <si>
    <t>freepchelp117.azurewebsites.net</t>
  </si>
  <si>
    <t>5f6246b5d05b2</t>
  </si>
  <si>
    <t>https://freepchelp117.azurewebsites.net/TxHTvPq9EFWfwjb/</t>
  </si>
  <si>
    <t>freepchelp19.azurewebsites.net</t>
  </si>
  <si>
    <t>5f61c5f3069c3</t>
  </si>
  <si>
    <t>https://freepchelp19.azurewebsites.net/ERDDrHjVfKbFJbQ/</t>
  </si>
  <si>
    <t>freepchelp29.azurewebsites.net</t>
  </si>
  <si>
    <t>5f61c5d765f49</t>
  </si>
  <si>
    <t>https://freepchelp29.azurewebsites.net/ERDDrHjVfKbFJbQ/</t>
  </si>
  <si>
    <t>freepchelp37.azurewebsites.net</t>
  </si>
  <si>
    <t>5f61c5c635127</t>
  </si>
  <si>
    <t>https://freepchelp37.azurewebsites.net/ERDDrHjVfKbFJbQ/</t>
  </si>
  <si>
    <t>freepchelp48.azurewebsites.net</t>
  </si>
  <si>
    <t>5f61c5aa5151d</t>
  </si>
  <si>
    <t>https://freepchelp48.azurewebsites.net/ERDDrHjVfKbFJbQ/</t>
  </si>
  <si>
    <t>pconlinehelp117.azurewebsites.net</t>
  </si>
  <si>
    <t>5f60797dcd040</t>
  </si>
  <si>
    <t>https://pconlinehelp117.azurewebsites.net/ERDDrHjVfKbFJbQ/</t>
  </si>
  <si>
    <t>pchelpservices07.azurewebsites.net</t>
  </si>
  <si>
    <t>5f57ecc2cb583</t>
  </si>
  <si>
    <t>https://pchelpservices07.azurewebsites.net/avfFeTpfJfSPuPx/</t>
  </si>
  <si>
    <t>accountclosed-reachsupport-404.azurewebsites.net</t>
  </si>
  <si>
    <t>5f552598ad868</t>
  </si>
  <si>
    <t>http://accountclosed-reachsupport-404.azurewebsites.net/Access-Blocked/CHWInhelp10GK010101AW/</t>
  </si>
  <si>
    <t>callnow78.azurewebsites.net</t>
  </si>
  <si>
    <t>5f52871d84c88</t>
  </si>
  <si>
    <t>http://callnow78.azurewebsites.net/Mer-cado/</t>
  </si>
  <si>
    <t>callnow50.azurewebsites.net</t>
  </si>
  <si>
    <t>5f5286993f58e</t>
  </si>
  <si>
    <t>http://callnow50.azurewebsites.net/Mer-cado/</t>
  </si>
  <si>
    <t>callnow18.azurewebsites.net</t>
  </si>
  <si>
    <t>5f52860372b27</t>
  </si>
  <si>
    <t>http://callnow18.azurewebsites.net/Mer-cado/</t>
  </si>
  <si>
    <t>account-denied-stop-access-404.azurewebsites.net</t>
  </si>
  <si>
    <t>5f50df5d2a487</t>
  </si>
  <si>
    <t>http://account-denied-stop-access-404.azurewebsites.net/Access-Blocked/CHWInhelp10GK010101AW/</t>
  </si>
  <si>
    <t>account-denied-stop-access-410.azurewebsites.net</t>
  </si>
  <si>
    <t>5f50df51ba9a1</t>
  </si>
  <si>
    <t>http://account-denied-stop-access-410.azurewebsites.net/Access-Blocked/CHWInhelp10GK010101AW/</t>
  </si>
  <si>
    <t>account-denied-stop-access-407.azurewebsites.net</t>
  </si>
  <si>
    <t>5f50df3f13937</t>
  </si>
  <si>
    <t>http://account-denied-stop-access-407.azurewebsites.net/Access-Blocked/CHWInhelp10GK010101AW/</t>
  </si>
  <si>
    <t>account-denied-stop-access-406.azurewebsites.net</t>
  </si>
  <si>
    <t>5f50df3e3fa2b</t>
  </si>
  <si>
    <t>http://account-denied-stop-access-406.azurewebsites.net/Access-Blocked/CHWInhelp10GK010101AW/</t>
  </si>
  <si>
    <t>account-denied-stop-access-405.azurewebsites.net</t>
  </si>
  <si>
    <t>5f50df3808aa5</t>
  </si>
  <si>
    <t>http://account-denied-stop-access-405.azurewebsites.net/Access-Blocked/CHWInhelp10GK010101AW/</t>
  </si>
  <si>
    <t>paper-access-405.azurewebsites.net</t>
  </si>
  <si>
    <t>5f4ed3475c47f</t>
  </si>
  <si>
    <t>https://paper-access-405.azurewebsites.net/Access-Blocked/CHWInhelp10GK010101AW/</t>
  </si>
  <si>
    <t>paper-access-406.azurewebsites.net</t>
  </si>
  <si>
    <t>5f4ed32e4c24f</t>
  </si>
  <si>
    <t>https://paper-access-406.azurewebsites.net/Access-Blocked/CHWInhelp10GK010101AW/</t>
  </si>
  <si>
    <t>customerfreesupport37.azurewebsites.net</t>
  </si>
  <si>
    <t>5f4d5aa6e1ccc</t>
  </si>
  <si>
    <t>https://customerfreesupport37.azurewebsites.net/HNhGpB5gbMdVDyb/</t>
  </si>
  <si>
    <t>freesupportservice141.azurewebsites.net</t>
  </si>
  <si>
    <t>5f4ad9157930e</t>
  </si>
  <si>
    <t>http://freesupportservice141.azurewebsites.net/vcCsfdvjFg4P5tp/</t>
  </si>
  <si>
    <t>freesupport138.azurewebsites.net</t>
  </si>
  <si>
    <t>5f496209c63f6</t>
  </si>
  <si>
    <t>http://freesupport138.azurewebsites.net/pb613cadhekan/</t>
  </si>
  <si>
    <t>freemaintenance108.azurewebsites.net</t>
  </si>
  <si>
    <t>5f495ecbdcd2b</t>
  </si>
  <si>
    <t>http://freemaintenance108.azurewebsites.net/q5gCvYnz6kzKvgY/</t>
  </si>
  <si>
    <t>services09.azurewebsites.net</t>
  </si>
  <si>
    <t>5f49590d31238</t>
  </si>
  <si>
    <t>http://services09.azurewebsites.net/pb613cadhekan/</t>
  </si>
  <si>
    <t>freemaintenance28.azurewebsites.net</t>
  </si>
  <si>
    <t>5f48bc473a87c</t>
  </si>
  <si>
    <t>http://freemaintenance28.azurewebsites.net/q5gCvYnz6kzKvgY/</t>
  </si>
  <si>
    <t>getfreesupport28.azurewebsites.net</t>
  </si>
  <si>
    <t>5f47a62c0bedf</t>
  </si>
  <si>
    <t>http://getfreesupport28.azurewebsites.net/Zcv6znVbFKDkXCy/</t>
  </si>
  <si>
    <t>computer37.azurewebsites.net</t>
  </si>
  <si>
    <t>5f479f8c6309f</t>
  </si>
  <si>
    <t>http://computer37.azurewebsites.net/Belle-Plaine/</t>
  </si>
  <si>
    <t>computer08.azurewebsites.net</t>
  </si>
  <si>
    <t>5f479e2c8afc3</t>
  </si>
  <si>
    <t>http://computer08.azurewebsites.net/Belle-Plaine/</t>
  </si>
  <si>
    <t>checkup38.azurewebsites.net</t>
  </si>
  <si>
    <t>5f447786e9d0e</t>
  </si>
  <si>
    <t>http://checkup38.azurewebsites.net/Kristy-Cortez/</t>
  </si>
  <si>
    <t>getfreesupport78.azurewebsites.net</t>
  </si>
  <si>
    <t>5f44512f5e166</t>
  </si>
  <si>
    <t>https://getfreesupport78.azurewebsites.net/atEdYhpx5ykF2Ru/</t>
  </si>
  <si>
    <t>callnow-free48.azurewebsites.net</t>
  </si>
  <si>
    <t>5f444bd5e247d</t>
  </si>
  <si>
    <t>https://callnow-free48.azurewebsites.net/Cortez/</t>
  </si>
  <si>
    <t>account-abuse-control-u781.azurewebsites.net</t>
  </si>
  <si>
    <t>5f3f27705dec4</t>
  </si>
  <si>
    <t>http://account-abuse-control-u781.azurewebsites.net/Access-Denied/CHWInhelp10GK010101AW/</t>
  </si>
  <si>
    <t>calltogetfreesupport09.azurewebsites.net</t>
  </si>
  <si>
    <t>5f3ef06a5ab7f</t>
  </si>
  <si>
    <t>http://calltogetfreesupport09.azurewebsites.net/AEw6BSfnMed4gpk/</t>
  </si>
  <si>
    <t>supportcall77.azurewebsites.net</t>
  </si>
  <si>
    <t>5f3ef03be115a</t>
  </si>
  <si>
    <t>http://supportcall77.azurewebsites.net/AEw6BSfnMed4gpk/</t>
  </si>
  <si>
    <t>getfreesupport178.azurewebsites.net</t>
  </si>
  <si>
    <t>5f3ef01c43ee3</t>
  </si>
  <si>
    <t>http://getfreesupport178.azurewebsites.net/gHBW7zFVGjwcrjr/</t>
  </si>
  <si>
    <t>calltogetfreesupport97.azurewebsites.net</t>
  </si>
  <si>
    <t>5f3e8fbfa90f3</t>
  </si>
  <si>
    <t>http://calltogetfreesupport97.azurewebsites.net/CxDm3vwargBTus8/</t>
  </si>
  <si>
    <t>helpline-abuse-404-432.azurewebsites.net</t>
  </si>
  <si>
    <t>5f3dcfbbc3e50</t>
  </si>
  <si>
    <t>http://helpline-abuse-404-432.azurewebsites.net/Faulty-Devices/Machelp100101GK0101AW/</t>
  </si>
  <si>
    <t>helpline-abuse-404-415.azurewebsites.net</t>
  </si>
  <si>
    <t>5f3adfe948082</t>
  </si>
  <si>
    <t>https://helpline-abuse-404-415.azurewebsites.net/Faulty-Devices/CHW-INFECTED-DEVICE/index.html</t>
  </si>
  <si>
    <t>getfreesupport08.azurewebsites.net</t>
  </si>
  <si>
    <t>5f371e2bded40</t>
  </si>
  <si>
    <t>http://getfreesupport08.azurewebsites.net/S9M5QFaca7VkHSt/</t>
  </si>
  <si>
    <t>getfreesupport98.azurewebsites.net</t>
  </si>
  <si>
    <t>5f371dcd73de9</t>
  </si>
  <si>
    <t>http://getfreesupport98.azurewebsites.net/gHBW7zFVGjwcrjr/</t>
  </si>
  <si>
    <t>freesupport48.azurewebsites.net</t>
  </si>
  <si>
    <t>5f371dae313f0</t>
  </si>
  <si>
    <t>http://freesupport48.azurewebsites.net/gHBW7zFVGjwcrjr/</t>
  </si>
  <si>
    <t>freesupport70.azurewebsites.net</t>
  </si>
  <si>
    <t>5f371d703edc7</t>
  </si>
  <si>
    <t>http://freesupport70.azurewebsites.net/gHBW7zFVGjwcrjr/</t>
  </si>
  <si>
    <t>abuse-control-404-40102.azurewebsites.net</t>
  </si>
  <si>
    <t>5f3713fe9239d</t>
  </si>
  <si>
    <t>https://abuse-control-404-40102.azurewebsites.net/Faulty-Devices/Mac-INFECTED-DEVICE/</t>
  </si>
  <si>
    <t>getfreesupport148.azurewebsites.net</t>
  </si>
  <si>
    <t>5f34a4e30972e</t>
  </si>
  <si>
    <t>http://getfreesupport148.azurewebsites.net/atEdYhpx5ykF2Ru/</t>
  </si>
  <si>
    <t>computer88.azurewebsites.net</t>
  </si>
  <si>
    <t>5f30d7e23698a</t>
  </si>
  <si>
    <t>http://computer88.azurewebsites.net/Belle-Plaine</t>
  </si>
  <si>
    <t>abiuse-control-404-4050.azurewebsites.net</t>
  </si>
  <si>
    <t>5f30343393da8</t>
  </si>
  <si>
    <t>http://abiuse-control-404-4050.azurewebsites.net/DgdghghfgfggfdfCH007/</t>
  </si>
  <si>
    <t>138.68.15.230</t>
  </si>
  <si>
    <t>5f30379c5e420</t>
  </si>
  <si>
    <t>http://138.68.15.230/windowsmacosxxedgechromium-6august/?phone=+1-(866)-764-4472&amp;amp;</t>
  </si>
  <si>
    <t>167.71.157.196</t>
  </si>
  <si>
    <t>5f304340aac7d</t>
  </si>
  <si>
    <t>http://167.71.157.196/windowsmacosxxedgechromium-6august/?phone=+1-(888)-537-1278&amp;amp;</t>
  </si>
  <si>
    <t>5f303f6e3a675</t>
  </si>
  <si>
    <t>http://167.71.157.196/windowsmacosxxedgechromium-6august/?phone=+1-(888)-532-5299&amp;amp;</t>
  </si>
  <si>
    <t>unlock3.windwshelqcentrecllnw.org</t>
  </si>
  <si>
    <t>45.77.68.81</t>
  </si>
  <si>
    <t>5f3d3c0398b0e</t>
  </si>
  <si>
    <t>https://unlock3.windwshelqcentrecllnw.org/nimdauk/CH/</t>
  </si>
  <si>
    <t>unlock.windwshelqcentrecllnw.org</t>
  </si>
  <si>
    <t>5f3d3bf30117b</t>
  </si>
  <si>
    <t>https://unlock.windwshelqcentrecllnw.org/nimdauk/CH/</t>
  </si>
  <si>
    <t>unlock17.windwshelqcentrecllnw.org</t>
  </si>
  <si>
    <t>5f3d3bdfc06ac</t>
  </si>
  <si>
    <t>https://unlock17.windwshelqcentrecllnw.org/nimdauk/CH/</t>
  </si>
  <si>
    <t>windwshelqcentrecllnw.org</t>
  </si>
  <si>
    <t>5f30a157c99a5</t>
  </si>
  <si>
    <t>https://windwshelqcentrecllnw.org/nimdauk/CH/</t>
  </si>
  <si>
    <t>unlock24.windwshelqcentrecllnw.org</t>
  </si>
  <si>
    <t>5f30a10d8c88e</t>
  </si>
  <si>
    <t>https://unlock24.windwshelqcentrecllnw.org/nimdauk/CH/</t>
  </si>
  <si>
    <t>unlock13.windwshelqcentrecllnw.org</t>
  </si>
  <si>
    <t>5f30a10778238</t>
  </si>
  <si>
    <t>https://unlock13.windwshelqcentrecllnw.org/nimdauk/CH/</t>
  </si>
  <si>
    <t>unlock21.windwshelqcentrecllnw.org</t>
  </si>
  <si>
    <t>5f30a1037e23c</t>
  </si>
  <si>
    <t>https://unlock21.windwshelqcentrecllnw.org/nimdauk/CH/</t>
  </si>
  <si>
    <t>unlock10.windwshelqcentrecllnw.org</t>
  </si>
  <si>
    <t>5f30a0fa53756</t>
  </si>
  <si>
    <t>https://unlock10.windwshelqcentrecllnw.org/nimdauk/CH/</t>
  </si>
  <si>
    <t>unlock9.windwshelqcentrecllnw.org</t>
  </si>
  <si>
    <t>5f30a0f52c4bd</t>
  </si>
  <si>
    <t>https://unlock9.windwshelqcentrecllnw.org/nimdauk/CH/</t>
  </si>
  <si>
    <t>unlock7.windwshelqcentrecllnw.org</t>
  </si>
  <si>
    <t>5f30a0f15d111</t>
  </si>
  <si>
    <t>https://unlock7.windwshelqcentrecllnw.org/nimdauk/CH/</t>
  </si>
  <si>
    <t>unlock22.windwshelqcentrecllnw.org</t>
  </si>
  <si>
    <t>5f30a0d9c5e17</t>
  </si>
  <si>
    <t>https://unlock22.windwshelqcentrecllnw.org/nimdauk/CH/</t>
  </si>
  <si>
    <t>unlock25.windwshelqcentrecllnw.org</t>
  </si>
  <si>
    <t>5f30a0d2f26c6</t>
  </si>
  <si>
    <t>https://unlock25.windwshelqcentrecllnw.org/nimdauk/CH/</t>
  </si>
  <si>
    <t>unlock16.windwshelqcentrecllnw.org</t>
  </si>
  <si>
    <t>5f30a0cfbff9c</t>
  </si>
  <si>
    <t>https://unlock16.windwshelqcentrecllnw.org/nimdauk/CH/</t>
  </si>
  <si>
    <t>unlock1.windwshelqcentrecllnw.org</t>
  </si>
  <si>
    <t>5f30a09028e6b</t>
  </si>
  <si>
    <t>https://unlock1.windwshelqcentrecllnw.org/nimdauk/CH/</t>
  </si>
  <si>
    <t>unlock23.windwshelqcentrecllnw.org</t>
  </si>
  <si>
    <t>5f3040c01cb65</t>
  </si>
  <si>
    <t>http://unlock23.windwshelqcentrecllnw.org/nimdauk/CH</t>
  </si>
  <si>
    <t>errorcode-1308.ml</t>
  </si>
  <si>
    <t>162.241.27.65</t>
  </si>
  <si>
    <t>5f54f59bca717</t>
  </si>
  <si>
    <t>http://errorcode-1308.ml/CHfdfdfdfd100110dfRS/</t>
  </si>
  <si>
    <t>errorcode-1308.cf</t>
  </si>
  <si>
    <t>5f54f598f30ec</t>
  </si>
  <si>
    <t>http://errorcode-1308.cf/CHfdfdfdfd100110dfRS/</t>
  </si>
  <si>
    <t>errorcode-1308.gq</t>
  </si>
  <si>
    <t>5f54f5950c707</t>
  </si>
  <si>
    <t>http://errorcode-1308.gq/CHfdfdfdfd100110dfRS/</t>
  </si>
  <si>
    <t>errorcode-1308.ga</t>
  </si>
  <si>
    <t>5f54f592579fd</t>
  </si>
  <si>
    <t>http://errorcode-1308.ga/CHfdfdfdfd100110dfRS/</t>
  </si>
  <si>
    <t>errorcode-1308.tk</t>
  </si>
  <si>
    <t>5f54f58f9c3af</t>
  </si>
  <si>
    <t>http://errorcode-1308.tk/CHfdfdfdfd100110dfRS/</t>
  </si>
  <si>
    <t>errorcode-13081.tk</t>
  </si>
  <si>
    <t>5f54f574f1b67</t>
  </si>
  <si>
    <t>http://errorcode-13081.tk/CHfdfdfdfd100110dfRS/</t>
  </si>
  <si>
    <t>errorcode-13081.ga</t>
  </si>
  <si>
    <t>5f54f560cff85</t>
  </si>
  <si>
    <t>http://errorcode-13081.ga/CHfdfdfdfd100110dfRS/</t>
  </si>
  <si>
    <t>errorcode-13081.gq</t>
  </si>
  <si>
    <t>5f54f55ddec42</t>
  </si>
  <si>
    <t>http://errorcode-13081.gq/CHfdfdfdfd100110dfRS/</t>
  </si>
  <si>
    <t>errorcode-13081.cf</t>
  </si>
  <si>
    <t>5f54f556b25d9</t>
  </si>
  <si>
    <t>http://errorcode-13081.cf/CHfdfdfdfd100110dfRS/</t>
  </si>
  <si>
    <t>errorcode-17082.ml</t>
  </si>
  <si>
    <t>5f54f53884232</t>
  </si>
  <si>
    <t>http://errorcode-17082.ml/CHfdfdfdfd100110dfRS/</t>
  </si>
  <si>
    <t>errorcode-17082.ga</t>
  </si>
  <si>
    <t>5f54f5305373b</t>
  </si>
  <si>
    <t>http://errorcode-17082.ga/CHfdfdfdfd100110dfRS/</t>
  </si>
  <si>
    <t>errorcode-17082.gq</t>
  </si>
  <si>
    <t>5f54f52c4f150</t>
  </si>
  <si>
    <t>http://errorcode-17082.gq/CHfdfdfdfd100110dfRS/</t>
  </si>
  <si>
    <t>errorcode-25011.ml</t>
  </si>
  <si>
    <t>5f54f4d9ad58e</t>
  </si>
  <si>
    <t>http://errorcode-25011.ml/CHfdfdfdfd100110dfRS/</t>
  </si>
  <si>
    <t>errorcode-25011.cf</t>
  </si>
  <si>
    <t>5f54f4d54c94b</t>
  </si>
  <si>
    <t>http://errorcode-25011.cf/CHfdfdfdfd100110dfRS/</t>
  </si>
  <si>
    <t>errorcode-25011.gq</t>
  </si>
  <si>
    <t>5f54f4ce2beaa</t>
  </si>
  <si>
    <t>http://errorcode-25011.gq/CHfdfdfdfd100110dfRS/</t>
  </si>
  <si>
    <t>errorcode-20082.ml</t>
  </si>
  <si>
    <t>5f54f2fa36705</t>
  </si>
  <si>
    <t>http://errorcode-20082.ml/CHfdfdfdfd100110dfRS/</t>
  </si>
  <si>
    <t>errorcode-2108.ml</t>
  </si>
  <si>
    <t>5f54f2ead52ff</t>
  </si>
  <si>
    <t>http://errorcode-2108.ml/CHfdfdfdfd100110dfRS/</t>
  </si>
  <si>
    <t>errorcode-2108.cf</t>
  </si>
  <si>
    <t>5f54f2d83df73</t>
  </si>
  <si>
    <t>http://errorcode-2108.cf/CHfdfdfdfd100110dfRS/</t>
  </si>
  <si>
    <t>errorcode-2108.ga</t>
  </si>
  <si>
    <t>5f54f2d208625</t>
  </si>
  <si>
    <t>http://errorcode-2108.ga/CHfdfdfdfd100110dfRS/</t>
  </si>
  <si>
    <t>errorcode-20082.ga</t>
  </si>
  <si>
    <t>5f54f2a526810</t>
  </si>
  <si>
    <t>http://errorcode-20082.ga/CHfdfdfdfd100110dfRS/</t>
  </si>
  <si>
    <t>errorcode-20082.gq</t>
  </si>
  <si>
    <t>5f54f297f3ecd</t>
  </si>
  <si>
    <t>http://errorcode-20082.gq/CHfdfdfdfd100110dfRS/</t>
  </si>
  <si>
    <t>errorcode-20082.tk</t>
  </si>
  <si>
    <t>5f54f29c7f6e7</t>
  </si>
  <si>
    <t>http://errorcode-20082.tk/CHfdfdfdfd100110dfRS/</t>
  </si>
  <si>
    <t>errorcode-20081.tk</t>
  </si>
  <si>
    <t>5f54f28a6cc8d</t>
  </si>
  <si>
    <t>http://errorcode-20081.tk/CHfdfdfdfd100110dfRS/</t>
  </si>
  <si>
    <t>errorcode-20081.ga</t>
  </si>
  <si>
    <t>5f54f287edadd</t>
  </si>
  <si>
    <t>http://errorcode-20081.ga/CHfdfdfdfd100110dfRS/</t>
  </si>
  <si>
    <t>errorcode-20081.gq</t>
  </si>
  <si>
    <t>5f54f2836073b</t>
  </si>
  <si>
    <t>http://errorcode-20081.gq/CHfdfdfdfd100110dfRS/</t>
  </si>
  <si>
    <t>errorcode-11088.ga</t>
  </si>
  <si>
    <t>5f54f257de2a9</t>
  </si>
  <si>
    <t>http://errorcode-11088.ga/CHfdfdfdfd100110dfRS/</t>
  </si>
  <si>
    <t>errorcode-11088.cf</t>
  </si>
  <si>
    <t>5f54f25e8b3f3</t>
  </si>
  <si>
    <t>http://errorcode-11088.cf/CHfdfdfdfd100110dfRS/</t>
  </si>
  <si>
    <t>errorcode-11088.tk</t>
  </si>
  <si>
    <t>5f54f25b70130</t>
  </si>
  <si>
    <t>http://errorcode-11088.tk/CHfdfdfdfd100110dfRS/</t>
  </si>
  <si>
    <t>errorcode-11088.gq</t>
  </si>
  <si>
    <t>5f54f2535a20c</t>
  </si>
  <si>
    <t>http://errorcode-11088.gq/CHfdfdfdfd100110dfRS/</t>
  </si>
  <si>
    <t>errorcode-13081.ml</t>
  </si>
  <si>
    <t>5f54f22fd2b7f</t>
  </si>
  <si>
    <t>http://errorcode-13081.ml/CHfdfdfdfd100110dfRS/</t>
  </si>
  <si>
    <t>errorcode-25011.ga</t>
  </si>
  <si>
    <t>5f4d61ed204ed</t>
  </si>
  <si>
    <t>http://errorcode-25011.ga/CHfdfdfdfd100110dfRS/</t>
  </si>
  <si>
    <t>errorcode-0408.tk</t>
  </si>
  <si>
    <t>5f3051a81fb07</t>
  </si>
  <si>
    <t>https://errorcode-0408.tk/CHfdfdfdfd100110dfRS/index.html</t>
  </si>
  <si>
    <t>livequick-support129.azurewebsites.net</t>
  </si>
  <si>
    <t>40.89.141.103</t>
  </si>
  <si>
    <t>5faf3db0068d7</t>
  </si>
  <si>
    <t>http://livequick-support129.azurewebsites.net/JArbZ98cFQJapCA/</t>
  </si>
  <si>
    <t>freepchelponline22.azurewebsites.net</t>
  </si>
  <si>
    <t>5f6102e53088c</t>
  </si>
  <si>
    <t>https://freepchelponline22.azurewebsites.net/ERDDrHjVfKbFJbQ/</t>
  </si>
  <si>
    <t>pconlinehelp137.azurewebsites.net</t>
  </si>
  <si>
    <t>5f6079483b742</t>
  </si>
  <si>
    <t>https://pconlinehelp137.azurewebsites.net/ERDDrHjVfKbFJbQ/</t>
  </si>
  <si>
    <t>pconlinehelp159.azurewebsites.net</t>
  </si>
  <si>
    <t>5f5ff2c263710</t>
  </si>
  <si>
    <t>https://pconlinehelp159.azurewebsites.net/ERDDrHjVfKbFJbQ/</t>
  </si>
  <si>
    <t>pconlinehelp89.azurewebsites.net</t>
  </si>
  <si>
    <t>5f5fd3e7d6194</t>
  </si>
  <si>
    <t>https://pconlinehelp89.azurewebsites.net/ERDDrHjVfKbFJbQ/</t>
  </si>
  <si>
    <t>pconlinehelp97.azurewebsites.net</t>
  </si>
  <si>
    <t>5f5fd3d731c86</t>
  </si>
  <si>
    <t>https://pconlinehelp97.azurewebsites.net/ERDDrHjVfKbFJbQ/</t>
  </si>
  <si>
    <t>pconlinehelp17.azurewebsites.net</t>
  </si>
  <si>
    <t>5f5f9ade8ab70</t>
  </si>
  <si>
    <t>https://pconlinehelp17.azurewebsites.net/ERDDrHjVfKbFJbQ/</t>
  </si>
  <si>
    <t>pchelpdesk67.azurewebsites.net</t>
  </si>
  <si>
    <t>5f5a5954148e1</t>
  </si>
  <si>
    <t>https://pchelpdesk67.azurewebsites.net/garretttanners7d/</t>
  </si>
  <si>
    <t>pchelpdesk49.azurewebsites.net</t>
  </si>
  <si>
    <t>5f5a58e04b273</t>
  </si>
  <si>
    <t>https://pchelpdesk49.azurewebsites.net/garretttanners7d/</t>
  </si>
  <si>
    <t>pchelpservices167.azurewebsites.net</t>
  </si>
  <si>
    <t>5f5933e4a629d</t>
  </si>
  <si>
    <t>https://pchelpservices167.azurewebsites.net/dawsonwhlerS7v/</t>
  </si>
  <si>
    <t>pchelpservices159.azurewebsites.net</t>
  </si>
  <si>
    <t>5f593209664f9</t>
  </si>
  <si>
    <t>https://pchelpservices159.azurewebsites.net/dawsonwhlerS7v/</t>
  </si>
  <si>
    <t>pchelpservices119.azurewebsites.net</t>
  </si>
  <si>
    <t>5f591c203c186</t>
  </si>
  <si>
    <t>https://pchelpservices119.azurewebsites.net/garretttanners7d/</t>
  </si>
  <si>
    <t>pchelpservices69.azurewebsites.net</t>
  </si>
  <si>
    <t>5f58ffd400e1b</t>
  </si>
  <si>
    <t>https://pchelpservices69.azurewebsites.net/dawsonwhlerS7v/</t>
  </si>
  <si>
    <t>pchelpservices17.azurewebsites.net</t>
  </si>
  <si>
    <t>5f57ed04f1621</t>
  </si>
  <si>
    <t>https://pchelpservices17.azurewebsites.net/avfFeTpfJfSPuPx/</t>
  </si>
  <si>
    <t>callnow100.azurewebsites.net</t>
  </si>
  <si>
    <t>5f5288f2c8f0d</t>
  </si>
  <si>
    <t>http://callnow100.azurewebsites.net/cado/</t>
  </si>
  <si>
    <t>callnow68.azurewebsites.net</t>
  </si>
  <si>
    <t>5f5286ed9cf89</t>
  </si>
  <si>
    <t>http://callnow68.azurewebsites.net/Mer-cado/</t>
  </si>
  <si>
    <t>callnow60.azurewebsites.net</t>
  </si>
  <si>
    <t>5f5286c8cc9c7</t>
  </si>
  <si>
    <t>http://callnow60.azurewebsites.net/Mer-cado/</t>
  </si>
  <si>
    <t>callnow27.azurewebsites.net</t>
  </si>
  <si>
    <t>5f52862d0a35d</t>
  </si>
  <si>
    <t>http://callnow27.azurewebsites.net/Mer-cado/</t>
  </si>
  <si>
    <t>callnow20.azurewebsites.net</t>
  </si>
  <si>
    <t>5f52860c81788</t>
  </si>
  <si>
    <t>http://callnow20.azurewebsites.net/Mer-cado/</t>
  </si>
  <si>
    <t>callnow10.azurewebsites.net</t>
  </si>
  <si>
    <t>5f5285dc6b7dc</t>
  </si>
  <si>
    <t>http://callnow10.azurewebsites.net/Mer-cado/</t>
  </si>
  <si>
    <t>freesupportcall10.azurewebsites.net</t>
  </si>
  <si>
    <t>5f4e732b99242</t>
  </si>
  <si>
    <t>http://freesupportcall10.azurewebsites.net/q5gCvYnz6kzKvgY/</t>
  </si>
  <si>
    <t>customerfreesupport39.azurewebsites.net</t>
  </si>
  <si>
    <t>5f4d5b0f56a96</t>
  </si>
  <si>
    <t>https://customerfreesupport39.azurewebsites.net/HNhGpB5gbMdVDyb/</t>
  </si>
  <si>
    <t>freesupport116.azurewebsites.net</t>
  </si>
  <si>
    <t>5f4c0e799a90c</t>
  </si>
  <si>
    <t>http://freesupport116.azurewebsites.net/gHBW7zFVGjwcrjr/</t>
  </si>
  <si>
    <t>freesupport110.azurewebsites.net</t>
  </si>
  <si>
    <t>5f4c0e5d36b24</t>
  </si>
  <si>
    <t>http://freesupport110.azurewebsites.net/gHBW7zFVGjwcrjr/</t>
  </si>
  <si>
    <t>freesupport90.azurewebsites.net</t>
  </si>
  <si>
    <t>5f4c0e0391bf2</t>
  </si>
  <si>
    <t>http://freesupport90.azurewebsites.net/gHBW7zFVGjwcrjr/</t>
  </si>
  <si>
    <t>freesupport80.azurewebsites.net</t>
  </si>
  <si>
    <t>5f4c0dd32251b</t>
  </si>
  <si>
    <t>http://freesupport80.azurewebsites.net/gHBW7zFVGjwcrjr/</t>
  </si>
  <si>
    <t>freesupport50.azurewebsites.net</t>
  </si>
  <si>
    <t>5f4c0d40eb482</t>
  </si>
  <si>
    <t>http://freesupport50.azurewebsites.net/gHBW7zFVGjwcrjr/</t>
  </si>
  <si>
    <t>freesupport37.azurewebsites.net</t>
  </si>
  <si>
    <t>5f4c0d044eab4</t>
  </si>
  <si>
    <t>http://freesupport37.azurewebsites.net/gHBW7zFVGjwcrjr/</t>
  </si>
  <si>
    <t>callnow-free160.azurewebsites.net</t>
  </si>
  <si>
    <t>5f4c09ee47c31</t>
  </si>
  <si>
    <t>http://callnow-free160.azurewebsites.net/S9M5QFaca7VkHSt/</t>
  </si>
  <si>
    <t>callnow-free150.azurewebsites.net</t>
  </si>
  <si>
    <t>5f4c09beeac05</t>
  </si>
  <si>
    <t>http://callnow-free150.azurewebsites.net/S9M5QFaca7VkHSt/</t>
  </si>
  <si>
    <t>callnow-free118.azurewebsites.net</t>
  </si>
  <si>
    <t>5f4c0929e3887</t>
  </si>
  <si>
    <t>http://callnow-free118.azurewebsites.net/S9M5QFaca7VkHSt/</t>
  </si>
  <si>
    <t>callnow-free110.azurewebsites.net</t>
  </si>
  <si>
    <t>5f4c09057f1e0</t>
  </si>
  <si>
    <t>http://callnow-free110.azurewebsites.net/S9M5QFaca7VkHSt/</t>
  </si>
  <si>
    <t>callnow-free89.azurewebsites.net</t>
  </si>
  <si>
    <t>5f4c08a45cc10</t>
  </si>
  <si>
    <t>http://callnow-free89.azurewebsites.net/S9M5QFaca7VkHSt/</t>
  </si>
  <si>
    <t>freesupport13.azurewebsites.net</t>
  </si>
  <si>
    <t>5f4ae507e2e3b</t>
  </si>
  <si>
    <t>http://freesupport13.azurewebsites.net/gHBW7zFVGjwcrjr/</t>
  </si>
  <si>
    <t>freesupport10.azurewebsites.net</t>
  </si>
  <si>
    <t>5f4ae4f3919c2</t>
  </si>
  <si>
    <t>http://freesupport10.azurewebsites.net/gHBW7zFVGjwcrjr/</t>
  </si>
  <si>
    <t>freesupportservice143.azurewebsites.net</t>
  </si>
  <si>
    <t>5f4ad91ccdcc9</t>
  </si>
  <si>
    <t>http://freesupportservice143.azurewebsites.net/vcCsfdvjFg4P5tp/</t>
  </si>
  <si>
    <t>freesupportservice139.azurewebsites.net</t>
  </si>
  <si>
    <t>5f4ad90e73c2e</t>
  </si>
  <si>
    <t>http://freesupportservice139.azurewebsites.net/vcCsfdvjFg4P5tp/</t>
  </si>
  <si>
    <t>freesupportservice119.azurewebsites.net</t>
  </si>
  <si>
    <t>5f4ad8c385379</t>
  </si>
  <si>
    <t>http://freesupportservice119.azurewebsites.net/vcCsfdvjFg4P5tp/</t>
  </si>
  <si>
    <t>freecallcaresupport97.azurewebsites.net</t>
  </si>
  <si>
    <t>5f4aa3f50d5f9</t>
  </si>
  <si>
    <t>http://freecallcaresupport97.azurewebsites.net/vTUPHmw6mhDcMgT/</t>
  </si>
  <si>
    <t>freecallcaresupport89.azurewebsites.net</t>
  </si>
  <si>
    <t>5f4aa3cf52e48</t>
  </si>
  <si>
    <t>http://freecallcaresupport89.azurewebsites.net/vTUPHmw6mhDcMgT/</t>
  </si>
  <si>
    <t>freecallcaresupport77.azurewebsites.net</t>
  </si>
  <si>
    <t>5f4aa399cd89c</t>
  </si>
  <si>
    <t>http://freecallcaresupport77.azurewebsites.net/vTUPHmw6mhDcMgT/</t>
  </si>
  <si>
    <t>customercaresupport99.azurewebsites.net</t>
  </si>
  <si>
    <t>5f4aa1ea411db</t>
  </si>
  <si>
    <t>http://customercaresupport99.azurewebsites.net/vcCsfdvjFg4P5tp/</t>
  </si>
  <si>
    <t>customercaresupport89.azurewebsites.net</t>
  </si>
  <si>
    <t>5f4aa1b9809b4</t>
  </si>
  <si>
    <t>http://customercaresupport89.azurewebsites.net/vcCsfdvjFg4P5tp/</t>
  </si>
  <si>
    <t>getfreesupport167.azurewebsites.net</t>
  </si>
  <si>
    <t>5f49769c2baf2</t>
  </si>
  <si>
    <t>http://getfreesupport167.azurewebsites.net/gHBW7zFVGjwcrjr/</t>
  </si>
  <si>
    <t>getfreesupport150.azurewebsites.net</t>
  </si>
  <si>
    <t>5f4976462344e</t>
  </si>
  <si>
    <t>http://getfreesupport150.azurewebsites.net/gHBW7zFVGjwcrjr/</t>
  </si>
  <si>
    <t>getfreesupport118.azurewebsites.net</t>
  </si>
  <si>
    <t>5f4975a6c0ece</t>
  </si>
  <si>
    <t>http://getfreesupport118.azurewebsites.net/gHBW7zFVGjwcrjr/</t>
  </si>
  <si>
    <t>getfreesupport110.azurewebsites.net</t>
  </si>
  <si>
    <t>5f49757e428fe</t>
  </si>
  <si>
    <t>http://getfreesupport110.azurewebsites.net/gHBW7zFVGjwcrjr/</t>
  </si>
  <si>
    <t>freesupport140.azurewebsites.net</t>
  </si>
  <si>
    <t>5f496211c95ac</t>
  </si>
  <si>
    <t>http://freesupport140.azurewebsites.net/pb613cadhekan/</t>
  </si>
  <si>
    <t>freesupport130.azurewebsites.net</t>
  </si>
  <si>
    <t>5f4961ebd7343</t>
  </si>
  <si>
    <t>http://freesupport130.azurewebsites.net/pb613cadhekan/</t>
  </si>
  <si>
    <t>freemaintenance89.azurewebsites.net</t>
  </si>
  <si>
    <t>5f495e803da3b</t>
  </si>
  <si>
    <t>http://freemaintenance89.azurewebsites.net/q5gCvYnz6kzKvgY/</t>
  </si>
  <si>
    <t>freemaintenance79.azurewebsites.net</t>
  </si>
  <si>
    <t>5f495e5793ed7</t>
  </si>
  <si>
    <t>http://freemaintenance79.azurewebsites.net/q5gCvYnz6kzKvgY/</t>
  </si>
  <si>
    <t>freemaintenance69.azurewebsites.net</t>
  </si>
  <si>
    <t>5f495e296ae71</t>
  </si>
  <si>
    <t>http://freemaintenance69.azurewebsites.net/q5gCvYnz6kzKvgY/</t>
  </si>
  <si>
    <t>freemaintenance59.azurewebsites.net</t>
  </si>
  <si>
    <t>5f495e008d503</t>
  </si>
  <si>
    <t>http://freemaintenance59.azurewebsites.net/q5gCvYnz6kzKvgY/</t>
  </si>
  <si>
    <t>freemaintenance48.azurewebsites.net</t>
  </si>
  <si>
    <t>5f495dd22c5cd</t>
  </si>
  <si>
    <t>http://freemaintenance48.azurewebsites.net/q5gCvYnz6kzKvgY/</t>
  </si>
  <si>
    <t>customercaresupport177.azurewebsites.net</t>
  </si>
  <si>
    <t>5f49475433764</t>
  </si>
  <si>
    <t>https://customercaresupport177.azurewebsites.net/HNhGpB5gbMdVDyb/</t>
  </si>
  <si>
    <t>customercaresupport169.azurewebsites.net</t>
  </si>
  <si>
    <t>5f49474685de6</t>
  </si>
  <si>
    <t>https://customercaresupport169.azurewebsites.net/HNhGpB5gbMdVDyb/</t>
  </si>
  <si>
    <t>customercaresupport127.azurewebsites.net</t>
  </si>
  <si>
    <t>5f49467913a3f</t>
  </si>
  <si>
    <t>https://customercaresupport127.azurewebsites.net/HNhGpB5gbMdVDyb/</t>
  </si>
  <si>
    <t>freemaintenance110.azurewebsites.net</t>
  </si>
  <si>
    <t>5f48ba1e30fba</t>
  </si>
  <si>
    <t>http://freemaintenance110.azurewebsites.net/q5gCvYnz6kzKvgY/</t>
  </si>
  <si>
    <t>freemaintenance30.azurewebsites.net</t>
  </si>
  <si>
    <t>5f48b99642182</t>
  </si>
  <si>
    <t>http://freemaintenance30.azurewebsites.net/q5gCvYnz6kzKvgY/</t>
  </si>
  <si>
    <t>freemaintenance10.azurewebsites.net</t>
  </si>
  <si>
    <t>5f48b94d0f144</t>
  </si>
  <si>
    <t>http://freemaintenance10.azurewebsites.net/q5gCvYnz6kzKvgY/</t>
  </si>
  <si>
    <t>getfreesupport180.azurewebsites.net</t>
  </si>
  <si>
    <t>5f47d2b4330c6</t>
  </si>
  <si>
    <t>http://getfreesupport180.azurewebsites.net/atEdYhpx5ykF2Ru/</t>
  </si>
  <si>
    <t>getfreesupport30.azurewebsites.net</t>
  </si>
  <si>
    <t>5f47a6301b414</t>
  </si>
  <si>
    <t>http://getfreesupport30.azurewebsites.net/Zcv6znVbFKDkXCy/</t>
  </si>
  <si>
    <t>getfreesupport18.azurewebsites.net</t>
  </si>
  <si>
    <t>5f47a600b5cee</t>
  </si>
  <si>
    <t>http://getfreesupport18.azurewebsites.net/Zcv6znVbFKDkXCy/</t>
  </si>
  <si>
    <t>checkup27.azurewebsites.net</t>
  </si>
  <si>
    <t>5f44772976519</t>
  </si>
  <si>
    <t>http://checkup27.azurewebsites.net/Kristy-Cortez/</t>
  </si>
  <si>
    <t>getfreesupport80.azurewebsites.net</t>
  </si>
  <si>
    <t>5f445145a20a5</t>
  </si>
  <si>
    <t>https://getfreesupport80.azurewebsites.net/atEdYhpx5ykF2Ru/</t>
  </si>
  <si>
    <t>callnow-free50.azurewebsites.net</t>
  </si>
  <si>
    <t>5f444b1b22f9e</t>
  </si>
  <si>
    <t>https://callnow-free50.azurewebsites.net/Cortez/</t>
  </si>
  <si>
    <t>freesupportservice44.azurewebsites.net</t>
  </si>
  <si>
    <t>5f4441b569168</t>
  </si>
  <si>
    <t>https://freesupportservice44.azurewebsites.net/8sx3ztC96XSvHKs/</t>
  </si>
  <si>
    <t>freesupportservice52.azurewebsites.net</t>
  </si>
  <si>
    <t>5f444152e83f0</t>
  </si>
  <si>
    <t>https://freesupportservice52.azurewebsites.net/8sx3ztC96XSvHKs/</t>
  </si>
  <si>
    <t>freesupportservice93.azurewebsites.net</t>
  </si>
  <si>
    <t>5f444018a6cdc</t>
  </si>
  <si>
    <t>https://freesupportservice93.azurewebsites.net/8sx3ztC96XSvHKs/</t>
  </si>
  <si>
    <t>supportcenter01.azurewebsites.net</t>
  </si>
  <si>
    <t>5f4171d457798</t>
  </si>
  <si>
    <t>http://supportcenter01.azurewebsites.net/RcqJ92dKsXnk9v9/</t>
  </si>
  <si>
    <t>checkup60.azurewebsites.net</t>
  </si>
  <si>
    <t>5f31877f936cb</t>
  </si>
  <si>
    <t>http://checkup60.azurewebsites.net/Mer-cado/</t>
  </si>
  <si>
    <t>checkup67.azurewebsites.net</t>
  </si>
  <si>
    <t>5f316365f1bff</t>
  </si>
  <si>
    <t>http://checkup67.azurewebsites.net/Mer-cado/</t>
  </si>
  <si>
    <t>checkup98.azurewebsites.net</t>
  </si>
  <si>
    <t>5f309f3c69053</t>
  </si>
  <si>
    <t>http://checkup98.azurewebsites.net/Kristy-Cortez/</t>
  </si>
  <si>
    <t>computer10.azurewebsites.net</t>
  </si>
  <si>
    <t>5f309f2b3ba54</t>
  </si>
  <si>
    <t>http://computer10.azurewebsites.net/Kristy-Cortez/</t>
  </si>
  <si>
    <t>callnowtogetsupport10.azurewebsites.net</t>
  </si>
  <si>
    <t>5f309f23ee7ee</t>
  </si>
  <si>
    <t>http://callnowtogetsupport10.azurewebsites.net/Kristy-Cortez/</t>
  </si>
  <si>
    <t>computer100.azurewebsites.net</t>
  </si>
  <si>
    <t>5f309ecbbc621</t>
  </si>
  <si>
    <t>http://computer100.azurewebsites.net/Kristy-Cortez/</t>
  </si>
  <si>
    <t>computer120.azurewebsites.net</t>
  </si>
  <si>
    <t>5f309eb57ff0f</t>
  </si>
  <si>
    <t>http://computer120.azurewebsites.net/Kristy-Cortez/</t>
  </si>
  <si>
    <t>callnow-free10.azurewebsites.net</t>
  </si>
  <si>
    <t>5f309e9f49d57</t>
  </si>
  <si>
    <t>http://callnow-free10.azurewebsites.net/Cortez/</t>
  </si>
  <si>
    <t>callnow80.azurewebsites.net</t>
  </si>
  <si>
    <t>5f309e88912e0</t>
  </si>
  <si>
    <t>http://callnow80.azurewebsites.net/Kristy-Cortez/</t>
  </si>
  <si>
    <t>callnowtogetsupport6.azurewebsites.net</t>
  </si>
  <si>
    <t>5f3053c5ddcfa</t>
  </si>
  <si>
    <t>http://callnowtogetsupport6.azurewebsites.net/Belle-Plaine/</t>
  </si>
  <si>
    <t>getonlinepdiva.site</t>
  </si>
  <si>
    <t>128.199.10.20</t>
  </si>
  <si>
    <t>5f3a644eb93b6</t>
  </si>
  <si>
    <t>https://getonlinepdiva.site/0EDdhdsbfMShgdfhdgfHr007/</t>
  </si>
  <si>
    <t>firmware994.ga</t>
  </si>
  <si>
    <t>172.67.215.37</t>
  </si>
  <si>
    <t>5f3065bdd3656</t>
  </si>
  <si>
    <t>https://firmware994.ga/Call_Microsoft_windows_Helpline384993/Dchfdfdfdfd777/</t>
  </si>
  <si>
    <t>myonlinecreditbills.site</t>
  </si>
  <si>
    <t>164.90.152.10</t>
  </si>
  <si>
    <t>5f309c7ba7287</t>
  </si>
  <si>
    <t>https://myonlinecreditbills.site/SAMacHelp011010x/</t>
  </si>
  <si>
    <t>globally883.cf</t>
  </si>
  <si>
    <t>172.67.211.145</t>
  </si>
  <si>
    <t>5f309cf3332f2</t>
  </si>
  <si>
    <t>https://globally883.cf/Call_Microsoft_windows_Helpline4698140/Dchfdfdfdfd777/</t>
  </si>
  <si>
    <t>whquehf234384839mxcncmn.ml</t>
  </si>
  <si>
    <t>167.172.125.215</t>
  </si>
  <si>
    <t>5f35e55125e63</t>
  </si>
  <si>
    <t>https://whquehf234384839mxcncmn.ml/alert/0WCHfdfdfdfddfd0099900YN/</t>
  </si>
  <si>
    <t>kasautizindagiki38014.ml</t>
  </si>
  <si>
    <t>5f35e54262dae</t>
  </si>
  <si>
    <t>https://kasautizindagiki38014.ml/alert/0WCHfdfdfdfddfd0099900YN/</t>
  </si>
  <si>
    <t>xxxwqeekporieqnjnevj.ml</t>
  </si>
  <si>
    <t>5f35e50d4ba78</t>
  </si>
  <si>
    <t>https://xxxwqeekporieqnjnevj.ml/alert/0WCHfdfdfdfddfd0099900YN/</t>
  </si>
  <si>
    <t>iqwerrpqti4983umvnv-cnv.ml</t>
  </si>
  <si>
    <t>5f35e4d15a15d</t>
  </si>
  <si>
    <t>https://iqwerrpqti4983umvnv-cnv.ml/alert/0WCHfdfdfdfddfd0099900YN/</t>
  </si>
  <si>
    <t>takeprecautionslive24x7365.ml</t>
  </si>
  <si>
    <t>5f35e4afbbf08</t>
  </si>
  <si>
    <t>https://takeprecautionslive24x7365.ml/alert/0WCHfdfdfdfddfd0099900YN/</t>
  </si>
  <si>
    <t>zzzfjeuqrjg0341833333334.ml</t>
  </si>
  <si>
    <t>5f35e492da0d3</t>
  </si>
  <si>
    <t>https://zzzfjeuqrjg0341833333334.ml/alert/0WCHfdfdfdfddfd0099900YN/</t>
  </si>
  <si>
    <t>dpsjw4u0r434jfjfje.ml</t>
  </si>
  <si>
    <t>5f35af8427cdc</t>
  </si>
  <si>
    <t>https://dpsjw4u0r434jfjfje.ml/alert/0WCHfdfdfdfddfd0099900YN/</t>
  </si>
  <si>
    <t>viruhelp.com</t>
  </si>
  <si>
    <t>216.239.32.21</t>
  </si>
  <si>
    <t>5f3bb984b5902</t>
  </si>
  <si>
    <t>http://viruhelp.com</t>
  </si>
  <si>
    <t>livequick-support118.azurewebsites.net</t>
  </si>
  <si>
    <t>137.116.88.213</t>
  </si>
  <si>
    <t>5faad70b729cb</t>
  </si>
  <si>
    <t>https://livequick-support118.azurewebsites.net/VXJfzDqW2zqUqWz/</t>
  </si>
  <si>
    <t>freequickpcsupport037.azurewebsites.net</t>
  </si>
  <si>
    <t>5f9c4f392e1b8</t>
  </si>
  <si>
    <t>https://freequickpcsupport037.azurewebsites.net/gxDdcFJ5WdRaJjW/</t>
  </si>
  <si>
    <t>onlinepcquickssupport-038.azurewebsites.net</t>
  </si>
  <si>
    <t>5f8f35504321f</t>
  </si>
  <si>
    <t>https://onlinepcquickssupport-038.azurewebsites.net/Hr8JDeeMQsybEwS/</t>
  </si>
  <si>
    <t>liveonlinepchelp17.azurewebsites.net</t>
  </si>
  <si>
    <t>5f735e655151b</t>
  </si>
  <si>
    <t>http://liveonlinepchelp17.azurewebsites.net/6Yeqm5nqUDDNFgk/</t>
  </si>
  <si>
    <t>onlinecomputersupport48.azurewebsites.net</t>
  </si>
  <si>
    <t>5f722117f0659</t>
  </si>
  <si>
    <t>https://onlinecomputersupport48.azurewebsites.net/Kq8XSq5WNCgY68z/</t>
  </si>
  <si>
    <t>freecomputerhelp49.azurewebsites.net</t>
  </si>
  <si>
    <t>5f699f28ab35f</t>
  </si>
  <si>
    <t>https://freecomputerhelp49.azurewebsites.net/R7tcvkAFdAwS4B4</t>
  </si>
  <si>
    <t>freecomputerhelp148.azurewebsites.net</t>
  </si>
  <si>
    <t>5f699e47e1b06</t>
  </si>
  <si>
    <t>https://freecomputerhelp148.azurewebsites.net/R7tcvkAFdAwS4B4</t>
  </si>
  <si>
    <t>freecomputerhelp99.azurewebsites.net</t>
  </si>
  <si>
    <t>5f699dd8dd290</t>
  </si>
  <si>
    <t>https://freecomputerhelp99.azurewebsites.net/R7tcvkAFdAwS4B4</t>
  </si>
  <si>
    <t>callnow-free99.azurewebsites.net</t>
  </si>
  <si>
    <t>5f437d959539d</t>
  </si>
  <si>
    <t>http://callnow-free99.azurewebsites.net/Zcv6znVbFKDkXCy/</t>
  </si>
  <si>
    <t>computer19.azurewebsites.net</t>
  </si>
  <si>
    <t>5f30d2580b2a0</t>
  </si>
  <si>
    <t>http://computer19.azurewebsites.net/Kristy-Cortez/</t>
  </si>
  <si>
    <t>liveonlinepchelp47.azurewebsites.net</t>
  </si>
  <si>
    <t>40.71.11.147</t>
  </si>
  <si>
    <t>5f73780ecf99c</t>
  </si>
  <si>
    <t>https://liveonlinepchelp47.azurewebsites.net/6Yeqm5nqUDDNFgk/</t>
  </si>
  <si>
    <t>5f6ce5721a810</t>
  </si>
  <si>
    <t>https://freepchelp87.azurewebsites.net/qbNJp4SCuce6BQh/</t>
  </si>
  <si>
    <t>freecomputerhelp48.azurewebsites.net</t>
  </si>
  <si>
    <t>5f699f2b7ddee</t>
  </si>
  <si>
    <t>https://freecomputerhelp48.azurewebsites.net/R7tcvkAFdAwS4B4</t>
  </si>
  <si>
    <t>freecomputerhelp67.azurewebsites.net</t>
  </si>
  <si>
    <t>5f699efb5317a</t>
  </si>
  <si>
    <t>https://freecomputerhelp67.azurewebsites.net/R7tcvkAFdAwS4B4</t>
  </si>
  <si>
    <t>freecomputerhelp97.azurewebsites.net</t>
  </si>
  <si>
    <t>5f699dd6c404d</t>
  </si>
  <si>
    <t>https://freecomputerhelp97.azurewebsites.net/R7tcvkAFdAwS4B4</t>
  </si>
  <si>
    <t>pconlinehelp99.azurewebsites.net</t>
  </si>
  <si>
    <t>5f5fd3d4d0adf</t>
  </si>
  <si>
    <t>https://pconlinehelp99.azurewebsites.net/ERDDrHjVfKbFJbQ/</t>
  </si>
  <si>
    <t>pconlinehelp06.azurewebsites.net</t>
  </si>
  <si>
    <t>5f5f9bf7ef4b6</t>
  </si>
  <si>
    <t>https://pconlinehelp06.azurewebsites.net/ERDDrHjVfKbFJbQ/</t>
  </si>
  <si>
    <t>pchelpdesk27.azurewebsites.net</t>
  </si>
  <si>
    <t>5f5a584f7c3a0</t>
  </si>
  <si>
    <t>https://pchelpdesk27.azurewebsites.net/garretttanners7d/</t>
  </si>
  <si>
    <t>pchelpservices169.azurewebsites.net</t>
  </si>
  <si>
    <t>5f5934bc2037b</t>
  </si>
  <si>
    <t>https://pchelpservices169.azurewebsites.net/dawsonwhlerS7v/</t>
  </si>
  <si>
    <t>pchelpservices100.azurewebsites.net</t>
  </si>
  <si>
    <t>5f5916f7b8208</t>
  </si>
  <si>
    <t>https://pchelpservices100.azurewebsites.net/dawsonwhlerS7v/</t>
  </si>
  <si>
    <t>pchelpservices59.azurewebsites.net</t>
  </si>
  <si>
    <t>5f590d4da8dbb</t>
  </si>
  <si>
    <t>https://pchelpservices59.azurewebsites.net/dawsonwhlerS7v/</t>
  </si>
  <si>
    <t>callnow90.azurewebsites.net</t>
  </si>
  <si>
    <t>5f5288bec95b2</t>
  </si>
  <si>
    <t>http://callnow90.azurewebsites.net/cado/</t>
  </si>
  <si>
    <t>callnow37.azurewebsites.net</t>
  </si>
  <si>
    <t>5f52865d46fcb</t>
  </si>
  <si>
    <t>http://callnow37.azurewebsites.net/Mer-cado/</t>
  </si>
  <si>
    <t>callnow29.azurewebsites.net</t>
  </si>
  <si>
    <t>5f528636653eb</t>
  </si>
  <si>
    <t>http://callnow29.azurewebsites.net/Mer-cado/</t>
  </si>
  <si>
    <t>freesupport39.azurewebsites.net</t>
  </si>
  <si>
    <t>5f4c0d0d64585</t>
  </si>
  <si>
    <t>http://freesupport39.azurewebsites.net/gHBW7zFVGjwcrjr/</t>
  </si>
  <si>
    <t>freesupport28.azurewebsites.net</t>
  </si>
  <si>
    <t>5f4c0cdbae3fe</t>
  </si>
  <si>
    <t>http://freesupport28.azurewebsites.net/gHBW7zFVGjwcrjr/</t>
  </si>
  <si>
    <t>callnow-free158.azurewebsites.net</t>
  </si>
  <si>
    <t>5f4c09e5218d5</t>
  </si>
  <si>
    <t>http://callnow-free158.azurewebsites.net/S9M5QFaca7VkHSt/</t>
  </si>
  <si>
    <t>freecallcaresupport99.azurewebsites.net</t>
  </si>
  <si>
    <t>5f4aa3fea789a</t>
  </si>
  <si>
    <t>http://freecallcaresupport99.azurewebsites.net/vTUPHmw6mhDcMgT/</t>
  </si>
  <si>
    <t>freemaintenance87.azurewebsites.net</t>
  </si>
  <si>
    <t>5f495e781a18b</t>
  </si>
  <si>
    <t>http://freemaintenance87.azurewebsites.net/q5gCvYnz6kzKvgY/</t>
  </si>
  <si>
    <t>freemaintenance120.azurewebsites.net</t>
  </si>
  <si>
    <t>5f48ba29a38f1</t>
  </si>
  <si>
    <t>http://freemaintenance120.azurewebsites.net/q5gCvYnz6kzKvgY/</t>
  </si>
  <si>
    <t>computer60.azurewebsites.net</t>
  </si>
  <si>
    <t>5f47a00b6dc23</t>
  </si>
  <si>
    <t>http://computer60.azurewebsites.net/Belle-Plaine/</t>
  </si>
  <si>
    <t>computer50.azurewebsites.net</t>
  </si>
  <si>
    <t>5f479fd1c28a3</t>
  </si>
  <si>
    <t>http://computer50.azurewebsites.net/Belle-Plaine/</t>
  </si>
  <si>
    <t>checkup78.azurewebsites.net</t>
  </si>
  <si>
    <t>5f4479a87b8e7</t>
  </si>
  <si>
    <t>http://checkup78.azurewebsites.net/Kristy-Cortez/</t>
  </si>
  <si>
    <t>callnow-free28.azurewebsites.net</t>
  </si>
  <si>
    <t>5f4449ff01c31</t>
  </si>
  <si>
    <t>https://callnow-free28.azurewebsites.net/Cortez/</t>
  </si>
  <si>
    <t>freesupportservice07.azurewebsites.net</t>
  </si>
  <si>
    <t>5f4443a4b2ce0</t>
  </si>
  <si>
    <t>https://freesupportservice07.azurewebsites.net/8sx3ztC96XSvHKs/</t>
  </si>
  <si>
    <t>freesupportservice27.azurewebsites.net</t>
  </si>
  <si>
    <t>5f44427fd48f0</t>
  </si>
  <si>
    <t>https://freesupportservice27.azurewebsites.net/8sx3ztC96XSvHKs/</t>
  </si>
  <si>
    <t>freesupportservice40.azurewebsites.net</t>
  </si>
  <si>
    <t>5f4441e563397</t>
  </si>
  <si>
    <t>https://freesupportservice40.azurewebsites.net/8sx3ztC96XSvHKs/</t>
  </si>
  <si>
    <t>callnow-free120.azurewebsites.net</t>
  </si>
  <si>
    <t>5f424c5f1095d</t>
  </si>
  <si>
    <t>http://callnow-free120.azurewebsites.net/qJRMzcfrH4ZAppa/</t>
  </si>
  <si>
    <t>freesupport58.azurewebsites.net</t>
  </si>
  <si>
    <t>5f4029c214764</t>
  </si>
  <si>
    <t>http://freesupport58.azurewebsites.net/atEdYhpx5ykF2Ru/</t>
  </si>
  <si>
    <t>checkup58.azurewebsites.net</t>
  </si>
  <si>
    <t>5f318787e883d</t>
  </si>
  <si>
    <t>http://checkup58.azurewebsites.net/Mer-cado/</t>
  </si>
  <si>
    <t>computer118.azurewebsites.net</t>
  </si>
  <si>
    <t>5f30d62aed60e</t>
  </si>
  <si>
    <t>http://computer118.azurewebsites.net/Belle-Plaine</t>
  </si>
  <si>
    <t>computer18.azurewebsites.net</t>
  </si>
  <si>
    <t>5f30d266c01c4</t>
  </si>
  <si>
    <t>http://computer18.azurewebsites.net/Kristy-Cortez/</t>
  </si>
  <si>
    <t>callnow47.azurewebsites.net</t>
  </si>
  <si>
    <t>52.240.155.58</t>
  </si>
  <si>
    <t>5f52868b0c793</t>
  </si>
  <si>
    <t>http://callnow47.azurewebsites.net/Mer-cado/</t>
  </si>
  <si>
    <t>freesupport97.azurewebsites.net</t>
  </si>
  <si>
    <t>5f4c0e242a528</t>
  </si>
  <si>
    <t>http://freesupport97.azurewebsites.net/gHBW7zFVGjwcrjr/</t>
  </si>
  <si>
    <t>callnow-free117.azurewebsites.net</t>
  </si>
  <si>
    <t>5f4c0925810e6</t>
  </si>
  <si>
    <t>http://callnow-free117.azurewebsites.net/S9M5QFaca7VkHSt/</t>
  </si>
  <si>
    <t>callnow-free90.azurewebsites.net</t>
  </si>
  <si>
    <t>5f4c08a8a2368</t>
  </si>
  <si>
    <t>http://callnow-free90.azurewebsites.net/S9M5QFaca7VkHSt/</t>
  </si>
  <si>
    <t>freesupport14.azurewebsites.net</t>
  </si>
  <si>
    <t>5f4ae50fb3f53</t>
  </si>
  <si>
    <t>http://freesupport14.azurewebsites.net/gHBW7zFVGjwcrjr/</t>
  </si>
  <si>
    <t>getfreesupport117.azurewebsites.net</t>
  </si>
  <si>
    <t>5f4975a1b597a</t>
  </si>
  <si>
    <t>http://getfreesupport117.azurewebsites.net/gHBW7zFVGjwcrjr/</t>
  </si>
  <si>
    <t>freemaintenance78.azurewebsites.net</t>
  </si>
  <si>
    <t>5f495e53019da</t>
  </si>
  <si>
    <t>http://freemaintenance78.azurewebsites.net/q5gCvYnz6kzKvgY/</t>
  </si>
  <si>
    <t>freemaintenance47.azurewebsites.net</t>
  </si>
  <si>
    <t>5f495dce422b0</t>
  </si>
  <si>
    <t>http://freemaintenance47.azurewebsites.net/q5gCvYnz6kzKvgY/</t>
  </si>
  <si>
    <t>freemaintenance31.azurewebsites.net</t>
  </si>
  <si>
    <t>5f495d8a5815c</t>
  </si>
  <si>
    <t>http://freemaintenance31.azurewebsites.net/q5gCvYnz6kzKvgY/</t>
  </si>
  <si>
    <t>freemaintenance90.azurewebsites.net</t>
  </si>
  <si>
    <t>5f48b9d983507</t>
  </si>
  <si>
    <t>http://freemaintenance90.azurewebsites.net/q5gCvYnz6kzKvgY/</t>
  </si>
  <si>
    <t>freemaintenance11.azurewebsites.net</t>
  </si>
  <si>
    <t>5f48b9543d085</t>
  </si>
  <si>
    <t>http://freemaintenance11.azurewebsites.net/q5gCvYnz6kzKvgY/</t>
  </si>
  <si>
    <t>getfreesupport187.azurewebsites.net</t>
  </si>
  <si>
    <t>5f47d51366c15</t>
  </si>
  <si>
    <t>http://getfreesupport187.azurewebsites.net/atEdYhpx5ykF2Ru/</t>
  </si>
  <si>
    <t>getfreesupport38.azurewebsites.net</t>
  </si>
  <si>
    <t>5f47a709eded2</t>
  </si>
  <si>
    <t>http://getfreesupport38.azurewebsites.net/Zcv6znVbFKDkXCy/</t>
  </si>
  <si>
    <t>getfreesupport17.azurewebsites.net</t>
  </si>
  <si>
    <t>5f47a5ff33802</t>
  </si>
  <si>
    <t>http://getfreesupport17.azurewebsites.net/Zcv6znVbFKDkXCy/</t>
  </si>
  <si>
    <t>checkup97.azurewebsites.net</t>
  </si>
  <si>
    <t>5f447a6362e75</t>
  </si>
  <si>
    <t>http://checkup97.azurewebsites.net/Kristy-Cortez/</t>
  </si>
  <si>
    <t>checkup87.azurewebsites.net</t>
  </si>
  <si>
    <t>5f4479f4885f2</t>
  </si>
  <si>
    <t>http://checkup87.azurewebsites.net/Kristy-Cortez/</t>
  </si>
  <si>
    <t>computer107.azurewebsites.net</t>
  </si>
  <si>
    <t>5f30d75ab5376</t>
  </si>
  <si>
    <t>http://computer107.azurewebsites.net/Belle-Plaine</t>
  </si>
  <si>
    <t>callnow-free37.azurewebsites.net</t>
  </si>
  <si>
    <t>5f30d28cc8658</t>
  </si>
  <si>
    <t>http://callnow-free37.azurewebsites.net/Cortez/</t>
  </si>
  <si>
    <t>system-security-alert-404.azurewebsites.net</t>
  </si>
  <si>
    <t>13.89.57.7</t>
  </si>
  <si>
    <t>5f30d2ab13739</t>
  </si>
  <si>
    <t>http://system-security-alert-404.azurewebsites.net/CHWInhelp10VWIN010101AW/</t>
  </si>
  <si>
    <t>livequick-support079.azurewebsites.net</t>
  </si>
  <si>
    <t>51.140.146.133</t>
  </si>
  <si>
    <t>5faf396f8a4e1</t>
  </si>
  <si>
    <t>http://livequick-support079.azurewebsites.net/JArbZ98cFQJapCA/</t>
  </si>
  <si>
    <t>livequick-support115.azurewebsites.net</t>
  </si>
  <si>
    <t>5faad801bd411</t>
  </si>
  <si>
    <t>https://livequick-support115.azurewebsites.net/VXJfzDqW2zqUqWz/</t>
  </si>
  <si>
    <t>quick-support075.azurewebsites.net</t>
  </si>
  <si>
    <t>5fa439c4a4858</t>
  </si>
  <si>
    <t>https://quick-support075.azurewebsites.net/KZPnhPzq8R8jHBD/</t>
  </si>
  <si>
    <t>onecallhelpdesk15.azurewebsites.net</t>
  </si>
  <si>
    <t>5f7f3b20b487c</t>
  </si>
  <si>
    <t>https://onecallhelpdesk15.azurewebsites.net/bUAnaP5Cp7yKmv4/</t>
  </si>
  <si>
    <t>bestgeekscare45.azurewebsites.net</t>
  </si>
  <si>
    <t>5f7b77d25e64e</t>
  </si>
  <si>
    <t>https://bestgeekscare45.azurewebsites.net/TZZsyhcrt2Wrbu9/</t>
  </si>
  <si>
    <t>livepcexpert15.azurewebsites.net</t>
  </si>
  <si>
    <t>5f762a242a614</t>
  </si>
  <si>
    <t>https://livepcexpert15.azurewebsites.net/4vKZdhngXmE9yHj/</t>
  </si>
  <si>
    <t>liveonlinepchelp35.azurewebsites.net</t>
  </si>
  <si>
    <t>5f73782d1fd92</t>
  </si>
  <si>
    <t>https://liveonlinepchelp35.azurewebsites.net/6Yeqm5nqUDDNFgk/</t>
  </si>
  <si>
    <t>onlinecomputersupport55.azurewebsites.net</t>
  </si>
  <si>
    <t>5f722121367be</t>
  </si>
  <si>
    <t>https://onlinecomputersupport55.azurewebsites.net/Kq8XSq5WNCgY68z/</t>
  </si>
  <si>
    <t>onlinecomputersupport21.azurewebsites.net</t>
  </si>
  <si>
    <t>5f721f5195de5</t>
  </si>
  <si>
    <t>https://onlinecomputersupport21.azurewebsites.net/Kq8XSq5WNCgY68z/</t>
  </si>
  <si>
    <t>5f6cdc2247ee9</t>
  </si>
  <si>
    <t>https://freepchelp75.azurewebsites.net/DKQdsrdTvDq7HXA/</t>
  </si>
  <si>
    <t>freecomputerhelp55.azurewebsites.net</t>
  </si>
  <si>
    <t>5f699f158bd5e</t>
  </si>
  <si>
    <t>https://freecomputerhelp55.azurewebsites.net/R7tcvkAFdAwS4B4</t>
  </si>
  <si>
    <t>freecomputerhelp75.azurewebsites.net</t>
  </si>
  <si>
    <t>5f699ede3c2e3</t>
  </si>
  <si>
    <t>https://freecomputerhelp75.azurewebsites.net/R7tcvkAFdAwS4B4</t>
  </si>
  <si>
    <t>freecomputerhelp85.azurewebsites.net</t>
  </si>
  <si>
    <t>5f699edc10f0f</t>
  </si>
  <si>
    <t>https://freecomputerhelp85.azurewebsites.net/R7tcvkAFdAwS4B4</t>
  </si>
  <si>
    <t>freecomputerhelp105.azurewebsites.net</t>
  </si>
  <si>
    <t>5f699de627109</t>
  </si>
  <si>
    <t>https://freecomputerhelp105.azurewebsites.net/R7tcvkAFdAwS4B4</t>
  </si>
  <si>
    <t>freecomputerhelp11.azurewebsites.net</t>
  </si>
  <si>
    <t>5f68d969d5211</t>
  </si>
  <si>
    <t>https://freecomputerhelp11.azurewebsites.net/R7tcvkAFdAwS4B4/</t>
  </si>
  <si>
    <t>freecomputerhelp35.azurewebsites.net</t>
  </si>
  <si>
    <t>5f68d77dd8388</t>
  </si>
  <si>
    <t>https://freecomputerhelp35.azurewebsites.net/R7tcvkAFdAwS4B4/</t>
  </si>
  <si>
    <t>freepchelponline15.azurewebsites.net</t>
  </si>
  <si>
    <t>5f60fee417a57</t>
  </si>
  <si>
    <t>https://freepchelponline15.azurewebsites.net/ERDDrHjVfKbFJbQ/</t>
  </si>
  <si>
    <t>pconlinehelp165.azurewebsites.net</t>
  </si>
  <si>
    <t>5f60e71c7fa8e</t>
  </si>
  <si>
    <t>https://pconlinehelp165.azurewebsites.net/ERDDrHjVfKbFJbQ/</t>
  </si>
  <si>
    <t>pconlinehelp135.azurewebsites.net</t>
  </si>
  <si>
    <t>5f5fe6425f5f1</t>
  </si>
  <si>
    <t>https://pconlinehelp135.azurewebsites.net/PdBwDhx6bmkRNJX/</t>
  </si>
  <si>
    <t>pconlinehelp95.azurewebsites.net</t>
  </si>
  <si>
    <t>5f5fd3da1ed29</t>
  </si>
  <si>
    <t>https://pconlinehelp95.azurewebsites.net/ERDDrHjVfKbFJbQ/</t>
  </si>
  <si>
    <t>pconlinehelp15.azurewebsites.net</t>
  </si>
  <si>
    <t>5f5f9ae4433cc</t>
  </si>
  <si>
    <t>https://pconlinehelp15.azurewebsites.net/ERDDrHjVfKbFJbQ/</t>
  </si>
  <si>
    <t>pchelpdesk54.azurewebsites.net</t>
  </si>
  <si>
    <t>5f5a5900f4060</t>
  </si>
  <si>
    <t>https://pchelpdesk54.azurewebsites.net/garretttanners7d/</t>
  </si>
  <si>
    <t>pchelpservices75.azurewebsites.net</t>
  </si>
  <si>
    <t>5f59169c14d1c</t>
  </si>
  <si>
    <t>https://pchelpservices75.azurewebsites.net/dawsonwhlerS7v/</t>
  </si>
  <si>
    <t>pchelpservices95.azurewebsites.net</t>
  </si>
  <si>
    <t>5f590e26b1bb9</t>
  </si>
  <si>
    <t>https://pchelpservices95.azurewebsites.net/dawsonwhlerS7v/</t>
  </si>
  <si>
    <t>callnow45.azurewebsites.net</t>
  </si>
  <si>
    <t>5f528681bf177</t>
  </si>
  <si>
    <t>http://callnow45.azurewebsites.net/Mer-cado/</t>
  </si>
  <si>
    <t>callnow25.azurewebsites.net</t>
  </si>
  <si>
    <t>5f528623ed2e7</t>
  </si>
  <si>
    <t>http://callnow25.azurewebsites.net/Mer-cado/</t>
  </si>
  <si>
    <t>freesupport95.azurewebsites.net</t>
  </si>
  <si>
    <t>5f4c0e1b2c244</t>
  </si>
  <si>
    <t>http://freesupport95.azurewebsites.net/gHBW7zFVGjwcrjr/</t>
  </si>
  <si>
    <t>freesupport35.azurewebsites.net</t>
  </si>
  <si>
    <t>5f4c0cfb487a8</t>
  </si>
  <si>
    <t>http://freesupport35.azurewebsites.net/gHBW7zFVGjwcrjr/</t>
  </si>
  <si>
    <t>freesupport16.azurewebsites.net</t>
  </si>
  <si>
    <t>5f4ae51f5bda9</t>
  </si>
  <si>
    <t>http://freesupport16.azurewebsites.net/gHBW7zFVGjwcrjr/</t>
  </si>
  <si>
    <t>freesupportservice125.azurewebsites.net</t>
  </si>
  <si>
    <t>5f4ad8d9c6d1d</t>
  </si>
  <si>
    <t>http://freesupportservice125.azurewebsites.net/vcCsfdvjFg4P5tp/</t>
  </si>
  <si>
    <t>customercaresupport168.azurewebsites.net</t>
  </si>
  <si>
    <t>5f494745460bb</t>
  </si>
  <si>
    <t>https://customercaresupport168.azurewebsites.net/HNhGpB5gbMdVDyb/</t>
  </si>
  <si>
    <t>customercaresupport155.azurewebsites.net</t>
  </si>
  <si>
    <t>5f4946ba47132</t>
  </si>
  <si>
    <t>https://customercaresupport155.azurewebsites.net/HNhGpB5gbMdVDyb/</t>
  </si>
  <si>
    <t>freemaintenance13.azurewebsites.net</t>
  </si>
  <si>
    <t>5f48b963c7499</t>
  </si>
  <si>
    <t>http://freemaintenance13.azurewebsites.net/q5gCvYnz6kzKvgY/</t>
  </si>
  <si>
    <t>getfreesupport165.azurewebsites.net</t>
  </si>
  <si>
    <t>5f47a161b3728</t>
  </si>
  <si>
    <t>http://getfreesupport165.azurewebsites.net/atEdYhpx5ykF2Ru/</t>
  </si>
  <si>
    <t>checkup95.azurewebsites.net</t>
  </si>
  <si>
    <t>5f447a33422ab</t>
  </si>
  <si>
    <t>http://checkup95.azurewebsites.net/Kristy-Cortez/</t>
  </si>
  <si>
    <t>checkup25.azurewebsites.net</t>
  </si>
  <si>
    <t>5f44771aa29ed</t>
  </si>
  <si>
    <t>http://checkup25.azurewebsites.net/Kristy-Cortez/</t>
  </si>
  <si>
    <t>getfreesupport65.azurewebsites.net</t>
  </si>
  <si>
    <t>5f4450a9abf83</t>
  </si>
  <si>
    <t>https://getfreesupport65.azurewebsites.net/atEdYhpx5ykF2Ru/</t>
  </si>
  <si>
    <t>freesupportservice34.azurewebsites.net</t>
  </si>
  <si>
    <t>5f44422614645</t>
  </si>
  <si>
    <t>https://freesupportservice34.azurewebsites.net/8sx3ztC96XSvHKs/</t>
  </si>
  <si>
    <t>freesupportservice46.azurewebsites.net</t>
  </si>
  <si>
    <t>5f44419fe57e2</t>
  </si>
  <si>
    <t>https://freesupportservice46.azurewebsites.net/8sx3ztC96XSvHKs/</t>
  </si>
  <si>
    <t>freesupportservice96.azurewebsites.net</t>
  </si>
  <si>
    <t>5f44403a517fd</t>
  </si>
  <si>
    <t>https://freesupportservice96.azurewebsites.net/8sx3ztC96XSvHKs/</t>
  </si>
  <si>
    <t>computer105.azurewebsites.net</t>
  </si>
  <si>
    <t>5f30d761acd05</t>
  </si>
  <si>
    <t>http://computer105.azurewebsites.net/Belle-Plaine</t>
  </si>
  <si>
    <t>callnow-free35.azurewebsites.net</t>
  </si>
  <si>
    <t>5f30d39ee1786</t>
  </si>
  <si>
    <t>http://callnow-free35.azurewebsites.net/Cortez/</t>
  </si>
  <si>
    <t>Cardiff</t>
  </si>
  <si>
    <t>quick-support275.azurewebsites.net</t>
  </si>
  <si>
    <t>51.141.45.207</t>
  </si>
  <si>
    <t>5faf4403b08df</t>
  </si>
  <si>
    <t>http://quick-support275.azurewebsites.net/JArbZ98cFQJapCA/</t>
  </si>
  <si>
    <t>livequick-support154.azurewebsites.net</t>
  </si>
  <si>
    <t>5faf3e22d4513</t>
  </si>
  <si>
    <t>http://livequick-support154.azurewebsites.net/JArbZ98cFQJapCA/</t>
  </si>
  <si>
    <t>livequick-support134.azurewebsites.net</t>
  </si>
  <si>
    <t>5faf3dc7838f8</t>
  </si>
  <si>
    <t>http://livequick-support134.azurewebsites.net/JArbZ98cFQJapCA/</t>
  </si>
  <si>
    <t>livequick-support084.azurewebsites.net</t>
  </si>
  <si>
    <t>5faf3991ad5d7</t>
  </si>
  <si>
    <t>http://livequick-support084.azurewebsites.net/JArbZ98cFQJapCA/</t>
  </si>
  <si>
    <t>livequick-support099.azurewebsites.net</t>
  </si>
  <si>
    <t>5faaca9e81899</t>
  </si>
  <si>
    <t>https://livequick-support099.azurewebsites.net/VXJfzDqW2zqUqWz/</t>
  </si>
  <si>
    <t>quick-support074.azurewebsites.net</t>
  </si>
  <si>
    <t>5fa439c0076cd</t>
  </si>
  <si>
    <t>https://quick-support074.azurewebsites.net/KZPnhPzq8R8jHBD/</t>
  </si>
  <si>
    <t>quick-support004.azurewebsites.net</t>
  </si>
  <si>
    <t>5fa2fceb4fedc</t>
  </si>
  <si>
    <t>https://quick-support004.azurewebsites.net/UsvCPP4t5Gxga6T/</t>
  </si>
  <si>
    <t>livequickpcsupports19.azurewebsites.net</t>
  </si>
  <si>
    <t>5f984ab56cd50</t>
  </si>
  <si>
    <t>https://livequickpcsupports19.azurewebsites.net/9GMEFgvzgTaEgPD/</t>
  </si>
  <si>
    <t>onecallhelpdesk14.azurewebsites.net</t>
  </si>
  <si>
    <t>5f7f3b21d9515</t>
  </si>
  <si>
    <t>https://onecallhelpdesk14.azurewebsites.net/bUAnaP5Cp7yKmv4/</t>
  </si>
  <si>
    <t>onecallhelpdesk16.azurewebsites.net</t>
  </si>
  <si>
    <t>5f7f3b1ec4ef5</t>
  </si>
  <si>
    <t>https://onecallhelpdesk16.azurewebsites.net/bUAnaP5Cp7yKmv4/</t>
  </si>
  <si>
    <t>liveonlinepchelp34.azurewebsites.net</t>
  </si>
  <si>
    <t>5f73782ce36ee</t>
  </si>
  <si>
    <t>https://liveonlinepchelp34.azurewebsites.net/6Yeqm5nqUDDNFgk/</t>
  </si>
  <si>
    <t>onlinecomputersupport29.azurewebsites.net</t>
  </si>
  <si>
    <t>5f7221032f21a</t>
  </si>
  <si>
    <t>https://onlinecomputersupport29.azurewebsites.net/Kq8XSq5WNCgY68z/</t>
  </si>
  <si>
    <t>freecomputerhelp134.azurewebsites.net</t>
  </si>
  <si>
    <t>5f699e277aa0e</t>
  </si>
  <si>
    <t>https://freecomputerhelp134.azurewebsites.net/R7tcvkAFdAwS4B4</t>
  </si>
  <si>
    <t>freecomputerhelp104.azurewebsites.net</t>
  </si>
  <si>
    <t>5f699de48414f</t>
  </si>
  <si>
    <t>https://freecomputerhelp104.azurewebsites.net/R7tcvkAFdAwS4B4</t>
  </si>
  <si>
    <t>freecomputerhelp27.azurewebsites.net</t>
  </si>
  <si>
    <t>5f68d9c2667dc</t>
  </si>
  <si>
    <t>https://freecomputerhelp27.azurewebsites.net/R7tcvkAFdAwS4B4/</t>
  </si>
  <si>
    <t>freecomputerhelp12.azurewebsites.net</t>
  </si>
  <si>
    <t>5f68d96f7962f</t>
  </si>
  <si>
    <t>https://freecomputerhelp12.azurewebsites.net/R7tcvkAFdAwS4B4/</t>
  </si>
  <si>
    <t>freepchelp139.azurewebsites.net</t>
  </si>
  <si>
    <t>5f6247e81dbd0</t>
  </si>
  <si>
    <t>https://freepchelp139.azurewebsites.net/TxHTvPq9EFWfwjb/</t>
  </si>
  <si>
    <t>freepchelp105.azurewebsites.net</t>
  </si>
  <si>
    <t>5f6246d4cdfb8</t>
  </si>
  <si>
    <t>https://freepchelp105.azurewebsites.net/TxHTvPq9EFWfwjb/</t>
  </si>
  <si>
    <t>freepchelp124.azurewebsites.net</t>
  </si>
  <si>
    <t>5f62467c82622</t>
  </si>
  <si>
    <t>https://freepchelp124.azurewebsites.net/TxHTvPq9EFWfwjb/</t>
  </si>
  <si>
    <t>freepchelp14.azurewebsites.net</t>
  </si>
  <si>
    <t>5f61c5fb9f23c</t>
  </si>
  <si>
    <t>https://freepchelp14.azurewebsites.net/ERDDrHjVfKbFJbQ/</t>
  </si>
  <si>
    <t>freepchelp24.azurewebsites.net</t>
  </si>
  <si>
    <t>5f61c5de67be7</t>
  </si>
  <si>
    <t>https://freepchelp24.azurewebsites.net/ERDDrHjVfKbFJbQ/</t>
  </si>
  <si>
    <t>freepchelp53.azurewebsites.net</t>
  </si>
  <si>
    <t>5f61c597a19ea</t>
  </si>
  <si>
    <t>https://freepchelp53.azurewebsites.net/ERDDrHjVfKbFJbQ/</t>
  </si>
  <si>
    <t>pconlinehelp164.azurewebsites.net</t>
  </si>
  <si>
    <t>5f6079c0ae9df</t>
  </si>
  <si>
    <t>https://pconlinehelp164.azurewebsites.net/ERDDrHjVfKbFJbQ/</t>
  </si>
  <si>
    <t>pconlinehelp94.azurewebsites.net</t>
  </si>
  <si>
    <t>5f5fd3cc7ba37</t>
  </si>
  <si>
    <t>https://pconlinehelp94.azurewebsites.net/ERDDrHjVfKbFJbQ/</t>
  </si>
  <si>
    <t>pconlinehelp34.azurewebsites.net</t>
  </si>
  <si>
    <t>5f5fa0b950141</t>
  </si>
  <si>
    <t>https://pconlinehelp34.azurewebsites.net/ERDDrHjVfKbFJbQ/</t>
  </si>
  <si>
    <t>pconlinehelp14.azurewebsites.net</t>
  </si>
  <si>
    <t>5f5f9ae875a0b</t>
  </si>
  <si>
    <t>https://pconlinehelp14.azurewebsites.net/ERDDrHjVfKbFJbQ/</t>
  </si>
  <si>
    <t>pchelpdesk34.azurewebsites.net</t>
  </si>
  <si>
    <t>5f5a587c7b1e1</t>
  </si>
  <si>
    <t>https://pchelpdesk34.azurewebsites.net/garretttanners7d/</t>
  </si>
  <si>
    <t>pchelpdesk64.azurewebsites.net</t>
  </si>
  <si>
    <t>5f5a57d005345</t>
  </si>
  <si>
    <t>https://pchelpdesk64.azurewebsites.net/garretttanners7d/</t>
  </si>
  <si>
    <t>pchelpservices164.azurewebsites.net</t>
  </si>
  <si>
    <t>5f5932f93b826</t>
  </si>
  <si>
    <t>https://pchelpservices164.azurewebsites.net/dawsonwhlerS7v/</t>
  </si>
  <si>
    <t>pchelpservices94.azurewebsites.net</t>
  </si>
  <si>
    <t>5f5916e0a2066</t>
  </si>
  <si>
    <t>https://pchelpservices94.azurewebsites.net/dawsonwhlerS7v/</t>
  </si>
  <si>
    <t>pchelpservices74.azurewebsites.net</t>
  </si>
  <si>
    <t>5f591698a5507</t>
  </si>
  <si>
    <t>https://pchelpservices74.azurewebsites.net/dawsonwhlerS7v/</t>
  </si>
  <si>
    <t>callnow84.azurewebsites.net</t>
  </si>
  <si>
    <t>5f528739bc4b7</t>
  </si>
  <si>
    <t>http://callnow84.azurewebsites.net/Mer-cado/</t>
  </si>
  <si>
    <t>callnow64.azurewebsites.net</t>
  </si>
  <si>
    <t>5f5286db6a573</t>
  </si>
  <si>
    <t>http://callnow64.azurewebsites.net/Mer-cado/</t>
  </si>
  <si>
    <t>callnow44.azurewebsites.net</t>
  </si>
  <si>
    <t>5f52867d4aedf</t>
  </si>
  <si>
    <t>http://callnow44.azurewebsites.net/Mer-cado/</t>
  </si>
  <si>
    <t>freecallcaresupport94.azurewebsites.net</t>
  </si>
  <si>
    <t>5f4aa3e6cd37a</t>
  </si>
  <si>
    <t>http://freecallcaresupport94.azurewebsites.net/vTUPHmw6mhDcMgT/</t>
  </si>
  <si>
    <t>freecallcaresupport74.azurewebsites.net</t>
  </si>
  <si>
    <t>5f4aa38b96f67</t>
  </si>
  <si>
    <t>http://freecallcaresupport74.azurewebsites.net/vTUPHmw6mhDcMgT/</t>
  </si>
  <si>
    <t>freecallcaresupport64.azurewebsites.net</t>
  </si>
  <si>
    <t>5f4aa35c5bb39</t>
  </si>
  <si>
    <t>http://freecallcaresupport64.azurewebsites.net/vTUPHmw6mhDcMgT/</t>
  </si>
  <si>
    <t>freecallcaresupport34.azurewebsites.net</t>
  </si>
  <si>
    <t>5f4aa2da93717</t>
  </si>
  <si>
    <t>http://freecallcaresupport34.azurewebsites.net/vTUPHmw6mhDcMgT/</t>
  </si>
  <si>
    <t>freemaintenance96.azurewebsites.net</t>
  </si>
  <si>
    <t>5f495e9c04e02</t>
  </si>
  <si>
    <t>http://freemaintenance96.azurewebsites.net/q5gCvYnz6kzKvgY/</t>
  </si>
  <si>
    <t>carefreesupport04.azurewebsites.net</t>
  </si>
  <si>
    <t>5f4800ef93811</t>
  </si>
  <si>
    <t>http://carefreesupport04.azurewebsites.net/vcCsfdvjFg4P5tp/index.html</t>
  </si>
  <si>
    <t>getfreesupport14.azurewebsites.net</t>
  </si>
  <si>
    <t>5f47a5fbbbf1a</t>
  </si>
  <si>
    <t>http://getfreesupport14.azurewebsites.net/Zcv6znVbFKDkXCy/</t>
  </si>
  <si>
    <t>getfreesupport164.azurewebsites.net</t>
  </si>
  <si>
    <t>5f47a15dadb55</t>
  </si>
  <si>
    <t>http://getfreesupport164.azurewebsites.net/atEdYhpx5ykF2Ru/</t>
  </si>
  <si>
    <t>computer54.azurewebsites.net</t>
  </si>
  <si>
    <t>5f479fea10753</t>
  </si>
  <si>
    <t>http://computer54.azurewebsites.net/Belle-Plaine/</t>
  </si>
  <si>
    <t>checkup84.azurewebsites.net</t>
  </si>
  <si>
    <t>5f4479db294af</t>
  </si>
  <si>
    <t>http://checkup84.azurewebsites.net/Kristy-Cortez/</t>
  </si>
  <si>
    <t>checkup24.azurewebsites.net</t>
  </si>
  <si>
    <t>5f4477049b7d5</t>
  </si>
  <si>
    <t>http://checkup24.azurewebsites.net/Kristy-Cortez/</t>
  </si>
  <si>
    <t>callnow-free17.azurewebsites.net</t>
  </si>
  <si>
    <t>5f44495ad2a09</t>
  </si>
  <si>
    <t>https://callnow-free17.azurewebsites.net/Cortez/</t>
  </si>
  <si>
    <t>freesupportservice33.azurewebsites.net</t>
  </si>
  <si>
    <t>5f44422fa1126</t>
  </si>
  <si>
    <t>https://freesupportservice33.azurewebsites.net/8sx3ztC96XSvHKs/</t>
  </si>
  <si>
    <t>freesupportservice47.azurewebsites.net</t>
  </si>
  <si>
    <t>5f444196cf8ba</t>
  </si>
  <si>
    <t>https://freesupportservice47.azurewebsites.net/8sx3ztC96XSvHKs/</t>
  </si>
  <si>
    <t>getfreesupport184.azurewebsites.net</t>
  </si>
  <si>
    <t>5f43e4e9940b6</t>
  </si>
  <si>
    <t>http://getfreesupport184.azurewebsites.net/gHBW7zFVGjwcrjr/</t>
  </si>
  <si>
    <t>callnow-free134.azurewebsites.net</t>
  </si>
  <si>
    <t>5f43e4c12028a</t>
  </si>
  <si>
    <t>http://callnow-free134.azurewebsites.net/S9M5QFaca7VkHSt/</t>
  </si>
  <si>
    <t>callnow-free147.azurewebsites.net</t>
  </si>
  <si>
    <t>5f43e3f89cdf7</t>
  </si>
  <si>
    <t>http://callnow-free147.azurewebsites.net/S9M5QFaca7VkHSt/index.html</t>
  </si>
  <si>
    <t>freemaintenance34.azurewebsites.net</t>
  </si>
  <si>
    <t>5f3d37c404a84</t>
  </si>
  <si>
    <t>http://freemaintenance34.azurewebsites.net/nhyh7sGqKS8bfqN/</t>
  </si>
  <si>
    <t>freemaintenance44.azurewebsites.net</t>
  </si>
  <si>
    <t>5f3d37bfb0c02</t>
  </si>
  <si>
    <t>http://freemaintenance44.azurewebsites.net/nhyh7sGqKS8bfqN/</t>
  </si>
  <si>
    <t>freemaintenance114.azurewebsites.net</t>
  </si>
  <si>
    <t>5f3d37ae88973</t>
  </si>
  <si>
    <t>http://freemaintenance114.azurewebsites.net/nhyh7sGqKS8bfqN/</t>
  </si>
  <si>
    <t>freemaintenance75.azurewebsites.net</t>
  </si>
  <si>
    <t>5f3cf9f569a50</t>
  </si>
  <si>
    <t>http://freemaintenance75.azurewebsites.net/q5gCvYnz6kzKvgY/</t>
  </si>
  <si>
    <t>checkup64.azurewebsites.net</t>
  </si>
  <si>
    <t>5f3be8427b3bc</t>
  </si>
  <si>
    <t>http://checkup64.azurewebsites.net/Mer-cado/</t>
  </si>
  <si>
    <t>computer24.azurewebsites.net</t>
  </si>
  <si>
    <t>5f30d436d4ad0</t>
  </si>
  <si>
    <t>http://computer24.azurewebsites.net/Kristy-Cortez/</t>
  </si>
  <si>
    <t>callnow-free34.azurewebsites.net</t>
  </si>
  <si>
    <t>5f30d3a1e190c</t>
  </si>
  <si>
    <t>http://callnow-free34.azurewebsites.net/Cortez/</t>
  </si>
  <si>
    <t>livequick-support097.azurewebsites.net</t>
  </si>
  <si>
    <t>40.112.243.2</t>
  </si>
  <si>
    <t>5faf39cb31b83</t>
  </si>
  <si>
    <t>http://livequick-support097.azurewebsites.net/JArbZ98cFQJapCA/</t>
  </si>
  <si>
    <t>quick-support272.azurewebsites.net</t>
  </si>
  <si>
    <t>5fa96e8510b91</t>
  </si>
  <si>
    <t>https://quick-support272.azurewebsites.net/VXJfzDqW2zqUqWz/</t>
  </si>
  <si>
    <t>helpbygeekexperts03.azurewebsites.net</t>
  </si>
  <si>
    <t>5f7de59c3e1cc</t>
  </si>
  <si>
    <t>https://helpbygeekexperts03.azurewebsites.net/7mXVCUNqjvYHSbG/</t>
  </si>
  <si>
    <t>livepchelpsupport22.azurewebsites.net</t>
  </si>
  <si>
    <t>5f776818836e1</t>
  </si>
  <si>
    <t>https://livepchelpsupport22.azurewebsites.net/4vKZdhngXmE9yHj</t>
  </si>
  <si>
    <t>liveonlinepchelp12.azurewebsites.net</t>
  </si>
  <si>
    <t>5f735e4b07a1d</t>
  </si>
  <si>
    <t>http://liveonlinepchelp12.azurewebsites.net/6Yeqm5nqUDDNFgk/</t>
  </si>
  <si>
    <t>onlinecomputersupport24.azurewebsites.net</t>
  </si>
  <si>
    <t>5f721f5b99048</t>
  </si>
  <si>
    <t>https://onlinecomputersupport24.azurewebsites.net/Kq8XSq5WNCgY68z/</t>
  </si>
  <si>
    <t>freecomputersupport70.azurewebsites.net</t>
  </si>
  <si>
    <t>5f6b114927a36</t>
  </si>
  <si>
    <t>https://freecomputersupport70.azurewebsites.net/PjY6bTgrEnuKddE/</t>
  </si>
  <si>
    <t>freecomputerhelp132.azurewebsites.net</t>
  </si>
  <si>
    <t>5f699e254d098</t>
  </si>
  <si>
    <t>https://freecomputerhelp132.azurewebsites.net/R7tcvkAFdAwS4B4</t>
  </si>
  <si>
    <t>freepchelpforum32.azurewebsites.net</t>
  </si>
  <si>
    <t>5f628859dc6af</t>
  </si>
  <si>
    <t>https://freepchelpforum32.azurewebsites.net/TxHTvPq9EFWfwjb/</t>
  </si>
  <si>
    <t>freepchelpforum12.azurewebsites.net</t>
  </si>
  <si>
    <t>5f6287e969924</t>
  </si>
  <si>
    <t>https://freepchelpforum12.azurewebsites.net/TxHTvPq9EFWfwjb/</t>
  </si>
  <si>
    <t>freepchelp102.azurewebsites.net</t>
  </si>
  <si>
    <t>5f6246dce8216</t>
  </si>
  <si>
    <t>https://freepchelp102.azurewebsites.net/TxHTvPq9EFWfwjb/</t>
  </si>
  <si>
    <t>freepchelp12.azurewebsites.net</t>
  </si>
  <si>
    <t>5f61c5ff8b48d</t>
  </si>
  <si>
    <t>https://freepchelp12.azurewebsites.net/ERDDrHjVfKbFJbQ/</t>
  </si>
  <si>
    <t>freepchelp51.azurewebsites.net</t>
  </si>
  <si>
    <t>5f61c59a2a0fd</t>
  </si>
  <si>
    <t>https://freepchelp51.azurewebsites.net/ERDDrHjVfKbFJbQ/</t>
  </si>
  <si>
    <t>callnow42.azurewebsites.net</t>
  </si>
  <si>
    <t>5f528674445bd</t>
  </si>
  <si>
    <t>http://callnow42.azurewebsites.net/Mer-cado/</t>
  </si>
  <si>
    <t>customerfreesupport92.azurewebsites.net</t>
  </si>
  <si>
    <t>5f4d5ba0a3d4d</t>
  </si>
  <si>
    <t>https://customerfreesupport92.azurewebsites.net/HNhGpB5gbMdVDyb/</t>
  </si>
  <si>
    <t>customerfreesupport42.azurewebsites.net</t>
  </si>
  <si>
    <t>5f4d5b02bd3c5</t>
  </si>
  <si>
    <t>https://customerfreesupport42.azurewebsites.net/HNhGpB5gbMdVDyb/</t>
  </si>
  <si>
    <t>callnow-free132.azurewebsites.net</t>
  </si>
  <si>
    <t>5f4c096bc81af</t>
  </si>
  <si>
    <t>http://callnow-free132.azurewebsites.net/S9M5QFaca7VkHSt/</t>
  </si>
  <si>
    <t>callnow-free92.azurewebsites.net</t>
  </si>
  <si>
    <t>5f4c08b1eba07</t>
  </si>
  <si>
    <t>http://callnow-free92.azurewebsites.net/S9M5QFaca7VkHSt/</t>
  </si>
  <si>
    <t>freesupportservice122.azurewebsites.net</t>
  </si>
  <si>
    <t>5f4ad8cef17ed</t>
  </si>
  <si>
    <t>http://freesupportservice122.azurewebsites.net/vcCsfdvjFg4P5tp/</t>
  </si>
  <si>
    <t>freecallcaresupport72.azurewebsites.net</t>
  </si>
  <si>
    <t>5f4aa38214a8b</t>
  </si>
  <si>
    <t>http://freecallcaresupport72.azurewebsites.net/vTUPHmw6mhDcMgT/</t>
  </si>
  <si>
    <t>getfreesupport160.azurewebsites.net</t>
  </si>
  <si>
    <t>5f4976783f993</t>
  </si>
  <si>
    <t>http://getfreesupport160.azurewebsites.net/gHBW7zFVGjwcrjr/</t>
  </si>
  <si>
    <t>customercaresupport172.azurewebsites.net</t>
  </si>
  <si>
    <t>5f494625a0738</t>
  </si>
  <si>
    <t>https://customercaresupport172.azurewebsites.net/HNhGpB5gbMdVDyb/</t>
  </si>
  <si>
    <t>freemaintenance16.azurewebsites.net</t>
  </si>
  <si>
    <t>5f48bc374771d</t>
  </si>
  <si>
    <t>http://freemaintenance16.azurewebsites.net/q5gCvYnz6kzKvgY/</t>
  </si>
  <si>
    <t>getfreesupport182.azurewebsites.net</t>
  </si>
  <si>
    <t>5f47d50cad4fc</t>
  </si>
  <si>
    <t>http://getfreesupport182.azurewebsites.net/atEdYhpx5ykF2Ru/</t>
  </si>
  <si>
    <t>checkup22.azurewebsites.net</t>
  </si>
  <si>
    <t>5f4476d91953b</t>
  </si>
  <si>
    <t>http://checkup22.azurewebsites.net/Kristy-Cortez/</t>
  </si>
  <si>
    <t>freesupportservice83.azurewebsites.net</t>
  </si>
  <si>
    <t>5f443f957adf9</t>
  </si>
  <si>
    <t>https://freesupportservice83.azurewebsites.net/8sx3ztC96XSvHKs/</t>
  </si>
  <si>
    <t>callnow-free32.azurewebsites.net</t>
  </si>
  <si>
    <t>5f30d3a70055e</t>
  </si>
  <si>
    <t>http://callnow-free32.azurewebsites.net/Cortez/</t>
  </si>
  <si>
    <t>helpbygeekexperts27.azurewebsites.net</t>
  </si>
  <si>
    <t>40.71.11.169</t>
  </si>
  <si>
    <t>5f7dfa79cef8c</t>
  </si>
  <si>
    <t>https://helpbygeekexperts27.azurewebsites.net/7mXVCUNqjvYHSbG/</t>
  </si>
  <si>
    <t>bestpchelpsupport17.azurewebsites.net</t>
  </si>
  <si>
    <t>5f778d0d6972a</t>
  </si>
  <si>
    <t>https://bestpchelpsupport17.azurewebsites.net/TZZsyhcrt2Wrbu9/</t>
  </si>
  <si>
    <t>livepcexpert57.azurewebsites.net</t>
  </si>
  <si>
    <t>5f76249926dc3</t>
  </si>
  <si>
    <t>https://livepcexpert57.azurewebsites.net/4vKZdhngXmE9yHj/</t>
  </si>
  <si>
    <t>livepchelpsupport49.azurewebsites.net</t>
  </si>
  <si>
    <t>5f7766c635fdc</t>
  </si>
  <si>
    <t>https://livepchelpsupport49.azurewebsites.net/4vKZdhngXmE9yHj/</t>
  </si>
  <si>
    <t>liveonlinepchelp07.azurewebsites.net</t>
  </si>
  <si>
    <t>5f735e0b7c82e</t>
  </si>
  <si>
    <t>http://liveonlinepchelp07.azurewebsites.net/6Yeqm5nqUDDNFgk/</t>
  </si>
  <si>
    <t>onlinecomputersupport34.azurewebsites.net</t>
  </si>
  <si>
    <t>5f722108ae79d</t>
  </si>
  <si>
    <t>https://onlinecomputersupport34.azurewebsites.net/Kq8XSq5WNCgY68z/</t>
  </si>
  <si>
    <t>freecomputerhelp59.azurewebsites.net</t>
  </si>
  <si>
    <t>5f699f0f9acb6</t>
  </si>
  <si>
    <t>https://freecomputerhelp59.azurewebsites.net/R7tcvkAFdAwS4B4</t>
  </si>
  <si>
    <t>freecomputerhelp167.azurewebsites.net</t>
  </si>
  <si>
    <t>5f699e88d0d56</t>
  </si>
  <si>
    <t>https://freecomputerhelp167.azurewebsites.net/R7tcvkAFdAwS4B4</t>
  </si>
  <si>
    <t>freecomputerhelp157.azurewebsites.net</t>
  </si>
  <si>
    <t>5f699e7427db4</t>
  </si>
  <si>
    <t>https://freecomputerhelp157.azurewebsites.net/R7tcvkAFdAwS4B4</t>
  </si>
  <si>
    <t>freecomputerhelp149.azurewebsites.net</t>
  </si>
  <si>
    <t>5f699e491ea01</t>
  </si>
  <si>
    <t>https://freecomputerhelp149.azurewebsites.net/R7tcvkAFdAwS4B4</t>
  </si>
  <si>
    <t>freepchelpforum47.azurewebsites.net</t>
  </si>
  <si>
    <t>5f6288ac9fe42</t>
  </si>
  <si>
    <t>https://freepchelpforum47.azurewebsites.net/TxHTvPq9EFWfwjb/</t>
  </si>
  <si>
    <t>freepchelpforum39.azurewebsites.net</t>
  </si>
  <si>
    <t>5f62887bcf93f</t>
  </si>
  <si>
    <t>https://freepchelpforum39.azurewebsites.net/TxHTvPq9EFWfwjb/</t>
  </si>
  <si>
    <t>freepchelpforum07.azurewebsites.net</t>
  </si>
  <si>
    <t>5f62881858f16</t>
  </si>
  <si>
    <t>https://freepchelpforum07.azurewebsites.net/TxHTvPq9EFWfwjb/</t>
  </si>
  <si>
    <t>5f61c543108f7</t>
  </si>
  <si>
    <t>https://freepchelp79.azurewebsites.net/ERDDrHjVfKbFJbQ/</t>
  </si>
  <si>
    <t>pconlinehelp77.azurewebsites.net</t>
  </si>
  <si>
    <t>5f5fd3ff70024</t>
  </si>
  <si>
    <t>https://pconlinehelp77.azurewebsites.net/ERDDrHjVfKbFJbQ/</t>
  </si>
  <si>
    <t>pchelpservices67.azurewebsites.net</t>
  </si>
  <si>
    <t>5f590d6973b6f</t>
  </si>
  <si>
    <t>https://pchelpservices67.azurewebsites.net/dawsonwhlerS7v/</t>
  </si>
  <si>
    <t>callnow98.azurewebsites.net</t>
  </si>
  <si>
    <t>5f5288e866fc6</t>
  </si>
  <si>
    <t>http://callnow98.azurewebsites.net/cado/</t>
  </si>
  <si>
    <t>freesupport88.azurewebsites.net</t>
  </si>
  <si>
    <t>5f4d5c4e96ce5</t>
  </si>
  <si>
    <t>http://freesupport88.azurewebsites.net/gHBW7zFVGjwcrjr/</t>
  </si>
  <si>
    <t>customerfreesupport87.azurewebsites.net</t>
  </si>
  <si>
    <t>5f4d5b8e84dc4</t>
  </si>
  <si>
    <t>https://customerfreesupport87.azurewebsites.net/HNhGpB5gbMdVDyb/</t>
  </si>
  <si>
    <t>5f4d5b8ac0fbb</t>
  </si>
  <si>
    <t>freesupport108.azurewebsites.net</t>
  </si>
  <si>
    <t>5f4c0e53e9e59</t>
  </si>
  <si>
    <t>http://freesupport108.azurewebsites.net/gHBW7zFVGjwcrjr/</t>
  </si>
  <si>
    <t>callnow-free100.azurewebsites.net</t>
  </si>
  <si>
    <t>5f4c08d63065c</t>
  </si>
  <si>
    <t>http://callnow-free100.azurewebsites.net/S9M5QFaca7VkHSt/</t>
  </si>
  <si>
    <t>freesupport11.azurewebsites.net</t>
  </si>
  <si>
    <t>5f4ae4f85e26d</t>
  </si>
  <si>
    <t>http://freesupport11.azurewebsites.net/gHBW7zFVGjwcrjr/</t>
  </si>
  <si>
    <t>callnow-free68.azurewebsites.net</t>
  </si>
  <si>
    <t>5f4ae44e8c555</t>
  </si>
  <si>
    <t>http://callnow-free68.azurewebsites.net/S9M5QFaca7VkHSt/</t>
  </si>
  <si>
    <t>freesupportservice137.azurewebsites.net</t>
  </si>
  <si>
    <t>5f4ad5f390fbf</t>
  </si>
  <si>
    <t>http://freesupportservice137.azurewebsites.net/vcCsfdvjFg4P5tp/</t>
  </si>
  <si>
    <t>freecallcaresupport79.azurewebsites.net</t>
  </si>
  <si>
    <t>5f4aa3a336344</t>
  </si>
  <si>
    <t>http://freecallcaresupport79.azurewebsites.net/vTUPHmw6mhDcMgT/</t>
  </si>
  <si>
    <t>customercaresupport87.azurewebsites.net</t>
  </si>
  <si>
    <t>5f4aa18b21b9c</t>
  </si>
  <si>
    <t>http://customercaresupport87.azurewebsites.net/vcCsfdvjFg4P5tp/</t>
  </si>
  <si>
    <t>getfreesupport128.azurewebsites.net</t>
  </si>
  <si>
    <t>5f4975d9861a3</t>
  </si>
  <si>
    <t>http://getfreesupport128.azurewebsites.net/gHBW7zFVGjwcrjr/</t>
  </si>
  <si>
    <t>getfreesupport108.azurewebsites.net</t>
  </si>
  <si>
    <t>5f497573d148e</t>
  </si>
  <si>
    <t>http://getfreesupport108.azurewebsites.net/gHBW7zFVGjwcrjr/</t>
  </si>
  <si>
    <t>freesupport128.azurewebsites.net</t>
  </si>
  <si>
    <t>5f4961e494e66</t>
  </si>
  <si>
    <t>http://freesupport128.azurewebsites.net/pb613cadhekan/</t>
  </si>
  <si>
    <t>customercaresupport187.azurewebsites.net</t>
  </si>
  <si>
    <t>5f4947707f8b3</t>
  </si>
  <si>
    <t>https://customercaresupport187.azurewebsites.net/HNhGpB5gbMdVDyb/</t>
  </si>
  <si>
    <t>5f49476ec501c</t>
  </si>
  <si>
    <t>carefreesupport17.azurewebsites.net</t>
  </si>
  <si>
    <t>5f480139dfc1a</t>
  </si>
  <si>
    <t>http://carefreesupport17.azurewebsites.net/vcCsfdvjFg4P5tp/index.html</t>
  </si>
  <si>
    <t>getfreesupport20.azurewebsites.net</t>
  </si>
  <si>
    <t>5f47a60577771</t>
  </si>
  <si>
    <t>http://getfreesupport20.azurewebsites.net/Zcv6znVbFKDkXCy/</t>
  </si>
  <si>
    <t>checkup48.azurewebsites.net</t>
  </si>
  <si>
    <t>5f44782e3e9ec</t>
  </si>
  <si>
    <t>http://checkup48.azurewebsites.net/Kristy-Cortez/</t>
  </si>
  <si>
    <t>getfreesupport70.azurewebsites.net</t>
  </si>
  <si>
    <t>5f444db6392bc</t>
  </si>
  <si>
    <t>https://getfreesupport70.azurewebsites.net/atEdYhpx5ykF2Ru/</t>
  </si>
  <si>
    <t>callnow-free58.azurewebsites.net</t>
  </si>
  <si>
    <t>5f444c6a9a840</t>
  </si>
  <si>
    <t>https://callnow-free58.azurewebsites.net/Cortez/</t>
  </si>
  <si>
    <t>callnow-free08.azurewebsites.net</t>
  </si>
  <si>
    <t>5f4448a8ca1fd</t>
  </si>
  <si>
    <t>https://callnow-free08.azurewebsites.net/Cortez/</t>
  </si>
  <si>
    <t>freesupportservice54.azurewebsites.net</t>
  </si>
  <si>
    <t>5f444135b0643</t>
  </si>
  <si>
    <t>https://freesupportservice54.azurewebsites.net/8sx3ztC96XSvHKs/</t>
  </si>
  <si>
    <t>freesupportservice77.azurewebsites.net</t>
  </si>
  <si>
    <t>5f443f2da6144</t>
  </si>
  <si>
    <t>https://freesupportservice77.azurewebsites.net/8sx3ztC96XSvHKs/</t>
  </si>
  <si>
    <t>computer98.azurewebsites.net</t>
  </si>
  <si>
    <t>5f30d790ad965</t>
  </si>
  <si>
    <t>http://computer98.azurewebsites.net/Belle-Plaine</t>
  </si>
  <si>
    <t>callnow-free40.azurewebsites.net</t>
  </si>
  <si>
    <t>5f30d3bf7221a</t>
  </si>
  <si>
    <t>http://callnow-free40.azurewebsites.net/Cortez/</t>
  </si>
  <si>
    <t>freecomputerhelp52.azurewebsites.net</t>
  </si>
  <si>
    <t>40.112.243.7</t>
  </si>
  <si>
    <t>5f699f196d920</t>
  </si>
  <si>
    <t>https://freecomputerhelp52.azurewebsites.net/R7tcvkAFdAwS4B4</t>
  </si>
  <si>
    <t>freecomputerhelp72.azurewebsites.net</t>
  </si>
  <si>
    <t>5f699eef5f733</t>
  </si>
  <si>
    <t>https://freecomputerhelp72.azurewebsites.net/R7tcvkAFdAwS4B4</t>
  </si>
  <si>
    <t>freecomputerhelp82.azurewebsites.net</t>
  </si>
  <si>
    <t>5f699edf3e9c8</t>
  </si>
  <si>
    <t>https://freecomputerhelp82.azurewebsites.net/R7tcvkAFdAwS4B4</t>
  </si>
  <si>
    <t>freecomputerhelp102.azurewebsites.net</t>
  </si>
  <si>
    <t>5f699de2b5c0a</t>
  </si>
  <si>
    <t>https://freecomputerhelp102.azurewebsites.net/R7tcvkAFdAwS4B4</t>
  </si>
  <si>
    <t>freepchelponline12.azurewebsites.net</t>
  </si>
  <si>
    <t>5f60fd2147d26</t>
  </si>
  <si>
    <t>https://freepchelponline12.azurewebsites.net/ERDDrHjVfKbFJbQ/</t>
  </si>
  <si>
    <t>pconlinehelp62.azurewebsites.net</t>
  </si>
  <si>
    <t>5f5fba25d3c91</t>
  </si>
  <si>
    <t>https://pconlinehelp62.azurewebsites.net/ERDDrHjVfKbFJbQ/</t>
  </si>
  <si>
    <t>pconlinehelp32.azurewebsites.net</t>
  </si>
  <si>
    <t>5f5fa04904abe</t>
  </si>
  <si>
    <t>https://pconlinehelp32.azurewebsites.net/ERDDrHjVfKbFJbQ/</t>
  </si>
  <si>
    <t>pchelpdesk51.azurewebsites.net</t>
  </si>
  <si>
    <t>5f5a58ecd92dc</t>
  </si>
  <si>
    <t>https://pchelpdesk51.azurewebsites.net/garretttanners7d/</t>
  </si>
  <si>
    <t>pchelpdesk32.azurewebsites.net</t>
  </si>
  <si>
    <t>5f5a586fc5b9c</t>
  </si>
  <si>
    <t>https://pchelpdesk32.azurewebsites.net/garretttanners7d/</t>
  </si>
  <si>
    <t>pchelpdesk62.azurewebsites.net</t>
  </si>
  <si>
    <t>5f5a5671b2d18</t>
  </si>
  <si>
    <t>https://pchelpdesk62.azurewebsites.net/garretttanners7d/</t>
  </si>
  <si>
    <t>pchelpservices92.azurewebsites.net</t>
  </si>
  <si>
    <t>5f5916d9eecc9</t>
  </si>
  <si>
    <t>https://pchelpservices92.azurewebsites.net/dawsonwhlerS7v/</t>
  </si>
  <si>
    <t>pchelpservices72.azurewebsites.net</t>
  </si>
  <si>
    <t>5f591690a2a33</t>
  </si>
  <si>
    <t>https://pchelpservices72.azurewebsites.net/dawsonwhlerS7v/</t>
  </si>
  <si>
    <t>pchelpsoft22.azurewebsites.net</t>
  </si>
  <si>
    <t>5f57c91069ecb</t>
  </si>
  <si>
    <t>http://pchelpsoft22.azurewebsites.net/Tk9xhaAV6AsWjBd//</t>
  </si>
  <si>
    <t>freesupport112.azurewebsites.net</t>
  </si>
  <si>
    <t>5f4c0e6786258</t>
  </si>
  <si>
    <t>http://freesupport112.azurewebsites.net/gHBW7zFVGjwcrjr/</t>
  </si>
  <si>
    <t>freesupportservice148.azurewebsites.net</t>
  </si>
  <si>
    <t>5f4ad92e56d94</t>
  </si>
  <si>
    <t>http://freesupportservice148.azurewebsites.net/vcCsfdvjFg4P5tp/</t>
  </si>
  <si>
    <t>freecallcaresupport62.azurewebsites.net</t>
  </si>
  <si>
    <t>5f4aa350b6523</t>
  </si>
  <si>
    <t>http://freecallcaresupport62.azurewebsites.net/vTUPHmw6mhDcMgT/</t>
  </si>
  <si>
    <t>freecallcaresupport32.azurewebsites.net</t>
  </si>
  <si>
    <t>5f4aa2d11efdd</t>
  </si>
  <si>
    <t>http://freecallcaresupport32.azurewebsites.net/vTUPHmw6mhDcMgT/</t>
  </si>
  <si>
    <t>getfreesupport112.azurewebsites.net</t>
  </si>
  <si>
    <t>5f497588839f2</t>
  </si>
  <si>
    <t>http://getfreesupport112.azurewebsites.net/gHBW7zFVGjwcrjr/</t>
  </si>
  <si>
    <t>freemaintenance73.azurewebsites.net</t>
  </si>
  <si>
    <t>5f495e3e59dc8</t>
  </si>
  <si>
    <t>http://freemaintenance73.azurewebsites.net/q5gCvYnz6kzKvgY/</t>
  </si>
  <si>
    <t>customercaresupport165.azurewebsites.net</t>
  </si>
  <si>
    <t>5f4946bcb11b3</t>
  </si>
  <si>
    <t>https://customercaresupport165.azurewebsites.net/HNhGpB5gbMdVDyb/</t>
  </si>
  <si>
    <t>carefreesupport02.azurewebsites.net</t>
  </si>
  <si>
    <t>5f4800f1d79a5</t>
  </si>
  <si>
    <t>http://carefreesupport02.azurewebsites.net/vcCsfdvjFg4P5tp/index.html</t>
  </si>
  <si>
    <t>getfreesupport12.azurewebsites.net</t>
  </si>
  <si>
    <t>5f47a5ea719d2</t>
  </si>
  <si>
    <t>http://getfreesupport12.azurewebsites.net/Zcv6znVbFKDkXCy/</t>
  </si>
  <si>
    <t>freesupportservice14.azurewebsites.net</t>
  </si>
  <si>
    <t>5f444308c81f9</t>
  </si>
  <si>
    <t>https://freesupportservice14.azurewebsites.net/8sx3ztC96XSvHKs/</t>
  </si>
  <si>
    <t>freesupportservice31.azurewebsites.net</t>
  </si>
  <si>
    <t>5f444247afc90</t>
  </si>
  <si>
    <t>https://freesupportservice31.azurewebsites.net/8sx3ztC96XSvHKs/</t>
  </si>
  <si>
    <t>checkup62.azurewebsites.net</t>
  </si>
  <si>
    <t>5f3163777fd19</t>
  </si>
  <si>
    <t>http://checkup62.azurewebsites.net/Mer-cado/</t>
  </si>
  <si>
    <t>computer22.azurewebsites.net</t>
  </si>
  <si>
    <t>5f30d42c71fda</t>
  </si>
  <si>
    <t>http://computer22.azurewebsites.net/Kristy-Cortez/</t>
  </si>
  <si>
    <t>5f30d42c2ca7a</t>
  </si>
  <si>
    <t>contrivance335.ml</t>
  </si>
  <si>
    <t>172.67.136.113</t>
  </si>
  <si>
    <t>5f368cca9e636</t>
  </si>
  <si>
    <t>https://contrivance335.ml/Call_Microsoft_windows_Helpline5212497/Dchfdfdfdfd777/</t>
  </si>
  <si>
    <t>apparatus404.ga</t>
  </si>
  <si>
    <t>104.27.190.187</t>
  </si>
  <si>
    <t>5f34d3ad13dba</t>
  </si>
  <si>
    <t>https://apparatus404.ga/Call_Microsoft_windows_Helpline2910184/Dchfdfdfdfd777/</t>
  </si>
  <si>
    <t>09insightsqwas.azurewebsites.net</t>
  </si>
  <si>
    <t>51.140.210.99</t>
  </si>
  <si>
    <t>60464f4095dd2</t>
  </si>
  <si>
    <t>https://09insightsqwas.azurewebsites.net/PAHDJ0SGJA844012CHXAGEODB100F/</t>
  </si>
  <si>
    <t>14onestopsupport.azurewebsites.net</t>
  </si>
  <si>
    <t>5ff741f0e766c</t>
  </si>
  <si>
    <t>https://14onestopsupport.azurewebsites.net/MicOSoCHPC017528240X00/</t>
  </si>
  <si>
    <t>quick-support284.azurewebsites.net</t>
  </si>
  <si>
    <t>5faf442fb673a</t>
  </si>
  <si>
    <t>http://quick-support284.azurewebsites.net/JArbZ98cFQJapCA/</t>
  </si>
  <si>
    <t>quick-support274.azurewebsites.net</t>
  </si>
  <si>
    <t>5faf43ff550db</t>
  </si>
  <si>
    <t>http://quick-support274.azurewebsites.net/JArbZ98cFQJapCA/</t>
  </si>
  <si>
    <t>livequick-support169.azurewebsites.net</t>
  </si>
  <si>
    <t>5faf3e6d78ec4</t>
  </si>
  <si>
    <t>http://livequick-support169.azurewebsites.net/JArbZ98cFQJapCA/</t>
  </si>
  <si>
    <t>livequick-support075.azurewebsites.net</t>
  </si>
  <si>
    <t>5faf395b77725</t>
  </si>
  <si>
    <t>http://livequick-support075.azurewebsites.net/JArbZ98cFQJapCA/</t>
  </si>
  <si>
    <t>livequick-support114.azurewebsites.net</t>
  </si>
  <si>
    <t>5faad805b30c3</t>
  </si>
  <si>
    <t>https://livequick-support114.azurewebsites.net/VXJfzDqW2zqUqWz/</t>
  </si>
  <si>
    <t>quick-support054.azurewebsites.net</t>
  </si>
  <si>
    <t>5fa438965c205</t>
  </si>
  <si>
    <t>https://quick-support054.azurewebsites.net/KZPnhPzq8R8jHBD/</t>
  </si>
  <si>
    <t>freequickpcsupport019.azurewebsites.net</t>
  </si>
  <si>
    <t>5f9c429565fde</t>
  </si>
  <si>
    <t>https://freequickpcsupport019.azurewebsites.net/gxDdcFJ5WdRaJjW/</t>
  </si>
  <si>
    <t>livehelpsupport104.azurewebsites.net</t>
  </si>
  <si>
    <t>5f74e8501755e</t>
  </si>
  <si>
    <t>http://livehelpsupport104.azurewebsites.net/P8fBTPd33cqy3WA/</t>
  </si>
  <si>
    <t>livepchelpsupport24.azurewebsites.net</t>
  </si>
  <si>
    <t>5f77681a448b5</t>
  </si>
  <si>
    <t>https://livepchelpsupport24.azurewebsites.net/4vKZdhngXmE9yHj</t>
  </si>
  <si>
    <t>liveonlinepchelp14.azurewebsites.net</t>
  </si>
  <si>
    <t>5f735e518228d</t>
  </si>
  <si>
    <t>http://liveonlinepchelp14.azurewebsites.net/6Yeqm5nqUDDNFgk/</t>
  </si>
  <si>
    <t>onlinecomputersupport54.azurewebsites.net</t>
  </si>
  <si>
    <t>5f72211f71835</t>
  </si>
  <si>
    <t>https://onlinecomputersupport54.azurewebsites.net/Kq8XSq5WNCgY68z/</t>
  </si>
  <si>
    <t>onlinecomputersupport22.azurewebsites.net</t>
  </si>
  <si>
    <t>5f721f5525d36</t>
  </si>
  <si>
    <t>https://onlinecomputersupport22.azurewebsites.net/Kq8XSq5WNCgY68z/</t>
  </si>
  <si>
    <t>freepchelp184.azurewebsites.net</t>
  </si>
  <si>
    <t>5f6e47e12ec38</t>
  </si>
  <si>
    <t>https://freepchelp184.azurewebsites.net/uGM5D6wZ9V5J5RY/</t>
  </si>
  <si>
    <t>freecomputersupport24.azurewebsites.net</t>
  </si>
  <si>
    <t>5f6a3ccde0de0</t>
  </si>
  <si>
    <t>https://freecomputersupport24.azurewebsites.net/PjY6bTgrEnuKddE/</t>
  </si>
  <si>
    <t>freecomputerhelp54.azurewebsites.net</t>
  </si>
  <si>
    <t>5f699f173c113</t>
  </si>
  <si>
    <t>https://freecomputerhelp54.azurewebsites.net/R7tcvkAFdAwS4B4</t>
  </si>
  <si>
    <t>freecomputerhelp84.azurewebsites.net</t>
  </si>
  <si>
    <t>5f699ed52238a</t>
  </si>
  <si>
    <t>https://freecomputerhelp84.azurewebsites.net/R7tcvkAFdAwS4B4</t>
  </si>
  <si>
    <t>freecomputerhelp34.azurewebsites.net</t>
  </si>
  <si>
    <t>5f68d71e194d0</t>
  </si>
  <si>
    <t>https://freecomputerhelp34.azurewebsites.net/R7tcvkAFdAwS4B4/</t>
  </si>
  <si>
    <t>freepchelpforum34.azurewebsites.net</t>
  </si>
  <si>
    <t>5f62885f5063e</t>
  </si>
  <si>
    <t>https://freepchelpforum34.azurewebsites.net/TxHTvPq9EFWfwjb/</t>
  </si>
  <si>
    <t>freepchelpforum14.azurewebsites.net</t>
  </si>
  <si>
    <t>5f6287eea74c4</t>
  </si>
  <si>
    <t>https://freepchelpforum14.azurewebsites.net/TxHTvPq9EFWfwjb/</t>
  </si>
  <si>
    <t>freepchelp44.azurewebsites.net</t>
  </si>
  <si>
    <t>5f61c5ae7bd4d</t>
  </si>
  <si>
    <t>https://freepchelp44.azurewebsites.net/ERDDrHjVfKbFJbQ/</t>
  </si>
  <si>
    <t>freepchelp74.azurewebsites.net</t>
  </si>
  <si>
    <t>5f61c54ab919c</t>
  </si>
  <si>
    <t>https://freepchelp74.azurewebsites.net/ERDDrHjVfKbFJbQ/</t>
  </si>
  <si>
    <t>pconlinehelp134.azurewebsites.net</t>
  </si>
  <si>
    <t>5f60794b2db4a</t>
  </si>
  <si>
    <t>https://pconlinehelp134.azurewebsites.net/ERDDrHjVfKbFJbQ/</t>
  </si>
  <si>
    <t>pchelpdesk53.azurewebsites.net</t>
  </si>
  <si>
    <t>5f5a58f9b0983</t>
  </si>
  <si>
    <t>https://pchelpdesk53.azurewebsites.net/garretttanners7d/</t>
  </si>
  <si>
    <t>pchelpdesk14.azurewebsites.net</t>
  </si>
  <si>
    <t>5f5a57f9539a5</t>
  </si>
  <si>
    <t>https://pchelpdesk14.azurewebsites.net/garretttanners7d/</t>
  </si>
  <si>
    <t>pchelpservices54.azurewebsites.net</t>
  </si>
  <si>
    <t>5f590d39b20d7</t>
  </si>
  <si>
    <t>https://pchelpservices54.azurewebsites.net/dawsonwhlerS7v/</t>
  </si>
  <si>
    <t>pchelpservices14.azurewebsites.net</t>
  </si>
  <si>
    <t>5f57ecf0f392f</t>
  </si>
  <si>
    <t>https://pchelpservices14.azurewebsites.net/avfFeTpfJfSPuPx/</t>
  </si>
  <si>
    <t>pchelpsoft24.azurewebsites.net</t>
  </si>
  <si>
    <t>5f57c91990a53</t>
  </si>
  <si>
    <t>http://pchelpsoft24.azurewebsites.net/Tk9xhaAV6AsWjBd//</t>
  </si>
  <si>
    <t>pchelpsoft54.azurewebsites.net</t>
  </si>
  <si>
    <t>5f57b7fb1fe4a</t>
  </si>
  <si>
    <t>http://pchelpsoft54.azurewebsites.net/Tk9xhaAV6AsWjBd/</t>
  </si>
  <si>
    <t>pchelpsoft04.azurewebsites.net</t>
  </si>
  <si>
    <t>5f57b7ec03156</t>
  </si>
  <si>
    <t>http://pchelpsoft04.azurewebsites.net/Tk9xhaAV6AsWjBd/</t>
  </si>
  <si>
    <t>callnow24.azurewebsites.net</t>
  </si>
  <si>
    <t>5f52861f27562</t>
  </si>
  <si>
    <t>http://callnow24.azurewebsites.net/Mer-cado/</t>
  </si>
  <si>
    <t>customerfreesupport94.azurewebsites.net</t>
  </si>
  <si>
    <t>5f4d5bb83e3f6</t>
  </si>
  <si>
    <t>https://customerfreesupport94.azurewebsites.net/HNhGpB5gbMdVDyb/</t>
  </si>
  <si>
    <t>customerfreesupport58.azurewebsites.net</t>
  </si>
  <si>
    <t>5f4d5b68dd4fc</t>
  </si>
  <si>
    <t>https://customerfreesupport58.azurewebsites.net/HNhGpB5gbMdVDyb/</t>
  </si>
  <si>
    <t>freesupport114.azurewebsites.net</t>
  </si>
  <si>
    <t>5f4c0e70ac0ea</t>
  </si>
  <si>
    <t>http://freesupport114.azurewebsites.net/gHBW7zFVGjwcrjr/</t>
  </si>
  <si>
    <t>freesupport94.azurewebsites.net</t>
  </si>
  <si>
    <t>5f4c0e165a738</t>
  </si>
  <si>
    <t>http://freesupport94.azurewebsites.net/gHBW7zFVGjwcrjr/</t>
  </si>
  <si>
    <t>callnow-free114.azurewebsites.net</t>
  </si>
  <si>
    <t>5f4c0917b02eb</t>
  </si>
  <si>
    <t>http://callnow-free114.azurewebsites.net/S9M5QFaca7VkHSt/</t>
  </si>
  <si>
    <t>callnow-free94.azurewebsites.net</t>
  </si>
  <si>
    <t>5f4c08bae046d</t>
  </si>
  <si>
    <t>http://callnow-free94.azurewebsites.net/S9M5QFaca7VkHSt/</t>
  </si>
  <si>
    <t>freesupport17.azurewebsites.net</t>
  </si>
  <si>
    <t>5f4ae526bcfb7</t>
  </si>
  <si>
    <t>http://freesupport17.azurewebsites.net/gHBW7zFVGjwcrjr/</t>
  </si>
  <si>
    <t>freesupportservice146.azurewebsites.net</t>
  </si>
  <si>
    <t>5f4ad92732e86</t>
  </si>
  <si>
    <t>http://freesupportservice146.azurewebsites.net/vcCsfdvjFg4P5tp/</t>
  </si>
  <si>
    <t>freesupportservice124.azurewebsites.net</t>
  </si>
  <si>
    <t>5f4ad8d60554c</t>
  </si>
  <si>
    <t>http://freesupportservice124.azurewebsites.net/vcCsfdvjFg4P5tp/</t>
  </si>
  <si>
    <t>freecallcaresupport14.azurewebsites.net</t>
  </si>
  <si>
    <t>5f4aa27e7466f</t>
  </si>
  <si>
    <t>http://freecallcaresupport14.azurewebsites.net/vTUPHmw6mhDcMgT/</t>
  </si>
  <si>
    <t>getfreesupport114.azurewebsites.net</t>
  </si>
  <si>
    <t>5f49759263d64</t>
  </si>
  <si>
    <t>http://getfreesupport114.azurewebsites.net/gHBW7zFVGjwcrjr/</t>
  </si>
  <si>
    <t>customercaresupport174.azurewebsites.net</t>
  </si>
  <si>
    <t>5f4946303e186</t>
  </si>
  <si>
    <t>https://customercaresupport174.azurewebsites.net/HNhGpB5gbMdVDyb/</t>
  </si>
  <si>
    <t>freemaintenance14.azurewebsites.net</t>
  </si>
  <si>
    <t>5f48b969bb03c</t>
  </si>
  <si>
    <t>http://freemaintenance14.azurewebsites.net/q5gCvYnz6kzKvgY/</t>
  </si>
  <si>
    <t>checkup94.azurewebsites.net</t>
  </si>
  <si>
    <t>5f447a2baba8f</t>
  </si>
  <si>
    <t>http://checkup94.azurewebsites.net/Kristy-Cortez/</t>
  </si>
  <si>
    <t>getfreesupport64.azurewebsites.net</t>
  </si>
  <si>
    <t>5f4450a10869f</t>
  </si>
  <si>
    <t>https://getfreesupport64.azurewebsites.net/atEdYhpx5ykF2Ru/</t>
  </si>
  <si>
    <t>freesupportservice12.azurewebsites.net</t>
  </si>
  <si>
    <t>5f44431e6f607</t>
  </si>
  <si>
    <t>https://freesupportservice12.azurewebsites.net/8sx3ztC96XSvHKs/</t>
  </si>
  <si>
    <t>freesupportservice97.azurewebsites.net</t>
  </si>
  <si>
    <t>5f44404678103</t>
  </si>
  <si>
    <t>https://freesupportservice97.azurewebsites.net/8sx3ztC96XSvHKs/</t>
  </si>
  <si>
    <t>freesupportservice81.azurewebsites.net</t>
  </si>
  <si>
    <t>5f443f65e8e08</t>
  </si>
  <si>
    <t>https://freesupportservice81.azurewebsites.net/8sx3ztC96XSvHKs/</t>
  </si>
  <si>
    <t>computer46.azurewebsites.net</t>
  </si>
  <si>
    <t>5f424d0f0c4ed</t>
  </si>
  <si>
    <t>http://computer46.azurewebsites.net/Belle-Plaine/</t>
  </si>
  <si>
    <t>computer104.azurewebsites.net</t>
  </si>
  <si>
    <t>5f30d7674f258</t>
  </si>
  <si>
    <t>http://computer104.azurewebsites.net/Belle-Plaine</t>
  </si>
  <si>
    <t>03messxsdw.azurewebsites.net</t>
  </si>
  <si>
    <t>13.77.50.99</t>
  </si>
  <si>
    <t>60dca46bdc349</t>
  </si>
  <si>
    <t>https://03messxsdw.azurewebsites.net/W088MSi08880Moit0yCED0008Mhi0/index.html</t>
  </si>
  <si>
    <t>19messyujh.azurewebsites.net</t>
  </si>
  <si>
    <t>60db513d3e30d</t>
  </si>
  <si>
    <t>https://19messyujh.azurewebsites.net/W088MSi08880Moit0yCED0008Mhi0/index.html</t>
  </si>
  <si>
    <t>60tinynhjg.azurewebsites.net</t>
  </si>
  <si>
    <t>60d21ac349334</t>
  </si>
  <si>
    <t>https://60tinynhjg.azurewebsites.net/W088MSi08880Moit0yCED0008Mhi0/index.html</t>
  </si>
  <si>
    <t>64teamasdf.azurewebsites.net</t>
  </si>
  <si>
    <t>60d0e8c711284</t>
  </si>
  <si>
    <t>https://64teamasdf.azurewebsites.net/W088MSi08880Moit0yCED0008Mhi0/index.html</t>
  </si>
  <si>
    <t>42teamujki.azurewebsites.net</t>
  </si>
  <si>
    <t>60d0e0437bd0c</t>
  </si>
  <si>
    <t>https://42teamujki.azurewebsites.net/W088MSi08880Moit0yCED0008Mhi0/index.html</t>
  </si>
  <si>
    <t>35teamqwas.azurewebsites.net</t>
  </si>
  <si>
    <t>60d0dd275d366</t>
  </si>
  <si>
    <t>https://35teamqwas.azurewebsites.net/W088MSi08880Moit0yCED0008Mhi0/index.html</t>
  </si>
  <si>
    <t>19torronqasw.azurewebsites.net</t>
  </si>
  <si>
    <t>60d0d2963e08d</t>
  </si>
  <si>
    <t>https://19torronqasw.azurewebsites.net/W088MSi08880Moit0yCED0008Mhi0/index.html</t>
  </si>
  <si>
    <t>06threptqwsd.azurewebsites.net</t>
  </si>
  <si>
    <t>60ccc24670673</t>
  </si>
  <si>
    <t>https://06threptqwsd.azurewebsites.net/W088MSi08880Moit0yCED0008Mhi0/index.html</t>
  </si>
  <si>
    <t>03torronqwas.azurewebsites.net</t>
  </si>
  <si>
    <t>60cb89e06ca32</t>
  </si>
  <si>
    <t>https://03torronqwas.azurewebsites.net/W088MSi08880Moit0yCED0008Mhi0/index.html</t>
  </si>
  <si>
    <t>47tinyasdc.azurewebsites.net</t>
  </si>
  <si>
    <t>60cb800f54c81</t>
  </si>
  <si>
    <t>https://47tinyasdc.azurewebsites.net/W088MSi08880Moit0yCED0008Mhi0/index.html</t>
  </si>
  <si>
    <t>35tinyasdx.azurewebsites.net</t>
  </si>
  <si>
    <t>60cb79c35018b</t>
  </si>
  <si>
    <t>https://35tinyasdx.azurewebsites.net/W088MSi08880Moit0yCED0008Mhi0/index.html</t>
  </si>
  <si>
    <t>27torronqasz.azurewebsites.net</t>
  </si>
  <si>
    <t>60ca44375c79d</t>
  </si>
  <si>
    <t>https://27torronqasz.azurewebsites.net/W088MSi08880Moit0yMA0008Mhi0/index.html</t>
  </si>
  <si>
    <t>20torronasdx.azurewebsites.net</t>
  </si>
  <si>
    <t>60ca4040eefc6</t>
  </si>
  <si>
    <t>https://20torronasdx.azurewebsites.net/W088MSi08880Moit0yCED0008Mhi0/index.html</t>
  </si>
  <si>
    <t>17torronasdx.azurewebsites.net</t>
  </si>
  <si>
    <t>60ca3ea48b735</t>
  </si>
  <si>
    <t>https://17torronasdx.azurewebsites.net/W088MSi08880Moit0yCH0008Mhi0/index.html</t>
  </si>
  <si>
    <t>10torronujkm.azurewebsites.net</t>
  </si>
  <si>
    <t>60ca3b11a20b9</t>
  </si>
  <si>
    <t>https://10torronujkm.azurewebsites.net/W088MSi08880Moit0yCH0008Mhi0/index.html</t>
  </si>
  <si>
    <t>33poltasdx.azurewebsites.net</t>
  </si>
  <si>
    <t>60c28008ee39d</t>
  </si>
  <si>
    <t>https://33poltasdx.azurewebsites.net/W088MSi08880Moit0yCED0008Mhi0/index.html</t>
  </si>
  <si>
    <t>25tinyureqwas.azurewebsites.net</t>
  </si>
  <si>
    <t>60c27bc72369f</t>
  </si>
  <si>
    <t>https://25tinyureqwas.azurewebsites.net/W088MSi08880Moit0yCH0008Mhi0/index.html</t>
  </si>
  <si>
    <t>07tinyureqwas.azurewebsites.net</t>
  </si>
  <si>
    <t>60c2702a999b3</t>
  </si>
  <si>
    <t>https://07tinyureqwas.azurewebsites.net/W088MSi08880Moit0yCH0008Mhi0/index.html</t>
  </si>
  <si>
    <t>05tinyureqwas.azurewebsites.net</t>
  </si>
  <si>
    <t>60c26e0436f15</t>
  </si>
  <si>
    <t>https://05tinyureqwas.azurewebsites.net/W088MSi08880Moit0yCH0008Mhi0/index.html</t>
  </si>
  <si>
    <t>02tinyuretyhu.azurewebsites.net</t>
  </si>
  <si>
    <t>60c26c8dbb0b9</t>
  </si>
  <si>
    <t>https://02tinyuretyhu.azurewebsites.net/W088MSi08880Moit0yCED0008Mhi0/index.html</t>
  </si>
  <si>
    <t>09isgerfde.azurewebsites.net</t>
  </si>
  <si>
    <t>60bf99fa66a6a</t>
  </si>
  <si>
    <t>https://09isgerfde.azurewebsites.net/W088MSi08880Moit0yCED0008Mhi0/index.html</t>
  </si>
  <si>
    <t>38buffleyhgt.azurewebsites.net</t>
  </si>
  <si>
    <t>60b917b0bf16b</t>
  </si>
  <si>
    <t>https://38buffleyhgt.azurewebsites.net/W088MSi08880Moit0yCED0008Mhi0/index.html</t>
  </si>
  <si>
    <t>37buffleyhgt.azurewebsites.net</t>
  </si>
  <si>
    <t>60b9178b12eb6</t>
  </si>
  <si>
    <t>https://37buffleyhgt.azurewebsites.net/W088MSi08880Moit0yCED0008Mhi0/index.html</t>
  </si>
  <si>
    <t>27buffleaszx.azurewebsites.net</t>
  </si>
  <si>
    <t>60b90fe83b44e</t>
  </si>
  <si>
    <t>https://27buffleaszx.azurewebsites.net/W088MSi08880Moit0yMA0008Mhi0/index.html</t>
  </si>
  <si>
    <t>34usledfvg.azurewebsites.net</t>
  </si>
  <si>
    <t>60b7de1c28012</t>
  </si>
  <si>
    <t>https://34usledfvg.azurewebsites.net/W088MSi08880Moit0yCH0008Mhi0/index.html</t>
  </si>
  <si>
    <t>32usleedsx.azurewebsites.net</t>
  </si>
  <si>
    <t>60b7dd5e5f9fa</t>
  </si>
  <si>
    <t>https://32usleedsx.azurewebsites.net/W088MSi08880Moit0yCH0008Mhi0/index.html</t>
  </si>
  <si>
    <t>11uslecdfe.azurewebsites.net</t>
  </si>
  <si>
    <t>60b7d1ed9ec7e</t>
  </si>
  <si>
    <t>https://11uslecdfe.azurewebsites.net/W088MSi08880Moit0yCH0008Mhi0/index.html</t>
  </si>
  <si>
    <t>13hootetygh.azurewebsites.net</t>
  </si>
  <si>
    <t>60b7c76c80ac6</t>
  </si>
  <si>
    <t>https://13hootetygh.azurewebsites.net/W088MSi08880Moit0yCH0008Mhi0/index.html</t>
  </si>
  <si>
    <t>31buffleyhgt.azurewebsites.net</t>
  </si>
  <si>
    <t>60b7c370a473c</t>
  </si>
  <si>
    <t>https://31buffleyhgt.azurewebsites.net/W088MSi08880Moit0yMA0008Mhi0/index.html</t>
  </si>
  <si>
    <t>14rebrandlerfdc.azurewebsites.net</t>
  </si>
  <si>
    <t>60afdd705cd2e</t>
  </si>
  <si>
    <t>https://14rebrandlerfdc.azurewebsites.net/W088MSi08880Moit0yCED0008Mhi0/index.html</t>
  </si>
  <si>
    <t>49osteoerde.azurewebsites.net</t>
  </si>
  <si>
    <t>60a69d234b1b1</t>
  </si>
  <si>
    <t>https://49osteoerde.azurewebsites.net/ERRWINIn01MSi0XXiUIMAC0MXGRAPHIC/index.html</t>
  </si>
  <si>
    <t>37osteortfg.azurewebsites.net</t>
  </si>
  <si>
    <t>60a6952cb8d53</t>
  </si>
  <si>
    <t>https://37osteortfg.azurewebsites.net/ERRWINIn01MSi0XXiUIMAC0MXGRAPHIC/index.html</t>
  </si>
  <si>
    <t>02thinqwsd.azurewebsites.net</t>
  </si>
  <si>
    <t>60a6c6c643b54</t>
  </si>
  <si>
    <t>https://02thinqwsd.azurewebsites.net/ERRWINIn01MSi0XXiUIMAC0MXGRAPHIC/index.html</t>
  </si>
  <si>
    <t>32bitcazsq.azurewebsites.net</t>
  </si>
  <si>
    <t>60a566585b6e8</t>
  </si>
  <si>
    <t>https://32bitcazsq.azurewebsites.net/ERRWINIn01MSi0XXiUICH0MXGRAPHIC/index.html</t>
  </si>
  <si>
    <t>28bitcrtfg.azurewebsites.net</t>
  </si>
  <si>
    <t>60a55dce89185</t>
  </si>
  <si>
    <t>https://28bitcrtfg.azurewebsites.net/ERRWINIn01MSi0XXiUIEDG0MXGRAPHIC/index.html</t>
  </si>
  <si>
    <t>22bitcyhjm.azurewebsites.net</t>
  </si>
  <si>
    <t>60a5594110800</t>
  </si>
  <si>
    <t>https://22bitcyhjm.azurewebsites.net/ERRWINIn01MSi0XXiUICH0MXGRAPHIC/index.html</t>
  </si>
  <si>
    <t>40manage-resultsqazx.azurewebsites.net</t>
  </si>
  <si>
    <t>6047ce0d4ca03</t>
  </si>
  <si>
    <t>https://40manage-resultsqazx.azurewebsites.net/PAHDJ0SGJA844012CHXAGEODB100F/</t>
  </si>
  <si>
    <t>18scan-resultsikol.azurewebsites.net</t>
  </si>
  <si>
    <t>60467dd3ae263</t>
  </si>
  <si>
    <t>https://18scan-resultsikol.azurewebsites.net/PAHDJ0SGJA844012CHXAGEODB100F/</t>
  </si>
  <si>
    <t>14getconnected.azurewebsites.net</t>
  </si>
  <si>
    <t>60259dc0adbcd</t>
  </si>
  <si>
    <t>https://14getconnected.azurewebsites.net/MicOSoEDPC017528240X00/</t>
  </si>
  <si>
    <t>getsyourpcfixed-64dfvdxfvdvdv.azurewebsites.net</t>
  </si>
  <si>
    <t>6019ae13a17ed</t>
  </si>
  <si>
    <t>https://getsyourpcfixed-64dfvdxfvdvdv.azurewebsites.net/MicOSoEDPC017528240X00/</t>
  </si>
  <si>
    <t>getsyourpcfixed-18gffdgdfgdgd.azurewebsites.net</t>
  </si>
  <si>
    <t>60198ecccec23</t>
  </si>
  <si>
    <t>https://getsyourpcfixed-18gffdgdfgdgd.azurewebsites.net/MicOSoEDPC017528240X00/</t>
  </si>
  <si>
    <t>39-getyourpcfixedfghfhfhff.azurewebsites.net</t>
  </si>
  <si>
    <t>601849e225649</t>
  </si>
  <si>
    <t>https://39-getyourpcfixedfghfhfhff.azurewebsites.net/MicOSoCHPC017528240X00/</t>
  </si>
  <si>
    <t>03-getyourpcfixedfghfhfhf.azurewebsites.net</t>
  </si>
  <si>
    <t>601451e12dbd9</t>
  </si>
  <si>
    <t>https://03-getyourpcfixedfghfhfhf.azurewebsites.net/MicOSoMACPC017528240X00/</t>
  </si>
  <si>
    <t>getyourpcfixed503etyetyeyey.azurewebsites.net</t>
  </si>
  <si>
    <t>60131955c0505</t>
  </si>
  <si>
    <t>https://getyourpcfixed503etyetyeyey.azurewebsites.net/MicOSoCHPC017528240X00/</t>
  </si>
  <si>
    <t>43-geek-support.azurewebsites.net</t>
  </si>
  <si>
    <t>5fd7a94d2d252</t>
  </si>
  <si>
    <t>https://43-geek-support.azurewebsites.net/Wind0HelEDGSyS06016552664/</t>
  </si>
  <si>
    <t>quick-support280.azurewebsites.net</t>
  </si>
  <si>
    <t>5faf441cbc8fe</t>
  </si>
  <si>
    <t>http://quick-support280.azurewebsites.net/JArbZ98cFQJapCA/</t>
  </si>
  <si>
    <t>livequick-support143.azurewebsites.net</t>
  </si>
  <si>
    <t>5faf3deeb1dd3</t>
  </si>
  <si>
    <t>http://livequick-support143.azurewebsites.net/JArbZ98cFQJapCA/</t>
  </si>
  <si>
    <t>livequick-support103.azurewebsites.net</t>
  </si>
  <si>
    <t>5faf3d331f96f</t>
  </si>
  <si>
    <t>http://livequick-support103.azurewebsites.net/JArbZ98cFQJapCA/</t>
  </si>
  <si>
    <t>livequick-support093.azurewebsites.net</t>
  </si>
  <si>
    <t>5faf39b88a094</t>
  </si>
  <si>
    <t>http://livequick-support093.azurewebsites.net/JArbZ98cFQJapCA/</t>
  </si>
  <si>
    <t>livequick-support078.azurewebsites.net</t>
  </si>
  <si>
    <t>5faf396b36227</t>
  </si>
  <si>
    <t>http://livequick-support078.azurewebsites.net/JArbZ98cFQJapCA/</t>
  </si>
  <si>
    <t>livequick-support003.azurewebsites.net</t>
  </si>
  <si>
    <t>5fa97bbf397cf</t>
  </si>
  <si>
    <t>https://livequick-support003.azurewebsites.net/VXJfzDqW2zqUqWz/</t>
  </si>
  <si>
    <t>quick-support093.azurewebsites.net</t>
  </si>
  <si>
    <t>5fa43e873468f</t>
  </si>
  <si>
    <t>https://quick-support093.azurewebsites.net/KZPnhPzq8R8jHBD/</t>
  </si>
  <si>
    <t>quick-support063.azurewebsites.net</t>
  </si>
  <si>
    <t>5fa439506e713</t>
  </si>
  <si>
    <t>https://quick-support063.azurewebsites.net/KZPnhPzq8R8jHBD/</t>
  </si>
  <si>
    <t>freequickssupports013.azurewebsites.net</t>
  </si>
  <si>
    <t>5f970c81482ac</t>
  </si>
  <si>
    <t>https://freequickssupports013.azurewebsites.net/9GMEFgvzgTaEgPD/</t>
  </si>
  <si>
    <t>liveonlinepchelp03.azurewebsites.net</t>
  </si>
  <si>
    <t>5f735dfeaf223</t>
  </si>
  <si>
    <t>http://liveonlinepchelp03.azurewebsites.net/6Yeqm5nqUDDNFgk/</t>
  </si>
  <si>
    <t>freepchelp193.azurewebsites.net</t>
  </si>
  <si>
    <t>5f6e49b9b7ef7</t>
  </si>
  <si>
    <t>https://freepchelp193.azurewebsites.net/uGM5D6wZ9V5J5RY/</t>
  </si>
  <si>
    <t>5f6d8fd3e8ecb</t>
  </si>
  <si>
    <t>https://freepchelp83.azurewebsites.net/qbNJp4SCuce6BQh/</t>
  </si>
  <si>
    <t>5f6ccb20d396e</t>
  </si>
  <si>
    <t>https://freepchelp44.azurewebsites.net/Kq8XSq5WNCgY68z/</t>
  </si>
  <si>
    <t>freecomputersupport03.azurewebsites.net</t>
  </si>
  <si>
    <t>5f6a3d01acc8e</t>
  </si>
  <si>
    <t>https://freecomputersupport03.azurewebsites.net/PjY6bTgrEnuKddE/</t>
  </si>
  <si>
    <t>freecomputersupport13.azurewebsites.net</t>
  </si>
  <si>
    <t>5f6a35669585a</t>
  </si>
  <si>
    <t>https://freecomputersupport13.azurewebsites.net/qyJ5k3EAgMS8xqX/</t>
  </si>
  <si>
    <t>freecomputerhelp93.azurewebsites.net</t>
  </si>
  <si>
    <t>5f699eb95581a</t>
  </si>
  <si>
    <t>https://freecomputerhelp93.azurewebsites.net/R7tcvkAFdAwS4B4</t>
  </si>
  <si>
    <t>freecomputerhelp153.azurewebsites.net</t>
  </si>
  <si>
    <t>5f699e6e0054c</t>
  </si>
  <si>
    <t>https://freecomputerhelp153.azurewebsites.net/R7tcvkAFdAwS4B4</t>
  </si>
  <si>
    <t>freecomputerhelp123.azurewebsites.net</t>
  </si>
  <si>
    <t>5f699e14873fe</t>
  </si>
  <si>
    <t>https://freecomputerhelp123.azurewebsites.net/R7tcvkAFdAwS4B4</t>
  </si>
  <si>
    <t>freecomputerhelp113.azurewebsites.net</t>
  </si>
  <si>
    <t>5f699df7d0de5</t>
  </si>
  <si>
    <t>https://freecomputerhelp113.azurewebsites.net/R7tcvkAFdAwS4B4</t>
  </si>
  <si>
    <t>freepchelpforum43.azurewebsites.net</t>
  </si>
  <si>
    <t>5f628894e4ff1</t>
  </si>
  <si>
    <t>https://freepchelpforum43.azurewebsites.net/TxHTvPq9EFWfwjb/</t>
  </si>
  <si>
    <t>freepchelpforum03.azurewebsites.net</t>
  </si>
  <si>
    <t>5f62880232d63</t>
  </si>
  <si>
    <t>https://freepchelpforum03.azurewebsites.net/TxHTvPq9EFWfwjb/</t>
  </si>
  <si>
    <t>freepchelp93.azurewebsites.net</t>
  </si>
  <si>
    <t>5f6246f64fb5b</t>
  </si>
  <si>
    <t>https://freepchelp93.azurewebsites.net/TxHTvPq9EFWfwjb/</t>
  </si>
  <si>
    <t>freepchelp63.azurewebsites.net</t>
  </si>
  <si>
    <t>5f6134fca9dcc</t>
  </si>
  <si>
    <t>https://freepchelp63.azurewebsites.net/ERDDrHjVfKbFJbQ/</t>
  </si>
  <si>
    <t>pconlinehelp173.azurewebsites.net</t>
  </si>
  <si>
    <t>5f60e739341bc</t>
  </si>
  <si>
    <t>https://pconlinehelp173.azurewebsites.net/ERDDrHjVfKbFJbQ/</t>
  </si>
  <si>
    <t>pconlinehelp113.azurewebsites.net</t>
  </si>
  <si>
    <t>5f607981ce25c</t>
  </si>
  <si>
    <t>https://pconlinehelp113.azurewebsites.net/ERDDrHjVfKbFJbQ/</t>
  </si>
  <si>
    <t>pconlinehelp23.azurewebsites.net</t>
  </si>
  <si>
    <t>5f5f9a5dddb0d</t>
  </si>
  <si>
    <t>https://pconlinehelp23.azurewebsites.net/ERDDrHjVfKbFJbQ/</t>
  </si>
  <si>
    <t>pconlinehelp143.azurewebsites.net</t>
  </si>
  <si>
    <t>5f60793771679</t>
  </si>
  <si>
    <t>https://pconlinehelp143.azurewebsites.net/ERDDrHjVfKbFJbQ/</t>
  </si>
  <si>
    <t>pconlinehelp83.azurewebsites.net</t>
  </si>
  <si>
    <t>5f5fd3f008488</t>
  </si>
  <si>
    <t>https://pconlinehelp83.azurewebsites.net/ERDDrHjVfKbFJbQ/</t>
  </si>
  <si>
    <t>pconlinehelp73.azurewebsites.net</t>
  </si>
  <si>
    <t>5f5fd40f7a58d</t>
  </si>
  <si>
    <t>https://pconlinehelp73.azurewebsites.net/ERDDrHjVfKbFJbQ/</t>
  </si>
  <si>
    <t>pchelpdesk43.azurewebsites.net</t>
  </si>
  <si>
    <t>5f5a58b8d7a6f</t>
  </si>
  <si>
    <t>https://pchelpdesk43.azurewebsites.net/garretttanners7d/</t>
  </si>
  <si>
    <t>pchelpdesk03.azurewebsites.net</t>
  </si>
  <si>
    <t>5f5a57b183fff</t>
  </si>
  <si>
    <t>https://pchelpdesk03.azurewebsites.net/garretttanners7d/</t>
  </si>
  <si>
    <t>pchelpservices83.azurewebsites.net</t>
  </si>
  <si>
    <t>5f5916b8da640</t>
  </si>
  <si>
    <t>https://pchelpservices83.azurewebsites.net/dawsonwhlerS7v/</t>
  </si>
  <si>
    <t>pchelpservices103.azurewebsites.net</t>
  </si>
  <si>
    <t>5f591203130d6</t>
  </si>
  <si>
    <t>https://pchelpservices103.azurewebsites.net/garretttanners7d/</t>
  </si>
  <si>
    <t>pchelpservices63.azurewebsites.net</t>
  </si>
  <si>
    <t>5f590d5c2847a</t>
  </si>
  <si>
    <t>https://pchelpservices63.azurewebsites.net/dawsonwhlerS7v/</t>
  </si>
  <si>
    <t>pchelpservices24.azurewebsites.net</t>
  </si>
  <si>
    <t>5f57e9c89cebb</t>
  </si>
  <si>
    <t>https://pchelpservices24.azurewebsites.net/avfFeTpfJfSPuPx/</t>
  </si>
  <si>
    <t>freesupportcall03.azurewebsites.net</t>
  </si>
  <si>
    <t>5f4e73820e255</t>
  </si>
  <si>
    <t>http://freesupportcall03.azurewebsites.net/q5gCvYnz6kzKvgY/</t>
  </si>
  <si>
    <t>customerfreesupport23.azurewebsites.net</t>
  </si>
  <si>
    <t>5f4d5b2ad6aee</t>
  </si>
  <si>
    <t>https://customerfreesupport23.azurewebsites.net/HNhGpB5gbMdVDyb/</t>
  </si>
  <si>
    <t>freesupport83.azurewebsites.net</t>
  </si>
  <si>
    <t>5f4c0de224396</t>
  </si>
  <si>
    <t>http://freesupport83.azurewebsites.net/gHBW7zFVGjwcrjr/</t>
  </si>
  <si>
    <t>callnow-free153.azurewebsites.net</t>
  </si>
  <si>
    <t>5f4c09ce0724d</t>
  </si>
  <si>
    <t>http://callnow-free153.azurewebsites.net/S9M5QFaca7VkHSt/</t>
  </si>
  <si>
    <t>freesupportservice153.azurewebsites.net</t>
  </si>
  <si>
    <t>5f4ad941d9bcd</t>
  </si>
  <si>
    <t>http://freesupportservice153.azurewebsites.net/vcCsfdvjFg4P5tp/</t>
  </si>
  <si>
    <t>freesupportservice133.azurewebsites.net</t>
  </si>
  <si>
    <t>5f4ad8f79f7c4</t>
  </si>
  <si>
    <t>http://freesupportservice133.azurewebsites.net/vcCsfdvjFg4P5tp/</t>
  </si>
  <si>
    <t>freesupportservice113.azurewebsites.net</t>
  </si>
  <si>
    <t>5f4ad8ad95f08</t>
  </si>
  <si>
    <t>http://freesupportservice113.azurewebsites.net/vcCsfdvjFg4P5tp/</t>
  </si>
  <si>
    <t>freecallcaresupport83.azurewebsites.net</t>
  </si>
  <si>
    <t>5f4aa3b774cb3</t>
  </si>
  <si>
    <t>http://freecallcaresupport83.azurewebsites.net/vTUPHmw6mhDcMgT/</t>
  </si>
  <si>
    <t>callnow-free63.azurewebsites.net</t>
  </si>
  <si>
    <t>5f4ae368da0b6</t>
  </si>
  <si>
    <t>http://callnow-free63.azurewebsites.net/S9M5QFaca7VkHSt/</t>
  </si>
  <si>
    <t>freecallcaresupport53.azurewebsites.net</t>
  </si>
  <si>
    <t>5f4aa32a1361e</t>
  </si>
  <si>
    <t>http://freecallcaresupport53.azurewebsites.net/vTUPHmw6mhDcMgT/</t>
  </si>
  <si>
    <t>freecallcaresupport23.azurewebsites.net</t>
  </si>
  <si>
    <t>5f4aa2a619097</t>
  </si>
  <si>
    <t>http://freecallcaresupport23.azurewebsites.net/vTUPHmw6mhDcMgT/</t>
  </si>
  <si>
    <t>freecallcaresupport03.azurewebsites.net</t>
  </si>
  <si>
    <t>5f4aa229c23fd</t>
  </si>
  <si>
    <t>http://freecallcaresupport03.azurewebsites.net/vTUPHmw6mhDcMgT/</t>
  </si>
  <si>
    <t>customercaresupport93.azurewebsites.net</t>
  </si>
  <si>
    <t>5f4aa085a0076</t>
  </si>
  <si>
    <t>http://customercaresupport93.azurewebsites.net/vcCsfdvjFg4P5tp/</t>
  </si>
  <si>
    <t>getfreesupport123.azurewebsites.net</t>
  </si>
  <si>
    <t>5f4975c03a0c4</t>
  </si>
  <si>
    <t>http://getfreesupport123.azurewebsites.net/gHBW7zFVGjwcrjr/</t>
  </si>
  <si>
    <t>getfreesupport103.azurewebsites.net</t>
  </si>
  <si>
    <t>5f497558b27ad</t>
  </si>
  <si>
    <t>http://getfreesupport103.azurewebsites.net/gHBW7zFVGjwcrjr/</t>
  </si>
  <si>
    <t>freemaintenance55.azurewebsites.net</t>
  </si>
  <si>
    <t>5f48b9b16eef4</t>
  </si>
  <si>
    <t>http://freemaintenance55.azurewebsites.net/q5gCvYnz6kzKvgY/</t>
  </si>
  <si>
    <t>freemaintenance20.azurewebsites.net</t>
  </si>
  <si>
    <t>5f48b987345d3</t>
  </si>
  <si>
    <t>http://freemaintenance20.azurewebsites.net/q5gCvYnz6kzKvgY/</t>
  </si>
  <si>
    <t>getfreesupport33.azurewebsites.net</t>
  </si>
  <si>
    <t>5f47a65c47653</t>
  </si>
  <si>
    <t>http://getfreesupport33.azurewebsites.net/Zcv6znVbFKDkXCy/</t>
  </si>
  <si>
    <t>checkup73.azurewebsites.net</t>
  </si>
  <si>
    <t>5f44796c05184</t>
  </si>
  <si>
    <t>http://checkup73.azurewebsites.net/Kristy-Cortez/</t>
  </si>
  <si>
    <t>checkup53.azurewebsites.net</t>
  </si>
  <si>
    <t>5f4478759b96b</t>
  </si>
  <si>
    <t>http://checkup53.azurewebsites.net/Kristy-Cortez/</t>
  </si>
  <si>
    <t>checkup43.azurewebsites.net</t>
  </si>
  <si>
    <t>5f4477ca09228</t>
  </si>
  <si>
    <t>http://checkup43.azurewebsites.net/Kristy-Cortez/</t>
  </si>
  <si>
    <t>getfreesupport83.azurewebsites.net</t>
  </si>
  <si>
    <t>5f44516a8ccf5</t>
  </si>
  <si>
    <t>https://getfreesupport83.azurewebsites.net/atEdYhpx5ykF2Ru/</t>
  </si>
  <si>
    <t>callnow-free53.azurewebsites.net</t>
  </si>
  <si>
    <t>5f444c2a903ac</t>
  </si>
  <si>
    <t>https://callnow-free53.azurewebsites.net/Cortez/</t>
  </si>
  <si>
    <t>callnow-free03.azurewebsites.net</t>
  </si>
  <si>
    <t>5f4447227ac94</t>
  </si>
  <si>
    <t>https://callnow-free03.azurewebsites.net/Cortez/</t>
  </si>
  <si>
    <t>freesupportservice18.azurewebsites.net</t>
  </si>
  <si>
    <t>5f4442dcd28da</t>
  </si>
  <si>
    <t>https://freesupportservice18.azurewebsites.net/8sx3ztC96XSvHKs/</t>
  </si>
  <si>
    <t>freesupportservice88.azurewebsites.net</t>
  </si>
  <si>
    <t>5f443fd7b2c31</t>
  </si>
  <si>
    <t>https://freesupportservice88.azurewebsites.net/8sx3ztC96XSvHKs/</t>
  </si>
  <si>
    <t>freesupportservice73.azurewebsites.net</t>
  </si>
  <si>
    <t>5f443ecdd34a3</t>
  </si>
  <si>
    <t>https://freesupportservice73.azurewebsites.net/8sx3ztC96XSvHKs/</t>
  </si>
  <si>
    <t>freesupportservice63.azurewebsites.net</t>
  </si>
  <si>
    <t>5f443da6011c3</t>
  </si>
  <si>
    <t>https://freesupportservice63.azurewebsites.net/8sx3ztC96XSvHKs/</t>
  </si>
  <si>
    <t>freesupportservice58.azurewebsites.net</t>
  </si>
  <si>
    <t>5f443cdaf2f19</t>
  </si>
  <si>
    <t>https://freesupportservice58.azurewebsites.net/8sx3ztC96XSvHKs/</t>
  </si>
  <si>
    <t>supportcall93.azurewebsites.net</t>
  </si>
  <si>
    <t>5f410c9b29ebd</t>
  </si>
  <si>
    <t>http://supportcall93.azurewebsites.net/uDqsMhe3DbefYU9/</t>
  </si>
  <si>
    <t>getfreesupport23.azurewebsites.net</t>
  </si>
  <si>
    <t>5f3d4eb6c802f</t>
  </si>
  <si>
    <t>http://getfreesupport23.azurewebsites.net/S9M5QFaca7VkHSt/</t>
  </si>
  <si>
    <t>getfreesupport53.azurewebsites.net</t>
  </si>
  <si>
    <t>5f3be23b20396</t>
  </si>
  <si>
    <t>http://getfreesupport53.azurewebsites.net/4595-Warwick-Avenue/</t>
  </si>
  <si>
    <t>computer93.azurewebsites.net</t>
  </si>
  <si>
    <t>5f30d7a743ef4</t>
  </si>
  <si>
    <t>http://computer93.azurewebsites.net/Belle-Plaine</t>
  </si>
  <si>
    <t>iconbase393.ga</t>
  </si>
  <si>
    <t>172.67.151.177</t>
  </si>
  <si>
    <t>5f313c760a9f7</t>
  </si>
  <si>
    <t>https://iconbase393.ga/Call_Microsoft_windows_Helpline7894504/Dchfdfdfdfd777/</t>
  </si>
  <si>
    <t>myonlinecreditpays.site</t>
  </si>
  <si>
    <t>164.90.149.149</t>
  </si>
  <si>
    <t>5f313c90ab0e5</t>
  </si>
  <si>
    <t>https://myonlinecreditpays.site/SAMacHelp011010x/</t>
  </si>
  <si>
    <t>iteration393.ml</t>
  </si>
  <si>
    <t>104.31.85.157</t>
  </si>
  <si>
    <t>5f314dcaa9614</t>
  </si>
  <si>
    <t>https://iteration393.ml/Call_Microsoft_windows_Helpline755687/Dchfdfdfdfd777/</t>
  </si>
  <si>
    <t>toolbar349.ml</t>
  </si>
  <si>
    <t>104.28.21.14</t>
  </si>
  <si>
    <t>5f315b437bc05</t>
  </si>
  <si>
    <t>https://toolbar349.ml/sdfsf0sd0fs0df-dsf0sf0-665.info/SdMAfdgdfgdfgdffg-1SS/</t>
  </si>
  <si>
    <t>slatedata395.ga</t>
  </si>
  <si>
    <t>104.18.63.175</t>
  </si>
  <si>
    <t>5f3173b77fb14</t>
  </si>
  <si>
    <t>https://slatedata395.ga/Call_Microsoft_windows_Helpline5250795/Dchfdfdfdfd777/</t>
  </si>
  <si>
    <t>6apptet.azurewebsites.net</t>
  </si>
  <si>
    <t>104.43.254.102</t>
  </si>
  <si>
    <t>5f317525e72eb</t>
  </si>
  <si>
    <t>http://6apptet.azurewebsites.net/0CHfdfdfdfddfd99MD1001011001010110100110101010100101010dfdfd101010/</t>
  </si>
  <si>
    <t>bugsbangyabunny.ml</t>
  </si>
  <si>
    <t>206.189.237.243</t>
  </si>
  <si>
    <t>5f3460d90dd9c</t>
  </si>
  <si>
    <t>https://bugsbangyabunny.ml/error/0WCHfdfdfdfddfd0099900YN/</t>
  </si>
  <si>
    <t>zuba843840zubi.ga</t>
  </si>
  <si>
    <t>5f330b1f9299f</t>
  </si>
  <si>
    <t>https://zuba843840zubi.ga/alert/0WCHfdfdfdfddfd0099900YN/</t>
  </si>
  <si>
    <t>fortune838438fufudcv.ml</t>
  </si>
  <si>
    <t>5f32d1c81e047</t>
  </si>
  <si>
    <t>https://fortune838438fufudcv.ml/alert/0WCHfdfdfdfddfd0099900YN/</t>
  </si>
  <si>
    <t>musta034285hayrihe.cf</t>
  </si>
  <si>
    <t>5f31c14371f0c</t>
  </si>
  <si>
    <t>https://musta034285hayrihe.cf/alert/0WCHfdfdfdfddfd0099900YN/</t>
  </si>
  <si>
    <t>idshfuhur903403.cf</t>
  </si>
  <si>
    <t>5f319482ab032</t>
  </si>
  <si>
    <t>https://idshfuhur903403.cf/alert/0WCHfdfdfdfddfd0099900YN/</t>
  </si>
  <si>
    <t>myonlinevens.site</t>
  </si>
  <si>
    <t>164.90.147.255</t>
  </si>
  <si>
    <t>5f31a138358ed</t>
  </si>
  <si>
    <t>https://myonlinevens.site/EDWInhelp10010101x/</t>
  </si>
  <si>
    <t>ounksr.club</t>
  </si>
  <si>
    <t>172.67.149.60</t>
  </si>
  <si>
    <t>5f31ab89a46e2</t>
  </si>
  <si>
    <t>https://ounksr.club/_Win_dows5BC_NMO_DVZRGFQ/Y1_N__D_XUHAP34/VT_J_Y_P/?n_b=MSg4ODgpMzgyIDAyMTI=</t>
  </si>
  <si>
    <t>64.227.81.242</t>
  </si>
  <si>
    <t>5f31b20765743</t>
  </si>
  <si>
    <t>http://64.227.81.242/windowsmacosxxedgechromium-6august/?phone=+1-(888)-538-0165&amp;amp;</t>
  </si>
  <si>
    <t>digginet499.cf</t>
  </si>
  <si>
    <t>104.27.162.128</t>
  </si>
  <si>
    <t>5f31d6eab75c7</t>
  </si>
  <si>
    <t>https://digginet499.cf/Call_Microsoft_windows_Helpline5250795/Dchfdfdfdfd777/</t>
  </si>
  <si>
    <t>arraynet004.ml</t>
  </si>
  <si>
    <t>104.31.80.26</t>
  </si>
  <si>
    <t>5f327fa33a176</t>
  </si>
  <si>
    <t>https://arraynet004.ml/Call_Microsoft_windows_Helpline5330836/Dchfdfdfdfd777/</t>
  </si>
  <si>
    <t>debugbase399.ml</t>
  </si>
  <si>
    <t>172.67.167.5</t>
  </si>
  <si>
    <t>5f327fc80489f</t>
  </si>
  <si>
    <t>https://debugbase399.ml/sdfsf0sd0fs0df-dsf0sf0-665.info/SdMAfdgdfgdfgdffg-1SS/</t>
  </si>
  <si>
    <t>136.244.118.26</t>
  </si>
  <si>
    <t>5f328244534f3</t>
  </si>
  <si>
    <t>http://136.244.118.26/index.html?phone=0322-2109-2416</t>
  </si>
  <si>
    <t>errorsolver.website</t>
  </si>
  <si>
    <t>192.64.118.78</t>
  </si>
  <si>
    <t>5f32c3125bf79</t>
  </si>
  <si>
    <t>https://errorsolver.website/EDWInhelp10010101xK/</t>
  </si>
  <si>
    <t>webxnet493.ml</t>
  </si>
  <si>
    <t>104.27.173.99</t>
  </si>
  <si>
    <t>5f32b2cf503c3</t>
  </si>
  <si>
    <t>https://webxnet493.ml/Call_Microsoft_windows_Helpline5280191/Dchfdfdfdfd777/</t>
  </si>
  <si>
    <t>statusbar345.ml</t>
  </si>
  <si>
    <t>172.67.192.8</t>
  </si>
  <si>
    <t>5f32c337579f7</t>
  </si>
  <si>
    <t>https://statusbar345.ml/sds0d-d0asd0-sds0ad0.bys/XEDdhdsbfMShgdfhdgfHD247/</t>
  </si>
  <si>
    <t>142.93.50.246</t>
  </si>
  <si>
    <t>5f32c6b444e37</t>
  </si>
  <si>
    <t>http://142.93.50.246/AFUS1598/EDWInhelp100dw10101xVJx/?p_num=+1-(888)-531-1598</t>
  </si>
  <si>
    <t>167.99.227.117</t>
  </si>
  <si>
    <t>5f32cf98a0342</t>
  </si>
  <si>
    <t>http://167.99.227.117/AFUS1598/EDWInhelp100dw10101xVJx/?p_num=+1-(888)-531-1598</t>
  </si>
  <si>
    <t>206.189.234.227</t>
  </si>
  <si>
    <t>5f32dc0133d92</t>
  </si>
  <si>
    <t>http://206.189.234.227/AFUS2584/CHWInhelp100dw10101xVJx/?p_num=+1-(888)-655-2584</t>
  </si>
  <si>
    <t>pbtsfw.club</t>
  </si>
  <si>
    <t>104.24.116.56</t>
  </si>
  <si>
    <t>5f32dc6d73965</t>
  </si>
  <si>
    <t>https://pbtsfw.club/_Win_dows5BC_NMO_DVZRGFQ/Y1_N__D_XUHAP34/VT_J_Y_P/?n_b=MSg4NjYpNjM5IDk2OTE=</t>
  </si>
  <si>
    <t>secureconnectionerrorhelplinecodex23d32003.monster</t>
  </si>
  <si>
    <t>144.202.67.118</t>
  </si>
  <si>
    <t>5f32dd80b7c74</t>
  </si>
  <si>
    <t>https://secureconnectionerrorhelplinecodex23d32003.monster/Helplerrorcodemsonlinesoftware18665000407/XEDdhdsbfMShgdfhdgfHDMSh/</t>
  </si>
  <si>
    <t>167.99.146.171</t>
  </si>
  <si>
    <t>5f32e40e682d1</t>
  </si>
  <si>
    <t>http://167.99.146.171/AFUS3285/EDWInhelp100dw10101xVJx/?p_num=1-(888)-441-3285</t>
  </si>
  <si>
    <t>138.68.250.94</t>
  </si>
  <si>
    <t>5f32e63be5b13</t>
  </si>
  <si>
    <t>http://138.68.250.94/windowsmacosxxedgechromium-6august/?phone=+1-(888)-521-2452&amp;amp;</t>
  </si>
  <si>
    <t>ptxoev.club</t>
  </si>
  <si>
    <t>172.67.165.157</t>
  </si>
  <si>
    <t>5f32e7d518c7a</t>
  </si>
  <si>
    <t>https://ptxoev.club/_Win_dows5BC_NMO_DVZRGFQ/Y1_N__D_XUHAP34/VT_J_Y_P/?n_b=MSg4ODgpNTM1IDIzMTI=</t>
  </si>
  <si>
    <t>165.227.24.251</t>
  </si>
  <si>
    <t>5f32ede583347</t>
  </si>
  <si>
    <t>http://165.227.24.251/windowsmacosxxedgechromium-6august/?phone=+1-(888)-909-1305&amp;amp;</t>
  </si>
  <si>
    <t>159.65.236.42</t>
  </si>
  <si>
    <t>5f32ee948ab88</t>
  </si>
  <si>
    <t>http://159.65.236.42/AFUS2458/EDWInhelp100dw10101xVJx/?p_num=+1-(888)-521-2458</t>
  </si>
  <si>
    <t>35.193.202.134</t>
  </si>
  <si>
    <t>5f32eed72d677</t>
  </si>
  <si>
    <t>http://35.193.202.134/ED100100EXCED/</t>
  </si>
  <si>
    <t>windowsissues.xyz</t>
  </si>
  <si>
    <t>198.54.126.108</t>
  </si>
  <si>
    <t>5f32f7a60ccbb</t>
  </si>
  <si>
    <t>https://windowsissues.xyz/EDWInhelp10010101xK/</t>
  </si>
  <si>
    <t>192.241.133.66</t>
  </si>
  <si>
    <t>5f32fb77c85d4</t>
  </si>
  <si>
    <t>http://192.241.133.66/AFUS2458/EDWInhelp100dw10101xVJx/?p_num=+1-(888)-521-2458</t>
  </si>
  <si>
    <t>windowsfailure.xyz</t>
  </si>
  <si>
    <t>198.54.114.129</t>
  </si>
  <si>
    <t>5f32fb7db25dd</t>
  </si>
  <si>
    <t>https://windowsfailure.xyz/EDWInhelp10010101xK/</t>
  </si>
  <si>
    <t>142.93.15.214</t>
  </si>
  <si>
    <t>5f32feae651a4</t>
  </si>
  <si>
    <t>http://142.93.15.214/AFUS2458/EDWInhelp100dw10101xVJx/?p_num=+1-(888)-521-2458</t>
  </si>
  <si>
    <t>159.89.83.84</t>
  </si>
  <si>
    <t>5f33086920abc</t>
  </si>
  <si>
    <t>http://159.89.83.84/AFUS0318/EDWInhelp100dw10101xVJx/?p_num=+1-(888)-703-0318</t>
  </si>
  <si>
    <t>problemfix.website</t>
  </si>
  <si>
    <t>198.54.116.30</t>
  </si>
  <si>
    <t>5f3330f28aff9</t>
  </si>
  <si>
    <t>https://problemfix.website/EDWInhelp10010101xK/</t>
  </si>
  <si>
    <t>slatedata664.cf</t>
  </si>
  <si>
    <t>104.28.31.124</t>
  </si>
  <si>
    <t>5f33e2232b195</t>
  </si>
  <si>
    <t>https://slatedata664.cf/Call_Microsoft_windows_Helpline47137/Dchfdfdfdfd777/</t>
  </si>
  <si>
    <t>electronicrepair.website</t>
  </si>
  <si>
    <t>198.54.114.143</t>
  </si>
  <si>
    <t>5f34007ee38ca</t>
  </si>
  <si>
    <t>https://electronicrepair.website/EDWInhelp10010101xK/</t>
  </si>
  <si>
    <t>66.42.78.78</t>
  </si>
  <si>
    <t>5f3416d731e98</t>
  </si>
  <si>
    <t>http://66.42.78.78/0ED01011001_77DH/</t>
  </si>
  <si>
    <t>myonlinecraft.site</t>
  </si>
  <si>
    <t>64.227.102.143</t>
  </si>
  <si>
    <t>5f3419f75e2db</t>
  </si>
  <si>
    <t>https://myonlinecraft.site/EDWInhelp10010101x/</t>
  </si>
  <si>
    <t>statusbar303.ga</t>
  </si>
  <si>
    <t>104.24.122.17</t>
  </si>
  <si>
    <t>5f34225846efa</t>
  </si>
  <si>
    <t>https://statusbar303.ga/IEDCallSecurityissues0087code00570/</t>
  </si>
  <si>
    <t>qynqcb.club</t>
  </si>
  <si>
    <t>104.28.1.51</t>
  </si>
  <si>
    <t>5f34486aa3996</t>
  </si>
  <si>
    <t>https://qynqcb.club/_Win_dowsFI_7UQKO5NM2__60_PTD4_3WC/JN_AI_ZOYK_2_US/A8P_RQ2Y/?n_b=MSg4ODgpMzA0IDEyODU=&amp;amp;s_1=88-4679</t>
  </si>
  <si>
    <t>bandwidth403.ga</t>
  </si>
  <si>
    <t>104.31.77.14</t>
  </si>
  <si>
    <t>5f344cb16c33c</t>
  </si>
  <si>
    <t>https://bandwidth403.ga/sdfsf0sd0fs0df-dsf0sf0-665.info/SdMAfdgdfgdfgdffg-1SS/</t>
  </si>
  <si>
    <t>ruticj.club</t>
  </si>
  <si>
    <t>104.31.87.163</t>
  </si>
  <si>
    <t>5f3452eb3c758</t>
  </si>
  <si>
    <t>https://ruticj.club/_Win_dowsFI_7UQKO5NM2__60_PTD4_3WC/JN_AI_ZOYK_2_US/A8P_RQ2Y/?n_b=MSg4ODgpNTk4IDE0NDI=&amp;amp;s_1=88-4679</t>
  </si>
  <si>
    <t>rgenae.club</t>
  </si>
  <si>
    <t>104.24.102.151</t>
  </si>
  <si>
    <t>5f34604d117f0</t>
  </si>
  <si>
    <t>https://rgenae.club/_Win_dowsFI_7UQKO5NM2__60_PTD4_3WC/JN_AI_ZOYK_2_US/A8P_RQ2Y/?n_b=MSg4ODgpNTk4IDE0NDI=&amp;amp;s_1=88-4679</t>
  </si>
  <si>
    <t>nooks5.ga</t>
  </si>
  <si>
    <t>104.31.88.5</t>
  </si>
  <si>
    <t>5f3499345aed4</t>
  </si>
  <si>
    <t>https://nooks5.ga/ms2-1167/Chxrx-534849/?&amp;amp;gclid=EAIaIQobChMI8bup5reW6wIVSIN_BB1UfgTxEAEYASAAEgK17_D_BwE</t>
  </si>
  <si>
    <t>threadata455.ga</t>
  </si>
  <si>
    <t>104.27.146.79</t>
  </si>
  <si>
    <t>5f346a1776a3b</t>
  </si>
  <si>
    <t>https://threadata455.ga/Call_Microsoft_windows_Helpline5343734/Dchfdfdfdfd777/</t>
  </si>
  <si>
    <t>unlock4.lloydamanhelpingnow.org</t>
  </si>
  <si>
    <t>172.67.195.236</t>
  </si>
  <si>
    <t>5f347a226c745</t>
  </si>
  <si>
    <t>https://unlock4.lloydamanhelpingnow.org/Ringbasoft/nimdausa/EDG/?ppurl=4&amp;amp;clickid=f35a4g5iblp111&amp;amp;lpkey=151597724434695e57&amp;amp;campaign=167</t>
  </si>
  <si>
    <t>utility430.ml</t>
  </si>
  <si>
    <t>104.31.79.131</t>
  </si>
  <si>
    <t>5f34d3d5cc727</t>
  </si>
  <si>
    <t>https://utility430.ml/sdf0-dsfs0d-df0.hbw/XMAdhdsbfhgdfhdgf9x0Xd/</t>
  </si>
  <si>
    <t>64.227.93.172</t>
  </si>
  <si>
    <t>5f35764c29d1f</t>
  </si>
  <si>
    <t>http://64.227.93.172/windowsmacosxxedgechromium-6august/?phone=+1-(888)-312-1352&amp;amp;</t>
  </si>
  <si>
    <t>52.216.237.50</t>
  </si>
  <si>
    <t>5f357ce69ed39</t>
  </si>
  <si>
    <t>http://anroid232.s3-website-us-east-1.amazonaws.com/?1</t>
  </si>
  <si>
    <t>getonlineraps.site</t>
  </si>
  <si>
    <t>64.227.104.8</t>
  </si>
  <si>
    <t>5f3588b7a5ecf</t>
  </si>
  <si>
    <t>https://getonlineraps.site/EDWInhelp10010101x/</t>
  </si>
  <si>
    <t>securityfailedduetovirus408.azurewebsites.net</t>
  </si>
  <si>
    <t>23.101.119.163</t>
  </si>
  <si>
    <t>5f358f0fb5dca</t>
  </si>
  <si>
    <t>http://securityfailedduetovirus408.azurewebsites.net/CHWInhelp10VWIN010101AW/</t>
  </si>
  <si>
    <t>contraption043.ml</t>
  </si>
  <si>
    <t>172.67.181.204</t>
  </si>
  <si>
    <t>5f35bf58e522c</t>
  </si>
  <si>
    <t>https://contraption043.ml/sdfsf0sd0fs0df-dsf0sf0-665.info/SdMAfdgdfgdfgdffg-1SS/</t>
  </si>
  <si>
    <t>shits4.ga</t>
  </si>
  <si>
    <t>104.27.131.126</t>
  </si>
  <si>
    <t>5f3690de2347a</t>
  </si>
  <si>
    <t>https://shits4.ga/au-wed-1361/Chxrx-536729/index.html</t>
  </si>
  <si>
    <t>shits5.ga</t>
  </si>
  <si>
    <t>172.67.190.53</t>
  </si>
  <si>
    <t>5f36924d88e2f</t>
  </si>
  <si>
    <t>https://shits5.ga/au-wed-1361/Chxrx-536729/index.html</t>
  </si>
  <si>
    <t>iconbase405.cf</t>
  </si>
  <si>
    <t>104.28.5.106</t>
  </si>
  <si>
    <t>5f36c5c1593a2</t>
  </si>
  <si>
    <t>https://iconbase405.cf/Call_Microsoft_windows_Helpline6900913/Dchfdfdfdfd777/</t>
  </si>
  <si>
    <t>modemnet449.ga</t>
  </si>
  <si>
    <t>104.27.178.188</t>
  </si>
  <si>
    <t>5f371379bc659</t>
  </si>
  <si>
    <t>https://modemnet449.ga/Call_for_Security_issues_Helpline5981514/DmafdfdfdfdAQ1/</t>
  </si>
  <si>
    <t>netserver595.cf</t>
  </si>
  <si>
    <t>104.27.170.192</t>
  </si>
  <si>
    <t>5f373fef4c146</t>
  </si>
  <si>
    <t>https://netserver595.cf/Call_for_Security_issues_Helpline5981397/DmafdfdfdfdAQ1/</t>
  </si>
  <si>
    <t>phishing499.ga</t>
  </si>
  <si>
    <t>104.28.0.140</t>
  </si>
  <si>
    <t>5f396d298d691</t>
  </si>
  <si>
    <t>https://phishing499.ga/iosdsd09ds9-0s0.org/</t>
  </si>
  <si>
    <t>104.24.107.190</t>
  </si>
  <si>
    <t>5f37202842205</t>
  </si>
  <si>
    <t>http://raicloudaven.tk/WMachdsfgdsffdVX/</t>
  </si>
  <si>
    <t>slatedata595.ml</t>
  </si>
  <si>
    <t>104.18.37.17</t>
  </si>
  <si>
    <t>5f3812c163f21</t>
  </si>
  <si>
    <t>https://slatedata595.ml/Call_for_Security_issues_Helpline5981431/DmafdfdfdfdAQ1/</t>
  </si>
  <si>
    <t>terminal459.ml</t>
  </si>
  <si>
    <t>104.31.77.165</t>
  </si>
  <si>
    <t>5f386c7999861</t>
  </si>
  <si>
    <t>https://terminal459.ml/Call_for_Security_issues_Helpline6552407/DmafdfdfdfdAQ1/</t>
  </si>
  <si>
    <t>microsoft.support20.xyz</t>
  </si>
  <si>
    <t>104.18.44.226</t>
  </si>
  <si>
    <t>5f39666d8e958</t>
  </si>
  <si>
    <t>https://microsoft.support20.xyz</t>
  </si>
  <si>
    <t>microsoft.support21.xyz</t>
  </si>
  <si>
    <t>104.31.81.196</t>
  </si>
  <si>
    <t>5f39667f3b208</t>
  </si>
  <si>
    <t>https://microsoft.support21.xyz</t>
  </si>
  <si>
    <t>microsoft.error550.xyz</t>
  </si>
  <si>
    <t>104.18.57.239</t>
  </si>
  <si>
    <t>5f39669c81e8c</t>
  </si>
  <si>
    <t>https://microsoft.error550.xyz</t>
  </si>
  <si>
    <t>165.227.49.192</t>
  </si>
  <si>
    <t>5f39722849fd8</t>
  </si>
  <si>
    <t>http://165.227.49.192/windowsmacosxxedgechromium-6august/?phone=+1-(888)-705-0898&amp;amp;</t>
  </si>
  <si>
    <t>165.232.56.79</t>
  </si>
  <si>
    <t>5f397a1ae2d9b</t>
  </si>
  <si>
    <t>http://165.232.56.79/windowsoschrome-6aug-2020/?phone=+1-(888)-521-2493&amp;amp;</t>
  </si>
  <si>
    <t>159.65.93.171</t>
  </si>
  <si>
    <t>5f397e798a43c</t>
  </si>
  <si>
    <t>http://159.65.93.171/Get-Error/EDWInhelp10010101xSSAx/</t>
  </si>
  <si>
    <t>totalizer696.cf</t>
  </si>
  <si>
    <t>104.27.128.8</t>
  </si>
  <si>
    <t>5f39eb5fabf82</t>
  </si>
  <si>
    <t>https://totalizer696.cf/Call_Microsoft_windows_Helpline4413236/MAfdfdfdfd_AK/</t>
  </si>
  <si>
    <t>104.27.168.136</t>
  </si>
  <si>
    <t>5f39ee5ad51d2</t>
  </si>
  <si>
    <t>http://suppresse.tk/WMachdsfgdsffdVX/</t>
  </si>
  <si>
    <t>technicalissues.xyz</t>
  </si>
  <si>
    <t>107.180.27.226</t>
  </si>
  <si>
    <t>5f424f9b03eb1</t>
  </si>
  <si>
    <t>http://technicalissues.xyz/</t>
  </si>
  <si>
    <t>microsoft-official-help.com</t>
  </si>
  <si>
    <t>5f39ef3b3123b</t>
  </si>
  <si>
    <t>http://microsoft-official-help.com/</t>
  </si>
  <si>
    <t>terminal695.ml</t>
  </si>
  <si>
    <t>104.31.66.239</t>
  </si>
  <si>
    <t>5f3ab3c9af74e</t>
  </si>
  <si>
    <t>https://terminal695.ml/das0-asd00as-sad.hbs/XEDdhdsbfMShgdfhdgfHD247/</t>
  </si>
  <si>
    <t>techsingn877.ml</t>
  </si>
  <si>
    <t>162.0.232.72</t>
  </si>
  <si>
    <t>5f47b1b4cd8a9</t>
  </si>
  <si>
    <t>https://techsingn877.ml/XMCdhdsbfMShgdfhdgfHDMSh/</t>
  </si>
  <si>
    <t>support8999.tk</t>
  </si>
  <si>
    <t>5f45a02aa426f</t>
  </si>
  <si>
    <t>https://support8999.tk/0CHfdfdfdfddfd99900V/</t>
  </si>
  <si>
    <t>support8999.ml</t>
  </si>
  <si>
    <t>5f45703bdde76</t>
  </si>
  <si>
    <t>https://support8999.ml/0CHfdfdfdfddfd99900V/</t>
  </si>
  <si>
    <t>win-err2333.tk</t>
  </si>
  <si>
    <t>5f3d3d5fc6590</t>
  </si>
  <si>
    <t>https://win-err2333.tk/0CHfdfdfdfddfd99900V/</t>
  </si>
  <si>
    <t>win-err2333.cf</t>
  </si>
  <si>
    <t>5f3d3d2b6beb7</t>
  </si>
  <si>
    <t>https://win-err2333.cf/0CHfdfdfdfddfd99900V/</t>
  </si>
  <si>
    <t>win-err2333.gq</t>
  </si>
  <si>
    <t>5f3d3d2303ed1</t>
  </si>
  <si>
    <t>https://win-err2333.gq/0CHfdfdfdfddfd99900V/</t>
  </si>
  <si>
    <t>www.support8999.tk</t>
  </si>
  <si>
    <t>5f3d3d135a2bc</t>
  </si>
  <si>
    <t>https://www.support8999.tk/0CHfdfdfdfddfd99900V/</t>
  </si>
  <si>
    <t>www.support8999.ml</t>
  </si>
  <si>
    <t>5f3d3cf8d803c</t>
  </si>
  <si>
    <t>https://www.support8999.ml/0CHfdfdfdfddfd99900V/</t>
  </si>
  <si>
    <t>support8999.cf</t>
  </si>
  <si>
    <t>5f3d3cc28aabc</t>
  </si>
  <si>
    <t>http://support8999.cf///7Cdyui_rwepyx247/index.html</t>
  </si>
  <si>
    <t>support8999.gq</t>
  </si>
  <si>
    <t>5f3d3cb3c93d5</t>
  </si>
  <si>
    <t>http://support8999.gq///7Cdyui_rwepyx247/index.html</t>
  </si>
  <si>
    <t>hellosupport55.ml</t>
  </si>
  <si>
    <t>5f3d3ca70a17f</t>
  </si>
  <si>
    <t>https://hellosupport55.ml//7Cdyui_rwepyx247/index.html</t>
  </si>
  <si>
    <t>hellosupport55.gq</t>
  </si>
  <si>
    <t>5f3d3ca3502de</t>
  </si>
  <si>
    <t>https://hellosupport55.gq//7Cdyui_rwepyx247/index.html</t>
  </si>
  <si>
    <t>www.chatsupport999.tk</t>
  </si>
  <si>
    <t>5f3d3c8229a09</t>
  </si>
  <si>
    <t>https://www.chatsupport999.tk/7Cdyui_rwepyx247/index.html</t>
  </si>
  <si>
    <t>www.chatsupport999.ga</t>
  </si>
  <si>
    <t>5f3d3c76d31bd</t>
  </si>
  <si>
    <t>https://www.chatsupport999.ga/7Cdyui_rwepyx247/index.html</t>
  </si>
  <si>
    <t>www.chatsupport999.cf</t>
  </si>
  <si>
    <t>5f3d3c6185477</t>
  </si>
  <si>
    <t>https://www.chatsupport999.cf/7Cdyui_rwepyx247/index.html</t>
  </si>
  <si>
    <t>www.techsingn877.tk</t>
  </si>
  <si>
    <t>5f3d397839cc8</t>
  </si>
  <si>
    <t>https://www.techsingn877.tk/XMCdhdsbfMShgdfhdgfHDMSh/</t>
  </si>
  <si>
    <t>www.techsingn877.ml</t>
  </si>
  <si>
    <t>5f3d396177f88</t>
  </si>
  <si>
    <t>https://www.techsingn877.ml/XMCdhdsbfMShgdfhdgfHDMSh/</t>
  </si>
  <si>
    <t>techsingn877.tk</t>
  </si>
  <si>
    <t>5f3b3dcc2d16b</t>
  </si>
  <si>
    <t>https://techsingn877.tk/XMCdhdsbfMShgdfhdgfHDMSh/</t>
  </si>
  <si>
    <t>hellosupport55.ga</t>
  </si>
  <si>
    <t>5f3a92c81f20b</t>
  </si>
  <si>
    <t>https://hellosupport55.ga/7Cdyui_rwepyx247/index.html</t>
  </si>
  <si>
    <t>hioafisfi.cf</t>
  </si>
  <si>
    <t>107.180.51.38</t>
  </si>
  <si>
    <t>5f513322060e7</t>
  </si>
  <si>
    <t>https://hioafisfi.cf/TChsfsdfjdsfjdsfjVX/</t>
  </si>
  <si>
    <t>xzcozpcl.ml</t>
  </si>
  <si>
    <t>5f5132613a94b</t>
  </si>
  <si>
    <t>http://xzcozpcl.ml/TChsfsdfjdsfjdsfjVX/</t>
  </si>
  <si>
    <t>babiajkbs.cf</t>
  </si>
  <si>
    <t>5f5020cfabc49</t>
  </si>
  <si>
    <t>http://babiajkbs.cf/TChsfsdfjdsfjdsfjVX/</t>
  </si>
  <si>
    <t>kogjaigj.ml</t>
  </si>
  <si>
    <t>5f5020ca4c2d6</t>
  </si>
  <si>
    <t>http://kogjaigj.ml/TChsfsdfjdsfjdsfjVX/</t>
  </si>
  <si>
    <t>koskiosko.ml</t>
  </si>
  <si>
    <t>5f5020ab725a7</t>
  </si>
  <si>
    <t>http://koskiosko.ml/TChsfsdfjdsfjdsfjVX/</t>
  </si>
  <si>
    <t>hellomini.cf</t>
  </si>
  <si>
    <t>5f5020a6a82cd</t>
  </si>
  <si>
    <t>http://hellomini.cf/TChsfsdfjdsfjdsfjVX/</t>
  </si>
  <si>
    <t>vbafoag.cf</t>
  </si>
  <si>
    <t>5f5020a2a6beb</t>
  </si>
  <si>
    <t>http://vbafoag.cf/TChsfsdfjdsfjdsfjVX/</t>
  </si>
  <si>
    <t>vcjixdjfajf.cf</t>
  </si>
  <si>
    <t>5f5130f84b8c7</t>
  </si>
  <si>
    <t>http://vcjixdjfajf.cf/TChsfsdfjdsfjdsfjVX/</t>
  </si>
  <si>
    <t>iwanttoslapyou.ml</t>
  </si>
  <si>
    <t>5f512fdaad495</t>
  </si>
  <si>
    <t>http://iwanttoslapyou.ml/TChsfsdfjdsfjdsfjVX/</t>
  </si>
  <si>
    <t>obkosokfsf.ml</t>
  </si>
  <si>
    <t>5f512f9aabada</t>
  </si>
  <si>
    <t>http://obkosokfsf.ml/TChsfsdfjdsfjdsfjVX/</t>
  </si>
  <si>
    <t>ghiasg.cf</t>
  </si>
  <si>
    <t>5f512f91ae012</t>
  </si>
  <si>
    <t>http://ghiasg.cf/TChsfsdfjdsfjdsfjVX/</t>
  </si>
  <si>
    <t>bnirtiokgd.cf</t>
  </si>
  <si>
    <t>5f512f83b4ec9</t>
  </si>
  <si>
    <t>http://bnirtiokgd.cf/TChsfsdfjdsfjdsfjVX/</t>
  </si>
  <si>
    <t>0zvikiafjoaf.cf</t>
  </si>
  <si>
    <t>5f512f46ad727</t>
  </si>
  <si>
    <t>http://0zvikiafjoaf.cf/TChsfsdfjdsfjdsfjVX/</t>
  </si>
  <si>
    <t>yierusf.cf</t>
  </si>
  <si>
    <t>5f4e6752e53ed</t>
  </si>
  <si>
    <t>http://yierusf.cf/TChsfsdfjdsfjdsfjVX/</t>
  </si>
  <si>
    <t>svmsjfijs.ml</t>
  </si>
  <si>
    <t>5f4d644bb970d</t>
  </si>
  <si>
    <t>http://svmsjfijs.ml/TChsfsdfjdsfjdsfjVX/</t>
  </si>
  <si>
    <t>iosofs.ml</t>
  </si>
  <si>
    <t>5f4d64425df0e</t>
  </si>
  <si>
    <t>http://iosofs.ml/TChsfsdfjdsfjdsfjVX/</t>
  </si>
  <si>
    <t>bansfjiajf.ml</t>
  </si>
  <si>
    <t>5f4e678ff0003</t>
  </si>
  <si>
    <t>http://bansfjiajf.ml</t>
  </si>
  <si>
    <t>weorowor.cf</t>
  </si>
  <si>
    <t>5f4e67578b281</t>
  </si>
  <si>
    <t>http://weorowor.cf/TChsfsdfjdsfjdsfjVX/</t>
  </si>
  <si>
    <t>gaisiuiiaid.ml</t>
  </si>
  <si>
    <t>5f512f0b99404</t>
  </si>
  <si>
    <t>http://gaisiuiiaid.ml/TChsfsdfjdsfjdsfjVX/</t>
  </si>
  <si>
    <t>nbushudfhusf.cf</t>
  </si>
  <si>
    <t>5f5131814dc11</t>
  </si>
  <si>
    <t>http://nbushudfhusf.cf/TChsfsdfjdsfjdsfjVX/</t>
  </si>
  <si>
    <t>5f4bf72b95ee9</t>
  </si>
  <si>
    <t>https://iwanttoslapyou.ml/TChsfsdfjdsfjdsfjVX/</t>
  </si>
  <si>
    <t>hotdogparty.cf</t>
  </si>
  <si>
    <t>5f4bf719199f5</t>
  </si>
  <si>
    <t>http://hotdogparty.cf/TChsfsdfjdsfjdsfjVX/</t>
  </si>
  <si>
    <t>hereisyou.ml</t>
  </si>
  <si>
    <t>5f4bf710685aa</t>
  </si>
  <si>
    <t>http://hereisyou.ml/TChsfsdfjdsfjdsfjVX/</t>
  </si>
  <si>
    <t>foagihsnv.cf</t>
  </si>
  <si>
    <t>5f4bf707922a0</t>
  </si>
  <si>
    <t>http://foagihsnv.cf/TChsfsdfjdsfjdsfjVX/</t>
  </si>
  <si>
    <t>basjdsfh.cf</t>
  </si>
  <si>
    <t>5f493315405fc</t>
  </si>
  <si>
    <t>http://basjdsfh.cf/TMachdsfgdsffdVX/</t>
  </si>
  <si>
    <t>viosdvu.cf</t>
  </si>
  <si>
    <t>5f49330ccfa64</t>
  </si>
  <si>
    <t>http://viosdvu.cf/TMachdsfgdsffdVX/</t>
  </si>
  <si>
    <t>5f49330518fbe</t>
  </si>
  <si>
    <t>http://iosofs.ml/TMachdsfgdsffdVX/</t>
  </si>
  <si>
    <t>saokdoa.cf</t>
  </si>
  <si>
    <t>5f4932fcf111d</t>
  </si>
  <si>
    <t>http://saokdoa.cf/TMachdsfgdsffdVX/</t>
  </si>
  <si>
    <t>vbasnfi.ml</t>
  </si>
  <si>
    <t>5f4932e9e0461</t>
  </si>
  <si>
    <t>http://vbasnfi.ml/TMachdsfgdsffdVX/</t>
  </si>
  <si>
    <t>ewoijifsf.cf</t>
  </si>
  <si>
    <t>5f4932d72e096</t>
  </si>
  <si>
    <t>http://ewoijifsf.cf/TMachdsfgdsffdVX/</t>
  </si>
  <si>
    <t>wyruywyer.cf</t>
  </si>
  <si>
    <t>5f4932aab46ce</t>
  </si>
  <si>
    <t>http://wyruywyer.cf/TMachdsfgdsffdVX/</t>
  </si>
  <si>
    <t>nbiksnisfjijf.ml</t>
  </si>
  <si>
    <t>5f49329e30e7d</t>
  </si>
  <si>
    <t>http://nbiksnisfjijf.ml/TMachdsfgdsffdVX/</t>
  </si>
  <si>
    <t>nsviji.cf</t>
  </si>
  <si>
    <t>5f49328957d6b</t>
  </si>
  <si>
    <t>http://nsviji.cf/TMachdsfgdsffdVX/</t>
  </si>
  <si>
    <t>triigjsgsg.ml</t>
  </si>
  <si>
    <t>5f4932816523c</t>
  </si>
  <si>
    <t>http://triigjsgsg.ml/TMachdsfgdsffdVX/</t>
  </si>
  <si>
    <t>hutjjgdgji.ml</t>
  </si>
  <si>
    <t>5f493274650f8</t>
  </si>
  <si>
    <t>http://hutjjgdgji.ml/TMachdsfgdsffdVX/</t>
  </si>
  <si>
    <t>zxbvznxmx.ml</t>
  </si>
  <si>
    <t>5f4932546f1ca</t>
  </si>
  <si>
    <t>http://zxbvznxmx.ml/TMachdsfgdsffdVX/</t>
  </si>
  <si>
    <t>eporiowpir.ml</t>
  </si>
  <si>
    <t>5f4932449c54e</t>
  </si>
  <si>
    <t>http://eporiowpir.ml/TMachdsfgdsffdVX/</t>
  </si>
  <si>
    <t>5f49323e476b7</t>
  </si>
  <si>
    <t>http://bnirtiokgd.cf/TMachdsfgdsffdVX/</t>
  </si>
  <si>
    <t>yiuweyrio.ml</t>
  </si>
  <si>
    <t>5f4932375d31b</t>
  </si>
  <si>
    <t>http://yiuweyrio.ml/TMachdsfgdsffdVX/</t>
  </si>
  <si>
    <t>ninsiisf.cf</t>
  </si>
  <si>
    <t>5f49322cf232e</t>
  </si>
  <si>
    <t>http://ninsiisf.cf/TMachdsfgdsffdVX/</t>
  </si>
  <si>
    <t>sdhfsisgsg.cf</t>
  </si>
  <si>
    <t>5f4931ece007d</t>
  </si>
  <si>
    <t>https://sdhfsisgsg.cf/TMachdsfgdsffdVX/</t>
  </si>
  <si>
    <t>vovoxpvoiox.ml</t>
  </si>
  <si>
    <t>5f4931dab1291</t>
  </si>
  <si>
    <t>http://vovoxpvoiox.ml/TMachdsfgdsffdVX/</t>
  </si>
  <si>
    <t>sddcijidiajd.cf</t>
  </si>
  <si>
    <t>5f4931c5ddae6</t>
  </si>
  <si>
    <t>http://sddcijidiajd.cf/TMachdsfgdsffdVX/</t>
  </si>
  <si>
    <t>xzcvifj.cf</t>
  </si>
  <si>
    <t>5f49316617588</t>
  </si>
  <si>
    <t>http://xzcvifj.cf/TMachdsfgdsffdVX/</t>
  </si>
  <si>
    <t>hisg8dshg.ml</t>
  </si>
  <si>
    <t>5f493155332df</t>
  </si>
  <si>
    <t>https://hisg8dshg.ml/TMachdsfgdsffdVX/</t>
  </si>
  <si>
    <t>5f49314fe84fa</t>
  </si>
  <si>
    <t>http://svmsjfijs.ml/TMachdsfgdsffdVX/</t>
  </si>
  <si>
    <t>vmmnz.ml</t>
  </si>
  <si>
    <t>5f493143ec8a4</t>
  </si>
  <si>
    <t>https://vmmnz.ml/TMachdsfgdsffdVX/</t>
  </si>
  <si>
    <t>moskoksf.ml</t>
  </si>
  <si>
    <t>5f4931374edb0</t>
  </si>
  <si>
    <t>https://moskoksf.ml/TMachdsfgdsffdVX/</t>
  </si>
  <si>
    <t>hgijoaoikd.cf</t>
  </si>
  <si>
    <t>5f493121727be</t>
  </si>
  <si>
    <t>https://hgijoaoikd.cf/TMachdsfgdsffdVX/</t>
  </si>
  <si>
    <t>zxcniasjdia.cf</t>
  </si>
  <si>
    <t>5f4930f36d452</t>
  </si>
  <si>
    <t>https://zxcniasjdia.cf/TMachdsfgdsffdVX/</t>
  </si>
  <si>
    <t>5f4930eeeafd5</t>
  </si>
  <si>
    <t>https://hioafisfi.cf/TMachdsfgdsffdVX/</t>
  </si>
  <si>
    <t>jofsfpsopf.ml</t>
  </si>
  <si>
    <t>5f4930e62bbc0</t>
  </si>
  <si>
    <t>https://jofsfpsopf.ml/TMachdsfgdsffdVX/</t>
  </si>
  <si>
    <t>eewopoepw.cf</t>
  </si>
  <si>
    <t>5f4930da14a09</t>
  </si>
  <si>
    <t>https://eewopoepw.cf/TMachdsfgdsffdVX/</t>
  </si>
  <si>
    <t>bzvjijadijad.cf</t>
  </si>
  <si>
    <t>5f492e5f855cc</t>
  </si>
  <si>
    <t>https://bzvjijadijad.cf/TMachdsfgdsffdVX/</t>
  </si>
  <si>
    <t>bzhxhbijzb.ml</t>
  </si>
  <si>
    <t>5f492e5a691ff</t>
  </si>
  <si>
    <t>http://bzhxhbijzb.ml/TMachdsfgdsffdVX/</t>
  </si>
  <si>
    <t>bmisinfisfijs.cf</t>
  </si>
  <si>
    <t>5f492e528fd30</t>
  </si>
  <si>
    <t>http://bmisinfisfijs.cf/TMachdsfgdsffdVX/</t>
  </si>
  <si>
    <t>bninjisjf.ml</t>
  </si>
  <si>
    <t>5f492ca59a487</t>
  </si>
  <si>
    <t>https://bninjisjf.ml/TMachdsfgdsffdVX/</t>
  </si>
  <si>
    <t>ggopow.cf</t>
  </si>
  <si>
    <t>5f492c9d89fad</t>
  </si>
  <si>
    <t>https://ggopow.cf/TMachdsfgdsffdVX/</t>
  </si>
  <si>
    <t>sdfcjaosf.cf</t>
  </si>
  <si>
    <t>5f492c94acfb3</t>
  </si>
  <si>
    <t>http://sdfcjaosf.cf/TMachdsfgdsffdVX/</t>
  </si>
  <si>
    <t>tubhijsf.ml</t>
  </si>
  <si>
    <t>5f492c8790c03</t>
  </si>
  <si>
    <t>https://tubhijsf.ml/TMachdsfgdsffdVX/</t>
  </si>
  <si>
    <t>jfjieifjad.ml</t>
  </si>
  <si>
    <t>5f492c827ff02</t>
  </si>
  <si>
    <t>http://jfjieifjad.ml/TMachdsfgdsffdVX/</t>
  </si>
  <si>
    <t>wijiwifs.cf</t>
  </si>
  <si>
    <t>5f492c7770503</t>
  </si>
  <si>
    <t>https://wijiwifs.cf/TMachdsfgdsffdVX/</t>
  </si>
  <si>
    <t>jhsjhfjkshf.cf</t>
  </si>
  <si>
    <t>5f492c6cd9f9b</t>
  </si>
  <si>
    <t>https://jhsjhfjkshf.cf/TMachdsfgdsffdVX/</t>
  </si>
  <si>
    <t>wowpopeowp.cf</t>
  </si>
  <si>
    <t>5f492c6809f36</t>
  </si>
  <si>
    <t>http://wowpopeowp.cf/TMachdsfgdsffdVX/</t>
  </si>
  <si>
    <t>zbvubsauaif.cf</t>
  </si>
  <si>
    <t>5f492c6200e66</t>
  </si>
  <si>
    <t>http://zbvubsauaif.cf/TMachdsfgdsffdVX/</t>
  </si>
  <si>
    <t>popplpopad.ml</t>
  </si>
  <si>
    <t>5f492c57786bf</t>
  </si>
  <si>
    <t>http://popplpopad.ml/TMachdsfgdsffdVX/</t>
  </si>
  <si>
    <t>ksokdofoskf.ml</t>
  </si>
  <si>
    <t>5f492c51091c7</t>
  </si>
  <si>
    <t>http://ksokdofoskf.ml/TMachdsfgdsffdVX/</t>
  </si>
  <si>
    <t>xvnmvzvnm.cf</t>
  </si>
  <si>
    <t>5f492c4bef72b</t>
  </si>
  <si>
    <t>http://xvnmvzvnm.cf/TMachdsfgdsffdVX/</t>
  </si>
  <si>
    <t>5f492c45b6ad6</t>
  </si>
  <si>
    <t>http://nbushudfhusf.cf/TMachdsfgdsffdVX/</t>
  </si>
  <si>
    <t>ireguiaad.ml</t>
  </si>
  <si>
    <t>5f492c3fd5769</t>
  </si>
  <si>
    <t>http://ireguiaad.ml/TMachdsfgdsffdVX/</t>
  </si>
  <si>
    <t>5f492c3a50c69</t>
  </si>
  <si>
    <t>http://gaisiuiiaid.ml/TMachdsfgdsffdVX/</t>
  </si>
  <si>
    <t>aoqwoiqeoi.cf</t>
  </si>
  <si>
    <t>5f492c2f35bc5</t>
  </si>
  <si>
    <t>http://aoqwoiqeoi.cf/TMachdsfgdsffdVX/</t>
  </si>
  <si>
    <t>jokokjo.cf</t>
  </si>
  <si>
    <t>5f492c21843cc</t>
  </si>
  <si>
    <t>http://jokokjo.cf/TMachdsfgdsffdVX/</t>
  </si>
  <si>
    <t>zxbvnnsfisf.cf</t>
  </si>
  <si>
    <t>5f492c1ccfdba</t>
  </si>
  <si>
    <t>http://zxbvnnsfisf.cf/TMachdsfgdsffdVX/</t>
  </si>
  <si>
    <t>5f492c17d1f58</t>
  </si>
  <si>
    <t>http://vcjixdjfajf.cf/TMachdsfgdsffdVX/</t>
  </si>
  <si>
    <t>djwdjoajde.cf</t>
  </si>
  <si>
    <t>5f492c112ff5c</t>
  </si>
  <si>
    <t>http://djwdjoajde.cf/TMachdsfgdsffdVX/</t>
  </si>
  <si>
    <t>sidijvbs.cf</t>
  </si>
  <si>
    <t>5f4928b055625</t>
  </si>
  <si>
    <t>https://sidijvbs.cf/TMachdsfgdsffdVX/</t>
  </si>
  <si>
    <t>utsiuitu.cf</t>
  </si>
  <si>
    <t>5f4928a7d4fdf</t>
  </si>
  <si>
    <t>http://utsiuitu.cf/TMachdsfgdsffdVX/</t>
  </si>
  <si>
    <t>121gotohell.ml</t>
  </si>
  <si>
    <t>5f49271c534b1</t>
  </si>
  <si>
    <t>https://121gotohell.ml/TMachdsfgdsffdVX/</t>
  </si>
  <si>
    <t>ashghsig.cf</t>
  </si>
  <si>
    <t>5f49270fb77db</t>
  </si>
  <si>
    <t>https://ashghsig.cf/TMachdsfgdsffdVX/</t>
  </si>
  <si>
    <t>gotothemarket.cf</t>
  </si>
  <si>
    <t>5f492702789f7</t>
  </si>
  <si>
    <t>https://gotothemarket.cf/TMachdsfgdsffdVX/</t>
  </si>
  <si>
    <t>donigwrong.ml</t>
  </si>
  <si>
    <t>5f4926e5c1bec</t>
  </si>
  <si>
    <t>https://donigwrong.ml/TMachdsfgdsffdVX/</t>
  </si>
  <si>
    <t>tutyfruity.cf</t>
  </si>
  <si>
    <t>5f492566ebbc0</t>
  </si>
  <si>
    <t>https://tutyfruity.cf/TMachdsfgdsffdVX/</t>
  </si>
  <si>
    <t>xvozhvbhf.cf</t>
  </si>
  <si>
    <t>5f492540b0fad</t>
  </si>
  <si>
    <t>http://xvozhvbhf.cf/TMachdsfgdsffdVX/</t>
  </si>
  <si>
    <t>cholddrinks.ml</t>
  </si>
  <si>
    <t>5f49251d3201e</t>
  </si>
  <si>
    <t>https://cholddrinks.ml/TMachdsfgdsffdVX/</t>
  </si>
  <si>
    <t>eirgjs.cf</t>
  </si>
  <si>
    <t>5f4924ebe6b3b</t>
  </si>
  <si>
    <t>http://eirgjs.cf/TMachdsfgdsffdVX/</t>
  </si>
  <si>
    <t>vanillaicecreams.ml</t>
  </si>
  <si>
    <t>5f4924c7ad2ea</t>
  </si>
  <si>
    <t>https://vanillaicecreams.ml/TMachdsfgdsffdVX/</t>
  </si>
  <si>
    <t>5f4857572de59</t>
  </si>
  <si>
    <t>http://zxcniasjdia.cf</t>
  </si>
  <si>
    <t>5f48575230c3c</t>
  </si>
  <si>
    <t>http://bmisinfisfijs.cf</t>
  </si>
  <si>
    <t>5f48574d860b3</t>
  </si>
  <si>
    <t>http://bzhxhbijzb.ml</t>
  </si>
  <si>
    <t>5f48574837074</t>
  </si>
  <si>
    <t>http://bzvjijadijad.cf</t>
  </si>
  <si>
    <t>qwejii.cf</t>
  </si>
  <si>
    <t>5f48573d125d9</t>
  </si>
  <si>
    <t>http://qwejii.cf</t>
  </si>
  <si>
    <t>5f485736c92a1</t>
  </si>
  <si>
    <t>http://djwdjoajde.cf</t>
  </si>
  <si>
    <t>5f485731578f6</t>
  </si>
  <si>
    <t>http://vcjixdjfajf.cf</t>
  </si>
  <si>
    <t>5f48572bda4e5</t>
  </si>
  <si>
    <t>http://zxbvnnsfisf.cf</t>
  </si>
  <si>
    <t>5f485726c1731</t>
  </si>
  <si>
    <t>http://jokokjo.cf</t>
  </si>
  <si>
    <t>5f485721a3c5e</t>
  </si>
  <si>
    <t>http://aoqwoiqeoi.cf</t>
  </si>
  <si>
    <t>5f4857157c3c1</t>
  </si>
  <si>
    <t>http://gaisiuiiaid.ml</t>
  </si>
  <si>
    <t>5f4857101832b</t>
  </si>
  <si>
    <t>http://ireguiaad.ml</t>
  </si>
  <si>
    <t>5f48570a71a6b</t>
  </si>
  <si>
    <t>http://nbushudfhusf.cf</t>
  </si>
  <si>
    <t>5f4857038c5d7</t>
  </si>
  <si>
    <t>http://xvnmvzvnm.cf</t>
  </si>
  <si>
    <t>5f4856fc07015</t>
  </si>
  <si>
    <t>http://ksokdofoskf.ml</t>
  </si>
  <si>
    <t>5f4856e93fbfc</t>
  </si>
  <si>
    <t>http://zbvubsauaif.cf/</t>
  </si>
  <si>
    <t>5f4856e29f1a6</t>
  </si>
  <si>
    <t>http://wowpopeowp.cf/</t>
  </si>
  <si>
    <t>5f4856d4dbc6c</t>
  </si>
  <si>
    <t>https://wijiwifs.cf/TChsfsdfjdsfjdsfjVX/</t>
  </si>
  <si>
    <t>5f4856d198dec</t>
  </si>
  <si>
    <t>https://jhsjhfjkshf.cf/TChsfsdfjdsfjdsfjVX/</t>
  </si>
  <si>
    <t>5f4856cd82436</t>
  </si>
  <si>
    <t>http://jfjieifjad.ml/TChsfsdfjdsfjdsfjVX/</t>
  </si>
  <si>
    <t>djbijjsofk.cf</t>
  </si>
  <si>
    <t>5f4856b100ce6</t>
  </si>
  <si>
    <t>http://djbijjsofk.cf/TChsfsdfjdsfjdsfjVX/</t>
  </si>
  <si>
    <t>tiguoosg.ml</t>
  </si>
  <si>
    <t>5f4856ad38d77</t>
  </si>
  <si>
    <t>http://tiguoosg.ml/TChsfsdfjdsfjdsfjVX/</t>
  </si>
  <si>
    <t>5f4856a9700dd</t>
  </si>
  <si>
    <t>https://bninjisjf.ml/TChsfsdfjdsfjdsfjVX/</t>
  </si>
  <si>
    <t>5f4856a51ca58</t>
  </si>
  <si>
    <t>https://ggopow.cf/TChsfsdfjdsfjdsfjVX/</t>
  </si>
  <si>
    <t>9vsdyhh.ml</t>
  </si>
  <si>
    <t>5f4856a2b2d6d</t>
  </si>
  <si>
    <t>https://9vsdyhh.ml/TChsfsdfjdsfjdsfjVX/</t>
  </si>
  <si>
    <t>5f485654da836</t>
  </si>
  <si>
    <t>http://eirgjs.cf/TChsfsdfjdsfjdsfjVX/</t>
  </si>
  <si>
    <t>zciejsidfji.ml</t>
  </si>
  <si>
    <t>5f485651a4608</t>
  </si>
  <si>
    <t>http://zciejsidfji.ml/TChsfsdfjdsfjdsfjVX/</t>
  </si>
  <si>
    <t>5f48564ebe1d0</t>
  </si>
  <si>
    <t>https://tutyfruity.cf/TChsfsdfjdsfjdsfjVX/</t>
  </si>
  <si>
    <t>softyfruti.ml</t>
  </si>
  <si>
    <t>5f485644dadd9</t>
  </si>
  <si>
    <t>https://softyfruti.ml/TChsfsdfjdsfjdsfjVX/</t>
  </si>
  <si>
    <t>africanbulls.cf</t>
  </si>
  <si>
    <t>5f485641b3a95</t>
  </si>
  <si>
    <t>http://africanbulls.cf/TChsfsdfjdsfjdsfjVX/</t>
  </si>
  <si>
    <t>5f48563e6649a</t>
  </si>
  <si>
    <t>https://gotothemarket.cf/TChsfsdfjdsfjdsfjVX/</t>
  </si>
  <si>
    <t>5f4856391d316</t>
  </si>
  <si>
    <t>https://donigwrong.ml/TChsfsdfjdsfjdsfjVX/</t>
  </si>
  <si>
    <t>5f4856340bf14</t>
  </si>
  <si>
    <t>https://ashghsig.cf/TChsfsdfjdsfjdsfjVX/</t>
  </si>
  <si>
    <t>5f48562e52636</t>
  </si>
  <si>
    <t>http://utsiuitu.cf/TChsfsdfjdsfjdsfjVX/</t>
  </si>
  <si>
    <t>5f48562823f4e</t>
  </si>
  <si>
    <t>https://121gotohell.ml/TChsfsdfjdsfjdsfjVX/</t>
  </si>
  <si>
    <t>5f4855e320d56</t>
  </si>
  <si>
    <t>http://popplpopad.ml/TChsfsdfjdsfjdsfjVX/</t>
  </si>
  <si>
    <t>5f3d391d8382f</t>
  </si>
  <si>
    <t>https://moskoksf.ml/TChsfsdfjdsfjdsfjVX/</t>
  </si>
  <si>
    <t>5f3d391ae2269</t>
  </si>
  <si>
    <t>https://hgijoaoikd.cf/TChsfsdfjdsfjdsfjVX/</t>
  </si>
  <si>
    <t>5f3c1056b22eb</t>
  </si>
  <si>
    <t>https://moskoksf.ml</t>
  </si>
  <si>
    <t>5f3c1028ccfff</t>
  </si>
  <si>
    <t>https://sdhfsisgsg.cf</t>
  </si>
  <si>
    <t>fsfhuhrf.cf</t>
  </si>
  <si>
    <t>5f3c101f36b67</t>
  </si>
  <si>
    <t>https://fsfhuhrf.cf/TMachdsfgdsffdVX/</t>
  </si>
  <si>
    <t>tioiotio.ml</t>
  </si>
  <si>
    <t>5f3c0fcbb13d6</t>
  </si>
  <si>
    <t>https://tioiotio.ml/TMachdsfgdsffdVX/</t>
  </si>
  <si>
    <t>xzcijczc.cf</t>
  </si>
  <si>
    <t>5f3c0f9ad93a0</t>
  </si>
  <si>
    <t>https://xzcijczc.cf/TMachdsfgdsffdVX/</t>
  </si>
  <si>
    <t>hdsgishghisfg.cf</t>
  </si>
  <si>
    <t>5f3c0f809d577</t>
  </si>
  <si>
    <t>https://hdsgishghisfg.cf/TMachdsfgdsffdVX/</t>
  </si>
  <si>
    <t>jitgjis.cf</t>
  </si>
  <si>
    <t>5f3c0f6d4aa60</t>
  </si>
  <si>
    <t>https://jitgjis.cf/TMachdsfgdsffdVX/</t>
  </si>
  <si>
    <t>5f3c0f556572b</t>
  </si>
  <si>
    <t>http://0zvikiafjoaf.cf/TMachdsfgdsffdVX/</t>
  </si>
  <si>
    <t>www.bnirtiokgd.cf</t>
  </si>
  <si>
    <t>5f3a9b7c9b336</t>
  </si>
  <si>
    <t>http://www.bnirtiokgd.cf/TMachdsfgdsffdVX/</t>
  </si>
  <si>
    <t>myonlinecleans.site</t>
  </si>
  <si>
    <t>128.199.10.45</t>
  </si>
  <si>
    <t>5f3bc53405589</t>
  </si>
  <si>
    <t>https://myonlinecleans.site/0MAdhdsbfMShgdfhdgfHr007/</t>
  </si>
  <si>
    <t>onlineanalytics.ga</t>
  </si>
  <si>
    <t>104.248.54.40</t>
  </si>
  <si>
    <t>5f3ac5345f1f8</t>
  </si>
  <si>
    <t>https://onlineanalytics.ga/EDWInhelp10010101x/</t>
  </si>
  <si>
    <t>d3kzj4zpkfjhng.cloudfront.net</t>
  </si>
  <si>
    <t>143.204.225.86</t>
  </si>
  <si>
    <t>5f3ac563d4637</t>
  </si>
  <si>
    <t>https://d3kzj4zpkfjhng.cloudfront.net/7947/index.html</t>
  </si>
  <si>
    <t>getonlinemedsis.site</t>
  </si>
  <si>
    <t>128.199.4.90</t>
  </si>
  <si>
    <t>5f3ac59a1936d</t>
  </si>
  <si>
    <t>https://getonlinemedsis.site/0EDdhdsbfMShgdfhdgfHr007/</t>
  </si>
  <si>
    <t>getonlinepharmas.site</t>
  </si>
  <si>
    <t>161.35.239.88</t>
  </si>
  <si>
    <t>5f3ad269ef7a8</t>
  </si>
  <si>
    <t>https://getonlinepharmas.site/EDWInhelp10010101x/</t>
  </si>
  <si>
    <t>rootserver578.ml</t>
  </si>
  <si>
    <t>104.27.137.6</t>
  </si>
  <si>
    <t>5f3b272d5e903</t>
  </si>
  <si>
    <t>https://rootserver578.ml/Call_Microsoft_windows_Helpline3041215/MAfdfdfdfd_AK/</t>
  </si>
  <si>
    <t>time-2-clean-alert-info.cf</t>
  </si>
  <si>
    <t>199.188.200.9</t>
  </si>
  <si>
    <t>5f7d4af6d7182</t>
  </si>
  <si>
    <t>https://time-2-clean-alert-info.cf/EDWInhelp10010101xK/</t>
  </si>
  <si>
    <t>www.problemfixing.website</t>
  </si>
  <si>
    <t>5f48546790aac</t>
  </si>
  <si>
    <t>https://www.problemfixing.website/Dchfdfdfdfd777MSa/index.html</t>
  </si>
  <si>
    <t>perfectpictures.website</t>
  </si>
  <si>
    <t>5f43f2e6e3991</t>
  </si>
  <si>
    <t>https://perfectpictures.website/Dedfdfdfdfd777MSa/index.html</t>
  </si>
  <si>
    <t>gprefreshinklink.website</t>
  </si>
  <si>
    <t>5f43cfca3b328</t>
  </si>
  <si>
    <t>https://gprefreshinklink.website/Dedfdfdfdfd777MSa/index.html</t>
  </si>
  <si>
    <t>www.allownetworkreport.website</t>
  </si>
  <si>
    <t>5f42508bcaf95</t>
  </si>
  <si>
    <t>https://www.allownetworkreport.website/Dchfdfdfdfd777MSa/index.html</t>
  </si>
  <si>
    <t>fixingdesign.website</t>
  </si>
  <si>
    <t>5f4195e0d35ba</t>
  </si>
  <si>
    <t>https://fixingdesign.website/Dchfdfdfdfd777MSa/index.html</t>
  </si>
  <si>
    <t>allownetworkreport.website</t>
  </si>
  <si>
    <t>5f4195cfa208d</t>
  </si>
  <si>
    <t>https://allownetworkreport.website/Dchfdfdfdfd777MSa/index.html</t>
  </si>
  <si>
    <t>redirectingpages.website</t>
  </si>
  <si>
    <t>5f414dad14832</t>
  </si>
  <si>
    <t>https://redirectingpages.website/DMAfdfdfdfd777MSa/index.html</t>
  </si>
  <si>
    <t>networkerrors.website</t>
  </si>
  <si>
    <t>5f413b331e41b</t>
  </si>
  <si>
    <t>https://networkerrors.website/DMAfdfdfdfd777MSa/index.html</t>
  </si>
  <si>
    <t>freshsearch.website</t>
  </si>
  <si>
    <t>5f406e20dff88</t>
  </si>
  <si>
    <t>https://freshsearch.website/Dchfdfdfdfd777MSa/index.html</t>
  </si>
  <si>
    <t>fixissueproblem.website</t>
  </si>
  <si>
    <t>5f406dfa580c5</t>
  </si>
  <si>
    <t>https://fixissueproblem.website/Dchfdfdfdfd777MSa/index.html</t>
  </si>
  <si>
    <t>refreshlink.website</t>
  </si>
  <si>
    <t>5f4060a8e8fc0</t>
  </si>
  <si>
    <t>https://refreshlink.website/Dedfdfdfdfd777MSa/index.html</t>
  </si>
  <si>
    <t>www.datingattack.website</t>
  </si>
  <si>
    <t>5f3d3af808a96</t>
  </si>
  <si>
    <t>https://www.datingattack.website/Dchfdfdfdfd777MSa/index.html</t>
  </si>
  <si>
    <t>activationreport.website</t>
  </si>
  <si>
    <t>5f3c5d2cc7cfc</t>
  </si>
  <si>
    <t>https://activationreport.website/DMAfdfdfdfd777MSa/index.html</t>
  </si>
  <si>
    <t>www.problemresolve.website</t>
  </si>
  <si>
    <t>5f3bfdb04a024</t>
  </si>
  <si>
    <t>https://www.problemresolve.website/DMAfdfdfdfd777MSa/index.html</t>
  </si>
  <si>
    <t>www.problemissue.website</t>
  </si>
  <si>
    <t>5f3bfd7c7a733</t>
  </si>
  <si>
    <t>https://www.problemissue.website/DMAfdfdfdfd777MSa/index.html</t>
  </si>
  <si>
    <t>fixnetworkissue.website</t>
  </si>
  <si>
    <t>5f3bdf3267eaa</t>
  </si>
  <si>
    <t>https://fixnetworkissue.website/Dedfdfdfdfd777MSa/index.html</t>
  </si>
  <si>
    <t>108.61.123.215</t>
  </si>
  <si>
    <t>5f3d13d9155c7</t>
  </si>
  <si>
    <t>http://108.61.123.215/index.html?phone=024197798856</t>
  </si>
  <si>
    <t>5f3cf6d30597a</t>
  </si>
  <si>
    <t>http://108.61.123.215/index.html?phone=0800-082-6106</t>
  </si>
  <si>
    <t>networkerror0x000n125.xyz</t>
  </si>
  <si>
    <t>192.119.67.196</t>
  </si>
  <si>
    <t>5f73857479df1</t>
  </si>
  <si>
    <t>https://networkerror0x000n125.xyz/CHfdfdfdfdfdfdfdfdfTodducode0xhelpms001NC/index.html</t>
  </si>
  <si>
    <t>networkerror0x062n42.xyz</t>
  </si>
  <si>
    <t>5f440595bf368</t>
  </si>
  <si>
    <t>https://networkerror0x062n42.xyz/systemerrors/SdEDfdgdfgdfgdffg-2NV/</t>
  </si>
  <si>
    <t>reportednetworkproblem0x0021n.club</t>
  </si>
  <si>
    <t>5f4177c9c7f0f</t>
  </si>
  <si>
    <t>https://reportednetworkproblem0x0021n.club/systemerrors/SdEDfdgdfgdfgdffg-2NV/</t>
  </si>
  <si>
    <t>reportednetworkproblem0x0023n.club</t>
  </si>
  <si>
    <t>5f40fd9a52b43</t>
  </si>
  <si>
    <t>https://reportednetworkproblem0x0023n.club/systemerrors/SdMAfdgdfgdfgdffg-2NV/</t>
  </si>
  <si>
    <t>www.networkerror0x003list.xyz</t>
  </si>
  <si>
    <t>5f404d6129695</t>
  </si>
  <si>
    <t>https://www.networkerror0x003list.xyz/systemerrors/SdCHfdgdfgdfgdffg-2NV/</t>
  </si>
  <si>
    <t>networkerror0x002list.xyz</t>
  </si>
  <si>
    <t>5f4038441704d</t>
  </si>
  <si>
    <t>https://networkerror0x002list.xyz/systemerrors/SdEDfdgdfgdfgdffg-2NV/</t>
  </si>
  <si>
    <t>networkerror0x00list.xyz</t>
  </si>
  <si>
    <t>5f401f0bc1ac7</t>
  </si>
  <si>
    <t>https://networkerror0x00list.xyz/systemerror/SdEDfdgdfgdfgdffg-2NV/</t>
  </si>
  <si>
    <t>5f4017f476399</t>
  </si>
  <si>
    <t>https://networkerror0x00list.xyz/systemerrors/SdEDfdgdfgdfgdffg-2NV/</t>
  </si>
  <si>
    <t>reportednetworkproblem0x0026n.club</t>
  </si>
  <si>
    <t>5f4011903a158</t>
  </si>
  <si>
    <t>https://reportednetworkproblem0x0026n.club/systemerrors/SdEDfdgdfgdfgdffg-2NV/</t>
  </si>
  <si>
    <t>reportednetworkproblem0x0022n.club</t>
  </si>
  <si>
    <t>5f3f1398a520e</t>
  </si>
  <si>
    <t>https://reportednetworkproblem0x0022n.club/systemerrors/SdMAfdgdfgdfgdffg-2NV/</t>
  </si>
  <si>
    <t>5f3eb73ac79c2</t>
  </si>
  <si>
    <t>https://reportednetworkproblem0x0026n.club/systemerror/SdMAfdgdfgdfgdffg-2NV/</t>
  </si>
  <si>
    <t>reportednetworkproblem0x0025n.club</t>
  </si>
  <si>
    <t>5f3e68aa40a86</t>
  </si>
  <si>
    <t>https://reportednetworkproblem0x0025n.club/systemerror/SdMAfdgdfgdfgdffg-2NV/</t>
  </si>
  <si>
    <t>reportednetworkproblem0x0024n.club</t>
  </si>
  <si>
    <t>5f3dcf2d58b24</t>
  </si>
  <si>
    <t>https://reportednetworkproblem0x0024n.club/systemerror/SdMAfdgdfgdfgdffg-2NV/</t>
  </si>
  <si>
    <t>5f3d82a31efca</t>
  </si>
  <si>
    <t>https://reportednetworkproblem0x0023n.club/systemerror/SdMAfdgdfgdfgdffg-2NV/</t>
  </si>
  <si>
    <t>5f3c564e0e285</t>
  </si>
  <si>
    <t>https://reportednetworkproblem0x0022n.club/systemerror/SdMAfdgdfgdfgdffg-2NV/</t>
  </si>
  <si>
    <t>5f3bfbe0cd11a</t>
  </si>
  <si>
    <t>https://reportednetworkproblem0x0021n.club/system/SdMAfdgdfgdfgdffg-2NV/</t>
  </si>
  <si>
    <t>d1szoxgm70gnbr.cloudfront.net</t>
  </si>
  <si>
    <t>143.204.225.146</t>
  </si>
  <si>
    <t>5f3c14659570a</t>
  </si>
  <si>
    <t>https://d1szoxgm70gnbr.cloudfront.net/7947/index.html</t>
  </si>
  <si>
    <t>myonlinefreshin.site</t>
  </si>
  <si>
    <t>142.93.70.133</t>
  </si>
  <si>
    <t>5f3c1480b0bef</t>
  </si>
  <si>
    <t>https://myonlinefreshin.site/EDWInhelp10010101x/</t>
  </si>
  <si>
    <t>griblatersofspain.site</t>
  </si>
  <si>
    <t>138.201.161.164</t>
  </si>
  <si>
    <t>5f588739828c1</t>
  </si>
  <si>
    <t>https://griblatersofspain.site/edox01-24s54fs4-er58er78w4-c5xv456s3-ere5rw84-45s878ee-45d789s46-c5v8784s-5f48s48-448dsf/njporx-6424/edgcx/</t>
  </si>
  <si>
    <t>fittofastings.site</t>
  </si>
  <si>
    <t>5f55f2e1001fa</t>
  </si>
  <si>
    <t>https://fittofastings.site/edox01-24s54fs4-er58er78w4-c5xv456s3-ere5rw84-45s878ee-45d789s46-c5v8784s-5f48s48-448dsf/njporx-3823/edgcx/</t>
  </si>
  <si>
    <t>grekothefighter.online</t>
  </si>
  <si>
    <t>5f4e1056e5385</t>
  </si>
  <si>
    <t>https://grekothefighter.online/reiokfx01-nx5465-d5fdf749w-cx54654s6-skjiaei-nd5g4d56-ere9r8ew5-xv65s6ds-a5656-m1fx6f/njporx-3823/edgcx/</t>
  </si>
  <si>
    <t>xaahookamartil.online</t>
  </si>
  <si>
    <t>5f44ae689b528</t>
  </si>
  <si>
    <t>https://xaahookamartil.online/qrokf01-2h584fd6-cvc9846-d5s987r4-c59846-ds598s78r4-vc548s896-cb58d5-x5f498sd4s-c587df/njporx-4337/edgcx/</t>
  </si>
  <si>
    <t>noctrnalbats.online</t>
  </si>
  <si>
    <t>5f4345a586148</t>
  </si>
  <si>
    <t>https://noctrnalbats.online/qrokf01-2h584fd6-cvc9846-d5s987r4-c59846-ds598s78r4-vc548s896-cb58d5-x5f498sd4s-c587df/njporx-4337/edgcx/</t>
  </si>
  <si>
    <t>coreinsfoangnore.online</t>
  </si>
  <si>
    <t>5f3cafb8f0cdb</t>
  </si>
  <si>
    <t>https://coreinsfoangnore.online/rokwtx01-gdf45d46-rt5r488e6-vc44d654g6-c58er7e-df5d789r4-vc45g7e78-as57r88e-cv4b886-df5dt8/njporx-5153/edgcx/</t>
  </si>
  <si>
    <t>xenon3.ga</t>
  </si>
  <si>
    <t>104.31.82.230</t>
  </si>
  <si>
    <t>5f3c57e99c723</t>
  </si>
  <si>
    <t>https://xenon3.ga/mytu2-0933/Chxrx-974169/index.html</t>
  </si>
  <si>
    <t>xenon2.ga</t>
  </si>
  <si>
    <t>104.27.179.188</t>
  </si>
  <si>
    <t>5f3c58e21ad53</t>
  </si>
  <si>
    <t>https://xenon2.ga/mytu2-0933/Chxrx-974169/index.html</t>
  </si>
  <si>
    <t>xenon1.ga</t>
  </si>
  <si>
    <t>172.67.181.64</t>
  </si>
  <si>
    <t>5f3c590992725</t>
  </si>
  <si>
    <t>https://xenon1.ga/mytu2-0933/Chxrx-974169/index.html</t>
  </si>
  <si>
    <t>xenon4.ga</t>
  </si>
  <si>
    <t>172.67.136.143</t>
  </si>
  <si>
    <t>5f3c591d1c398</t>
  </si>
  <si>
    <t>https://xenon4.ga/mytu2-0933/Chxrx-974169/index.html</t>
  </si>
  <si>
    <t>xenon5.ga</t>
  </si>
  <si>
    <t>104.18.63.125</t>
  </si>
  <si>
    <t>5f3c592a2af05</t>
  </si>
  <si>
    <t>https://xenon5.ga/mytu2-0933/Chxrx-974169/index.html</t>
  </si>
  <si>
    <t>Seoul</t>
  </si>
  <si>
    <t>dyfile99pc.s3.ap-northeast-2.amazonaws.com</t>
  </si>
  <si>
    <t>52.219.56.71</t>
  </si>
  <si>
    <t>5f3d1a307491e</t>
  </si>
  <si>
    <t>https://dyfile99pc.s3.ap-northeast-2.amazonaws.com/index.html</t>
  </si>
  <si>
    <t>South Korea</t>
  </si>
  <si>
    <t>netserver394.ga</t>
  </si>
  <si>
    <t>104.28.21.233</t>
  </si>
  <si>
    <t>5f3d1acfd9329</t>
  </si>
  <si>
    <t>https://netserver394.ga/da0-sd0s-d0as-0ds.hbd/MA100101010XCDH/</t>
  </si>
  <si>
    <t>nynetworkazissue.site</t>
  </si>
  <si>
    <t>64.227.54.160</t>
  </si>
  <si>
    <t>5f3d38c8ad10c</t>
  </si>
  <si>
    <t>https://nynetworkazissue.site/0MCdhdsbfMShgdfhdgfHrGa/</t>
  </si>
  <si>
    <t>networkrwissueny.site</t>
  </si>
  <si>
    <t>5f3d38ab573b4</t>
  </si>
  <si>
    <t>https://networkrwissueny.site/0MCdhdsbfMShgdfhdgfHrGa/</t>
  </si>
  <si>
    <t>netnyworkrwissue.site</t>
  </si>
  <si>
    <t>5f3d3894cf30f</t>
  </si>
  <si>
    <t>https://netnyworkrwissue.site/0MCdhdsbfMShgdfhdgfHrGa/</t>
  </si>
  <si>
    <t>165.232.74.223</t>
  </si>
  <si>
    <t>5f3d351f55223</t>
  </si>
  <si>
    <t>http://165.232.74.223/EDfdfffdgfgfgdfgdfgf-1/</t>
  </si>
  <si>
    <t>104.238.190.241</t>
  </si>
  <si>
    <t>5f3e5bef2040a</t>
  </si>
  <si>
    <t>http://104.238.190.241/index.html?phone=0800-082-6106</t>
  </si>
  <si>
    <t>onlinegeeksite.cf</t>
  </si>
  <si>
    <t>104.248.234.59</t>
  </si>
  <si>
    <t>5f3d827e12ff6</t>
  </si>
  <si>
    <t>https://onlinegeeksite.cf/ViOS_vsvdsvHelp/</t>
  </si>
  <si>
    <t>1ammapi.azurewebsites.net</t>
  </si>
  <si>
    <t>52.173.77.140</t>
  </si>
  <si>
    <t>5f3dcfa1ee1b4</t>
  </si>
  <si>
    <t>http://1ammapi.azurewebsites.net/MSaxMD1001011001010110100110101010100101010dfdfd1010100101010110/</t>
  </si>
  <si>
    <t>integer050.ml</t>
  </si>
  <si>
    <t>104.27.183.55</t>
  </si>
  <si>
    <t>5f3ddc7b1122e</t>
  </si>
  <si>
    <t>https://integer050.ml/dsfsd0f-fs0dfsf0-sd0f.jpy/JPsddsdEDss8dsdsds0d</t>
  </si>
  <si>
    <t>209.97.167.221</t>
  </si>
  <si>
    <t>5f3ddc8405383</t>
  </si>
  <si>
    <t>http://209.97.167.221/</t>
  </si>
  <si>
    <t>54.145.48.55</t>
  </si>
  <si>
    <t>5f3ddc8ae021f</t>
  </si>
  <si>
    <t>http://54.145.48.55/j7205/Call-Support1/</t>
  </si>
  <si>
    <t>mediaback401instifo.xyz</t>
  </si>
  <si>
    <t>198.54.116.109</t>
  </si>
  <si>
    <t>5f48e664675b3</t>
  </si>
  <si>
    <t>https://mediaback401instifo.xyz/</t>
  </si>
  <si>
    <t>supportphone9901.xyz</t>
  </si>
  <si>
    <t>5f402ac7d5e7e</t>
  </si>
  <si>
    <t>https://supportphone9901.xyz/</t>
  </si>
  <si>
    <t>www.supportphone9907.xyz</t>
  </si>
  <si>
    <t>5f402a7d7a75a</t>
  </si>
  <si>
    <t>https://www.supportphone9907.xyz/</t>
  </si>
  <si>
    <t>www.alertinfo6881.xyz</t>
  </si>
  <si>
    <t>5f3e9959ced4e</t>
  </si>
  <si>
    <t>https://www.alertinfo6881.xyz/</t>
  </si>
  <si>
    <t>155.138.240.201</t>
  </si>
  <si>
    <t>5f3ead54dd4f4</t>
  </si>
  <si>
    <t>http://155.138.240.201/0ED01011001_77DH/</t>
  </si>
  <si>
    <t>mail.amazonsale.me</t>
  </si>
  <si>
    <t>128.199.254.67</t>
  </si>
  <si>
    <t>5f4029ff21187</t>
  </si>
  <si>
    <t>http://mail.amazonsale.me/</t>
  </si>
  <si>
    <t>me</t>
  </si>
  <si>
    <t>amazonsale.me</t>
  </si>
  <si>
    <t>5f3eb88df2d58</t>
  </si>
  <si>
    <t>https://amazonsale.me</t>
  </si>
  <si>
    <t>myonlineldress.site</t>
  </si>
  <si>
    <t>128.199.8.11</t>
  </si>
  <si>
    <t>5f3ec4080ff93</t>
  </si>
  <si>
    <t>https://myonlineldress.site/0MCdhdsbfMShgdfhdgfHr007/</t>
  </si>
  <si>
    <t>Mumbai</t>
  </si>
  <si>
    <t>3.6.193.32</t>
  </si>
  <si>
    <t>5f3ec5bdea222</t>
  </si>
  <si>
    <t>http://3.6.193.32/ch/xCh1001010x01/</t>
  </si>
  <si>
    <t>104.238.153.154</t>
  </si>
  <si>
    <t>5f408432c1e03</t>
  </si>
  <si>
    <t>http://104.238.153.154/0CH01011001_77DH/</t>
  </si>
  <si>
    <t>5f3eccd2cde63</t>
  </si>
  <si>
    <t>http://104.238.153.154/0MA01011001_77DH/</t>
  </si>
  <si>
    <t>165.232.60.56</t>
  </si>
  <si>
    <t>5f3ecd56d37aa</t>
  </si>
  <si>
    <t>http://165.232.60.56/edge_winos_xx/?phone=+1-(888)-965-0702&amp;amp;</t>
  </si>
  <si>
    <t>45.32.150.143</t>
  </si>
  <si>
    <t>5f3f9070ebe67</t>
  </si>
  <si>
    <t>http://45.32.150.143/index.html?phone=0800-082-6106</t>
  </si>
  <si>
    <t>140.82.34.211</t>
  </si>
  <si>
    <t>5f3fa24dca77c</t>
  </si>
  <si>
    <t>http://140.82.34.211/EDfdfffdgfgfgdfgdfgfMPr/</t>
  </si>
  <si>
    <t>54.75.35.82</t>
  </si>
  <si>
    <t>5f3fa47cbaa25</t>
  </si>
  <si>
    <t>http://54.75.35.82/cavisos/collapses.html?=031-528-25-45</t>
  </si>
  <si>
    <t>myonlineluggage.site</t>
  </si>
  <si>
    <t>64.227.102.160</t>
  </si>
  <si>
    <t>5f3fad2fed531</t>
  </si>
  <si>
    <t>https://myonlineluggage.site/0MAdhdsbfMShgdfhdgfHr007/</t>
  </si>
  <si>
    <t>66.42.126.205</t>
  </si>
  <si>
    <t>5f40065a1bb20</t>
  </si>
  <si>
    <t>http://66.42.126.205/11Ch_get_help10018PH_MS/</t>
  </si>
  <si>
    <t>159.89.129.16</t>
  </si>
  <si>
    <t>5f40218886a41</t>
  </si>
  <si>
    <t>http://159.89.129.16/edge_winos_xx/?phone=+1-(888)-965-0923&amp;amp;</t>
  </si>
  <si>
    <t>sipmaniyrroshland.club</t>
  </si>
  <si>
    <t>166.62.6.65</t>
  </si>
  <si>
    <t>5f4854cb18565</t>
  </si>
  <si>
    <t>http://sipmaniyrroshland.club/</t>
  </si>
  <si>
    <t>sipmaniyrroshcompany.club</t>
  </si>
  <si>
    <t>5f4026eca1d6e</t>
  </si>
  <si>
    <t>http://sipmaniyrroshcompany.club</t>
  </si>
  <si>
    <t>80.240.25.190</t>
  </si>
  <si>
    <t>5f402b8e998b6</t>
  </si>
  <si>
    <t>http://80.240.25.190/CHfdfffdgfgfgdfgdfgfMPr/</t>
  </si>
  <si>
    <t>virus-alert-code-03jksfob.tk</t>
  </si>
  <si>
    <t>162.241.85.121</t>
  </si>
  <si>
    <t>5f4d625f05166</t>
  </si>
  <si>
    <t>http://virus-alert-code-03jksfob.tk/CHfdfdfdfd100110dfRS/</t>
  </si>
  <si>
    <t>virus-alert-code-03jksfob.ga</t>
  </si>
  <si>
    <t>5f4d625b9967a</t>
  </si>
  <si>
    <t>http://virus-alert-code-03jksfob.ga/CHfdfdfdfd100110dfRS/</t>
  </si>
  <si>
    <t>virus-alert-code-03jksfob.ml</t>
  </si>
  <si>
    <t>5f4d623133a50</t>
  </si>
  <si>
    <t>http://virus-alert-code-03jksfob.ml/RETI/Chfdfdfdfdfd0071/index.html</t>
  </si>
  <si>
    <t>virus-alert-code-03jksfob.gq</t>
  </si>
  <si>
    <t>5f4d622064279</t>
  </si>
  <si>
    <t>http://virus-alert-code-03jksfob.gq/CHfdfdfdfd100110dfRS/</t>
  </si>
  <si>
    <t>91839940-error.gq</t>
  </si>
  <si>
    <t>5f41954e1b4b1</t>
  </si>
  <si>
    <t>http://91839940-error.gq/Alert-Warning/CHfdfdfdfd100110dfRS/</t>
  </si>
  <si>
    <t>91839940-error.ml</t>
  </si>
  <si>
    <t>5f419549d5e64</t>
  </si>
  <si>
    <t>http://91839940-error.ml/Alert/CHfdfdfdfd100110dfRS/</t>
  </si>
  <si>
    <t>91839940-error.tk</t>
  </si>
  <si>
    <t>5f4195458ca48</t>
  </si>
  <si>
    <t>http://91839940-error.tk/CHfdfdfdfd100110dfRS/</t>
  </si>
  <si>
    <t>code-error-03.cf</t>
  </si>
  <si>
    <t>5f415ffc40ab3</t>
  </si>
  <si>
    <t>http://code-error-03.cf/CHfdfdfdfd100110dfRS/</t>
  </si>
  <si>
    <t>error-om3802ls.cf</t>
  </si>
  <si>
    <t>5f402c3edad98</t>
  </si>
  <si>
    <t>http://error-om3802ls.cf/HI/AMdsffCHdfsfdsdfs23004Ank/</t>
  </si>
  <si>
    <t>error-th20b9035.ga</t>
  </si>
  <si>
    <t>5f402c1d3ea51</t>
  </si>
  <si>
    <t>http://error-th20b9035.ga/CHfdfdfdfd100110dfRS/</t>
  </si>
  <si>
    <t>error-th20b9035.cf</t>
  </si>
  <si>
    <t>5f402c0a21ecc</t>
  </si>
  <si>
    <t>http://error-th20b9035.cf/CHfdfdfdfd100110dfRS/</t>
  </si>
  <si>
    <t>error-om3802ls.gq</t>
  </si>
  <si>
    <t>5f402bfe8b95b</t>
  </si>
  <si>
    <t>http://error-om3802ls.gq/Alert/AMdsffCHdfsfdsdfs23004Ank/</t>
  </si>
  <si>
    <t>error-om3802ls.ga</t>
  </si>
  <si>
    <t>5f402beec6b99</t>
  </si>
  <si>
    <t>http://error-om3802ls.ga/HI/AMdsffCHdfsfdsdfs23004Ank/</t>
  </si>
  <si>
    <t>error-th20a9034.cf</t>
  </si>
  <si>
    <t>5f402bbe78fa5</t>
  </si>
  <si>
    <t>http://error-th20a9034.cf/EDfdfdfdfd100110dfRS/</t>
  </si>
  <si>
    <t>157.245.191.129</t>
  </si>
  <si>
    <t>5f4031c39643b</t>
  </si>
  <si>
    <t>http://157.245.191.129/edge_winos_xx/?phone=+1-(888)-851-0516&amp;amp;</t>
  </si>
  <si>
    <t>52.200.200.117</t>
  </si>
  <si>
    <t>5f4089e2dbf57</t>
  </si>
  <si>
    <t>http://52.200.200.117/j7205/Call-Support1/</t>
  </si>
  <si>
    <t>vajbfksdbfjksgdfsjgdbfsgfsdhfgll.xyz</t>
  </si>
  <si>
    <t>45.58.40.189</t>
  </si>
  <si>
    <t>5f40363e1482b</t>
  </si>
  <si>
    <t>https://vajbfksdbfjksgdfsjgdbfsgfsdhfgll.xyz/0021/XEDdhdsbfhgdfhdgfMKx/index.html</t>
  </si>
  <si>
    <t>getonlineratios.site</t>
  </si>
  <si>
    <t>164.90.154.221</t>
  </si>
  <si>
    <t>5f40435b25fab</t>
  </si>
  <si>
    <t>https://getonlineratios.site/0EDdhdsbfMShgdfhdgfHr007/</t>
  </si>
  <si>
    <t>totalizer505.ga</t>
  </si>
  <si>
    <t>172.67.189.221</t>
  </si>
  <si>
    <t>5f40fd63bbe85</t>
  </si>
  <si>
    <t>https://totalizer505.ga/sd0as-sd0a-ds0d.hyn/Mafsdfsdfsddsds90/</t>
  </si>
  <si>
    <t>5f408a6648842</t>
  </si>
  <si>
    <t>https://totalizer505.ga/sd0as-sd0a-ds0d.hyn/Edfsdfsdfsddsds90/</t>
  </si>
  <si>
    <t>utility594.ml</t>
  </si>
  <si>
    <t>172.67.172.55</t>
  </si>
  <si>
    <t>5f4082b7eb385</t>
  </si>
  <si>
    <t>https://utility594.ml/dflksdljsdbvaskbvks;bfvkjsvbsjvs.hnf/ED100101010XCDH/</t>
  </si>
  <si>
    <t>AS5577 r</t>
  </si>
  <si>
    <t>Helmsange</t>
  </si>
  <si>
    <t>tech-defender.top</t>
  </si>
  <si>
    <t>root SA</t>
  </si>
  <si>
    <t>94.242.202.180</t>
  </si>
  <si>
    <t>5f415d1078b08</t>
  </si>
  <si>
    <t>https://tech-defender.top/D00ChsfsdfjdsfjdsfjRV/</t>
  </si>
  <si>
    <t>top</t>
  </si>
  <si>
    <t>Luxembourg</t>
  </si>
  <si>
    <t>secure-techdevice.com</t>
  </si>
  <si>
    <t>5f40fe4e5abbf</t>
  </si>
  <si>
    <t>https://secure-techdevice.com/D00MachdsfgdsffdRV/</t>
  </si>
  <si>
    <t>security-helpdesk.top</t>
  </si>
  <si>
    <t>5f40fe1e95954</t>
  </si>
  <si>
    <t>https://security-helpdesk.top/D00MachdsfgdsffdRV/</t>
  </si>
  <si>
    <t>www.lakseq34.tk</t>
  </si>
  <si>
    <t>149.28.241.164</t>
  </si>
  <si>
    <t>5f40fe606d253</t>
  </si>
  <si>
    <t>https://www.lakseq34.tk/DdfdfdfdfdMAfdfddfdf007RJ/</t>
  </si>
  <si>
    <t>172.67.192.31</t>
  </si>
  <si>
    <t>5f40fee766b50</t>
  </si>
  <si>
    <t>http://suppresse.tk/WMachdsfgdsffdVX/index.html</t>
  </si>
  <si>
    <t>Las Vegas</t>
  </si>
  <si>
    <t>34.125.183.156</t>
  </si>
  <si>
    <t>5f42c3fb4318c</t>
  </si>
  <si>
    <t>http://34.125.183.156/3210/EDWInhelp100VWIN10101AW/</t>
  </si>
  <si>
    <t>5f41613f5a4a1</t>
  </si>
  <si>
    <t>http://34.125.183.156/1674/EDWInhelp100VWIN10101AW/</t>
  </si>
  <si>
    <t>5f415fd7c8dea</t>
  </si>
  <si>
    <t>http://34.125.183.156/3456/EDWInhelp100VWIN10101AW/</t>
  </si>
  <si>
    <t>5f415e63a4575</t>
  </si>
  <si>
    <t>http://34.125.183.156/1034/EDWInhelp100VWIN10101AW/</t>
  </si>
  <si>
    <t>5f4155a4d6a8a</t>
  </si>
  <si>
    <t>http://34.125.183.156/9266/EDWInhelp100VWIN10101AW/</t>
  </si>
  <si>
    <t>5f41551f98961</t>
  </si>
  <si>
    <t>http://34.125.183.156/2619/EDWInhelp100VWIN10101AW/</t>
  </si>
  <si>
    <t>5f415179b805c</t>
  </si>
  <si>
    <t>http://34.125.183.156/8860/EDWInhelp100VWIN10101AW/</t>
  </si>
  <si>
    <t>5f414fb80ce52</t>
  </si>
  <si>
    <t>http://34.125.183.156/3725/CHWInhelp10VWIN010101AW/</t>
  </si>
  <si>
    <t>allreport-server-database.azurewebsites.net</t>
  </si>
  <si>
    <t>51.116.145.32</t>
  </si>
  <si>
    <t>5f415b34ddaf2</t>
  </si>
  <si>
    <t>https://allreport-server-database.azurewebsites.net/Dchfdfdfdfd777Msink/</t>
  </si>
  <si>
    <t>freeware605.ga</t>
  </si>
  <si>
    <t>64.225.122.18</t>
  </si>
  <si>
    <t>5f419623c6905</t>
  </si>
  <si>
    <t>https://freeware605.ga/fsdfsd-0sdf-sdf0sdf0sd-f0sdf-sd0fsd-f0sd-fsd0fs-df0sd-f0sdf0sdfsd0fsdf0.orh/Chfsdfsdfsddsds90/</t>
  </si>
  <si>
    <t>flowchart404.cf</t>
  </si>
  <si>
    <t>5f42224c78e5e</t>
  </si>
  <si>
    <t>https://flowchart404.cf/d-0zc0-dsf0s0-sdf0sdfsd0fs-df0sf-s0dfs-df0sd-f0sdf-sdf0s0f.org/Edfsdfsdfsddsds90/</t>
  </si>
  <si>
    <t>128.199.6.141</t>
  </si>
  <si>
    <t>5f416fd86f042</t>
  </si>
  <si>
    <t>http://128.199.6.141/0MCdhdsbfMShgdfhdgfHr007</t>
  </si>
  <si>
    <t>myonlinesmore.site</t>
  </si>
  <si>
    <t>5f416b7f3c71a</t>
  </si>
  <si>
    <t>https://myonlinesmore.site/0EDdhdsbfMShgdfhdgfHr007/</t>
  </si>
  <si>
    <t>liomojsjuhdhd.azurewebsites.net</t>
  </si>
  <si>
    <t>13.89.172.1</t>
  </si>
  <si>
    <t>5f4170803804b</t>
  </si>
  <si>
    <t>http://liomojsjuhdhd.azurewebsites.net/TChsfsdfjdsfjdsfjVX/</t>
  </si>
  <si>
    <t>compility304.ml</t>
  </si>
  <si>
    <t>104.18.53.87</t>
  </si>
  <si>
    <t>5f41ac477ce72</t>
  </si>
  <si>
    <t>https://compility304.ml/dsa0das-d0sd-asd0as-d0asd-as0d-asd0.bhd/Dedfdfdfdfd777MSa/</t>
  </si>
  <si>
    <t>securityhelpline24x77helpcjscjhsdhjk0003.monster</t>
  </si>
  <si>
    <t>149.28.244.125</t>
  </si>
  <si>
    <t>5f41e987ec9df</t>
  </si>
  <si>
    <t>https://securityhelpline24x77helpcjscjhsdhjk0003.monster/Helplineerrorsoftwarexsfdfdfc0307/AMdsffCHdfsfdsdfs23004M/index.html</t>
  </si>
  <si>
    <t>callnow81.azurewebsites.net</t>
  </si>
  <si>
    <t>13.66.138.104</t>
  </si>
  <si>
    <t>5f52872b5dfb2</t>
  </si>
  <si>
    <t>http://callnow81.azurewebsites.net/Mer-cado/</t>
  </si>
  <si>
    <t>freesupportcall18.azurewebsites.net</t>
  </si>
  <si>
    <t>5f4e7352c5870</t>
  </si>
  <si>
    <t>http://freesupportcall18.azurewebsites.net/q5gCvYnz6kzKvgY/</t>
  </si>
  <si>
    <t>freesupport61.azurewebsites.net</t>
  </si>
  <si>
    <t>5f4c0d764bb04</t>
  </si>
  <si>
    <t>http://freesupport61.azurewebsites.net/gHBW7zFVGjwcrjr/</t>
  </si>
  <si>
    <t>callnow-free111.azurewebsites.net</t>
  </si>
  <si>
    <t>5f4c090a33a3e</t>
  </si>
  <si>
    <t>http://callnow-free111.azurewebsites.net/S9M5QFaca7VkHSt/</t>
  </si>
  <si>
    <t>freesupportservice149.azurewebsites.net</t>
  </si>
  <si>
    <t>5f4ad93229703</t>
  </si>
  <si>
    <t>http://freesupportservice149.azurewebsites.net/vcCsfdvjFg4P5tp/</t>
  </si>
  <si>
    <t>freesupportservice121.azurewebsites.net</t>
  </si>
  <si>
    <t>5f4ad8cad5310</t>
  </si>
  <si>
    <t>http://freesupportservice121.azurewebsites.net/vcCsfdvjFg4P5tp/</t>
  </si>
  <si>
    <t>getfreesupport161.azurewebsites.net</t>
  </si>
  <si>
    <t>5f49767d2132f</t>
  </si>
  <si>
    <t>http://getfreesupport161.azurewebsites.net/gHBW7zFVGjwcrjr/</t>
  </si>
  <si>
    <t>freemaintenance111.azurewebsites.net</t>
  </si>
  <si>
    <t>5f495ed88606b</t>
  </si>
  <si>
    <t>http://freemaintenance111.azurewebsites.net/q5gCvYnz6kzKvgY/</t>
  </si>
  <si>
    <t>freemaintenance91.azurewebsites.net</t>
  </si>
  <si>
    <t>5f495e8848585</t>
  </si>
  <si>
    <t>http://freemaintenance91.azurewebsites.net/q5gCvYnz6kzKvgY/</t>
  </si>
  <si>
    <t>carefreesupport01.azurewebsites.net</t>
  </si>
  <si>
    <t>5f4800f316184</t>
  </si>
  <si>
    <t>http://carefreesupport01.azurewebsites.net/vcCsfdvjFg4P5tp/index.html</t>
  </si>
  <si>
    <t>computer51.azurewebsites.net</t>
  </si>
  <si>
    <t>5f479fd6577b7</t>
  </si>
  <si>
    <t>http://computer51.azurewebsites.net/Belle-Plaine/</t>
  </si>
  <si>
    <t>getfreesupport91.azurewebsites.net</t>
  </si>
  <si>
    <t>5f4451c5c1ba1</t>
  </si>
  <si>
    <t>https://getfreesupport91.azurewebsites.net/atEdYhpx5ykF2Ru/</t>
  </si>
  <si>
    <t>getfreesupport61.azurewebsites.net</t>
  </si>
  <si>
    <t>5f44508207e76</t>
  </si>
  <si>
    <t>https://getfreesupport61.azurewebsites.net/atEdYhpx5ykF2Ru/</t>
  </si>
  <si>
    <t>freesupportservice50.azurewebsites.net</t>
  </si>
  <si>
    <t>5f4441662e1a7</t>
  </si>
  <si>
    <t>https://freesupportservice50.azurewebsites.net/8sx3ztC96XSvHKs/</t>
  </si>
  <si>
    <t>freesupportservice84.azurewebsites.net</t>
  </si>
  <si>
    <t>5f443fa02d636</t>
  </si>
  <si>
    <t>https://freesupportservice84.azurewebsites.net/8sx3ztC96XSvHKs/</t>
  </si>
  <si>
    <t>freesupportservices90.azurewebsites.net</t>
  </si>
  <si>
    <t>5f424b5f9c7bb</t>
  </si>
  <si>
    <t>http://freesupportservices90.azurewebsites.net/CxDm3vwargBTus8/</t>
  </si>
  <si>
    <t>aggregate540.cf</t>
  </si>
  <si>
    <t>104.31.76.247</t>
  </si>
  <si>
    <t>5f427e7602dd7</t>
  </si>
  <si>
    <t>https://aggregate540.cf/Call_for_Security_issues_Helplin5981348/DchfdfdfdfdAQ1/</t>
  </si>
  <si>
    <t>queue600.ml</t>
  </si>
  <si>
    <t>104.18.41.250</t>
  </si>
  <si>
    <t>5f42b201b0f90</t>
  </si>
  <si>
    <t>https://queue600.ml/dasd-sad0sa-d0sad-sa0d-as0das-d0asd0.hba/Chfsdfsdfsddsds90/</t>
  </si>
  <si>
    <t>importantfailsafe.xyz</t>
  </si>
  <si>
    <t>165.232.43.44</t>
  </si>
  <si>
    <t>5f42b23c02edc</t>
  </si>
  <si>
    <t>https://importantfailsafe.xyz/0EDdhdsbfMShgdfhdgfHrMsi/</t>
  </si>
  <si>
    <t>spammer594.cf</t>
  </si>
  <si>
    <t>104.28.6.149</t>
  </si>
  <si>
    <t>5f42ba7636504</t>
  </si>
  <si>
    <t>https://spammer594.cf/fdsf0-sdfd0s-0fd.jhn/XEDdhdsbfhgdfhdgf9x0Xd/</t>
  </si>
  <si>
    <t>debugbase593.cf</t>
  </si>
  <si>
    <t>104.28.19.21</t>
  </si>
  <si>
    <t>5f42c5c6d6a44</t>
  </si>
  <si>
    <t>https://debugbase593.cf/dasd-d0as-d0asd-as0d-asd0.hbd/XEDdhdsbfhgdfhdgf9x0Xd/</t>
  </si>
  <si>
    <t>Salt Lake City</t>
  </si>
  <si>
    <t>34.106.220.81</t>
  </si>
  <si>
    <t>5f4303a7ba197</t>
  </si>
  <si>
    <t>http://34.106.220.81/</t>
  </si>
  <si>
    <t>5f42ef3da1a21</t>
  </si>
  <si>
    <t>http://34.106.220.81/1508/EDWInhelp100VWIN10101AW/</t>
  </si>
  <si>
    <t>5f42e09bb197e</t>
  </si>
  <si>
    <t>http://34.106.220.81/0435/EDWInhelp100VWIN10101AW/</t>
  </si>
  <si>
    <t>5f42dc540c36e</t>
  </si>
  <si>
    <t>http://34.106.220.81/5745/EDWInhelp100VWIN10101AW/</t>
  </si>
  <si>
    <t>136.244.116.122</t>
  </si>
  <si>
    <t>5f4367f8856a0</t>
  </si>
  <si>
    <t>http://136.244.116.122/index.html?phone=0800-082-6106</t>
  </si>
  <si>
    <t>34.198.110.242</t>
  </si>
  <si>
    <t>5f438284630fb</t>
  </si>
  <si>
    <t>http://34.198.110.242/j9541/Call-Mac-Support/</t>
  </si>
  <si>
    <t>5f43826be34ae</t>
  </si>
  <si>
    <t>http://34.198.110.242/j0214/Call-Support3/</t>
  </si>
  <si>
    <t>5f4381ff1af6d</t>
  </si>
  <si>
    <t>http://34.198.110.242/j7205/Call-Support2/</t>
  </si>
  <si>
    <t>5f43463f00bc6</t>
  </si>
  <si>
    <t>http://34.198.110.242/j5324/Call-Support2/</t>
  </si>
  <si>
    <t>slatedate954.cf</t>
  </si>
  <si>
    <t>172.67.155.125</t>
  </si>
  <si>
    <t>5f43459d65940</t>
  </si>
  <si>
    <t>https://slatedate954.cf/sdf-sf0dsf-sf0dsf-ds0fd0f-d0f.hbd/Edfsdfsdfsddsds90/</t>
  </si>
  <si>
    <t>157.230.115.52</t>
  </si>
  <si>
    <t>5f437f89848d5</t>
  </si>
  <si>
    <t>http://157.230.115.52/EDfdfffdgfgfgdfgdfgf-1/</t>
  </si>
  <si>
    <t>142.93.101.107</t>
  </si>
  <si>
    <t>5f43852460c92</t>
  </si>
  <si>
    <t>http://142.93.101.107/</t>
  </si>
  <si>
    <t>45.63.43.225</t>
  </si>
  <si>
    <t>5f43888c6e702</t>
  </si>
  <si>
    <t>http://45.63.43.225/EDfdfffdgfgfgdfgdfgf-1/</t>
  </si>
  <si>
    <t>45.32.152.24</t>
  </si>
  <si>
    <t>5f439a175548c</t>
  </si>
  <si>
    <t>http://45.32.152.24/EDfdfffdgfgfgdfgdfgf-1/</t>
  </si>
  <si>
    <t>iconbase650.ga</t>
  </si>
  <si>
    <t>172.67.180.14</t>
  </si>
  <si>
    <t>5f43b8d778867</t>
  </si>
  <si>
    <t>https://iconbase650.ga/asdasd-0sd-sad0as-das0d-asd0as-d0asd-as0da-d0asd-asda-sd0as.org/ED100101010XCDH/</t>
  </si>
  <si>
    <t>52.214.246.187</t>
  </si>
  <si>
    <t>5f43cd8d5dcce</t>
  </si>
  <si>
    <t>http://52.214.246.187/twnlit/twitch.html?=0970-1024-0293</t>
  </si>
  <si>
    <t>onlinesupportduos.site</t>
  </si>
  <si>
    <t>128.199.14.43</t>
  </si>
  <si>
    <t>5f43fcea2fb49</t>
  </si>
  <si>
    <t>https://onlinesupportduos.site/0EDdhdsbfMShgdfhdgfHr007/</t>
  </si>
  <si>
    <t>onlinesupporthalths.site</t>
  </si>
  <si>
    <t>128.199.6.209</t>
  </si>
  <si>
    <t>5f440a99ba5b5</t>
  </si>
  <si>
    <t>https://onlinesupporthalths.site/0EDdhdsbfMShgdfhdgfHr007/</t>
  </si>
  <si>
    <t>contravance504.ga</t>
  </si>
  <si>
    <t>104.24.99.21</t>
  </si>
  <si>
    <t>5f440ac17d098</t>
  </si>
  <si>
    <t>https://contravance504.ga/dfdsf-df0sd-f0sdf-sd0f-sd0fs.org/XEDdhdsbfMShgdfhdgfHD247/</t>
  </si>
  <si>
    <t>aggregate605.cf</t>
  </si>
  <si>
    <t>104.18.49.117</t>
  </si>
  <si>
    <t>5f44af09edde5</t>
  </si>
  <si>
    <t>https://aggregate605.cf/asd0asd-as0da-sd0as-da0.bgvt/Edfsdfsdfsddsds90/</t>
  </si>
  <si>
    <t>terminal694.ga</t>
  </si>
  <si>
    <t>172.67.179.250</t>
  </si>
  <si>
    <t>5f44aee50f748</t>
  </si>
  <si>
    <t>https://terminal694.ga/dasd0-sdasd-sa0d-asd0as-d0as-dsa0.hub/Edfsdfsdfsddsds90/</t>
  </si>
  <si>
    <t>bramblelawncare.site</t>
  </si>
  <si>
    <t>172.67.146.163</t>
  </si>
  <si>
    <t>5f442cf99b99a</t>
  </si>
  <si>
    <t>https://bramblelawncare.site/code2927e/CHfdfdfdfd100110dfSHA/</t>
  </si>
  <si>
    <t>104.248.46.104</t>
  </si>
  <si>
    <t>5f445898b1666</t>
  </si>
  <si>
    <t>http://104.248.46.104/CHWInhelp10GK010101AW/</t>
  </si>
  <si>
    <t>chatsupport999.gq</t>
  </si>
  <si>
    <t>198.54.116.164</t>
  </si>
  <si>
    <t>5f44592d57903</t>
  </si>
  <si>
    <t>https://chatsupport999.gq/XMCdhdsbfMShgdfhdgfHDMSh/</t>
  </si>
  <si>
    <t>onlinecomputersupport52.azurewebsites.net</t>
  </si>
  <si>
    <t>104.42.78.153</t>
  </si>
  <si>
    <t>5f721d0c2ed28</t>
  </si>
  <si>
    <t>https://onlinecomputersupport52.azurewebsites.net/Kq8XSq5WNCgY68z/</t>
  </si>
  <si>
    <t>freecomputersupport22.azurewebsites.net</t>
  </si>
  <si>
    <t>5f6a3ccb99d3b</t>
  </si>
  <si>
    <t>https://freecomputersupport22.azurewebsites.net/PjY6bTgrEnuKddE/</t>
  </si>
  <si>
    <t>freecomputersupport17.azurewebsites.net</t>
  </si>
  <si>
    <t>5f6a37b47d8e4</t>
  </si>
  <si>
    <t>https://freecomputersupport17.azurewebsites.net/PjY6bTgrEnuKddE/</t>
  </si>
  <si>
    <t>freecomputerhelp170.azurewebsites.net</t>
  </si>
  <si>
    <t>5f699e8b020de</t>
  </si>
  <si>
    <t>https://freecomputerhelp170.azurewebsites.net/R7tcvkAFdAwS4B4</t>
  </si>
  <si>
    <t>freecomputerhelp130.azurewebsites.net</t>
  </si>
  <si>
    <t>5f690c3a8f19f</t>
  </si>
  <si>
    <t>https://freecomputerhelp130.azurewebsites.net/R7tcvkAFdAwS4B4/</t>
  </si>
  <si>
    <t>checkup92.azurewebsites.net</t>
  </si>
  <si>
    <t>5f447a1b2dc06</t>
  </si>
  <si>
    <t>http://checkup92.azurewebsites.net/Kristy-Cortez/</t>
  </si>
  <si>
    <t>checkup82.azurewebsites.net</t>
  </si>
  <si>
    <t>5f4479c5eef1d</t>
  </si>
  <si>
    <t>http://checkup82.azurewebsites.net/Kristy-Cortez/</t>
  </si>
  <si>
    <t>136.244.115.112</t>
  </si>
  <si>
    <t>5f450a761f220</t>
  </si>
  <si>
    <t>http://136.244.115.112/index.html?phone=0800-082-6106</t>
  </si>
  <si>
    <t>spammer864.cf</t>
  </si>
  <si>
    <t>172.67.187.85</t>
  </si>
  <si>
    <t>5f454988edd12</t>
  </si>
  <si>
    <t>https://spammer864.cf/dsad-asd0as-d0asd-as0dsa-.hbd/XEDdhdsbfhgdfhdgf9x0Xd/</t>
  </si>
  <si>
    <t>infomediasolutions.in</t>
  </si>
  <si>
    <t>172.67.165.141</t>
  </si>
  <si>
    <t>5f455a7138ca4</t>
  </si>
  <si>
    <t>https://infomediasolutions.in/code2631e/CHfdfdfdfd100110dfSHA/</t>
  </si>
  <si>
    <t>freeware549.ga</t>
  </si>
  <si>
    <t>104.27.161.166</t>
  </si>
  <si>
    <t>5f45ddff5ef89</t>
  </si>
  <si>
    <t>https://freeware549.ga/sdaa09asd-asd0as-d0as-d0sa.hbs/Edfsdfsdfsddsds90/</t>
  </si>
  <si>
    <t>217.69.4.195</t>
  </si>
  <si>
    <t>Cosmoline S.A</t>
  </si>
  <si>
    <t>5f464ebbc58e7</t>
  </si>
  <si>
    <t>http://217.69.4.195/index.html?phone=0800-082-6106</t>
  </si>
  <si>
    <t>iosmohit.s3-website.us-east-2.amazonaws.com</t>
  </si>
  <si>
    <t>52.219.96.115</t>
  </si>
  <si>
    <t>5f4661e9ea6a0</t>
  </si>
  <si>
    <t>http://iosmohit.s3-website.us-east-2.amazonaws.com/</t>
  </si>
  <si>
    <t>queue493.ml</t>
  </si>
  <si>
    <t>104.28.12.241</t>
  </si>
  <si>
    <t>5f46672f453a1</t>
  </si>
  <si>
    <t>https://queue493.ml/eacrx01asdgxcvasdgagasdfagafg-asdf546asd2adsf5sda6fasd62vas6df/</t>
  </si>
  <si>
    <t>104.28.13.241</t>
  </si>
  <si>
    <t>5f4670dbb0f6c</t>
  </si>
  <si>
    <t>https://queue493.ml/WA10011001010EDV_JUasd6f54cxv16a5sdf4a87sd645-s6a5d4f351v65asd4f6a789as6d5465ads4654as6/</t>
  </si>
  <si>
    <t>136.244.116.210</t>
  </si>
  <si>
    <t>5f4772275dc33</t>
  </si>
  <si>
    <t>http://136.244.116.210/index.html?phone=0800-082-6106</t>
  </si>
  <si>
    <t>pconlinehelp107.azurewebsites.net</t>
  </si>
  <si>
    <t>40.71.11.134</t>
  </si>
  <si>
    <t>5f60798b157f9</t>
  </si>
  <si>
    <t>https://pconlinehelp107.azurewebsites.net/ERDDrHjVfKbFJbQ/</t>
  </si>
  <si>
    <t>pconlinehelp157.azurewebsites.net</t>
  </si>
  <si>
    <t>5f607921af00b</t>
  </si>
  <si>
    <t>https://pconlinehelp157.azurewebsites.net/ERDDrHjVfKbFJbQ/</t>
  </si>
  <si>
    <t>pchelpdesk69.azurewebsites.net</t>
  </si>
  <si>
    <t>5f5a5960e9589</t>
  </si>
  <si>
    <t>https://pchelpdesk69.azurewebsites.net/garretttanners7d/</t>
  </si>
  <si>
    <t>pchelpdesk39.azurewebsites.net</t>
  </si>
  <si>
    <t>5f5a589e2ff0f</t>
  </si>
  <si>
    <t>https://pchelpdesk39.azurewebsites.net/garretttanners7d/</t>
  </si>
  <si>
    <t>pchelpdesk07.azurewebsites.net</t>
  </si>
  <si>
    <t>5f5a57c5e7391</t>
  </si>
  <si>
    <t>https://pchelpdesk07.azurewebsites.net/garretttanners7d/</t>
  </si>
  <si>
    <t>pchelpservices117.azurewebsites.net</t>
  </si>
  <si>
    <t>5f591c16c9e43</t>
  </si>
  <si>
    <t>https://pchelpservices117.azurewebsites.net/garretttanners7d/</t>
  </si>
  <si>
    <t>pchelpservices106.azurewebsites.net</t>
  </si>
  <si>
    <t>5f59170cc5c39</t>
  </si>
  <si>
    <t>https://pchelpservices106.azurewebsites.net/dawsonwhlerS7v/</t>
  </si>
  <si>
    <t>carefreesupport09.azurewebsites.net</t>
  </si>
  <si>
    <t>5f4800ca2e451</t>
  </si>
  <si>
    <t>http://carefreesupport09.azurewebsites.net/vcCsfdvjFg4P5tp/index.html</t>
  </si>
  <si>
    <t>keep-caring365-24x7.cf</t>
  </si>
  <si>
    <t>68.183.125.32</t>
  </si>
  <si>
    <t>5f4d46e8e26d7</t>
  </si>
  <si>
    <t>https://keep-caring365-24x7.cf/0EDfdfdfdfddfd99900V/</t>
  </si>
  <si>
    <t>messageupdates.ga</t>
  </si>
  <si>
    <t>5f483fcca9f49</t>
  </si>
  <si>
    <t>https://messageupdates.ga/0EDfdfdfdfddfd99900V/</t>
  </si>
  <si>
    <t>anrios123.s3-website-us-east-1.amazonaws.com</t>
  </si>
  <si>
    <t>52.217.44.51</t>
  </si>
  <si>
    <t>5f48495792ec6</t>
  </si>
  <si>
    <t>http://anrios123.s3-website-us-east-1.amazonaws.com/</t>
  </si>
  <si>
    <t>www.pclive44367.xyz</t>
  </si>
  <si>
    <t>166.62.10.182</t>
  </si>
  <si>
    <t>5f48550b05cee</t>
  </si>
  <si>
    <t>http://www.pclive44367.xyz/ccccccccccccccccccccccccccccc/xCh1001010x0190/</t>
  </si>
  <si>
    <t>mypclog4536.xyz</t>
  </si>
  <si>
    <t>5f4854b39ea54</t>
  </si>
  <si>
    <t>http://mypclog4536.xyz/chrmex-newp/</t>
  </si>
  <si>
    <t>134.122.68.138</t>
  </si>
  <si>
    <t>5f48b85a935d2</t>
  </si>
  <si>
    <t>http://134.122.68.138/</t>
  </si>
  <si>
    <t>199.247.15.89</t>
  </si>
  <si>
    <t>5f48cb5c94f3c</t>
  </si>
  <si>
    <t>http://199.247.15.89/index.html?phone=0800-082-6106</t>
  </si>
  <si>
    <t>villaraygarden.site</t>
  </si>
  <si>
    <t>104.27.184.20</t>
  </si>
  <si>
    <t>5f49456306e56</t>
  </si>
  <si>
    <t>https://villaraygarden.site/code4812e/CHfdfdfdfd100110dfSHA/</t>
  </si>
  <si>
    <t>accurateclime.com</t>
  </si>
  <si>
    <t>172.67.128.161</t>
  </si>
  <si>
    <t>5f497810c54a0</t>
  </si>
  <si>
    <t>http://accurateclime.com/code0271e/CHfdfdfdfd100110dfSHA/</t>
  </si>
  <si>
    <t>45.76.46.9</t>
  </si>
  <si>
    <t>5f4a1c9ea55e2</t>
  </si>
  <si>
    <t>http://45.76.46.9/index.html?phone=0800-082-6106</t>
  </si>
  <si>
    <t>pcwebdesign65656.xyz</t>
  </si>
  <si>
    <t>166.62.10.141</t>
  </si>
  <si>
    <t>5f4bf486d591c</t>
  </si>
  <si>
    <t>http://pcwebdesign65656.xyz/ccccccccccccccccccccccccccccc/xCh1001010x0190/</t>
  </si>
  <si>
    <t>purchasenewdrift.site</t>
  </si>
  <si>
    <t>128.199.13.52</t>
  </si>
  <si>
    <t>5f4d36118172f</t>
  </si>
  <si>
    <t>https://purchasenewdrift.site/0EDdhdsbfMShgdfhdgfHr007/</t>
  </si>
  <si>
    <t>sirisays.online</t>
  </si>
  <si>
    <t>165.22.39.96</t>
  </si>
  <si>
    <t>5f4d35c023c49</t>
  </si>
  <si>
    <t>https://sirisays.online/act-13/EDWInhelp10010101x/</t>
  </si>
  <si>
    <t>3www.hzycxdbv4i.men</t>
  </si>
  <si>
    <t>104.28.11.98</t>
  </si>
  <si>
    <t>5f4d3e5295460</t>
  </si>
  <si>
    <t>http://3www.hzycxdbv4i.men/us2808/EDWInhelp10010101x/?=1-888-412-3892</t>
  </si>
  <si>
    <t>men</t>
  </si>
  <si>
    <t>lastms.s3-website.ca-central-1.amazonaws.com</t>
  </si>
  <si>
    <t>52.95.145.185</t>
  </si>
  <si>
    <t>5f4d4374153d0</t>
  </si>
  <si>
    <t>http://lastms.s3-website.ca-central-1.amazonaws.com/</t>
  </si>
  <si>
    <t>45.76.44.85</t>
  </si>
  <si>
    <t>5f4cc518e75b3</t>
  </si>
  <si>
    <t>http://45.76.44.85/index.html?phone=0800-082-6106</t>
  </si>
  <si>
    <t>58ddcb5fca6b3a5f8d128169faa3f9.xyz</t>
  </si>
  <si>
    <t>68.65.123.177</t>
  </si>
  <si>
    <t>5f4fced7667f7</t>
  </si>
  <si>
    <t>https://58ddcb5fca6b3a5f8d128169faa3f9.xyz/</t>
  </si>
  <si>
    <t>7ae21ec8ea1b416546ad6cf23b33f7.xyz</t>
  </si>
  <si>
    <t>5f511c202e3fb</t>
  </si>
  <si>
    <t>https://7ae21ec8ea1b416546ad6cf23b33f7.xyz/</t>
  </si>
  <si>
    <t>gncmdstore.com</t>
  </si>
  <si>
    <t>107.180.3.171</t>
  </si>
  <si>
    <t>5f512e90f2a14</t>
  </si>
  <si>
    <t>http://gncmdstore.com/200207/TEST/alert/edge/ADUP.html</t>
  </si>
  <si>
    <t>livequick-support150.azurewebsites.net</t>
  </si>
  <si>
    <t>13.85.31.243</t>
  </si>
  <si>
    <t>5faf3e1001397</t>
  </si>
  <si>
    <t>http://livequick-support150.azurewebsites.net/JArbZ98cFQJapCA/</t>
  </si>
  <si>
    <t>quick-support006.azurewebsites.net</t>
  </si>
  <si>
    <t>5fa2fce0edd68</t>
  </si>
  <si>
    <t>https://quick-support006.azurewebsites.net/UsvCPP4t5Gxga6T/</t>
  </si>
  <si>
    <t>freecomputerhelp36.azurewebsites.net</t>
  </si>
  <si>
    <t>5f68d9eba3095</t>
  </si>
  <si>
    <t>https://freecomputerhelp36.azurewebsites.net/R7tcvkAFdAwS4B4/</t>
  </si>
  <si>
    <t>freepchelp120.azurewebsites.net</t>
  </si>
  <si>
    <t>5f624672ccb74</t>
  </si>
  <si>
    <t>https://freepchelp120.azurewebsites.net/TxHTvPq9EFWfwjb/</t>
  </si>
  <si>
    <t>freepchelp10.azurewebsites.net</t>
  </si>
  <si>
    <t>5f61c602619a9</t>
  </si>
  <si>
    <t>https://freepchelp10.azurewebsites.net/ERDDrHjVfKbFJbQ/</t>
  </si>
  <si>
    <t>5f61c548e13e7</t>
  </si>
  <si>
    <t>https://freepchelp76.azurewebsites.net/ERDDrHjVfKbFJbQ/</t>
  </si>
  <si>
    <t>customerfreesupport60.azurewebsites.net</t>
  </si>
  <si>
    <t>5f4d5b72575d6</t>
  </si>
  <si>
    <t>https://customerfreesupport60.azurewebsites.net/HNhGpB5gbMdVDyb/</t>
  </si>
  <si>
    <t>45.77.63.49</t>
  </si>
  <si>
    <t>5f4e1fd98ce6a</t>
  </si>
  <si>
    <t>http://45.77.63.49/index.html?phone=0800-082-6106</t>
  </si>
  <si>
    <t>AS202053</t>
  </si>
  <si>
    <t>94.237.98.176</t>
  </si>
  <si>
    <t>UpCloud Ltd</t>
  </si>
  <si>
    <t>UpCloudLtd</t>
  </si>
  <si>
    <t>5f4e15c055e9c</t>
  </si>
  <si>
    <t>http://94.237.98.176/FFfdfffdgfgfgdfgdfgf-1/</t>
  </si>
  <si>
    <t>systemsecurityerrors118.ga</t>
  </si>
  <si>
    <t>172.104.217.110</t>
  </si>
  <si>
    <t>5f4eb3d2677a7</t>
  </si>
  <si>
    <t>https://systemsecurityerrors118.ga/dududs-sas-sdfid.xus/00Ch_get_help10018Ani/index.html</t>
  </si>
  <si>
    <t>raj-love.xyz</t>
  </si>
  <si>
    <t>166.62.28.105</t>
  </si>
  <si>
    <t>5f4ecd73e4dc4</t>
  </si>
  <si>
    <t>http://raj-love.xyz/0MCdhdsbfSauShgdfhdgfHrIma/</t>
  </si>
  <si>
    <t>165.22.254.0</t>
  </si>
  <si>
    <t>5f4ed37f65e2a</t>
  </si>
  <si>
    <t>http://165.22.254.0/Evcrxxddsyh/</t>
  </si>
  <si>
    <t>45.63.115.154</t>
  </si>
  <si>
    <t>5f4f6bac9459b</t>
  </si>
  <si>
    <t>http://45.63.115.154/index.html?phone=0800-082-6106</t>
  </si>
  <si>
    <t>AS8100 Q</t>
  </si>
  <si>
    <t>Lincoln</t>
  </si>
  <si>
    <t>www.vwvt.tk</t>
  </si>
  <si>
    <t>QuadraNet Enterprises LLC</t>
  </si>
  <si>
    <t>146.71.77.252</t>
  </si>
  <si>
    <t>QuadraNetEnterprisesLLC</t>
  </si>
  <si>
    <t>5fdd672ae318b</t>
  </si>
  <si>
    <t>http://www.vwvt.tk/0MAfdfdfdfddfd99AS/index.html?v=20.3.2020.68.183.133.174&amp;amp;phone=+1-440-922-6094</t>
  </si>
  <si>
    <t>5fd66ecc5d99f</t>
  </si>
  <si>
    <t>http://146.71.77.252/0MAfdfdfdfddfd99AS/index.html?v=20.3.2020.68.183.133.174&amp;amp;phone=+1-440-922-6094</t>
  </si>
  <si>
    <t>vwwt.tk</t>
  </si>
  <si>
    <t>5fd66e61bfb49</t>
  </si>
  <si>
    <t>http://vwwt.tk/mcxtec/0EDfdfdfdfddfd99AS/</t>
  </si>
  <si>
    <t>vwvt.tk</t>
  </si>
  <si>
    <t>5fd66e141490a</t>
  </si>
  <si>
    <t>http://vwvt.tk/0EDfdfdfdfddfd99AS/</t>
  </si>
  <si>
    <t>www.pcitec.tk</t>
  </si>
  <si>
    <t>5f74d2819128f</t>
  </si>
  <si>
    <t>https://www.pcitec.tk/IEEDGE_sdsddshelpX/</t>
  </si>
  <si>
    <t>pcrtec.tk</t>
  </si>
  <si>
    <t>5f72d5ed94b18</t>
  </si>
  <si>
    <t>http://pcrtec.tk/0EDfdfdfdfddfd99AS88/</t>
  </si>
  <si>
    <t>www.pcrtec.tk</t>
  </si>
  <si>
    <t>5f6e443eb4a70</t>
  </si>
  <si>
    <t>https://www.pcrtec.tk/0EDfdfdfdfddfd99AS88/</t>
  </si>
  <si>
    <t>macsecint.tk</t>
  </si>
  <si>
    <t>5f4ff3b18ec7e</t>
  </si>
  <si>
    <t>http://macsecint.tk/0MAfdfdfdfddfd99AS77xy/</t>
  </si>
  <si>
    <t>www.macsecint.tk</t>
  </si>
  <si>
    <t>5f4ff2c4493bd</t>
  </si>
  <si>
    <t>https://www.macsecint.tk/0EDfdfdfdfddfd99AS77xy/</t>
  </si>
  <si>
    <t>31theritrapi.azurewebsites.net</t>
  </si>
  <si>
    <t>52.173.94.173</t>
  </si>
  <si>
    <t>5f500d162a7c4</t>
  </si>
  <si>
    <t>https://31theritrapi.azurewebsites.net/0IEfdfdfdfddfd99MD1001011001010110100110101010100101010dfdfd101010/</t>
  </si>
  <si>
    <t>nkilulviafran.tk</t>
  </si>
  <si>
    <t>104.24.119.116</t>
  </si>
  <si>
    <t>5f5022a2dd589</t>
  </si>
  <si>
    <t>http://nkilulviafran.tk/WChsfsdfjdsfjdsfjVX/</t>
  </si>
  <si>
    <t>systemsecurityerrors135.gq</t>
  </si>
  <si>
    <t>45.79.13.253</t>
  </si>
  <si>
    <t>5f5025cad0d70</t>
  </si>
  <si>
    <t>https://systemsecurityerrors135.gq/GhGh-KiLo-LuCi-PiJu/00Ch_get_help10018Ani/index.html</t>
  </si>
  <si>
    <t>s3-ap-southeast-1.amazonaws.com</t>
  </si>
  <si>
    <t>52.219.128.206</t>
  </si>
  <si>
    <t>5f5131933cdc5</t>
  </si>
  <si>
    <t>https://s3-ap-southeast-1.amazonaws.com/opt.wn32trjnous/chrome_win/index.htm</t>
  </si>
  <si>
    <t>104.248.132.210</t>
  </si>
  <si>
    <t>5f50bd8c94081</t>
  </si>
  <si>
    <t>http://104.248.132.210/</t>
  </si>
  <si>
    <t>45.76.44.81</t>
  </si>
  <si>
    <t>5f50c012e11d7</t>
  </si>
  <si>
    <t>http://45.76.44.81/index.html?phone=0800-082-6106</t>
  </si>
  <si>
    <t>safari-crashed.co</t>
  </si>
  <si>
    <t>107.180.27.156</t>
  </si>
  <si>
    <t>5f51338f07139</t>
  </si>
  <si>
    <t>http://safari-crashed.co/</t>
  </si>
  <si>
    <t>143.110.136.228</t>
  </si>
  <si>
    <t>5f5135544ab74</t>
  </si>
  <si>
    <t>http://143.110.136.228/edge_winos_xx-02-09-2020/?phone=+1-(888)-595-2509&amp;amp;</t>
  </si>
  <si>
    <t>system-security-alerts-03-hacking-attempt-found-8106.s3.us-east-2.ama</t>
  </si>
  <si>
    <t>52.219.84.184</t>
  </si>
  <si>
    <t>5f513604b0c06</t>
  </si>
  <si>
    <t>https://system-security-alerts-03-hacking-attempt-found-8106.s3.us-east-2.amazonaws.com/chrome_win/index.htm</t>
  </si>
  <si>
    <t>bitcoinlogin.tk</t>
  </si>
  <si>
    <t>144.202.31.128</t>
  </si>
  <si>
    <t>5f514d7d9463f</t>
  </si>
  <si>
    <t>http://bitcoinlogin.tk/error.php</t>
  </si>
  <si>
    <t>3.249.245.173</t>
  </si>
  <si>
    <t>5f5207ec739fe</t>
  </si>
  <si>
    <t>http://3.249.245.173/urflas/bangs.html?=031-528-25-45</t>
  </si>
  <si>
    <t>emeraldsaferappleiso.club</t>
  </si>
  <si>
    <t>43.255.154.115</t>
  </si>
  <si>
    <t>5f523e2f5ad59</t>
  </si>
  <si>
    <t>http://emeraldsaferappleiso.club/</t>
  </si>
  <si>
    <t>lucidsaferappleiso.club</t>
  </si>
  <si>
    <t>5f523dc91978c</t>
  </si>
  <si>
    <t>http://lucidsaferappleiso.club/</t>
  </si>
  <si>
    <t>hostexperts.xyz</t>
  </si>
  <si>
    <t>166.62.28.111</t>
  </si>
  <si>
    <t>5f523e6729711</t>
  </si>
  <si>
    <t>http://hostexperts.xyz/chrmex-newp/</t>
  </si>
  <si>
    <t>webbuilt.xyz</t>
  </si>
  <si>
    <t>166.62.28.84</t>
  </si>
  <si>
    <t>5f523ef9779da</t>
  </si>
  <si>
    <t>http://webbuilt.xyz/chrmex-newp/</t>
  </si>
  <si>
    <t>boykdp.club</t>
  </si>
  <si>
    <t>172.67.168.38</t>
  </si>
  <si>
    <t>5f528fec3ff3a</t>
  </si>
  <si>
    <t>https://boykdp.club/_Win_dows_QKV_3Y_JH6_BEP/P_KZIQRWYB_F01_/90JAMZD_/?n_b=MSg4ODgpNjE3IDU2MDk=&amp;amp;s_1=s365_1eNTM1YTg7PUA-</t>
  </si>
  <si>
    <t>flowchart443.cf</t>
  </si>
  <si>
    <t>104.24.122.18</t>
  </si>
  <si>
    <t>5f537502dc532</t>
  </si>
  <si>
    <t>https://flowchart443.cf/Call_for_Security_issues_Helpline6037008/DmafdfdfdfdAQ1/</t>
  </si>
  <si>
    <t>online-bank-logon.xyz</t>
  </si>
  <si>
    <t>107.180.54.253</t>
  </si>
  <si>
    <t>5f57b96d35bd3</t>
  </si>
  <si>
    <t>http://online-bank-logon.xyz/secure05c.chase.com-web-auth-dashboard-dashboard-overviewAccounts-overview-index/error-page.html</t>
  </si>
  <si>
    <t>online-bank-logino.xyz</t>
  </si>
  <si>
    <t>5f53af1ce157c</t>
  </si>
  <si>
    <t>http://online-bank-logino.xyz/secure05c.chase.com-web-auth-dashboard/error-page.html</t>
  </si>
  <si>
    <t>online-bank-login0.xyz</t>
  </si>
  <si>
    <t>5f53aef996ca2</t>
  </si>
  <si>
    <t>http://online-bank-login0.xyz/secure05c.chase.com-web-auth-dashboard/error-page.html</t>
  </si>
  <si>
    <t>online-bank-login.xyz</t>
  </si>
  <si>
    <t>5f53aef538ae1</t>
  </si>
  <si>
    <t>http://online-bank-login.xyz/secure05c.chase.com-web-auth-dashboard/error-page.html</t>
  </si>
  <si>
    <t>online-bank-login2.xyz</t>
  </si>
  <si>
    <t>5f53aed011d98</t>
  </si>
  <si>
    <t>http://online-bank-login2.xyz/secure05c.chase.com-web-auth-dashboard/error-page.html</t>
  </si>
  <si>
    <t>online-bank-login4.xyz</t>
  </si>
  <si>
    <t>5f53aec41d9c9</t>
  </si>
  <si>
    <t>http://online-bank-login4.xyz/secure05c.chase.com-web-auth-dashboard/error-page.html</t>
  </si>
  <si>
    <t>online-bank-login5.xyz</t>
  </si>
  <si>
    <t>5f53ae87d2cc2</t>
  </si>
  <si>
    <t>http://online-bank-login5.xyz/secure05c.chase.com-web-auth-dashboard/error-page.html</t>
  </si>
  <si>
    <t>online-bank-login3.xyz</t>
  </si>
  <si>
    <t>5f53aa277d7bd</t>
  </si>
  <si>
    <t>http://online-bank-login3.xyz/secure05c.chase.com-web-auth-dashboard/error-page.html</t>
  </si>
  <si>
    <t>system-security-alerts-hacking-attempt-found-0159.s3.us-east-2.amazon</t>
  </si>
  <si>
    <t>52.219.97.34</t>
  </si>
  <si>
    <t>5f53d5285f96e</t>
  </si>
  <si>
    <t>https://system-security-alerts-hacking-attempt-found-0159.s3.us-east-2.amazonaws.com/chrome_win/index.htm</t>
  </si>
  <si>
    <t>rootserver844.ml</t>
  </si>
  <si>
    <t>104.27.149.189</t>
  </si>
  <si>
    <t>5f54b43fb0d1c</t>
  </si>
  <si>
    <t>https://rootserver844.ml/Call_for_Security_issues_Helplin6202693/DchfdfdfdfdAQ1/</t>
  </si>
  <si>
    <t>jlcomputersupport.co</t>
  </si>
  <si>
    <t>166.62.28.148</t>
  </si>
  <si>
    <t>5f54e9ec416a6</t>
  </si>
  <si>
    <t>http://jlcomputersupport.co/?=1-877-938-0878</t>
  </si>
  <si>
    <t>AS37907</t>
  </si>
  <si>
    <t>Osaka</t>
  </si>
  <si>
    <t>virussite.xyz</t>
  </si>
  <si>
    <t>DigiRock, Inc.</t>
  </si>
  <si>
    <t>202.172.28.4</t>
  </si>
  <si>
    <t>DigiRock,Inc.</t>
  </si>
  <si>
    <t>5f5501160d6bc</t>
  </si>
  <si>
    <t>http://virussite.xyz/virussite/virussite16/</t>
  </si>
  <si>
    <t>theapplesupport.com</t>
  </si>
  <si>
    <t>68.65.123.43</t>
  </si>
  <si>
    <t>5f55013fb225d</t>
  </si>
  <si>
    <t>http://theapplesupport.com/apple-help/ios-issues/</t>
  </si>
  <si>
    <t>AS58182</t>
  </si>
  <si>
    <t>www.shopsmcafee.com</t>
  </si>
  <si>
    <t>wix com inc</t>
  </si>
  <si>
    <t>185.230.63.177</t>
  </si>
  <si>
    <t>Wix.comLtd.</t>
  </si>
  <si>
    <t>5f561687bec3e</t>
  </si>
  <si>
    <t>https://www.shopsmcafee.com/</t>
  </si>
  <si>
    <t>d280wh70me6un7.cloudfront.net</t>
  </si>
  <si>
    <t>13.225.29.225</t>
  </si>
  <si>
    <t>6082dbd0b53c6</t>
  </si>
  <si>
    <t>https://d280wh70me6un7.cloudfront.net/CHH9/?phone=+1-(866)-853-2508&amp;amp;uclick=bzscqq8n&amp;amp;uclickhash=bzscqq8n-bzscqq8n-pm-0-pm-ft-9l-720501</t>
  </si>
  <si>
    <t>d1xuxlig5twadn.cloudfront.net</t>
  </si>
  <si>
    <t>5f565ddb27fcc</t>
  </si>
  <si>
    <t>https://d1xuxlig5twadn.cloudfront.net/XMFF7xe/?phone=032-211-121-844</t>
  </si>
  <si>
    <t>hjgcfgg3.azurewebsites.net</t>
  </si>
  <si>
    <t>104.43.246.71</t>
  </si>
  <si>
    <t>5f55f2d37b20e</t>
  </si>
  <si>
    <t>http://hjgcfgg3.azurewebsites.net/ched/</t>
  </si>
  <si>
    <t>atryg7d2.azurewebsites.net</t>
  </si>
  <si>
    <t>5f565f8c51abc</t>
  </si>
  <si>
    <t>http://atryg7d2.azurewebsites.net/ched/</t>
  </si>
  <si>
    <t>onlinewebsstores.site</t>
  </si>
  <si>
    <t>128.199.4.176</t>
  </si>
  <si>
    <t>5f5688d059cdf</t>
  </si>
  <si>
    <t>https://onlinewebsstores.site/0MCdhdsbfMShgdfhdgfHr007/</t>
  </si>
  <si>
    <t>AS45102</t>
  </si>
  <si>
    <t>Shanghai</t>
  </si>
  <si>
    <t>microsoftalert.top</t>
  </si>
  <si>
    <t>Alibaba.com Singapore E-Commerce Private</t>
  </si>
  <si>
    <t>161.117.46.120</t>
  </si>
  <si>
    <t>Alibaba(US)TechnologyCo.,Ltd.</t>
  </si>
  <si>
    <t>5f569201539cc</t>
  </si>
  <si>
    <t>https://microsoftalert.top/0CH01011001_BGK/</t>
  </si>
  <si>
    <t>China</t>
  </si>
  <si>
    <t>143.110.200.16</t>
  </si>
  <si>
    <t>5f56a22c8ee84</t>
  </si>
  <si>
    <t>http://143.110.200.16/123wc/?phone=+1-(888)-272-8174&amp;amp;</t>
  </si>
  <si>
    <t>143.110.139.243</t>
  </si>
  <si>
    <t>5f56c4459efab</t>
  </si>
  <si>
    <t>http://143.110.139.243/123wc/?phone=+1-(888)-202-0712&amp;amp;</t>
  </si>
  <si>
    <t>pankajclothemporium.pw</t>
  </si>
  <si>
    <t>162.241.85.104</t>
  </si>
  <si>
    <t>5fca912d1b9a0</t>
  </si>
  <si>
    <t>https://pankajclothemporium.pw/warn2250/WinFhelpxcodexwin444EDerrorxxdc/</t>
  </si>
  <si>
    <t>newvishalfurniture.online</t>
  </si>
  <si>
    <t>5fca736d90f9e</t>
  </si>
  <si>
    <t>https://newvishalfurniture.online/warn2250/WinFhelpxcodexwin444EDerrorxxdc/</t>
  </si>
  <si>
    <t>anillightdecoration.xyz</t>
  </si>
  <si>
    <t>5fad63945bb2e</t>
  </si>
  <si>
    <t>https://anillightdecoration.xyz/warning/alert0109/EDfdfdfdfd100110dfRS/</t>
  </si>
  <si>
    <t>5fad637aa783f</t>
  </si>
  <si>
    <t>https://anillightdecoration.xyz/warning/alert9028/EDfdfdfdfd100110dfRS/</t>
  </si>
  <si>
    <t>5fad63759d8f9</t>
  </si>
  <si>
    <t>https://anillightdecoration.xyz/warning/alert0340/EDfdfdfdfd100110dfRS/</t>
  </si>
  <si>
    <t>5fad63711fde5</t>
  </si>
  <si>
    <t>https://anillightdecoration.xyz/warning/alert0311/EDfdfdfdfd100110dfRS/</t>
  </si>
  <si>
    <t>5fad632328d6a</t>
  </si>
  <si>
    <t>https://anillightdecoration.xyz/warning/alert2153/EDfdfdfdfd100110dfRS/</t>
  </si>
  <si>
    <t>akashdecorators.online</t>
  </si>
  <si>
    <t>5fa97b6d92c84</t>
  </si>
  <si>
    <t>https://akashdecorators.online/warning/alert2153/EDfdfdfdfd100110dfRS/</t>
  </si>
  <si>
    <t>5fa97b68e1a5b</t>
  </si>
  <si>
    <t>https://akashdecorators.online/warning/alert9028/EDfdfdfdfd100110dfRS/</t>
  </si>
  <si>
    <t>5fa97b643d739</t>
  </si>
  <si>
    <t>https://akashdecorators.online/warning/alert0340/EDfdfdfdfd100110dfRS/</t>
  </si>
  <si>
    <t>5fa97b5f119ca</t>
  </si>
  <si>
    <t>https://akashdecorators.online/warning/alert0311/EDfdfdfdfd100110dfRS/</t>
  </si>
  <si>
    <t>5fa97b5a0ca54</t>
  </si>
  <si>
    <t>https://akashdecorators.online/warning/alert0109/EDfdfdfdfd100110dfRS/</t>
  </si>
  <si>
    <t>pcerrorcode-4.tk</t>
  </si>
  <si>
    <t>5fa6eaf52bf96</t>
  </si>
  <si>
    <t>https://pcerrorcode-4.tk/warning/alert9028/EDfdfdfdfd100110dfRS/</t>
  </si>
  <si>
    <t>pcerrorcode-4.ml</t>
  </si>
  <si>
    <t>5fa6eaf42235d</t>
  </si>
  <si>
    <t>https://pcerrorcode-4.ml/warning/alert9028/EDfdfdfdfd100110dfRS/</t>
  </si>
  <si>
    <t>pcerrorcode-4.ga</t>
  </si>
  <si>
    <t>5fa6eaeea3047</t>
  </si>
  <si>
    <t>https://pcerrorcode-4.ga/warning/alert9028/EDfdfdfdfd100110dfRS/</t>
  </si>
  <si>
    <t>pcerrorcode-4.cf</t>
  </si>
  <si>
    <t>5fa6d2c04d76e</t>
  </si>
  <si>
    <t>https://pcerrorcode-4.cf/warning/alert9028/EDfdfdfdfd100110dfRS/</t>
  </si>
  <si>
    <t>pcerrorcode-3.ga</t>
  </si>
  <si>
    <t>5fa45c0d5178f</t>
  </si>
  <si>
    <t>https://pcerrorcode-3.ga/warning/alert0311/CHfdfdfdfd100110dfRS/</t>
  </si>
  <si>
    <t>5fa457cf2d240</t>
  </si>
  <si>
    <t>https://pcerrorcode-3.ga/warning/alert2153/CHfdfdfdfd100110dfRS/</t>
  </si>
  <si>
    <t>errorcode-a75.ml</t>
  </si>
  <si>
    <t>5f970cc00a052</t>
  </si>
  <si>
    <t>https://errorcode-a75.ml/alert0109/CHfdfdfdfd100110dfRS/</t>
  </si>
  <si>
    <t>errorcode-a74.ml</t>
  </si>
  <si>
    <t>5f808f9a28fdf</t>
  </si>
  <si>
    <t>https://errorcode-a74.ml/9028-new/warning/XMCdhdsbfMShgdfhdgfAnkp/</t>
  </si>
  <si>
    <t>errorcode-a74.ga</t>
  </si>
  <si>
    <t>5f8088923e1f9</t>
  </si>
  <si>
    <t>https://errorcode-a74.ga/9028/alert-warning/EDOfdfdfdfdfd07AnkOO100101010110helpline7/index.html</t>
  </si>
  <si>
    <t>errorcode-a72.cf</t>
  </si>
  <si>
    <t>5f74e4285cd49</t>
  </si>
  <si>
    <t>https://errorcode-a72.cf/0340/alert-warning/EDOfdfdfdfdfd07AnkOO100101010110helpline7/index.html</t>
  </si>
  <si>
    <t>errorcode-a71.ga</t>
  </si>
  <si>
    <t>5f74c53279399</t>
  </si>
  <si>
    <t>https://errorcode-a71.ga/0189/alert-warning/EDOfdfdfdfdfd07AnkOO100101010110helpline7/index.html</t>
  </si>
  <si>
    <t>errorcode-a62.ga</t>
  </si>
  <si>
    <t>5f7222a6298c1</t>
  </si>
  <si>
    <t>https://errorcode-a62.ga/0340/alert-warning/CHOfdfdfdfdfd07AnkOO100101010110helpline7/index.html</t>
  </si>
  <si>
    <t>errorcode-a62.gq</t>
  </si>
  <si>
    <t>5f72228b87480</t>
  </si>
  <si>
    <t>https://errorcode-a62.gq/0340/alert-warning/CHOfdfdfdfdfd07AnkOO100101010110helpline7/index.html</t>
  </si>
  <si>
    <t>errorcode-a62.cf</t>
  </si>
  <si>
    <t>5f721cfdaac14</t>
  </si>
  <si>
    <t>https://errorcode-a62.cf/0197/alert-warning/CHOfdfdfdfdfd07AnkOO100101010110helpline7/index.html</t>
  </si>
  <si>
    <t>errorcode-a61.tk</t>
  </si>
  <si>
    <t>5f7218f52e28d</t>
  </si>
  <si>
    <t>https://errorcode-a61.tk/0197/alert-warning/CHOfdfdfdfdfd07AnkOO100101010110helpline7/index.html</t>
  </si>
  <si>
    <t>errorcode-a61.cf</t>
  </si>
  <si>
    <t>5f703354b1c0f</t>
  </si>
  <si>
    <t>https://errorcode-a61.cf/0197/alert-warning/CHOfdfdfdfdfd07AnkOO100101010110helpline7/index.html</t>
  </si>
  <si>
    <t>errorcode-a61.gq</t>
  </si>
  <si>
    <t>5f7033536e30c</t>
  </si>
  <si>
    <t>https://errorcode-a61.gq/0197/alert-warning/CHOfdfdfdfdfd07AnkOO100101010110helpline7/index.html</t>
  </si>
  <si>
    <t>errorcode-a61.ga</t>
  </si>
  <si>
    <t>5f7033525ac65</t>
  </si>
  <si>
    <t>https://errorcode-a61.ga/0197/alert-warning/CHOfdfdfdfdfd07AnkOO100101010110helpline7/index.html</t>
  </si>
  <si>
    <t>errorcode-a61.ml</t>
  </si>
  <si>
    <t>5f6fce012aba4</t>
  </si>
  <si>
    <t>https://errorcode-a61.ml/0197/alert-warning/CHOfdfdfdfdfd07AnkOO100101010110helpline7/index.html</t>
  </si>
  <si>
    <t>errorcode-a58.tk</t>
  </si>
  <si>
    <t>5f6f80b1876c7</t>
  </si>
  <si>
    <t>http://errorcode-a58.tk/0197/alert-warning/CHOfdfdfdfdfd07AnkOO100101010110helpline7/index.html</t>
  </si>
  <si>
    <t>errorcode-a58.ml</t>
  </si>
  <si>
    <t>5f6f80afc3ddb</t>
  </si>
  <si>
    <t>http://errorcode-a58.ml/0197/alert-warning/CHOfdfdfdfdfd07AnkOO100101010110helpline7/index.html</t>
  </si>
  <si>
    <t>errorcode-a58.gq</t>
  </si>
  <si>
    <t>5f6f80ac31ac8</t>
  </si>
  <si>
    <t>http://errorcode-a58.gq/0197/alert-warning/CHOfdfdfdfdfd07AnkOO100101010110helpline7/index.html</t>
  </si>
  <si>
    <t>errorcode-a58.ga</t>
  </si>
  <si>
    <t>5f6f80ab19316</t>
  </si>
  <si>
    <t>http://errorcode-a58.ga/0197/alert-warning/CHOfdfdfdfdfd07AnkOO100101010110helpline7/index.html</t>
  </si>
  <si>
    <t>errorcode-a59.tk</t>
  </si>
  <si>
    <t>5f6f808e55877</t>
  </si>
  <si>
    <t>http://errorcode-a59.tk/0197/alert-warning/CHOfdfdfdfdfd07AnkOO100101010110helpline7/index.html</t>
  </si>
  <si>
    <t>errorcode-a59.ml</t>
  </si>
  <si>
    <t>5f6f808ce65f0</t>
  </si>
  <si>
    <t>http://errorcode-a59.ml/0197/alert-warning/CHOfdfdfdfdfd07AnkOO100101010110helpline7/index.html</t>
  </si>
  <si>
    <t>errorcode-a59.cf</t>
  </si>
  <si>
    <t>5f6f808ba7423</t>
  </si>
  <si>
    <t>http://errorcode-a59.cf/0197/alert-warning/CHOfdfdfdfdfd07AnkOO100101010110helpline7/index.html</t>
  </si>
  <si>
    <t>errorcode-a59.gq</t>
  </si>
  <si>
    <t>5f6f808a7a68c</t>
  </si>
  <si>
    <t>http://errorcode-a59.gq/0197/alert-warning/CHOfdfdfdfdfd07AnkOO100101010110helpline7/index.html</t>
  </si>
  <si>
    <t>errorcode-a59.ga</t>
  </si>
  <si>
    <t>5f6f80889580e</t>
  </si>
  <si>
    <t>http://errorcode-a59.ga/0197/alert-warning/CHOfdfdfdfdfd07AnkOO100101010110helpline7/index.html</t>
  </si>
  <si>
    <t>errorcode-a60.cf</t>
  </si>
  <si>
    <t>5f6f77f84eee0</t>
  </si>
  <si>
    <t>https://errorcode-a60.cf/0197/alert-warning/EDOfdfdfdfdfd07AnkOO100101010110helpline7/index.html</t>
  </si>
  <si>
    <t>errorcode-a60.gq</t>
  </si>
  <si>
    <t>5f6f77f71599c</t>
  </si>
  <si>
    <t>https://errorcode-a60.gq/0197/alert-warning/EDOfdfdfdfdfd07AnkOO100101010110helpline7/index.html</t>
  </si>
  <si>
    <t>errorcode-a60.ga</t>
  </si>
  <si>
    <t>5f6f77f5b4176</t>
  </si>
  <si>
    <t>https://errorcode-a60.ga/0197/alert-warning/EDOfdfdfdfdfd07AnkOO100101010110helpline7/index.html</t>
  </si>
  <si>
    <t>errorcode-a60.ml</t>
  </si>
  <si>
    <t>5f6f766855c8b</t>
  </si>
  <si>
    <t>https://errorcode-a60.ml/0197/alert-warning/EDOfdfdfdfdfd07AnkOO100101010110helpline7/index.html</t>
  </si>
  <si>
    <t>errorcode-a57.ml</t>
  </si>
  <si>
    <t>5f6a43a43e817</t>
  </si>
  <si>
    <t>https://errorcode-a57.ml/0091/alert-warning/CHOfdfdfdfdfd07AnkOO100101010110helpline7/index.html</t>
  </si>
  <si>
    <t>errorcode-a57.ga</t>
  </si>
  <si>
    <t>5f6a439fe2d78</t>
  </si>
  <si>
    <t>https://errorcode-a57.ga/0091/alert-warning/CHOfdfdfdfdfd07AnkOO100101010110helpline7/index.html</t>
  </si>
  <si>
    <t>errorcode-a57.gq</t>
  </si>
  <si>
    <t>5f6a3e8372ebd</t>
  </si>
  <si>
    <t>https://errorcode-a57.gq/0091/alert-warning/CHOfdfdfdfdfd07AnkOO100101010110helpline7/index.html</t>
  </si>
  <si>
    <t>errorcode-a57.cf</t>
  </si>
  <si>
    <t>5f6a37b9707b0</t>
  </si>
  <si>
    <t>https://errorcode-a57.cf/0091/alert-warning/CHOfdfdfdfdfd07AnkOO100101010110helpline7/index.html</t>
  </si>
  <si>
    <t>errorcode-a56.ml</t>
  </si>
  <si>
    <t>5f6a2e3632407</t>
  </si>
  <si>
    <t>https://errorcode-a56.ml/0093/alert-warning/EDOfdfdfdfdfd07AnkOO100101010110helpline7/index.html</t>
  </si>
  <si>
    <t>errorcode-a55.cf</t>
  </si>
  <si>
    <t>5f6a2013c6c7a</t>
  </si>
  <si>
    <t>https://errorcode-a55.cf/0093/alert-warning/CHOfdfdfdfdfd07AnkOO100101010110helpline7/index.html</t>
  </si>
  <si>
    <t>errorcode-a55.ga</t>
  </si>
  <si>
    <t>5f6a20015424e</t>
  </si>
  <si>
    <t>https://errorcode-a55.ga/0093/alert-warning/CHOfdfdfdfdfd07AnkOO100101010110helpline7/index.html</t>
  </si>
  <si>
    <t>errorcode-a55.gq</t>
  </si>
  <si>
    <t>5f6a1ff5d08bc</t>
  </si>
  <si>
    <t>https://errorcode-a55.gq/0093/alert-warning/CHOfdfdfdfdfd07AnkOO100101010110helpline7/index.html</t>
  </si>
  <si>
    <t>errorcode-a55.ml</t>
  </si>
  <si>
    <t>5f6a1fe0c9fd4</t>
  </si>
  <si>
    <t>https://errorcode-a55.ml/0093/alert-warning/CHOfdfdfdfdfd07AnkOO100101010110helpline7/index.html</t>
  </si>
  <si>
    <t>errorcode-a49.ga</t>
  </si>
  <si>
    <t>5f63aae22e49e</t>
  </si>
  <si>
    <t>https://errorcode-a49.ga/0440/warning/XMCdhdsbfMShgdfhdgfAnkp/</t>
  </si>
  <si>
    <t>errorcode-a50.ml</t>
  </si>
  <si>
    <t>5f63aad3c9bbb</t>
  </si>
  <si>
    <t>https://errorcode-a50.ml/0440/warning/XMCdhdsbfMShgdfhdgfAnkp/</t>
  </si>
  <si>
    <t>errorcode-a50.cf</t>
  </si>
  <si>
    <t>5f63aacfdb5cd</t>
  </si>
  <si>
    <t>https://errorcode-a50.cf/0440/warning/XMCdhdsbfMShgdfhdgfAnkp/</t>
  </si>
  <si>
    <t>errorcode-a50.gq</t>
  </si>
  <si>
    <t>5f63aacdc101b</t>
  </si>
  <si>
    <t>https://errorcode-a50.gq/0440/warning/XMCdhdsbfMShgdfhdgfAnkp/</t>
  </si>
  <si>
    <t>errorcode-a50.ga</t>
  </si>
  <si>
    <t>5f63aac759263</t>
  </si>
  <si>
    <t>https://errorcode-a50.ga/0440/warning/XMCdhdsbfMShgdfhdgfAnkp/</t>
  </si>
  <si>
    <t>errorcode-a50.tk</t>
  </si>
  <si>
    <t>5f639a2e445b9</t>
  </si>
  <si>
    <t>https://errorcode-a50.tk/0440/warning/XMCdhdsbfMShgdfhdgfAnkp/</t>
  </si>
  <si>
    <t>errorcode-a49.tk</t>
  </si>
  <si>
    <t>5f62791baa82a</t>
  </si>
  <si>
    <t>https://errorcode-a49.tk/0440/warning/XMCdhdsbfMShgdfhdgfAnkp/</t>
  </si>
  <si>
    <t>errorcode-a49.ml</t>
  </si>
  <si>
    <t>5f62750a52ea8</t>
  </si>
  <si>
    <t>https://errorcode-a49.ml/0440/warning/XMCdhdsbfMShgdfhdgfAnkp/</t>
  </si>
  <si>
    <t>errorcode-a48.cf</t>
  </si>
  <si>
    <t>5f625752a7885</t>
  </si>
  <si>
    <t>https://errorcode-a48.cf/new/CHfdfffdgfgfgdfgdfgfKarV/</t>
  </si>
  <si>
    <t>errorcode-a36.ml</t>
  </si>
  <si>
    <t>5f5bed73af8e4</t>
  </si>
  <si>
    <t>https://errorcode-a36.ml/virus-alert/warning/XMCdhdsbfMShgdfhdgfAnkp/</t>
  </si>
  <si>
    <t>errorcode-a35.cf</t>
  </si>
  <si>
    <t>5f5bcb5b5995e</t>
  </si>
  <si>
    <t>https://errorcode-a35.cf/virus-alert/warning/XMCdhdsbfMShgdfhdgfAnkp/</t>
  </si>
  <si>
    <t>errorcode-a34.cf</t>
  </si>
  <si>
    <t>5f5c6d59c9e7f</t>
  </si>
  <si>
    <t>http://errorcode-a34.cf/new-virus-alert/warning/XMCdhdsbfMShgdfhdgfAnkp/</t>
  </si>
  <si>
    <t>errorcode-a34.tk</t>
  </si>
  <si>
    <t>5f5bc9bd07f70</t>
  </si>
  <si>
    <t>https://errorcode-a34.tk/new-virus-alert/warning/XMCdhdsbfMShgdfhdgfAnkp/</t>
  </si>
  <si>
    <t>errorcode-a34.ga</t>
  </si>
  <si>
    <t>5f5bc40bc8007</t>
  </si>
  <si>
    <t>https://errorcode-a34.ga/new-virus-alert/warning/XMCdhdsbfMShgdfhdgfAnkp/</t>
  </si>
  <si>
    <t>errorcode-a33.gq</t>
  </si>
  <si>
    <t>5f5c6d5dcb895</t>
  </si>
  <si>
    <t>http://errorcode-a33.gq/new-virus-alert/warning/XMCdhdsbfMShgdfhdgfAnkp/</t>
  </si>
  <si>
    <t>errorcode-a46.tk</t>
  </si>
  <si>
    <t>5f5fc8e4cfc16</t>
  </si>
  <si>
    <t>https://errorcode-a46.tk/0440/warning/XMCdhdsbfMShgdfhdgfAnkp/</t>
  </si>
  <si>
    <t>errorcode-a46.cf</t>
  </si>
  <si>
    <t>5f5fb7f62ca3f</t>
  </si>
  <si>
    <t>https://errorcode-a46.cf/0440/warning/XMCdhdsbfMShgdfhdgfAnkp/</t>
  </si>
  <si>
    <t>errorcode-a44.gq</t>
  </si>
  <si>
    <t>5f5fb7a1e4f47</t>
  </si>
  <si>
    <t>https://errorcode-a44.gq/0510/warning/XMCdhdsbfMShgdfhdgfAnkp/</t>
  </si>
  <si>
    <t>errorcode-a44.ml</t>
  </si>
  <si>
    <t>5f5fb79fa6f0d</t>
  </si>
  <si>
    <t>https://errorcode-a44.ml/0510/warning/XMCdhdsbfMShgdfhdgfAnkp/</t>
  </si>
  <si>
    <t>errorcode-a44.tk</t>
  </si>
  <si>
    <t>5f5fb794a3068</t>
  </si>
  <si>
    <t>https://errorcode-a44.tk/0510/warning/XMCdhdsbfMShgdfhdgfAnkp/</t>
  </si>
  <si>
    <t>errorcode-a45.gq</t>
  </si>
  <si>
    <t>5f5fa57bf00e1</t>
  </si>
  <si>
    <t>https://errorcode-a45.gq/virus-alert/warning/XMCdhdsbfMShgdfhdgfAnkp/</t>
  </si>
  <si>
    <t>errorcode-a45.ga</t>
  </si>
  <si>
    <t>5f5fa3a637bfd</t>
  </si>
  <si>
    <t>https://errorcode-a45.ga/0510/warning/XMCdhdsbfMShgdfhdgfAnkp/</t>
  </si>
  <si>
    <t>errorcode-a31.ml</t>
  </si>
  <si>
    <t>5f5dafeeedd8a</t>
  </si>
  <si>
    <t>https://errorcode-a31.ml/virus-alert/warning/XMCdhdsbfMShgdfhdgfAnkp/</t>
  </si>
  <si>
    <t>errorcode-a34.gq</t>
  </si>
  <si>
    <t>5f5dafab89dbf</t>
  </si>
  <si>
    <t>https://errorcode-a34.gq/virus-alert/warning/XMCdhdsbfMShgdfhdgfAnkp/</t>
  </si>
  <si>
    <t>errorcode-a31.cf</t>
  </si>
  <si>
    <t>5f5dafed5034b</t>
  </si>
  <si>
    <t>https://errorcode-a31.cf/virus-alert/warning/XMCdhdsbfMShgdfhdgfAnkp/</t>
  </si>
  <si>
    <t>errorcode-a31.gq</t>
  </si>
  <si>
    <t>5f5dafec2bade</t>
  </si>
  <si>
    <t>https://errorcode-a31.gq/virus-alert/warning/XMCdhdsbfMShgdfhdgfAnkp/</t>
  </si>
  <si>
    <t>errorcode-a31.ga</t>
  </si>
  <si>
    <t>5f5dafeac8d5e</t>
  </si>
  <si>
    <t>https://errorcode-a31.ga/virus-alert/warning/XMCdhdsbfMShgdfhdgfAnkp/</t>
  </si>
  <si>
    <t>errorcode-a31.tk</t>
  </si>
  <si>
    <t>5f5dafe63d3ff</t>
  </si>
  <si>
    <t>https://errorcode-a31.tk/virus-alert/warning/XMCdhdsbfMShgdfhdgfAnkp/</t>
  </si>
  <si>
    <t>errorcode-a32.gq</t>
  </si>
  <si>
    <t>5f5dafd285b5e</t>
  </si>
  <si>
    <t>https://errorcode-a32.gq/virus-alert/warning/XMCdhdsbfMShgdfhdgfAnkp/</t>
  </si>
  <si>
    <t>errorcode-a32.ga</t>
  </si>
  <si>
    <t>5f5dafd1326d3</t>
  </si>
  <si>
    <t>https://errorcode-a32.ga/virus-alert/warning/XMCdhdsbfMShgdfhdgfAnkp/</t>
  </si>
  <si>
    <t>errorcode-a32.ml</t>
  </si>
  <si>
    <t>5f5dafcfa475e</t>
  </si>
  <si>
    <t>https://errorcode-a32.ml/virus-alert/warning/XMCdhdsbfMShgdfhdgfAnkp/</t>
  </si>
  <si>
    <t>errorcode-a32.cf</t>
  </si>
  <si>
    <t>5f5dafce19af3</t>
  </si>
  <si>
    <t>https://errorcode-a32.cf/virus-alert/warning/XMCdhdsbfMShgdfhdgfAnkp/</t>
  </si>
  <si>
    <t>errorcode-a32.tk</t>
  </si>
  <si>
    <t>5f5dafcc53b28</t>
  </si>
  <si>
    <t>https://errorcode-a32.tk/virus-alert/warning/XMCdhdsbfMShgdfhdgfAnkp/</t>
  </si>
  <si>
    <t>errorcode-a33.ml</t>
  </si>
  <si>
    <t>5f5dafc264c8e</t>
  </si>
  <si>
    <t>https://errorcode-a33.ml/virus-alert/warning/XMCdhdsbfMShgdfhdgfAnkp/</t>
  </si>
  <si>
    <t>errorcode-a33.cf</t>
  </si>
  <si>
    <t>5f5dafc1685f7</t>
  </si>
  <si>
    <t>https://errorcode-a33.cf/virus-alert/warning/XMCdhdsbfMShgdfhdgfAnkp/</t>
  </si>
  <si>
    <t>errorcode-a33.ga</t>
  </si>
  <si>
    <t>5f5dafbc5ff05</t>
  </si>
  <si>
    <t>https://errorcode-a33.ga/virus-alert/warning/XMCdhdsbfMShgdfhdgfAnkp/</t>
  </si>
  <si>
    <t>errorcode-a33.tk</t>
  </si>
  <si>
    <t>5f5dafb9df902</t>
  </si>
  <si>
    <t>https://errorcode-a33.tk/virus-alert/warning/XMCdhdsbfMShgdfhdgfAnkp/</t>
  </si>
  <si>
    <t>errorcode-a34.ml</t>
  </si>
  <si>
    <t>5f5dafaeecf24</t>
  </si>
  <si>
    <t>https://errorcode-a34.ml/virus-alert/warning/XMCdhdsbfMShgdfhdgfAnkp/</t>
  </si>
  <si>
    <t>errorcode-a35.gq</t>
  </si>
  <si>
    <t>5f5daf9e289ae</t>
  </si>
  <si>
    <t>https://errorcode-a35.gq/virus-alert/warning/XMCdhdsbfMShgdfhdgfAnkp/</t>
  </si>
  <si>
    <t>errorcode-a36.cf</t>
  </si>
  <si>
    <t>5f5daf8a35006</t>
  </si>
  <si>
    <t>https://errorcode-a36.cf/virus-alert/warning/XMCdhdsbfMShgdfhdgfAnkp/</t>
  </si>
  <si>
    <t>errorcode-a36.gq</t>
  </si>
  <si>
    <t>5f5daf886c81e</t>
  </si>
  <si>
    <t>https://errorcode-a36.gq/virus-alert/warning/XMCdhdsbfMShgdfhdgfAnkp/</t>
  </si>
  <si>
    <t>errorcode-a36.ga</t>
  </si>
  <si>
    <t>5f5daf874c260</t>
  </si>
  <si>
    <t>https://errorcode-a36.ga/virus-alert/warning/XMCdhdsbfMShgdfhdgfAnkp/</t>
  </si>
  <si>
    <t>errorcode-a36.tk</t>
  </si>
  <si>
    <t>5f5daf85b7ea5</t>
  </si>
  <si>
    <t>https://errorcode-a36.tk/virus-alert/warning/XMCdhdsbfMShgdfhdgfAnkp/</t>
  </si>
  <si>
    <t>errorcode-a37.ml</t>
  </si>
  <si>
    <t>5f5daf814b126</t>
  </si>
  <si>
    <t>https://errorcode-a37.ml/virus-alert/warning/XMCdhdsbfMShgdfhdgfAnkp/</t>
  </si>
  <si>
    <t>errorcode-a37.cf</t>
  </si>
  <si>
    <t>5f5daf7f990f8</t>
  </si>
  <si>
    <t>https://errorcode-a37.cf/virus-alert/warning/XMCdhdsbfMShgdfhdgfAnkp/</t>
  </si>
  <si>
    <t>errorcode-a37.gq</t>
  </si>
  <si>
    <t>5f5daf7e6b8cc</t>
  </si>
  <si>
    <t>https://errorcode-a37.gq/virus-alert/warning/XMCdhdsbfMShgdfhdgfAnkp/</t>
  </si>
  <si>
    <t>errorcode-a37.ga</t>
  </si>
  <si>
    <t>5f5daf7c67ce7</t>
  </si>
  <si>
    <t>https://errorcode-a37.ga/virus-alert/warning/XMCdhdsbfMShgdfhdgfAnkp/</t>
  </si>
  <si>
    <t>errorcode-a38.ml</t>
  </si>
  <si>
    <t>5f5daf6ad196c</t>
  </si>
  <si>
    <t>https://errorcode-a38.ml/virus-alert/warning/XMCdhdsbfMShgdfhdgfAnkp/</t>
  </si>
  <si>
    <t>errorcode-a38.cf</t>
  </si>
  <si>
    <t>5f5daf6915abb</t>
  </si>
  <si>
    <t>https://errorcode-a38.cf/virus-alert/warning/XMCdhdsbfMShgdfhdgfAnkp/</t>
  </si>
  <si>
    <t>errorcode-a38.gq</t>
  </si>
  <si>
    <t>5f5daf67af4eb</t>
  </si>
  <si>
    <t>https://errorcode-a38.gq/virus-alert/warning/XMCdhdsbfMShgdfhdgfAnkp/</t>
  </si>
  <si>
    <t>errorcode-a38.ga</t>
  </si>
  <si>
    <t>5f5daf664164a</t>
  </si>
  <si>
    <t>https://errorcode-a38.ga/virus-alert/warning/XMCdhdsbfMShgdfhdgfAnkp/</t>
  </si>
  <si>
    <t>errorcode-a38.tk</t>
  </si>
  <si>
    <t>5f5daf63e87bf</t>
  </si>
  <si>
    <t>https://errorcode-a38.tk/virus-alert/warning/XMCdhdsbfMShgdfhdgfAnkp/</t>
  </si>
  <si>
    <t>errorcode-a40.cf</t>
  </si>
  <si>
    <t>5f5daf5865609</t>
  </si>
  <si>
    <t>https://errorcode-a40.cf/virus-alert/warning/XMCdhdsbfMShgdfhdgfAnkp/</t>
  </si>
  <si>
    <t>errorcode-a40.gq</t>
  </si>
  <si>
    <t>5f5daf56beeea</t>
  </si>
  <si>
    <t>https://errorcode-a40.gq/virus-alert/warning/XMCdhdsbfMShgdfhdgfAnkp/</t>
  </si>
  <si>
    <t>errorcode-a40.tk</t>
  </si>
  <si>
    <t>5f5daf53c40a6</t>
  </si>
  <si>
    <t>https://errorcode-a40.tk/virus-alert/warning/XMCdhdsbfMShgdfhdgfAnkp/</t>
  </si>
  <si>
    <t>errorcode-a39.tk</t>
  </si>
  <si>
    <t>5f5daf4a41b4e</t>
  </si>
  <si>
    <t>https://errorcode-a39.tk/virus-alert/warning/XMCdhdsbfMShgdfhdgfAnkp/</t>
  </si>
  <si>
    <t>errorcode-a39.cf</t>
  </si>
  <si>
    <t>5f5daf424a756</t>
  </si>
  <si>
    <t>https://errorcode-a39.cf/virus-alert/warning/XMCdhdsbfMShgdfhdgfAnkp/</t>
  </si>
  <si>
    <t>errorcode-a39.ga</t>
  </si>
  <si>
    <t>5f5daf408b965</t>
  </si>
  <si>
    <t>https://errorcode-a39.ga/virus-alert/warning/XMCdhdsbfMShgdfhdgfAnkp/</t>
  </si>
  <si>
    <t>errorcode-a40.ml</t>
  </si>
  <si>
    <t>5f5daf37eda6c</t>
  </si>
  <si>
    <t>https://errorcode-a40.ml/virus-alert/warning/XMCdhdsbfMShgdfhdgfAnkp/</t>
  </si>
  <si>
    <t>errorcode-a41.cf</t>
  </si>
  <si>
    <t>5f5d319d0ca07</t>
  </si>
  <si>
    <t>https://errorcode-a41.cf/virus-alert/warning/XMCdhdsbfMShgdfhdgfAnkp/</t>
  </si>
  <si>
    <t>errorcode-a41.gq</t>
  </si>
  <si>
    <t>5f5d318de600e</t>
  </si>
  <si>
    <t>https://errorcode-a41.gq/virus-alert/warning/XMCdhdsbfMShgdfhdgfAnkp/</t>
  </si>
  <si>
    <t>errorcode-a41.ga</t>
  </si>
  <si>
    <t>5f5d318281db9</t>
  </si>
  <si>
    <t>https://errorcode-a41.ga/virus-alert/warning/XMCdhdsbfMShgdfhdgfAnkp/</t>
  </si>
  <si>
    <t>errorcode-a41.ml</t>
  </si>
  <si>
    <t>5f5d314b139c9</t>
  </si>
  <si>
    <t>https://errorcode-a41.ml/virus-alert/warning/XMCdhdsbfMShgdfhdgfAnkp/</t>
  </si>
  <si>
    <t>errorcode-a35.ml</t>
  </si>
  <si>
    <t>5f5dafa143e0a</t>
  </si>
  <si>
    <t>https://errorcode-a35.ml/virus-alert/warning/XMCdhdsbfMShgdfhdgfAnkp/</t>
  </si>
  <si>
    <t>errorcode-a35.ga</t>
  </si>
  <si>
    <t>5f5daf9cbb054</t>
  </si>
  <si>
    <t>https://errorcode-a35.ga/virus-alert/warning/XMCdhdsbfMShgdfhdgfAnkp/</t>
  </si>
  <si>
    <t>errorcode-a35.tk</t>
  </si>
  <si>
    <t>5f5daf9926c8d</t>
  </si>
  <si>
    <t>https://errorcode-a35.tk/virus-alert/warning/XMCdhdsbfMShgdfhdgfAnkp/</t>
  </si>
  <si>
    <t>errorcode-a24.cf</t>
  </si>
  <si>
    <t>5f59342d3ec4c</t>
  </si>
  <si>
    <t>https://errorcode-a24.cf/warn-alert/warning/XEDdhdsbfMShgdfhdgfAnkp/</t>
  </si>
  <si>
    <t>errorcode-a23.gq</t>
  </si>
  <si>
    <t>5f5920fc47257</t>
  </si>
  <si>
    <t>https://errorcode-a23.gq/warn-alert/warning/XMCdhdsbfMShgdfhdgfAnkp/</t>
  </si>
  <si>
    <t>errorcode-a21.tk</t>
  </si>
  <si>
    <t>5f5918428c206</t>
  </si>
  <si>
    <t>https://errorcode-a21.tk/warn-alert/warning/XEDdhdsbfMShgdfhdgfAnkp/</t>
  </si>
  <si>
    <t>errorcode-21.gq</t>
  </si>
  <si>
    <t>5f59042ed824c</t>
  </si>
  <si>
    <t>https://errorcode-21.gq/alert/warning/XMCdhdsbfMShgdfhdgfAnkp/</t>
  </si>
  <si>
    <t>errorcode-21.cf</t>
  </si>
  <si>
    <t>5f58fd281629d</t>
  </si>
  <si>
    <t>https://errorcode-21.cf/alert/warning/XEDdhdsbfMShgdfhdgfAnkp/</t>
  </si>
  <si>
    <t>errorcode-a21.ml</t>
  </si>
  <si>
    <t>5f58fa82903e3</t>
  </si>
  <si>
    <t>https://errorcode-a21.ml/alert/warning/XEDdhdsbfMShgdfhdgfAnkp/</t>
  </si>
  <si>
    <t>errorcode-a10.tk</t>
  </si>
  <si>
    <t>5f58f867b5c96</t>
  </si>
  <si>
    <t>https://errorcode-a10.tk/alert/warning/XMCdhdsbfMShgdfhdgfAnkp/</t>
  </si>
  <si>
    <t>errorcode-a10.gq</t>
  </si>
  <si>
    <t>5f58f8656bc46</t>
  </si>
  <si>
    <t>https://errorcode-a10.gq/alert/warning/XMCdhdsbfMShgdfhdgfAnkp/</t>
  </si>
  <si>
    <t>errorcode-a10.ga</t>
  </si>
  <si>
    <t>5f58f8603ccac</t>
  </si>
  <si>
    <t>https://errorcode-a10.ga/alert/warning/XMCdhdsbfMShgdfhdgfAnkp/</t>
  </si>
  <si>
    <t>errorcode-a10.ml</t>
  </si>
  <si>
    <t>5f58f85f29dbf</t>
  </si>
  <si>
    <t>https://errorcode-a10.ml/alert/warning/XMCdhdsbfMShgdfhdgfAnkp/</t>
  </si>
  <si>
    <t>errorcode-a10.cf</t>
  </si>
  <si>
    <t>5f58f85de0b25</t>
  </si>
  <si>
    <t>https://errorcode-a10.cf/alert/warning/XMCdhdsbfMShgdfhdgfAnkp/</t>
  </si>
  <si>
    <t>errorcode-a11.tk</t>
  </si>
  <si>
    <t>5f58f83cd3ca1</t>
  </si>
  <si>
    <t>https://errorcode-a11.tk/alert/warning/XMCdhdsbfMShgdfhdgfAnkp/</t>
  </si>
  <si>
    <t>errorcode-a11.ml</t>
  </si>
  <si>
    <t>5f58f83b82c81</t>
  </si>
  <si>
    <t>https://errorcode-a11.ml/alert/warning/XMCdhdsbfMShgdfhdgfAnkp/</t>
  </si>
  <si>
    <t>errorcode-a11.gq</t>
  </si>
  <si>
    <t>5f58f839619d3</t>
  </si>
  <si>
    <t>https://errorcode-a11.gq/alert/warning/XMCdhdsbfMShgdfhdgfAnkp/</t>
  </si>
  <si>
    <t>errorcode-a11.ga</t>
  </si>
  <si>
    <t>5f58f837b5ef8</t>
  </si>
  <si>
    <t>https://errorcode-a11.ga/alert/warning/XMCdhdsbfMShgdfhdgfAnkp/</t>
  </si>
  <si>
    <t>errorcode-a11.cf</t>
  </si>
  <si>
    <t>5f58f836b9cc4</t>
  </si>
  <si>
    <t>https://errorcode-a11.cf/alert/warning/XMCdhdsbfMShgdfhdgfAnkp/</t>
  </si>
  <si>
    <t>errorcode-a12.tk</t>
  </si>
  <si>
    <t>5f58f83322613</t>
  </si>
  <si>
    <t>https://errorcode-a12.tk/alert/warning/XMCdhdsbfMShgdfhdgfAnkp/</t>
  </si>
  <si>
    <t>errorcode-a12.gq</t>
  </si>
  <si>
    <t>5f58f831d2af6</t>
  </si>
  <si>
    <t>https://errorcode-a12.gq/alert/warning/XMCdhdsbfMShgdfhdgfAnkp/</t>
  </si>
  <si>
    <t>errorcode-a12.ga</t>
  </si>
  <si>
    <t>5f58f8309e2bf</t>
  </si>
  <si>
    <t>https://errorcode-a12.ga/alert/warning/XMCdhdsbfMShgdfhdgfAnkp/</t>
  </si>
  <si>
    <t>errorcode-a12.cf</t>
  </si>
  <si>
    <t>5f58f82c3a53b</t>
  </si>
  <si>
    <t>https://errorcode-a12.cf/alert/warning/XMCdhdsbfMShgdfhdgfAnkp/</t>
  </si>
  <si>
    <t>errorcode-a13.cf</t>
  </si>
  <si>
    <t>5f58f7f521ddd</t>
  </si>
  <si>
    <t>https://errorcode-a13.cf/alert/warning/XMCdhdsbfMShgdfhdgfAnkp/</t>
  </si>
  <si>
    <t>errorcode-a13.gq</t>
  </si>
  <si>
    <t>5f58f7f3c5acc</t>
  </si>
  <si>
    <t>https://errorcode-a13.gq/alert/warning/XMCdhdsbfMShgdfhdgfAnkp/</t>
  </si>
  <si>
    <t>errorcode-a13.ga</t>
  </si>
  <si>
    <t>5f58f7f290548</t>
  </si>
  <si>
    <t>https://errorcode-a13.ga/alert/warning/XMCdhdsbfMShgdfhdgfAnkp/</t>
  </si>
  <si>
    <t>errorcode-a13.ml</t>
  </si>
  <si>
    <t>5f58f7f13d6e2</t>
  </si>
  <si>
    <t>https://errorcode-a13.ml/alert/warning/XMCdhdsbfMShgdfhdgfAnkp/</t>
  </si>
  <si>
    <t>errorcode-a13.tk</t>
  </si>
  <si>
    <t>5f58f7eff1c15</t>
  </si>
  <si>
    <t>https://errorcode-a13.tk/alert/warning/XMCdhdsbfMShgdfhdgfAnkp/</t>
  </si>
  <si>
    <t>errorcode-a14.tk</t>
  </si>
  <si>
    <t>5f58f7e4b6e88</t>
  </si>
  <si>
    <t>https://errorcode-a14.tk/alert/warning/XMCdhdsbfMShgdfhdgfAnkp/</t>
  </si>
  <si>
    <t>errorcode-a14.cf</t>
  </si>
  <si>
    <t>5f58f7e1abd9a</t>
  </si>
  <si>
    <t>https://errorcode-a14.cf/alert/warning/XMCdhdsbfMShgdfhdgfAnkp/</t>
  </si>
  <si>
    <t>errorcode-a14.gq</t>
  </si>
  <si>
    <t>5f58f7e06777e</t>
  </si>
  <si>
    <t>https://errorcode-a14.gq/alert/warning/XMCdhdsbfMShgdfhdgfAnkp/</t>
  </si>
  <si>
    <t>errorcode-a14.ga</t>
  </si>
  <si>
    <t>5f58f7de9b157</t>
  </si>
  <si>
    <t>https://errorcode-a14.ga/alert/warning/XMCdhdsbfMShgdfhdgfAnkp/</t>
  </si>
  <si>
    <t>errorcode-a14.ml</t>
  </si>
  <si>
    <t>5f58f7dc5596d</t>
  </si>
  <si>
    <t>https://errorcode-a14.ml/alert/warning/XMCdhdsbfMShgdfhdgfAnkp/</t>
  </si>
  <si>
    <t>errorcode-a15.cf</t>
  </si>
  <si>
    <t>5f58f7d660a41</t>
  </si>
  <si>
    <t>https://errorcode-a15.cf/alert/warning/XMCdhdsbfMShgdfhdgfAnkp/</t>
  </si>
  <si>
    <t>errorcode-a15.gq</t>
  </si>
  <si>
    <t>5f58f7d3ca9c2</t>
  </si>
  <si>
    <t>https://errorcode-a15.gq/alert/warning/XMCdhdsbfMShgdfhdgfAnkp/</t>
  </si>
  <si>
    <t>errorcode-a15.ga</t>
  </si>
  <si>
    <t>5f58f7d2032b8</t>
  </si>
  <si>
    <t>https://errorcode-a15.ga/alert/warning/XMCdhdsbfMShgdfhdgfAnkp/</t>
  </si>
  <si>
    <t>errorcode-a15.ml</t>
  </si>
  <si>
    <t>5f58f7cfc82b6</t>
  </si>
  <si>
    <t>https://errorcode-a15.ml/alert/warning/XMCdhdsbfMShgdfhdgfAnkp/</t>
  </si>
  <si>
    <t>errorcode-a16.tk</t>
  </si>
  <si>
    <t>5f58f7ba12a86</t>
  </si>
  <si>
    <t>https://errorcode-a16.tk/alert/warning/XMCdhdsbfMShgdfhdgfAnkp/</t>
  </si>
  <si>
    <t>errorcode-a16.gq</t>
  </si>
  <si>
    <t>5f58f7b8d13fa</t>
  </si>
  <si>
    <t>https://errorcode-a16.gq/alert/warning/XMCdhdsbfMShgdfhdgfAnkp/</t>
  </si>
  <si>
    <t>errorcode-a16.ga</t>
  </si>
  <si>
    <t>5f58f7b7b4065</t>
  </si>
  <si>
    <t>https://errorcode-a16.ga/alert/warning/XMCdhdsbfMShgdfhdgfAnkp/</t>
  </si>
  <si>
    <t>errorcode-a16.ml</t>
  </si>
  <si>
    <t>5f58f7b690fc1</t>
  </si>
  <si>
    <t>https://errorcode-a16.ml/alert/warning/XMCdhdsbfMShgdfhdgfAnkp/</t>
  </si>
  <si>
    <t>errorcode-a16.cf</t>
  </si>
  <si>
    <t>5f58f7b54a5aa</t>
  </si>
  <si>
    <t>https://errorcode-a16.cf/alert/warning/XMCdhdsbfMShgdfhdgfAnkp/</t>
  </si>
  <si>
    <t>errorcode-a17.tk</t>
  </si>
  <si>
    <t>5f58f7b00f981</t>
  </si>
  <si>
    <t>https://errorcode-a17.tk/alert/warning/XMCdhdsbfMShgdfhdgfAnkp/</t>
  </si>
  <si>
    <t>errorcode-a17.gq</t>
  </si>
  <si>
    <t>5f58f7aebb086</t>
  </si>
  <si>
    <t>https://errorcode-a17.gq/alert/warning/XMCdhdsbfMShgdfhdgfAnkp/</t>
  </si>
  <si>
    <t>errorcode-a17.ga</t>
  </si>
  <si>
    <t>5f58f7ad730f2</t>
  </si>
  <si>
    <t>https://errorcode-a17.ga/alert/warning/XMCdhdsbfMShgdfhdgfAnkp/</t>
  </si>
  <si>
    <t>errorcode-a17.ml</t>
  </si>
  <si>
    <t>5f58f7ac4550f</t>
  </si>
  <si>
    <t>https://errorcode-a17.ml/alert/warning/XMCdhdsbfMShgdfhdgfAnkp/</t>
  </si>
  <si>
    <t>errorcode-a17.cf</t>
  </si>
  <si>
    <t>5f58f7aa7544a</t>
  </si>
  <si>
    <t>https://errorcode-a17.cf/alert/warning/XMCdhdsbfMShgdfhdgfAnkp/</t>
  </si>
  <si>
    <t>errorcode-a18.ml</t>
  </si>
  <si>
    <t>5f58f78ecae32</t>
  </si>
  <si>
    <t>https://errorcode-a18.ml/alert/warning/XMCdhdsbfMShgdfhdgfAnkp/</t>
  </si>
  <si>
    <t>errorcode-a18.tk</t>
  </si>
  <si>
    <t>5f58f78cdde6f</t>
  </si>
  <si>
    <t>https://errorcode-a18.tk/alert/warning/XMCdhdsbfMShgdfhdgfAnkp/</t>
  </si>
  <si>
    <t>errorcode-a18.gq</t>
  </si>
  <si>
    <t>5f58f78b8f45a</t>
  </si>
  <si>
    <t>https://errorcode-a18.gq/alert/warning/XMCdhdsbfMShgdfhdgfAnkp/</t>
  </si>
  <si>
    <t>errorcode-a18.ga</t>
  </si>
  <si>
    <t>5f58f78a561d7</t>
  </si>
  <si>
    <t>https://errorcode-a18.ga/alert/warning/XMCdhdsbfMShgdfhdgfAnkp/</t>
  </si>
  <si>
    <t>errorcode-a18.cf</t>
  </si>
  <si>
    <t>5f58f789212c6</t>
  </si>
  <si>
    <t>https://errorcode-a18.cf/alert/warning/XMCdhdsbfMShgdfhdgfAnkp/</t>
  </si>
  <si>
    <t>errorcode-a19.tk</t>
  </si>
  <si>
    <t>5f58f77b8f641</t>
  </si>
  <si>
    <t>https://errorcode-a19.tk/alert/warning/XMCdhdsbfMShgdfhdgfAnkp/</t>
  </si>
  <si>
    <t>errorcode-a19.gq</t>
  </si>
  <si>
    <t>5f58f77a0dc2b</t>
  </si>
  <si>
    <t>https://errorcode-a19.gq/alert/warning/XMCdhdsbfMShgdfhdgfAnkp/</t>
  </si>
  <si>
    <t>errorcode-a19.ga</t>
  </si>
  <si>
    <t>5f58f778a5844</t>
  </si>
  <si>
    <t>https://errorcode-a19.ga/alert/warning/XMCdhdsbfMShgdfhdgfAnkp/</t>
  </si>
  <si>
    <t>errorcode-a19.cf</t>
  </si>
  <si>
    <t>5f58f777212bf</t>
  </si>
  <si>
    <t>https://errorcode-a19.cf/alert/warning/XMCdhdsbfMShgdfhdgfAnkp/</t>
  </si>
  <si>
    <t>errorcode-a19.ml</t>
  </si>
  <si>
    <t>5f58f77379c29</t>
  </si>
  <si>
    <t>https://errorcode-a19.ml/alert/warning/XMCdhdsbfMShgdfhdgfAnkp/</t>
  </si>
  <si>
    <t>errorcode-a20.tk</t>
  </si>
  <si>
    <t>5f58f7676f48f</t>
  </si>
  <si>
    <t>https://errorcode-a20.tk/alert/warning/XMCdhdsbfMShgdfhdgfAnkp/</t>
  </si>
  <si>
    <t>errorcode-a20.cf</t>
  </si>
  <si>
    <t>5f58f76535b32</t>
  </si>
  <si>
    <t>https://errorcode-a20.cf/alert/warning/XMCdhdsbfMShgdfhdgfAnkp/</t>
  </si>
  <si>
    <t>errorcode-a20.gq</t>
  </si>
  <si>
    <t>5f58f7635a381</t>
  </si>
  <si>
    <t>https://errorcode-a20.gq/alert/warning/XMCdhdsbfMShgdfhdgfAnkp/</t>
  </si>
  <si>
    <t>errorcode-a20.ml</t>
  </si>
  <si>
    <t>5f580283b2203</t>
  </si>
  <si>
    <t>https://errorcode-a20.ml/alert/warning/XMCdhdsbfMShgdfhdgfAnkp/</t>
  </si>
  <si>
    <t>alert-error-09ml3l2.tk</t>
  </si>
  <si>
    <t>5f553732df587</t>
  </si>
  <si>
    <t>http://alert-error-09ml3l2.tk/Microsoft/CHfdfffdgfgfgdfgdfgfKarV/</t>
  </si>
  <si>
    <t>alert-error-09ml3l2.ml</t>
  </si>
  <si>
    <t>5f55373112c84</t>
  </si>
  <si>
    <t>http://alert-error-09ml3l2.ml/Microsoft/CHfdfffdgfgfgdfgdfgfKarV/</t>
  </si>
  <si>
    <t>alert-error-09ml3l2.cf</t>
  </si>
  <si>
    <t>5f55372f5113d</t>
  </si>
  <si>
    <t>http://alert-error-09ml3l2.cf/Microsoft/CHfdfffdgfgfgdfgdfgfKarV/</t>
  </si>
  <si>
    <t>alert-error-09ml3l2.ga</t>
  </si>
  <si>
    <t>5f55372cccc11</t>
  </si>
  <si>
    <t>http://alert-error-09ml3l2.ga/Microsoft/CHfdfffdgfgfgdfgdfgfKarV/</t>
  </si>
  <si>
    <t>alert-error-09ml3l2.gq</t>
  </si>
  <si>
    <t>5f553729dd259</t>
  </si>
  <si>
    <t>http://alert-error-09ml3l2.gq/Microsoft/CHfdfffdgfgfgdfgdfgfKarV/</t>
  </si>
  <si>
    <t>error-0ds9k2.gq</t>
  </si>
  <si>
    <t>5f553618e72cd</t>
  </si>
  <si>
    <t>http://error-0ds9k2.gq/Microsoft/CHfdfffdgfgfgdfgdfgfKarV/</t>
  </si>
  <si>
    <t>error-0ds9k2.ml</t>
  </si>
  <si>
    <t>5f553615e5342</t>
  </si>
  <si>
    <t>http://error-0ds9k2.ml/Microsoft/CHfdfffdgfgfgdfgdfgfKarV/</t>
  </si>
  <si>
    <t>error-0ds9k2.ga</t>
  </si>
  <si>
    <t>5f5536121ca9d</t>
  </si>
  <si>
    <t>http://error-0ds9k2.ga/Microsoft/CHfdfffdgfgfgdfgdfgfKarV/</t>
  </si>
  <si>
    <t>error-0ds9k2.cf</t>
  </si>
  <si>
    <t>5f55360d4e9f1</t>
  </si>
  <si>
    <t>http://error-0ds9k2.cf/Microsoft/CHfdfffdgfgfgdfgdfgfKarV/</t>
  </si>
  <si>
    <t>errorcode-98.tk</t>
  </si>
  <si>
    <t>5f55357e74965</t>
  </si>
  <si>
    <t>http://errorcode-98.tk/alert/warning/XMCdhdsbfMShgdfhdgfAnkp/</t>
  </si>
  <si>
    <t>errorcode-98.gq</t>
  </si>
  <si>
    <t>5f55357a37f52</t>
  </si>
  <si>
    <t>http://errorcode-98.gq/alert/warning/XMCdhdsbfMShgdfhdgfAnkp/</t>
  </si>
  <si>
    <t>errorcode-98.ga</t>
  </si>
  <si>
    <t>5f553575b7d49</t>
  </si>
  <si>
    <t>http://errorcode-98.ga/alert/warning/XMCdhdsbfMShgdfhdgfAnkp/</t>
  </si>
  <si>
    <t>errorcode-98.ml</t>
  </si>
  <si>
    <t>5f55357114147</t>
  </si>
  <si>
    <t>http://errorcode-98.ml/alert/warning/XMCdhdsbfMShgdfhdgfAnkp/</t>
  </si>
  <si>
    <t>errorcode-98.cf</t>
  </si>
  <si>
    <t>5f55356c5b9ea</t>
  </si>
  <si>
    <t>http://errorcode-98.cf/alert/warning/XMCdhdsbfMShgdfhdgfAnkp/</t>
  </si>
  <si>
    <t>errorcode-99.tk</t>
  </si>
  <si>
    <t>5f55351ec4d27</t>
  </si>
  <si>
    <t>http://errorcode-99.tk/alert/warning/XMCdhdsbfMShgdfhdgfAnkp/</t>
  </si>
  <si>
    <t>errorcode-99.cf</t>
  </si>
  <si>
    <t>5f55351c0f44c</t>
  </si>
  <si>
    <t>http://errorcode-99.cf/alert/warning/XMCdhdsbfMShgdfhdgfAnkp/</t>
  </si>
  <si>
    <t>errorcode-99.ga</t>
  </si>
  <si>
    <t>5f55351b9a73c</t>
  </si>
  <si>
    <t>http://errorcode-99.ga/alert/warning/XMCdhdsbfMShgdfhdgfAnkp/</t>
  </si>
  <si>
    <t>errorcode-99.gq</t>
  </si>
  <si>
    <t>5f5535174dc34</t>
  </si>
  <si>
    <t>http://errorcode-99.gq/alert/warning/XMCdhdsbfMShgdfhdgfAnkp/</t>
  </si>
  <si>
    <t>errorcode-99.ml</t>
  </si>
  <si>
    <t>5f553511be72f</t>
  </si>
  <si>
    <t>http://errorcode-99.ml/alert/warning/XMCdhdsbfMShgdfhdgfAnkp/</t>
  </si>
  <si>
    <t>error-wn379.ml</t>
  </si>
  <si>
    <t>5f5534e719dd9</t>
  </si>
  <si>
    <t>http://error-wn379.ml/Microsoft/CHfdfffdgfgfgdfgdfgfKarV/</t>
  </si>
  <si>
    <t>error-wn379.tk</t>
  </si>
  <si>
    <t>5f5534af78a60</t>
  </si>
  <si>
    <t>http://error-wn379.tk/Microsoft/CHfdfffdgfgfgdfgdfgfKarV/</t>
  </si>
  <si>
    <t>error-wn379.ga</t>
  </si>
  <si>
    <t>5f5534a6dfb15</t>
  </si>
  <si>
    <t>http://error-wn379.ga/Microsoft/CHfdfffdgfgfgdfgdfgfKarV/</t>
  </si>
  <si>
    <t>mail.error-wn379.cf</t>
  </si>
  <si>
    <t>5f55348fbb3ba</t>
  </si>
  <si>
    <t>http://mail.error-wn379.cf/Microsoft/CHfdfffdgfgfgdfgdfgfKarV/</t>
  </si>
  <si>
    <t>error-wn379.cf</t>
  </si>
  <si>
    <t>5f55348bbc91c</t>
  </si>
  <si>
    <t>http://error-wn379.cf/Microsoft/CHfdfffdgfgfgdfgdfgfKarV/</t>
  </si>
  <si>
    <t>mail.errorcode-a2.tk</t>
  </si>
  <si>
    <t>5f5533fe6d9ed</t>
  </si>
  <si>
    <t>http://mail.errorcode-a2.tk/alert/warning/XMCdhdsbfMShgdfhdgfAnkp/</t>
  </si>
  <si>
    <t>5f5533fd9dd7f</t>
  </si>
  <si>
    <t>mail.errorcode-a3.tk</t>
  </si>
  <si>
    <t>5f5533f92870b</t>
  </si>
  <si>
    <t>http://mail.errorcode-a3.tk/alert/warning/XMCdhdsbfMShgdfhdgfAnkp/</t>
  </si>
  <si>
    <t>mail.errorcode-a4.tk</t>
  </si>
  <si>
    <t>5f5533f4dfabe</t>
  </si>
  <si>
    <t>http://mail.errorcode-a4.tk/alert/warning/XMCdhdsbfMShgdfhdgfAnkp/</t>
  </si>
  <si>
    <t>mail.errorcode-a1.tk</t>
  </si>
  <si>
    <t>5f5533f08b2ba</t>
  </si>
  <si>
    <t>http://mail.errorcode-a1.tk/alert/warning/XMCdhdsbfMShgdfhdgfAnkp/</t>
  </si>
  <si>
    <t>mail.errorcode-a6.tk</t>
  </si>
  <si>
    <t>5f5533ec7fb0c</t>
  </si>
  <si>
    <t>http://mail.errorcode-a6.tk/alert/warning/XMCdhdsbfMShgdfhdgfAnkp/</t>
  </si>
  <si>
    <t>mail.errorcode-a1.cf</t>
  </si>
  <si>
    <t>5f5533dfb8906</t>
  </si>
  <si>
    <t>http://mail.errorcode-a1.cf/alert/warning/XMCdhdsbfMShgdfhdgfAnkp/</t>
  </si>
  <si>
    <t>mail.errorcode-a2.cf</t>
  </si>
  <si>
    <t>5f5533dbc98ec</t>
  </si>
  <si>
    <t>http://mail.errorcode-a2.cf/alert/warning/XMCdhdsbfMShgdfhdgfAnkp/</t>
  </si>
  <si>
    <t>mail.errorcode-a3.cf</t>
  </si>
  <si>
    <t>5f5533d958a4a</t>
  </si>
  <si>
    <t>http://mail.errorcode-a3.cf/alert/warning/XMCdhdsbfMShgdfhdgfAnkp/</t>
  </si>
  <si>
    <t>mail.errorcode-a4.cf</t>
  </si>
  <si>
    <t>5f5533d0492c9</t>
  </si>
  <si>
    <t>http://mail.errorcode-a4.cf/alert/warning/XMCdhdsbfMShgdfhdgfAnkp/</t>
  </si>
  <si>
    <t>mail.errorcode-a5.cf</t>
  </si>
  <si>
    <t>5f5533cbbc8c3</t>
  </si>
  <si>
    <t>http://mail.errorcode-a5.cf/alert/warning/XMCdhdsbfMShgdfhdgfAnkp/</t>
  </si>
  <si>
    <t>mail.errorcode-a6.cf</t>
  </si>
  <si>
    <t>5f5533c8b4ef9</t>
  </si>
  <si>
    <t>http://mail.errorcode-a6.cf/alert/warning/XMCdhdsbfMShgdfhdgfAnkp/</t>
  </si>
  <si>
    <t>mail.errorcode-a3.ga</t>
  </si>
  <si>
    <t>5f5533bb24e4d</t>
  </si>
  <si>
    <t>http://mail.errorcode-a3.ga/alert/warning/XMCdhdsbfMShgdfhdgfAnkp/</t>
  </si>
  <si>
    <t>mail.errorcode-a2.ga</t>
  </si>
  <si>
    <t>5f5533b13de04</t>
  </si>
  <si>
    <t>http://mail.errorcode-a2.ga/alert/warning/XMCdhdsbfMShgdfhdgfAnkp/</t>
  </si>
  <si>
    <t>mail.errorcode-a1.ga</t>
  </si>
  <si>
    <t>5f5533a8c902b</t>
  </si>
  <si>
    <t>http://mail.errorcode-a1.ga/alert/warning/XMCdhdsbfMShgdfhdgfAnkp/</t>
  </si>
  <si>
    <t>mail.errorcode-a1.ml</t>
  </si>
  <si>
    <t>5f55339c17625</t>
  </si>
  <si>
    <t>http://mail.errorcode-a1.ml/alert/warning/XMCdhdsbfMShgdfhdgfAnkp/</t>
  </si>
  <si>
    <t>mail.errorcode-a1.gq</t>
  </si>
  <si>
    <t>5f553399ee341</t>
  </si>
  <si>
    <t>http://mail.errorcode-a1.gq/alert/warning/XMCdhdsbfMShgdfhdgfAnkp/</t>
  </si>
  <si>
    <t>mail.errorcode-a2.ml</t>
  </si>
  <si>
    <t>5f5533929c418</t>
  </si>
  <si>
    <t>http://mail.errorcode-a2.ml/alert/warning/XMCdhdsbfMShgdfhdgfAnkp/</t>
  </si>
  <si>
    <t>mail.errorcode-a2.gq</t>
  </si>
  <si>
    <t>5f55339129ac6</t>
  </si>
  <si>
    <t>http://mail.errorcode-a2.gq/alert/warning/XMCdhdsbfMShgdfhdgfAnkp/</t>
  </si>
  <si>
    <t>mail.errorcode-a3.ml</t>
  </si>
  <si>
    <t>5f55338897700</t>
  </si>
  <si>
    <t>http://mail.errorcode-a3.ml/alert/warning/XMCdhdsbfMShgdfhdgfAnkp/</t>
  </si>
  <si>
    <t>mail.errorcode-a3.gq</t>
  </si>
  <si>
    <t>5f553387d2e34</t>
  </si>
  <si>
    <t>http://mail.errorcode-a3.gq/alert/warning/XMCdhdsbfMShgdfhdgfAnkp/</t>
  </si>
  <si>
    <t>mail.errorcode-a4.gq</t>
  </si>
  <si>
    <t>5f5533846acc8</t>
  </si>
  <si>
    <t>http://mail.errorcode-a4.gq/alert/warning/XMCdhdsbfMShgdfhdgfAnkp/</t>
  </si>
  <si>
    <t>mail.errorcode-a4.ml</t>
  </si>
  <si>
    <t>5f553381b00c7</t>
  </si>
  <si>
    <t>http://mail.errorcode-a4.ml/alert/warning/XMCdhdsbfMShgdfhdgfAnkp/</t>
  </si>
  <si>
    <t>mail.errorcode-a5.ml</t>
  </si>
  <si>
    <t>5f55337a7577f</t>
  </si>
  <si>
    <t>http://mail.errorcode-a5.ml/alert/warning/XMCdhdsbfMShgdfhdgfAnkp/</t>
  </si>
  <si>
    <t>mail.errorcode-a7.ml</t>
  </si>
  <si>
    <t>5f553377dc04c</t>
  </si>
  <si>
    <t>http://mail.errorcode-a7.ml/alert/warning/XMCdhdsbfMShgdfhdgfAnkp/</t>
  </si>
  <si>
    <t>mail.errorcode-a7.cf</t>
  </si>
  <si>
    <t>5f553370831b5</t>
  </si>
  <si>
    <t>http://mail.errorcode-a7.cf/alert/warning/XMCdhdsbfMShgdfhdgfAnkp/</t>
  </si>
  <si>
    <t>mail.errorcode-a7.gq</t>
  </si>
  <si>
    <t>5f55336b0a4ba</t>
  </si>
  <si>
    <t>http://mail.errorcode-a7.gq/alert/warning/XMCdhdsbfMShgdfhdgfAnkp/</t>
  </si>
  <si>
    <t>errorcode-a6.tk</t>
  </si>
  <si>
    <t>5f5533531e5a6</t>
  </si>
  <si>
    <t>http://errorcode-a6.tk/alert/warning/XMCdhdsbfMShgdfhdgfAnkp/</t>
  </si>
  <si>
    <t>errorcode-a1.ml</t>
  </si>
  <si>
    <t>5f553341b985a</t>
  </si>
  <si>
    <t>http://errorcode-a1.ml/alert/warning/XMCdhdsbfMShgdfhdgfAnkp/</t>
  </si>
  <si>
    <t>errorcode-a1.cf</t>
  </si>
  <si>
    <t>5f553338a9893</t>
  </si>
  <si>
    <t>http://errorcode-a1.cf/alert/warning/XMCdhdsbfMShgdfhdgfAnkp/</t>
  </si>
  <si>
    <t>errorcode-a1.tk</t>
  </si>
  <si>
    <t>5f5533371f9b7</t>
  </si>
  <si>
    <t>http://errorcode-a1.tk/alert/warning/XMCdhdsbfMShgdfhdgfAnkp/</t>
  </si>
  <si>
    <t>errorcode-a3.tk</t>
  </si>
  <si>
    <t>5f55332f5eb90</t>
  </si>
  <si>
    <t>http://errorcode-a3.tk/alert/warning/XMCdhdsbfMShgdfhdgfAnkp/</t>
  </si>
  <si>
    <t>errorcode-a2.cf</t>
  </si>
  <si>
    <t>5f55332a0185d</t>
  </si>
  <si>
    <t>http://errorcode-a2.cf/alert/warning/XMCdhdsbfMShgdfhdgfAnkp/</t>
  </si>
  <si>
    <t>errorcode-a2.tk</t>
  </si>
  <si>
    <t>5f553322aec84</t>
  </si>
  <si>
    <t>http://errorcode-a2.tk/alert/warning/XMCdhdsbfMShgdfhdgfAnkp/</t>
  </si>
  <si>
    <t>errorcode-a1.ga</t>
  </si>
  <si>
    <t>5f55330fe9b1e</t>
  </si>
  <si>
    <t>http://errorcode-a1.ga/alert/warning/XMCdhdsbfMShgdfhdgfAnkp/</t>
  </si>
  <si>
    <t>errorcode-a1.gq</t>
  </si>
  <si>
    <t>5f55330d1c469</t>
  </si>
  <si>
    <t>http://errorcode-a1.gq/alert/warning/XMCdhdsbfMShgdfhdgfAnkp/</t>
  </si>
  <si>
    <t>errorcode-a2.ga</t>
  </si>
  <si>
    <t>5f5533098675d</t>
  </si>
  <si>
    <t>http://errorcode-a2.ga/alert/warning/XMCdhdsbfMShgdfhdgfAnkp/</t>
  </si>
  <si>
    <t>errorcode-a3.cf</t>
  </si>
  <si>
    <t>5f5533046dbdf</t>
  </si>
  <si>
    <t>http://errorcode-a3.cf/alert/warning/XMCdhdsbfMShgdfhdgfAnkp/</t>
  </si>
  <si>
    <t>errorcode-a2.ml</t>
  </si>
  <si>
    <t>5f553302907bb</t>
  </si>
  <si>
    <t>http://errorcode-a2.ml/alert/warning/XMCdhdsbfMShgdfhdgfAnkp/</t>
  </si>
  <si>
    <t>errorcode-a3.ml</t>
  </si>
  <si>
    <t>5f5532fdb511f</t>
  </si>
  <si>
    <t>http://errorcode-a3.ml/alert/warning/XMCdhdsbfMShgdfhdgfAnkp/</t>
  </si>
  <si>
    <t>errorcode-a3.ga</t>
  </si>
  <si>
    <t>5f5532efde633</t>
  </si>
  <si>
    <t>http://errorcode-a3.ga/alert/warning/XMCdhdsbfMShgdfhdgfAnkp/</t>
  </si>
  <si>
    <t>errorcode-a3.gq</t>
  </si>
  <si>
    <t>5f5532e996e5b</t>
  </si>
  <si>
    <t>http://errorcode-a3.gq/alert/warning/XMCdhdsbfMShgdfhdgfAnkp/</t>
  </si>
  <si>
    <t>errorcode-a4.ml</t>
  </si>
  <si>
    <t>5f5532e426d6f</t>
  </si>
  <si>
    <t>http://errorcode-a4.ml/alert/warning/XMCdhdsbfMShgdfhdgfAnkp/</t>
  </si>
  <si>
    <t>errorcode-a4.cf</t>
  </si>
  <si>
    <t>5f5532e148725</t>
  </si>
  <si>
    <t>http://errorcode-a4.cf/alert/warning/XMCdhdsbfMShgdfhdgfAnkp/</t>
  </si>
  <si>
    <t>errorcode-a6.gq</t>
  </si>
  <si>
    <t>5f5532e0cb1b3</t>
  </si>
  <si>
    <t>http://errorcode-a6.gq/alert/warning/XMCdhdsbfMShgdfhdgfAnkp/</t>
  </si>
  <si>
    <t>errorcode-a4.ga</t>
  </si>
  <si>
    <t>5f5532de3ba1b</t>
  </si>
  <si>
    <t>http://errorcode-a4.ga/alert/warning/XMCdhdsbfMShgdfhdgfAnkp/</t>
  </si>
  <si>
    <t>errorcode-a4.gq</t>
  </si>
  <si>
    <t>5f5532da17836</t>
  </si>
  <si>
    <t>http://errorcode-a4.gq/alert/warning/XMCdhdsbfMShgdfhdgfAnkp/</t>
  </si>
  <si>
    <t>errorcode-a6.ml</t>
  </si>
  <si>
    <t>5f5532d03ddba</t>
  </si>
  <si>
    <t>http://errorcode-a6.ml/alert/warning/XMCdhdsbfMShgdfhdgfAnkp/</t>
  </si>
  <si>
    <t>errorcode-a5.ml</t>
  </si>
  <si>
    <t>5f5532c6850e2</t>
  </si>
  <si>
    <t>http://errorcode-a5.ml/alert/warning/XMCdhdsbfMShgdfhdgfAnkp/</t>
  </si>
  <si>
    <t>errorcode-a5.ga</t>
  </si>
  <si>
    <t>5f5532c3aa346</t>
  </si>
  <si>
    <t>http://errorcode-a5.ga/alert/warning/XMCdhdsbfMShgdfhdgfAnkp/</t>
  </si>
  <si>
    <t>errorcode-a5.gq</t>
  </si>
  <si>
    <t>5f5532c1198f9</t>
  </si>
  <si>
    <t>http://errorcode-a5.gq/alert/warning/XMCdhdsbfMShgdfhdgfAnkp/</t>
  </si>
  <si>
    <t>errorcode-a5.cf</t>
  </si>
  <si>
    <t>5f5532ba8fbbe</t>
  </si>
  <si>
    <t>http://errorcode-a5.cf/alert/warning/XMCdhdsbfMShgdfhdgfAnkp/</t>
  </si>
  <si>
    <t>mail.errorcode-a7.ga</t>
  </si>
  <si>
    <t>5f55329e342c2</t>
  </si>
  <si>
    <t>http://mail.errorcode-a7.ga/alert/warning/XMCdhdsbfMShgdfhdgfAnkp/</t>
  </si>
  <si>
    <t>errorcode-a7.cf</t>
  </si>
  <si>
    <t>5f5531864bc29</t>
  </si>
  <si>
    <t>https://errorcode-a7.cf/alert/warning/XMCdhdsbfMShgdfhdgfAnkp/</t>
  </si>
  <si>
    <t>errorcode-a7.ml</t>
  </si>
  <si>
    <t>5f55317fc3bdc</t>
  </si>
  <si>
    <t>https://errorcode-a7.ml/alert/warning/XMCdhdsbfMShgdfhdgfAnkp/</t>
  </si>
  <si>
    <t>errorcode-a7.ga</t>
  </si>
  <si>
    <t>5f55316e4d4d3</t>
  </si>
  <si>
    <t>https://errorcode-a7.ga/alert/warning/XMCdhdsbfMShgdfhdgfAnkp/</t>
  </si>
  <si>
    <t>errorcode-a7.gq</t>
  </si>
  <si>
    <t>5f553161c3fd4</t>
  </si>
  <si>
    <t>https://errorcode-a7.gq/alert/warning/XMCdhdsbfMShgdfhdgfAnkp/</t>
  </si>
  <si>
    <t>95.179.213.100</t>
  </si>
  <si>
    <t>5f55f14aa64ff</t>
  </si>
  <si>
    <t>http://95.179.213.100/index.html?phone=0800-100-2326</t>
  </si>
  <si>
    <t>anywherewarming.com</t>
  </si>
  <si>
    <t>51.11.242.99</t>
  </si>
  <si>
    <t>5f55f745c7a02</t>
  </si>
  <si>
    <t>http://anywherewarming.com/TChsfsdfjdsfjdsfjVX/</t>
  </si>
  <si>
    <t>Skanderborg</t>
  </si>
  <si>
    <t>173.199.70.223</t>
  </si>
  <si>
    <t>5f58c94d6b2db</t>
  </si>
  <si>
    <t>http://173.199.70.223/index.html?phone=0800-100-2326</t>
  </si>
  <si>
    <t>Denmark</t>
  </si>
  <si>
    <t>pests-control.com</t>
  </si>
  <si>
    <t>104.31.75.165</t>
  </si>
  <si>
    <t>5f57e348aca9e</t>
  </si>
  <si>
    <t>https://pests-control.com/code6804e/CHfdfdfdfd100110dfSHA/</t>
  </si>
  <si>
    <t>23byteujjhg.azurewebsites.net</t>
  </si>
  <si>
    <t>20.37.196.193</t>
  </si>
  <si>
    <t>60dcc4145b0fe</t>
  </si>
  <si>
    <t>https://23byteujjhg.azurewebsites.net/W088MSi08880Moit0yCED0008Mhi0/index.html</t>
  </si>
  <si>
    <t>09bytenbgfn.azurewebsites.net</t>
  </si>
  <si>
    <t>60dcbc14a830b</t>
  </si>
  <si>
    <t>https://09bytenbgfn.azurewebsites.net/W088MSi08880Moit0yCED0008Mhi0/index.html</t>
  </si>
  <si>
    <t>18torrontyhg.azurewebsites.net</t>
  </si>
  <si>
    <t>60da1073a85fb</t>
  </si>
  <si>
    <t>https://18torrontyhg.azurewebsites.net/W088MSi08880Moit0yCED0008Mhi0/index.html</t>
  </si>
  <si>
    <t>42teamasdx.azurewebsites.net</t>
  </si>
  <si>
    <t>60d237e10b433</t>
  </si>
  <si>
    <t>https://42teamasdx.azurewebsites.net/W088MSi08880Moit0yCED0008Mhi0/index.html</t>
  </si>
  <si>
    <t>62tinyqwas.azurewebsites.net</t>
  </si>
  <si>
    <t>60d0c9e48a78d</t>
  </si>
  <si>
    <t>https://62tinyqwas.azurewebsites.net/W088MSi08880Moit0yCH0008Mhi0/index.html</t>
  </si>
  <si>
    <t>40tinyqwas.azurewebsites.net</t>
  </si>
  <si>
    <t>60ccce3c1856a</t>
  </si>
  <si>
    <t>https://40tinyqwas.azurewebsites.net/W088MSi08880Moit0yCED0008Mhi0/index.html</t>
  </si>
  <si>
    <t>34tinyasdc.azurewebsites.net</t>
  </si>
  <si>
    <t>60cb79847f324</t>
  </si>
  <si>
    <t>https://34tinyasdc.azurewebsites.net/W088MSi08880Moit0yCED0008Mhi0/index.html</t>
  </si>
  <si>
    <t>06teamqwas.azurewebsites.net</t>
  </si>
  <si>
    <t>60cba35bb0e56</t>
  </si>
  <si>
    <t>https://06teamqwas.azurewebsites.net/W088MSi08880Moit0yCED0008Mhi0/index.html</t>
  </si>
  <si>
    <t>28threptasdx.azurewebsites.net</t>
  </si>
  <si>
    <t>60cb767783071</t>
  </si>
  <si>
    <t>https://28threptasdx.azurewebsites.net/W088MSi08880Moit0yCED0008Mhi0/index.html</t>
  </si>
  <si>
    <t>33tinyyhjui.azurewebsites.net</t>
  </si>
  <si>
    <t>60ca2c193c826</t>
  </si>
  <si>
    <t>https://33tinyyhjui.azurewebsites.net/W088MSi08880Moit0yCED0008Mhi0/index.html</t>
  </si>
  <si>
    <t>31tinyuijk.azurewebsites.net</t>
  </si>
  <si>
    <t>60ca2ab3a0b09</t>
  </si>
  <si>
    <t>https://31tinyuijk.azurewebsites.net/W088MSi08880Moit0yCED0008Mhi0/index.html</t>
  </si>
  <si>
    <t>34teamqasz.azurewebsites.net</t>
  </si>
  <si>
    <t>60ca4a1c65fa6</t>
  </si>
  <si>
    <t>https://34teamqasz.azurewebsites.net/W088MSi08880Moit0yMA0008Mhi0/index.html</t>
  </si>
  <si>
    <t>16threptqaszz.azurewebsites.net</t>
  </si>
  <si>
    <t>60ca44e24456a</t>
  </si>
  <si>
    <t>https://16threptqaszz.azurewebsites.net/W088MSi08880Moit0yCED0008Mhi0/index.html</t>
  </si>
  <si>
    <t>26torronuikl.azurewebsites.net</t>
  </si>
  <si>
    <t>60ca4396b5c35</t>
  </si>
  <si>
    <t>https://26torronuikl.azurewebsites.net/W088MSi08880Moit0yCED0008Mhi0/index.html</t>
  </si>
  <si>
    <t>14threptyhgbt.azurewebsites.net</t>
  </si>
  <si>
    <t>60ca4274d68dc</t>
  </si>
  <si>
    <t>https://14threptyhgbt.azurewebsites.net/W088MSi08880Moit0yMA0008Mhi0/index.html</t>
  </si>
  <si>
    <t>11torronasdx.azurewebsites.net</t>
  </si>
  <si>
    <t>60ca3b82d93ba</t>
  </si>
  <si>
    <t>https://11torronasdx.azurewebsites.net/W088MSi08880Moit0yCED0008Mhi0/index.html</t>
  </si>
  <si>
    <t>44tinyasdx.azurewebsites.net</t>
  </si>
  <si>
    <t>60ca3101c6b3b</t>
  </si>
  <si>
    <t>https://44tinyasdx.azurewebsites.net/W088MSi08880Moit0yCH0008Mhi0/index.html</t>
  </si>
  <si>
    <t>43tinyasdfc.azurewebsites.net</t>
  </si>
  <si>
    <t>60ca30dc42083</t>
  </si>
  <si>
    <t>https://43tinyasdfc.azurewebsites.net/W088MSi08880Moit0yCH0008Mhi0/index.html</t>
  </si>
  <si>
    <t>29threptujki.azurewebsites.net</t>
  </si>
  <si>
    <t>60ca298e66dcd</t>
  </si>
  <si>
    <t>https://29threptujki.azurewebsites.net/W088MSi08880Moit0yCH0008Mhi0/index.html</t>
  </si>
  <si>
    <t>25threptqwas.azurewebsites.net</t>
  </si>
  <si>
    <t>60ca2809a2707</t>
  </si>
  <si>
    <t>https://25threptqwas.azurewebsites.net/W088MSi08880Moit0yCED0008Mhi0/index.html</t>
  </si>
  <si>
    <t>23threptqwasz.azurewebsites.net</t>
  </si>
  <si>
    <t>60ca271323dd1</t>
  </si>
  <si>
    <t>https://23threptqwasz.azurewebsites.net/W088MSi08880Moit0yCED0008Mhi0/index.html</t>
  </si>
  <si>
    <t>01hootertghh.azurewebsites.net</t>
  </si>
  <si>
    <t>60bfb528d273e</t>
  </si>
  <si>
    <t>http://01hootertghh.azurewebsites.net/W088MSi08880Moit0yCED0008Mhi0/index.html</t>
  </si>
  <si>
    <t>24buffleasxd.azurewebsites.net</t>
  </si>
  <si>
    <t>60be71b807167</t>
  </si>
  <si>
    <t>https://24buffleasxd.azurewebsites.net/W088MSi08880Moit0yCED0008Mhi0/index.html</t>
  </si>
  <si>
    <t>16bufflerfgv.azurewebsites.net</t>
  </si>
  <si>
    <t>60be6d488e519</t>
  </si>
  <si>
    <t>https://16bufflerfgv.azurewebsites.net/W088MSi08880Moit0yCED0008Mhi0/index.html</t>
  </si>
  <si>
    <t>12buffleasxd.azurewebsites.net</t>
  </si>
  <si>
    <t>60be6b8470873</t>
  </si>
  <si>
    <t>https://12buffleasxd.azurewebsites.net/W088MSi08880Moit0yCED0008Mhi0/index.html</t>
  </si>
  <si>
    <t>08buffleyuhj.azurewebsites.net</t>
  </si>
  <si>
    <t>60be67cb19cad</t>
  </si>
  <si>
    <t>https://08buffleyuhj.azurewebsites.net/W088MSi08880Moit0yCED0008Mhi0/index.html</t>
  </si>
  <si>
    <t>41hootetgfr.azurewebsites.net</t>
  </si>
  <si>
    <t>60b92eb42bb89</t>
  </si>
  <si>
    <t>https://41hootetgfr.azurewebsites.net/W088MSi08880Moit0yMA0008Mhi0/index.html</t>
  </si>
  <si>
    <t>45buffleedsw.azurewebsites.net</t>
  </si>
  <si>
    <t>60b91ae73efa2</t>
  </si>
  <si>
    <t>https://45buffleedsw.azurewebsites.net/W088MSi08880Moit0yCED0008Mhi0/index.html</t>
  </si>
  <si>
    <t>21isgeujhg.azurewebsites.net</t>
  </si>
  <si>
    <t>60b917e312f6a</t>
  </si>
  <si>
    <t>https://21isgeujhg.azurewebsites.net/W088MSi08880Moit0yCED0008Mhi0/index.html</t>
  </si>
  <si>
    <t>31uslerfdc.azurewebsites.net</t>
  </si>
  <si>
    <t>60b7dbdcc2a4e</t>
  </si>
  <si>
    <t>https://31uslerfdc.azurewebsites.net/W088MSi08880Moit0yCH0008Mhi0/index.html</t>
  </si>
  <si>
    <t>35buffleyhgt.azurewebsites.net</t>
  </si>
  <si>
    <t>60b7c57233829</t>
  </si>
  <si>
    <t>https://35buffleyhgt.azurewebsites.net/W088MSi08880Moit0yCH0008Mhi0/index.html</t>
  </si>
  <si>
    <t>49ultratghn.azurewebsites.net</t>
  </si>
  <si>
    <t>60ac171540a3a</t>
  </si>
  <si>
    <t>https://49ultratghn.azurewebsites.net/ERRWINIn01MSi0XXiUIEDG0MXGRAPHIC/index.html</t>
  </si>
  <si>
    <t>30clickertfg.azurewebsites.net</t>
  </si>
  <si>
    <t>60afe3304eb11</t>
  </si>
  <si>
    <t>https://30clickertfg.azurewebsites.net/W088MSi08880Moit0yCH0008Mhi0/index.html</t>
  </si>
  <si>
    <t>11rebrandletyhg.azurewebsites.net</t>
  </si>
  <si>
    <t>60afdb86550c8</t>
  </si>
  <si>
    <t>https://11rebrandletyhg.azurewebsites.net/W088MSi08880Moit0yCED0008Mhi0/index.html</t>
  </si>
  <si>
    <t>10rebrandledfcs.azurewebsites.net</t>
  </si>
  <si>
    <t>60afdb13d1549</t>
  </si>
  <si>
    <t>https://10rebrandledfcs.azurewebsites.net/W088MSi08880Moit0yCED0008Mhi0/index.html</t>
  </si>
  <si>
    <t>28clkinasza.azurewebsites.net</t>
  </si>
  <si>
    <t>60b1521fa1c06</t>
  </si>
  <si>
    <t>https://28clkinasza.azurewebsites.net/W088MSi08880Moit0yFF0008Mhi0/index.html</t>
  </si>
  <si>
    <t>29bitlerfdc.azurewebsites.net</t>
  </si>
  <si>
    <t>60afda1dbc5df</t>
  </si>
  <si>
    <t>https://29bitlerfdc.azurewebsites.net/W088MSi08880Moit0yCED0008Mhi0/index.html</t>
  </si>
  <si>
    <t>09rebrandleasdx.azurewebsites.net</t>
  </si>
  <si>
    <t>60afd9e544a5a</t>
  </si>
  <si>
    <t>https://09rebrandleasdx.azurewebsites.net/W088MSi08880Moit0yCED0008Mhi0/index.html</t>
  </si>
  <si>
    <t>10mammographtgyh.azurewebsites.net</t>
  </si>
  <si>
    <t>60a6a5046d1e6</t>
  </si>
  <si>
    <t>https://10mammographtgyh.azurewebsites.net/ERRWINIn01MSi0XXiUIMAC0MXGRAPHIC/index.html</t>
  </si>
  <si>
    <t>18osteortgh.azurewebsites.net</t>
  </si>
  <si>
    <t>60a68f46dab42</t>
  </si>
  <si>
    <t>https://18osteortgh.azurewebsites.net/ERRWINIn01MSi0XXiUIMAC0MXGRAPHIC/index.html</t>
  </si>
  <si>
    <t>38dogebityujk.azurewebsites.net</t>
  </si>
  <si>
    <t>60a405cede0ec</t>
  </si>
  <si>
    <t>https://38dogebityujk.azurewebsites.net/ERRWINIn01MSi0XXiUICH0MXGRAPHIC/index.html</t>
  </si>
  <si>
    <t>32dogebitqwas.azurewebsites.net</t>
  </si>
  <si>
    <t>60a400ce1da81</t>
  </si>
  <si>
    <t>https://32dogebitqwas.azurewebsites.net/ERRWINIn01MSi0XXiUICH0MXGRAPHIC/index.html</t>
  </si>
  <si>
    <t>49dogebityhju.azurewebsites.net</t>
  </si>
  <si>
    <t>60a40bc92af40</t>
  </si>
  <si>
    <t>https://49dogebityhju.azurewebsites.net/ERRWINIn01MSi0XXiUICH0MXGRAPHIC/index.html</t>
  </si>
  <si>
    <t>05bitcwedf.azurewebsites.net</t>
  </si>
  <si>
    <t>60a3f871ad33a</t>
  </si>
  <si>
    <t>https://05bitcwedf.azurewebsites.net/ERRWINIn01MSi0XXiUICH0MXGRAPHIC/index.html</t>
  </si>
  <si>
    <t>46deskaqws.azurewebsites.net</t>
  </si>
  <si>
    <t>609445de42665</t>
  </si>
  <si>
    <t>https://46deskaqws.azurewebsites.net/W088In01MSi08880it0yCED000811JD/index.html</t>
  </si>
  <si>
    <t>609445de2df26</t>
  </si>
  <si>
    <t>04reportsyhjn.azurewebsites.net</t>
  </si>
  <si>
    <t>6064aff9984f0</t>
  </si>
  <si>
    <t>https://04reportsyhjn.azurewebsites.net/PAHDJ0SGJA844012CHXAGEODB100F/</t>
  </si>
  <si>
    <t>getyourpcfixed12fdgsghgfg.azurewebsites.net</t>
  </si>
  <si>
    <t>601442193168a</t>
  </si>
  <si>
    <t>https://getyourpcfixed12fdgsghgfg.azurewebsites.net/MicOSoCHPC017528240X00/</t>
  </si>
  <si>
    <t>supportcode-drt6fhtyjtj.azurewebsites.net</t>
  </si>
  <si>
    <t>5ff8c50b524c9</t>
  </si>
  <si>
    <t>https://supportcode-drt6fhtyjtj.azurewebsites.net/MicOSoCHPC017528240X00/</t>
  </si>
  <si>
    <t>supportscenter-02.azurewebsites.net</t>
  </si>
  <si>
    <t>5fe2533f37707</t>
  </si>
  <si>
    <t>https://supportscenter-02.azurewebsites.net/Wind0HelCHSyS06016552664/</t>
  </si>
  <si>
    <t>02-geek-support.azurewebsites.net</t>
  </si>
  <si>
    <t>5fd7aa42ed3f2</t>
  </si>
  <si>
    <t>http://02-geek-support.azurewebsites.net/Wind0HelEDGSyS06016552664/</t>
  </si>
  <si>
    <t>livequick-support162.azurewebsites.net</t>
  </si>
  <si>
    <t>5faf3e4aed570</t>
  </si>
  <si>
    <t>http://livequick-support162.azurewebsites.net/JArbZ98cFQJapCA/</t>
  </si>
  <si>
    <t>livequick-support077.azurewebsites.net</t>
  </si>
  <si>
    <t>5faf3967b33bc</t>
  </si>
  <si>
    <t>http://livequick-support077.azurewebsites.net/JArbZ98cFQJapCA/</t>
  </si>
  <si>
    <t>livequick-support002.azurewebsites.net</t>
  </si>
  <si>
    <t>5fa97bc674a5c</t>
  </si>
  <si>
    <t>https://livequick-support002.azurewebsites.net/VXJfzDqW2zqUqWz/</t>
  </si>
  <si>
    <t>quick-support262.azurewebsites.net</t>
  </si>
  <si>
    <t>5fa96def7ef89</t>
  </si>
  <si>
    <t>https://quick-support262.azurewebsites.net/VXJfzDqW2zqUqWz/</t>
  </si>
  <si>
    <t>freequickssupports012.azurewebsites.net</t>
  </si>
  <si>
    <t>5f970c561b8b3</t>
  </si>
  <si>
    <t>https://freequickssupports012.azurewebsites.net/9GMEFgvzgTaEgPD/</t>
  </si>
  <si>
    <t>helpbygeekexperts22.azurewebsites.net</t>
  </si>
  <si>
    <t>5f7df0ce57656</t>
  </si>
  <si>
    <t>https://helpbygeekexperts22.azurewebsites.net/7mXVCUNqjvYHSbG/</t>
  </si>
  <si>
    <t>onlinecomputersupport39.azurewebsites.net</t>
  </si>
  <si>
    <t>5f72210d75f22</t>
  </si>
  <si>
    <t>https://onlinecomputersupport39.azurewebsites.net/Kq8XSq5WNCgY68z/</t>
  </si>
  <si>
    <t>freepchelp192.azurewebsites.net</t>
  </si>
  <si>
    <t>5f6e4a91ef34f</t>
  </si>
  <si>
    <t>https://freepchelp192.azurewebsites.net/uGM5D6wZ9V5J5RY/</t>
  </si>
  <si>
    <t>freepchelp43.azurewebsites.net</t>
  </si>
  <si>
    <t>5f6cceedde6f2</t>
  </si>
  <si>
    <t>https://freepchelp43.azurewebsites.net/Kq8XSq5WNCgY68z/</t>
  </si>
  <si>
    <t>freecomputersupport82.azurewebsites.net</t>
  </si>
  <si>
    <t>5f6a5f3c2aaf0</t>
  </si>
  <si>
    <t>https://freecomputersupport82.azurewebsites.net/PjY6bTgrEnuKddE/</t>
  </si>
  <si>
    <t>freecomputersupport12.azurewebsites.net</t>
  </si>
  <si>
    <t>5f6a3ce85a1fe</t>
  </si>
  <si>
    <t>https://freecomputersupport12.azurewebsites.net/PjY6bTgrEnuKddE/</t>
  </si>
  <si>
    <t>freecomputerhelp152.azurewebsites.net</t>
  </si>
  <si>
    <t>5f699e6ceb46d</t>
  </si>
  <si>
    <t>https://freecomputerhelp152.azurewebsites.net/R7tcvkAFdAwS4B4</t>
  </si>
  <si>
    <t>freepchelp127.azurewebsites.net</t>
  </si>
  <si>
    <t>5f6246844c022</t>
  </si>
  <si>
    <t>https://freepchelp127.azurewebsites.net/TxHTvPq9EFWfwjb/</t>
  </si>
  <si>
    <t>freepchelp112.azurewebsites.net</t>
  </si>
  <si>
    <t>5f623bf303009</t>
  </si>
  <si>
    <t>https://freepchelp112.azurewebsites.net/TxHTvPq9EFWfwjb/</t>
  </si>
  <si>
    <t>freepchelp56.azurewebsites.net</t>
  </si>
  <si>
    <t>5f61c5933f764</t>
  </si>
  <si>
    <t>https://freepchelp56.azurewebsites.net/ERDDrHjVfKbFJbQ/</t>
  </si>
  <si>
    <t>freepchelponline02.azurewebsites.net</t>
  </si>
  <si>
    <t>5f60f97d7ecde</t>
  </si>
  <si>
    <t>https://freepchelponline02.azurewebsites.net/ERDDrHjVfKbFJbQ/</t>
  </si>
  <si>
    <t>pconlinehelp172.azurewebsites.net</t>
  </si>
  <si>
    <t>5f60e731ec962</t>
  </si>
  <si>
    <t>https://pconlinehelp172.azurewebsites.net/ERDDrHjVfKbFJbQ/</t>
  </si>
  <si>
    <t>pconlinehelp122.azurewebsites.net</t>
  </si>
  <si>
    <t>5f60795d2d0c9</t>
  </si>
  <si>
    <t>https://pconlinehelp122.azurewebsites.net/ERDDrHjVfKbFJbQ/</t>
  </si>
  <si>
    <t>pconlinehelp142.azurewebsites.net</t>
  </si>
  <si>
    <t>5f6079387eef5</t>
  </si>
  <si>
    <t>https://pconlinehelp142.azurewebsites.net/ERDDrHjVfKbFJbQ/</t>
  </si>
  <si>
    <t>pconlinehelp152.azurewebsites.net</t>
  </si>
  <si>
    <t>5f607925571e8</t>
  </si>
  <si>
    <t>https://pconlinehelp152.azurewebsites.net/ERDDrHjVfKbFJbQ/</t>
  </si>
  <si>
    <t>pchelpdesk22.azurewebsites.net</t>
  </si>
  <si>
    <t>5f5a582dc8a9c</t>
  </si>
  <si>
    <t>https://pchelpdesk22.azurewebsites.net/garretttanners7d/</t>
  </si>
  <si>
    <t>pchelpservices112.azurewebsites.net</t>
  </si>
  <si>
    <t>5f5917256e4e6</t>
  </si>
  <si>
    <t>https://pchelpservices112.azurewebsites.net/dawsonwhlerS7v/</t>
  </si>
  <si>
    <t>pchelpservices102.azurewebsites.net</t>
  </si>
  <si>
    <t>5f5911fbf29ee</t>
  </si>
  <si>
    <t>https://pchelpservices102.azurewebsites.net/garretttanners7d/</t>
  </si>
  <si>
    <t>pchelpservices23.azurewebsites.net</t>
  </si>
  <si>
    <t>5f57e9c15dcec</t>
  </si>
  <si>
    <t>https://pchelpservices23.azurewebsites.net/avfFeTpfJfSPuPx/</t>
  </si>
  <si>
    <t>petshed.site</t>
  </si>
  <si>
    <t>104.28.14.12</t>
  </si>
  <si>
    <t>5f57eb1bcf88e</t>
  </si>
  <si>
    <t>https://petshed.site/code6179e/CHfdfdfdfd100110dfSHA/</t>
  </si>
  <si>
    <t>onecallhelpdesk19.azurewebsites.net</t>
  </si>
  <si>
    <t>104.45.141.247</t>
  </si>
  <si>
    <t>5f7f3ac93027b</t>
  </si>
  <si>
    <t>https://onecallhelpdesk19.azurewebsites.net/bUAnaP5Cp7yKmv4/</t>
  </si>
  <si>
    <t>pconlinehelp169.azurewebsites.net</t>
  </si>
  <si>
    <t>5f60e7267d895</t>
  </si>
  <si>
    <t>https://pconlinehelp169.azurewebsites.net/ERDDrHjVfKbFJbQ/</t>
  </si>
  <si>
    <t>pconlinehelp127.azurewebsites.net</t>
  </si>
  <si>
    <t>5f607956e1d94</t>
  </si>
  <si>
    <t>https://pconlinehelp127.azurewebsites.net/ERDDrHjVfKbFJbQ/</t>
  </si>
  <si>
    <t>pconlinehelp19.azurewebsites.net</t>
  </si>
  <si>
    <t>5f5f9ad84d259</t>
  </si>
  <si>
    <t>https://pconlinehelp19.azurewebsites.net/ERDDrHjVfKbFJbQ/</t>
  </si>
  <si>
    <t>pconlinehelp147.azurewebsites.net</t>
  </si>
  <si>
    <t>5f607931abccb</t>
  </si>
  <si>
    <t>https://pconlinehelp147.azurewebsites.net/ERDDrHjVfKbFJbQ/</t>
  </si>
  <si>
    <t>pchelpservices19.azurewebsites.net</t>
  </si>
  <si>
    <t>5f57ed0e84847</t>
  </si>
  <si>
    <t>https://pchelpservices19.azurewebsites.net/avfFeTpfJfSPuPx/</t>
  </si>
  <si>
    <t>getsupportsdvsbvs.azurewebsites.net</t>
  </si>
  <si>
    <t>40.64.128.224</t>
  </si>
  <si>
    <t>60022379acc3c</t>
  </si>
  <si>
    <t>https://getsupportsdvsbvs.azurewebsites.net/MicOSoCHPC017528240X00/</t>
  </si>
  <si>
    <t>ossdete343t.azurewebsites.net</t>
  </si>
  <si>
    <t>60009929c2eef</t>
  </si>
  <si>
    <t>https://ossdete343t.azurewebsites.net/MicOSoEDPC017528240X00/</t>
  </si>
  <si>
    <t>quick-support281.azurewebsites.net</t>
  </si>
  <si>
    <t>5faf4421d93b4</t>
  </si>
  <si>
    <t>http://quick-support281.azurewebsites.net/JArbZ98cFQJapCA/</t>
  </si>
  <si>
    <t>livequick-support167.azurewebsites.net</t>
  </si>
  <si>
    <t>5faf3e6456a9c</t>
  </si>
  <si>
    <t>http://livequick-support167.azurewebsites.net/JArbZ98cFQJapCA/</t>
  </si>
  <si>
    <t>livequick-support131.azurewebsites.net</t>
  </si>
  <si>
    <t>5faf3db9af6bc</t>
  </si>
  <si>
    <t>http://livequick-support131.azurewebsites.net/JArbZ98cFQJapCA/</t>
  </si>
  <si>
    <t>livequick-support096.azurewebsites.net</t>
  </si>
  <si>
    <t>5faf39c59f5ff</t>
  </si>
  <si>
    <t>http://livequick-support096.azurewebsites.net/JArbZ98cFQJapCA/</t>
  </si>
  <si>
    <t>livequick-support081.azurewebsites.net</t>
  </si>
  <si>
    <t>5faf39838b08d</t>
  </si>
  <si>
    <t>http://livequick-support081.azurewebsites.net/JArbZ98cFQJapCA/</t>
  </si>
  <si>
    <t>quick-support031.azurewebsites.net</t>
  </si>
  <si>
    <t>5fa30833108f4</t>
  </si>
  <si>
    <t>https://quick-support031.azurewebsites.net/UsvCPP4t5Gxga6T/</t>
  </si>
  <si>
    <t>onlinepcquickssupport-091.azurewebsites.net</t>
  </si>
  <si>
    <t>5f8f56e02d82b</t>
  </si>
  <si>
    <t>https://onlinepcquickssupport-091.azurewebsites.net/Z7GEaSZAR6hyamV/</t>
  </si>
  <si>
    <t>helpbygeekexperts02.azurewebsites.net</t>
  </si>
  <si>
    <t>5f7de5493171c</t>
  </si>
  <si>
    <t>https://helpbygeekexperts02.azurewebsites.net/7mXVCUNqjvYHSbG/</t>
  </si>
  <si>
    <t>livehelpsupport101.azurewebsites.net</t>
  </si>
  <si>
    <t>5f74e8bed3241</t>
  </si>
  <si>
    <t>http://livehelpsupport101.azurewebsites.net/P8fBTPd33cqy3WA/</t>
  </si>
  <si>
    <t>liveonlinepchelp11.azurewebsites.net</t>
  </si>
  <si>
    <t>5f735e4415528</t>
  </si>
  <si>
    <t>http://liveonlinepchelp11.azurewebsites.net/6Yeqm5nqUDDNFgk/</t>
  </si>
  <si>
    <t>5f6e1b64b7e42</t>
  </si>
  <si>
    <t>https://freepchelp111.azurewebsites.net/4Vn8ccRwjE2bfHP/</t>
  </si>
  <si>
    <t>freecomputerhelp191.azurewebsites.net</t>
  </si>
  <si>
    <t>5f6a25d47de45</t>
  </si>
  <si>
    <t>https://freecomputerhelp191.azurewebsites.net/qyJ5k3EAgMS8xqX/</t>
  </si>
  <si>
    <t>freecomputerhelp51.azurewebsites.net</t>
  </si>
  <si>
    <t>5f699f1ac8450</t>
  </si>
  <si>
    <t>https://freecomputerhelp51.azurewebsites.net/R7tcvkAFdAwS4B4</t>
  </si>
  <si>
    <t>freecomputerhelp120.azurewebsites.net</t>
  </si>
  <si>
    <t>5f699e0e4ace4</t>
  </si>
  <si>
    <t>https://freecomputerhelp120.azurewebsites.net/R7tcvkAFdAwS4B4</t>
  </si>
  <si>
    <t>freecomputerhelp30.azurewebsites.net</t>
  </si>
  <si>
    <t>5f68d9ce8e458</t>
  </si>
  <si>
    <t>https://freecomputerhelp30.azurewebsites.net/R7tcvkAFdAwS4B4/</t>
  </si>
  <si>
    <t>freecomputerhelp15.azurewebsites.net</t>
  </si>
  <si>
    <t>5f68d97b7645f</t>
  </si>
  <si>
    <t>https://freecomputerhelp15.azurewebsites.net/R7tcvkAFdAwS4B4/</t>
  </si>
  <si>
    <t>freepchelpforum31.azurewebsites.net</t>
  </si>
  <si>
    <t>5f628853d9ef9</t>
  </si>
  <si>
    <t>https://freepchelpforum31.azurewebsites.net/TxHTvPq9EFWfwjb/</t>
  </si>
  <si>
    <t>freepchelpforum11.azurewebsites.net</t>
  </si>
  <si>
    <t>5f6287e358b83</t>
  </si>
  <si>
    <t>https://freepchelpforum11.azurewebsites.net/TxHTvPq9EFWfwjb/</t>
  </si>
  <si>
    <t>freepchelp121.azurewebsites.net</t>
  </si>
  <si>
    <t>5f624674df06b</t>
  </si>
  <si>
    <t>https://freepchelp121.azurewebsites.net/TxHTvPq9EFWfwjb/</t>
  </si>
  <si>
    <t>freepchelp11.azurewebsites.net</t>
  </si>
  <si>
    <t>5f61c600ceb7b</t>
  </si>
  <si>
    <t>https://freepchelp11.azurewebsites.net/ERDDrHjVfKbFJbQ/</t>
  </si>
  <si>
    <t>5f61c5b27648e</t>
  </si>
  <si>
    <t>https://freepchelp41.azurewebsites.net/ERDDrHjVfKbFJbQ/</t>
  </si>
  <si>
    <t>pconlinehelp131.azurewebsites.net</t>
  </si>
  <si>
    <t>5f60794e05818</t>
  </si>
  <si>
    <t>https://pconlinehelp131.azurewebsites.net/ERDDrHjVfKbFJbQ/</t>
  </si>
  <si>
    <t>pconlinehelp91.azurewebsites.net</t>
  </si>
  <si>
    <t>5f5fd3df2a6e9</t>
  </si>
  <si>
    <t>https://pconlinehelp91.azurewebsites.net/ERDDrHjVfKbFJbQ/</t>
  </si>
  <si>
    <t>pchelpservices51.azurewebsites.net</t>
  </si>
  <si>
    <t>5f58ff8d0a4dd</t>
  </si>
  <si>
    <t>https://pchelpservices51.azurewebsites.net/dawsonwhlerS7v/</t>
  </si>
  <si>
    <t>pchelpservices21.azurewebsites.net</t>
  </si>
  <si>
    <t>5f57ed167beed</t>
  </si>
  <si>
    <t>https://pchelpservices21.azurewebsites.net/avfFeTpfJfSPuPx/</t>
  </si>
  <si>
    <t>172.67.128.184</t>
  </si>
  <si>
    <t>5f57efda63967</t>
  </si>
  <si>
    <t>https://petshed.site/code3981e/CHfdfdfdfd100110dfSHA/</t>
  </si>
  <si>
    <t>94.237.24.17</t>
  </si>
  <si>
    <t>5f57ff6c56476</t>
  </si>
  <si>
    <t>http://94.237.24.17/callforhelp/00Ch_8aRT07_help10018Ruv/index.html</t>
  </si>
  <si>
    <t>queue399.ml</t>
  </si>
  <si>
    <t>104.27.140.238</t>
  </si>
  <si>
    <t>5f587f91612ef</t>
  </si>
  <si>
    <t>https://queue399.ml/Win22Ju_2404_IE_EDGE_8794-1.info/IEdge322302mshelp434343/</t>
  </si>
  <si>
    <t>travistranslators.com</t>
  </si>
  <si>
    <t>172.67.200.49</t>
  </si>
  <si>
    <t>5f58e34a34bc4</t>
  </si>
  <si>
    <t>https://travistranslators.com/code7143e/EDfdfdfdfd100110dfSHA/</t>
  </si>
  <si>
    <t>visionsecurity.online</t>
  </si>
  <si>
    <t>172.67.198.106</t>
  </si>
  <si>
    <t>5f58f87f1a405</t>
  </si>
  <si>
    <t>https://visionsecurity.online/code7582e/EDfdfdfdfd100110dfSHA/</t>
  </si>
  <si>
    <t>comfortbillings.online</t>
  </si>
  <si>
    <t>172.67.164.101</t>
  </si>
  <si>
    <t>5f58fcf0229fe</t>
  </si>
  <si>
    <t>https://comfortbillings.online/code7582e/EDfdfdfdfd100110dfSHA/</t>
  </si>
  <si>
    <t>138.68.48.28</t>
  </si>
  <si>
    <t>5f58fd2fa09a4</t>
  </si>
  <si>
    <t>http://138.68.48.28/0EDCC01010a0xx010101011001_AG_1010aae_221/</t>
  </si>
  <si>
    <t>18.222.187.71</t>
  </si>
  <si>
    <t>5f5901941e368</t>
  </si>
  <si>
    <t>http://18.222.187.71/error-page.html</t>
  </si>
  <si>
    <t>freeware484.ga</t>
  </si>
  <si>
    <t>104.31.86.207</t>
  </si>
  <si>
    <t>5f590396d14f2</t>
  </si>
  <si>
    <t>https://freeware484.ga/dasd-asd0as-das0d-asd0as-da0sd-as0das-d0asd-as0.uhb/Pcxcode_08xMShelplineCH123/index.html</t>
  </si>
  <si>
    <t>orlandparkbakery.site</t>
  </si>
  <si>
    <t>104.31.81.220</t>
  </si>
  <si>
    <t>5f5904092de88</t>
  </si>
  <si>
    <t>https://orlandparkbakery.site/code1015e/CHfdfdfdfd100110dfSHA/</t>
  </si>
  <si>
    <t>veyan7.cf</t>
  </si>
  <si>
    <t>104.24.108.184</t>
  </si>
  <si>
    <t>5f59052f0d510</t>
  </si>
  <si>
    <t>https://veyan7.cf/im/nc-28137171/chxchxchxchxchx</t>
  </si>
  <si>
    <t>blessings13.online</t>
  </si>
  <si>
    <t>104.131.21.91</t>
  </si>
  <si>
    <t>5f59067d5f4da</t>
  </si>
  <si>
    <t>https://blessings13.online/act-13/EDWInhelp10010101x/</t>
  </si>
  <si>
    <t>autoauctions.xyz</t>
  </si>
  <si>
    <t>166.62.30.155</t>
  </si>
  <si>
    <t>5f5909be6c915</t>
  </si>
  <si>
    <t>http://autoauctions.xyz/C1/Ehsdsdswwqw2x/</t>
  </si>
  <si>
    <t>veyan9.cf</t>
  </si>
  <si>
    <t>104.27.170.58</t>
  </si>
  <si>
    <t>5f590fb99a9f9</t>
  </si>
  <si>
    <t>https://veyan9.cf/sim/nc-28137171/chxchxchxchxchx/?phone=+1-888-984-3213&amp;amp;</t>
  </si>
  <si>
    <t>sytem-authentication-proccess-flow-alert.tk</t>
  </si>
  <si>
    <t>104.28.3.162</t>
  </si>
  <si>
    <t>5f591463e20de</t>
  </si>
  <si>
    <t>https://sytem-authentication-proccess-flow-alert.tk/newokifgsiufgdsgfinsdinvgisdgvsgvisgvivnidgvdsiungvsnewk/ch-bbuytuytcuyvr67bif76f/</t>
  </si>
  <si>
    <t>AS25697</t>
  </si>
  <si>
    <t>209.151.156.16</t>
  </si>
  <si>
    <t>UpCloud USA Inc</t>
  </si>
  <si>
    <t>UpCloudUSAInc</t>
  </si>
  <si>
    <t>5f591688b6f5c</t>
  </si>
  <si>
    <t>http://209.151.156.16/Blocked/00Ch_8aRT07_help10018Ruv/index.html</t>
  </si>
  <si>
    <t>pchelpdesk58.azurewebsites.net</t>
  </si>
  <si>
    <t>40.79.154.193</t>
  </si>
  <si>
    <t>5f5a591a7c73f</t>
  </si>
  <si>
    <t>https://pchelpdesk58.azurewebsites.net/garretttanners7d/</t>
  </si>
  <si>
    <t>pchelpdesk47.azurewebsites.net</t>
  </si>
  <si>
    <t>5f5a58d31f8f6</t>
  </si>
  <si>
    <t>https://pchelpdesk47.azurewebsites.net/garretttanners7d/</t>
  </si>
  <si>
    <t>pchelpservices79.azurewebsites.net</t>
  </si>
  <si>
    <t>5f5916aa0650c</t>
  </si>
  <si>
    <t>https://pchelpservices79.azurewebsites.net/dawsonwhlerS7v/</t>
  </si>
  <si>
    <t>138.68.63.15</t>
  </si>
  <si>
    <t>5f5920669f6ae</t>
  </si>
  <si>
    <t>http://138.68.63.15/0EDjj01010a0xx010101011001_AG_1010aae_221/</t>
  </si>
  <si>
    <t>goyer5.ml</t>
  </si>
  <si>
    <t>172.67.159.1</t>
  </si>
  <si>
    <t>5f59236b571f1</t>
  </si>
  <si>
    <t>https://goyer5.ml/sim/nc-28137171/chxchxchxchxchx/?phone=+1-888-984-3213&amp;amp;</t>
  </si>
  <si>
    <t>161.35.71.96</t>
  </si>
  <si>
    <t>5f59244b35f3a</t>
  </si>
  <si>
    <t>http://161.35.71.96/0CHjj01010a0xx010101011001_AG_1010aae_221/</t>
  </si>
  <si>
    <t>161.35.79.166</t>
  </si>
  <si>
    <t>5f5924de131ce</t>
  </si>
  <si>
    <t>http://161.35.79.166/0CHjj01010a0xx010101011001_AG_1010aae_221/</t>
  </si>
  <si>
    <t>rdox5.azurewebsites.net</t>
  </si>
  <si>
    <t>168.61.217.214</t>
  </si>
  <si>
    <t>60c7ef690c261</t>
  </si>
  <si>
    <t>https://rdox5.azurewebsites.net/W880n01xm888se0cur0it0yCH008VP888Y/index.html</t>
  </si>
  <si>
    <t>rdox4.azurewebsites.net</t>
  </si>
  <si>
    <t>60c7ef642c7b4</t>
  </si>
  <si>
    <t>https://rdox4.azurewebsites.net/W880n01xm888se0cur0it0yCH008VP888Y/index.html</t>
  </si>
  <si>
    <t>rdox1.azurewebsites.net</t>
  </si>
  <si>
    <t>60c7ef5f12eb4</t>
  </si>
  <si>
    <t>https://rdox1.azurewebsites.net/W880n01xm888se0cur0it0yCH008VP888Y/index.html</t>
  </si>
  <si>
    <t>rdox2.azurewebsites.net</t>
  </si>
  <si>
    <t>60c7ef5a1ecff</t>
  </si>
  <si>
    <t>https://rdox2.azurewebsites.net/W880n01xm888se0cur0it0yCH008VP888Y/index.html</t>
  </si>
  <si>
    <t>rdox3.azurewebsites.net</t>
  </si>
  <si>
    <t>60c7ef55bc490</t>
  </si>
  <si>
    <t>https://rdox3.azurewebsites.net/W880n01xm888se0cur0it0yCH008VP888Y/index.html</t>
  </si>
  <si>
    <t>pchelpservices156.azurewebsites.net</t>
  </si>
  <si>
    <t>5f5931f92132c</t>
  </si>
  <si>
    <t>https://pchelpservices156.azurewebsites.net/dawsonwhlerS7v/</t>
  </si>
  <si>
    <t>scanjobsfor.me</t>
  </si>
  <si>
    <t>104.24.100.135</t>
  </si>
  <si>
    <t>5f5934a05b4eb</t>
  </si>
  <si>
    <t>https://scanjobsfor.me/sim/eg-2272727211/</t>
  </si>
  <si>
    <t>161.35.207.227</t>
  </si>
  <si>
    <t>5f5934c1ab806</t>
  </si>
  <si>
    <t>http://161.35.207.227/0CHjj01010a0xx010101011001_AG_1010aae_221/</t>
  </si>
  <si>
    <t>visitonlinesaloons.site</t>
  </si>
  <si>
    <t>128.199.7.215</t>
  </si>
  <si>
    <t>5f5935b0854e8</t>
  </si>
  <si>
    <t>https://visitonlinesaloons.site/Sys072xcode_08xMSEDhelplineCodeDM007xc/</t>
  </si>
  <si>
    <t>yammirestro.site</t>
  </si>
  <si>
    <t>172.67.164.31</t>
  </si>
  <si>
    <t>5f5d2ba9b056b</t>
  </si>
  <si>
    <t>https://yammirestro.site/code2717g/EDfdfffdgfgfgdfgdfgfKar/</t>
  </si>
  <si>
    <t>46.101.210.42</t>
  </si>
  <si>
    <t>5f59450c6dcf5</t>
  </si>
  <si>
    <t>http://46.101.210.42/9mxdfdfdfdfdfdfdfCHd004c/</t>
  </si>
  <si>
    <t>45.32.9.67</t>
  </si>
  <si>
    <t>5f59e7a8986d3</t>
  </si>
  <si>
    <t>http://45.32.9.67/FFfdfffdgfgfgdfgdfgf-1/</t>
  </si>
  <si>
    <t>209.50.60.53</t>
  </si>
  <si>
    <t>5f5a4dcb68e1a</t>
  </si>
  <si>
    <t>http://209.50.60.53/call/00Ch_8aRT07_help10018Ruv/index.html</t>
  </si>
  <si>
    <t>divineyogaclasses.com</t>
  </si>
  <si>
    <t>104.18.45.215</t>
  </si>
  <si>
    <t>5f5e1999f3f04</t>
  </si>
  <si>
    <t>https://divineyogaclasses.com/code2717g/EDfdfffdgfgfgdfgdfgfKar/</t>
  </si>
  <si>
    <t>5f5d2c1ff2453</t>
  </si>
  <si>
    <t>https://divineyogaclasses.com/code2655g/CHfdfffdgfgfgdfgdfgfKar/</t>
  </si>
  <si>
    <t>brittsewardpich.casa</t>
  </si>
  <si>
    <t>104.24.97.164</t>
  </si>
  <si>
    <t>5f5a57bc76e71</t>
  </si>
  <si>
    <t>https://brittsewardpich.casa/home/anette/CHFIR_sdsddshelp/?nr=844-306-8754&amp;amp;acc=Skills</t>
  </si>
  <si>
    <t>3.16.216.75</t>
  </si>
  <si>
    <t>5f5a58c1bae55</t>
  </si>
  <si>
    <t>http://3.16.216.75/error-page.html</t>
  </si>
  <si>
    <t>gibbslawncare.site</t>
  </si>
  <si>
    <t>104.24.118.161</t>
  </si>
  <si>
    <t>5f5d3899060d3</t>
  </si>
  <si>
    <t>https://gibbslawncare.site/code2717g/CHfdfffdgfgfgdfgdfgfKar/</t>
  </si>
  <si>
    <t>iceburgtechnocast.net</t>
  </si>
  <si>
    <t>104.27.188.140</t>
  </si>
  <si>
    <t>5f5d3c05c5510</t>
  </si>
  <si>
    <t>https://iceburgtechnocast.net/code2717g/CHfdfffdgfgfgdfgdfgfKar/</t>
  </si>
  <si>
    <t>164.90.239.47</t>
  </si>
  <si>
    <t>5f5e4f638a473</t>
  </si>
  <si>
    <t>http://164.90.239.47/0CHxmx01010a0xx010101011001_AG_1010aae_221/</t>
  </si>
  <si>
    <t>tkqsou.club</t>
  </si>
  <si>
    <t>104.18.42.241</t>
  </si>
  <si>
    <t>5f5fd685cf6c8</t>
  </si>
  <si>
    <t>https://tkqsou.club/_Win_dows_QKV_3Y_JH6_BEP/P_KZIQRWYB_F01_/90JAMZD_/?n_b=MSg4ODgpMzk2IDQwOTI=&amp;amp;s_1=s262_208</t>
  </si>
  <si>
    <t>dgslawncare.com</t>
  </si>
  <si>
    <t>104.27.187.73</t>
  </si>
  <si>
    <t>5f5fb8651c52e</t>
  </si>
  <si>
    <t>https://dgslawncare.com/code2655g/CHfdfffdgfgfgdfgdfgfKar/</t>
  </si>
  <si>
    <t>5f5fa43a3a60e</t>
  </si>
  <si>
    <t>https://dgslawncare.com/code0382g/CHfdfffdgfgfgdfgdfgfKar/</t>
  </si>
  <si>
    <t>68.183.73.154</t>
  </si>
  <si>
    <t>5f5fa77601770</t>
  </si>
  <si>
    <t>http://68.183.73.154/9mxdfdfdfdfdfdfdfCHd004c/</t>
  </si>
  <si>
    <t>greinerextrusions.com</t>
  </si>
  <si>
    <t>172.67.198.109</t>
  </si>
  <si>
    <t>5f5fb801aa829</t>
  </si>
  <si>
    <t>https://greinerextrusions.com/code5802g/CHfdfffdgfgfgdfgdfgfKar/</t>
  </si>
  <si>
    <t>52.219.132.106</t>
  </si>
  <si>
    <t>5f5fc60548929</t>
  </si>
  <si>
    <t>https://s3-ap-southeast-1.amazonaws.com/esecuritywin64bit.trozanerrorx03001/chrome_win/index.htm</t>
  </si>
  <si>
    <t>trozan-window-security-alert-401files-del.s3-ap-southeast-2.amazonaws</t>
  </si>
  <si>
    <t>52.95.128.94</t>
  </si>
  <si>
    <t>5f5fc72cac4d7</t>
  </si>
  <si>
    <t>https://trozan-window-security-alert-401files-del.s3-ap-southeast-2.amazonaws.com/chrome_win/index.htm</t>
  </si>
  <si>
    <t>52.219.37.2</t>
  </si>
  <si>
    <t>5f5fc87c64d0b</t>
  </si>
  <si>
    <t>https://s3-ap-southeast-1.amazonaws.com/securityewin32bit.trozanerror-found/chrome_win/index.htm</t>
  </si>
  <si>
    <t>stip5.azurewebsites.net</t>
  </si>
  <si>
    <t>20.40.202.2</t>
  </si>
  <si>
    <t>60ce4beb5071d</t>
  </si>
  <si>
    <t>https://stip5.azurewebsites.net/W880n01xm888se0cur0it0yCH008VP888Y/index.html</t>
  </si>
  <si>
    <t>stip4.azurewebsites.net</t>
  </si>
  <si>
    <t>60ce4be663a76</t>
  </si>
  <si>
    <t>https://stip4.azurewebsites.net/W880n01xm888se0cur0it0yCH008VP888Y/index.html</t>
  </si>
  <si>
    <t>stip1.azurewebsites.net</t>
  </si>
  <si>
    <t>60ce4be161549</t>
  </si>
  <si>
    <t>https://stip1.azurewebsites.net/W880n01xm888se0cur0it0yCH008VP888Y/index.html</t>
  </si>
  <si>
    <t>stip2.azurewebsites.net</t>
  </si>
  <si>
    <t>60ce4bdc0cf63</t>
  </si>
  <si>
    <t>https://stip2.azurewebsites.net/W880n01xm888se0cur0it0yCH008VP888Y/index.html</t>
  </si>
  <si>
    <t>stip3.azurewebsites.net</t>
  </si>
  <si>
    <t>60ce4bd6d8361</t>
  </si>
  <si>
    <t>https://stip3.azurewebsites.net/W880n01xm888se0cur0it0yCH008VP888Y/index.html</t>
  </si>
  <si>
    <t>ntip10.azurewebsites.net</t>
  </si>
  <si>
    <t>60cd06198eccb</t>
  </si>
  <si>
    <t>https://ntip10.azurewebsites.net/W880n01xm888se0cur0it0yCH008VP888Y/index.html</t>
  </si>
  <si>
    <t>ntip9.azurewebsites.net</t>
  </si>
  <si>
    <t>60cd061482d46</t>
  </si>
  <si>
    <t>https://ntip9.azurewebsites.net/W880n01xm888se0cur0it0yCH008VP888Y/index.html</t>
  </si>
  <si>
    <t>ntip1.azurewebsites.net</t>
  </si>
  <si>
    <t>60cd0602cc46e</t>
  </si>
  <si>
    <t>https://ntip1.azurewebsites.net/W880n01xm888se0cur0it0yCH008VP888Y/index.html</t>
  </si>
  <si>
    <t>ntip2.azurewebsites.net</t>
  </si>
  <si>
    <t>60cd05fd01a02</t>
  </si>
  <si>
    <t>https://ntip2.azurewebsites.net/W880n01xm888se0cur0it0yCH008VP888Y/index.html</t>
  </si>
  <si>
    <t>ntip3.azurewebsites.net</t>
  </si>
  <si>
    <t>60cd05f799bbc</t>
  </si>
  <si>
    <t>https://ntip3.azurewebsites.net/W880n01xm888se0cur0it0yCH008VP888Y/index.html</t>
  </si>
  <si>
    <t>ntip4.azurewebsites.net</t>
  </si>
  <si>
    <t>60cd05f275a6a</t>
  </si>
  <si>
    <t>https://ntip4.azurewebsites.net/W880n01xm888se0cur0it0yCH008VP888Y/index.html</t>
  </si>
  <si>
    <t>ntip5.azurewebsites.net</t>
  </si>
  <si>
    <t>60cd05ed416b6</t>
  </si>
  <si>
    <t>https://ntip5.azurewebsites.net/W880n01xm888se0cur0it0yCH008VP888Y/index.html</t>
  </si>
  <si>
    <t>ntip6.azurewebsites.net</t>
  </si>
  <si>
    <t>60cd05e807b03</t>
  </si>
  <si>
    <t>https://ntip6.azurewebsites.net/W880n01xm888se0cur0it0yCH008VP888Y/index.html</t>
  </si>
  <si>
    <t>ntip8.azurewebsites.net</t>
  </si>
  <si>
    <t>60cd05e2b5101</t>
  </si>
  <si>
    <t>https://ntip8.azurewebsites.net/W880n01xm888se0cur0it0yCH008VP888Y/index.html</t>
  </si>
  <si>
    <t>ntip7.azurewebsites.net</t>
  </si>
  <si>
    <t>60cd05be3e265</t>
  </si>
  <si>
    <t>https://ntip7.azurewebsites.net/W880n01xm888se0cur0it0yCH008VP888Y/index.html</t>
  </si>
  <si>
    <t>ktips.azurewebsites.net</t>
  </si>
  <si>
    <t>60cbf19626aed</t>
  </si>
  <si>
    <t>https://ktips.azurewebsites.net/W880n01xm888se0cur0it0yCH008VP888Y/index.html</t>
  </si>
  <si>
    <t>rtyc2.azurewebsites.net</t>
  </si>
  <si>
    <t>60c7c14eb8957</t>
  </si>
  <si>
    <t>https://rtyc2.azurewebsites.net/W880n01xm888se0cur0it0yCH008VP888Y/index.html</t>
  </si>
  <si>
    <t>gal18.azurewebsites.net</t>
  </si>
  <si>
    <t>60c2be00a35a5</t>
  </si>
  <si>
    <t>https://gal18.azurewebsites.net/W880n01xm888se0cur0it0yCH008VP888Y/index.html</t>
  </si>
  <si>
    <t>gal15.azurewebsites.net</t>
  </si>
  <si>
    <t>60c28fe94e064</t>
  </si>
  <si>
    <t>https://gal15.azurewebsites.net/W880n01xm888se0cur0it0yCH008VP888Y/index.html</t>
  </si>
  <si>
    <t>gal14.azurewebsites.net</t>
  </si>
  <si>
    <t>60c28fdc72ddc</t>
  </si>
  <si>
    <t>https://gal14.azurewebsites.net/W880n01xm888se0cur0it0yCH008VP888Y/index.html</t>
  </si>
  <si>
    <t>gal13.azurewebsites.net</t>
  </si>
  <si>
    <t>60c28fcbbeff9</t>
  </si>
  <si>
    <t>https://gal13.azurewebsites.net/W880n01xm888se0cur0it0yCH008VP888Y/index.html</t>
  </si>
  <si>
    <t>gal12.azurewebsites.net</t>
  </si>
  <si>
    <t>60c28fb5143e3</t>
  </si>
  <si>
    <t>https://gal12.azurewebsites.net/W880n01xm888se0cur0it0yCH008VP888Y/index.html</t>
  </si>
  <si>
    <t>gal11.azurewebsites.net</t>
  </si>
  <si>
    <t>60c28f95efab1</t>
  </si>
  <si>
    <t>https://gal11.azurewebsites.net/W880n01xm888se0cur0it0yCH008VP888Y/index.html</t>
  </si>
  <si>
    <t>pin14.azurewebsites.net</t>
  </si>
  <si>
    <t>60c3fae340caa</t>
  </si>
  <si>
    <t>https://pin14.azurewebsites.net/W880n01xm888se0cur0it0yCH008VP888Y/index.html</t>
  </si>
  <si>
    <t>gal10.azurewebsites.net</t>
  </si>
  <si>
    <t>60c28c6bc292c</t>
  </si>
  <si>
    <t>https://gal10.azurewebsites.net/W880n01xm888se0cur0it0yCH008VP888Y/index.html</t>
  </si>
  <si>
    <t>pin12.azurewebsites.net</t>
  </si>
  <si>
    <t>60c3f0f4c772b</t>
  </si>
  <si>
    <t>https://pin12.azurewebsites.net/W880n01xm888se0cur0it0yCH008VP888Y/index.html</t>
  </si>
  <si>
    <t>pin15.azurewebsites.net</t>
  </si>
  <si>
    <t>60c3faf92ddce</t>
  </si>
  <si>
    <t>https://pin15.azurewebsites.net/W880n01xm888se0cur0it0yCH008VP888Y/index.html</t>
  </si>
  <si>
    <t>pin13.azurewebsites.net</t>
  </si>
  <si>
    <t>60c3fb1442747</t>
  </si>
  <si>
    <t>https://pin13.azurewebsites.net/W880n01xm888se0cur0it0yCH008VP888Y/index.html</t>
  </si>
  <si>
    <t>pin11.azurewebsites.net</t>
  </si>
  <si>
    <t>60c3f0e710670</t>
  </si>
  <si>
    <t>https://pin11.azurewebsites.net/W880n01xm888se0cur0it0yCH008VP888Y/index.html</t>
  </si>
  <si>
    <t>pin1.azurewebsites.net</t>
  </si>
  <si>
    <t>60c3f0cbe1f5a</t>
  </si>
  <si>
    <t>https://pin1.azurewebsites.net/W880n01xm888se0cur0it0yCH008VP888Y/index.html</t>
  </si>
  <si>
    <t>pin2.azurewebsites.net</t>
  </si>
  <si>
    <t>60c3f0c726e16</t>
  </si>
  <si>
    <t>https://pin2.azurewebsites.net/W880n01xm888se0cur0it0yCH008VP888Y/index.html</t>
  </si>
  <si>
    <t>gal9.azurewebsites.net</t>
  </si>
  <si>
    <t>60c28988e2fe8</t>
  </si>
  <si>
    <t>https://gal9.azurewebsites.net/W880n01xm888se0cur0it0yCH008VP888Y/index.html</t>
  </si>
  <si>
    <t>pin3.azurewebsites.net</t>
  </si>
  <si>
    <t>60c3f0ad96850</t>
  </si>
  <si>
    <t>https://pin3.azurewebsites.net/W880n01xm888se0cur0it0yCH008VP888Y/index.html</t>
  </si>
  <si>
    <t>pin4.azurewebsites.net</t>
  </si>
  <si>
    <t>60c3f07f4d1f4</t>
  </si>
  <si>
    <t>https://pin4.azurewebsites.net/W880n01xm888se0cur0it0yCH008VP888Y/index.html</t>
  </si>
  <si>
    <t>pin7.azurewebsites.net</t>
  </si>
  <si>
    <t>60c3f02804ad9</t>
  </si>
  <si>
    <t>https://pin7.azurewebsites.net/W880n01xm888se0cur0it0yCH008VP888Y/index.html</t>
  </si>
  <si>
    <t>pin8.azurewebsites.net</t>
  </si>
  <si>
    <t>60c3f01be8a3b</t>
  </si>
  <si>
    <t>https://pin8.azurewebsites.net/W880n01xm888se0cur0it0yCH008VP888Y/index.html</t>
  </si>
  <si>
    <t>pin10.azurewebsites.net</t>
  </si>
  <si>
    <t>60c3f00035f4d</t>
  </si>
  <si>
    <t>https://pin10.azurewebsites.net/W880n01xm888se0cur0it0yCH008VP888Y/index.html</t>
  </si>
  <si>
    <t>pin9.azurewebsites.net</t>
  </si>
  <si>
    <t>60c3efed4cb66</t>
  </si>
  <si>
    <t>https://pin9.azurewebsites.net/W880n01xm888se0cur0it0yCH008VP888Y/index.html</t>
  </si>
  <si>
    <t>pin6.azurewebsites.net</t>
  </si>
  <si>
    <t>60c3f04174c39</t>
  </si>
  <si>
    <t>https://pin6.azurewebsites.net/W880n01xm888se0cur0it0yCH008VP888Y/index.html</t>
  </si>
  <si>
    <t>pin5.azurewebsites.net</t>
  </si>
  <si>
    <t>60c3f063a7b77</t>
  </si>
  <si>
    <t>https://pin5.azurewebsites.net/W880n01xm888se0cur0it0yCH008VP888Y/index.html</t>
  </si>
  <si>
    <t>rtyc1.azurewebsites.net</t>
  </si>
  <si>
    <t>60c7b2d3f2f4f</t>
  </si>
  <si>
    <t>https://rtyc1.azurewebsites.net/W880n01xm888se0cur0it0yCH008VP888Y/index.html</t>
  </si>
  <si>
    <t>rtyc4.azurewebsites.net</t>
  </si>
  <si>
    <t>60c7b97ed7d2d</t>
  </si>
  <si>
    <t>https://rtyc4.azurewebsites.net/W880n01xm888se0cur0it0yCH008VP888Y/index.html</t>
  </si>
  <si>
    <t>gal8.azurewebsites.net</t>
  </si>
  <si>
    <t>60c28276dbf0d</t>
  </si>
  <si>
    <t>https://gal8.azurewebsites.net/W880n01xm888se0cur0it0yCH008VP888Y/index.html</t>
  </si>
  <si>
    <t>gal7.azurewebsites.net</t>
  </si>
  <si>
    <t>60c2827195430</t>
  </si>
  <si>
    <t>https://gal7.azurewebsites.net/W880n01xm888se0cur0it0yCH008VP888Y/index.html</t>
  </si>
  <si>
    <t>gal6.azurewebsites.net</t>
  </si>
  <si>
    <t>60c2826c98f8a</t>
  </si>
  <si>
    <t>https://gal6.azurewebsites.net/W880n01xm888se0cur0it0yCH008VP888Y/index.html</t>
  </si>
  <si>
    <t>gal5.azurewebsites.net</t>
  </si>
  <si>
    <t>60c28267f2fae</t>
  </si>
  <si>
    <t>https://gal5.azurewebsites.net/W880n01xm888se0cur0it0yCH008VP888Y/index.html</t>
  </si>
  <si>
    <t>gal1.azurewebsites.net</t>
  </si>
  <si>
    <t>60c28251d09da</t>
  </si>
  <si>
    <t>https://gal1.azurewebsites.net/W880n01xm888se0cur0it0yCH008VP888Y/index.html</t>
  </si>
  <si>
    <t>gal2.azurewebsites.net</t>
  </si>
  <si>
    <t>60c28200ed463</t>
  </si>
  <si>
    <t>https://gal2.azurewebsites.net/W880n01xm888se0cur0it0yCH008VP888Y/index.html</t>
  </si>
  <si>
    <t>gal3.azurewebsites.net</t>
  </si>
  <si>
    <t>60c281f82f913</t>
  </si>
  <si>
    <t>https://gal3.azurewebsites.net/W880n01xm888se0cur0it0yCH008VP888Y/index.html</t>
  </si>
  <si>
    <t>gal4.azurewebsites.net</t>
  </si>
  <si>
    <t>60c281e8f2f09</t>
  </si>
  <si>
    <t>https://gal4.azurewebsites.net/W880n01xm888se0cur0it0yCH008VP888Y/index.html</t>
  </si>
  <si>
    <t>raz15.azurewebsites.net</t>
  </si>
  <si>
    <t>60c25a90d0756</t>
  </si>
  <si>
    <t>https://raz15.azurewebsites.net/W880n01xm888se0cur0it0yCH008VP888Y/index.html</t>
  </si>
  <si>
    <t>raz14.azurewebsites.net</t>
  </si>
  <si>
    <t>60c25a7b44bae</t>
  </si>
  <si>
    <t>https://raz14.azurewebsites.net/W880n01xm888se0cur0it0yCH008VP888Y/index.html</t>
  </si>
  <si>
    <t>cre16.azurewebsites.net</t>
  </si>
  <si>
    <t>60bff2b6992a2</t>
  </si>
  <si>
    <t>https://cre16.azurewebsites.net/W880n01xm888se0cur0it0yCH008VP888Y/index.html</t>
  </si>
  <si>
    <t>cre13.azurewebsites.net</t>
  </si>
  <si>
    <t>60bfeefee3f7d</t>
  </si>
  <si>
    <t>https://cre13.azurewebsites.net/W880n01xm888se0cur0it0yCH008VP888Y/index.html</t>
  </si>
  <si>
    <t>cre14.azurewebsites.net</t>
  </si>
  <si>
    <t>60bfe93fef7f7</t>
  </si>
  <si>
    <t>https://cre14.azurewebsites.net/W880n01xm888se0cur0it0yCH008VP888Y/index.html</t>
  </si>
  <si>
    <t>cre6.azurewebsites.net</t>
  </si>
  <si>
    <t>60bfe13ad93cf</t>
  </si>
  <si>
    <t>https://cre6.azurewebsites.net/W880n01xm888se0cur0it0yCH008VP888Y/index.html</t>
  </si>
  <si>
    <t>cre11.azurewebsites.net</t>
  </si>
  <si>
    <t>60bfdfb684f47</t>
  </si>
  <si>
    <t>https://cre11.azurewebsites.net/W880n01xm888se0cur0it0yCH008VP888Y/index.html</t>
  </si>
  <si>
    <t>bree1.azurewebsites.net</t>
  </si>
  <si>
    <t>60bf9dd2af00e</t>
  </si>
  <si>
    <t>https://bree1.azurewebsites.net/W880n01xm888se0cur0it0yCH008VP888Y/index.html</t>
  </si>
  <si>
    <t>bree2.azurewebsites.net</t>
  </si>
  <si>
    <t>60bf9dc813ac4</t>
  </si>
  <si>
    <t>https://bree2.azurewebsites.net/W880n01xm888se0cur0it0yCH008VP888Y/index.html</t>
  </si>
  <si>
    <t>bree3.azurewebsites.net</t>
  </si>
  <si>
    <t>60bf9dbce86d5</t>
  </si>
  <si>
    <t>https://bree3.azurewebsites.net/W880n01xm888se0cur0it0yCH008VP888Y/index.html</t>
  </si>
  <si>
    <t>bree4.azurewebsites.net</t>
  </si>
  <si>
    <t>60bf9db7b0c43</t>
  </si>
  <si>
    <t>https://bree4.azurewebsites.net/W880n01xm888se0cur0it0yCH008VP888Y/index.html</t>
  </si>
  <si>
    <t>bree5.azurewebsites.net</t>
  </si>
  <si>
    <t>60bf9da5f218e</t>
  </si>
  <si>
    <t>https://bree5.azurewebsites.net/W880n01xm888se0cur0it0yCH008VP888Y/index.html</t>
  </si>
  <si>
    <t>bree10.azurewebsites.net</t>
  </si>
  <si>
    <t>60bf9d95793b6</t>
  </si>
  <si>
    <t>https://bree10.azurewebsites.net/W880n01xm888se0cur0it0yCH008VP888Y/index.html</t>
  </si>
  <si>
    <t>bree9.azurewebsites.net</t>
  </si>
  <si>
    <t>60bf9d85f01b3</t>
  </si>
  <si>
    <t>https://bree9.azurewebsites.net/W880n01xm888se0cur0it0yCH008VP888Y/index.html</t>
  </si>
  <si>
    <t>bree8.azurewebsites.net</t>
  </si>
  <si>
    <t>60bf9d71e0cf8</t>
  </si>
  <si>
    <t>https://bree8.azurewebsites.net/W880n01xm888se0cur0it0yCH008VP888Y/index.html</t>
  </si>
  <si>
    <t>bree7.azurewebsites.net</t>
  </si>
  <si>
    <t>60bf9d64c6099</t>
  </si>
  <si>
    <t>https://bree7.azurewebsites.net/W880n01xm888se0cur0it0yCH008VP888Y/index.html</t>
  </si>
  <si>
    <t>bree6.azurewebsites.net</t>
  </si>
  <si>
    <t>60bf9d5439a1a</t>
  </si>
  <si>
    <t>https://bree6.azurewebsites.net/W880n01xm888se0cur0it0yCH008VP888Y/index.html</t>
  </si>
  <si>
    <t>swif17.azurewebsites.net</t>
  </si>
  <si>
    <t>60ba53d9568ad</t>
  </si>
  <si>
    <t>https://swif17.azurewebsites.net/W880n01xm888se0cur0it0yCH008VP888Y/index.html</t>
  </si>
  <si>
    <t>swif7.azurewebsites.net</t>
  </si>
  <si>
    <t>60b805491e5ea</t>
  </si>
  <si>
    <t>https://swif7.azurewebsites.net/W880n01xm888se0cur0it0yCH008VP888Y/index.html</t>
  </si>
  <si>
    <t>swif5.azurewebsites.net</t>
  </si>
  <si>
    <t>60b7eb9393c3b</t>
  </si>
  <si>
    <t>https://swif5.azurewebsites.net/W880n01xm888se0cur0it0yCH008VP888Y/index.html</t>
  </si>
  <si>
    <t>swif4.azurewebsites.net</t>
  </si>
  <si>
    <t>60b7eb7bc68f6</t>
  </si>
  <si>
    <t>https://swif4.azurewebsites.net/W880n01xm888se0cur0it0yCH008VP888Y/index.html</t>
  </si>
  <si>
    <t>swif2.azurewebsites.net</t>
  </si>
  <si>
    <t>60b7eb6960147</t>
  </si>
  <si>
    <t>https://swif2.azurewebsites.net/W880n01xm888se0cur0it0yCH008VP888Y/index.html</t>
  </si>
  <si>
    <t>swif3.azurewebsites.net</t>
  </si>
  <si>
    <t>60b7eb59e694d</t>
  </si>
  <si>
    <t>https://swif3.azurewebsites.net/W880n01xm888se0cur0it0yCH008VP888Y/index.html</t>
  </si>
  <si>
    <t>swif1.azurewebsites.net</t>
  </si>
  <si>
    <t>60b7e7e65e9d4</t>
  </si>
  <si>
    <t>https://swif1.azurewebsites.net/W880n01xm888se0cur0it0yCH008VP888Y/index.html</t>
  </si>
  <si>
    <t>bal11.azurewebsites.net</t>
  </si>
  <si>
    <t>60b6b64b3f8b4</t>
  </si>
  <si>
    <t>https://bal11.azurewebsites.net/W880n01xm888se0cur0it0yFF008VP888Y/index.html</t>
  </si>
  <si>
    <t>gaur11.azurewebsites.net</t>
  </si>
  <si>
    <t>60b670cdb3f73</t>
  </si>
  <si>
    <t>https://gaur11.azurewebsites.net/W880n01xm888se0cur0it0yMA008VP888Y/index.html</t>
  </si>
  <si>
    <t>ctrl15.azurewebsites.net</t>
  </si>
  <si>
    <t>60b3c9583f84f</t>
  </si>
  <si>
    <t>https://ctrl15.azurewebsites.net/W880n01xm888se0cur0it0yCH008VP888Y/index.html</t>
  </si>
  <si>
    <t>ctrl14.azurewebsites.net</t>
  </si>
  <si>
    <t>60b3c945aac03</t>
  </si>
  <si>
    <t>https://ctrl14.azurewebsites.net/W880n01xm888se0cur0it0yCH008VP888Y/index.html</t>
  </si>
  <si>
    <t>ctrl12.azurewebsites.net</t>
  </si>
  <si>
    <t>60b3c9281a7ef</t>
  </si>
  <si>
    <t>https://ctrl12.azurewebsites.net/W880n01xm888se0cur0it0yCH008VP888Y/index.html</t>
  </si>
  <si>
    <t>ctrl10.azurewebsites.net</t>
  </si>
  <si>
    <t>60b3c915e3138</t>
  </si>
  <si>
    <t>https://ctrl10.azurewebsites.net/W880n01xm888se0cur0it0yCH008VP888Y/index.html</t>
  </si>
  <si>
    <t>ctrl9.azurewebsites.net</t>
  </si>
  <si>
    <t>60b3c907b4cf7</t>
  </si>
  <si>
    <t>https://ctrl9.azurewebsites.net/W880n01xm888se0cur0it0yCH008VP888Y/index.html</t>
  </si>
  <si>
    <t>ctrl8.azurewebsites.net</t>
  </si>
  <si>
    <t>60b3c8f900c69</t>
  </si>
  <si>
    <t>https://ctrl8.azurewebsites.net/W880n01xm888se0cur0it0yCH008VP888Y/index.html</t>
  </si>
  <si>
    <t>ctrl7.azurewebsites.net</t>
  </si>
  <si>
    <t>60b3c8e93604e</t>
  </si>
  <si>
    <t>https://ctrl7.azurewebsites.net/W880n01xm888se0cur0it0yCH008VP888Y/index.html</t>
  </si>
  <si>
    <t>ctrl6.azurewebsites.net</t>
  </si>
  <si>
    <t>60b3c8da81c7b</t>
  </si>
  <si>
    <t>https://ctrl6.azurewebsites.net/W880n01xm888se0cur0it0yCH008VP888Y/index.html</t>
  </si>
  <si>
    <t>ctrl5.azurewebsites.net</t>
  </si>
  <si>
    <t>60b3c8cb0e042</t>
  </si>
  <si>
    <t>https://ctrl5.azurewebsites.net/W880n01xm888se0cur0it0yCH008VP888Y/index.html</t>
  </si>
  <si>
    <t>ctrl4.azurewebsites.net</t>
  </si>
  <si>
    <t>60b3c8bd23306</t>
  </si>
  <si>
    <t>https://ctrl4.azurewebsites.net/W880n01xm888se0cur0it0yCH008VP888Y/index.html</t>
  </si>
  <si>
    <t>ctrl3.azurewebsites.net</t>
  </si>
  <si>
    <t>60b3c8aa75fd8</t>
  </si>
  <si>
    <t>https://ctrl3.azurewebsites.net/W880n01xm888se0cur0it0yCH008VP888Y/index.html</t>
  </si>
  <si>
    <t>ctrl2.azurewebsites.net</t>
  </si>
  <si>
    <t>60b3c89b74799</t>
  </si>
  <si>
    <t>https://ctrl2.azurewebsites.net/W880n01xm888se0cur0it0yCH008VP888Y/index.html</t>
  </si>
  <si>
    <t>ctrl1.azurewebsites.net</t>
  </si>
  <si>
    <t>60b3c88c86f69</t>
  </si>
  <si>
    <t>https://ctrl1.azurewebsites.net/W880n01xm888se0cur0it0yCH008VP888Y/index.html</t>
  </si>
  <si>
    <t>ctrl13.azurewebsites.net</t>
  </si>
  <si>
    <t>60b3c88287872</t>
  </si>
  <si>
    <t>https://ctrl13.azurewebsites.net/W880n01xm888se0cur0it0yCH008VP888Y/index.html</t>
  </si>
  <si>
    <t>pass5.azurewebsites.net</t>
  </si>
  <si>
    <t>60ad596e45137</t>
  </si>
  <si>
    <t>https://pass5.azurewebsites.net/W880n01xm888se0cur0it0yCH008VP888Y/index.html</t>
  </si>
  <si>
    <t>pass4.azurewebsites.net</t>
  </si>
  <si>
    <t>60ad5966037ba</t>
  </si>
  <si>
    <t>https://pass4.azurewebsites.net/W880n01xm888se0cur0it0yCH008VP888Y/index.html</t>
  </si>
  <si>
    <t>pass2.azurewebsites.net</t>
  </si>
  <si>
    <t>60ad595ee5045</t>
  </si>
  <si>
    <t>https://pass2.azurewebsites.net/W880n01xm888se0cur0it0yCH008VP888Y/index.html</t>
  </si>
  <si>
    <t>pass1.azurewebsites.net</t>
  </si>
  <si>
    <t>60ad595799c79</t>
  </si>
  <si>
    <t>https://pass1.azurewebsites.net/W880n01xm888se0cur0it0yCH008VP888Y/index.html</t>
  </si>
  <si>
    <t>pass3.azurewebsites.net</t>
  </si>
  <si>
    <t>60ad5950efb35</t>
  </si>
  <si>
    <t>https://pass3.azurewebsites.net/W880n01xm888se0cur0it0yCH008VP888Y/index.html</t>
  </si>
  <si>
    <t>pav1.azurewebsites.net</t>
  </si>
  <si>
    <t>60aeaf2a276ee</t>
  </si>
  <si>
    <t>https://pav1.azurewebsites.net/W880n01xm888se0cur0it0yCH008VP888Y/index.html</t>
  </si>
  <si>
    <t>apl98.azurewebsites.net</t>
  </si>
  <si>
    <t>60b0f0bdc92d8</t>
  </si>
  <si>
    <t>https://apl98.azurewebsites.net/W880n01xm888se0cur0it0yCH008VP888Y/index.html</t>
  </si>
  <si>
    <t>pav6.azurewebsites.net</t>
  </si>
  <si>
    <t>60aeaf4259885</t>
  </si>
  <si>
    <t>https://pav6.azurewebsites.net/W880n01xm888se0cur0it0yCH008VP888Y/index.html</t>
  </si>
  <si>
    <t>pav3.azurewebsites.net</t>
  </si>
  <si>
    <t>60aeaf11b7df2</t>
  </si>
  <si>
    <t>https://pav3.azurewebsites.net/W880n01xm888se0cur0it0yCH008VP888Y/index.html</t>
  </si>
  <si>
    <t>pav4.azurewebsites.net</t>
  </si>
  <si>
    <t>60aeaf0c21996</t>
  </si>
  <si>
    <t>https://pav4.azurewebsites.net/W880n01xm888se0cur0it0yCH008VP888Y/index.html</t>
  </si>
  <si>
    <t>pav5.azurewebsites.net</t>
  </si>
  <si>
    <t>60aeaf01184f7</t>
  </si>
  <si>
    <t>https://pav5.azurewebsites.net/W880n01xm888se0cur0it0yCH008VP888Y/index.html</t>
  </si>
  <si>
    <t>irs1.azurewebsites.net</t>
  </si>
  <si>
    <t>60ac0fc47294c</t>
  </si>
  <si>
    <t>https://irs1.azurewebsites.net/W880n01xm888se0cur0it0yCH008VP888Y/index.html</t>
  </si>
  <si>
    <t>irs2.azurewebsites.net</t>
  </si>
  <si>
    <t>60ac0fb89ba43</t>
  </si>
  <si>
    <t>https://irs2.azurewebsites.net/W880n01xm888se0cur0it0yCH008VP888Y/index.html</t>
  </si>
  <si>
    <t>irs3.azurewebsites.net</t>
  </si>
  <si>
    <t>60ac0fb8240ac</t>
  </si>
  <si>
    <t>https://irs3.azurewebsites.net/W880n01xm888se0cur0it0yCH008VP888Y/index.html</t>
  </si>
  <si>
    <t>irs4.azurewebsites.net</t>
  </si>
  <si>
    <t>60ac0fab19ee4</t>
  </si>
  <si>
    <t>https://irs4.azurewebsites.net/W880n01xm888se0cur0it0yCH008VP888Y/index.html</t>
  </si>
  <si>
    <t>irs5.azurewebsites.net</t>
  </si>
  <si>
    <t>60ac0f9646d3d</t>
  </si>
  <si>
    <t>https://irs5.azurewebsites.net/W880n01xm888se0cur0it0yCH008VP888Y/index.html</t>
  </si>
  <si>
    <t>pala5.azurewebsites.net</t>
  </si>
  <si>
    <t>60aa909157abf</t>
  </si>
  <si>
    <t>https://pala5.azurewebsites.net/W880n01xm888se0cur0it0yCH008VP888Y/index.html</t>
  </si>
  <si>
    <t>pala1.azurewebsites.net</t>
  </si>
  <si>
    <t>60aa9075a7987</t>
  </si>
  <si>
    <t>https://pala1.azurewebsites.net/W880n01xm888se0cur0it0yCH008VP888Y/index.html</t>
  </si>
  <si>
    <t>pala4.azurewebsites.net</t>
  </si>
  <si>
    <t>60aa6f8eb920b</t>
  </si>
  <si>
    <t>https://pala4.azurewebsites.net/W880n01xm888se0cur0it0yMA008VP888Y/index.html</t>
  </si>
  <si>
    <t>pala3.azurewebsites.net</t>
  </si>
  <si>
    <t>60aa6f6a4b88b</t>
  </si>
  <si>
    <t>https://pala3.azurewebsites.net/W880n01xm888se0cur0it0yMA008VP888Y/index.html</t>
  </si>
  <si>
    <t>bake15.azurewebsites.net</t>
  </si>
  <si>
    <t>60a82b545b7cf</t>
  </si>
  <si>
    <t>https://bake15.azurewebsites.net/W880n01xm888se0cur0it0yCH008VP888Y/index.html</t>
  </si>
  <si>
    <t>bake17.azurewebsites.net</t>
  </si>
  <si>
    <t>60a82b4c5a886</t>
  </si>
  <si>
    <t>https://bake17.azurewebsites.net/W880n01xm888se0cur0it0yCH008VP888Y/index.html</t>
  </si>
  <si>
    <t>bake18.azurewebsites.net</t>
  </si>
  <si>
    <t>60a82b4323f18</t>
  </si>
  <si>
    <t>https://bake18.azurewebsites.net/W880n01xm888se0cur0it0yCH008VP888Y/index.html</t>
  </si>
  <si>
    <t>bake16.azurewebsites.net</t>
  </si>
  <si>
    <t>60a829d59621f</t>
  </si>
  <si>
    <t>https://bake16.azurewebsites.net/W880n01xm888se0cur0it0yMA008VP888Y/index.html</t>
  </si>
  <si>
    <t>bake14.azurewebsites.net</t>
  </si>
  <si>
    <t>60a81c63315df</t>
  </si>
  <si>
    <t>https://bake14.azurewebsites.net/W880n01xm888se0cur0it0yMA008VP888Y/index.html</t>
  </si>
  <si>
    <t>bake7.azurewebsites.net</t>
  </si>
  <si>
    <t>60a80f7016b86</t>
  </si>
  <si>
    <t>https://bake7.azurewebsites.net/W880n01xm888se0cur0it0yMA008VP888Y/index.html</t>
  </si>
  <si>
    <t>bake3.azurewebsites.net</t>
  </si>
  <si>
    <t>60a80986cbcc7</t>
  </si>
  <si>
    <t>https://bake3.azurewebsites.net/W880n01xm888se0cur0it0yCH008VP888Y/index.html</t>
  </si>
  <si>
    <t>bake2.azurewebsites.net</t>
  </si>
  <si>
    <t>60a8097e0cd5f</t>
  </si>
  <si>
    <t>https://bake2.azurewebsites.net/W880n01xm888se0cur0it0yCH008VP888Y/index.html</t>
  </si>
  <si>
    <t>bake1.azurewebsites.net</t>
  </si>
  <si>
    <t>60a80785dfc78</t>
  </si>
  <si>
    <t>https://bake1.azurewebsites.net/W880n01xm888se0cur0it0yCH008VP888Y/index.html</t>
  </si>
  <si>
    <t>bake5.azurewebsites.net</t>
  </si>
  <si>
    <t>60a8063d26caa</t>
  </si>
  <si>
    <t>https://bake5.azurewebsites.net/W880n01xm888se0cur0it0yCH008VP888Y/index.html</t>
  </si>
  <si>
    <t>bake6.azurewebsites.net</t>
  </si>
  <si>
    <t>60a806347165e</t>
  </si>
  <si>
    <t>https://bake6.azurewebsites.net/W880n01xm888se0cur0it0yCH008VP888Y/index.html</t>
  </si>
  <si>
    <t>60a806294f184</t>
  </si>
  <si>
    <t>https://bake7.azurewebsites.net/W880n01xm888se0cur0it0yCH008VP888Y/index.html</t>
  </si>
  <si>
    <t>bake8.azurewebsites.net</t>
  </si>
  <si>
    <t>60a8062817fff</t>
  </si>
  <si>
    <t>https://bake8.azurewebsites.net/W880n01xm888se0cur0it0yCH008VP888Y/index.html</t>
  </si>
  <si>
    <t>bake9.azurewebsites.net</t>
  </si>
  <si>
    <t>60a806234384e</t>
  </si>
  <si>
    <t>https://bake9.azurewebsites.net/W880n01xm888se0cur0it0yCH008VP888Y/index.html</t>
  </si>
  <si>
    <t>bake10.azurewebsites.net</t>
  </si>
  <si>
    <t>60a8060fcfe82</t>
  </si>
  <si>
    <t>https://bake10.azurewebsites.net/W880n01xm888se0cur0it0yCH008VP888Y/index.html</t>
  </si>
  <si>
    <t>gala10.azurewebsites.net</t>
  </si>
  <si>
    <t>60a58ca864061</t>
  </si>
  <si>
    <t>https://gala10.azurewebsites.net/W880n01xm888se0cur0it0yCH008VP888Y/index.html</t>
  </si>
  <si>
    <t>gala8.azurewebsites.net</t>
  </si>
  <si>
    <t>60a58b408e854</t>
  </si>
  <si>
    <t>https://gala8.azurewebsites.net/W880n01xm888se0cur0it0yMA008VP888Y/index.html</t>
  </si>
  <si>
    <t>gala9.azurewebsites.net</t>
  </si>
  <si>
    <t>60a58b305c614</t>
  </si>
  <si>
    <t>https://gala9.azurewebsites.net/W880n01xm888se0cur0it0yMA008VP888Y/index.html</t>
  </si>
  <si>
    <t>gala7.azurewebsites.net</t>
  </si>
  <si>
    <t>60a58b0156164</t>
  </si>
  <si>
    <t>https://gala7.azurewebsites.net/W880n01xm888se0cur0it0yMA008VP888Y/index.html</t>
  </si>
  <si>
    <t>gala6.azurewebsites.net</t>
  </si>
  <si>
    <t>60a58af55044d</t>
  </si>
  <si>
    <t>https://gala6.azurewebsites.net/W880n01xm888se0cur0it0yMA008VP888Y/index.html</t>
  </si>
  <si>
    <t>gala5.azurewebsites.net</t>
  </si>
  <si>
    <t>60a58accd6334</t>
  </si>
  <si>
    <t>https://gala5.azurewebsites.net/W880n01xm888se0cur0it0yMA008VP888Y/index.html</t>
  </si>
  <si>
    <t>gala2.azurewebsites.net</t>
  </si>
  <si>
    <t>60a58a89dc5c2</t>
  </si>
  <si>
    <t>https://gala2.azurewebsites.net/W880n01xm888se0cur0it0yMA008VP888Y/index.html</t>
  </si>
  <si>
    <t>gala3.azurewebsites.net</t>
  </si>
  <si>
    <t>60a58a14ed92f</t>
  </si>
  <si>
    <t>https://gala3.azurewebsites.net/W880n01xm888se0cur0it0yMA008VP888Y/index.html</t>
  </si>
  <si>
    <t>gala4.azurewebsites.net</t>
  </si>
  <si>
    <t>60a5795939fae</t>
  </si>
  <si>
    <t>https://gala4.azurewebsites.net/W880n01xm888se0cur0it0yMA008VP888Y/index.html</t>
  </si>
  <si>
    <t>viv5.azurewebsites.net</t>
  </si>
  <si>
    <t>60a532004eb31</t>
  </si>
  <si>
    <t>http://viv5.azurewebsites.net/W880n01xm888se0cur0it0yCH008VP888Y/index.html</t>
  </si>
  <si>
    <t>viv4.azurewebsites.net</t>
  </si>
  <si>
    <t>60a531f235a7b</t>
  </si>
  <si>
    <t>http://viv4.azurewebsites.net/W880n01xm888se0cur0it0yCH008VP888Y/index.html</t>
  </si>
  <si>
    <t>viv3.azurewebsites.net</t>
  </si>
  <si>
    <t>60a531e66b726</t>
  </si>
  <si>
    <t>http://viv3.azurewebsites.net/W880n01xm888se0cur0it0yCH008VP888Y/index.html</t>
  </si>
  <si>
    <t>viv2.azurewebsites.net</t>
  </si>
  <si>
    <t>60a4709d12569</t>
  </si>
  <si>
    <t>http://viv2.azurewebsites.net/W880n01xm888se0cur0it0yCH008VP888Y/index.html</t>
  </si>
  <si>
    <t>macb1.azurewebsites.net</t>
  </si>
  <si>
    <t>60a452b8a5229</t>
  </si>
  <si>
    <t>https://macb1.azurewebsites.net/W880n01xm888se0cur0it0yCH008VP888Y/index.html</t>
  </si>
  <si>
    <t>macb4.azurewebsites.net</t>
  </si>
  <si>
    <t>60a452a8550d5</t>
  </si>
  <si>
    <t>https://macb4.azurewebsites.net/W880n01xm888se0cur0it0yCH008VP888Y/index.html</t>
  </si>
  <si>
    <t>macb5.azurewebsites.net</t>
  </si>
  <si>
    <t>60a4525b9070f</t>
  </si>
  <si>
    <t>https://macb5.azurewebsites.net/W880n01xm888se0cur0it0yCH008VP888Y/index.html</t>
  </si>
  <si>
    <t>viv1.azurewebsites.net</t>
  </si>
  <si>
    <t>60a42d7e66831</t>
  </si>
  <si>
    <t>https://viv1.azurewebsites.net/W880n01xm888se0cur0it0yCH008VP888Y/index.html</t>
  </si>
  <si>
    <t>macb2.azurewebsites.net</t>
  </si>
  <si>
    <t>60a435f6b36e0</t>
  </si>
  <si>
    <t>https://macb2.azurewebsites.net/W880n01xm888se0cur0it0yCH008VP888Y/index.html</t>
  </si>
  <si>
    <t>061getyourpcfixedfddhdhdh.azurewebsites.net</t>
  </si>
  <si>
    <t>600701b061e5b</t>
  </si>
  <si>
    <t>https://061getyourpcfixedfddhdhdh.azurewebsites.net/MicOSoCHPC017528240X00/</t>
  </si>
  <si>
    <t>asdxcllp1.azurewebsites.net</t>
  </si>
  <si>
    <t>5fd3b9c404007</t>
  </si>
  <si>
    <t>https://asdxcllp1.azurewebsites.net/W880n01xm888se0cur0it0yED008VP888Y/index.html</t>
  </si>
  <si>
    <t>m-s-call-370.azurewebsites.net</t>
  </si>
  <si>
    <t>5fbc1fc47e3df</t>
  </si>
  <si>
    <t>https://m-s-call-370.azurewebsites.net/MicsoSupCHSyS099327770/</t>
  </si>
  <si>
    <t>livequick-support171.azurewebsites.net</t>
  </si>
  <si>
    <t>5faf3e76ccbec</t>
  </si>
  <si>
    <t>http://livequick-support171.azurewebsites.net/JArbZ98cFQJapCA/</t>
  </si>
  <si>
    <t>livequick-support139.azurewebsites.net</t>
  </si>
  <si>
    <t>5faf3ddf09484</t>
  </si>
  <si>
    <t>http://livequick-support139.azurewebsites.net/JArbZ98cFQJapCA/</t>
  </si>
  <si>
    <t>livequick-support091.azurewebsites.net</t>
  </si>
  <si>
    <t>5faf39ae8d53e</t>
  </si>
  <si>
    <t>http://livequick-support091.azurewebsites.net/JArbZ98cFQJapCA/</t>
  </si>
  <si>
    <t>onlinecomputersupport35.azurewebsites.net</t>
  </si>
  <si>
    <t>5f722109c81a1</t>
  </si>
  <si>
    <t>https://onlinecomputersupport35.azurewebsites.net/Kq8XSq5WNCgY68z/</t>
  </si>
  <si>
    <t>freecomputerhelp80.azurewebsites.net</t>
  </si>
  <si>
    <t>5f699ed713444</t>
  </si>
  <si>
    <t>https://freecomputerhelp80.azurewebsites.net/R7tcvkAFdAwS4B4</t>
  </si>
  <si>
    <t>freecomputerhelp156.azurewebsites.net</t>
  </si>
  <si>
    <t>5f699e7620ed6</t>
  </si>
  <si>
    <t>https://freecomputerhelp156.azurewebsites.net/R7tcvkAFdAwS4B4</t>
  </si>
  <si>
    <t>freepchelpforum40.azurewebsites.net</t>
  </si>
  <si>
    <t>5f6288817209b</t>
  </si>
  <si>
    <t>https://freepchelpforum40.azurewebsites.net/TxHTvPq9EFWfwjb/</t>
  </si>
  <si>
    <t>freepchelp20.azurewebsites.net</t>
  </si>
  <si>
    <t>5f61c5e424db5</t>
  </si>
  <si>
    <t>https://freepchelp20.azurewebsites.net/ERDDrHjVfKbFJbQ/</t>
  </si>
  <si>
    <t>pconlinehelp90.azurewebsites.net</t>
  </si>
  <si>
    <t>5f5fd394c0c54</t>
  </si>
  <si>
    <t>https://pconlinehelp90.azurewebsites.net/ERDDrHjVfKbFJbQ/</t>
  </si>
  <si>
    <t>pur9044562ple.xyz</t>
  </si>
  <si>
    <t>160.153.128.8</t>
  </si>
  <si>
    <t>5f69a7d90cda0</t>
  </si>
  <si>
    <t>http://pur9044562ple.xyz/chmx/</t>
  </si>
  <si>
    <t>5f5aaee632e7c</t>
  </si>
  <si>
    <t>http://pur9044562ple.xyz/chmx</t>
  </si>
  <si>
    <t>kim-32on.xyz</t>
  </si>
  <si>
    <t>5f5aaedabcb2f</t>
  </si>
  <si>
    <t>http://kim-32on.xyz/chmx/</t>
  </si>
  <si>
    <t>stellerseller24x7.xyz</t>
  </si>
  <si>
    <t>5f5aaed1c89b9</t>
  </si>
  <si>
    <t>http://stellerseller24x7.xyz/chmx/</t>
  </si>
  <si>
    <t>ov3475848393-haul.xyz</t>
  </si>
  <si>
    <t>5f5aaec9d8cae</t>
  </si>
  <si>
    <t>http://ov3475848393-haul.xyz//chmx</t>
  </si>
  <si>
    <t>ppc-475647839mr.xyz</t>
  </si>
  <si>
    <t>5f5aae7ff1d07</t>
  </si>
  <si>
    <t>http://ppc-475647839mr.xyz/chmx/</t>
  </si>
  <si>
    <t>prin-ton21.xyz</t>
  </si>
  <si>
    <t>5f5aae7a2c86a</t>
  </si>
  <si>
    <t>http://prin-ton21.xyz/chmx/</t>
  </si>
  <si>
    <t>mi2938732-ke.xyz</t>
  </si>
  <si>
    <t>5f5aae74247a6</t>
  </si>
  <si>
    <t>http://mi2938732-ke.xyz/chmx/</t>
  </si>
  <si>
    <t>tue-2290093.xyz</t>
  </si>
  <si>
    <t>5f5aae69d1de1</t>
  </si>
  <si>
    <t>http://tue-2290093.xyz/chmx/</t>
  </si>
  <si>
    <t>per-fct22.xyz</t>
  </si>
  <si>
    <t>5f5aadf876064</t>
  </si>
  <si>
    <t>http://per-fct22.xyz/chmx/</t>
  </si>
  <si>
    <t>skinnytaste.site</t>
  </si>
  <si>
    <t>104.24.121.227</t>
  </si>
  <si>
    <t>5f5b88b087429</t>
  </si>
  <si>
    <t>https://skinnytaste.site/code6235e/EDfdfdfdfd100110dfSHA/</t>
  </si>
  <si>
    <t>138.68.17.44</t>
  </si>
  <si>
    <t>5f5becde35760</t>
  </si>
  <si>
    <t>http://138.68.17.44/0CHxmx01010a0xx010101011001_AG_1010aae_221/</t>
  </si>
  <si>
    <t>imobilieninterior.com</t>
  </si>
  <si>
    <t>104.27.142.209</t>
  </si>
  <si>
    <t>5f5bed1db0d41</t>
  </si>
  <si>
    <t>https://imobilieninterior.com/code2064g/CHfdfffdgfgfgdfgdfgfKar/</t>
  </si>
  <si>
    <t>uniquegarden.site</t>
  </si>
  <si>
    <t>104.24.96.124</t>
  </si>
  <si>
    <t>5f5ce062f04a5</t>
  </si>
  <si>
    <t>https://uniquegarden.site/code2064g/CHfdfffdgfgfgdfgdfgfKar/</t>
  </si>
  <si>
    <t>159.65.75.136</t>
  </si>
  <si>
    <t>5f5bbc737abcc</t>
  </si>
  <si>
    <t>http://159.65.75.136/chrome_winos_xx/?phone=+1-(888)-610-7624&amp;amp;</t>
  </si>
  <si>
    <t>165.22.16.233</t>
  </si>
  <si>
    <t>5f5bc353b7177</t>
  </si>
  <si>
    <t>http://165.22.16.233/0CHv01011/</t>
  </si>
  <si>
    <t>134.209.245.170</t>
  </si>
  <si>
    <t>5f5bc3ca45d3d</t>
  </si>
  <si>
    <t>http://134.209.245.170/z3UrWkwRcAcnfmE/</t>
  </si>
  <si>
    <t>138.68.249.113</t>
  </si>
  <si>
    <t>5f5bc4e9ae889</t>
  </si>
  <si>
    <t>http://138.68.249.113/0CHv01011/</t>
  </si>
  <si>
    <t>convinance654.cf</t>
  </si>
  <si>
    <t>104.18.58.52</t>
  </si>
  <si>
    <t>5f5bc5bd1aa5c</t>
  </si>
  <si>
    <t>https://convinance654.cf/dsadas-d0asd-as0das-d0asd-as0.org/Pcxcode_08xMShelplineCH123/index.html</t>
  </si>
  <si>
    <t>157.230.31.231</t>
  </si>
  <si>
    <t>5f5bc61eb3491</t>
  </si>
  <si>
    <t>http://157.230.31.231/z3UrWkwRcAcnfmE/</t>
  </si>
  <si>
    <t>68.183.215.5</t>
  </si>
  <si>
    <t>5f5bc85053829</t>
  </si>
  <si>
    <t>http://68.183.215.5/z3UrWkwRcAcnfmE/</t>
  </si>
  <si>
    <t>laggissue654.ml</t>
  </si>
  <si>
    <t>104.18.60.142</t>
  </si>
  <si>
    <t>5f5bc8eb53238</t>
  </si>
  <si>
    <t>https://laggissue654.ml/das-da0sd-asd0asd-sa0d-asd0sad-sa.hnd/Pcxcode_08xMShelplineCH123/index.html</t>
  </si>
  <si>
    <t>134.209.224.66</t>
  </si>
  <si>
    <t>5f5bd74574943</t>
  </si>
  <si>
    <t>http://134.209.224.66/0CHvbb01011/</t>
  </si>
  <si>
    <t>cwinteriors.site</t>
  </si>
  <si>
    <t>172.67.144.206</t>
  </si>
  <si>
    <t>5f5bedb927701</t>
  </si>
  <si>
    <t>https://cwinteriors.site/code1879g/CHfdfffdgfgfgdfgdfgfKar/</t>
  </si>
  <si>
    <t>167.172.173.226</t>
  </si>
  <si>
    <t>5f5bfa5b4abaf</t>
  </si>
  <si>
    <t>http://167.172.173.226/0CHxmx01010a0xx010101011001_AG_1010aae_221/</t>
  </si>
  <si>
    <t>sozuam.club</t>
  </si>
  <si>
    <t>104.27.172.236</t>
  </si>
  <si>
    <t>5f5bfa67a8c5d</t>
  </si>
  <si>
    <t>https://sozuam.club/_Win_dows_QKV_3Y_JH6_BEP/P_KZIQRWYB_F01_/90JAMZD_/?n_b=MSg4ODgpNDEyIDc3NDU=&amp;amp;s_1=s1088_7Ngmrd8PyBTHExF2EVx7So</t>
  </si>
  <si>
    <t>maidsquad.website</t>
  </si>
  <si>
    <t>104.27.138.18</t>
  </si>
  <si>
    <t>5f5bfe7cc20c1</t>
  </si>
  <si>
    <t>https://maidsquad.website/code2064e/CHfdfdfdfd100110dfSHA/</t>
  </si>
  <si>
    <t>ozoneweather.com</t>
  </si>
  <si>
    <t>172.67.164.99</t>
  </si>
  <si>
    <t>5f5c04f2931ca</t>
  </si>
  <si>
    <t>https://ozoneweather.com/code2064e/CHfdfdfdfd100110dfSHA/</t>
  </si>
  <si>
    <t>www.rokuregistration.network</t>
  </si>
  <si>
    <t>162.0.232.77</t>
  </si>
  <si>
    <t>5f5c0b36d2148</t>
  </si>
  <si>
    <t>https://www.rokuregistration.network/roku-link-com/error.html</t>
  </si>
  <si>
    <t>network</t>
  </si>
  <si>
    <t>rokopretice.com</t>
  </si>
  <si>
    <t>104.27.188.67</t>
  </si>
  <si>
    <t>5f5c0b47bfe39</t>
  </si>
  <si>
    <t>https://rokopretice.com/new-activation/activationes/done.html</t>
  </si>
  <si>
    <t>161.35.53.122</t>
  </si>
  <si>
    <t>5f5c0b5010c5e</t>
  </si>
  <si>
    <t>http://161.35.53.122/thankyou.html</t>
  </si>
  <si>
    <t>avininfotech.com</t>
  </si>
  <si>
    <t>192.185.129.5</t>
  </si>
  <si>
    <t>5f5c0b591049c</t>
  </si>
  <si>
    <t>https://avininfotech.com/Roku/link-code.php</t>
  </si>
  <si>
    <t>161.35.18.188</t>
  </si>
  <si>
    <t>5f5d11fcbb4e6</t>
  </si>
  <si>
    <t>http://161.35.18.188/z3UrWkwRcAcnfmE/</t>
  </si>
  <si>
    <t>vnmvqe.club</t>
  </si>
  <si>
    <t>104.27.190.42</t>
  </si>
  <si>
    <t>5f5ff0b6b9fcf</t>
  </si>
  <si>
    <t>https://vnmvqe.club/_Win_dows_QKV_3Y_JH6_BEP/P_KZIQRWYB_F01_/90JAMZD_/?n_b=MSg4ODgpMzgxIDkyMjM=&amp;amp;s_1=s365_17MTE0N2I3VVtTSmFTVllAVmJWVUZram</t>
  </si>
  <si>
    <t>iworldsymegageeks.online</t>
  </si>
  <si>
    <t>104.27.144.237</t>
  </si>
  <si>
    <t>5f60695d94a16</t>
  </si>
  <si>
    <t>https://iworldsymegageeks.online/wqyrux01-h5f5646-g598d79re6-s5f69t8er8-f5g8as46a-ere9874g-vg5d4546d-er5er874-xg8f8fs/aueoacrx01/</t>
  </si>
  <si>
    <t>167.172.161.193</t>
  </si>
  <si>
    <t>5f5e6aaa08424</t>
  </si>
  <si>
    <t>http://167.172.161.193/0EDvcv01010a0xx010101011001_AG_1010aae_221/</t>
  </si>
  <si>
    <t>164.90.190.175</t>
  </si>
  <si>
    <t>5f5e73bae9118</t>
  </si>
  <si>
    <t>http://164.90.190.175/0EDvv01010a0xx010101011001_AG_1010aae_221/</t>
  </si>
  <si>
    <t>pianoscdeisonmake.online</t>
  </si>
  <si>
    <t>138.201.161.163</t>
  </si>
  <si>
    <t>5f5eec84140f9</t>
  </si>
  <si>
    <t>https://pianoscdeisonmake.online/edox01-xnhgus-fg2d5454-rt5e7we4-56s5fs465-dfg58f784s6-er5w8w74-dsf59sw8r7e6-sf58r7er4/njporx-4750/edgcx/</t>
  </si>
  <si>
    <t>foodiedad.website</t>
  </si>
  <si>
    <t>104.31.89.9</t>
  </si>
  <si>
    <t>5f5eb1a1d435c</t>
  </si>
  <si>
    <t>https://foodiedad.website/code2717g/CHfdfffdgfgfgdfgdfgfKar/</t>
  </si>
  <si>
    <t>asterccsites.online</t>
  </si>
  <si>
    <t>144.76.208.19</t>
  </si>
  <si>
    <t>5f5eec8d4005b</t>
  </si>
  <si>
    <t>https://asterccsites.online/edokx01-xnhgus-fg2d5454-rt5e7we4-56s5fs465-dfg58f784s6-er5w8w74-dsf59sw8r7e6-sf58r7er4/jproz2276/edgx/</t>
  </si>
  <si>
    <t>umalanddoreings.online</t>
  </si>
  <si>
    <t>144.76.208.18</t>
  </si>
  <si>
    <t>5f5ef7c7ef7fa</t>
  </si>
  <si>
    <t>https://umalanddoreings.online/wqyrux01-h5f5646-g598d79re6-s5f69t8er8-f5g8as46a-ere9874g-vg5d4546d-er5er874-xg8f8fs/auracrx01/</t>
  </si>
  <si>
    <t>140.82.54.33</t>
  </si>
  <si>
    <t>5f5f3b3b58db6</t>
  </si>
  <si>
    <t>http://140.82.54.33/index.html?phone=0800-100-2326</t>
  </si>
  <si>
    <t>172.67.221.133</t>
  </si>
  <si>
    <t>5f5f500095019</t>
  </si>
  <si>
    <t>https://foodiedad.website/code2655g/EDfdfffdgfgfgdfgdfgfKar/</t>
  </si>
  <si>
    <t>bartoslawncare.site</t>
  </si>
  <si>
    <t>104.27.163.2</t>
  </si>
  <si>
    <t>5f5f90efd80c8</t>
  </si>
  <si>
    <t>https://bartoslawncare.site/code2717g/CHfdfffdgfgfgdfgdfgfKar/</t>
  </si>
  <si>
    <t>45.32.145.60</t>
  </si>
  <si>
    <t>5f608d18320df</t>
  </si>
  <si>
    <t>http://45.32.145.60/index.html?phone=0800-100-2326</t>
  </si>
  <si>
    <t>pointgeekaddonsystem.online</t>
  </si>
  <si>
    <t>104.27.176.35</t>
  </si>
  <si>
    <t>5f60af0536da4</t>
  </si>
  <si>
    <t>https://pointgeekaddonsystem.online/fyud-gere-rrtfsdds-etytwew-cgefswfds-ererrt-cdfvgcvgdsf-dtgrteewdfc-xvfsfs-rerers/eiwhtx01/edgx01/</t>
  </si>
  <si>
    <t>securedomain11.xyz</t>
  </si>
  <si>
    <t>172.67.147.82</t>
  </si>
  <si>
    <t>5f60ed294cf00</t>
  </si>
  <si>
    <t>https://securedomain11.xyz/ch5785n/1sdafgdfvsdert44bdsbfj2342x/</t>
  </si>
  <si>
    <t>astrabilling.site</t>
  </si>
  <si>
    <t>104.31.88.131</t>
  </si>
  <si>
    <t>5f60ed5d42dda</t>
  </si>
  <si>
    <t>https://astrabilling.site/code3095g/CHfdfffdgfgfgdfgdfgfKar/</t>
  </si>
  <si>
    <t>lindsydaniewestfahl.space</t>
  </si>
  <si>
    <t>104.18.37.23</t>
  </si>
  <si>
    <t>5f60f99ceb939</t>
  </si>
  <si>
    <t>https://lindsydaniewestfahl.space/home/anette/?nr=844-306-8754&amp;amp;acc=United</t>
  </si>
  <si>
    <t>easybilling.website</t>
  </si>
  <si>
    <t>172.67.200.44</t>
  </si>
  <si>
    <t>5f60fc680b43b</t>
  </si>
  <si>
    <t>https://easybilling.website/code3095g/CHfdfffdgfgfgdfgdfgfKar/</t>
  </si>
  <si>
    <t>172.67.218.233</t>
  </si>
  <si>
    <t>5f60fecdf1e5a</t>
  </si>
  <si>
    <t>https://lindsydaniewestfahl.space/home/anette/?nr=888-597-1444&amp;amp;acc=United</t>
  </si>
  <si>
    <t>forexbilling.com</t>
  </si>
  <si>
    <t>172.67.174.175</t>
  </si>
  <si>
    <t>5f6109c09c412</t>
  </si>
  <si>
    <t>https://forexbilling.com/code6414g/CHfdfffdgfgfgdfgdfgfKar/</t>
  </si>
  <si>
    <t>5f60fedca28f7</t>
  </si>
  <si>
    <t>https://forexbilling.com/code3095g/CHfdfffdgfgfgdfgdfgfKar/</t>
  </si>
  <si>
    <t>trozan-window-security-error-32files-delexxx.s3-ap-southeast-2.amazon</t>
  </si>
  <si>
    <t>52.95.128.66</t>
  </si>
  <si>
    <t>5f6107a455d8a</t>
  </si>
  <si>
    <t>https://trozan-window-security-error-32files-delexxx.s3-ap-southeast-2.amazonaws.com/chrome_win/index.htm</t>
  </si>
  <si>
    <t>sytmwin32trozan-errorxfile-deleted.s3.ap-northeast-2.amazonaws.com</t>
  </si>
  <si>
    <t>52.219.58.31</t>
  </si>
  <si>
    <t>5f6107eee9a5b</t>
  </si>
  <si>
    <t>https://sytmwin32trozan-errorxfile-deleted.s3.ap-northeast-2.amazonaws.com/chrome_win/index.htm</t>
  </si>
  <si>
    <t>susanbairdvaltin.space</t>
  </si>
  <si>
    <t>172.67.223.5</t>
  </si>
  <si>
    <t>5f6109b4e69f9</t>
  </si>
  <si>
    <t>https://susanbairdvaltin.space/home/anette/CHFIR_sdsddshelp/?nr=844-255-9841&amp;amp;acc=United</t>
  </si>
  <si>
    <t>window-securityxfile-trozan-filex012002.s3-ap-southeast-2.amazonaws.c</t>
  </si>
  <si>
    <t>52.95.128.234</t>
  </si>
  <si>
    <t>5f6118e5ee6b0</t>
  </si>
  <si>
    <t>https://window-securityxfile-trozan-filex012002.s3-ap-southeast-2.amazonaws.com/chrome_win/index.htm</t>
  </si>
  <si>
    <t>adityasalescorporation.website</t>
  </si>
  <si>
    <t>104.31.94.246</t>
  </si>
  <si>
    <t>5f6134b3bad2c</t>
  </si>
  <si>
    <t>https://adityasalescorporation.website/code6414g/CHfdfffdgfgfgdfgdfgfKar/</t>
  </si>
  <si>
    <t>freecomputerhelp58.azurewebsites.net</t>
  </si>
  <si>
    <t>52.177.169.150</t>
  </si>
  <si>
    <t>5f699f1143425</t>
  </si>
  <si>
    <t>https://freecomputerhelp58.azurewebsites.net/R7tcvkAFdAwS4B4</t>
  </si>
  <si>
    <t>freecomputerhelp68.azurewebsites.net</t>
  </si>
  <si>
    <t>5f699efa39eb3</t>
  </si>
  <si>
    <t>https://freecomputerhelp68.azurewebsites.net/R7tcvkAFdAwS4B4</t>
  </si>
  <si>
    <t>freecomputerhelp78.azurewebsites.net</t>
  </si>
  <si>
    <t>5f699edc11e51</t>
  </si>
  <si>
    <t>https://freecomputerhelp78.azurewebsites.net/R7tcvkAFdAwS4B4</t>
  </si>
  <si>
    <t>freepchelpforum17.azurewebsites.net</t>
  </si>
  <si>
    <t>5f6287ff5b23b</t>
  </si>
  <si>
    <t>https://freepchelpforum17.azurewebsites.net/TxHTvPq9EFWfwjb/</t>
  </si>
  <si>
    <t>freepchelp133.azurewebsites.net</t>
  </si>
  <si>
    <t>5f624697e6d35</t>
  </si>
  <si>
    <t>https://freepchelp133.azurewebsites.net/TxHTvPq9EFWfwjb/</t>
  </si>
  <si>
    <t>freepchelp28.azurewebsites.net</t>
  </si>
  <si>
    <t>5f61c5d890175</t>
  </si>
  <si>
    <t>https://freepchelp28.azurewebsites.net/ERDDrHjVfKbFJbQ/</t>
  </si>
  <si>
    <t>freepchelp68.azurewebsites.net</t>
  </si>
  <si>
    <t>5f61c5700ce8e</t>
  </si>
  <si>
    <t>https://freepchelp68.azurewebsites.net/ERDDrHjVfKbFJbQ/</t>
  </si>
  <si>
    <t>5f61c54547ef2</t>
  </si>
  <si>
    <t>https://freepchelp78.azurewebsites.net/ERDDrHjVfKbFJbQ/</t>
  </si>
  <si>
    <t>45.32.144.195</t>
  </si>
  <si>
    <t>5f61f9ffb95b2</t>
  </si>
  <si>
    <t>http://45.32.144.195/index.html?phone=0800-100-2326</t>
  </si>
  <si>
    <t>freequickpcsupport017.azurewebsites.net</t>
  </si>
  <si>
    <t>13.64.73.110</t>
  </si>
  <si>
    <t>5f9c42b7e49b8</t>
  </si>
  <si>
    <t>https://freequickpcsupport017.azurewebsites.net/gxDdcFJ5WdRaJjW/</t>
  </si>
  <si>
    <t>liveonlinepchelp32.azurewebsites.net</t>
  </si>
  <si>
    <t>5f737834d798c</t>
  </si>
  <si>
    <t>https://liveonlinepchelp32.azurewebsites.net/6Yeqm5nqUDDNFgk/</t>
  </si>
  <si>
    <t>freecomputerhelp14.azurewebsites.net</t>
  </si>
  <si>
    <t>5f68d975ce261</t>
  </si>
  <si>
    <t>https://freecomputerhelp14.azurewebsites.net/R7tcvkAFdAwS4B4/</t>
  </si>
  <si>
    <t>5f61c5b09ffc8</t>
  </si>
  <si>
    <t>https://freepchelp42.azurewebsites.net/ERDDrHjVfKbFJbQ/</t>
  </si>
  <si>
    <t>liveonlinepchelp50.azurewebsites.net</t>
  </si>
  <si>
    <t>13.84.227.164</t>
  </si>
  <si>
    <t>5f73780111017</t>
  </si>
  <si>
    <t>https://liveonlinepchelp50.azurewebsites.net/6Yeqm5nqUDDNFgk/</t>
  </si>
  <si>
    <t>liveonlinepchelp10.azurewebsites.net</t>
  </si>
  <si>
    <t>5f735e3dcdc9e</t>
  </si>
  <si>
    <t>http://liveonlinepchelp10.azurewebsites.net/6Yeqm5nqUDDNFgk/</t>
  </si>
  <si>
    <t>onlinecomputersupport56.azurewebsites.net</t>
  </si>
  <si>
    <t>5f722122194a6</t>
  </si>
  <si>
    <t>https://onlinecomputersupport56.azurewebsites.net/Kq8XSq5WNCgY68z/</t>
  </si>
  <si>
    <t>onlinecomputersupport20.azurewebsites.net</t>
  </si>
  <si>
    <t>5f721f23f2416</t>
  </si>
  <si>
    <t>https://onlinecomputersupport20.azurewebsites.net/Kq8XSq5WNCgY68z/</t>
  </si>
  <si>
    <t>freecomputersupport160.azurewebsites.net</t>
  </si>
  <si>
    <t>5f6bb1c562672</t>
  </si>
  <si>
    <t>https://freecomputersupport160.azurewebsites.net/PjY6bTgrEnuKddE/</t>
  </si>
  <si>
    <t>freecomputerhelp56.azurewebsites.net</t>
  </si>
  <si>
    <t>5f699f14568a2</t>
  </si>
  <si>
    <t>https://freecomputerhelp56.azurewebsites.net/R7tcvkAFdAwS4B4</t>
  </si>
  <si>
    <t>freecomputerhelp168.azurewebsites.net</t>
  </si>
  <si>
    <t>5f699e8776b3a</t>
  </si>
  <si>
    <t>https://freecomputerhelp168.azurewebsites.net/R7tcvkAFdAwS4B4</t>
  </si>
  <si>
    <t>freepchelpforum50.azurewebsites.net</t>
  </si>
  <si>
    <t>5f6288c8c9fc1</t>
  </si>
  <si>
    <t>https://freepchelpforum50.azurewebsites.net/TxHTvPq9EFWfwjb/</t>
  </si>
  <si>
    <t>freepchelpforum36.azurewebsites.net</t>
  </si>
  <si>
    <t>5f62886a8b4c4</t>
  </si>
  <si>
    <t>https://freepchelpforum36.azurewebsites.net/TxHTvPq9EFWfwjb/</t>
  </si>
  <si>
    <t>freepchelpforum20.azurewebsites.net</t>
  </si>
  <si>
    <t>5f628810d81c9</t>
  </si>
  <si>
    <t>https://freepchelpforum20.azurewebsites.net/TxHTvPq9EFWfwjb/</t>
  </si>
  <si>
    <t>freepchelp90.azurewebsites.net</t>
  </si>
  <si>
    <t>5f6246fd03cf5</t>
  </si>
  <si>
    <t>https://freepchelp90.azurewebsites.net/TxHTvPq9EFWfwjb/</t>
  </si>
  <si>
    <t>freepchelp135.azurewebsites.net</t>
  </si>
  <si>
    <t>5f62469c4f20d</t>
  </si>
  <si>
    <t>https://freepchelp135.azurewebsites.net/TxHTvPq9EFWfwjb/</t>
  </si>
  <si>
    <t>freepchelp16.azurewebsites.net</t>
  </si>
  <si>
    <t>5f61c5f92d72f</t>
  </si>
  <si>
    <t>https://freepchelp16.azurewebsites.net/ERDDrHjVfKbFJbQ/</t>
  </si>
  <si>
    <t>freepchelp26.azurewebsites.net</t>
  </si>
  <si>
    <t>5f61c5dae571a</t>
  </si>
  <si>
    <t>https://freepchelp26.azurewebsites.net/ERDDrHjVfKbFJbQ/</t>
  </si>
  <si>
    <t>livequick-support173.azurewebsites.net</t>
  </si>
  <si>
    <t>52.237.246.162</t>
  </si>
  <si>
    <t>5faf3e8126ffa</t>
  </si>
  <si>
    <t>http://livequick-support173.azurewebsites.net/JArbZ98cFQJapCA/</t>
  </si>
  <si>
    <t>livequick-support122.azurewebsites.net</t>
  </si>
  <si>
    <t>5faf3d8cbfa8d</t>
  </si>
  <si>
    <t>http://livequick-support122.azurewebsites.net/JArbZ98cFQJapCA/</t>
  </si>
  <si>
    <t>quick-support087.azurewebsites.net</t>
  </si>
  <si>
    <t>5fa43be68080c</t>
  </si>
  <si>
    <t>https://quick-support087.azurewebsites.net/KZPnhPzq8R8jHBD/</t>
  </si>
  <si>
    <t>quick-support062.azurewebsites.net</t>
  </si>
  <si>
    <t>5fa439454f1a7</t>
  </si>
  <si>
    <t>https://quick-support062.azurewebsites.net/KZPnhPzq8R8jHBD/</t>
  </si>
  <si>
    <t>liveonlinepchelp42.azurewebsites.net</t>
  </si>
  <si>
    <t>5f73781f37fc5</t>
  </si>
  <si>
    <t>https://liveonlinepchelp42.azurewebsites.net/6Yeqm5nqUDDNFgk/</t>
  </si>
  <si>
    <t>onlinecomputersupport43.azurewebsites.net</t>
  </si>
  <si>
    <t>5f722112bcb81</t>
  </si>
  <si>
    <t>https://onlinecomputersupport43.azurewebsites.net/Kq8XSq5WNCgY68z/</t>
  </si>
  <si>
    <t>5f6cdf6ee0aa2</t>
  </si>
  <si>
    <t>https://freepchelp82.azurewebsites.net/qbNJp4SCuce6BQh/</t>
  </si>
  <si>
    <t>5f6ccee77f165</t>
  </si>
  <si>
    <t>https://freepchelp47.azurewebsites.net/Kq8XSq5WNCgY68z/</t>
  </si>
  <si>
    <t>5f6ccee567656</t>
  </si>
  <si>
    <t>https://freepchelp45.azurewebsites.net/Kq8XSq5WNCgY68z/</t>
  </si>
  <si>
    <t>freecomputerhelp182.azurewebsites.net</t>
  </si>
  <si>
    <t>5f6a1fd7ddd19</t>
  </si>
  <si>
    <t>https://freecomputerhelp182.azurewebsites.net/PjY6bTgrEnuKddE/</t>
  </si>
  <si>
    <t>freecomputerhelp86.azurewebsites.net</t>
  </si>
  <si>
    <t>5f699ecaed46e</t>
  </si>
  <si>
    <t>https://freecomputerhelp86.azurewebsites.net/R7tcvkAFdAwS4B4</t>
  </si>
  <si>
    <t>freecomputerhelp162.azurewebsites.net</t>
  </si>
  <si>
    <t>5f699e807809d</t>
  </si>
  <si>
    <t>https://freecomputerhelp162.azurewebsites.net/R7tcvkAFdAwS4B4</t>
  </si>
  <si>
    <t>freepchelpforum42.azurewebsites.net</t>
  </si>
  <si>
    <t>5f62888e8e7cd</t>
  </si>
  <si>
    <t>https://freepchelpforum42.azurewebsites.net/TxHTvPq9EFWfwjb/</t>
  </si>
  <si>
    <t>freepchelpforum22.azurewebsites.net</t>
  </si>
  <si>
    <t>5f62881dc99d7</t>
  </si>
  <si>
    <t>https://freepchelpforum22.azurewebsites.net/TxHTvPq9EFWfwjb/</t>
  </si>
  <si>
    <t>freepchelp92.azurewebsites.net</t>
  </si>
  <si>
    <t>5f6246f91d764</t>
  </si>
  <si>
    <t>https://freepchelp92.azurewebsites.net/TxHTvPq9EFWfwjb/</t>
  </si>
  <si>
    <t>freepchelp01.azurewebsites.net</t>
  </si>
  <si>
    <t>5f61c61fc172f</t>
  </si>
  <si>
    <t>https://freepchelp01.azurewebsites.net/ERDDrHjVfKbFJbQ/</t>
  </si>
  <si>
    <t>shinemaids.xyz</t>
  </si>
  <si>
    <t>172.67.197.206</t>
  </si>
  <si>
    <t>608045c8c20f7</t>
  </si>
  <si>
    <t>https://shinemaids.xyz/codemasgss/CEDfdfffdgfgfgdfgdfgfMPr88CtySS/</t>
  </si>
  <si>
    <t>alamocityhandymen.info</t>
  </si>
  <si>
    <t>5f620f005cdc9</t>
  </si>
  <si>
    <t>https://alamocityhandymen.info/code6989g/CHfdfffdgfgfgdfgdfgfKar/</t>
  </si>
  <si>
    <t>crownlogistics.online</t>
  </si>
  <si>
    <t>172.67.185.25</t>
  </si>
  <si>
    <t>5f6235fd2aaf0</t>
  </si>
  <si>
    <t>https://crownlogistics.online/code6989g/CHfdfffdgfgfgdfgdfgfKar/</t>
  </si>
  <si>
    <t>www.skfbmodifiedgreeksdo.online</t>
  </si>
  <si>
    <t>104.24.125.250</t>
  </si>
  <si>
    <t>5f61cf84c2065</t>
  </si>
  <si>
    <t>https://www.skfbmodifiedgreeksdo.online/wqyrux01-h5f5646-g598d79re6-s5f69t8er8-f5g8as46a-ere9874g-vg5d4546d-er5er874-xg8f8fs/auracrx01/</t>
  </si>
  <si>
    <t>skfbmodifiedgreeksdo.online</t>
  </si>
  <si>
    <t>172.67.158.108</t>
  </si>
  <si>
    <t>5f61cf2f79261</t>
  </si>
  <si>
    <t>https://skfbmodifiedgreeksdo.online/wqyrux01-h5f5646-g598d79re6-s5f69t8er8-f5g8as46a-ere9874g-vg5d4546d-er5er874-xg8f8fs/auracrx01/</t>
  </si>
  <si>
    <t>securedomain16.xyz</t>
  </si>
  <si>
    <t>104.31.86.45</t>
  </si>
  <si>
    <t>5f62479b7a861</t>
  </si>
  <si>
    <t>https://securedomain16.xyz/ch5785n/1sdafgdfvsdert44bdsbfj2342x/</t>
  </si>
  <si>
    <t>167.172.105.180</t>
  </si>
  <si>
    <t>5f634f1cc4142</t>
  </si>
  <si>
    <t>http://167.172.105.180/index.html</t>
  </si>
  <si>
    <t>5f632671832a9</t>
  </si>
  <si>
    <t>http://167.172.105.180/</t>
  </si>
  <si>
    <t>deepshinecleaning.website</t>
  </si>
  <si>
    <t>104.24.100.67</t>
  </si>
  <si>
    <t>5f625736cecfb</t>
  </si>
  <si>
    <t>https://deepshinecleaning.website/code6989g/CHfdfffdgfgfgdfgdfgfKar/</t>
  </si>
  <si>
    <t>128.199.72.10</t>
  </si>
  <si>
    <t>5f62bfca420d8</t>
  </si>
  <si>
    <t>http://128.199.72.10/EVIE0xxxx/</t>
  </si>
  <si>
    <t>ohrehbara.ga</t>
  </si>
  <si>
    <t>157.230.44.77</t>
  </si>
  <si>
    <t>5fca6c6910b8a</t>
  </si>
  <si>
    <t>http://ohrehbara.ga/jp/K10CH110001ddfddfJP/</t>
  </si>
  <si>
    <t>winnipegas.tk</t>
  </si>
  <si>
    <t>5fca6b7a910d8</t>
  </si>
  <si>
    <t>http://winnipegas.tk/jpgk5110/K10CH110001ddfddfJP/</t>
  </si>
  <si>
    <t>minibecas.ml</t>
  </si>
  <si>
    <t>5fca6adb3e9ba</t>
  </si>
  <si>
    <t>http://minibecas.ml/jp5110/K10CH110001ddfddfJP/</t>
  </si>
  <si>
    <t>daddachaubey.ga</t>
  </si>
  <si>
    <t>5fca696e0e617</t>
  </si>
  <si>
    <t>http://daddachaubey.ga/K10CH110001ddfddfJP/</t>
  </si>
  <si>
    <t>okaybro.tk</t>
  </si>
  <si>
    <t>5fca68c799f15</t>
  </si>
  <si>
    <t>http://okaybro.tk/jp/K10CH110001ddfddfJP/</t>
  </si>
  <si>
    <t>yebhithikhai.allindiagovermentjobs.com</t>
  </si>
  <si>
    <t>5fca67abc44d5</t>
  </si>
  <si>
    <t>http://yebhithikhai.allindiagovermentjobs.com/jp/K10CH110001ddfddfJP/</t>
  </si>
  <si>
    <t>kithhenuchaleya.tk</t>
  </si>
  <si>
    <t>5fca65b0f1953</t>
  </si>
  <si>
    <t>http://kithhenuchaleya.tk/jp5805/K10ED110001ddfddfJP/</t>
  </si>
  <si>
    <t>bgfddggddg.ga</t>
  </si>
  <si>
    <t>5fca5ec6ae1f3</t>
  </si>
  <si>
    <t>http://bgfddggddg.ga/jp/K10IE110001ddfddfJP/</t>
  </si>
  <si>
    <t>5f7c3522347e9</t>
  </si>
  <si>
    <t>https://bgfddggddg.ga/jp/K10IE110001ddfddfJP/</t>
  </si>
  <si>
    <t>takalakaboomboom.ga</t>
  </si>
  <si>
    <t>5f7bffc962ee3</t>
  </si>
  <si>
    <t>https://takalakaboomboom.ga/jpn5110/K10ED110001ddfddfJP/</t>
  </si>
  <si>
    <t>minutires.ga</t>
  </si>
  <si>
    <t>5f6adc37a28b4</t>
  </si>
  <si>
    <t>https://minutires.ga/jp/K10ED110001ddfddfJP/</t>
  </si>
  <si>
    <t>abvedilers.ga</t>
  </si>
  <si>
    <t>5f6960b66459c</t>
  </si>
  <si>
    <t>https://abvedilers.ga/kpj5110/K10ED110001ddfddfJP/</t>
  </si>
  <si>
    <t>zebradas.ga</t>
  </si>
  <si>
    <t>5f66337b38c2a</t>
  </si>
  <si>
    <t>http://zebradas.ga/jpnew/K10CH110001ddfddfJP/</t>
  </si>
  <si>
    <t>grossen.tk</t>
  </si>
  <si>
    <t>5f66336e91b7b</t>
  </si>
  <si>
    <t>http://grossen.tk/ejpvn/K10CH110001ddfddfJP/</t>
  </si>
  <si>
    <t>5f6574265edb6</t>
  </si>
  <si>
    <t>https://zebradas.ga/jpnew/K10ED110001ddfddfJP/</t>
  </si>
  <si>
    <t>nakjuka.ga</t>
  </si>
  <si>
    <t>5f64a1c3aa9e9</t>
  </si>
  <si>
    <t>http://nakjuka.ga/etp/K10CH110001ddfddfJP/</t>
  </si>
  <si>
    <t>bossdk.ga</t>
  </si>
  <si>
    <t>5f64a1b5dd937</t>
  </si>
  <si>
    <t>http://bossdk.ga/jtk5805/K10CH110001ddfddfJP/</t>
  </si>
  <si>
    <t>tosstk.ga</t>
  </si>
  <si>
    <t>5f64a1a542df7</t>
  </si>
  <si>
    <t>http://tosstk.ga/jpjee5805/K10CH110001ddfddfJP/</t>
  </si>
  <si>
    <t>www.hercima.ga</t>
  </si>
  <si>
    <t>5f64a19977eb6</t>
  </si>
  <si>
    <t>http://www.hercima.ga/jpnew2929/K10CH110001ddfddfJP/</t>
  </si>
  <si>
    <t>5f641385af04a</t>
  </si>
  <si>
    <t>https://kithhenuchaleya.tk/jp5805/K10ED110001ddfddfJP/</t>
  </si>
  <si>
    <t>raahtakeyebechara.ml</t>
  </si>
  <si>
    <t>5f62c089d566d</t>
  </si>
  <si>
    <t>https://raahtakeyebechara.ml/jp2020/K10ED110001ddfddfJP/</t>
  </si>
  <si>
    <t>window-security-trozan-alert-filex0401.s3-ap-southeast-2.amazonaws.co</t>
  </si>
  <si>
    <t>52.95.134.46</t>
  </si>
  <si>
    <t>5f6299a163d2d</t>
  </si>
  <si>
    <t>https://window-security-trozan-alert-filex0401.s3-ap-southeast-2.amazonaws.com/chrome_win/index.htm</t>
  </si>
  <si>
    <t>45.32.235.120</t>
  </si>
  <si>
    <t>5f6333608493a</t>
  </si>
  <si>
    <t>http://45.32.235.120/index.html?phone=0800-100-2326</t>
  </si>
  <si>
    <t>electricalmeasuringinstruments.in</t>
  </si>
  <si>
    <t>104.18.38.25</t>
  </si>
  <si>
    <t>5f63388e1dad6</t>
  </si>
  <si>
    <t>https://electricalmeasuringinstruments.in/code6989g/CHfdfffdgfgfgdfgdfgfKar/</t>
  </si>
  <si>
    <t>map-updates.website</t>
  </si>
  <si>
    <t>172.67.150.35</t>
  </si>
  <si>
    <t>5f6389fa25d2f</t>
  </si>
  <si>
    <t>https://map-updates.website/code6989g/CHfdfffdgfgfgdfgdfgfKar/</t>
  </si>
  <si>
    <t>3nterculres.azurewebsites.net</t>
  </si>
  <si>
    <t>13.89.172.2</t>
  </si>
  <si>
    <t>5f7b7dc43535d</t>
  </si>
  <si>
    <t>https://3nterculres.azurewebsites.net/chromedeltasystemresourcesystemgreatfall980888088889898/</t>
  </si>
  <si>
    <t>4bjpappcom.azurewebsites.net</t>
  </si>
  <si>
    <t>5f6fa9a25d06e</t>
  </si>
  <si>
    <t>https://4bjpappcom.azurewebsites.net/chromedeltasystemresourcesystemgreatfall980888088889898/</t>
  </si>
  <si>
    <t>14nfeturls.azurewebsites.net</t>
  </si>
  <si>
    <t>5f6d20e0c2643</t>
  </si>
  <si>
    <t>https://14nfeturls.azurewebsites.net/chromedeltasystemresourcesystemgreatfall980888088889898/</t>
  </si>
  <si>
    <t>13nfeturls.azurewebsites.net</t>
  </si>
  <si>
    <t>5f6d114b08af2</t>
  </si>
  <si>
    <t>https://13nfeturls.azurewebsites.net/chromedeltasystemresourcesystemgreatfall980888088889898/</t>
  </si>
  <si>
    <t>astiks1.azurewebsites.net</t>
  </si>
  <si>
    <t>5f6bc8c637d5c</t>
  </si>
  <si>
    <t>https://astiks1.azurewebsites.net/chromedeltasystemresourcesystemgreatfall980888088889898/</t>
  </si>
  <si>
    <t>3atircturl.azurewebsites.net</t>
  </si>
  <si>
    <t>5f6ba824ebf44</t>
  </si>
  <si>
    <t>https://3atircturl.azurewebsites.net/chromedeltasystemresourcesystemgreatfall980888088889898/</t>
  </si>
  <si>
    <t>13cterbcsys.azurewebsites.net</t>
  </si>
  <si>
    <t>5f6a681e7173c</t>
  </si>
  <si>
    <t>https://13cterbcsys.azurewebsites.net/chromedeltasystemresourcesystemgreatfall980888088889898/</t>
  </si>
  <si>
    <t>1cterbcsys.azurewebsites.net</t>
  </si>
  <si>
    <t>5f6a411d3488d</t>
  </si>
  <si>
    <t>https://1cterbcsys.azurewebsites.net/chromedeltasystemresourcesystemgreatfall980888088889898/</t>
  </si>
  <si>
    <t>gcteurls.azurewebsites.net</t>
  </si>
  <si>
    <t>5f6526c05f694</t>
  </si>
  <si>
    <t>https://gcteurls.azurewebsites.net/chromedeltasystemresourcesystemgreatfall980888088889898/</t>
  </si>
  <si>
    <t>3grthrcurl.azurewebsites.net</t>
  </si>
  <si>
    <t>5f63c434b3b0f</t>
  </si>
  <si>
    <t>https://3grthrcurl.azurewebsites.net/chromedeltasystemresourcesystemgreatfall980888088889898/</t>
  </si>
  <si>
    <t>pureair.website</t>
  </si>
  <si>
    <t>104.27.178.101</t>
  </si>
  <si>
    <t>5f63c5ed78eaf</t>
  </si>
  <si>
    <t>https://pureair.website/code6989g/CHfdfffdgfgfgdfgdfgfKar/</t>
  </si>
  <si>
    <t>206.189.173.175</t>
  </si>
  <si>
    <t>5f6405f240d00</t>
  </si>
  <si>
    <t>http://206.189.173.175/17-ch-09/?phone=+61-1800-825-497&amp;amp;</t>
  </si>
  <si>
    <t>compility489.cf</t>
  </si>
  <si>
    <t>104.27.157.113</t>
  </si>
  <si>
    <t>5f64137e8905d</t>
  </si>
  <si>
    <t>https://compility489.cf/Win22Ju_9947_IE_EDGE_8794-1.cod/IEdge322302030209help3xx/</t>
  </si>
  <si>
    <t>Hong Kong</t>
  </si>
  <si>
    <t>alertindex.top</t>
  </si>
  <si>
    <t>Alibaba.com LLC</t>
  </si>
  <si>
    <t>47.242.63.215</t>
  </si>
  <si>
    <t>5f64a27f94014</t>
  </si>
  <si>
    <t>https://alertindex.top/0CH01011001_BGK/</t>
  </si>
  <si>
    <t>webtechengg.site</t>
  </si>
  <si>
    <t>172.67.168.153</t>
  </si>
  <si>
    <t>5f64c2d74c6cb</t>
  </si>
  <si>
    <t>https://webtechengg.site/code3088g/CHfdfffdgfgfgdfgdfgfKar/</t>
  </si>
  <si>
    <t>aceverifications.site</t>
  </si>
  <si>
    <t>172.67.205.103</t>
  </si>
  <si>
    <t>5f64cacbc31ea</t>
  </si>
  <si>
    <t>https://aceverifications.site/code3088g/CHfdfffdgfgfgdfgdfgfKar/</t>
  </si>
  <si>
    <t>maxbillpoint.site</t>
  </si>
  <si>
    <t>104.28.19.243</t>
  </si>
  <si>
    <t>5f64ed38dc491</t>
  </si>
  <si>
    <t>https://maxbillpoint.site/code2548g/CHfdfffdgfgfgdfgdfgfKar/</t>
  </si>
  <si>
    <t>dfxxri.club</t>
  </si>
  <si>
    <t>104.31.80.182</t>
  </si>
  <si>
    <t>5f65028877b1f</t>
  </si>
  <si>
    <t>https://dfxxri.club/_Win_dows__JMB4RY3_EVL7QG/NXC60Z_U_7OY_DL/4K9_YO1_/?n_b=MSg4ODgpNDE0IDUzMTM=&amp;amp;s_1=s331_3169274968</t>
  </si>
  <si>
    <t>trozan-window-security-alert-action-required-xx852x.s3-ap-southeast-2</t>
  </si>
  <si>
    <t>52.95.132.130</t>
  </si>
  <si>
    <t>5f6508db9c2e9</t>
  </si>
  <si>
    <t>https://trozan-window-security-alert-action-required-xx852x.s3-ap-southeast-2.amazonaws.com/chrome_win/index.htm</t>
  </si>
  <si>
    <t>s3-ap-southeast-2</t>
  </si>
  <si>
    <t>gosecured.in</t>
  </si>
  <si>
    <t>104.27.128.13</t>
  </si>
  <si>
    <t>5f652702135cc</t>
  </si>
  <si>
    <t>https://gosecured.in/code2459g/CHfdfffdgfgfgdfgdfgfKar/</t>
  </si>
  <si>
    <t>contravance339.ga</t>
  </si>
  <si>
    <t>104.24.116.71</t>
  </si>
  <si>
    <t>5f65741c57af0</t>
  </si>
  <si>
    <t>https://contravance339.ga/Win22Ju_9947_IE_EDGE_7771-1.info/IEdge322302030209help3xx/</t>
  </si>
  <si>
    <t>hydraulicpressindia.online</t>
  </si>
  <si>
    <t>104.24.98.81</t>
  </si>
  <si>
    <t>5f654776ad29e</t>
  </si>
  <si>
    <t>https://hydraulicpressindia.online/code6763g/CHfdfffdgfgfgdfgdfgfKar/</t>
  </si>
  <si>
    <t>helplinesoftware1243cdnfdfmerror1.monster</t>
  </si>
  <si>
    <t>149.28.254.244</t>
  </si>
  <si>
    <t>5f654c2dcee1b</t>
  </si>
  <si>
    <t>https://helplinesoftware1243cdnfdfmerror1.monster/Helplineerrorsoftwarexsfdfdfc0576/AMdsffCHdfsfdsdfs23004M/index.html</t>
  </si>
  <si>
    <t>104.238.189.226</t>
  </si>
  <si>
    <t>5f65d01f0e134</t>
  </si>
  <si>
    <t>http://104.238.189.226/index.html?phone=0800-100-2326</t>
  </si>
  <si>
    <t>prox.gygplayer.com</t>
  </si>
  <si>
    <t>166.62.6.66</t>
  </si>
  <si>
    <t>5f65e37c8c091</t>
  </si>
  <si>
    <t>https://prox.gygplayer.com/Mohitji/CH100101010XCDH/?number=+1-833-314-2030</t>
  </si>
  <si>
    <t>orpheusinteriors.site</t>
  </si>
  <si>
    <t>172.67.131.122</t>
  </si>
  <si>
    <t>5f6635f55e96d</t>
  </si>
  <si>
    <t>https://orpheusinteriors.site/code6369g/EDfdfffdgfgfgdfgdfgfKar/</t>
  </si>
  <si>
    <t>46.101.98.221</t>
  </si>
  <si>
    <t>5f6637982567f</t>
  </si>
  <si>
    <t>http://46.101.98.221/IE010101X01010NHHH0101VBVBVJVMKK/index.html</t>
  </si>
  <si>
    <t>206.189.169.197</t>
  </si>
  <si>
    <t>5f66789973381</t>
  </si>
  <si>
    <t>http://206.189.169.197/c19/?phone=+1-(888)-217-8662&amp;amp;</t>
  </si>
  <si>
    <t>trozan-window-security-alert-action-required-858xx.s3-ap-southeast-2.</t>
  </si>
  <si>
    <t>52.95.128.162</t>
  </si>
  <si>
    <t>5f667eaee1c9f</t>
  </si>
  <si>
    <t>https://trozan-window-security-alert-action-required-858xx.s3-ap-southeast-2.amazonaws.com/chrome_win/index.htm</t>
  </si>
  <si>
    <t>trozan-window-security-alert-error-rx385313xx.s3-ap-southeast-2.amazo</t>
  </si>
  <si>
    <t>52.95.132.94</t>
  </si>
  <si>
    <t>5f667f45ccb1f</t>
  </si>
  <si>
    <t>https://trozan-window-security-alert-error-rx385313xx.s3-ap-southeast-2.amazonaws.com/chrome_win/index.htm</t>
  </si>
  <si>
    <t>amazo</t>
  </si>
  <si>
    <t>laggissue765.ml</t>
  </si>
  <si>
    <t>104.24.106.110</t>
  </si>
  <si>
    <t>5f670a6834feb</t>
  </si>
  <si>
    <t>https://laggissue765.ml/Win22Ju_9947_IE_EDGE_8794-1.cod/IEdge322302030209help3xx/</t>
  </si>
  <si>
    <t>3.85.71.215</t>
  </si>
  <si>
    <t>5f670ae65d9a7</t>
  </si>
  <si>
    <t>http://3.85.71.215/j8533/Call-Support2/</t>
  </si>
  <si>
    <t>alkinpestcontrol.com</t>
  </si>
  <si>
    <t>104.31.75.78</t>
  </si>
  <si>
    <t>5f677ba62628f</t>
  </si>
  <si>
    <t>https://alkinpestcontrol.com/code6111g/EDfdfffdgfgfgdfgdfgfKar/</t>
  </si>
  <si>
    <t>authenticfoodrecipes.com</t>
  </si>
  <si>
    <t>172.67.209.183</t>
  </si>
  <si>
    <t>5f678768d72db</t>
  </si>
  <si>
    <t>https://authenticfoodrecipes.com/code6111g/CHfdfffdgfgfgdfgdfgfKar/</t>
  </si>
  <si>
    <t>199.247.8.26</t>
  </si>
  <si>
    <t>5f68818660cd8</t>
  </si>
  <si>
    <t>http://199.247.8.26/index.html?phone=0800-100-2326</t>
  </si>
  <si>
    <t>cloudnewweb.online</t>
  </si>
  <si>
    <t>104.18.60.59</t>
  </si>
  <si>
    <t>5f688c04e2bac</t>
  </si>
  <si>
    <t>https://cloudnewweb.online/fyud-gere-rrtfsdds-etytwew-cgefswfds-ererrt-cdfvgcvgdsf-dtgrteewdfc-xvfsfs-rerers/eiwhtx01/edgx01/</t>
  </si>
  <si>
    <t>54.75.29.133</t>
  </si>
  <si>
    <t>5f68948b91c90</t>
  </si>
  <si>
    <t>http://54.75.29.133/fairy/index.html?phone=044-585-26-72</t>
  </si>
  <si>
    <t>globaltourtravels.com</t>
  </si>
  <si>
    <t>172.67.177.4</t>
  </si>
  <si>
    <t>5f68b36897b7d</t>
  </si>
  <si>
    <t>https://globaltourtravels.com/code9520g/CHfdfffdgfgfgdfgdfgfKar/</t>
  </si>
  <si>
    <t>kandakharfoods.site</t>
  </si>
  <si>
    <t>172.67.164.206</t>
  </si>
  <si>
    <t>5f68d6aee778f</t>
  </si>
  <si>
    <t>https://kandakharfoods.site/code6804g/CHfdfffdgfgfgdfgdfgfKar/</t>
  </si>
  <si>
    <t>sytem-authentication-proccess-flow-alert2.tk</t>
  </si>
  <si>
    <t>104.24.125.240</t>
  </si>
  <si>
    <t>5f68d6bc9cd31</t>
  </si>
  <si>
    <t>https://sytem-authentication-proccess-flow-alert2.tk/newokifgsiufgdsgfinsdinvgisdgvsgvisgvivnidgvdsiungvsnewk/ch-bbuytuytcuyvr67bif76f/</t>
  </si>
  <si>
    <t>188.166.66.144</t>
  </si>
  <si>
    <t>5f68d8133383c</t>
  </si>
  <si>
    <t>http://188.166.66.144/CH010101X01010NHHH0101/index.html</t>
  </si>
  <si>
    <t>gzqjib.club</t>
  </si>
  <si>
    <t>104.27.188.192</t>
  </si>
  <si>
    <t>5f68f0c2f2400</t>
  </si>
  <si>
    <t>https://gzqjib.club/_Win_dows__JMB4RY3_EVL7QG/NXC60Z_U_7OY_DL/4K9_YO1_/?n_b=MSg4ODgpMzgxIDcyMDk=&amp;amp;s_1=s365_1cNTM1YTg7PUA-</t>
  </si>
  <si>
    <t>windows-security-errorsytm-code56994x03.s3.ap-northeast-2.amazonaws.c</t>
  </si>
  <si>
    <t>52.219.58.71</t>
  </si>
  <si>
    <t>5f68f16f9e702</t>
  </si>
  <si>
    <t>https://windows-security-errorsytm-code56994x03.s3.ap-northeast-2.amazonaws.com/chrome_win/index.htm</t>
  </si>
  <si>
    <t>window-security-systm-codex0028429.s3-ap-southeast-2.amazonaws.com</t>
  </si>
  <si>
    <t>52.95.134.130</t>
  </si>
  <si>
    <t>5f68f2ed9aa4e</t>
  </si>
  <si>
    <t>https://window-security-systm-codex0028429.s3-ap-southeast-2.amazonaws.com/chrome_win/index.htm</t>
  </si>
  <si>
    <t>sytem-authentication-proccess-flow-alert2.gq</t>
  </si>
  <si>
    <t>172.67.166.46</t>
  </si>
  <si>
    <t>5f68f9b21d3fa</t>
  </si>
  <si>
    <t>https://sytem-authentication-proccess-flow-alert2.gq/4722newokifgsiufgdsgfinsdinvgisdgvsgvisgvivnidgvdsiungvsnewk/ch-bbuytuytcuyvr67bif76f/</t>
  </si>
  <si>
    <t>jfklij.club</t>
  </si>
  <si>
    <t>172.67.145.91</t>
  </si>
  <si>
    <t>5f68faaf78a83</t>
  </si>
  <si>
    <t>https://jfklij.club/_Win_dows__JMB4RY3_EVL7QG/NXC60Z_U_7OY_DL/4K9_YO1_/?n_b=MSg4ODgpNDEzIDc2MjY=&amp;amp;s_1=s365_11NTM1YTg7PUA-</t>
  </si>
  <si>
    <t>recipemaster.site</t>
  </si>
  <si>
    <t>104.28.5.28</t>
  </si>
  <si>
    <t>5f690c63188a0</t>
  </si>
  <si>
    <t>https://recipemaster.site/code0713g/CHfdfffdgfgfgdfgdfgfKar/</t>
  </si>
  <si>
    <t>louxiour.gq</t>
  </si>
  <si>
    <t>166.62.10.227</t>
  </si>
  <si>
    <t>5f691d2776fa9</t>
  </si>
  <si>
    <t>http://louxiour.gq/Ring/CHfdfdfdfdfdfdfdfdfIntGlucode0xhelpms001/index.html</t>
  </si>
  <si>
    <t>byteinfosolutions.online</t>
  </si>
  <si>
    <t>104.18.55.7</t>
  </si>
  <si>
    <t>5f69803141101</t>
  </si>
  <si>
    <t>https://byteinfosolutions.online/edokx01-xnhgus-fg2d5454-rt5e7we4-56s5fs465-dfg58f784s6-er5w8w74-dsf59sw8r7e6-sf58r7er4/jproz9928/edgx/</t>
  </si>
  <si>
    <t>viir3ssz.gq</t>
  </si>
  <si>
    <t>172.67.222.87</t>
  </si>
  <si>
    <t>60a2e2fc86cfe</t>
  </si>
  <si>
    <t>https://viir3ssz.gq/hNvzqy_Zr7oG_YC/hgo_u_2__qOc_XR/AYZ_J_pXld4lwT_/lm__n_cG7/?n_b=MSg4NDQpODU1IDA2ODY=&amp;amp;s_1=63-587</t>
  </si>
  <si>
    <t>storesinwebx.online</t>
  </si>
  <si>
    <t>5f698068c9d7d</t>
  </si>
  <si>
    <t>https://storesinwebx.online/wqyrux01-h5f5646-g598d79re6-s5f69t8er8-f5g8as46a-ere9874g-vg5d4546d-er5er874-xg8f8fs/aueoacrx01/</t>
  </si>
  <si>
    <t>livequick-support067.azurewebsites.net</t>
  </si>
  <si>
    <t>20.49.104.3</t>
  </si>
  <si>
    <t>5faf3914bc07b</t>
  </si>
  <si>
    <t>http://livequick-support067.azurewebsites.net/JArbZ98cFQJapCA/</t>
  </si>
  <si>
    <t>quick-support067.azurewebsites.net</t>
  </si>
  <si>
    <t>5fa43978a2d37</t>
  </si>
  <si>
    <t>https://quick-support067.azurewebsites.net/KZPnhPzq8R8jHBD/</t>
  </si>
  <si>
    <t>freequickpcsupport029.azurewebsites.net</t>
  </si>
  <si>
    <t>5f9c460ebfab2</t>
  </si>
  <si>
    <t>https://freequickpcsupport029.azurewebsites.net/gxDdcFJ5WdRaJjW/</t>
  </si>
  <si>
    <t>speedupyourpc19.azurewebsites.net</t>
  </si>
  <si>
    <t>5f809308d928c</t>
  </si>
  <si>
    <t>https://speedupyourpc19.azurewebsites.net/bUAnaP5Cp7yKmv4/</t>
  </si>
  <si>
    <t>onecallhelpdesk29.azurewebsites.net</t>
  </si>
  <si>
    <t>5f7f441478021</t>
  </si>
  <si>
    <t>https://onecallhelpdesk29.azurewebsites.net/Zc3ggqfnej8AFwQ/</t>
  </si>
  <si>
    <t>livepcexpert69.azurewebsites.net</t>
  </si>
  <si>
    <t>5f7623a5c0db0</t>
  </si>
  <si>
    <t>https://livepcexpert69.azurewebsites.net/TZZsyhcrt2Wrbu9/</t>
  </si>
  <si>
    <t>liveonlinepchelp27.azurewebsites.net</t>
  </si>
  <si>
    <t>5f737845854dd</t>
  </si>
  <si>
    <t>https://liveonlinepchelp27.azurewebsites.net/6Yeqm5nqUDDNFgk/</t>
  </si>
  <si>
    <t>liveonlinepchelp38.azurewebsites.net</t>
  </si>
  <si>
    <t>5f7378262f36a</t>
  </si>
  <si>
    <t>https://liveonlinepchelp38.azurewebsites.net/6Yeqm5nqUDDNFgk/</t>
  </si>
  <si>
    <t>onlinecomputersupport59.azurewebsites.net</t>
  </si>
  <si>
    <t>5f72212990543</t>
  </si>
  <si>
    <t>https://onlinecomputersupport59.azurewebsites.net/Kq8XSq5WNCgY68z/</t>
  </si>
  <si>
    <t>onlinecomputersupport47.azurewebsites.net</t>
  </si>
  <si>
    <t>5f722115b1ba2</t>
  </si>
  <si>
    <t>https://onlinecomputersupport47.azurewebsites.net/Kq8XSq5WNCgY68z/</t>
  </si>
  <si>
    <t>5f6d8fd0e7ebe</t>
  </si>
  <si>
    <t>https://freepchelp80.azurewebsites.net/qbNJp4SCuce6BQh/</t>
  </si>
  <si>
    <t>freecomputersupport87.azurewebsites.net</t>
  </si>
  <si>
    <t>5f6b10982ee1d</t>
  </si>
  <si>
    <t>https://freecomputersupport87.azurewebsites.net/PjY6bTgrEnuKddE/</t>
  </si>
  <si>
    <t>freecomputersupport07.azurewebsites.net</t>
  </si>
  <si>
    <t>5f6a3cf9d5394</t>
  </si>
  <si>
    <t>https://freecomputersupport07.azurewebsites.net/PjY6bTgrEnuKddE/</t>
  </si>
  <si>
    <t>freecomputerhelp127.azurewebsites.net</t>
  </si>
  <si>
    <t>5f699e1b2b18d</t>
  </si>
  <si>
    <t>https://freecomputerhelp127.azurewebsites.net/R7tcvkAFdAwS4B4</t>
  </si>
  <si>
    <t>AS50056</t>
  </si>
  <si>
    <t>Corby</t>
  </si>
  <si>
    <t>boogiebounce.thisisunder.construction</t>
  </si>
  <si>
    <t>Ai Networks</t>
  </si>
  <si>
    <t>185.137.220.21</t>
  </si>
  <si>
    <t>ServerChoiceLtd</t>
  </si>
  <si>
    <t>5f69a305356bb</t>
  </si>
  <si>
    <t>http://boogiebounce.thisisunder.construction/error/S1001010101001CHY/</t>
  </si>
  <si>
    <t>construction</t>
  </si>
  <si>
    <t>Navi Mumbai</t>
  </si>
  <si>
    <t>www.divyachetanatrust.org</t>
  </si>
  <si>
    <t>PDRSOLUTIONSFZC</t>
  </si>
  <si>
    <t>216.10.250.27</t>
  </si>
  <si>
    <t>5f69a3164b358</t>
  </si>
  <si>
    <t>https://www.divyachetanatrust.org/assets/error/S1001010101001CHY/</t>
  </si>
  <si>
    <t>token4token.com</t>
  </si>
  <si>
    <t>72.167.222.227</t>
  </si>
  <si>
    <t>5f69a36cca840</t>
  </si>
  <si>
    <t>http://token4token.com/error/S1001010101001CHY/</t>
  </si>
  <si>
    <t>157.230.114.105</t>
  </si>
  <si>
    <t>5f69a7c3783d8</t>
  </si>
  <si>
    <t>http://157.230.114.105/z3UrWkwRcAcnfmE/</t>
  </si>
  <si>
    <t>217.69.15.124</t>
  </si>
  <si>
    <t>5f69bbf64d633</t>
  </si>
  <si>
    <t>http://217.69.15.124/index.html?phone=0800-100-2326</t>
  </si>
  <si>
    <t>46.101.155.69</t>
  </si>
  <si>
    <t>5f69d56c81046</t>
  </si>
  <si>
    <t>http://46.101.155.69/</t>
  </si>
  <si>
    <t>3.250.227.25</t>
  </si>
  <si>
    <t>5f69dd0a480c2</t>
  </si>
  <si>
    <t>http://3.250.227.25/lonlc/vande.html?=030-3693-0457</t>
  </si>
  <si>
    <t>Saint-Denis</t>
  </si>
  <si>
    <t>107.191.62.42</t>
  </si>
  <si>
    <t>5f69e88a043bb</t>
  </si>
  <si>
    <t>http://107.191.62.42/index.html?phone=0800-100-2326</t>
  </si>
  <si>
    <t>veneziaironwork.com</t>
  </si>
  <si>
    <t>104.31.90.201</t>
  </si>
  <si>
    <t>5f6a07eebbaa9</t>
  </si>
  <si>
    <t>https://veneziaironwork.com/code4615g/CHfdfffdgfgfgdfgdfgfKar/</t>
  </si>
  <si>
    <t>vishalwebsolutions.com</t>
  </si>
  <si>
    <t>172.67.178.39</t>
  </si>
  <si>
    <t>5f6a11e75d2c1</t>
  </si>
  <si>
    <t>https://vishalwebsolutions.com/code4615g/CHfdfffdgfgfgdfgdfgfKar/</t>
  </si>
  <si>
    <t>voguebeauty.site</t>
  </si>
  <si>
    <t>104.24.100.32</t>
  </si>
  <si>
    <t>5f6a1fdd36e93</t>
  </si>
  <si>
    <t>https://voguebeauty.site/code1127g/CHfdfffdgfgfgdfgdfgfKar/</t>
  </si>
  <si>
    <t>dddc1ce3e1ecd38342a64e56838bd.xyz</t>
  </si>
  <si>
    <t>162.0.232.232</t>
  </si>
  <si>
    <t>5f6a3731d7785</t>
  </si>
  <si>
    <t>https://dddc1ce3e1ecd38342a64e56838bd.xyz/</t>
  </si>
  <si>
    <t>d4852692bc9111b621b466f48432e.xyz</t>
  </si>
  <si>
    <t>5f6a25de6c9a8</t>
  </si>
  <si>
    <t>https://d4852692bc9111b621b466f48432e.xyz/</t>
  </si>
  <si>
    <t>onlineteamactivities.site</t>
  </si>
  <si>
    <t>178.128.184.159</t>
  </si>
  <si>
    <t>5f6a29d53ebbe</t>
  </si>
  <si>
    <t>https://onlineteamactivities.site/IEDfdfdfdfdfdfdffdfShahucode0xhelpms008/index.html</t>
  </si>
  <si>
    <t>billpaymentadvisors.com</t>
  </si>
  <si>
    <t>104.31.70.196</t>
  </si>
  <si>
    <t>5f6a2e3c53989</t>
  </si>
  <si>
    <t>https://billpaymentadvisors.com/code1127g/EDfdfffdgfgfgdfgdfgfKar/</t>
  </si>
  <si>
    <t>thermoelectrically.club</t>
  </si>
  <si>
    <t>212.47.230.96</t>
  </si>
  <si>
    <t>5fa84177067cf</t>
  </si>
  <si>
    <t>http://thermoelectrically.club/t2/IEfdfdfdfdfdfdffdfRiJaucode0xhelpms008/index.html</t>
  </si>
  <si>
    <t>indeterminableness.site</t>
  </si>
  <si>
    <t>5f7cc9df19dad</t>
  </si>
  <si>
    <t>http://indeterminableness.site/CHfdfdfdfdfdfdffdf247ucode0xhelpms008Risef/</t>
  </si>
  <si>
    <t>nonritualistically.club</t>
  </si>
  <si>
    <t>5f6a34bec1dd9</t>
  </si>
  <si>
    <t>http://nonritualistically.club/IEfdfdfdfdfdfdffdf247ucode0xhelpms008Risef/index.html</t>
  </si>
  <si>
    <t>corporatemunim.site</t>
  </si>
  <si>
    <t>104.27.157.179</t>
  </si>
  <si>
    <t>5f6a3537973e2</t>
  </si>
  <si>
    <t>https://corporatemunim.site/code1127g/EDfdfffdgfgfgdfgdfgfKar/</t>
  </si>
  <si>
    <t>9642-us846844648grey-82828728-07-01.s3.us-east-2.amazonaws.com</t>
  </si>
  <si>
    <t>52.219.84.128</t>
  </si>
  <si>
    <t>606e0b2089dbe</t>
  </si>
  <si>
    <t>https://9642-us846844648grey-82828728-07-01.s3.us-east-2.amazonaws.com/index.html</t>
  </si>
  <si>
    <t>windows-efender--9733.s3.us-east-2.amazonaws.com</t>
  </si>
  <si>
    <t>5f6a50f7a7204</t>
  </si>
  <si>
    <t>https://windows-efender--9733.s3.us-east-2.amazonaws.com/index.html</t>
  </si>
  <si>
    <t>goupbilling.site</t>
  </si>
  <si>
    <t>104.27.149.3</t>
  </si>
  <si>
    <t>5f6a5f35a4375</t>
  </si>
  <si>
    <t>https://goupbilling.site/code3771g/CHfdfffdgfgfgdfgdfgfKar/</t>
  </si>
  <si>
    <t>insightstudio.website</t>
  </si>
  <si>
    <t>172.67.183.13</t>
  </si>
  <si>
    <t>5f6a73c1644bc</t>
  </si>
  <si>
    <t>https://insightstudio.website/code4615g/CHfdfffdgfgfgdfgdfgfKar/</t>
  </si>
  <si>
    <t>bootup958.ml</t>
  </si>
  <si>
    <t>104.27.184.87</t>
  </si>
  <si>
    <t>5f6adc3ec40da</t>
  </si>
  <si>
    <t>https://bootup958.ml/Win22Ju_7589_IE_EDGE_7771-1.info/IEdge322302030209help3xx/</t>
  </si>
  <si>
    <t>bufferbyte599.ml</t>
  </si>
  <si>
    <t>104.27.188.97</t>
  </si>
  <si>
    <t>5f6adc4498905</t>
  </si>
  <si>
    <t>https://bufferbyte599.ml/Win22Ju_7589_IE_EDGE_8794-1.cod/IEdge322302030209help3xx/</t>
  </si>
  <si>
    <t>reactmailquick.online</t>
  </si>
  <si>
    <t>104.31.78.54</t>
  </si>
  <si>
    <t>5f6adc4bc7437</t>
  </si>
  <si>
    <t>https://reactmailquick.online/edokx01-xnhgus-fg2d5454-rt5e7we4-56s5fs465-dfg58f784s6-er5w8w74-dsf59sw8r7e6-sf58r7er4/jproz9928/edgx/</t>
  </si>
  <si>
    <t>utilityxxquery.online</t>
  </si>
  <si>
    <t>104.18.63.2</t>
  </si>
  <si>
    <t>5f6adc55cd86e</t>
  </si>
  <si>
    <t>https://utilityxxquery.online/ieof01-1d4s946-c5xf8745-s5r8e7w4e-x458s7f6-x578f4ew-5v8xfs46r-5x88f45w-4s8f4f8-b5s5fs/njporx-6436/iegcx/?track=</t>
  </si>
  <si>
    <t>136.244.115.56</t>
  </si>
  <si>
    <t>5f6b229c7dfa2</t>
  </si>
  <si>
    <t>http://136.244.115.56/index.html?phone=0800-180-0375</t>
  </si>
  <si>
    <t>217.69.1.242</t>
  </si>
  <si>
    <t>5f6b28b4f3056</t>
  </si>
  <si>
    <t>http://217.69.1.242/index.html?phone=0800-180-0375</t>
  </si>
  <si>
    <t>d2a1spgs1xcyvw.cloudfront.net</t>
  </si>
  <si>
    <t>143.204.101.40</t>
  </si>
  <si>
    <t>5f6b33976b5cd</t>
  </si>
  <si>
    <t>https://d2a1spgs1xcyvw.cloudfront.net/XMFF7xe/?phone=032-221-094-847&amp;amp;</t>
  </si>
  <si>
    <t>starspa.in</t>
  </si>
  <si>
    <t>104.27.132.174</t>
  </si>
  <si>
    <t>5f6b47773ca5f</t>
  </si>
  <si>
    <t>https://starspa.in/code7531g/CHfdfffdgfgfgdfgdfgfKar/</t>
  </si>
  <si>
    <t>constructionmarkets.net</t>
  </si>
  <si>
    <t>104.18.53.144</t>
  </si>
  <si>
    <t>5f6b74b083f96</t>
  </si>
  <si>
    <t>https://constructionmarkets.net/code4615g/EDfdfffdgfgfgdfgdfgfKar/</t>
  </si>
  <si>
    <t>securedoamin34.xyz</t>
  </si>
  <si>
    <t>104.28.17.196</t>
  </si>
  <si>
    <t>5f6b9e5b70f10</t>
  </si>
  <si>
    <t>https://securedoamin34.xyz/ch6287n/1sdafgdfvsdert44bdsbfj2342x/</t>
  </si>
  <si>
    <t>217.69.15.217</t>
  </si>
  <si>
    <t>5f6c9479c34f6</t>
  </si>
  <si>
    <t>http://217.69.15.217/index.html?phone=0800-180-0375</t>
  </si>
  <si>
    <t>206.189.78.242</t>
  </si>
  <si>
    <t>5f6be60897faf</t>
  </si>
  <si>
    <t>http://206.189.78.242/23ch/?phone=+1-(888)-380-9648&amp;amp;</t>
  </si>
  <si>
    <t>netissuehelp.online</t>
  </si>
  <si>
    <t>104.27.138.190</t>
  </si>
  <si>
    <t>5f6c613bf2801</t>
  </si>
  <si>
    <t>https://netissuehelp.online/urmx01-nxf564s-e5ew98w46-sx5a6dasd46a-rererew4-sad7e6-aewr4-d5dfd98s6-f5sd8s8f4-cd4fs/jproz9928/iecx/</t>
  </si>
  <si>
    <t>previewcloudx.online</t>
  </si>
  <si>
    <t>172.67.200.8</t>
  </si>
  <si>
    <t>5f6c63ff1f2a9</t>
  </si>
  <si>
    <t>https://previewcloudx.online/rmcwx01-nc1564s6-sr56ew8w46-x5x8fs6-x598sf4s6-zaf5s987w46-xv5x8f7s8f6-xv5874arer/njporx-2027/iegcx/</t>
  </si>
  <si>
    <t>46.101.212.188</t>
  </si>
  <si>
    <t>5f6cb490c54c2</t>
  </si>
  <si>
    <t>http://46.101.212.188/0EDvv01010a0xx010101011001_AG_1010aae_221/</t>
  </si>
  <si>
    <t>207.154.236.30</t>
  </si>
  <si>
    <t>5f6cc65a7979f</t>
  </si>
  <si>
    <t>http://207.154.236.30/0EDv01011bbnbnnbnbnoooo121/</t>
  </si>
  <si>
    <t>quantummaps.site</t>
  </si>
  <si>
    <t>172.67.187.67</t>
  </si>
  <si>
    <t>5f6cd55cb6422</t>
  </si>
  <si>
    <t>https://quantummaps.site/code6757g/EDfdfffdgfgfgdfgdfgfKar/</t>
  </si>
  <si>
    <t>5f6cd10ba2869</t>
  </si>
  <si>
    <t>https://quantummaps.site/code8256g/EDfdfffdgfgfgdfgdfgfKar/</t>
  </si>
  <si>
    <t>5f6ccb29e01ac</t>
  </si>
  <si>
    <t>https://quantummaps.site/code3720g/CHfdfffdgfgfgdfgdfgfKar/</t>
  </si>
  <si>
    <t>windows-security-error-trozan305x301.s3.ap-northeast-2.amazonaws.com</t>
  </si>
  <si>
    <t>52.219.56.63</t>
  </si>
  <si>
    <t>5f6cd130624dd</t>
  </si>
  <si>
    <t>https://windows-security-error-trozan305x301.s3.ap-northeast-2.amazonaws.com/chrome_win/index.htm</t>
  </si>
  <si>
    <t>servicerighthere.site</t>
  </si>
  <si>
    <t>143.110.145.181</t>
  </si>
  <si>
    <t>5f6cd376149f9</t>
  </si>
  <si>
    <t>https://servicerighthere.site/IEDfdfdfdfdfdfdffdfShahucode0xhelpms008/index.html</t>
  </si>
  <si>
    <t>virtuality995.ml</t>
  </si>
  <si>
    <t>104.27.145.239</t>
  </si>
  <si>
    <t>5f6cd55f139de</t>
  </si>
  <si>
    <t>https://virtuality995.ml/asdas-da0d-asd0as-d0asd.hbs/IEfdfdfdfdfdfdfdfdfAneGiucode0xhelpms001JU/index.html</t>
  </si>
  <si>
    <t>ppiavail.xyz</t>
  </si>
  <si>
    <t>178.128.187.206</t>
  </si>
  <si>
    <t>5f6cd688ed90f</t>
  </si>
  <si>
    <t>https://ppiavail.xyz/act-133/EDWInhelp10010101x/</t>
  </si>
  <si>
    <t>207.154.234.152</t>
  </si>
  <si>
    <t>5f6cd76ced133</t>
  </si>
  <si>
    <t>http://207.154.234.152/IE010101X01010NHHH0101m010101/index.html</t>
  </si>
  <si>
    <t>serviceventure.site</t>
  </si>
  <si>
    <t>143.110.158.105</t>
  </si>
  <si>
    <t>5f6cdde375492</t>
  </si>
  <si>
    <t>https://serviceventure.site/IEDfdfdfdfdfdfdffdfShahucode0xhelpms008/index.html</t>
  </si>
  <si>
    <t>138.68.20.233</t>
  </si>
  <si>
    <t>5f6cde92ce941</t>
  </si>
  <si>
    <t>http://138.68.20.233/23edge/?phone=+1-(888)-308-5901&amp;amp;</t>
  </si>
  <si>
    <t>rgslandscaping.site</t>
  </si>
  <si>
    <t>104.27.129.76</t>
  </si>
  <si>
    <t>5f6ce27c48ddb</t>
  </si>
  <si>
    <t>https://rgslandscaping.site/code1446g/CHfdfffdgfgfgdfgdfgfKar/</t>
  </si>
  <si>
    <t>5f6ce04b2e26f</t>
  </si>
  <si>
    <t>https://rgslandscaping.site/code1435g/EDfdfffdgfgfgdfgdfgfKar/</t>
  </si>
  <si>
    <t>wormweb445.cf</t>
  </si>
  <si>
    <t>104.27.189.15</t>
  </si>
  <si>
    <t>5f6ce64705c7c</t>
  </si>
  <si>
    <t>https://wormweb445.cf/sadsa0s-d0asd-sa0d-sad0as-d0.hbs/IEfdfdfdfdfdfdfdfdfAneGiucode0xhelpms001JU/index.html</t>
  </si>
  <si>
    <t>138.68.57.149</t>
  </si>
  <si>
    <t>5f6cebaa5ec00</t>
  </si>
  <si>
    <t>http://138.68.57.149/23edge/?phone=+1-(888)-307-3771&amp;amp;</t>
  </si>
  <si>
    <t>5f6ce8778201a</t>
  </si>
  <si>
    <t>http://138.68.57.149/23edge/?phone=+1-(888)-320-5584&amp;amp;</t>
  </si>
  <si>
    <t>activationavail.online</t>
  </si>
  <si>
    <t>157.230.81.135</t>
  </si>
  <si>
    <t>5f6cf2931fdea</t>
  </si>
  <si>
    <t>https://activationavail.online/act-133/EDWInhelp10010101x/</t>
  </si>
  <si>
    <t>servicethroughus.site</t>
  </si>
  <si>
    <t>143.110.145.60</t>
  </si>
  <si>
    <t>5f6cefff9bb20</t>
  </si>
  <si>
    <t>https://servicethroughus.site/IEDfdfdfdfdfdfdffdfShahucode0xhelpms008/index.html</t>
  </si>
  <si>
    <t>e4404-msg-co-10100100011102.xyz</t>
  </si>
  <si>
    <t>50.116.47.146</t>
  </si>
  <si>
    <t>5f6cee0e2039a</t>
  </si>
  <si>
    <t>https://e4404-msg-co-10100100011102.xyz/6010/0EDdhdsbfMShgdfhdgfHr007/</t>
  </si>
  <si>
    <t>104.27.128.76</t>
  </si>
  <si>
    <t>5f6cee1480fee</t>
  </si>
  <si>
    <t>https://rgslandscaping.site/code2864g/EDfdfffdgfgfgdfgdfgfKar/</t>
  </si>
  <si>
    <t>roadsidetowing.site</t>
  </si>
  <si>
    <t>104.31.71.90</t>
  </si>
  <si>
    <t>5f6cfcdd2fe10</t>
  </si>
  <si>
    <t>https://roadsidetowing.site/code0895g/EDfdfffdgfgfgdfgdfgfKar/</t>
  </si>
  <si>
    <t>securesafetyonlineprocesshelpline24x7dash6.monster</t>
  </si>
  <si>
    <t>207.148.2.220</t>
  </si>
  <si>
    <t>5f6cff9d2bf6e</t>
  </si>
  <si>
    <t>https://securesafetyonlineprocesshelpline24x7dash6.monster/Helplineerrorsoftwarexsfdfdfc1134/AMdsffCHdfsfdsdfs23004M/index.html</t>
  </si>
  <si>
    <t>3.21.168.71</t>
  </si>
  <si>
    <t>5f6d018526c7d</t>
  </si>
  <si>
    <t>http://3.21.168.71/</t>
  </si>
  <si>
    <t>157.230.60.105</t>
  </si>
  <si>
    <t>5f6d01e091f05</t>
  </si>
  <si>
    <t>http://157.230.60.105/CHOfdfdfdfdfd07VK100101010110helpline7/index.html</t>
  </si>
  <si>
    <t>95.179.214.99</t>
  </si>
  <si>
    <t>5f6dbc7769282</t>
  </si>
  <si>
    <t>http://95.179.214.99/index.html?phone=0800-180-0375</t>
  </si>
  <si>
    <t>dhkdrs9d3f6vh.cloudfront.net</t>
  </si>
  <si>
    <t>13.225.84.70</t>
  </si>
  <si>
    <t>5f6dc35962df5</t>
  </si>
  <si>
    <t>https://dhkdrs9d3f6vh.cloudfront.net/XMFF7xe/?phone=030-2295-7981&amp;amp;</t>
  </si>
  <si>
    <t>atlastowing.site</t>
  </si>
  <si>
    <t>172.67.166.192</t>
  </si>
  <si>
    <t>5f6df254a1c90</t>
  </si>
  <si>
    <t>https://atlastowing.site/code4671g/CHfdfffdgfgfgdfgdfgfKar/</t>
  </si>
  <si>
    <t>clovepestcontrol.site</t>
  </si>
  <si>
    <t>104.27.142.141</t>
  </si>
  <si>
    <t>5f6e046c8ba47</t>
  </si>
  <si>
    <t>https://clovepestcontrol.site/code4671g/EDfdfffdgfgfgdfgdfgfKar/</t>
  </si>
  <si>
    <t>deepalisinks.net</t>
  </si>
  <si>
    <t>104.31.69.213</t>
  </si>
  <si>
    <t>5f6e1b5fd6262</t>
  </si>
  <si>
    <t>https://deepalisinks.net/code4715g/CHfdfffdgfgfgdfgdfgfKar/</t>
  </si>
  <si>
    <t>windows-security-error-codetrozanx3008091.s3-ap-southeast-2.amazonaws</t>
  </si>
  <si>
    <t>52.95.134.110</t>
  </si>
  <si>
    <t>5f6e2e1751fe8</t>
  </si>
  <si>
    <t>https://windows-security-error-codetrozanx3008091.s3-ap-southeast-2.amazonaws.com/chrome_win/index.htm</t>
  </si>
  <si>
    <t>onlinedrive.site</t>
  </si>
  <si>
    <t>143.110.150.123</t>
  </si>
  <si>
    <t>5f6e3e3fa3ff5</t>
  </si>
  <si>
    <t>https://onlinedrive.site/CHfdfdfdfdfdfdfdfdfShahucode0xhelpms008/index.html</t>
  </si>
  <si>
    <t>windows-security-code-trozan3x4546xxxsys.s3-ap-southeast-2.amazonaws.</t>
  </si>
  <si>
    <t>52.95.134.54</t>
  </si>
  <si>
    <t>5f6e43a2b2524</t>
  </si>
  <si>
    <t>https://windows-security-code-trozan3x4546xxxsys.s3-ap-southeast-2.amazonaws.com/chrome_win/index.htm</t>
  </si>
  <si>
    <t>3310movies.online</t>
  </si>
  <si>
    <t>199.188.206.73</t>
  </si>
  <si>
    <t>5fd3d4a7ca537</t>
  </si>
  <si>
    <t>https://3310movies.online/JPPOP/CH/index.html</t>
  </si>
  <si>
    <t>5fd3d3a238e7f</t>
  </si>
  <si>
    <t>https://3310movies.online/Japan/CH/index.html</t>
  </si>
  <si>
    <t>porn30.online</t>
  </si>
  <si>
    <t>5f9b7196a9721</t>
  </si>
  <si>
    <t>https://porn30.online/30102020/x00EdsjsjhsOkhkasdVX07/?=050-5534-4868</t>
  </si>
  <si>
    <t>5f9b715f65dc2</t>
  </si>
  <si>
    <t>https://porn30.online/CAL/x00EdsjsjhsOkhkasdVX07/?phone=050-5806-4087&amp;amp;</t>
  </si>
  <si>
    <t>5f9b7152cdf1c</t>
  </si>
  <si>
    <t>https://porn30.online/6/indexneweg.php?=050-5534-0336</t>
  </si>
  <si>
    <t>5f9b711108eba</t>
  </si>
  <si>
    <t>https://porn30.online/1/indexneweg.php?=050-5539-8851</t>
  </si>
  <si>
    <t>5f9b70cdae24d</t>
  </si>
  <si>
    <t>https://porn30.online/USA2910/x00EdsjsjhsOkhkasdVX07/</t>
  </si>
  <si>
    <t>vi3igmgcrlxcy4n1ncj3ws5mad3gjo8q.xyz</t>
  </si>
  <si>
    <t>5f7f62a614cf7</t>
  </si>
  <si>
    <t>https://vi3igmgcrlxcy4n1ncj3ws5mad3gjo8q.xyz/</t>
  </si>
  <si>
    <t>moviesnow-247.online</t>
  </si>
  <si>
    <t>5f7e61f884d6d</t>
  </si>
  <si>
    <t>https://moviesnow-247.online/New/0000810/6/AD/indexneweg.php</t>
  </si>
  <si>
    <t>ultra-movies.online</t>
  </si>
  <si>
    <t>5f7c26926da75</t>
  </si>
  <si>
    <t>https://ultra-movies.online/New/0000710/2/AD/indexneweg.php</t>
  </si>
  <si>
    <t>14gdzzal5lhzttdkblehm5v3xyexwyms.xyz</t>
  </si>
  <si>
    <t>5f6e470861c5a</t>
  </si>
  <si>
    <t>https://14gdzzal5lhzttdkblehm5v3xyexwyms.xyz/</t>
  </si>
  <si>
    <t>3zo6itvfpxyhmzxqao1qk2zytjgcvkwz.xyz</t>
  </si>
  <si>
    <t>5f6e45214f96b</t>
  </si>
  <si>
    <t>https://3zo6itvfpxyhmzxqao1qk2zytjgcvkwz.xyz/</t>
  </si>
  <si>
    <t>167.71.150.57</t>
  </si>
  <si>
    <t>5f6f7194b1581</t>
  </si>
  <si>
    <t>http://167.71.150.57/iexplore-25/?phone=+1-(888)-347-7977&amp;amp;</t>
  </si>
  <si>
    <t>5f6f6f6e24ca9</t>
  </si>
  <si>
    <t>http://167.71.150.57/iexplore-25/?phone=+1-(888)-381-9861&amp;amp;</t>
  </si>
  <si>
    <t>5f6f6cf722ff7</t>
  </si>
  <si>
    <t>http://167.71.150.57/iexplore-25/?phone=+1-(888)-308-2843&amp;amp;</t>
  </si>
  <si>
    <t>206.189.161.214</t>
  </si>
  <si>
    <t>5f6e529c88d2d</t>
  </si>
  <si>
    <t>http://206.189.161.214/cmium-25/?phone=+1-(888)-308-4330&amp;amp;</t>
  </si>
  <si>
    <t>pkom.s3-website.ca-central-1.amazonaws.com</t>
  </si>
  <si>
    <t>52.95.145.30</t>
  </si>
  <si>
    <t>5f6f51d4553d5</t>
  </si>
  <si>
    <t>http://pkom.s3-website.ca-central-1.amazonaws.com/</t>
  </si>
  <si>
    <t>myonlinefunstore.site</t>
  </si>
  <si>
    <t>143.110.144.130</t>
  </si>
  <si>
    <t>5f6f6ab4f0168</t>
  </si>
  <si>
    <t>https://myonlinefunstore.site/IEDfdfdfdfdfdfdffdfShahucode0xhelpms008/index.html</t>
  </si>
  <si>
    <t>167.71.158.0</t>
  </si>
  <si>
    <t>5f6f718895025</t>
  </si>
  <si>
    <t>http://167.71.158.0/iexplore-25/?phone=+1-(888)-308-5921&amp;amp;</t>
  </si>
  <si>
    <t>myonlinefuntrips.site</t>
  </si>
  <si>
    <t>159.65.72.79</t>
  </si>
  <si>
    <t>5f6f740d68f57</t>
  </si>
  <si>
    <t>https://myonlinefuntrips.site/IEDfdfdfdfdfdfdffdfShahucode0xhelpms008/index.html</t>
  </si>
  <si>
    <t>kidsshoes.site</t>
  </si>
  <si>
    <t>172.67.134.73</t>
  </si>
  <si>
    <t>5f6f85a755d3f</t>
  </si>
  <si>
    <t>https://kidsshoes.site/code9806g/EDfdfffdgfgfgdfgdfgfKar/</t>
  </si>
  <si>
    <t>5f6f797a8a58b</t>
  </si>
  <si>
    <t>https://kidsshoes.site/code1678g/EDfdfffdgfgfgdfgdfgfKar/</t>
  </si>
  <si>
    <t>live-newstoday.com</t>
  </si>
  <si>
    <t>104.18.57.246</t>
  </si>
  <si>
    <t>5f6f8e3d54556</t>
  </si>
  <si>
    <t>https://live-newstoday.com/code4389g/EDfdfffdgfgfgdfgdfgfKar/</t>
  </si>
  <si>
    <t>5f6f8ad1557e0</t>
  </si>
  <si>
    <t>https://live-newstoday.com/code1559g/EDfdfffdgfgfgdfgdfgfKar/</t>
  </si>
  <si>
    <t>onlinestorekits.site</t>
  </si>
  <si>
    <t>167.99.101.74</t>
  </si>
  <si>
    <t>5f6f98acbb353</t>
  </si>
  <si>
    <t>https://onlinestorekits.site/IEDfdfdfdfdfdfdffdfShahucode0xhelpms008/index.html</t>
  </si>
  <si>
    <t>206.189.209.89</t>
  </si>
  <si>
    <t>5f6f98ba9e4e9</t>
  </si>
  <si>
    <t>http://206.189.209.89/iexplore-25/?phone=+1-(888)-365-6570&amp;amp;</t>
  </si>
  <si>
    <t>165.227.144.50</t>
  </si>
  <si>
    <t>5f6f98c905cbe</t>
  </si>
  <si>
    <t>http://165.227.144.50/IE010101X01010NHHH0101m010101/index.html</t>
  </si>
  <si>
    <t>167.71.145.208</t>
  </si>
  <si>
    <t>5f6fcdfda3297</t>
  </si>
  <si>
    <t>http://167.71.145.208/cmium-25/?phone=+1-(888)-308-5727&amp;amp;</t>
  </si>
  <si>
    <t>helplinesecureserverhelpdeskforerrorcodesupport1.monster</t>
  </si>
  <si>
    <t>104.238.146.96</t>
  </si>
  <si>
    <t>5f6ffcc3d767d</t>
  </si>
  <si>
    <t>https://helplinesecureserverhelpdeskforerrorcodesupport1.monster/Helplineerrorsoftwarexsfdfdfc1093/AMdsffsdfsfdsdfs23FF004M/</t>
  </si>
  <si>
    <t>nimularis.xyz</t>
  </si>
  <si>
    <t>104.27.145.3</t>
  </si>
  <si>
    <t>5f709079d4f8d</t>
  </si>
  <si>
    <t>https://nimularis.xyz/WindowsC/index.html</t>
  </si>
  <si>
    <t>windowserrordcs44dfe.tk</t>
  </si>
  <si>
    <t>104.18.60.63</t>
  </si>
  <si>
    <t>5f709607b2240</t>
  </si>
  <si>
    <t>http://windowserrordcs44dfe.tk/CHOM01010101010X0IYx/?phone=+41-44-586-24-06</t>
  </si>
  <si>
    <t>178.128.2.86</t>
  </si>
  <si>
    <t>5f70b9b1dc5f2</t>
  </si>
  <si>
    <t>http://178.128.2.86/c26092020/?phone=+1-(888)-308-5132&amp;amp;</t>
  </si>
  <si>
    <t>dreamsofsteels.site</t>
  </si>
  <si>
    <t>143.110.154.28</t>
  </si>
  <si>
    <t>5f70c9dc369c5</t>
  </si>
  <si>
    <t>https://dreamsofsteels.site/CHfdfdfdfdfdfdfdfdfShahucode0xhelpms008/index.html</t>
  </si>
  <si>
    <t>dreamsofdrones.site</t>
  </si>
  <si>
    <t>128.199.9.16</t>
  </si>
  <si>
    <t>5f70d78740a85</t>
  </si>
  <si>
    <t>https://dreamsofdrones.site/IEDfdfdfdfdfdfdffdfShahucode0xhelpms008/index.html</t>
  </si>
  <si>
    <t>167.99.171.146</t>
  </si>
  <si>
    <t>5f70dd44ea12e</t>
  </si>
  <si>
    <t>http://167.99.171.146/ie26092020/?phone=+1-(888)-353-7352&amp;amp;</t>
  </si>
  <si>
    <t>178.128.6.58</t>
  </si>
  <si>
    <t>5f70df95b1c27</t>
  </si>
  <si>
    <t>http://178.128.6.58/ie26092020/?phone=+1-(888)-320-4465&amp;amp;</t>
  </si>
  <si>
    <t>abandoned493.ga</t>
  </si>
  <si>
    <t>104.18.42.5</t>
  </si>
  <si>
    <t>5f70e0fb913aa</t>
  </si>
  <si>
    <t>https://abandoned493.ga/mcafeehelpline0011code03311785/alert/</t>
  </si>
  <si>
    <t>178.128.6.63</t>
  </si>
  <si>
    <t>5f70e3f50586d</t>
  </si>
  <si>
    <t>http://178.128.6.63/ie26092020/?phone=+1-(888)-322-9882&amp;amp;</t>
  </si>
  <si>
    <t>167.99.163.56</t>
  </si>
  <si>
    <t>5f70edc888d6f</t>
  </si>
  <si>
    <t>http://167.99.163.56/c26092020/?phone=+1-(888)-296-5494&amp;amp;</t>
  </si>
  <si>
    <t>159.65.78.155</t>
  </si>
  <si>
    <t>5f70efdcc4e33</t>
  </si>
  <si>
    <t>http://159.65.78.155/c26092020/?phone=+1-(888)-352-3910&amp;amp;</t>
  </si>
  <si>
    <t>dreamsofclone.site</t>
  </si>
  <si>
    <t>161.35.236.133</t>
  </si>
  <si>
    <t>5f70f00685f10</t>
  </si>
  <si>
    <t>https://dreamsofclone.site/IEDfdfdfdfdfdfdffdfShahucode0xhelpms008/index.html</t>
  </si>
  <si>
    <t>letsdreambig.site</t>
  </si>
  <si>
    <t>104.131.42.158</t>
  </si>
  <si>
    <t>5f710760e5e11</t>
  </si>
  <si>
    <t>https://letsdreambig.site/IEDfdfdfdfdfdfdffdfShahucode0xhelpms008/index.html</t>
  </si>
  <si>
    <t>178.128.12.7</t>
  </si>
  <si>
    <t>5f710beab40e2</t>
  </si>
  <si>
    <t>http://178.128.12.7/ie26092020/?phone=+1-(888)-374-1885&amp;amp;</t>
  </si>
  <si>
    <t>d44lmrcbup9wm.cloudfront.net</t>
  </si>
  <si>
    <t>13.227.220.180</t>
  </si>
  <si>
    <t>5f719a6450b38</t>
  </si>
  <si>
    <t>https://d44lmrcbup9wm.cloudfront.net/XMFF7xe/?phone=030-2295-7981&amp;amp;</t>
  </si>
  <si>
    <t>durfloor.services</t>
  </si>
  <si>
    <t>104.27.160.214</t>
  </si>
  <si>
    <t>5f721542a662b</t>
  </si>
  <si>
    <t>https://durfloor.services/code0447g/CHfdfffdgfgfgdfgdfgfKar/</t>
  </si>
  <si>
    <t>services</t>
  </si>
  <si>
    <t>securedoamin29.xyz</t>
  </si>
  <si>
    <t>104.27.128.50</t>
  </si>
  <si>
    <t>5f722467cadb6</t>
  </si>
  <si>
    <t>https://securedoamin29.xyz/ch5414n/1sdafgdfvsdert44bdsbfj2342x/</t>
  </si>
  <si>
    <t>olayplumbing.com</t>
  </si>
  <si>
    <t>172.67.179.210</t>
  </si>
  <si>
    <t>5f7226e18b388</t>
  </si>
  <si>
    <t>https://olayplumbing.com/code5194g/CHfdfffdgfgfgdfgdfgfKar/</t>
  </si>
  <si>
    <t>www.freepcsupport1548.xyz</t>
  </si>
  <si>
    <t>166.62.6.39</t>
  </si>
  <si>
    <t>5f722b7750291</t>
  </si>
  <si>
    <t>https://www.freepcsupport1548.xyz/xCh1001010x0190</t>
  </si>
  <si>
    <t>136.244.116.134</t>
  </si>
  <si>
    <t>5f72fd65e65c5</t>
  </si>
  <si>
    <t>http://136.244.116.134/index.html?phone=0800-100-2326</t>
  </si>
  <si>
    <t>securedoamin25.xyz</t>
  </si>
  <si>
    <t>172.67.158.165</t>
  </si>
  <si>
    <t>5f72348a58b6f</t>
  </si>
  <si>
    <t>https://securedoamin25.xyz/ch5414n/1sdafgdfvsdert44bdsbfj2342x/</t>
  </si>
  <si>
    <t>securedoamin21.xyz</t>
  </si>
  <si>
    <t>172.67.165.88</t>
  </si>
  <si>
    <t>5f7237886e58e</t>
  </si>
  <si>
    <t>https://securedoamin21.xyz/ch0237n/1sdafgdfvsdert44bdsbfj2342x/</t>
  </si>
  <si>
    <t>system-security-alerts-hacking-attempt-found-1467.s3.us-east-2.amazon</t>
  </si>
  <si>
    <t>52.219.84.160</t>
  </si>
  <si>
    <t>5f72d295d0b2c</t>
  </si>
  <si>
    <t>https://system-security-alerts-hacking-attempt-found-1467.s3.us-east-2.amazonaws.com/chrome_win/index.htm</t>
  </si>
  <si>
    <t>infobrowsingzz.online</t>
  </si>
  <si>
    <t>104.28.18.138</t>
  </si>
  <si>
    <t>5f72f4206303a</t>
  </si>
  <si>
    <t>https://infobrowsingzz.online/eopd01-vx5448-dfdf87dd4-x5v5x897897t-rtr48r8-x54898x6-e97ee797-54vx89s4-f45gf8g784-4d8s48/jproz9928/edgx/</t>
  </si>
  <si>
    <t>utilizationwebsecure.online</t>
  </si>
  <si>
    <t>172.67.219.16</t>
  </si>
  <si>
    <t>5f72f4294059d</t>
  </si>
  <si>
    <t>https://utilizationwebsecure.online/ewushx01-gf5894rr-cv48x7v76-erer7vc-fd2f45df44-c5v5vdf4-z58e84e-c5vxv87s84-x54v8f7f4/njporx-6436/edgcx/</t>
  </si>
  <si>
    <t>174.129.250.43</t>
  </si>
  <si>
    <t>5f72f42fa5f10</t>
  </si>
  <si>
    <t>http://174.129.250.43/j9036/Call-Support2/</t>
  </si>
  <si>
    <t>d2oxbrn6dp6u47.cloudfront.net</t>
  </si>
  <si>
    <t>54.240.168.119</t>
  </si>
  <si>
    <t>5f72fd8fc55af</t>
  </si>
  <si>
    <t>https://d2oxbrn6dp6u47.cloudfront.net/XMFF7xe/?phone=0203-8048-1297&amp;amp;</t>
  </si>
  <si>
    <t>dw3d9ab85s50j.cloudfront.net</t>
  </si>
  <si>
    <t>54.240.168.35</t>
  </si>
  <si>
    <t>5f730320a4705</t>
  </si>
  <si>
    <t>https://dw3d9ab85s50j.cloudfront.net/XMFF7xe/?phone=0203-8048-1297&amp;amp;</t>
  </si>
  <si>
    <t>excelssc.online</t>
  </si>
  <si>
    <t>104.18.48.52</t>
  </si>
  <si>
    <t>5f733c6adf031</t>
  </si>
  <si>
    <t>https://excelssc.online/code2414g/CHfdfffdgfgfgdfgdfgfKar/</t>
  </si>
  <si>
    <t>luxurystay.online</t>
  </si>
  <si>
    <t>104.18.35.186</t>
  </si>
  <si>
    <t>5f737ab951f2e</t>
  </si>
  <si>
    <t>https://luxurystay.online/code2419g/CHfdfffdgfgfgdfgdfgfKar/</t>
  </si>
  <si>
    <t>5f736c3038605</t>
  </si>
  <si>
    <t>https://luxurystay.online/code7079g/CHfdfffdgfgfgdfgdfgfKar/</t>
  </si>
  <si>
    <t>recipeserveryou.site</t>
  </si>
  <si>
    <t>104.24.116.36</t>
  </si>
  <si>
    <t>5f739423dd9d5</t>
  </si>
  <si>
    <t>https://recipeserveryou.site/code1990g/CHfdfffdgfgfgdfgdfgfKar/</t>
  </si>
  <si>
    <t>microsoft-windows-defender-security-alert-2758.s3.us-east-2.amazonaws</t>
  </si>
  <si>
    <t>52.219.100.144</t>
  </si>
  <si>
    <t>5f73f6d4109a9</t>
  </si>
  <si>
    <t>https://microsoft-windows-defender-security-alert-2758.s3.us-east-2.amazonaws.com/index.html</t>
  </si>
  <si>
    <t>microsoft-windows-defender-security-alert-9380.s3.us-east-2.amazonaws</t>
  </si>
  <si>
    <t>52.219.96.8</t>
  </si>
  <si>
    <t>5f73f76223b7a</t>
  </si>
  <si>
    <t>https://microsoft-windows-defender-security-alert-9380.s3.us-east-2.amazonaws.com/index.html</t>
  </si>
  <si>
    <t>microsoft-windows-defender-security-alert-4098.s3.us-east-2.amazonaws</t>
  </si>
  <si>
    <t>52.219.84.72</t>
  </si>
  <si>
    <t>5f73f8682d96a</t>
  </si>
  <si>
    <t>https://microsoft-windows-defender-security-alert-4098.s3.us-east-2.amazonaws.com/index.html</t>
  </si>
  <si>
    <t>173.199.71.133</t>
  </si>
  <si>
    <t>5f7457fba70cb</t>
  </si>
  <si>
    <t>http://173.199.71.133/index.html?phone=0800-100-2326</t>
  </si>
  <si>
    <t>3.250.125.191</t>
  </si>
  <si>
    <t>5f74627139c10</t>
  </si>
  <si>
    <t>http://3.250.125.191/choverlook/chgreet.html?=044-586-25-07</t>
  </si>
  <si>
    <t>bulgarhydraulic.site</t>
  </si>
  <si>
    <t>104.24.127.228</t>
  </si>
  <si>
    <t>5f7494dfbab13</t>
  </si>
  <si>
    <t>https://bulgarhydraulic.site/code2779g/CHfdfffdgfgfgdfgdfgfKar/</t>
  </si>
  <si>
    <t>64.225.113.160</t>
  </si>
  <si>
    <t>5f74c52b2f22e</t>
  </si>
  <si>
    <t>http://64.225.113.160/IEngebbugu01010101010145/index.html</t>
  </si>
  <si>
    <t>estheticaspa.club</t>
  </si>
  <si>
    <t>104.31.78.79</t>
  </si>
  <si>
    <t>5f74c53b52dcf</t>
  </si>
  <si>
    <t>https://estheticaspa.club/code0698g/EDfdfffdgfgfgdfgdfgfKar/</t>
  </si>
  <si>
    <t>64.225.113.35</t>
  </si>
  <si>
    <t>5f74c72f667ef</t>
  </si>
  <si>
    <t>http://64.225.113.35/01234edge01234/?phone=+1-(888)-341-1218&amp;amp;</t>
  </si>
  <si>
    <t>driodripdrop.site</t>
  </si>
  <si>
    <t>143.110.157.32</t>
  </si>
  <si>
    <t>5f74c7530b4dc</t>
  </si>
  <si>
    <t>https://driodripdrop.site/IE01001010Shah10110helpypdff03/index.html</t>
  </si>
  <si>
    <t>104.31.79.79</t>
  </si>
  <si>
    <t>5f74ca91be2e4</t>
  </si>
  <si>
    <t>https://estheticaspa.club/code7946g/EDfdfffdgfgfgdfgdfgfKar/</t>
  </si>
  <si>
    <t>64.225.113.30</t>
  </si>
  <si>
    <t>5f74d28698ccb</t>
  </si>
  <si>
    <t>http://64.225.113.30/01234edge01234/?phone=+1-(888)-308-4394&amp;amp;</t>
  </si>
  <si>
    <t>5f74d0817dfeb</t>
  </si>
  <si>
    <t>http://64.225.113.30/01234edge01234/?phone=+1-(888)-307-3921&amp;amp;</t>
  </si>
  <si>
    <t>stop-malware-attack.ga</t>
  </si>
  <si>
    <t>162.0.235.113</t>
  </si>
  <si>
    <t>5f7bfc5c2eef8</t>
  </si>
  <si>
    <t>https://stop-malware-attack.ga/EDWInhelp10010101xK/</t>
  </si>
  <si>
    <t>system-vulnerability-layer.ga</t>
  </si>
  <si>
    <t>5f758bd264041</t>
  </si>
  <si>
    <t>https://system-vulnerability-layer.ga/CHWInhelp10010101xK/</t>
  </si>
  <si>
    <t>pc-malware-info-msg.ga</t>
  </si>
  <si>
    <t>5f76d3f72c7d7</t>
  </si>
  <si>
    <t>https://pc-malware-info-msg.ga/EDWInhelp10010101xK/</t>
  </si>
  <si>
    <t>95.179.209.245</t>
  </si>
  <si>
    <t>5f76ef85eda8e</t>
  </si>
  <si>
    <t>http://95.179.209.245/index.html?phone=0800-100-2326</t>
  </si>
  <si>
    <t>starbilling.site</t>
  </si>
  <si>
    <t>104.31.83.24</t>
  </si>
  <si>
    <t>5f77312b42601</t>
  </si>
  <si>
    <t>https://starbilling.site/code0757ge/CHdfsdfsdfsdfsdfKar10101010101004/index.html</t>
  </si>
  <si>
    <t>5f77320333583</t>
  </si>
  <si>
    <t>https://starbilling.site/code1158g/EDfdfffdgfgfgdfgdfgfKar/</t>
  </si>
  <si>
    <t>54.171.254.217</t>
  </si>
  <si>
    <t>5f77212ddaf40</t>
  </si>
  <si>
    <t>http://54.171.254.217/twilight/geneva.html?=0445-862-507</t>
  </si>
  <si>
    <t>3.250.122.6</t>
  </si>
  <si>
    <t>5f772febabc52</t>
  </si>
  <si>
    <t>http://3.250.122.6/zone/windmill.html?=+32-460-22-52-59</t>
  </si>
  <si>
    <t>sushik.s3-website.ca-central-1.amazonaws.com</t>
  </si>
  <si>
    <t>52.95.146.50</t>
  </si>
  <si>
    <t>5f774d1e3dd2d</t>
  </si>
  <si>
    <t>http://sushik.s3-website.ca-central-1.amazonaws.com/</t>
  </si>
  <si>
    <t>157.245.239.35</t>
  </si>
  <si>
    <t>5f774e81913a1</t>
  </si>
  <si>
    <t>http://157.245.239.35/01234edge01234/?phone=+1-(888)-356-0084&amp;amp;</t>
  </si>
  <si>
    <t>64.227.52.79</t>
  </si>
  <si>
    <t>5f7762b8296f3</t>
  </si>
  <si>
    <t>http://64.227.52.79/01234edge01234/?phone=+1-(888)-365-7985&amp;amp;</t>
  </si>
  <si>
    <t>5f77601140841</t>
  </si>
  <si>
    <t>http://64.227.52.79/01234edge01234/?phone=+1-(888)-296-9615&amp;amp;</t>
  </si>
  <si>
    <t>abandoned903.cf</t>
  </si>
  <si>
    <t>172.67.129.168</t>
  </si>
  <si>
    <t>5f77658827582</t>
  </si>
  <si>
    <t>https://abandoned903.cf/sfsdf0sd9fsd-f0sd-fs0df-sd0f.gbs/IEfdfdfdfdfdfdfdfdfAneGiucode0xhelpms001JU/index.html</t>
  </si>
  <si>
    <t>lushlawns.website</t>
  </si>
  <si>
    <t>104.24.99.66</t>
  </si>
  <si>
    <t>5f776596d1cc7</t>
  </si>
  <si>
    <t>https://lushlawns.website/code4694g/EDfdfffdgfgfgdfgdfgfKar/</t>
  </si>
  <si>
    <t>s3-ap-southeast-2.amazonaws.com</t>
  </si>
  <si>
    <t>52.95.134.95</t>
  </si>
  <si>
    <t>5f74d9ef825bf</t>
  </si>
  <si>
    <t>https://s3-ap-southeast-2.amazonaws.com/windows-security-trozen-code998xx635error.sys/chrome_win/index.htm</t>
  </si>
  <si>
    <t>microsoft-windows-defender-security-alert-3103.s3.us-east-2.amazonaws</t>
  </si>
  <si>
    <t>52.219.84.56</t>
  </si>
  <si>
    <t>5f74da444e0a3</t>
  </si>
  <si>
    <t>https://microsoft-windows-defender-security-alert-3103.s3.us-east-2.amazonaws.com/index.html</t>
  </si>
  <si>
    <t>joiarestro.com</t>
  </si>
  <si>
    <t>172.67.201.26</t>
  </si>
  <si>
    <t>5f74dc137f492</t>
  </si>
  <si>
    <t>https://joiarestro.com/code5680g/EDfdfffdgfgfgdfgdfgfKar/</t>
  </si>
  <si>
    <t>167.172.221.87</t>
  </si>
  <si>
    <t>5f74e08822bfc</t>
  </si>
  <si>
    <t>http://167.172.221.87/01234edge01234/?phone=+1-(888)-312-5269&amp;amp;</t>
  </si>
  <si>
    <t>catchyfire.site</t>
  </si>
  <si>
    <t>143.110.144.78</t>
  </si>
  <si>
    <t>5f74e08ea587f</t>
  </si>
  <si>
    <t>https://catchyfire.site/IE01001010Shah10110helpypdff03/index.html</t>
  </si>
  <si>
    <t>beastwentthrough.site</t>
  </si>
  <si>
    <t>164.90.151.172</t>
  </si>
  <si>
    <t>5f74e577e670b</t>
  </si>
  <si>
    <t>https://beastwentthrough.site/IE01001010Shah10110helpypdff03/index.html</t>
  </si>
  <si>
    <t>167.71.126.238</t>
  </si>
  <si>
    <t>5f74e6e5cb22f</t>
  </si>
  <si>
    <t>http://167.71.126.238/01234edge01234/?phone=+1-(888)-374-1889&amp;amp;</t>
  </si>
  <si>
    <t>16getconnectednjkm.azurewebsites.net</t>
  </si>
  <si>
    <t>40.82.255.130</t>
  </si>
  <si>
    <t>6026cba81cc17</t>
  </si>
  <si>
    <t>https://16getconnectednjkm.azurewebsites.net/MicOSoCHPC017528240X00/</t>
  </si>
  <si>
    <t>getyourpcfixed-232gregregrgfs.azurewebsites.net</t>
  </si>
  <si>
    <t>60121a1bc8eaa</t>
  </si>
  <si>
    <t>https://getyourpcfixed-232gregregrgfs.azurewebsites.net/MicOSoCHPC017528240X00/</t>
  </si>
  <si>
    <t>92getyourpcfixeddfbdbdbdb.azurewebsites.net</t>
  </si>
  <si>
    <t>6009f1d434ddd</t>
  </si>
  <si>
    <t>https://92getyourpcfixeddfbdbdbdb.azurewebsites.net/MicOSoMACPC017528240X00/</t>
  </si>
  <si>
    <t>onestopsupporthtjjt.azurewebsites.net</t>
  </si>
  <si>
    <t>5fff4f8fe558d</t>
  </si>
  <si>
    <t>https://onestopsupporthtjjt.azurewebsites.net/MicOSoCHPC017528240X00/</t>
  </si>
  <si>
    <t>onestopsupportregegw.azurewebsites.net</t>
  </si>
  <si>
    <t>5ffcb1e3e3969</t>
  </si>
  <si>
    <t>https://onestopsupportregegw.azurewebsites.net/MicOSoEDPC017528240X00/</t>
  </si>
  <si>
    <t>supportpin-ddb6ujlku.azurewebsites.net</t>
  </si>
  <si>
    <t>5ff8b8db80b7b</t>
  </si>
  <si>
    <t>https://supportpin-ddb6ujlku.azurewebsites.net/MicOSoCHPC017528240X00/</t>
  </si>
  <si>
    <t>12onestopsupport.azurewebsites.net</t>
  </si>
  <si>
    <t>5ff741ea82d69</t>
  </si>
  <si>
    <t>https://12onestopsupport.azurewebsites.net/MicOSoCHPC017528240X00/</t>
  </si>
  <si>
    <t>quick-support282.azurewebsites.net</t>
  </si>
  <si>
    <t>5faf44267774a</t>
  </si>
  <si>
    <t>http://quick-support282.azurewebsites.net/JArbZ98cFQJapCA/</t>
  </si>
  <si>
    <t>livequick-support166.azurewebsites.net</t>
  </si>
  <si>
    <t>5faf3e5f964e2</t>
  </si>
  <si>
    <t>http://livequick-support166.azurewebsites.net/JArbZ98cFQJapCA/</t>
  </si>
  <si>
    <t>livequick-support152.azurewebsites.net</t>
  </si>
  <si>
    <t>5faf3e19cf52e</t>
  </si>
  <si>
    <t>http://livequick-support152.azurewebsites.net/JArbZ98cFQJapCA/</t>
  </si>
  <si>
    <t>livequick-support082.azurewebsites.net</t>
  </si>
  <si>
    <t>5faf39882b271</t>
  </si>
  <si>
    <t>http://livequick-support082.azurewebsites.net/JArbZ98cFQJapCA/</t>
  </si>
  <si>
    <t>livequick-support112.azurewebsites.net</t>
  </si>
  <si>
    <t>5faad80f53340</t>
  </si>
  <si>
    <t>https://livequick-support112.azurewebsites.net/VXJfzDqW2zqUqWz/</t>
  </si>
  <si>
    <t>onecallhelpdesk82.azurewebsites.net</t>
  </si>
  <si>
    <t>5f7f57b3d033c</t>
  </si>
  <si>
    <t>https://onecallhelpdesk82.azurewebsites.net/bUAnaP5Cp7yKmv4/</t>
  </si>
  <si>
    <t>onecallhelpdesk32.azurewebsites.net</t>
  </si>
  <si>
    <t>5f7f3f2625268</t>
  </si>
  <si>
    <t>https://onecallhelpdesk32.azurewebsites.net/bUAnaP5Cp7yKmv4/</t>
  </si>
  <si>
    <t>onecallhelpdesk22.azurewebsites.net</t>
  </si>
  <si>
    <t>5f7f3aa6deb5e</t>
  </si>
  <si>
    <t>https://onecallhelpdesk22.azurewebsites.net/bUAnaP5Cp7yKmv4/</t>
  </si>
  <si>
    <t>livehelpsupport102.azurewebsites.net</t>
  </si>
  <si>
    <t>5f74e88dc5f3e</t>
  </si>
  <si>
    <t>http://livehelpsupport102.azurewebsites.net/P8fBTPd33cqy3WA/</t>
  </si>
  <si>
    <t>144.202.64.132</t>
  </si>
  <si>
    <t>5f75479e04123</t>
  </si>
  <si>
    <t>http://144.202.64.132/Windows_error_8459/ChError7845/</t>
  </si>
  <si>
    <t>217.69.5.48</t>
  </si>
  <si>
    <t>ADSL-S</t>
  </si>
  <si>
    <t>5f75afd8c1a38</t>
  </si>
  <si>
    <t>http://217.69.5.48/</t>
  </si>
  <si>
    <t>travellingwithfood.site</t>
  </si>
  <si>
    <t>128.199.14.9</t>
  </si>
  <si>
    <t>5f7a051b24296</t>
  </si>
  <si>
    <t>https://travellingwithfood.site/IE01001010Shah10110helpypdff03/index.html</t>
  </si>
  <si>
    <t>martinezlawn.website</t>
  </si>
  <si>
    <t>104.18.34.160</t>
  </si>
  <si>
    <t>5f7a0cb8b47ee</t>
  </si>
  <si>
    <t>https://martinezlawn.website/code8045g/EDfdfffdgfgfgdfgdfgfKar/</t>
  </si>
  <si>
    <t>netserver994.ga</t>
  </si>
  <si>
    <t>104.28.7.29</t>
  </si>
  <si>
    <t>5f7a10a283219</t>
  </si>
  <si>
    <t>https://netserver994.ga/fsdf0sdf-sd0fds-f0sd-fsd0f-sdf0s3459.hyd/0EDdhdsbfMShgdfhdgfHr0008/</t>
  </si>
  <si>
    <t>fruit5.ga</t>
  </si>
  <si>
    <t>104.31.89.140</t>
  </si>
  <si>
    <t>5f7a133aefd6c</t>
  </si>
  <si>
    <t>https://fruit5.ga/wf3-1217/Chxrx-238475/</t>
  </si>
  <si>
    <t>naturelawns.site</t>
  </si>
  <si>
    <t>104.28.0.195</t>
  </si>
  <si>
    <t>5f778abd24dca</t>
  </si>
  <si>
    <t>https://naturelawns.site/code7121g/CHfdfffdgfgfgdfgdfgfKar/</t>
  </si>
  <si>
    <t>cadifitness.site</t>
  </si>
  <si>
    <t>104.18.44.204</t>
  </si>
  <si>
    <t>5f789f992ab0b</t>
  </si>
  <si>
    <t>https://cadifitness.site/code6570g/EDfdfffdgfgfgdfgdfgfKar/</t>
  </si>
  <si>
    <t>fetchpetcare.site</t>
  </si>
  <si>
    <t>104.27.134.209</t>
  </si>
  <si>
    <t>5f78bb644fc60</t>
  </si>
  <si>
    <t>https://fetchpetcare.site/code7415g/</t>
  </si>
  <si>
    <t>64.227.52.17</t>
  </si>
  <si>
    <t>5f78d3d1b8a06</t>
  </si>
  <si>
    <t>http://64.227.52.17/01010chrome0101001/?phone=+1-(888)-372-4458&amp;amp;</t>
  </si>
  <si>
    <t>64.227.81.73</t>
  </si>
  <si>
    <t>5f78e1fa8cb38</t>
  </si>
  <si>
    <t>http://64.227.81.73/01010chrome0101001/?phone=+1-(888)-355-6541&amp;amp;</t>
  </si>
  <si>
    <t>watms3.ga</t>
  </si>
  <si>
    <t>104.18.34.161</t>
  </si>
  <si>
    <t>5f7912b504d1b</t>
  </si>
  <si>
    <t>https://watms3.ga/wf3-1217/Chxrx-238475/</t>
  </si>
  <si>
    <t>limefoodrecipes.online</t>
  </si>
  <si>
    <t>172.67.165.225</t>
  </si>
  <si>
    <t>5f79edd09b99d</t>
  </si>
  <si>
    <t>https://limefoodrecipes.online/code8394g/CHfdfffdgfgfgdfgdfgfKar/</t>
  </si>
  <si>
    <t>bhaustar.xyz</t>
  </si>
  <si>
    <t>64.227.91.25</t>
  </si>
  <si>
    <t>5f7a2ba0f40f4</t>
  </si>
  <si>
    <t>https://bhaustar.xyz/Kas2020/CHWInhelp10010101x/</t>
  </si>
  <si>
    <t>travellingworldwide.site</t>
  </si>
  <si>
    <t>138.197.111.147</t>
  </si>
  <si>
    <t>5f7a2c7f6f4e0</t>
  </si>
  <si>
    <t>https://travellingworldwide.site/CED1001010Shah10110helpypdff03/index.html</t>
  </si>
  <si>
    <t>64.225.122.70</t>
  </si>
  <si>
    <t>5f7a33afcdb22</t>
  </si>
  <si>
    <t>http://64.225.122.70/01234edge01234/?phone=+1-(888)-341-9847&amp;amp;</t>
  </si>
  <si>
    <t>getyoursystemclean.xyz</t>
  </si>
  <si>
    <t>192.64.117.81</t>
  </si>
  <si>
    <t>5f7b3c9394146</t>
  </si>
  <si>
    <t>https://getyoursystemclean.xyz/CHfdfdfdfdfdfdfdfdfSDucode0xhelpms001/index.html</t>
  </si>
  <si>
    <t>alenproperties.online</t>
  </si>
  <si>
    <t>104.18.44.15</t>
  </si>
  <si>
    <t>5f7b43dbeeb7b</t>
  </si>
  <si>
    <t>https://alenproperties.online/code5139g/CHfdfffdgfgfgdfgdfgfKar/</t>
  </si>
  <si>
    <t>patagoniafloor.website</t>
  </si>
  <si>
    <t>104.31.92.222</t>
  </si>
  <si>
    <t>5f7b78a5c0bee</t>
  </si>
  <si>
    <t>https://patagoniafloor.website/code5548gq/CHdsdfsdfs01f1f1f1SAshAd717SHA000hyn09/index.html</t>
  </si>
  <si>
    <t>delicious-recipes.online</t>
  </si>
  <si>
    <t>104.31.77.154</t>
  </si>
  <si>
    <t>5f7b5edf03ad8</t>
  </si>
  <si>
    <t>https://delicious-recipes.online/code1283gq/CHdsdfsdfs01f1f1f1SAshAd717SHA000hyn09/index.html</t>
  </si>
  <si>
    <t>Fremont</t>
  </si>
  <si>
    <t>malwareblockedsystem3.cf</t>
  </si>
  <si>
    <t>173.230.150.227</t>
  </si>
  <si>
    <t>5f7caf071e3c7</t>
  </si>
  <si>
    <t>https://malwareblockedsystem3.cf/chrome_winos_xx/?phone=+1-888-307-3126&amp;amp;</t>
  </si>
  <si>
    <t>malwareblockedsystem3.tk</t>
  </si>
  <si>
    <t>5f7b77af23814</t>
  </si>
  <si>
    <t>https://malwareblockedsystem3.tk/</t>
  </si>
  <si>
    <t>callsupport1445211.xyz</t>
  </si>
  <si>
    <t>5f7b752f023da</t>
  </si>
  <si>
    <t>https://callsupport1445211.xyz/?number=+1-888-307-3210</t>
  </si>
  <si>
    <t>locallogistics.site</t>
  </si>
  <si>
    <t>104.31.71.123</t>
  </si>
  <si>
    <t>5f7b77166cc79</t>
  </si>
  <si>
    <t>https://locallogistics.site/code5548gq/CHdsdfsdfs01f1f1f1SAshAd717SHA000hyn09/index.html</t>
  </si>
  <si>
    <t>greenfoodrecipes.website</t>
  </si>
  <si>
    <t>104.18.59.78</t>
  </si>
  <si>
    <t>5f7b6bddaf367</t>
  </si>
  <si>
    <t>https://greenfoodrecipes.website/code6816gq/CHdsdfsdfs01f1f1f1SAshAd717SHA000hyn09/index.html</t>
  </si>
  <si>
    <t>errorsandwarning.xyz</t>
  </si>
  <si>
    <t>45.93.101.58</t>
  </si>
  <si>
    <t>5f7b811e69506</t>
  </si>
  <si>
    <t>http://errorsandwarning.xyz/AK10101001101010CH/</t>
  </si>
  <si>
    <t>crunchfoodrecipes.site</t>
  </si>
  <si>
    <t>104.24.115.152</t>
  </si>
  <si>
    <t>5f7b9dd5acb9f</t>
  </si>
  <si>
    <t>https://crunchfoodrecipes.site/code3239g/EDfdfffdgfgfgdfgdfgfKar/</t>
  </si>
  <si>
    <t>wallselectrical.website</t>
  </si>
  <si>
    <t>104.27.164.53</t>
  </si>
  <si>
    <t>5f7b9dde19374</t>
  </si>
  <si>
    <t>https://wallselectrical.website/code3239gq/IEDdsdfsdfs01f1f1f1SAshAd717SHA000hyn09/index.html</t>
  </si>
  <si>
    <t>157.230.93.3</t>
  </si>
  <si>
    <t>5f7b9fb174875</t>
  </si>
  <si>
    <t>http://157.230.93.3/5-10-20-chrome/?phone=+1-(888)-307-3129&amp;amp;</t>
  </si>
  <si>
    <t>157.230.176.80</t>
  </si>
  <si>
    <t>5f7ba2f3ad045</t>
  </si>
  <si>
    <t>http://157.230.176.80/5-10-20-chrome/?phone=+1-(888)-353-0912&amp;amp;</t>
  </si>
  <si>
    <t>websiertbnsolutions.online</t>
  </si>
  <si>
    <t>172.67.185.16</t>
  </si>
  <si>
    <t>5f7bffc1cf1df</t>
  </si>
  <si>
    <t>https://websiertbnsolutions.online/irtyx01-2g4984-5d7d87f9d-n5x46-dfd5fd78ff484-c5vxv4s-w8ew8w-z4d8484f4-x5vx84fd8f8-48v4d8f/njporx-4835/iegcx/?TRACK=ww</t>
  </si>
  <si>
    <t>d2f32y4ctbvryd.cloudfront.net</t>
  </si>
  <si>
    <t>13.249.12.72</t>
  </si>
  <si>
    <t>5f7c40bf08a5e</t>
  </si>
  <si>
    <t>https://d2f32y4ctbvryd.cloudfront.net/XMFF7xe/?phone=032-221-853-239&amp;amp;</t>
  </si>
  <si>
    <t>173.199.70.78</t>
  </si>
  <si>
    <t>5f7c435acba33</t>
  </si>
  <si>
    <t>http://173.199.70.78/index.html?phone=0800-180-0114</t>
  </si>
  <si>
    <t>ewufybefyebwufubfvyuwevewv.ga</t>
  </si>
  <si>
    <t>172.67.151.242</t>
  </si>
  <si>
    <t>5f9876904b3ee</t>
  </si>
  <si>
    <t>https://ewufybefyebwufubfvyuwevewv.ga/028newokifgsiufgdsgfinsdinvgisdgvsgvisgvivnidgvdsiungvsnewk/ch-new2-iwegfugwfwufwuf/</t>
  </si>
  <si>
    <t>instantbilling.online</t>
  </si>
  <si>
    <t>5f7caefdeb395</t>
  </si>
  <si>
    <t>https://instantbilling.online/code6897g/CHfdfffdgfgfgdfgdfgfKar/</t>
  </si>
  <si>
    <t>2www.zbch8kzeor6h.best</t>
  </si>
  <si>
    <t>157.245.21.46</t>
  </si>
  <si>
    <t>5f7cba747e8c6</t>
  </si>
  <si>
    <t>http://2www.zbch8kzeor6h.best/us8273047/CHWInhelp10010101x/?number=+1-825-827-3047</t>
  </si>
  <si>
    <t>best</t>
  </si>
  <si>
    <t>167.172.201.87</t>
  </si>
  <si>
    <t>5f7cda673be60</t>
  </si>
  <si>
    <t>http://167.172.201.87/6-10-20-edge/?phone=+1-(888)-373-0980&amp;amp;</t>
  </si>
  <si>
    <t>138.68.9.181</t>
  </si>
  <si>
    <t>5f7ccf27534de</t>
  </si>
  <si>
    <t>http://138.68.9.181/6-10-20-chrome/?phone=+1-(888)-291-2704&amp;amp;</t>
  </si>
  <si>
    <t>securedomain49.xyz</t>
  </si>
  <si>
    <t>104.31.95.181</t>
  </si>
  <si>
    <t>5f7cd5128a8fe</t>
  </si>
  <si>
    <t>https://securedomain49.xyz/ch5414n/2dbasfjddd333hfjdshfjsd3843dnsx/</t>
  </si>
  <si>
    <t>157.245.229.36</t>
  </si>
  <si>
    <t>5f7ce738b5700</t>
  </si>
  <si>
    <t>http://157.245.229.36/6-10-20-chrome/?phone=+1-(888)-381-6443&amp;amp;</t>
  </si>
  <si>
    <t>157.245.191.132</t>
  </si>
  <si>
    <t>5f7cd7afb1fda</t>
  </si>
  <si>
    <t>http://157.245.191.132/6-10-20-edge/?phone=+1-(888)-341-4214&amp;amp;</t>
  </si>
  <si>
    <t>overpictorializing.site</t>
  </si>
  <si>
    <t>51.158.105.94</t>
  </si>
  <si>
    <t>5f7e20f4c5aa8</t>
  </si>
  <si>
    <t>http://overpictorializing.site/f/IEfdfdfdfdfdfdffdf247ucode0xhelpms008Risef/index.html</t>
  </si>
  <si>
    <t>pneumoencephalitis.site</t>
  </si>
  <si>
    <t>5f7d076b3f6f2</t>
  </si>
  <si>
    <t>http://pneumoencephalitis.site/IEfdfdfdfdfdfdffdf247ucode0xhelpms008Risef/</t>
  </si>
  <si>
    <t>overmultiplicatin.club</t>
  </si>
  <si>
    <t>5f7cfde1939cb</t>
  </si>
  <si>
    <t>http://overmultiplicatin.club/IEfdfdfdfdfdfdffdf247ucode0xhelpms008Risef/index.html</t>
  </si>
  <si>
    <t>34.235.22.90</t>
  </si>
  <si>
    <t>5f7d05e66d2cc</t>
  </si>
  <si>
    <t>http://34.235.22.90/us2144/windows/newe/index.php</t>
  </si>
  <si>
    <t>45.76.44.71</t>
  </si>
  <si>
    <t>5f7d95e6491af</t>
  </si>
  <si>
    <t>http://45.76.44.71/index.html?phone=0800-180-0114</t>
  </si>
  <si>
    <t>d2458inaoss0fs.cloudfront.net</t>
  </si>
  <si>
    <t>13.32.144.38</t>
  </si>
  <si>
    <t>5f7d97bee79a3</t>
  </si>
  <si>
    <t>https://d2458inaoss0fs.cloudfront.net/XMFF7xe/?phone=032-221-853-239&amp;amp;</t>
  </si>
  <si>
    <t>34.247.187.40</t>
  </si>
  <si>
    <t>5f7da1e910417</t>
  </si>
  <si>
    <t>http://34.247.187.40/donlr/idorayon.html?=030-369-0457</t>
  </si>
  <si>
    <t>5f7da0eb2dfed</t>
  </si>
  <si>
    <t>http://34.247.187.40/ten/conscript.html?=+41-44-586-25-07</t>
  </si>
  <si>
    <t>5f7d9f98e32e9</t>
  </si>
  <si>
    <t>http://34.247.187.40/dukeat/wwii.html?=+43-670-309-1257</t>
  </si>
  <si>
    <t>52.30.9.239</t>
  </si>
  <si>
    <t>5f7da3a9bfc37</t>
  </si>
  <si>
    <t>http://52.30.9.239/pai/jongens.html?=+32-460-22-52-29</t>
  </si>
  <si>
    <t>gracerecipes.site</t>
  </si>
  <si>
    <t>104.31.82.209</t>
  </si>
  <si>
    <t>5f7de556b22e3</t>
  </si>
  <si>
    <t>https://gracerecipes.site/code9008g/CHfdfffdgfgfgdfgdfgfKar/</t>
  </si>
  <si>
    <t>gxuard.club</t>
  </si>
  <si>
    <t>104.31.86.61</t>
  </si>
  <si>
    <t>5f7e09eabbea5</t>
  </si>
  <si>
    <t>https://gxuard.club/__Win_dows_H_MF6K_QNR/NSM5YJ_P_B/6OI_LE_VX_/?n_b=MSg4ODgpMzgxIDk0NTk=&amp;amp;s_1=s186_69b.94f115cd13b</t>
  </si>
  <si>
    <t>rishabhwebsolutions.com</t>
  </si>
  <si>
    <t>104.28.5.2</t>
  </si>
  <si>
    <t>5f7e0c770f666</t>
  </si>
  <si>
    <t>https://rishabhwebsolutions.com/code9570g/CHfdfffdgfgfgdfgdfgfKar/</t>
  </si>
  <si>
    <t>167.172.213.28</t>
  </si>
  <si>
    <t>5f7e0c7b5fe33</t>
  </si>
  <si>
    <t>http://167.172.213.28/CHnnnii0101010100niiioi010101110/index.html</t>
  </si>
  <si>
    <t>167.172.213.191</t>
  </si>
  <si>
    <t>5f7e0f0ee00ed</t>
  </si>
  <si>
    <t>http://167.172.213.191/CHnnnii0101010100niiioi010101110/index.html</t>
  </si>
  <si>
    <t>64.225.35.203</t>
  </si>
  <si>
    <t>5f7e0f51302b0</t>
  </si>
  <si>
    <t>http://64.225.35.203/CHnnnii0101010100niiioi010101110/index.html</t>
  </si>
  <si>
    <t>64.225.115.161</t>
  </si>
  <si>
    <t>5f7e127d8a67e</t>
  </si>
  <si>
    <t>http://64.225.115.161/CHnnnii0101010100niiioi010101110/index.html</t>
  </si>
  <si>
    <t>165.22.198.132</t>
  </si>
  <si>
    <t>5f7e15b8cfa8c</t>
  </si>
  <si>
    <t>http://165.22.198.132/CHnnnii0101010100niiioi010101110/index.html</t>
  </si>
  <si>
    <t>188.166.65.239</t>
  </si>
  <si>
    <t>5f7e1ae499333</t>
  </si>
  <si>
    <t>http://188.166.65.239/CHnnnii0101010100niiioi010101110/index.html</t>
  </si>
  <si>
    <t>167.71.144.121</t>
  </si>
  <si>
    <t>5f7e1f15d824f</t>
  </si>
  <si>
    <t>http://167.71.144.121/6-10-20-chrome/?phone=+1-(888)-308-1182&amp;amp;</t>
  </si>
  <si>
    <t>64.227.87.250</t>
  </si>
  <si>
    <t>5f7e247d91d88</t>
  </si>
  <si>
    <t>http://64.227.87.250/6-10-20-chrome/?phone=+1-(888)-369-5436&amp;amp;</t>
  </si>
  <si>
    <t>64.227.82.69</t>
  </si>
  <si>
    <t>5f7e45897521a</t>
  </si>
  <si>
    <t>http://64.227.82.69/6-10-20-edge/?phone=+1-(888)-344-8643&amp;amp;</t>
  </si>
  <si>
    <t>5f7e44cbcdbc4</t>
  </si>
  <si>
    <t>http://64.227.82.69/6-10-20-edge/?phone=+1-(888)-344-9126&amp;amp;</t>
  </si>
  <si>
    <t>64.227.82.81</t>
  </si>
  <si>
    <t>5f7e489138b0a</t>
  </si>
  <si>
    <t>http://64.227.82.81/6-10-20-edge/?phone=+1-(888)-363-3629&amp;amp;</t>
  </si>
  <si>
    <t>5f7e467b46eb1</t>
  </si>
  <si>
    <t>http://64.227.82.81/6-10-20-edge/?phone=+1-(888)-297-4814&amp;amp;</t>
  </si>
  <si>
    <t>64.227.81.106</t>
  </si>
  <si>
    <t>5f7e4b1e367d0</t>
  </si>
  <si>
    <t>http://64.227.81.106/6-10-20-edge/?phone=+1-(888)-339-6871&amp;amp;</t>
  </si>
  <si>
    <t>138.68.0.82</t>
  </si>
  <si>
    <t>5f7e503b6117f</t>
  </si>
  <si>
    <t>http://138.68.0.82/6-10-20-edge/?phone=+1-(888)-301-7763&amp;amp;</t>
  </si>
  <si>
    <t>5f7e503031883</t>
  </si>
  <si>
    <t>http://138.68.0.82/6-10-20-edge/?phone=+1-(888)-293-2993&amp;amp;</t>
  </si>
  <si>
    <t>pharmacygesture.online</t>
  </si>
  <si>
    <t>104.28.11.47</t>
  </si>
  <si>
    <t>5f7e617d247ec</t>
  </si>
  <si>
    <t>https://pharmacygesture.online/gstycx01-5y45r4-rt5r9t87t4-55x7sf54s6-rt5rt87r-vc5g7d6-s58rtr4r-vbc595-y5584e566-c5b84d/njporx-7732/edgcx/</t>
  </si>
  <si>
    <t>huybgrteg.online</t>
  </si>
  <si>
    <t>Nocix</t>
  </si>
  <si>
    <t>204.12.241.26</t>
  </si>
  <si>
    <t>5f7e61e68269a</t>
  </si>
  <si>
    <t>https://huybgrteg.online/gstycx01-5y45r4-rt5r9t87t4-55x7sf54s6-rt5rt87r-vc5g7d6-s58rtr4r-vbc595-y5584e566-c5b84d/njporx-9343/edgcx/</t>
  </si>
  <si>
    <t>viewwebinfosales.online</t>
  </si>
  <si>
    <t>144.76.208.21</t>
  </si>
  <si>
    <t>5f855dc412160</t>
  </si>
  <si>
    <t>https://viewwebinfosales.online/beupfx01-cv2b4d46-58e4re4r-cx578f8s56-xv587sfs45-ereredfd-5c56x584fs-df5dfd8f4-xvcz545f4d/msacrix01/</t>
  </si>
  <si>
    <t>webfuturesoftinfossdr.online</t>
  </si>
  <si>
    <t>5f7eee2a437d1</t>
  </si>
  <si>
    <t>https://webfuturesoftinfossdr.online/beupfx01-cv2b4d46-58e4re4r-cx578f8s56-xv587sfs45-ereredfd-5c56x584fs-df5dfd8f4-xvcz545f4d/eoacrbgx01/</t>
  </si>
  <si>
    <t>199.247.31.141</t>
  </si>
  <si>
    <t>5f7ef3ab2b161</t>
  </si>
  <si>
    <t>http://199.247.31.141/index.html?phone=0800-184-4594</t>
  </si>
  <si>
    <t>globally003.ml</t>
  </si>
  <si>
    <t>104.27.137.239</t>
  </si>
  <si>
    <t>5f7f326e952dd</t>
  </si>
  <si>
    <t>https://globally003.ml/das-d0asd-as0da-sd0as-d0asda0s.hns/CHdsdsdfsdfsdf7171717SHA0007VJy/index.html</t>
  </si>
  <si>
    <t>95.179.211.93</t>
  </si>
  <si>
    <t>5f7f335a50c20</t>
  </si>
  <si>
    <t>http://95.179.211.93/index.html?phone=0800-184-4594</t>
  </si>
  <si>
    <t>securedomain26.xyz</t>
  </si>
  <si>
    <t>104.27.163.221</t>
  </si>
  <si>
    <t>5f7f34e3b57cf</t>
  </si>
  <si>
    <t>https://securedomain26.xyz/ch8110n/1sdafgdfvsdert44bdsbfj2342x/</t>
  </si>
  <si>
    <t>sytem-authentication-d.cf</t>
  </si>
  <si>
    <t>104.27.132.197</t>
  </si>
  <si>
    <t>5f7f3c6838070</t>
  </si>
  <si>
    <t>https://sytem-authentication-d.cf/66newokifgsiufgdsgfinsdinvgisdgvsgvisgvivnidgvdsiungvsnewk/ch-bbuytuytcuyvr67bif76f/</t>
  </si>
  <si>
    <t>5f7f35245401c</t>
  </si>
  <si>
    <t>https://sytem-authentication-d.cf/771newokifgsiufgdsgfinsdinvgisdgvsgvisgvivnidgvdsiungvsnewk/ch-bbuytuytcuyvr67bif76f/</t>
  </si>
  <si>
    <t>18.188.180.242</t>
  </si>
  <si>
    <t>5f7f3ce3c7f5d</t>
  </si>
  <si>
    <t>http://18.188.180.242/error-page.html</t>
  </si>
  <si>
    <t>capitallogistics.site</t>
  </si>
  <si>
    <t>172.67.158.126</t>
  </si>
  <si>
    <t>5f7f4f5f4882e</t>
  </si>
  <si>
    <t>https://capitallogistics.site/code9230g/CHfdfffdgfgfgdfgdfgfKar/</t>
  </si>
  <si>
    <t>mundogarden.club</t>
  </si>
  <si>
    <t>104.24.107.131</t>
  </si>
  <si>
    <t>5f7f57bda2502</t>
  </si>
  <si>
    <t>https://mundogarden.club/code5575g/CHfdfffdgfgfgdfgdfgfKar/</t>
  </si>
  <si>
    <t>167.71.145.153</t>
  </si>
  <si>
    <t>5f7f5dadbc9a0</t>
  </si>
  <si>
    <t>http://167.71.145.153/chchchchc081020/?phone=+1-(888)-308-5141&amp;amp;</t>
  </si>
  <si>
    <t>5f7f5c4ed503f</t>
  </si>
  <si>
    <t>http://167.71.145.153/edededed081020/?phone=+1-(888)-295-0186&amp;amp;</t>
  </si>
  <si>
    <t>5f7f5c4628c11</t>
  </si>
  <si>
    <t>http://167.71.145.153/chchchchc081020/?phone=+1-(888)-345-4979&amp;amp;</t>
  </si>
  <si>
    <t>ffdhalaiya.site</t>
  </si>
  <si>
    <t>198.211.97.38</t>
  </si>
  <si>
    <t>5f7f5c595eb28</t>
  </si>
  <si>
    <t>https://ffdhalaiya.site/act-133/EDWInhelp10010101x/</t>
  </si>
  <si>
    <t>trikeyctracxonline.site</t>
  </si>
  <si>
    <t>164.90.158.180</t>
  </si>
  <si>
    <t>5f7f5c7a17002</t>
  </si>
  <si>
    <t>https://trikeyctracxonline.site/IEfdfdfdfdfdfdffdfSamDcode0xhelpms008y/index.html</t>
  </si>
  <si>
    <t>lbhulh.club</t>
  </si>
  <si>
    <t>104.27.166.159</t>
  </si>
  <si>
    <t>5f7f5ff41c3c9</t>
  </si>
  <si>
    <t>https://lbhulh.club/__Windo_ws__S4_XKWQ9_/_Q28_FHPUE1T3__/AH_0__3RN/?n_b=MSg4ODgpNDEwIDc5NTI=&amp;amp;s_1=s186_69b.eb8a2928272</t>
  </si>
  <si>
    <t>blendinginsidectcracx.site</t>
  </si>
  <si>
    <t>128.199.10.252</t>
  </si>
  <si>
    <t>5f7f61474da0e</t>
  </si>
  <si>
    <t>https://blendinginsidectcracx.site/IEfdfdfdfdfdfdffdfSamDcode0xhelpms008y/index.html</t>
  </si>
  <si>
    <t>167.172.209.71</t>
  </si>
  <si>
    <t>5f7f65a248c98</t>
  </si>
  <si>
    <t>http://167.172.209.71/edededed081020/?phone=+1-(888)-329-7503&amp;amp;</t>
  </si>
  <si>
    <t>5f7f622d958a6</t>
  </si>
  <si>
    <t>http://167.172.209.71/chchchchc081020/?phone=+1-(888)-337-3119&amp;amp;</t>
  </si>
  <si>
    <t>decompress943.cf</t>
  </si>
  <si>
    <t>104.31.86.9</t>
  </si>
  <si>
    <t>5f7f66ce5b1ea</t>
  </si>
  <si>
    <t>https://decompress943.cf/sdsa0dsa-d0asd-a0das-d0a.gbs/IEDHdsdsdfsdfsdf7171717SHA0007VJy/index.html</t>
  </si>
  <si>
    <t>64.225.38.200</t>
  </si>
  <si>
    <t>5f7f6b40988fb</t>
  </si>
  <si>
    <t>http://64.225.38.200/chchchchc081020/?phone=+1-(888)-366-5807&amp;amp;</t>
  </si>
  <si>
    <t>64.227.94.68</t>
  </si>
  <si>
    <t>5f7f6c6907333</t>
  </si>
  <si>
    <t>http://64.227.94.68/edededed081020/?phone=+1-(888)-281-3194&amp;amp;</t>
  </si>
  <si>
    <t>138.68.12.202</t>
  </si>
  <si>
    <t>5f7f78627eff2</t>
  </si>
  <si>
    <t>http://138.68.12.202/edededed081020/?phone=+1-(888)-304-0439&amp;amp;</t>
  </si>
  <si>
    <t>167.172.221.130</t>
  </si>
  <si>
    <t>5f7f7903582dc</t>
  </si>
  <si>
    <t>http://167.172.221.130/edededed081020/?phone=+1-(888)-305-2171&amp;amp;</t>
  </si>
  <si>
    <t>ffdhalaia13.site</t>
  </si>
  <si>
    <t>161.35.117.47</t>
  </si>
  <si>
    <t>5f7ff37e92799</t>
  </si>
  <si>
    <t>https://ffdhalaia13.site/act-133/CHWInhelp10010101x/</t>
  </si>
  <si>
    <t>136.244.112.218</t>
  </si>
  <si>
    <t>5f80390acae75</t>
  </si>
  <si>
    <t>http://136.244.112.218/index.html?phone=0800-184-4594</t>
  </si>
  <si>
    <t>64.227.88.187</t>
  </si>
  <si>
    <t>5f7f95b02b032</t>
  </si>
  <si>
    <t>http://64.227.88.187/chchchchc081020/?phone=+1-(888)-381-1868&amp;amp;</t>
  </si>
  <si>
    <t>rapidbillpayments.website</t>
  </si>
  <si>
    <t>104.28.30.70</t>
  </si>
  <si>
    <t>5f8084ea716f2</t>
  </si>
  <si>
    <t>https://rapidbillpayments.website/code3130g/EDfdfffdgfgfgdfgdfgfKar/</t>
  </si>
  <si>
    <t>5f807d5855ef3</t>
  </si>
  <si>
    <t>https://rapidbillpayments.website/code2641g/EDfdfffdgfgfgdfgdfgfKar/</t>
  </si>
  <si>
    <t>138.68.9.127</t>
  </si>
  <si>
    <t>5f80817f2a5bf</t>
  </si>
  <si>
    <t>http://138.68.9.127/edededed081020/?phone=+1-(888)-336-1957&amp;amp;</t>
  </si>
  <si>
    <t>104.28.31.70</t>
  </si>
  <si>
    <t>5f8088495d1bd</t>
  </si>
  <si>
    <t>https://rapidbillpayments.website/code0272g/EDfdfffdgfgfgdfgdfgfKar/</t>
  </si>
  <si>
    <t>138.68.24.38</t>
  </si>
  <si>
    <t>5f808b8597d91</t>
  </si>
  <si>
    <t>http://138.68.24.38/?number=+1-(888)-307-6271</t>
  </si>
  <si>
    <t>5f808928b9bab</t>
  </si>
  <si>
    <t>http://138.68.24.38/?number=+1-(888)-368-0529</t>
  </si>
  <si>
    <t>5f80891f57c4f</t>
  </si>
  <si>
    <t>http://138.68.24.38/?number=+1-(888)-307-3936</t>
  </si>
  <si>
    <t>5f808912c71e7</t>
  </si>
  <si>
    <t>http://138.68.24.38/?number=+1-(888)-296-6994</t>
  </si>
  <si>
    <t>46.101.7.141</t>
  </si>
  <si>
    <t>5f808a6a81ddf</t>
  </si>
  <si>
    <t>http://46.101.7.141/IE010101c01011x04x41x41555x001001102/index.html</t>
  </si>
  <si>
    <t>cevalogistic.online</t>
  </si>
  <si>
    <t>104.28.9.183</t>
  </si>
  <si>
    <t>5f808cf4741ad</t>
  </si>
  <si>
    <t>https://cevalogistic.online/code4872g/EDfdfffdgfgfgdfgdfgfKar/</t>
  </si>
  <si>
    <t>138.68.2.23</t>
  </si>
  <si>
    <t>5f80ae9685975</t>
  </si>
  <si>
    <t>http://138.68.2.23/chchchchc081020/?phone=+1-(888)-343-1949&amp;amp;</t>
  </si>
  <si>
    <t>5f808e0186194</t>
  </si>
  <si>
    <t>http://138.68.2.23/edededed081020/?phone=+1-(888)-308-5887&amp;amp;</t>
  </si>
  <si>
    <t>5f808df1e7d64</t>
  </si>
  <si>
    <t>http://138.68.2.23/edededed081020/?phone=+1-(888)-339-2373&amp;amp;</t>
  </si>
  <si>
    <t>134.122.109.17</t>
  </si>
  <si>
    <t>5f809ce7a65a6</t>
  </si>
  <si>
    <t>http://134.122.109.17/IE010101c01011x04x41x41555x001001102/index.html</t>
  </si>
  <si>
    <t>fixitdoorrepair.site</t>
  </si>
  <si>
    <t>172.67.205.165</t>
  </si>
  <si>
    <t>5f809d8becb49</t>
  </si>
  <si>
    <t>https://fixitdoorrepair.site/code7066g/CHfdfffdgfgfgdfgdfgfKar/</t>
  </si>
  <si>
    <t>138.68.7.166</t>
  </si>
  <si>
    <t>5f809dc15256d</t>
  </si>
  <si>
    <t>http://138.68.7.166/chchchchc081020/?phone=+1-(888)-364-2542&amp;amp;</t>
  </si>
  <si>
    <t>138.68.0.65</t>
  </si>
  <si>
    <t>5f80b899d5db8</t>
  </si>
  <si>
    <t>http://138.68.0.65/chchchchc081020/?phone=+1-(888)-308-4662&amp;amp;</t>
  </si>
  <si>
    <t>64.225.124.141</t>
  </si>
  <si>
    <t>5f81f72fe5c00</t>
  </si>
  <si>
    <t>http://64.225.124.141/googchropro/?phone=+1-(888)-340-5158&amp;amp;</t>
  </si>
  <si>
    <t>165.232.48.12</t>
  </si>
  <si>
    <t>5f8205d6adfc7</t>
  </si>
  <si>
    <t>http://165.232.48.12/googchropro/?phone=+1-(888)-356-0588&amp;amp;</t>
  </si>
  <si>
    <t>capitalcityscepe.com</t>
  </si>
  <si>
    <t>172.67.184.142</t>
  </si>
  <si>
    <t>5f80bc4cba086</t>
  </si>
  <si>
    <t>https://capitalcityscepe.com/code1629g/CHfdfffdgfgfgdfgdfgfKar/</t>
  </si>
  <si>
    <t>64.227.84.45</t>
  </si>
  <si>
    <t>5f820d71a4d92</t>
  </si>
  <si>
    <t>http://64.227.84.45/?number=+1-(888)-348-8166</t>
  </si>
  <si>
    <t>qgukqu.club</t>
  </si>
  <si>
    <t>172.67.144.160</t>
  </si>
  <si>
    <t>5f8213013b909</t>
  </si>
  <si>
    <t>https://qgukqu.club/__Windo_ws_B_6H__OSJ17RZE/NLBF_TH_IZ_3OXJ/8_Z__PTF/?n_b=MSg4ODgpNTM2IDY1MDc=&amp;amp;s_1=s1169_267862</t>
  </si>
  <si>
    <t>lavorocleaning.online</t>
  </si>
  <si>
    <t>172.67.200.204</t>
  </si>
  <si>
    <t>5f821f0fc2e7f</t>
  </si>
  <si>
    <t>https://lavorocleaning.online/code3621g/CHfdfffdgfgfgdfgdfgfKar/</t>
  </si>
  <si>
    <t>rapidbillpay.online</t>
  </si>
  <si>
    <t>104.18.63.232</t>
  </si>
  <si>
    <t>5f822368d3fa5</t>
  </si>
  <si>
    <t>https://rapidbillpay.online/code8068g/CHfdfffdgfgfgdfgdfgfKar/</t>
  </si>
  <si>
    <t>165.232.59.12</t>
  </si>
  <si>
    <t>5f82248df1a1c</t>
  </si>
  <si>
    <t>http://165.232.59.12/googchropro/?phone=+1-(888)-351-6137&amp;amp;</t>
  </si>
  <si>
    <t>165.232.62.116</t>
  </si>
  <si>
    <t>5f82310548760</t>
  </si>
  <si>
    <t>http://165.232.62.116/googchropro/?phone=+1-(888)-348-4922&amp;amp;</t>
  </si>
  <si>
    <t>172.67.163.64</t>
  </si>
  <si>
    <t>5f8323fa29d8c</t>
  </si>
  <si>
    <t>https://rapidbillpay.online/code3621g/CHfdfffdgfgfgdfgdfgfKar/</t>
  </si>
  <si>
    <t>165.232.52.250</t>
  </si>
  <si>
    <t>5f8329c81b2f8</t>
  </si>
  <si>
    <t>http://165.232.52.250/microedgepro/?phone=+1-(888)-307-4692&amp;amp;</t>
  </si>
  <si>
    <t>5f832982a6895</t>
  </si>
  <si>
    <t>http://165.232.52.250/microedgepro/?phone=+1-(888)-323-5158&amp;amp;</t>
  </si>
  <si>
    <t>straightthroughus.club</t>
  </si>
  <si>
    <t>128.199.6.86</t>
  </si>
  <si>
    <t>5f83398356853</t>
  </si>
  <si>
    <t>https://straightthroughus.club/IEfdfdfdfdfdfdffdfSamDcode0xhelpms008y/index.html</t>
  </si>
  <si>
    <t>157.245.165.71</t>
  </si>
  <si>
    <t>5f8339910126c</t>
  </si>
  <si>
    <t>http://157.245.165.71/microedgepro/?phone=+1-(888)-336-0884&amp;amp;</t>
  </si>
  <si>
    <t>64.227.91.26</t>
  </si>
  <si>
    <t>5f8344407c733</t>
  </si>
  <si>
    <t>http://64.227.91.26/googchropro/?phone=+1-(888)-302-9374&amp;amp;</t>
  </si>
  <si>
    <t>smoothietiledone.club</t>
  </si>
  <si>
    <t>164.90.159.219</t>
  </si>
  <si>
    <t>5f8371779a99d</t>
  </si>
  <si>
    <t>https://smoothietiledone.club/CHfdfdfdfdfdfdffdfSamDcode0xhelpms008y/index.html</t>
  </si>
  <si>
    <t>tiledownthefloor.club</t>
  </si>
  <si>
    <t>45.55.38.29</t>
  </si>
  <si>
    <t>5f8375c52fb65</t>
  </si>
  <si>
    <t>https://tiledownthefloor.club/CHfdfdfdfdfdfdffdfSamDcode0xhelpms008y/index.html</t>
  </si>
  <si>
    <t>95.179.219.212</t>
  </si>
  <si>
    <t>5f841fa0769ab</t>
  </si>
  <si>
    <t>http://95.179.219.212/index.html?phone=0800-184-4594</t>
  </si>
  <si>
    <t>d2bp7ncot4rude.cloudfront.net</t>
  </si>
  <si>
    <t>99.86.88.97</t>
  </si>
  <si>
    <t>5f842024f11a6</t>
  </si>
  <si>
    <t>https://d2bp7ncot4rude.cloudfront.net/XMFF7xe/?phone=032-212-290-229&amp;amp;</t>
  </si>
  <si>
    <t>34.240.104.43</t>
  </si>
  <si>
    <t>5f843a7b8e1b6</t>
  </si>
  <si>
    <t>http://34.240.104.43/law/genevalaw.html?=044-586-25-07</t>
  </si>
  <si>
    <t>hourly-weather.com</t>
  </si>
  <si>
    <t>172.67.134.252</t>
  </si>
  <si>
    <t>5f85d26b76177</t>
  </si>
  <si>
    <t>https://hourly-weather.com/code7353g/EDfdfffdgfgfgdfgdfgfKar/</t>
  </si>
  <si>
    <t>5f85ce8a28e8e</t>
  </si>
  <si>
    <t>https://hourly-weather.com/code9715g/EDfdfffdgfgfgdfgdfgfKar/</t>
  </si>
  <si>
    <t>165.232.48.13</t>
  </si>
  <si>
    <t>5f848b955d05f</t>
  </si>
  <si>
    <t>http://165.232.48.13/firmoz/?phone=+1-(888)-298-0479&amp;amp;</t>
  </si>
  <si>
    <t>garminupdates.site</t>
  </si>
  <si>
    <t>104.24.115.58</t>
  </si>
  <si>
    <t>5f85c288eae65</t>
  </si>
  <si>
    <t>https://garminupdates.site/code0754g/EDfdfffdgfgfgdfgdfgfKar/</t>
  </si>
  <si>
    <t>bhoomicasting.in</t>
  </si>
  <si>
    <t>104.31.81.140</t>
  </si>
  <si>
    <t>5f85a6bf1ec4b</t>
  </si>
  <si>
    <t>https://bhoomicasting.in/code5920g/CHfdfffdgfgfgdfgdfgfKar/</t>
  </si>
  <si>
    <t>165.232.63.221</t>
  </si>
  <si>
    <t>5f84dbbce2a83</t>
  </si>
  <si>
    <t>http://165.232.63.221/edgemic/?phone=+1-(888)-350-4018&amp;amp;</t>
  </si>
  <si>
    <t>143.110.136.203</t>
  </si>
  <si>
    <t>5f84e2eab3c7e</t>
  </si>
  <si>
    <t>http://143.110.136.203/edgemic/?phone=+1-(888)-380-8804&amp;amp;</t>
  </si>
  <si>
    <t>5f84e165ca28b</t>
  </si>
  <si>
    <t>http://143.110.136.203/edgemic/?phone=+1-(888)-354-6193&amp;amp;</t>
  </si>
  <si>
    <t>microsoft-windows-defender-security-scan-usa-4926.s3.us-east-2.amazon</t>
  </si>
  <si>
    <t>52.219.88.184</t>
  </si>
  <si>
    <t>5f84e560b82dd</t>
  </si>
  <si>
    <t>https://microsoft-windows-defender-security-scan-usa-4926.s3.us-east-2.amazonaws.com/home.html</t>
  </si>
  <si>
    <t>contrappeddataanagkadg.online</t>
  </si>
  <si>
    <t>138.201.161.162</t>
  </si>
  <si>
    <t>5f85579e4646b</t>
  </si>
  <si>
    <t>https://contrappeddataanagkadg.online/irtyx01-2g4984-5d7d87f9d-n5x46-dfd5fd78ff484-c5vxv4s-w8ew8w-z4d8484f4-x5vx84fd8f8-48v4d8f/njporx-7732/iegcx/</t>
  </si>
  <si>
    <t>date4date.xyz</t>
  </si>
  <si>
    <t>148.66.137.35</t>
  </si>
  <si>
    <t>5ffdd2f891ffe</t>
  </si>
  <si>
    <t>http://date4date.xyz/PRO/EWPIYJIADQGMCVHUEGMHFRXEXZAKODXAIUXNQGDVIJQJA/</t>
  </si>
  <si>
    <t>5ffc917fe9c24</t>
  </si>
  <si>
    <t>http://date4date.xyz/HTPS/EWPIYJIADQGMCVHUEGMHFRXEXZAKODXAIUXNQGDVIJQJA/</t>
  </si>
  <si>
    <t>hodso.ml</t>
  </si>
  <si>
    <t>5fda301fdbc8a</t>
  </si>
  <si>
    <t>http://hodso.ml/HT/EDTPPZTITUBOUAJJHPOZBHEJSTDHJUADGYMVHJHVXMLOLVBVBY/</t>
  </si>
  <si>
    <t>5fd79e81a2810</t>
  </si>
  <si>
    <t>http://hodso.ml/675/EDTPPZTITUBOUAJJHPOZBHEJSTDHJUADGYMVHJHVXMLOLVBVBY/</t>
  </si>
  <si>
    <t>5fd791edf2cff</t>
  </si>
  <si>
    <t>http://hodso.ml/JK/EDTPPZTITUBOUAJJHPOZBHEJSTDHJUADGYMVHJHVXMLOLVBVBY/</t>
  </si>
  <si>
    <t>hbips.ml</t>
  </si>
  <si>
    <t>5fcbcd51e73e6</t>
  </si>
  <si>
    <t>http://hbips.ml/778/EDTPPZTITUBOUAJJHPOZBHEJSTDHJUADGYMVHJHVXMLOLVBVBY/</t>
  </si>
  <si>
    <t>hoxofer.tk</t>
  </si>
  <si>
    <t>5f85d3f4f03a3</t>
  </si>
  <si>
    <t>http://hoxofer.tk/Update/EDTPPZTITUBOUAJJHPOZBHEJSTDHJUADGYMVHJHVXMLOLVBVBY/</t>
  </si>
  <si>
    <t>5f85cf369f8bd</t>
  </si>
  <si>
    <t>http://hoxofer.tk/Test/RPTPPZTITUBOUAJJHPOZBHEJSTDHJUADGYMVHJHVXMLOLVBVBY/</t>
  </si>
  <si>
    <t>188.166.248.158</t>
  </si>
  <si>
    <t>5f85d29121aa8</t>
  </si>
  <si>
    <t>http://188.166.248.158/IEn000010101nnii0101010100niiioi010101110/index.html</t>
  </si>
  <si>
    <t>165.232.59.161</t>
  </si>
  <si>
    <t>5f85d3ae717be</t>
  </si>
  <si>
    <t>http://165.232.59.161/edgemic/?phone=+1-(888)-332-9106&amp;amp;</t>
  </si>
  <si>
    <t>104.28.30.111</t>
  </si>
  <si>
    <t>5f85d69e84db5</t>
  </si>
  <si>
    <t>https://hourly-weather.com/code5195g/EDfdfffdgfgfgdfgdfgfKar/</t>
  </si>
  <si>
    <t>128.199.249.131</t>
  </si>
  <si>
    <t>5f85dd2b64117</t>
  </si>
  <si>
    <t>http://128.199.249.131/IEn000010101nnii0101010100niiioi010101110/index.html</t>
  </si>
  <si>
    <t>getrubstringonline.club</t>
  </si>
  <si>
    <t>143.110.155.101</t>
  </si>
  <si>
    <t>5f85ddf0e697a</t>
  </si>
  <si>
    <t>https://getrubstringonline.club/IEfdfdfdfdfdfdffdfSamDcode0xhelpms008y/index.html</t>
  </si>
  <si>
    <t>165.232.59.17</t>
  </si>
  <si>
    <t>5f85e00264e42</t>
  </si>
  <si>
    <t>http://165.232.59.17/edgemic/?phone=+1-(888)-295-4022&amp;amp;</t>
  </si>
  <si>
    <t>165.232.59.81</t>
  </si>
  <si>
    <t>5f85e4efcc334</t>
  </si>
  <si>
    <t>http://165.232.59.81/edgemic/?phone=+1-(888)-341-1187&amp;amp;</t>
  </si>
  <si>
    <t>5f85e1a150665</t>
  </si>
  <si>
    <t>http://165.232.59.81/edgemic/?phone=+1-(888)-351-0734&amp;amp;</t>
  </si>
  <si>
    <t>kitcoceramic.site</t>
  </si>
  <si>
    <t>172.67.180.31</t>
  </si>
  <si>
    <t>5f85e5ba1fca9</t>
  </si>
  <si>
    <t>https://kitcoceramic.site/code4558g/EDfdfffdgfgfgdfgdfgfKar/</t>
  </si>
  <si>
    <t>getwatwellonline.club</t>
  </si>
  <si>
    <t>143.110.149.160</t>
  </si>
  <si>
    <t>5f85e689671c1</t>
  </si>
  <si>
    <t>https://getwatwellonline.club/IEfdfdfdfdfdfdffdfSamDcode0xhelpms008y/index.html</t>
  </si>
  <si>
    <t>milanlandscapers.online</t>
  </si>
  <si>
    <t>104.28.3.97</t>
  </si>
  <si>
    <t>5f85f0221d97c</t>
  </si>
  <si>
    <t>https://milanlandscapers.online/code4873g/EDfdfffdgfgfgdfgdfgfKar/</t>
  </si>
  <si>
    <t>5f85ee22c9178</t>
  </si>
  <si>
    <t>https://milanlandscapers.online/code4874g/EDfdfffdgfgfgdfgdfgfKar/</t>
  </si>
  <si>
    <t>64.225.38.240</t>
  </si>
  <si>
    <t>5f85ee9df144a</t>
  </si>
  <si>
    <t>http://64.225.38.240/edgemic/?phone=+1-(888)-375-1714&amp;amp;</t>
  </si>
  <si>
    <t>64.225.47.102</t>
  </si>
  <si>
    <t>5f85f1d9bf30d</t>
  </si>
  <si>
    <t>http://64.225.47.102/edgemic/?phone=+1-(888)-304-5764&amp;amp;</t>
  </si>
  <si>
    <t>latinoreporterdigital.org</t>
  </si>
  <si>
    <t>104.24.117.46</t>
  </si>
  <si>
    <t>5f86fe6ba381b</t>
  </si>
  <si>
    <t>https://latinoreporterdigital.org/code8148g/</t>
  </si>
  <si>
    <t>soulridertravel.com</t>
  </si>
  <si>
    <t>104.27.150.121</t>
  </si>
  <si>
    <t>5f87253de2a3b</t>
  </si>
  <si>
    <t>https://soulridertravel.com/code2283g/EDfdfffdgfgfgdfgdfgfKar/</t>
  </si>
  <si>
    <t>buyarrangement.ga</t>
  </si>
  <si>
    <t>206.189.212.145</t>
  </si>
  <si>
    <t>5f860ffa25d44</t>
  </si>
  <si>
    <t>https://buyarrangement.ga/chr00_xwiremnovn/?i=2340893</t>
  </si>
  <si>
    <t>167.172.197.81</t>
  </si>
  <si>
    <t>5f861d5414968</t>
  </si>
  <si>
    <t>http://167.172.197.81/chrgoo/?phone=+1-(888)-354-8522&amp;amp;</t>
  </si>
  <si>
    <t>utyzyl.club</t>
  </si>
  <si>
    <t>172.67.216.62</t>
  </si>
  <si>
    <t>5f86305b0df11</t>
  </si>
  <si>
    <t>https://utyzyl.club/__Windo_ws__UO4_7J_LEDBI1/Q5__WDTA7XIKL2G/ZE_I12U_/?n_b=MSg4NDQpNDcwIDk5MjM=&amp;amp;s_1=s1151_6514cf1f48</t>
  </si>
  <si>
    <t>fastfixyoursysteminfo.tk</t>
  </si>
  <si>
    <t>162.0.235.137</t>
  </si>
  <si>
    <t>5f967319cd22b</t>
  </si>
  <si>
    <t>https://fastfixyoursysteminfo.tk/EDWInhelp10010101xK/</t>
  </si>
  <si>
    <t>systemwebsiteissuesinfo.gq</t>
  </si>
  <si>
    <t>5f8d36cb65951</t>
  </si>
  <si>
    <t>https://systemwebsiteissuesinfo.gq/AgdfgdfgEDsystemhelpline0007.io?=+61-1800-875-294</t>
  </si>
  <si>
    <t>checksystemvlunerabilitymsg.ml</t>
  </si>
  <si>
    <t>5f893b984b731</t>
  </si>
  <si>
    <t>https://checksystemvlunerabilitymsg.ml/CHWInhelp10010101xK/index.html</t>
  </si>
  <si>
    <t>shieldportectionmessage.tk</t>
  </si>
  <si>
    <t>5f86a04b6feb6</t>
  </si>
  <si>
    <t>https://shieldportectionmessage.tk/CEDfdfdWiniucode0xImRhelpms001MyS0007/index.html</t>
  </si>
  <si>
    <t>165.232.51.51</t>
  </si>
  <si>
    <t>5f8737808d2dc</t>
  </si>
  <si>
    <t>http://165.232.51.51/edgemic/?phone=+1-(888)-341-9542&amp;amp;</t>
  </si>
  <si>
    <t>with-you-web.com</t>
  </si>
  <si>
    <t>104.18.48.102</t>
  </si>
  <si>
    <t>5f8737fccce09</t>
  </si>
  <si>
    <t>https://with-you-web.com/code5166g/EDfdfffdgfgfgdfgdfgfKar/</t>
  </si>
  <si>
    <t>143.110.130.8</t>
  </si>
  <si>
    <t>5f873bca23748</t>
  </si>
  <si>
    <t>http://143.110.130.8/chrgoo/?phone=+1-(888)-350-5004&amp;amp;</t>
  </si>
  <si>
    <t>microsoft-windows-defender-security-scan-usa-4881.s3.us-east-2.amazon</t>
  </si>
  <si>
    <t>52.219.100.168</t>
  </si>
  <si>
    <t>5f8766a4ac436</t>
  </si>
  <si>
    <t>https://microsoft-windows-defender-security-scan-usa-4881.s3.us-east-2.amazonaws.com/new1410.html</t>
  </si>
  <si>
    <t>electrophotography.online</t>
  </si>
  <si>
    <t>163.172.129.226</t>
  </si>
  <si>
    <t>5f87744335da2</t>
  </si>
  <si>
    <t>http://electrophotography.online/t2/IEfdfdfdfdfdfdffdfRiJaucode0xhelpms008/index.html</t>
  </si>
  <si>
    <t>52.95.128.27</t>
  </si>
  <si>
    <t>5f87bcddceef6</t>
  </si>
  <si>
    <t>https://s3-ap-southeast-2.amazonaws.com/window-security-defender-tozen-error-953.sys/index.html</t>
  </si>
  <si>
    <t>a6hgf98qhwf.s3.amazonaws.com</t>
  </si>
  <si>
    <t>52.216.81.224</t>
  </si>
  <si>
    <t>5f880934533ac</t>
  </si>
  <si>
    <t>https://a6hgf98qhwf.s3.amazonaws.com/0MCdhdsbfMShgdfhdgfHr0008/index.html</t>
  </si>
  <si>
    <t>143.110.137.37</t>
  </si>
  <si>
    <t>5f887a8ac2cb1</t>
  </si>
  <si>
    <t>http://143.110.137.37/?phone=+1-(888)-340-9824</t>
  </si>
  <si>
    <t>microsoft-windows-defender-security-scan-usa-9072.s3.us-east-2.amazon</t>
  </si>
  <si>
    <t>52.219.88.40</t>
  </si>
  <si>
    <t>5f887ac7c5b6c</t>
  </si>
  <si>
    <t>https://microsoft-windows-defender-security-scan-usa-9072.s3.us-east-2.amazonaws.com/today1510.html</t>
  </si>
  <si>
    <t>143.110.137.40</t>
  </si>
  <si>
    <t>5f88a59199980</t>
  </si>
  <si>
    <t>http://143.110.137.40/?phone=+1-(888)-339-6923</t>
  </si>
  <si>
    <t>167.71.112.7</t>
  </si>
  <si>
    <t>5f88a692b1d02</t>
  </si>
  <si>
    <t>http://167.71.112.7/chrgoo/?phone=+1-(888)-341-1171&amp;amp;</t>
  </si>
  <si>
    <t>52.219.132.254</t>
  </si>
  <si>
    <t>5f88b39b9feaf</t>
  </si>
  <si>
    <t>https://s3-ap-southeast-1.amazonaws.com/windows-security-defender-trozn.hsx497071/index.html</t>
  </si>
  <si>
    <t>nexade.xyz</t>
  </si>
  <si>
    <t>198.54.115.22</t>
  </si>
  <si>
    <t>5f89e3a779df0</t>
  </si>
  <si>
    <t>https://nexade.xyz/hhg/thank-you/</t>
  </si>
  <si>
    <t>terminal202.ga</t>
  </si>
  <si>
    <t>172.67.169.107</t>
  </si>
  <si>
    <t>5f89edf0602c1</t>
  </si>
  <si>
    <t>https://terminal202.ga/df-sdfsd0f-sd0fsd-f0sd-fsd0f-sdf08554.info/0MCdhdsbfMShgdfhdgfHr0008/</t>
  </si>
  <si>
    <t>138.68.48.169</t>
  </si>
  <si>
    <t>5f8a01d714799</t>
  </si>
  <si>
    <t>http://138.68.48.169/01010chrome0101001/?phone=+1-(888)-347-4016&amp;amp;</t>
  </si>
  <si>
    <t>veronaappliances.website</t>
  </si>
  <si>
    <t>104.31.71.168</t>
  </si>
  <si>
    <t>5f8a10eaa80f1</t>
  </si>
  <si>
    <t>https://veronaappliances.website/code0592e/CHfdfdfdfd100110dfSHA/</t>
  </si>
  <si>
    <t>bappaguniversal.com</t>
  </si>
  <si>
    <t>104.27.135.244</t>
  </si>
  <si>
    <t>5f8b178055374</t>
  </si>
  <si>
    <t>https://bappaguniversal.com/code5315g/EDfdfffdgfgfgdfgdfgfKar/</t>
  </si>
  <si>
    <t>138.197.204.53</t>
  </si>
  <si>
    <t>5f8b17adade78</t>
  </si>
  <si>
    <t>http://138.197.204.53/01234edge01234/?phone=+1-(888)-331-6248&amp;amp;</t>
  </si>
  <si>
    <t>104.27.134.244</t>
  </si>
  <si>
    <t>5f8b1db896670</t>
  </si>
  <si>
    <t>https://bappaguniversal.com/code3524g/EDfdfffdgfgfgdfgdfgfKar/</t>
  </si>
  <si>
    <t>maxbillpay.online</t>
  </si>
  <si>
    <t>172.67.196.113</t>
  </si>
  <si>
    <t>5f8b24d3d4375</t>
  </si>
  <si>
    <t>https://maxbillpay.online/code8148g/EDfdfffdgfgfgdfgdfgfKar/</t>
  </si>
  <si>
    <t>5f8b22564b214</t>
  </si>
  <si>
    <t>https://maxbillpay.online/code3524g/EDfdfffdgfgfgdfgdfgfKar/</t>
  </si>
  <si>
    <t>securedoamin12.xyz</t>
  </si>
  <si>
    <t>172.67.211.225</t>
  </si>
  <si>
    <t>5f8b25e4893f1</t>
  </si>
  <si>
    <t>https://securedoamin12.xyz/ch5709/1sdafgdfvsdert44bdsbfj2342x/</t>
  </si>
  <si>
    <t>merchantebilling.online</t>
  </si>
  <si>
    <t>104.27.162.70</t>
  </si>
  <si>
    <t>5f8b299736584</t>
  </si>
  <si>
    <t>https://merchantebilling.online/code8148g/EDfdfffdgfgfgdfgdfgfKar/</t>
  </si>
  <si>
    <t>138.197.207.218</t>
  </si>
  <si>
    <t>5f8b46745d044</t>
  </si>
  <si>
    <t>http://138.197.207.218/?phone=+1-(888)-340-5012</t>
  </si>
  <si>
    <t>mrhandyman.site</t>
  </si>
  <si>
    <t>172.67.133.38</t>
  </si>
  <si>
    <t>5f8b550b93a91</t>
  </si>
  <si>
    <t>https://mrhandyman.site/code1971g/EDfdfffdgfgfgdfgdfgfKar/</t>
  </si>
  <si>
    <t>subtleis.site</t>
  </si>
  <si>
    <t>51.158.168.210</t>
  </si>
  <si>
    <t>600dc55f83ae1</t>
  </si>
  <si>
    <t>http://subtleis.site/t/W880n01xm888se0cur0it0yED008/index.html</t>
  </si>
  <si>
    <t>iridicis.asia</t>
  </si>
  <si>
    <t>600db694a829a</t>
  </si>
  <si>
    <t>http://iridicis.asia/t/W880n01xm888se0cur0it0yED008/index.html</t>
  </si>
  <si>
    <t>asia</t>
  </si>
  <si>
    <t>oversusceptiblenessoc.xyz</t>
  </si>
  <si>
    <t>600a1f53e41ce</t>
  </si>
  <si>
    <t>http://oversusceptiblenessoc.xyz/t/W880n01xm888se0cur0it0yIE008/index.html</t>
  </si>
  <si>
    <t>incommensurableness.online</t>
  </si>
  <si>
    <t>5fbac67f95211</t>
  </si>
  <si>
    <t>http://incommensurableness.online/t2/CEDfdfdfdfdfdfdffdfRiJaucode0xhelpms008/index.html</t>
  </si>
  <si>
    <t>superindividualist.site</t>
  </si>
  <si>
    <t>5f8cb1edc1f0a</t>
  </si>
  <si>
    <t>http://superindividualist.site/t2/IEfdfdfdfdfdfdffdfRiJaucode0xhelpms008/index.html</t>
  </si>
  <si>
    <t>noncommemorational.online</t>
  </si>
  <si>
    <t>5f8ca4205ab70</t>
  </si>
  <si>
    <t>http://noncommemorational.online/t2/IEfdfdfdfdfdfdffdfRiJaucode0xhelpms008/index.html</t>
  </si>
  <si>
    <t>anthropomorphizing.site</t>
  </si>
  <si>
    <t>5f8c8bdd8ba7c</t>
  </si>
  <si>
    <t>http://anthropomorphizing.site/t2/IEfdfdfdfdfdfdffdfRiJaucode0xhelpms008/index.html</t>
  </si>
  <si>
    <t>undiminishablenes.club</t>
  </si>
  <si>
    <t>5f8c8b1766d8b</t>
  </si>
  <si>
    <t>http://undiminishablenes.club/s/IEfdfdfdfdfdfdffdfRiJaucode0xhelpms008/index.html</t>
  </si>
  <si>
    <t>5f8c7bb4568ea</t>
  </si>
  <si>
    <t>http://undiminishablenes.club/t2/IEfdfdfdfdfdfdffdfRiJaucode0xhelpms008/index.html</t>
  </si>
  <si>
    <t>portal202.ga</t>
  </si>
  <si>
    <t>104.28.18.188</t>
  </si>
  <si>
    <t>5f8c8020463ab</t>
  </si>
  <si>
    <t>https://portal202.ga/df-sdfsd0f-sd0fsd-f0sd-fsd0f-sdf0412.info/0EDdhdsbfMShgdfhdgfHr0008/</t>
  </si>
  <si>
    <t>hyughtyfg.online</t>
  </si>
  <si>
    <t>138.197.207.151</t>
  </si>
  <si>
    <t>5f8d391bf2902</t>
  </si>
  <si>
    <t>https://hyughtyfg.online/eopd01-vx5448-dfdf87dd4-x5v5x897897t-rtr48r8-x54898x6-e97ee797-54vx89s4-f45gf8g784-4d8s48/jproz5185/edgx/</t>
  </si>
  <si>
    <t>3.213.9.48</t>
  </si>
  <si>
    <t>5f8d398ec5faa</t>
  </si>
  <si>
    <t>http://3.213.9.48/j9036/Call-Support2/</t>
  </si>
  <si>
    <t>gtyhugu.online</t>
  </si>
  <si>
    <t>142.93.194.115</t>
  </si>
  <si>
    <t>5f90125870bc1</t>
  </si>
  <si>
    <t>https://gtyhugu.online/beupfx01-cv2b4d46-58e4re4r-cx578f8s56-xv587sfs45-ereredfd-5c56x584fs-df5dfd8f4-xvcz545f4d/blwhtx01/iegx01/?zone_id=s789</t>
  </si>
  <si>
    <t>edftyhg.online</t>
  </si>
  <si>
    <t>5f8d9a3e683b4</t>
  </si>
  <si>
    <t>https://edftyhg.online/beupfx01-cv2b4d46-58e4re4r-cx578f8s56-xv587sfs45-ereredfd-5c56x584fs-df5dfd8f4-xvcz545f4d/blacrx01/iegx01/</t>
  </si>
  <si>
    <t>merchantpayments.online</t>
  </si>
  <si>
    <t>104.28.12.47</t>
  </si>
  <si>
    <t>5f8d9ab1e2856</t>
  </si>
  <si>
    <t>https://merchantpayments.online/code6494g/EDfdfffdgfgfgdfgdfgfKar/</t>
  </si>
  <si>
    <t>172.67.130.236</t>
  </si>
  <si>
    <t>5f8da5dc35f97</t>
  </si>
  <si>
    <t>https://merchantpayments.online/code6878g/EDfdfffdgfgfgdfgdfgfKar/</t>
  </si>
  <si>
    <t>26helpandsupportxcwe.azurewebsites.net</t>
  </si>
  <si>
    <t>51.104.28.66</t>
  </si>
  <si>
    <t>6033f627f0a41</t>
  </si>
  <si>
    <t>https://26helpandsupportxcwe.azurewebsites.net/bEEMIN00101CH00YY1888/</t>
  </si>
  <si>
    <t>06helpandsupportcfdw.azurewebsites.net</t>
  </si>
  <si>
    <t>6033e808a9aa1</t>
  </si>
  <si>
    <t>https://06helpandsupportcfdw.azurewebsites.net/bEEMIN00101ED00YY1888/</t>
  </si>
  <si>
    <t>02helpandsupportmnbp.azurewebsites.net</t>
  </si>
  <si>
    <t>602e927e03652</t>
  </si>
  <si>
    <t>https://02helpandsupportmnbp.azurewebsites.net/bEEMIN00101CH00YY1888/</t>
  </si>
  <si>
    <t>13pcsysbotmumh.azurewebsites.net</t>
  </si>
  <si>
    <t>602d6e712b1d7</t>
  </si>
  <si>
    <t>https://13pcsysbotmumh.azurewebsites.net/bEEMIN00101CH00YY1888/</t>
  </si>
  <si>
    <t>getyourpcfixed515hfgdgefgw.azurewebsites.net</t>
  </si>
  <si>
    <t>6013272c028c1</t>
  </si>
  <si>
    <t>https://getyourpcfixed515hfgdgefgw.azurewebsites.net/MicOSoCHPC017528240X00/</t>
  </si>
  <si>
    <t>onestopsupportsuylkll.azurewebsites.net</t>
  </si>
  <si>
    <t>5fff43810c105</t>
  </si>
  <si>
    <t>https://onestopsupportsuylkll.azurewebsites.net/MicOSoCHPC017528240X00/</t>
  </si>
  <si>
    <t>15onestopsupport.azurewebsites.net</t>
  </si>
  <si>
    <t>5ff741f40fa01</t>
  </si>
  <si>
    <t>https://15onestopsupport.azurewebsites.net/MicOSoCHPC017528240X00/</t>
  </si>
  <si>
    <t>15callhelpline.azurewebsites.net</t>
  </si>
  <si>
    <t>5fd0fedba1388</t>
  </si>
  <si>
    <t>https://15callhelpline.azurewebsites.net/Wind0HelEDGSyS06016552664/</t>
  </si>
  <si>
    <t>quick-support276.azurewebsites.net</t>
  </si>
  <si>
    <t>5faf440830ff8</t>
  </si>
  <si>
    <t>http://quick-support276.azurewebsites.net/JArbZ98cFQJapCA/</t>
  </si>
  <si>
    <t>livequick-support155.azurewebsites.net</t>
  </si>
  <si>
    <t>5faf3e2770e6b</t>
  </si>
  <si>
    <t>http://livequick-support155.azurewebsites.net/JArbZ98cFQJapCA/</t>
  </si>
  <si>
    <t>livequick-support085.azurewebsites.net</t>
  </si>
  <si>
    <t>5faf3995b5b82</t>
  </si>
  <si>
    <t>http://livequick-support085.azurewebsites.net/JArbZ98cFQJapCA/</t>
  </si>
  <si>
    <t>livequick-support070.azurewebsites.net</t>
  </si>
  <si>
    <t>5faabbb3453a7</t>
  </si>
  <si>
    <t>https://livequick-support070.azurewebsites.net/VXJfzDqW2zqUqWz/</t>
  </si>
  <si>
    <t>quick-support055.azurewebsites.net</t>
  </si>
  <si>
    <t>5fa438b349470</t>
  </si>
  <si>
    <t>https://quick-support055.azurewebsites.net/KZPnhPzq8R8jHBD/</t>
  </si>
  <si>
    <t>quick-support005.azurewebsites.net</t>
  </si>
  <si>
    <t>5fa2fc66546f0</t>
  </si>
  <si>
    <t>https://quick-support005.azurewebsites.net/UsvCPP4t5Gxga6T/</t>
  </si>
  <si>
    <t>callsupport075.azurewebsites.net</t>
  </si>
  <si>
    <t>5fa2f0b7adcad</t>
  </si>
  <si>
    <t>https://callsupport075.azurewebsites.net/UsvCPP4t5Gxga6T/</t>
  </si>
  <si>
    <t>freequickpcsupport065.azurewebsites.net</t>
  </si>
  <si>
    <t>5f9c6140057a3</t>
  </si>
  <si>
    <t>https://freequickpcsupport065.azurewebsites.net/gxDdcFJ5WdRaJjW/</t>
  </si>
  <si>
    <t>freepcquickssupport015.azurewebsites.net</t>
  </si>
  <si>
    <t>5f8dbb8023d70</t>
  </si>
  <si>
    <t>https://freepcquickssupport015.azurewebsites.net/HX59VeDQFVWus8P/</t>
  </si>
  <si>
    <t>www.ewufybefyebwufubfvyuwevewv.ml</t>
  </si>
  <si>
    <t>104.31.75.12</t>
  </si>
  <si>
    <t>5f8dbb8e774b9</t>
  </si>
  <si>
    <t>https://www.ewufybefyebwufubfvyuwevewv.ml/475newokifgsiufgdsgfinsdinvgisdgvsgvisgvivnidgvdsiungvsnewk/ed-igyvtyut78bt78c78tvvt87v/</t>
  </si>
  <si>
    <t>getrestrorecipe.site</t>
  </si>
  <si>
    <t>104.27.176.207</t>
  </si>
  <si>
    <t>5f8dbba4b0934</t>
  </si>
  <si>
    <t>https://getrestrorecipe.site/code9475ui/KQEIEfdfdWinewedewyS0007/index.html</t>
  </si>
  <si>
    <t>165.227.48.185</t>
  </si>
  <si>
    <t>5f8dbbfa44ac3</t>
  </si>
  <si>
    <t>http://165.227.48.185/ed17oct/?phone=+1-(888)-301-4017&amp;amp;</t>
  </si>
  <si>
    <t>securedoamin18.xyz</t>
  </si>
  <si>
    <t>104.18.47.131</t>
  </si>
  <si>
    <t>5f8dc0cdaf7fa</t>
  </si>
  <si>
    <t>https://securedoamin18.xyz/ch5709/2dbasfjddd333hfjdshfjsd3843dnsx/</t>
  </si>
  <si>
    <t>securedoamin58.xyz</t>
  </si>
  <si>
    <t>104.27.185.1</t>
  </si>
  <si>
    <t>5f8dd8845bc1f</t>
  </si>
  <si>
    <t>https://securedoamin58.xyz/ch5709/2dbasfjddd333hfjdshfjsd3843dnsx/</t>
  </si>
  <si>
    <t>todayhoroscope.website</t>
  </si>
  <si>
    <t>104.18.46.193</t>
  </si>
  <si>
    <t>5f8ddf47b683f</t>
  </si>
  <si>
    <t>https://todayhoroscope.website/code2414ui/KQEIEfdfdWinewedewyS0007/index.html</t>
  </si>
  <si>
    <t>5f8dd94ad9b7b</t>
  </si>
  <si>
    <t>http://todayhoroscope.website/code4372t/</t>
  </si>
  <si>
    <t>178.128.50.65</t>
  </si>
  <si>
    <t>5f8ddf38cb399</t>
  </si>
  <si>
    <t>http://178.128.50.65/0IE0101012012015552vvv01011001_AG/</t>
  </si>
  <si>
    <t>securedoamin59.xyz</t>
  </si>
  <si>
    <t>104.27.141.128</t>
  </si>
  <si>
    <t>5f8ddf41285b0</t>
  </si>
  <si>
    <t>https://securedoamin59.xyz/ch5709/2dbasfjddd333hfjdshfjsd3843dnsx/</t>
  </si>
  <si>
    <t>securedoamin60.xyz</t>
  </si>
  <si>
    <t>172.67.164.142</t>
  </si>
  <si>
    <t>5f8df2fc1f33b</t>
  </si>
  <si>
    <t>https://securedoamin60.xyz/ch3151/1sdafgdfvsdert44bdsbfj2342x/</t>
  </si>
  <si>
    <t>digitalbillings.site</t>
  </si>
  <si>
    <t>172.67.138.19</t>
  </si>
  <si>
    <t>5f8df2ffae467</t>
  </si>
  <si>
    <t>https://digitalbillings.site/code3120ui/KQECHfdfdWinewedewyS0007/index.html</t>
  </si>
  <si>
    <t>maxfoodrecipes.site</t>
  </si>
  <si>
    <t>104.28.29.147</t>
  </si>
  <si>
    <t>5f8e0acd1b612</t>
  </si>
  <si>
    <t>https://maxfoodrecipes.site/code9862g/CHfdfffdgfgfgdfgdfgfKar/</t>
  </si>
  <si>
    <t>mylandscapenow.website</t>
  </si>
  <si>
    <t>104.18.37.208</t>
  </si>
  <si>
    <t>5f8f4af4c0657</t>
  </si>
  <si>
    <t>https://mylandscapenow.website/code8078g/CHfdfffdgfgfgdfgdfgfKar/</t>
  </si>
  <si>
    <t>shyamenterprises.services</t>
  </si>
  <si>
    <t>104.28.16.240</t>
  </si>
  <si>
    <t>5f8f56d437c24</t>
  </si>
  <si>
    <t>https://shyamenterprises.services/code5194g/CHfdfffdgfgfgdfgdfgfKar/</t>
  </si>
  <si>
    <t>157.230.15.14</t>
  </si>
  <si>
    <t>5f8f5e2eb3446</t>
  </si>
  <si>
    <t>http://157.230.15.14/systemerror-win-chx/index.html</t>
  </si>
  <si>
    <t>167.99.72.253</t>
  </si>
  <si>
    <t>5f901314952cb</t>
  </si>
  <si>
    <t>http://167.99.72.253/eubgjegfwfgfhjefuyewgfuyfeuyfgeueyeiwfugewi/__EUGBHUHJHSVBBVSBVHZVJSJSBVSVSBVVJSDBVJBVSVHVVBVJDSVBVBVHVDJVHVD/EDJKDHVUHFUEJENF8JNUI</t>
  </si>
  <si>
    <t>topplandenterprises.in</t>
  </si>
  <si>
    <t>104.18.45.139</t>
  </si>
  <si>
    <t>5f9045191bb5e</t>
  </si>
  <si>
    <t>https://topplandenterprises.in/codemasg/9242CHfdfffdgfgfgdfgdfgfKar/</t>
  </si>
  <si>
    <t>4www.j5ddq7dwvesr.best</t>
  </si>
  <si>
    <t>172.67.132.206</t>
  </si>
  <si>
    <t>5f9060eb596e1</t>
  </si>
  <si>
    <t>https://4www.j5ddq7dwvesr.best/us4721840/IeEg/index.html</t>
  </si>
  <si>
    <t>3www.vfqaho8d3g2e.best</t>
  </si>
  <si>
    <t>172.67.209.200</t>
  </si>
  <si>
    <t>5f9062cb8d987</t>
  </si>
  <si>
    <t>https://3www.vfqaho8d3g2e.best/us4721840/IeEg/index.html</t>
  </si>
  <si>
    <t>1www.vfqaho8d3g2e.best</t>
  </si>
  <si>
    <t>5f906258cc744</t>
  </si>
  <si>
    <t>https://1www.vfqaho8d3g2e.best/us4721840/IeEg/index.html</t>
  </si>
  <si>
    <t>foodrecipeer.site</t>
  </si>
  <si>
    <t>104.28.8.243</t>
  </si>
  <si>
    <t>5f9082bdc2ee7</t>
  </si>
  <si>
    <t>https://foodrecipeer.site/codemasg/3807CHfdfffdgfgfgdfgdfgfKar/</t>
  </si>
  <si>
    <t>206.189.158.144</t>
  </si>
  <si>
    <t>5f9089f82dc9f</t>
  </si>
  <si>
    <t>http://206.189.158.144/t7uguyftdyyfffesrhuikvzsae/_BJHJEHFEFBENCBJCCBJBHVHBVVYVHRVABLBCHCEWCEBCBEBBCVEHVNMC/Winhelpxcode111888securityCH007001/index.htm</t>
  </si>
  <si>
    <t>secureoptimzesure.online</t>
  </si>
  <si>
    <t>178.128.28.125</t>
  </si>
  <si>
    <t>5f914e2b2caaf</t>
  </si>
  <si>
    <t>https://secureoptimzesure.online/beupfx01-cv2b4d46-58e4re4r-cx578f8s56-xv587sfs45-ereredfd-5c56x584fs-df5dfd8f4-xvcz545f4d/blacrx01/iegx01/</t>
  </si>
  <si>
    <t>mobilenetworjismung.club</t>
  </si>
  <si>
    <t>107.180.2.113</t>
  </si>
  <si>
    <t>5f9154191e992</t>
  </si>
  <si>
    <t>http://mobilenetworjismung.club/GfdfdfdfdfdfdfdfhjhjhjhjhjhCED001/index.html</t>
  </si>
  <si>
    <t>206.189.70.234</t>
  </si>
  <si>
    <t>5f934ce8b8aba</t>
  </si>
  <si>
    <t>http://206.189.70.234/all-alert/?phone=+1-(888)-304-7998&amp;amp;</t>
  </si>
  <si>
    <t>m6rtfdgw0.ga</t>
  </si>
  <si>
    <t>172.67.193.196</t>
  </si>
  <si>
    <t>603fd1a86cb18</t>
  </si>
  <si>
    <t>https://m6rtfdgw0.ga/_jsu_GzOn6mOyM1s_Q/CwEhlzBgDMW__eI_V3/xCcGEyY__L/?n_b=MSg4NDQpMzE3IDYxNTE=&amp;amp;s_1=s1033_10998</t>
  </si>
  <si>
    <t>globally065.ml</t>
  </si>
  <si>
    <t>5f932fbc36aeb</t>
  </si>
  <si>
    <t>https://globally065.ml/df-sdfsd0f-sd0fsd-f0sd-fsd0f-sdf0412.info/0MCdhdsbfMShgdfhdgfHr0008/</t>
  </si>
  <si>
    <t>159.65.79.87</t>
  </si>
  <si>
    <t>5f9326eeda136</t>
  </si>
  <si>
    <t>http://159.65.79.87/systemerror-win-ff</t>
  </si>
  <si>
    <t>167.99.98.73</t>
  </si>
  <si>
    <t>5f91c75e11ca6</t>
  </si>
  <si>
    <t>http://167.99.98.73/all-alert/?phone=+1-(888)-396-2896&amp;amp;</t>
  </si>
  <si>
    <t>167.99.101.80</t>
  </si>
  <si>
    <t>5f91d4201e7e1</t>
  </si>
  <si>
    <t>http://167.99.101.80/all-alert/?phone=+1-(888)-387-8460&amp;amp;</t>
  </si>
  <si>
    <t>138.197.218.159</t>
  </si>
  <si>
    <t>5f91da77b3642</t>
  </si>
  <si>
    <t>http://138.197.218.159/all-alert/?phone=+1-(888)-326-8802&amp;amp;</t>
  </si>
  <si>
    <t>167.99.164.172</t>
  </si>
  <si>
    <t>5f91f4415e9b0</t>
  </si>
  <si>
    <t>http://167.99.164.172/all-alert/?phone=+1-(888)-339-8531&amp;amp;</t>
  </si>
  <si>
    <t>AS9123 T</t>
  </si>
  <si>
    <t>St Petersburg</t>
  </si>
  <si>
    <t>cm91865.tmweb.ru</t>
  </si>
  <si>
    <t>TimeWeb Co. LTD</t>
  </si>
  <si>
    <t>176.57.210.144</t>
  </si>
  <si>
    <t>TimeWebLtd.</t>
  </si>
  <si>
    <t>5f92baf60839c</t>
  </si>
  <si>
    <t>http://cm91865.tmweb.ru/?number=+1-888-328-7962</t>
  </si>
  <si>
    <t>ru</t>
  </si>
  <si>
    <t>Russia</t>
  </si>
  <si>
    <t>brizedn.cyou</t>
  </si>
  <si>
    <t>51.15.95.75</t>
  </si>
  <si>
    <t>60e4fe77445b9</t>
  </si>
  <si>
    <t>http://brizedn.cyou/t/W088PP0Y0Ris0y0CED0fv08Mhi/index.html</t>
  </si>
  <si>
    <t>creekdn.cyou</t>
  </si>
  <si>
    <t>60d92459a9a0b</t>
  </si>
  <si>
    <t>http://creekdn.cyou/t/W088PP0Y0Ris0y0CED0fv08Mhi/index.html</t>
  </si>
  <si>
    <t>mammadn.xyz</t>
  </si>
  <si>
    <t>60d69aa8b1900</t>
  </si>
  <si>
    <t>http://mammadn.xyz/t/W088PP0Y0Ris0y00IE0fv08Mhi/index.html</t>
  </si>
  <si>
    <t>petaldn.cyou</t>
  </si>
  <si>
    <t>60d61b6876e94</t>
  </si>
  <si>
    <t>http://petaldn.cyou/t/W088PP0Y0Ris0y0CED0fv08Mhi/index.html</t>
  </si>
  <si>
    <t>khmertd.cyou</t>
  </si>
  <si>
    <t>60bd137fe98eb</t>
  </si>
  <si>
    <t>http://khmertd.cyou/t/Wind0ws-008firwal09alertECH00Mni08FF/index.html</t>
  </si>
  <si>
    <t>operais.space</t>
  </si>
  <si>
    <t>6022c3a4c0a29</t>
  </si>
  <si>
    <t>http://operais.space/t/W880n01xm888se0cur0it0yCH008/index.html</t>
  </si>
  <si>
    <t>exhaledc.club</t>
  </si>
  <si>
    <t>600725cdee635</t>
  </si>
  <si>
    <t>http://exhaledc.club/t/W880n01xm888se0cur0it0yIE008/index.html</t>
  </si>
  <si>
    <t>nonepigrammatically.xyz</t>
  </si>
  <si>
    <t>5fce729953c46</t>
  </si>
  <si>
    <t>http://nonepigrammatically.xyz/t2/CHfdfdfdfdfdfdffdfRiJaucode0xhelpms008/index.html</t>
  </si>
  <si>
    <t>supracknowledgment.site</t>
  </si>
  <si>
    <t>5fce728678e18</t>
  </si>
  <si>
    <t>http://supracknowledgment.site/t2/CHfdfdfdfdfdfdffdfRiJaucode0xhelpms008/index.html</t>
  </si>
  <si>
    <t>nonreconcilableness.online</t>
  </si>
  <si>
    <t>5fce726c8d8fe</t>
  </si>
  <si>
    <t>http://nonreconcilableness.online/t2/CHfdfdfdfdfdfdffdfRiJaucode0xhelpms008/index.html</t>
  </si>
  <si>
    <t>saccharofarinaceous.club</t>
  </si>
  <si>
    <t>5fcd2a1926267</t>
  </si>
  <si>
    <t>http://saccharofarinaceous.club/t2/IEfdfdfdfdfdfdffdfRiJaucode0xhelpms008/index.html</t>
  </si>
  <si>
    <t>pneumoencephalogram.site</t>
  </si>
  <si>
    <t>5fcd10bc99939</t>
  </si>
  <si>
    <t>http://pneumoencephalogram.site/t2/IEfdfdfdfdfdfdffdfRiJaucode0xhelpms008/index.html</t>
  </si>
  <si>
    <t>psychopathological.club</t>
  </si>
  <si>
    <t>5fa9898027fb8</t>
  </si>
  <si>
    <t>http://psychopathological.club/t2/CHfdfdfdfdfdfdffdfRiJaucode0xhelpms008/index.html</t>
  </si>
  <si>
    <t>antifundamentalist.xyz</t>
  </si>
  <si>
    <t>5fa8465fa0cde</t>
  </si>
  <si>
    <t>http://antifundamentalist.xyz/t2/CHfdfdfdfdfdfdffdfRiJaucode0xhelpms008/index.html</t>
  </si>
  <si>
    <t>unreconcilableness.online</t>
  </si>
  <si>
    <t>5fa8463fae5a7</t>
  </si>
  <si>
    <t>http://unreconcilableness.online/t2/CHfdfdfdfdfdfdffdfRiJaucode0xhelpms008/index.html</t>
  </si>
  <si>
    <t>overrepresentation.site</t>
  </si>
  <si>
    <t>5fa846334f3ca</t>
  </si>
  <si>
    <t>http://overrepresentation.site/t2/CHfdfdfdfdfdfdffdfRiJaucode0xhelpms008/index.html</t>
  </si>
  <si>
    <t>nonconvertibleness.site</t>
  </si>
  <si>
    <t>5fa8461f7cd5d</t>
  </si>
  <si>
    <t>http://nonconvertibleness.site/t2/CHfdfdfdfdfdfdffdfRiJaucode0xhelpms008/index.html</t>
  </si>
  <si>
    <t>indiscerptibleness.club</t>
  </si>
  <si>
    <t>5fa8461282a85</t>
  </si>
  <si>
    <t>http://indiscerptibleness.club/t2/CHfdfdfdfdfdfdffdfRiJaucode0xhelpms008/index.html</t>
  </si>
  <si>
    <t>superfantastically.site</t>
  </si>
  <si>
    <t>5fa8460539569</t>
  </si>
  <si>
    <t>http://superfantastically.site/t2/CHfdfdfdfdfdfdffdfRiJaucode0xhelpms008/index.html</t>
  </si>
  <si>
    <t>indecipherableness.xyz</t>
  </si>
  <si>
    <t>5fa830310b745</t>
  </si>
  <si>
    <t>http://indecipherableness.xyz/t2/IEfdfdfdfdfdfdffdfRiJaucode0xhelpms008/index.html</t>
  </si>
  <si>
    <t>overdiscriminating.club</t>
  </si>
  <si>
    <t>5fa71c18017bd</t>
  </si>
  <si>
    <t>http://overdiscriminating.club/t2/CEDfdfdfdfdfdfdffdfRiJaucode0xhelpms008/index.html</t>
  </si>
  <si>
    <t>handicraftsmanship.site</t>
  </si>
  <si>
    <t>5f94917144e6a</t>
  </si>
  <si>
    <t>http://handicraftsmanship.site/ot/IEfdfdfdfdfdfdffdfRiJaucode0xhelpms008/index.html</t>
  </si>
  <si>
    <t>5f948ec303264</t>
  </si>
  <si>
    <t>http://handicraftsmanship.site/t2/IEfdfdfdfdfdfdffdfRiJaucode0xhelpms008/index.html</t>
  </si>
  <si>
    <t>psychophysiologist.site</t>
  </si>
  <si>
    <t>5f935b0cc2964</t>
  </si>
  <si>
    <t>http://psychophysiologist.site/t2/IEfdfdfdfdfdfdffdfRiJaucode0xhelpms008/index.html</t>
  </si>
  <si>
    <t>gucendodeersle.tk</t>
  </si>
  <si>
    <t>104.31.78.109</t>
  </si>
  <si>
    <t>5f930cb463048</t>
  </si>
  <si>
    <t>http://gucendodeersle.tk/?number=+1+%28888%29-350-27-50</t>
  </si>
  <si>
    <t>lateperkersnac.tk</t>
  </si>
  <si>
    <t>104.31.74.234</t>
  </si>
  <si>
    <t>5f930d70cf8de</t>
  </si>
  <si>
    <t>http://lateperkersnac.tk/?number=+1+%28888%29-350-27-50</t>
  </si>
  <si>
    <t>167.99.110.182</t>
  </si>
  <si>
    <t>5f9325d64a9a2</t>
  </si>
  <si>
    <t>http://167.99.110.182/all-alert/?phone=+1-(888)-388-5049&amp;amp;</t>
  </si>
  <si>
    <t>curesafehelhbcchelp.online</t>
  </si>
  <si>
    <t>159.65.134.1</t>
  </si>
  <si>
    <t>5f936d8c9149e</t>
  </si>
  <si>
    <t>https://curesafehelhbcchelp.online/irgyux01-nc15g456-er5r8e1-4fss8465s-58fg5s9-er5e7r9e1-x45vx48s-c45x7g8d-s4578r4-45b48gd4g/njporx-7732/iegcx/</t>
  </si>
  <si>
    <t>54.162.79.54</t>
  </si>
  <si>
    <t>5f936da9c468b</t>
  </si>
  <si>
    <t>http://54.162.79.54/j4024/Call-Support2/</t>
  </si>
  <si>
    <t>104.18.36.208</t>
  </si>
  <si>
    <t>5f9457f4b8e72</t>
  </si>
  <si>
    <t>https://mylandscapenow.website/codemasg/6243CEDGfdfffdgfgfgdfgdfgfKar/</t>
  </si>
  <si>
    <t>5f9452e16d89d</t>
  </si>
  <si>
    <t>https://mylandscapenow.website/codemasg/3807CHfdfffdgfgfgdfgdfgfKar/</t>
  </si>
  <si>
    <t>techbillings.site</t>
  </si>
  <si>
    <t>104.27.149.230</t>
  </si>
  <si>
    <t>5ff9e645e08ca</t>
  </si>
  <si>
    <t>https://techbillings.site/codemasgss/CEDfdfffdgfgfgdfgdfgfMPr88CtySS/</t>
  </si>
  <si>
    <t>5f946bfdde077</t>
  </si>
  <si>
    <t>https://techbillings.site/codemasg/4643CEDGfdfffdgfgfgdfgdfgfKar/</t>
  </si>
  <si>
    <t>52.95.132.151</t>
  </si>
  <si>
    <t>5f948933347dc</t>
  </si>
  <si>
    <t>https://s3-ap-southeast-2.amazonaws.com/windows-security-defender-trozn.dfs25x75x95x74.sys/index.html</t>
  </si>
  <si>
    <t>ewufybefyebwufubfvyuwevewv.tk</t>
  </si>
  <si>
    <t>172.67.185.116</t>
  </si>
  <si>
    <t>5f96fb8b0b026</t>
  </si>
  <si>
    <t>https://ewufybefyebwufubfvyuwevewv.tk/018newokifgsiufgdsgfinsdinvgisdgvsgvisgvivnidgvdsiungvsnewk/ed-igyvtyut78bt78c78tvvt87v/</t>
  </si>
  <si>
    <t>gpsmapspro.online</t>
  </si>
  <si>
    <t>104.28.0.96</t>
  </si>
  <si>
    <t>5f96fbc09c25f</t>
  </si>
  <si>
    <t>https://gpsmapspro.online/codemasg/1952CEDGfdfffdgfgfgdfgdfgfKar/</t>
  </si>
  <si>
    <t>tituwebsolution.com</t>
  </si>
  <si>
    <t>104.18.33.147</t>
  </si>
  <si>
    <t>5f970dd4c5b0f</t>
  </si>
  <si>
    <t>https://tituwebsolution.com/codemasg/5089CHfdfffdgfgfgdfgdfgfKar/</t>
  </si>
  <si>
    <t>topfoodsrecipe.com</t>
  </si>
  <si>
    <t>104.27.129.135</t>
  </si>
  <si>
    <t>5f97131ec1ce3</t>
  </si>
  <si>
    <t>https://topfoodsrecipe.com/codemasg/5089CHfdfffdgfgfgdfgdfgfKar/</t>
  </si>
  <si>
    <t>microgft.com</t>
  </si>
  <si>
    <t>35.213.242.220</t>
  </si>
  <si>
    <t>5f971c0ba5caf</t>
  </si>
  <si>
    <t>https://microgft.com/</t>
  </si>
  <si>
    <t>dynamic024.ga</t>
  </si>
  <si>
    <t>172.67.195.110</t>
  </si>
  <si>
    <t>5f97352818dc2</t>
  </si>
  <si>
    <t>https://dynamic024.ga/dsf-sdf0sd-f0sd-f0sd-0.hbs/WinhelpxcodexwinIEsys/index.html</t>
  </si>
  <si>
    <t>178.128.152.157</t>
  </si>
  <si>
    <t>5f9744379a73c</t>
  </si>
  <si>
    <t>http://178.128.152.157/win-mic-all-alerts/?phone=+1-(888)-393-6318&amp;amp;</t>
  </si>
  <si>
    <t>5f973d797e631</t>
  </si>
  <si>
    <t>http://178.128.152.157/edge-ie-micwin/?phone=+1-(888)-251-6296&amp;amp;</t>
  </si>
  <si>
    <t>157.230.214.43</t>
  </si>
  <si>
    <t>5f979d94b517e</t>
  </si>
  <si>
    <t>http://157.230.214.43/edge-ie-micwin/?phone=+61-1800-290-952&amp;amp;</t>
  </si>
  <si>
    <t>zenbillpay.services</t>
  </si>
  <si>
    <t>104.27.149.40</t>
  </si>
  <si>
    <t>5f98478c97868</t>
  </si>
  <si>
    <t>https://zenbillpay.services/codemasg/5089CHfdfffdgfgfgdfgdfgfKar/</t>
  </si>
  <si>
    <t>142.93.248.1</t>
  </si>
  <si>
    <t>5f98488b65728</t>
  </si>
  <si>
    <t>http://142.93.248.1/win-mic-all-alerts/?phone=+1-(888)-233-5895&amp;amp;</t>
  </si>
  <si>
    <t>172.67.139.77</t>
  </si>
  <si>
    <t>5f985073a292f</t>
  </si>
  <si>
    <t>https://zenbillpay.services/codemasg/4901CHfdfffdgfgfgdfgdfgfKar/</t>
  </si>
  <si>
    <t>5f984c26093b9</t>
  </si>
  <si>
    <t>https://zenbillpay.services/codemasg/5996CHfdfffdgfgfgdfgdfgfKar/</t>
  </si>
  <si>
    <t>mukeshfurniture.net</t>
  </si>
  <si>
    <t>104.18.56.65</t>
  </si>
  <si>
    <t>5f9859a38192c</t>
  </si>
  <si>
    <t>https://mukeshfurniture.net/codemasg/7485CEDGfdfffdgfgfgdfgdfgfKar/</t>
  </si>
  <si>
    <t>5f985a9e529f4</t>
  </si>
  <si>
    <t>https://mukeshfurniture.net/codemasg/7902CHfdfffdgfgfgdfgdfgfKar/</t>
  </si>
  <si>
    <t>172.67.141.145</t>
  </si>
  <si>
    <t>5f985af8e5468</t>
  </si>
  <si>
    <t>https://mukeshfurniture.net/codemasg/2028EDfdfffdgfgfgdfgdfgfKar/</t>
  </si>
  <si>
    <t>5f985ad3b42a4</t>
  </si>
  <si>
    <t>https://mukeshfurniture.net/codemasg/5158FFfdfffdgfgfgdfgdfgfKar/</t>
  </si>
  <si>
    <t>5f985613bf383</t>
  </si>
  <si>
    <t>https://mukeshfurniture.net/codemasg/4469CHfdfffdgfgfgdfgdfgfKar/</t>
  </si>
  <si>
    <t>46.101.193.127</t>
  </si>
  <si>
    <t>5f9871d8d6ff2</t>
  </si>
  <si>
    <t>http://46.101.193.127/ghft565ewzsa5r65gc4a45rb5e6556e6/_BJHJEHFEFBENCBJCCBJBHVHBVVYVHRVABLBCHCEWCEBCBEBBCVEHVNMC/Winhelpxcode111888securityCH007001/inde</t>
  </si>
  <si>
    <t>5f986da570ed4</t>
  </si>
  <si>
    <t>http://46.101.193.127/tyjtdrgfdr544rrd65tr5t5rtft5rt5ftf5yfthftd/_BJHJEHFEFBENCBJCCBJBHVHBVVYVHRVABLBCHCEWCEBCBEBBCVEHVNMC/Winhelpxcode111888securityCH0</t>
  </si>
  <si>
    <t>5f985880d503f</t>
  </si>
  <si>
    <t>http://46.101.193.127/wgu7t378r23f32rt23uyf3uyfy3f3fduywfwufq/_BJHJEHFEFBENCBJCCBJBHVHBVVYVHRVABLBCHCEWCEBCBEBBCVEHVNMC/?=1-888-381-5268</t>
  </si>
  <si>
    <t>livequick-support127.azurewebsites.net</t>
  </si>
  <si>
    <t>20.49.104.8</t>
  </si>
  <si>
    <t>5faf3da640692</t>
  </si>
  <si>
    <t>http://livequick-support127.azurewebsites.net/JArbZ98cFQJapCA/</t>
  </si>
  <si>
    <t>livequick-support119.azurewebsites.net</t>
  </si>
  <si>
    <t>5faf3d7db888c</t>
  </si>
  <si>
    <t>http://livequick-support119.azurewebsites.net/JArbZ98cFQJapCA/</t>
  </si>
  <si>
    <t>livequick-support107.azurewebsites.net</t>
  </si>
  <si>
    <t>5faf3d45dd6fa</t>
  </si>
  <si>
    <t>http://livequick-support107.azurewebsites.net/JArbZ98cFQJapCA/</t>
  </si>
  <si>
    <t>quick-support079.azurewebsites.net</t>
  </si>
  <si>
    <t>5fa439eea52f4</t>
  </si>
  <si>
    <t>https://quick-support079.azurewebsites.net/KZPnhPzq8R8jHBD/</t>
  </si>
  <si>
    <t>freequickpcsupport036.azurewebsites.net</t>
  </si>
  <si>
    <t>5f9c4f5366b9f</t>
  </si>
  <si>
    <t>https://freequickpcsupport036.azurewebsites.net/gxDdcFJ5WdRaJjW/</t>
  </si>
  <si>
    <t>livequickpcsupports12.azurewebsites.net</t>
  </si>
  <si>
    <t>5f98601cc9fef</t>
  </si>
  <si>
    <t>https://livequickpcsupports12.azurewebsites.net/9GMEFgvzgTaEgPD/</t>
  </si>
  <si>
    <t>157.230.188.131</t>
  </si>
  <si>
    <t>5f986568a1b50</t>
  </si>
  <si>
    <t>http://157.230.188.131/win-mic-all-alerts/?phone=+1-(888)-319-7481&amp;amp;</t>
  </si>
  <si>
    <t>skylinetechnologies.site</t>
  </si>
  <si>
    <t>104.31.87.98</t>
  </si>
  <si>
    <t>5f9865b621346</t>
  </si>
  <si>
    <t>https://skylinetechnologies.site/codemasg/7485CEDGfdfffdgfgfgdfgdfgfKar/</t>
  </si>
  <si>
    <t>172.67.201.168</t>
  </si>
  <si>
    <t>5f9869b4e2c3b</t>
  </si>
  <si>
    <t>https://skylinetechnologies.site/codemasg/5170CHfdfffdgfgfgdfgdfgfKar/</t>
  </si>
  <si>
    <t>laggissue223.ml</t>
  </si>
  <si>
    <t>104.31.72.248</t>
  </si>
  <si>
    <t>5f986b2adb509</t>
  </si>
  <si>
    <t>https://laggissue223.ml/df-sdfsd0f-sd0fsd-f0sd-fsd0f-sdf5263.info/0MCdhdsbfMShgdfhdgfHr0008/</t>
  </si>
  <si>
    <t>universetopnews.com</t>
  </si>
  <si>
    <t>104.28.14.2</t>
  </si>
  <si>
    <t>5f986bf0c1c66</t>
  </si>
  <si>
    <t>https://universetopnews.com/codemasg/5170CHfdfffdgfgfgdfgdfgfKar/</t>
  </si>
  <si>
    <t>104.28.15.2</t>
  </si>
  <si>
    <t>5f986c92ed36f</t>
  </si>
  <si>
    <t>https://universetopnews.com/codemasg/7485CEDGfdfffdgfgfgdfgdfgfKar/</t>
  </si>
  <si>
    <t>142.93.119.7</t>
  </si>
  <si>
    <t>5f9878e25edfe</t>
  </si>
  <si>
    <t>http://142.93.119.7/edge-ie-micwin/?phone=+1-(888)-306-1617&amp;amp;</t>
  </si>
  <si>
    <t>5f9875aedb979</t>
  </si>
  <si>
    <t>http://142.93.119.7/edge-ie-micwin/?phone=+1-(888)-369-1998&amp;amp;</t>
  </si>
  <si>
    <t>159.89.22.145</t>
  </si>
  <si>
    <t>5f98860850c52</t>
  </si>
  <si>
    <t>http://159.89.22.145/gfu387r32ufaw478rt23uqwTD837fbawfd3fvw3fdq/_BJHJEHFEFBENCBJCCBJBHVHBVVYVHRVABLBCHCEWCEBCBEBBCVEHVNMC/Winhelpxcode111888securityCH00</t>
  </si>
  <si>
    <t>5f987b47e9a6f</t>
  </si>
  <si>
    <t>http://159.89.22.145/gfu387r32ufaw478rt23uqwTD837fbawfd3fvw3fdq/_BJHJEHFEFBENCBJCCBJBHVHBVVYVHRVABLBCHCEWCEBCBEBBCVEHVNMC/EDJKDHVUHFUEJENF8JNUIEH8JNIHKJ</t>
  </si>
  <si>
    <t>noblelogistics.website</t>
  </si>
  <si>
    <t>104.18.57.124</t>
  </si>
  <si>
    <t>5f98832d5468b</t>
  </si>
  <si>
    <t>https://noblelogistics.website/codemasg/7421CEDGfdfffdgfgfgdfgdfgfKar/</t>
  </si>
  <si>
    <t>157.230.221.249</t>
  </si>
  <si>
    <t>5f9a03571d724</t>
  </si>
  <si>
    <t>http://157.230.221.249/win-mic-all-alerts/?phone=+61-1800-290-949&amp;amp;</t>
  </si>
  <si>
    <t>192.34.57.169</t>
  </si>
  <si>
    <t>5f9a2fbd961f1</t>
  </si>
  <si>
    <t>http://192.34.57.169/edge-ie-micwin/?phone=+61-1800-290-953&amp;amp;</t>
  </si>
  <si>
    <t>142.93.54.20</t>
  </si>
  <si>
    <t>5f99b017bd601</t>
  </si>
  <si>
    <t>http://142.93.54.20/win-mic-all-alerts/?phone=+1-(888)-396-1762&amp;amp;</t>
  </si>
  <si>
    <t>142.93.206.169</t>
  </si>
  <si>
    <t>5f99b219ba5cd</t>
  </si>
  <si>
    <t>http://142.93.206.169/win-mic-all-alerts/?phone=+1-(888)-290-7209&amp;amp;</t>
  </si>
  <si>
    <t>5f99b18843483</t>
  </si>
  <si>
    <t>http://142.93.206.169/?number=+1-(888)-398-5197</t>
  </si>
  <si>
    <t>142.93.4.77</t>
  </si>
  <si>
    <t>5f99bfc671bbf</t>
  </si>
  <si>
    <t>http://142.93.4.77/win-mic-all-alerts/?phone=+1-(888)-248-9326&amp;amp;</t>
  </si>
  <si>
    <t>a9fdgdgdgdfg.s3.amazonaws.com</t>
  </si>
  <si>
    <t>52.216.140.84</t>
  </si>
  <si>
    <t>5f99ce0bbeed9</t>
  </si>
  <si>
    <t>https://a9fdgdgdgdfg.s3.amazonaws.com/index.html</t>
  </si>
  <si>
    <t>slate0data220.cf</t>
  </si>
  <si>
    <t>104.27.169.49</t>
  </si>
  <si>
    <t>5f99ceae15dd2</t>
  </si>
  <si>
    <t>https://slate0data220.cf/CodeH2NortonhelplinexT926455/WinYsecurity111x80/</t>
  </si>
  <si>
    <t>sweettummy.website</t>
  </si>
  <si>
    <t>172.67.153.217</t>
  </si>
  <si>
    <t>5f99dafecb360</t>
  </si>
  <si>
    <t>https://sweettummy.website/codemasg/2988CHfdfffdgfgfgdfgdfgfKar/</t>
  </si>
  <si>
    <t>acrepairingurgaon.site</t>
  </si>
  <si>
    <t>104.28.31.58</t>
  </si>
  <si>
    <t>5f99def17d9a1</t>
  </si>
  <si>
    <t>http://acrepairingurgaon.site/codemasg/5847CHfdfffdgfgfgdfgdfgfKar/</t>
  </si>
  <si>
    <t>astrologyeffect.site</t>
  </si>
  <si>
    <t>172.67.189.91</t>
  </si>
  <si>
    <t>5f99e06edf803</t>
  </si>
  <si>
    <t>https://astrologyeffect.site/codemasg/5847CHfdfffdgfgfgdfgdfgfKar/</t>
  </si>
  <si>
    <t>68.183.103.151</t>
  </si>
  <si>
    <t>5f9a315fef8f3</t>
  </si>
  <si>
    <t>http://68.183.103.151/edge-ie-micwin/?phone=+61-1800-290-952&amp;amp;</t>
  </si>
  <si>
    <t>217.69.10.211</t>
  </si>
  <si>
    <t>5f9ab7b470307</t>
  </si>
  <si>
    <t>http://217.69.10.211/XMFF7xe888/index.html?phone=0800-180-1054&amp;amp;</t>
  </si>
  <si>
    <t>today-breakingnews.com</t>
  </si>
  <si>
    <t>104.18.41.155</t>
  </si>
  <si>
    <t>5f9ad34a3aa9a</t>
  </si>
  <si>
    <t>https://today-breakingnews.com/codemasg/8488CHfdfffdgfgfgdfgdfgfKar/</t>
  </si>
  <si>
    <t>161.35.51.239</t>
  </si>
  <si>
    <t>5f9af81ce266c</t>
  </si>
  <si>
    <t>http://161.35.51.239/brows-all-mic-osx/?phone=+1-(888)-384-0304&amp;amp;</t>
  </si>
  <si>
    <t>68.183.29.50</t>
  </si>
  <si>
    <t>5f9b0399c5253</t>
  </si>
  <si>
    <t>http://68.183.29.50/brows-all-mic-osx/?phone=+1-(888)-390-7854&amp;amp;</t>
  </si>
  <si>
    <t>68.183.27.70</t>
  </si>
  <si>
    <t>5f9b0709d59c5</t>
  </si>
  <si>
    <t>http://68.183.27.70/brows-all-mic-osx/?phone=+1-(888)-392-1817&amp;amp;</t>
  </si>
  <si>
    <t>5f9b039edefc5</t>
  </si>
  <si>
    <t>http://68.183.27.70/brows-all-mic-osx/?phone=+1-(888)-399-8375&amp;amp;</t>
  </si>
  <si>
    <t>68.183.104.131</t>
  </si>
  <si>
    <t>5f9b0dab35817</t>
  </si>
  <si>
    <t>http://68.183.104.131/brows-all-mic-osx/?phone=+1-(888)-390-4325&amp;amp;</t>
  </si>
  <si>
    <t>142.93.240.193</t>
  </si>
  <si>
    <t>5f9b535abd8d0</t>
  </si>
  <si>
    <t>http://142.93.240.193/brows-all-mic-osx/?phone=+61-1800-290-956&amp;amp;</t>
  </si>
  <si>
    <t>159.89.131.69</t>
  </si>
  <si>
    <t>5f9b967eba4b5</t>
  </si>
  <si>
    <t>http://159.89.131.69/systemerror-win-chx/</t>
  </si>
  <si>
    <t>freeware506.ga</t>
  </si>
  <si>
    <t>104.28.11.252</t>
  </si>
  <si>
    <t>5f9b996439b03</t>
  </si>
  <si>
    <t>https://freeware506.ga/Win24Se_0319_IExEDGE_8279-1.info/Winhelpx888codexwinEDerrorxx08/</t>
  </si>
  <si>
    <t>phrmaonlinesot.com</t>
  </si>
  <si>
    <t>188.166.80.9</t>
  </si>
  <si>
    <t>5f9b99dcc24b6</t>
  </si>
  <si>
    <t>https://phrmaonlinesot.com/irgyux01-nc15g456-er5r8e1-4fss8465s-58fg5s9-er5e7r9e1-x45vx48s-c45x7g8d-s4578r4-45b48gd4g/njporx-4835/iegcx/</t>
  </si>
  <si>
    <t>www.catsberrylp.online</t>
  </si>
  <si>
    <t>128.199.190.170</t>
  </si>
  <si>
    <t>5fa4e57d2a60f</t>
  </si>
  <si>
    <t>https://www.catsberrylp.online/3Nov_win_run_dll_updated_ok_JP/</t>
  </si>
  <si>
    <t>5f9b99fcae1ca</t>
  </si>
  <si>
    <t>https://www.catsberrylp.online/06092020_win_mac_JP/K10ED110001ddfRSddfJP/index.html</t>
  </si>
  <si>
    <t>142.93.33.211</t>
  </si>
  <si>
    <t>5f9dbdc75f970</t>
  </si>
  <si>
    <t>http://142.93.33.211/gfgserfgnvfrdgjguyftfasereghhugyfrsewaetfg/_BJHJEHFEFBENCBJCCBJBHVHBVVYVHRVABLBCHCEWCEBCBEBBCVEHVNMC/Winhelpxcode111888securityCH00</t>
  </si>
  <si>
    <t>52.219.40.82</t>
  </si>
  <si>
    <t>5f9efffeaa35c</t>
  </si>
  <si>
    <t>https://s3-ap-southeast-1.amazonaws.com/windows-security-defender-trozn.jsr3499205/index.html</t>
  </si>
  <si>
    <t>serveronlinearftghuj.ml</t>
  </si>
  <si>
    <t>172.67.186.6</t>
  </si>
  <si>
    <t>5f9f2236e060b</t>
  </si>
  <si>
    <t>http://serveronlinearftghuj.ml/CHfdfdfdfd100110dfRS/</t>
  </si>
  <si>
    <t>vajbgjdgfkjdbgfkjd1b.s3-accelerate.amazonaws.com</t>
  </si>
  <si>
    <t>143.204.222.36</t>
  </si>
  <si>
    <t>5f9f27a49bfa9</t>
  </si>
  <si>
    <t>https://vajbgjdgfkjdbgfkjd1b.s3-accelerate.amazonaws.com/0153/CHEDfdhelplinecodex007/index.html</t>
  </si>
  <si>
    <t>95.179.208.77</t>
  </si>
  <si>
    <t>5f9ff6f932138</t>
  </si>
  <si>
    <t>http://95.179.208.77/XMFF7xe888/index.html?phone=0800-180-1054&amp;amp;</t>
  </si>
  <si>
    <t>157.230.11.162</t>
  </si>
  <si>
    <t>5fa04a141c7a0</t>
  </si>
  <si>
    <t>http://157.230.11.162/brows-all-mic-osx/?phone=+1-(888)-399-6118&amp;amp;</t>
  </si>
  <si>
    <t>157.230.227.212</t>
  </si>
  <si>
    <t>5f9c4607bcb3c</t>
  </si>
  <si>
    <t>http://157.230.227.212/brows-all-mic-osx/?phone=+1-(888)-385-4903&amp;amp;</t>
  </si>
  <si>
    <t>157.230.227.216</t>
  </si>
  <si>
    <t>5f9c461184da5</t>
  </si>
  <si>
    <t>http://157.230.227.216/ed-ie-18/?phone=+1-(888)-362-7201&amp;amp;</t>
  </si>
  <si>
    <t>157.230.227.225</t>
  </si>
  <si>
    <t>5f9c4bfd79b22</t>
  </si>
  <si>
    <t>http://157.230.227.225/brows-all-mic-osx/?phone=+1-(888)-307-4008&amp;amp;</t>
  </si>
  <si>
    <t>worldweather.site</t>
  </si>
  <si>
    <t>104.24.101.171</t>
  </si>
  <si>
    <t>5f9c4d1810879</t>
  </si>
  <si>
    <t>https://worldweather.site/codemasg/8488CHfdfffdgfgfgdfgdfgfKar/</t>
  </si>
  <si>
    <t>microsoft-windows-defender-security-scan-usa-2950.s3.us-east-2.amazon</t>
  </si>
  <si>
    <t>52.219.80.48</t>
  </si>
  <si>
    <t>5f9c4d18edef1</t>
  </si>
  <si>
    <t>https://microsoft-windows-defender-security-scan-usa-2950.s3.us-east-2.amazonaws.com/today-fri-2310.html</t>
  </si>
  <si>
    <t>authentic-recipe.site</t>
  </si>
  <si>
    <t>104.28.9.58</t>
  </si>
  <si>
    <t>5f9c5f15a6210</t>
  </si>
  <si>
    <t>https://authentic-recipe.site/codemase/3969CHfdfdfdfd100110dfSHA/</t>
  </si>
  <si>
    <t>157.230.226.27</t>
  </si>
  <si>
    <t>5f9c698a0638f</t>
  </si>
  <si>
    <t>http://157.230.226.27/brows-all-mic-osx/?phone=+1-(888)-312-4995&amp;amp;</t>
  </si>
  <si>
    <t>lagg0issue230.ml</t>
  </si>
  <si>
    <t>104.31.94.122</t>
  </si>
  <si>
    <t>5f9c69bd1cb55</t>
  </si>
  <si>
    <t>https://lagg0issue230.ml/CodeH2NortonhelplinexT725820/WinYsecurity111x80/</t>
  </si>
  <si>
    <t>157.230.237.108</t>
  </si>
  <si>
    <t>5f9c8bfaeb0a0</t>
  </si>
  <si>
    <t>http://157.230.237.108/brows-all-mic-osx/?phone=+1-(888)-401-5139&amp;amp;</t>
  </si>
  <si>
    <t>206.189.183.57</t>
  </si>
  <si>
    <t>5f9c95185d25d</t>
  </si>
  <si>
    <t>http://206.189.183.57/brows-all-mic-osx/?phone=+1-(888)-318-8430&amp;amp;</t>
  </si>
  <si>
    <t>snmkptgf.online</t>
  </si>
  <si>
    <t>104.18.41.163</t>
  </si>
  <si>
    <t>5f9cbdadc690f</t>
  </si>
  <si>
    <t>https://snmkptgf.online/irgyux01-nc15g456-er5r8e1-4fss8465s-58fg5s9-er5e7r9e1-x45vx48s-c45x7g8d-s4578r4-45b48gd4g/njporx-4835/iegcx/</t>
  </si>
  <si>
    <t>11messyhjd.azurewebsites.net</t>
  </si>
  <si>
    <t>52.228.84.33</t>
  </si>
  <si>
    <t>60de0039767d9</t>
  </si>
  <si>
    <t>https://11messyhjd.azurewebsites.net/W088MSi08880Moit0yCH0008Mhi0/index.html</t>
  </si>
  <si>
    <t>54bitwedf.azurewebsites.net</t>
  </si>
  <si>
    <t>60ddf5e9a73b3</t>
  </si>
  <si>
    <t>https://54bitwedf.azurewebsites.net/W088MSi08880Moit0yCED0008Mhi0/index.html</t>
  </si>
  <si>
    <t>40bitfghd.azurewebsites.net</t>
  </si>
  <si>
    <t>60ddef556614a</t>
  </si>
  <si>
    <t>https://40bitfghd.azurewebsites.net/W088MSi08880Moit0yCED0008Mhi0/index.html</t>
  </si>
  <si>
    <t>27messujki.azurewebsites.net</t>
  </si>
  <si>
    <t>60db5623c1e13</t>
  </si>
  <si>
    <t>https://27messujki.azurewebsites.net/W088MSi08880Moit0yCED0008Mhi0/index.html</t>
  </si>
  <si>
    <t>09torronqwsa.azurewebsites.net</t>
  </si>
  <si>
    <t>60d3751a2caeb</t>
  </si>
  <si>
    <t>https://09torronqwsa.azurewebsites.net/W088MSi08880Moit0yCED0008Mhi0/index.html</t>
  </si>
  <si>
    <t>44teamqwaz.azurewebsites.net</t>
  </si>
  <si>
    <t>60d23944c07d0</t>
  </si>
  <si>
    <t>https://44teamqwaz.azurewebsites.net/W088MSi08880Moit0yCED0008Mhi0/index.html</t>
  </si>
  <si>
    <t>43teamasdf.azurewebsites.net</t>
  </si>
  <si>
    <t>60d2387274ccc</t>
  </si>
  <si>
    <t>https://43teamasdf.azurewebsites.net/W088MSi08880Moit0yCED0008Mhi0/index.html</t>
  </si>
  <si>
    <t>60teamqasz.azurewebsites.net</t>
  </si>
  <si>
    <t>60d0e6aba94e6</t>
  </si>
  <si>
    <t>https://60teamqasz.azurewebsites.net/W088MSi08880Moit0yCH0008Mhi0/index.html</t>
  </si>
  <si>
    <t>46teamikju.azurewebsites.net</t>
  </si>
  <si>
    <t>60d0e25b62447</t>
  </si>
  <si>
    <t>https://46teamikju.azurewebsites.net/W088MSi08880Moit0yCED0008Mhi0/index.html</t>
  </si>
  <si>
    <t>44teamikjh.azurewebsites.net</t>
  </si>
  <si>
    <t>60d0e1428bb81</t>
  </si>
  <si>
    <t>https://44teamikjh.azurewebsites.net/W088MSi08880Moit0yCED0008Mhi0/index.html</t>
  </si>
  <si>
    <t>40teamqasd.azurewebsites.net</t>
  </si>
  <si>
    <t>60d0df53b78ea</t>
  </si>
  <si>
    <t>https://40teamqasd.azurewebsites.net/W088MSi08880Moit0yCED0008Mhi0/index.html</t>
  </si>
  <si>
    <t>25torronasdx.azurewebsites.net</t>
  </si>
  <si>
    <t>60d0d5292dcc2</t>
  </si>
  <si>
    <t>https://25torronasdx.azurewebsites.net/W088MSi08880Moit0yCED0008Mhi0/index.html</t>
  </si>
  <si>
    <t>43tinyqasz.azurewebsites.net</t>
  </si>
  <si>
    <t>60cb7da2d05ee</t>
  </si>
  <si>
    <t>https://43tinyqasz.azurewebsites.net/W088MSi08880Moit0yCED0008Mhi0/index.html</t>
  </si>
  <si>
    <t>39tinyqwsd.azurewebsites.net</t>
  </si>
  <si>
    <t>60cb7bb609f74</t>
  </si>
  <si>
    <t>https://39tinyqwsd.azurewebsites.net/W088MSi08880Moit0yCED0008Mhi0/index.html</t>
  </si>
  <si>
    <t>19tinyureerdf.azurewebsites.net</t>
  </si>
  <si>
    <t>60c278de3b858</t>
  </si>
  <si>
    <t>https://19tinyureerdf.azurewebsites.net/W088MSi08880Moit0yCH0008Mhi0/index.html</t>
  </si>
  <si>
    <t>10tinyureasdx.azurewebsites.net</t>
  </si>
  <si>
    <t>60c274e14251b</t>
  </si>
  <si>
    <t>https://10tinyureasdx.azurewebsites.net/W088MSi08880Moit0yCH0008Mhi0/index.html</t>
  </si>
  <si>
    <t>03tinyureqwas.azurewebsites.net</t>
  </si>
  <si>
    <t>60c26d30a016c</t>
  </si>
  <si>
    <t>https://03tinyureqwas.azurewebsites.net/W088MSi08880Moit0yCH0008Mhi0/index.html</t>
  </si>
  <si>
    <t>52usleqwas.azurewebsites.net</t>
  </si>
  <si>
    <t>60c264aae2ebc</t>
  </si>
  <si>
    <t>https://52usleqwas.azurewebsites.net/W088MSi08880Moit0yCED0008Mhi0/index.html</t>
  </si>
  <si>
    <t>51usleasdx.azurewebsites.net</t>
  </si>
  <si>
    <t>60c2639b15d57</t>
  </si>
  <si>
    <t>https://51usleasdx.azurewebsites.net/W088MSi08880Moit0yCED0008Mhi0/index.html</t>
  </si>
  <si>
    <t>43usleqwas.azurewebsites.net</t>
  </si>
  <si>
    <t>60c25f9b5040c</t>
  </si>
  <si>
    <t>https://43usleqwas.azurewebsites.net/W088MSi08880Moit0yCED0008Mhi0/index.html</t>
  </si>
  <si>
    <t>07isgeasdw.azurewebsites.net</t>
  </si>
  <si>
    <t>60c23e9455a11</t>
  </si>
  <si>
    <t>https://07isgeasdw.azurewebsites.net/W088MSi08880Moit0yCH0008Mhi0/index.html</t>
  </si>
  <si>
    <t>43bufflewesd.azurewebsites.net</t>
  </si>
  <si>
    <t>60b919578a810</t>
  </si>
  <si>
    <t>https://43bufflewesd.azurewebsites.net/W088MSi08880Moit0yCED0008Mhi0/index.html</t>
  </si>
  <si>
    <t>17usletgfr.azurewebsites.net</t>
  </si>
  <si>
    <t>60b7d4a57487c</t>
  </si>
  <si>
    <t>https://17usletgfr.azurewebsites.net/W088MSi08880Moit0yCH0008Mhi0/index.html</t>
  </si>
  <si>
    <t>07usletrfg.azurewebsites.net</t>
  </si>
  <si>
    <t>60b7cfa7dd47c</t>
  </si>
  <si>
    <t>https://07usletrfg.azurewebsites.net/W088MSi08880Moit0yCH0008Mhi0/index.html</t>
  </si>
  <si>
    <t>38osteortfg.azurewebsites.net</t>
  </si>
  <si>
    <t>60a69f60c13e3</t>
  </si>
  <si>
    <t>https://38osteortfg.azurewebsites.net/ERRWINIn01MSi0XXiUIMAC0MXGRAPHIC/index.html</t>
  </si>
  <si>
    <t>29dogebiterdf.azurewebsites.net</t>
  </si>
  <si>
    <t>60a4032a0aeb3</t>
  </si>
  <si>
    <t>https://29dogebiterdf.azurewebsites.net/ERRWINIn01MSi0XXiUICH0MXGRAPHIC/index.html</t>
  </si>
  <si>
    <t>13bitsupportujhn.azurewebsites.net</t>
  </si>
  <si>
    <t>60a3e8b6e84cf</t>
  </si>
  <si>
    <t>https://13bitsupportujhn.azurewebsites.net/ERRWINIn01MSi0XXiUICH0MXGRAPHIC/index.html</t>
  </si>
  <si>
    <t>12bitsupportaszq.azurewebsites.net</t>
  </si>
  <si>
    <t>60a29915714c1</t>
  </si>
  <si>
    <t>https://12bitsupportaszq.azurewebsites.net/ERRWINIn01MSi0XXiUICH0MXGRAPHIC/index.html</t>
  </si>
  <si>
    <t>32core-helpuiko.azurewebsites.net</t>
  </si>
  <si>
    <t>60811b2f33f84</t>
  </si>
  <si>
    <t>https://32core-helpuiko.azurewebsites.net/W088In01MSi08880it0yFF000811JD/index.html</t>
  </si>
  <si>
    <t>19get-connectedtyhj.azurewebsites.net</t>
  </si>
  <si>
    <t>6082f5d9c1c89</t>
  </si>
  <si>
    <t>https://19get-connectedtyhj.azurewebsites.net/W088In01MSi08880it0yCH000811JD/index.html</t>
  </si>
  <si>
    <t>10getsupportmnds.azurewebsites.net</t>
  </si>
  <si>
    <t>60396e20de5d5</t>
  </si>
  <si>
    <t>https://10getsupportmnds.azurewebsites.net/bEEMIN00101CH00YY1888/</t>
  </si>
  <si>
    <t>20helpandsupportmjko.azurewebsites.net</t>
  </si>
  <si>
    <t>60369eafa1d0d</t>
  </si>
  <si>
    <t>https://20helpandsupportmjko.azurewebsites.net/bEEMIN00101CH00YY1888/</t>
  </si>
  <si>
    <t>28helpandsupportcfpo.azurewebsites.net</t>
  </si>
  <si>
    <t>6033f7cca9694</t>
  </si>
  <si>
    <t>https://28helpandsupportcfpo.azurewebsites.net/bEEMIN00101CH00YY1888/</t>
  </si>
  <si>
    <t>02helpandsupportder.azurewebsites.net</t>
  </si>
  <si>
    <t>6033e59da1355</t>
  </si>
  <si>
    <t>https://02helpandsupportder.azurewebsites.net/bEEMIN00101ED00YY1888/</t>
  </si>
  <si>
    <t>onestopsupportregeffgeg.azurewebsites.net</t>
  </si>
  <si>
    <t>5ffe0a938c2df</t>
  </si>
  <si>
    <t>https://onestopsupportregeffgeg.azurewebsites.net/MicOSoCHPC017528240X00/</t>
  </si>
  <si>
    <t>45-geek-support.azurewebsites.net</t>
  </si>
  <si>
    <t>5fd7aa2b05047</t>
  </si>
  <si>
    <t>https://45-geek-support.azurewebsites.net/Wind0HelEDGSyS06016552664/</t>
  </si>
  <si>
    <t>quick-support290.azurewebsites.net</t>
  </si>
  <si>
    <t>5faf44564618c</t>
  </si>
  <si>
    <t>http://quick-support290.azurewebsites.net/JArbZ98cFQJapCA/</t>
  </si>
  <si>
    <t>livequick-support105.azurewebsites.net</t>
  </si>
  <si>
    <t>5faf3d3c879d9</t>
  </si>
  <si>
    <t>http://livequick-support105.azurewebsites.net/JArbZ98cFQJapCA/</t>
  </si>
  <si>
    <t>livequick-support090.azurewebsites.net</t>
  </si>
  <si>
    <t>5faf39a9379c1</t>
  </si>
  <si>
    <t>http://livequick-support090.azurewebsites.net/JArbZ98cFQJapCA/</t>
  </si>
  <si>
    <t>livequick-support065.azurewebsites.net</t>
  </si>
  <si>
    <t>5faf391ce2aa2</t>
  </si>
  <si>
    <t>http://livequick-support065.azurewebsites.net/JArbZ98cFQJapCA/</t>
  </si>
  <si>
    <t>quick-support095.azurewebsites.net</t>
  </si>
  <si>
    <t>5fa43fe623bca</t>
  </si>
  <si>
    <t>https://quick-support095.azurewebsites.net/KZPnhPzq8R8jHBD/</t>
  </si>
  <si>
    <t>quick-support090.azurewebsites.net</t>
  </si>
  <si>
    <t>5fa43e2ae33d7</t>
  </si>
  <si>
    <t>https://quick-support090.azurewebsites.net/KZPnhPzq8R8jHBD/</t>
  </si>
  <si>
    <t>quick-support085.azurewebsites.net</t>
  </si>
  <si>
    <t>5fa43ba1f4128</t>
  </si>
  <si>
    <t>https://quick-support085.azurewebsites.net/KZPnhPzq8R8jHBD/</t>
  </si>
  <si>
    <t>livequickpcsupport045.azurewebsites.net</t>
  </si>
  <si>
    <t>5fa04ceeee7a9</t>
  </si>
  <si>
    <t>https://livequickpcsupport045.azurewebsites.net/gxDdcFJ5WdRaJjW/</t>
  </si>
  <si>
    <t>157.230.238.245</t>
  </si>
  <si>
    <t>5fa080eaa5503</t>
  </si>
  <si>
    <t>http://157.230.238.245/brows-all-mic-osx/?phone=+1-(888)-395-1374&amp;amp;</t>
  </si>
  <si>
    <t>aqjsci.club</t>
  </si>
  <si>
    <t>104.27.167.117</t>
  </si>
  <si>
    <t>5fa1ab58ecc30</t>
  </si>
  <si>
    <t>https://aqjsci.club/__Windo_ws_O46DZU7_B_GP0R_/5A3YCK__648PR__/UP_MWIRE/?n_b=MSg4NDQpMzAzIDM1NjU=&amp;amp;s_1=s1163_28091</t>
  </si>
  <si>
    <t>bjkxjs.club</t>
  </si>
  <si>
    <t>104.28.12.55</t>
  </si>
  <si>
    <t>5fa1acf1d1848</t>
  </si>
  <si>
    <t>https://bjkxjs.club/__Windo_ws_O46DZU7_B_GP0R_/5A3YCK__648PR__/UP_MWIRE/?n_b=MSg4NDQpMzAzIDM1NjU=&amp;amp;s_1=s1163_11000</t>
  </si>
  <si>
    <t>134.209.76.81</t>
  </si>
  <si>
    <t>5fa1b606b911a</t>
  </si>
  <si>
    <t>http://134.209.76.81/brows-all-mic-osx/?phone=+1-(888)-220-8359&amp;amp;</t>
  </si>
  <si>
    <t>134.209.72.251</t>
  </si>
  <si>
    <t>5fa1bbdaea51c</t>
  </si>
  <si>
    <t>http://134.209.72.251/brows-all-mic-osx/?phone=+1-(888)-238-0275&amp;amp;</t>
  </si>
  <si>
    <t>ahuuoy.club</t>
  </si>
  <si>
    <t>172.67.174.30</t>
  </si>
  <si>
    <t>5fa1c733701cc</t>
  </si>
  <si>
    <t>https://ahuuoy.club/__Windo_ws_O46DZU7_B_GP0R_/5A3YCK__648PR__/UP_MWIRE/?n_b=MSg4NDQpMzAzIDk1MTI=&amp;amp;s_1=1232-j5gqA2CnTht8ouwGX2QeYz</t>
  </si>
  <si>
    <t>mkjrandomdbv.online</t>
  </si>
  <si>
    <t>172.67.210.29</t>
  </si>
  <si>
    <t>5fa21d731731c</t>
  </si>
  <si>
    <t>https://mkjrandomdbv.online/fgedfx01/jproz9336/edgx/</t>
  </si>
  <si>
    <t>portal245gh.ga</t>
  </si>
  <si>
    <t>172.67.153.66</t>
  </si>
  <si>
    <t>5fa21dc2395ca</t>
  </si>
  <si>
    <t>https://portal245gh.ga/Win24Se_2035_IExEDGE_8279-1.inf0/Winhelpx888codexwinEDerrorxx08/</t>
  </si>
  <si>
    <t>www.pharmabig.online</t>
  </si>
  <si>
    <t>192.34.61.158</t>
  </si>
  <si>
    <t>5fa241343c3c6</t>
  </si>
  <si>
    <t>https://www.pharmabig.online/3Nov_win_run_dll_updated_ok_JP/</t>
  </si>
  <si>
    <t>compility906.ml</t>
  </si>
  <si>
    <t>104.31.68.186</t>
  </si>
  <si>
    <t>5fa241f9dd37d</t>
  </si>
  <si>
    <t>https://compility906.ml/Win24Se_9192_IExEDGE_8794-1.info/Winhelpx888codexwinEDerrorxx08/</t>
  </si>
  <si>
    <t>198.13.51.98</t>
  </si>
  <si>
    <t>5fa25650b63ba</t>
  </si>
  <si>
    <t>http://198.13.51.98/K10CHED110001ddfRSddfMeetJP/index.html</t>
  </si>
  <si>
    <t>108.61.177.77</t>
  </si>
  <si>
    <t>5fa28588747b3</t>
  </si>
  <si>
    <t>http://108.61.177.77/XMFF7xe888/index.html?phone=0800-180-1054&amp;amp;</t>
  </si>
  <si>
    <t>rolefoods.site</t>
  </si>
  <si>
    <t>104.18.35.49</t>
  </si>
  <si>
    <t>5fa2efbfb3ac9</t>
  </si>
  <si>
    <t>https://rolefoods.site/codemase/1406CHfdfdfdfd100110dfSHA/</t>
  </si>
  <si>
    <t>dkho-magar-pyar-se.ga</t>
  </si>
  <si>
    <t>172.67.196.178</t>
  </si>
  <si>
    <t>5fa2f0f9edfcf</t>
  </si>
  <si>
    <t>https://dkho-magar-pyar-se.ga/028newokifgsiufgdsgfinsdinvgisdgvsgvisgvivnidgvdsiungvsnewk/ch-new2-iwegfugwfwufwuf/</t>
  </si>
  <si>
    <t>yummytastyfood.site</t>
  </si>
  <si>
    <t>104.28.19.131</t>
  </si>
  <si>
    <t>5fa2fc6604fb0</t>
  </si>
  <si>
    <t>https://yummytastyfood.site/codemase/7789CHfdfdfdfd100110dfSHA/</t>
  </si>
  <si>
    <t>dikqvu.club</t>
  </si>
  <si>
    <t>104.27.181.46</t>
  </si>
  <si>
    <t>5fa2ff86a3739</t>
  </si>
  <si>
    <t>https://dikqvu.club/__Windo_ws_J_9TK4_Z0PLAO1_/O_NKBU_W7_S8PQZ/3_YCZB4E_I/?n_b=MSg4NDQpMzAzIDczNTI=&amp;amp;s_1=1210-WEbxUb3P2aFGtw7TPUjwD9</t>
  </si>
  <si>
    <t>windows-repairs.xyz</t>
  </si>
  <si>
    <t>172.67.214.51</t>
  </si>
  <si>
    <t>5fa30b04a0642</t>
  </si>
  <si>
    <t>https://windows-repairs.xyz/tjhkdgflagfuiagsif/home.php</t>
  </si>
  <si>
    <t>moonastrology.online</t>
  </si>
  <si>
    <t>172.67.150.5</t>
  </si>
  <si>
    <t>5fa30b398e847</t>
  </si>
  <si>
    <t>https://moonastrology.online/codemase/7789CHfdfdfdfd100110dfSHA/</t>
  </si>
  <si>
    <t>ddumrg.club</t>
  </si>
  <si>
    <t>104.28.25.196</t>
  </si>
  <si>
    <t>5fa31ab513403</t>
  </si>
  <si>
    <t>https://ddumrg.club/__Windo_ws_J_9TK4_Z0PLAO1_/O_NKBU_W7_S8PQZ/3_YCZB4E_I/?n_b=MSg4NDQpMjk3IDIwNDQ=&amp;amp;s_1=s1152_6514cf1f48</t>
  </si>
  <si>
    <t>neelamwatertech.site</t>
  </si>
  <si>
    <t>172.67.152.160</t>
  </si>
  <si>
    <t>5fa31ae366b76</t>
  </si>
  <si>
    <t>https://neelamwatertech.site/codemase/7321CHfdfdfdfd100110dfSHA/</t>
  </si>
  <si>
    <t>AS53824</t>
  </si>
  <si>
    <t>svggalslive.net</t>
  </si>
  <si>
    <t>50.28.105.35</t>
  </si>
  <si>
    <t>5fa33a01bf6c8</t>
  </si>
  <si>
    <t>https://svggalslive.net/code7219g/</t>
  </si>
  <si>
    <t>157.230.218.1</t>
  </si>
  <si>
    <t>5fa36bb9922a0</t>
  </si>
  <si>
    <t>http://157.230.218.1/ed-ie-18/?phone=+61-1800-235-294&amp;amp;</t>
  </si>
  <si>
    <t>cfbgminsertsnht.online</t>
  </si>
  <si>
    <t>104.27.137.49</t>
  </si>
  <si>
    <t>5fa371a745c43</t>
  </si>
  <si>
    <t>https://cfbgminsertsnht.online/irfyx01/njporx-4835/iegcx/</t>
  </si>
  <si>
    <t>34.243.142.225</t>
  </si>
  <si>
    <t>5fa3d71b4fb89</t>
  </si>
  <si>
    <t>http://34.243.142.225/cerave/lotion.html?=670-309-1029</t>
  </si>
  <si>
    <t>3.250.79.129</t>
  </si>
  <si>
    <t>5fa3d925ef17d</t>
  </si>
  <si>
    <t>http://3.250.79.129/benoemd/voorzitter.html?=030-369-0457</t>
  </si>
  <si>
    <t>5fa3d88b2beb8</t>
  </si>
  <si>
    <t>http://3.250.79.129/rough/republican.html?=044-586-2507</t>
  </si>
  <si>
    <t>1739949240.rsc.cdn77.org</t>
  </si>
  <si>
    <t>195.181.175.51</t>
  </si>
  <si>
    <t>6037f2e49fd77</t>
  </si>
  <si>
    <t>https://1739949240.rsc.cdn77.org/22wx/?phone=+1-(888)-650-6908&amp;amp;</t>
  </si>
  <si>
    <t>1012075275.rsc.cdn77.org</t>
  </si>
  <si>
    <t>5fa3dba372c92</t>
  </si>
  <si>
    <t>https://1012075275.rsc.cdn77.org/HRYDED18811881187D_NB/</t>
  </si>
  <si>
    <t>mkhnrwebzonhb.online</t>
  </si>
  <si>
    <t>104.28.21.250</t>
  </si>
  <si>
    <t>5fa3dfa99368c</t>
  </si>
  <si>
    <t>https://mkhnrwebzonhb.online/beupfx01-cv2b4d46-58e4re4r-cx578f8s56-xv587sfs45-ereredfd-5c56x584fs-df5dfd8f4-xvcz545f4d/euhillx01/iegx01/</t>
  </si>
  <si>
    <t>110-getyourpcfixedccfsfdsfd.azurewebsites.net</t>
  </si>
  <si>
    <t>40.119.12.11</t>
  </si>
  <si>
    <t>600ef75138bc5</t>
  </si>
  <si>
    <t>https://110-getyourpcfixedccfsfdsfd.azurewebsites.net/MicOSoEDPC017528240X00/</t>
  </si>
  <si>
    <t>10-geek-support.azurewebsites.net</t>
  </si>
  <si>
    <t>5fd791cf9d2bf</t>
  </si>
  <si>
    <t>https://10-geek-support.azurewebsites.net/Wind0HelEDGSyS06016552664/</t>
  </si>
  <si>
    <t>134-getsupport.azurewebsites.net</t>
  </si>
  <si>
    <t>5fce6b0a06c7e</t>
  </si>
  <si>
    <t>https://134-getsupport.azurewebsites.net/Wind0HelEDGSyS06016552664/</t>
  </si>
  <si>
    <t>livequick-support130.azurewebsites.net</t>
  </si>
  <si>
    <t>5faf3db4c1598</t>
  </si>
  <si>
    <t>http://livequick-support130.azurewebsites.net/JArbZ98cFQJapCA/</t>
  </si>
  <si>
    <t>quick-support270.azurewebsites.net</t>
  </si>
  <si>
    <t>5fa96e79e5980</t>
  </si>
  <si>
    <t>https://quick-support270.azurewebsites.net/VXJfzDqW2zqUqWz/</t>
  </si>
  <si>
    <t>quick-support070.azurewebsites.net</t>
  </si>
  <si>
    <t>5fa4398ae9d9d</t>
  </si>
  <si>
    <t>https://quick-support070.azurewebsites.net/KZPnhPzq8R8jHBD/</t>
  </si>
  <si>
    <t>quick-support056.azurewebsites.net</t>
  </si>
  <si>
    <t>5fa438ca2f53b</t>
  </si>
  <si>
    <t>https://quick-support056.azurewebsites.net/KZPnhPzq8R8jHBD/</t>
  </si>
  <si>
    <t>quick-support050.azurewebsites.net</t>
  </si>
  <si>
    <t>5fa437d239248</t>
  </si>
  <si>
    <t>https://quick-support050.azurewebsites.net/KZPnhPzq8R8jHBD/</t>
  </si>
  <si>
    <t>quick-support288.azurewebsites.net</t>
  </si>
  <si>
    <t>20.49.104.9</t>
  </si>
  <si>
    <t>5faf444cee5b8</t>
  </si>
  <si>
    <t>http://quick-support288.azurewebsites.net/JArbZ98cFQJapCA/</t>
  </si>
  <si>
    <t>livequick-support147.azurewebsites.net</t>
  </si>
  <si>
    <t>5faf3e022e7c4</t>
  </si>
  <si>
    <t>http://livequick-support147.azurewebsites.net/JArbZ98cFQJapCA/</t>
  </si>
  <si>
    <t>livequick-support138.azurewebsites.net</t>
  </si>
  <si>
    <t>5faf3dda0a31e</t>
  </si>
  <si>
    <t>http://livequick-support138.azurewebsites.net/JArbZ98cFQJapCA/</t>
  </si>
  <si>
    <t>quick-support267.azurewebsites.net</t>
  </si>
  <si>
    <t>5fa96e0e0fb2c</t>
  </si>
  <si>
    <t>https://quick-support267.azurewebsites.net/VXJfzDqW2zqUqWz/</t>
  </si>
  <si>
    <t>quick-support059.azurewebsites.net</t>
  </si>
  <si>
    <t>5fa438fe04efa</t>
  </si>
  <si>
    <t>https://quick-support059.azurewebsites.net/KZPnhPzq8R8jHBD/</t>
  </si>
  <si>
    <t>aal1.azurewebsites.net</t>
  </si>
  <si>
    <t>20.40.202.3</t>
  </si>
  <si>
    <t>6082d983bafd0</t>
  </si>
  <si>
    <t>http://aal1.azurewebsites.net/W880n01xm888se0cur0it0yCH008VP888Y/index.html</t>
  </si>
  <si>
    <t>getsyourspcfixed-177fsfsfsfsfs.azurewebsites.net</t>
  </si>
  <si>
    <t>601dae087d5ff</t>
  </si>
  <si>
    <t>https://getsyourspcfixed-177fsfsfsfsfs.azurewebsites.net/MicOSoCHPC017528240X00/</t>
  </si>
  <si>
    <t>getsyourspcfixed-155tyythtthth.azurewebsites.net</t>
  </si>
  <si>
    <t>601d9a37de5d3</t>
  </si>
  <si>
    <t>https://getsyourspcfixed-155tyythtthth.azurewebsites.net/MicOSoCHPC017528240X00/</t>
  </si>
  <si>
    <t>11-getyourpcfixedfdgvdfgdg.azurewebsites.net</t>
  </si>
  <si>
    <t>60145f018c096</t>
  </si>
  <si>
    <t>https://11-getyourpcfixedfdgvdfgdg.azurewebsites.net/MicOSoMACPC017528240X00/</t>
  </si>
  <si>
    <t>supportscenter-06.azurewebsites.net</t>
  </si>
  <si>
    <t>5fe255961b6b6</t>
  </si>
  <si>
    <t>https://supportscenter-06.azurewebsites.net/Wind0HelCHSyS06016552664/</t>
  </si>
  <si>
    <t>ccxdserssaxxx12.azurewebsites.net</t>
  </si>
  <si>
    <t>5fe251f0065b5</t>
  </si>
  <si>
    <t>https://ccxdserssaxxx12.azurewebsites.net/W880n01xm888se0cur0it0yCH008VP888Y/index.html</t>
  </si>
  <si>
    <t>opssonsline45sport5.azurewebsites.net</t>
  </si>
  <si>
    <t>5fe250c4242de</t>
  </si>
  <si>
    <t>https://opssonsline45sport5.azurewebsites.net/W880n01xm888se0cur0it0yCH008VP888Y/index.html</t>
  </si>
  <si>
    <t>ccxxsdasddd2.azurewebsites.net</t>
  </si>
  <si>
    <t>5fe25053a07aa</t>
  </si>
  <si>
    <t>https://ccxxsdasddd2.azurewebsites.net/W880n01xm888se0cur0it0yCH008VP888Y/index.html</t>
  </si>
  <si>
    <t>opssonsline45sport6.azurewebsites.net</t>
  </si>
  <si>
    <t>5fe25022e155b</t>
  </si>
  <si>
    <t>https://opssonsline45sport6.azurewebsites.net/W880n01xm888se0cur0it0yCH008VP888Y/index.html</t>
  </si>
  <si>
    <t>ccxxsdasddd1.azurewebsites.net</t>
  </si>
  <si>
    <t>5fe24f9ae3bd8</t>
  </si>
  <si>
    <t>https://ccxxsdasddd1.azurewebsites.net/W880n01xm888se0cur0it0yCH008VP888Y/index.html</t>
  </si>
  <si>
    <t>opssonsline45sport3.azurewebsites.net</t>
  </si>
  <si>
    <t>5fe24f4d5f05d</t>
  </si>
  <si>
    <t>https://opssonsline45sport3.azurewebsites.net/W880n01xm888se0cur0it0yCH008VP888Y/index.html</t>
  </si>
  <si>
    <t>mmnsdpaassdd12.azurewebsites.net</t>
  </si>
  <si>
    <t>5fe253feaa577</t>
  </si>
  <si>
    <t>https://mmnsdpaassdd12.azurewebsites.net/W880n01xm888se0cur0it0yCH008VP888Y/index.html</t>
  </si>
  <si>
    <t>38-geek-support.azurewebsites.net</t>
  </si>
  <si>
    <t>5fd7a49128fd6</t>
  </si>
  <si>
    <t>https://38-geek-support.azurewebsites.net/Wind0HelEDGSyS06016552664/</t>
  </si>
  <si>
    <t>106-getsupport.azurewebsites.net</t>
  </si>
  <si>
    <t>5fce542a2e545</t>
  </si>
  <si>
    <t>https://106-getsupport.azurewebsites.net/Wind0HelEDGSyS06016552664/</t>
  </si>
  <si>
    <t>quick-support277.azurewebsites.net</t>
  </si>
  <si>
    <t>5faf440cd09f0</t>
  </si>
  <si>
    <t>http://quick-support277.azurewebsites.net/JArbZ98cFQJapCA/</t>
  </si>
  <si>
    <t>livequick-support106.azurewebsites.net</t>
  </si>
  <si>
    <t>5faf3d413ce2e</t>
  </si>
  <si>
    <t>http://livequick-support106.azurewebsites.net/JArbZ98cFQJapCA/</t>
  </si>
  <si>
    <t>livequick-support080.azurewebsites.net</t>
  </si>
  <si>
    <t>5faf3974d5a7e</t>
  </si>
  <si>
    <t>http://livequick-support080.azurewebsites.net/JArbZ98cFQJapCA/</t>
  </si>
  <si>
    <t>livequick-support066.azurewebsites.net</t>
  </si>
  <si>
    <t>5faf39192cd5f</t>
  </si>
  <si>
    <t>http://livequick-support066.azurewebsites.net/JArbZ98cFQJapCA/</t>
  </si>
  <si>
    <t>quick-support266.azurewebsites.net</t>
  </si>
  <si>
    <t>5fa96e08f0e20</t>
  </si>
  <si>
    <t>https://quick-support266.azurewebsites.net/VXJfzDqW2zqUqWz/</t>
  </si>
  <si>
    <t>quick-support080.azurewebsites.net</t>
  </si>
  <si>
    <t>5fa439f46fd4d</t>
  </si>
  <si>
    <t>https://quick-support080.azurewebsites.net/KZPnhPzq8R8jHBD/</t>
  </si>
  <si>
    <t>quick-support066.azurewebsites.net</t>
  </si>
  <si>
    <t>5fa4396f5de57</t>
  </si>
  <si>
    <t>https://quick-support066.azurewebsites.net/KZPnhPzq8R8jHBD/</t>
  </si>
  <si>
    <t>quick-support060.azurewebsites.net</t>
  </si>
  <si>
    <t>5fa4390aa80a9</t>
  </si>
  <si>
    <t>https://quick-support060.azurewebsites.net/KZPnhPzq8R8jHBD/</t>
  </si>
  <si>
    <t>52.95.134.155</t>
  </si>
  <si>
    <t>5fa445e6b466f</t>
  </si>
  <si>
    <t>https://s3-ap-southeast-2.amazonaws.com/windows-security-defender-trozen.96x75x6x3.sys/index.html</t>
  </si>
  <si>
    <t>167.172.131.143</t>
  </si>
  <si>
    <t>5fa44fd6038ac</t>
  </si>
  <si>
    <t>http://167.172.131.143/win-m/?phone=+1-(888)-336-5926&amp;amp;</t>
  </si>
  <si>
    <t>hicuga.club</t>
  </si>
  <si>
    <t>104.27.149.8</t>
  </si>
  <si>
    <t>5fa450ded6b5a</t>
  </si>
  <si>
    <t>https://hicuga.club/__Windo_ws_J_9TK4_Z0PLAO1_/O_NKBU_W7_S8PQZ/3_YCZB4E_I/?n_b=MSg4MzMpMzc3IDIxMTY=&amp;amp;s_1=63-2278749073447</t>
  </si>
  <si>
    <t>167.99.237.24</t>
  </si>
  <si>
    <t>5fa455bd7430b</t>
  </si>
  <si>
    <t>http://167.99.237.24/win-m/?phone=+1-(888)-305-0508&amp;amp;</t>
  </si>
  <si>
    <t>nexgenint.website</t>
  </si>
  <si>
    <t>172.67.171.126</t>
  </si>
  <si>
    <t>5fa457bad1113</t>
  </si>
  <si>
    <t>https://nexgenint.website/codemasg/7321CHfdfffdgfgfgdfgdfgfKar/</t>
  </si>
  <si>
    <t>Shinagawa</t>
  </si>
  <si>
    <t>167.179.71.57</t>
  </si>
  <si>
    <t>5fa4e46cd28fb</t>
  </si>
  <si>
    <t>http://167.179.71.57/K10CHED110001ddfRSddfMeetJP/index.html</t>
  </si>
  <si>
    <t>104.27.187.207</t>
  </si>
  <si>
    <t>5fa45bd728be4</t>
  </si>
  <si>
    <t>https://nexgenint.website/codemasg/3848CHfdfffdgfgfgdfgdfgfKar/</t>
  </si>
  <si>
    <t>gumcog.club</t>
  </si>
  <si>
    <t>104.18.49.167</t>
  </si>
  <si>
    <t>5fa46c6f3bbb6</t>
  </si>
  <si>
    <t>https://gumcog.club/__Windo_ws_J_9TK4_Z0PLAO1_/O_NKBU_W7_S8PQZ/3_YCZB4E_I/?n_b=MSg4NDQpMzA0IDk0ODA=&amp;amp;s_1=s162_296027334956</t>
  </si>
  <si>
    <t>52.219.128.170</t>
  </si>
  <si>
    <t>5fa46d3a9ce9e</t>
  </si>
  <si>
    <t>https://s3-ap-southeast-1.amazonaws.com/windows-security-defender-trojn349.hxd42/index.html</t>
  </si>
  <si>
    <t>157.245.138.148</t>
  </si>
  <si>
    <t>5fa4d19d4749a</t>
  </si>
  <si>
    <t>http://157.245.138.148/ed-ie-18/?phone=+61-1800-248-183&amp;amp;</t>
  </si>
  <si>
    <t>freeware324ft.ga</t>
  </si>
  <si>
    <t>104.18.38.172</t>
  </si>
  <si>
    <t>5fa4e4cdad2f3</t>
  </si>
  <si>
    <t>https://freeware324ft.ga/Win22Oc9063IEDGE0777-1.hnf/XkfsdbfMSdEDhfj/</t>
  </si>
  <si>
    <t>worldgpsmaps.site</t>
  </si>
  <si>
    <t>172.67.161.224</t>
  </si>
  <si>
    <t>5fa55fd6f26d3</t>
  </si>
  <si>
    <t>https://worldgpsmaps.site/codemase/4580CEDfdfdfdfd100110dfSHA/</t>
  </si>
  <si>
    <t>104.18.42.235</t>
  </si>
  <si>
    <t>5fa56c58361b3</t>
  </si>
  <si>
    <t>https://worldgpsmaps.site/codemase/0741CEDfdfdfdfd100110dfSHA/</t>
  </si>
  <si>
    <t>amplyclear.online</t>
  </si>
  <si>
    <t>104.24.97.181</t>
  </si>
  <si>
    <t>5fa57ef6a7fcf</t>
  </si>
  <si>
    <t>https://amplyclear.online/codemase/3815CEDfdfdfdfd100110dfSHA/</t>
  </si>
  <si>
    <t>68.183.103.102</t>
  </si>
  <si>
    <t>5fa588026d27c</t>
  </si>
  <si>
    <t>http://68.183.103.102/win-m/?phone=+1-(888)-301-0041&amp;amp;</t>
  </si>
  <si>
    <t>5fa5876c8347a</t>
  </si>
  <si>
    <t>http://68.183.103.102/win-m/?phone=+1-(888)-350-7002&amp;amp;</t>
  </si>
  <si>
    <t>kqjkcp.club</t>
  </si>
  <si>
    <t>104.27.188.148</t>
  </si>
  <si>
    <t>5fa588807ccd6</t>
  </si>
  <si>
    <t>https://kqjkcp.club/__Windo_wsV__EF34O20_7_MN/L_5ODNKW3_HSQ_A/_MGC_U1LF_/?n_b=MSg4NDQpMzAzIDU1MTU=&amp;amp;s_1=63-587</t>
  </si>
  <si>
    <t>68.183.122.25</t>
  </si>
  <si>
    <t>5fa58b81d9b33</t>
  </si>
  <si>
    <t>http://68.183.122.25/ed-ie-18/?phone=+1-(888)-398-1578&amp;amp;</t>
  </si>
  <si>
    <t>5fa58b332812e</t>
  </si>
  <si>
    <t>http://68.183.122.25/win-m/?phone=+1-(888)-370-1404&amp;amp;</t>
  </si>
  <si>
    <t>totalsecurity.club</t>
  </si>
  <si>
    <t>134.209.79.164</t>
  </si>
  <si>
    <t>5fa590a89981f</t>
  </si>
  <si>
    <t>https://totalsecurity.club/security-center/</t>
  </si>
  <si>
    <t>bvyug74wjgrbf4at7wfnbwragf7wgfewgfuy-env.ap-southeast-2.elasticbeanst</t>
  </si>
  <si>
    <t>13.237.240.248</t>
  </si>
  <si>
    <t>5fa5be441a0de</t>
  </si>
  <si>
    <t>http://bvyug74wjgrbf4at7wfnbwragf7wgfewgfuy-env.ap-southeast-2.elasticbeanstalk.com/Winhelpxcode111888securityCH007001/index.html?sou=5d8e180fdb829fc5b1</t>
  </si>
  <si>
    <t>elasticbeanst</t>
  </si>
  <si>
    <t>microsoft-windows-defender-security-scan-usa-0322.s3.us-east-2.amazon</t>
  </si>
  <si>
    <t>52.219.84.80</t>
  </si>
  <si>
    <t>5fa5c24d05846</t>
  </si>
  <si>
    <t>https://microsoft-windows-defender-security-scan-usa-0322.s3.us-east-2.amazonaws.com/today_nov_0211.html</t>
  </si>
  <si>
    <t>blinkpestcontrol.site</t>
  </si>
  <si>
    <t>172.67.215.236</t>
  </si>
  <si>
    <t>5fa6ce8d53a9d</t>
  </si>
  <si>
    <t>https://blinkpestcontrol.site/codemase/5851MAfdfdfdfd100110dfSHA/</t>
  </si>
  <si>
    <t>5fa6ccfa608ca</t>
  </si>
  <si>
    <t>https://blinkpestcontrol.site/codemase/2450CEDfdfdfdfd100110dfSHA/</t>
  </si>
  <si>
    <t>5fa6c4b1a21a3</t>
  </si>
  <si>
    <t>https://blinkpestcontrol.site/codemase/2498MAfdfdfdfd100110dfSHA/</t>
  </si>
  <si>
    <t>5fa6c2d021277</t>
  </si>
  <si>
    <t>https://blinkpestcontrol.site/codemase/4469CEDfdfdfdfd100110dfSHA/</t>
  </si>
  <si>
    <t>104.31.82.36</t>
  </si>
  <si>
    <t>5fa6ce685b32a</t>
  </si>
  <si>
    <t>https://blinkpestcontrol.site/codemase/3732EDfdfdfdfd100110dfSHA/</t>
  </si>
  <si>
    <t>5fa6c4846689c</t>
  </si>
  <si>
    <t>https://blinkpestcontrol.site/codemase/8916EDfdfdfdfd100110dfSHA/</t>
  </si>
  <si>
    <t>5fa6c440e2b7a</t>
  </si>
  <si>
    <t>https://blinkpestcontrol.site/codemase/0252FFfdfdfdfd100110dfSHA/</t>
  </si>
  <si>
    <t>104.31.83.36</t>
  </si>
  <si>
    <t>5fa6c45e1899e</t>
  </si>
  <si>
    <t>https://blinkpestcontrol.site/codemase/1863CHfdfdfdfd100110dfSHA/</t>
  </si>
  <si>
    <t>checkmydates.xyz</t>
  </si>
  <si>
    <t>162.241.148.33</t>
  </si>
  <si>
    <t>5fa6c9dcca8d3</t>
  </si>
  <si>
    <t>https://checkmydates.xyz/code7219g/CHfdfffdgfgfgdfgdfgfKar/</t>
  </si>
  <si>
    <t>nnnmbl.club</t>
  </si>
  <si>
    <t>104.27.133.25</t>
  </si>
  <si>
    <t>5fa6d2b7353fa</t>
  </si>
  <si>
    <t>https://nnnmbl.club/__Windo_wsV__EF34O20_7_MN/L_5ODNKW3_HSQ_A/_MGC_U1LF_/?n_b=MSg4NDQpMzAyIDMxODI=&amp;amp;s_1=200-207</t>
  </si>
  <si>
    <t>ebanksservices.com</t>
  </si>
  <si>
    <t>172.67.195.134</t>
  </si>
  <si>
    <t>5fa6d7b81e5ec</t>
  </si>
  <si>
    <t>https://ebanksservices.com/codemase/4416CHfdfdfdfd100110dfSHA/</t>
  </si>
  <si>
    <t>5fa6d6fb283e6</t>
  </si>
  <si>
    <t>https://ebanksservices.com/codemase/1361CEDfdfdfdfd100110dfSHA/</t>
  </si>
  <si>
    <t>104.24.127.127</t>
  </si>
  <si>
    <t>5fa6d7e52401e</t>
  </si>
  <si>
    <t>https://ebanksservices.com/codemase/3732EDfdfdfdfd100110dfSHA/</t>
  </si>
  <si>
    <t>140.82.53.122</t>
  </si>
  <si>
    <t>5fa7c8b9532fa</t>
  </si>
  <si>
    <t>http://140.82.53.122/FFdfsdfsdfsdfsdfHAr10101010101004/index.html</t>
  </si>
  <si>
    <t>Haarlem</t>
  </si>
  <si>
    <t>95.179.188.251</t>
  </si>
  <si>
    <t>5fa82f7c74727</t>
  </si>
  <si>
    <t>http://95.179.188.251/CHfdfdfDavidHdfd100110dfSSY/</t>
  </si>
  <si>
    <t>d385mb21wpo8hr.cloudfront.net</t>
  </si>
  <si>
    <t>99.86.88.151</t>
  </si>
  <si>
    <t>5fa832dc23540</t>
  </si>
  <si>
    <t>https://d385mb21wpo8hr.cloudfront.net/</t>
  </si>
  <si>
    <t>157.230.190.101</t>
  </si>
  <si>
    <t>5fa8c483865ff</t>
  </si>
  <si>
    <t>http://157.230.190.101/errorcode00ieedge/?phone=+61-1800-290-949&amp;amp;</t>
  </si>
  <si>
    <t>136.244.117.158</t>
  </si>
  <si>
    <t>5fa9200694acf</t>
  </si>
  <si>
    <t>http://136.244.117.158/FFdfsdfsdfsdfsdfHAr10101010101004/index.html</t>
  </si>
  <si>
    <t>138.197.171.152</t>
  </si>
  <si>
    <t>5fa9497363a07</t>
  </si>
  <si>
    <t>http://138.197.171.152/yguwgf67rt23fegft3w67q3jfgyfds6te78q2gfhqw3gf6wftiw4gbjw4guiw/__EUGBHUHJHSVBBVSBVHZVJSJSBVS7TYFHGF6UYGHIUHIUVGDRTFYBNIUYDDTUYGUYH</t>
  </si>
  <si>
    <t>florencecleanings.website</t>
  </si>
  <si>
    <t>172.67.134.238</t>
  </si>
  <si>
    <t>5fa96aa6bf27a</t>
  </si>
  <si>
    <t>https://florencecleanings.website/codemase/0534EDfdfdfdfd100110dfSHA/</t>
  </si>
  <si>
    <t>5fa969ec667f5</t>
  </si>
  <si>
    <t>https://florencecleanings.website/codemase/0539CHfdfdfdfd100110dfSHA/</t>
  </si>
  <si>
    <t>104.28.3.111</t>
  </si>
  <si>
    <t>5fa96a0df1796</t>
  </si>
  <si>
    <t>https://florencecleanings.website/codemase/0252FFfdfdfdfd100110dfSHA/</t>
  </si>
  <si>
    <t>getsyourspcfixed-182gddgdgd.azurewebsites.net</t>
  </si>
  <si>
    <t>20.49.97.4</t>
  </si>
  <si>
    <t>601ecaf45b1b2</t>
  </si>
  <si>
    <t>https://getsyourspcfixed-182gddgdgd.azurewebsites.net/MicOSoCHPC017528240X00/</t>
  </si>
  <si>
    <t>getsyourpcfixed-12ewrwrwr.azurewebsites.net</t>
  </si>
  <si>
    <t>6019891d224e2</t>
  </si>
  <si>
    <t>https://getsyourpcfixed-12ewrwrwr.azurewebsites.net/MicOSoEDPC017528240X00/</t>
  </si>
  <si>
    <t>08-getyourpcfixeddsgdggg.azurewebsites.net</t>
  </si>
  <si>
    <t>60145494a6eae</t>
  </si>
  <si>
    <t>https://08-getyourpcfixeddsgdggg.azurewebsites.net/MicOSoEDPC017528240X00/</t>
  </si>
  <si>
    <t>08getyourpcfixedbnxbjnmb.azurewebsites.net</t>
  </si>
  <si>
    <t>6009aa03df093</t>
  </si>
  <si>
    <t>https://08getyourpcfixedbnxbjnmb.azurewebsites.net/MicOSoCHPC017528240X00/</t>
  </si>
  <si>
    <t>livequick-support136.azurewebsites.net</t>
  </si>
  <si>
    <t>5faf3dd0bd417</t>
  </si>
  <si>
    <t>http://livequick-support136.azurewebsites.net/JArbZ98cFQJapCA/</t>
  </si>
  <si>
    <t>quick-support268.azurewebsites.net</t>
  </si>
  <si>
    <t>5fa96e747a3ba</t>
  </si>
  <si>
    <t>https://quick-support268.azurewebsites.net/VXJfzDqW2zqUqWz/</t>
  </si>
  <si>
    <t>161.35.125.62</t>
  </si>
  <si>
    <t>5fa97111d0de3</t>
  </si>
  <si>
    <t>http://161.35.125.62/errorcode00ieedge/?phone=+1-(888)-528-2794&amp;amp;</t>
  </si>
  <si>
    <t>159.65.222.39</t>
  </si>
  <si>
    <t>5fa9816045d7b</t>
  </si>
  <si>
    <t>http://159.65.222.39/errorcodewindows/?phone=+1-(888)-401-3012&amp;amp;</t>
  </si>
  <si>
    <t>167.172.137.189</t>
  </si>
  <si>
    <t>5fa9888ca3533</t>
  </si>
  <si>
    <t>http://167.172.137.189/IEn00010101nn010101vv01010101012v01/index.html</t>
  </si>
  <si>
    <t>hatoekae.xyz</t>
  </si>
  <si>
    <t>104.31.88.11</t>
  </si>
  <si>
    <t>5fa9f0fac1b0e</t>
  </si>
  <si>
    <t>http://hatoekae.xyz/0263/CHfdfdfdfd_AKJ/</t>
  </si>
  <si>
    <t>d2dr69ak8ju8pb.cloudfront.net</t>
  </si>
  <si>
    <t>99.86.88.12</t>
  </si>
  <si>
    <t>6048d569733cb</t>
  </si>
  <si>
    <t>https://d2dr69ak8ju8pb.cloudfront.net/CHHHD88/?phone=02821-749-99-66&amp;amp;</t>
  </si>
  <si>
    <t>d3n4e6gbgf49di.cloudfront.net</t>
  </si>
  <si>
    <t>5faa4b6a72b00</t>
  </si>
  <si>
    <t>http://d3n4e6gbgf49di.cloudfront.net/</t>
  </si>
  <si>
    <t>45.63.114.169</t>
  </si>
  <si>
    <t>5faa813bd5c43</t>
  </si>
  <si>
    <t>http://45.63.114.169/XMFF7xe888/index.html?phone=0800-180-1054&amp;amp;</t>
  </si>
  <si>
    <t>expresstowings.website</t>
  </si>
  <si>
    <t>104.24.114.72</t>
  </si>
  <si>
    <t>5faa95c1df690</t>
  </si>
  <si>
    <t>https://expresstowings.website/codemase/0646CHfdfdfdfd100110dfSHA/</t>
  </si>
  <si>
    <t>goldrecipes.site</t>
  </si>
  <si>
    <t>172.67.147.164</t>
  </si>
  <si>
    <t>5faaa94d16c8c</t>
  </si>
  <si>
    <t>https://goldrecipes.site/codemasg/0708MAfdfffdgfgfgdfgdfgfKar/</t>
  </si>
  <si>
    <t>5faaa88ade5d1</t>
  </si>
  <si>
    <t>https://goldrecipes.site/codemasg/1453CEDGfdfffdgfgfgdfgdfgfKar/</t>
  </si>
  <si>
    <t>104.18.56.137</t>
  </si>
  <si>
    <t>5faaa94177086</t>
  </si>
  <si>
    <t>https://goldrecipes.site/codemasg/2431FFfdfffdgfgfgdfgdfgfKar/</t>
  </si>
  <si>
    <t>5faaa93d5b368</t>
  </si>
  <si>
    <t>https://goldrecipes.site/codemasg/0646CHfdfffdgfgfgdfgdfgfKar/</t>
  </si>
  <si>
    <t>104.18.57.137</t>
  </si>
  <si>
    <t>5faaa948ac5a0</t>
  </si>
  <si>
    <t>https://goldrecipes.site/codemasg/1296EDfdfffdgfgfgdfgdfgfKar/</t>
  </si>
  <si>
    <t>157.230.227.67</t>
  </si>
  <si>
    <t>5faabccf805c3</t>
  </si>
  <si>
    <t>http://157.230.227.67/errorcode00ieedge/?phone=+1-(888)-400-8865&amp;amp;</t>
  </si>
  <si>
    <t>mapsgeo.site</t>
  </si>
  <si>
    <t>104.24.110.98</t>
  </si>
  <si>
    <t>5faacaa66ea46</t>
  </si>
  <si>
    <t>https://mapsgeo.site/codemasg/0592CEDGfdfffdgfgfgdfgdfgfKar/</t>
  </si>
  <si>
    <t>5faac648334ea</t>
  </si>
  <si>
    <t>https://mapsgeo.site/codemasg/4019CEDGfdfffdgfgfgdfgdfgfKar/</t>
  </si>
  <si>
    <t>134.209.65.78</t>
  </si>
  <si>
    <t>5faaccbebeb15</t>
  </si>
  <si>
    <t>http://134.209.65.78/errorcodewindows/?phone=+1-(888)-417-4087&amp;amp;</t>
  </si>
  <si>
    <t>5faacc914d64b</t>
  </si>
  <si>
    <t>http://134.209.65.78/errorcodewindows/?phone=+1-(888)-346-5810&amp;amp;</t>
  </si>
  <si>
    <t>104.24.111.98</t>
  </si>
  <si>
    <t>5faace3f257ed</t>
  </si>
  <si>
    <t>https://mapsgeo.site/codemasg/9219CHfdfffdgfgfgdfgdfgfKar/</t>
  </si>
  <si>
    <t>134.209.66.148</t>
  </si>
  <si>
    <t>5faad06697aad</t>
  </si>
  <si>
    <t>http://134.209.66.148/errorcode00ieedge/?phone=+1-(888)-375-1311&amp;amp;</t>
  </si>
  <si>
    <t>intergertsworking-s.tk</t>
  </si>
  <si>
    <t>149.248.4.93</t>
  </si>
  <si>
    <t>5faad6f4d567f</t>
  </si>
  <si>
    <t>https://intergertsworking-s.tk/support/WinFhelpxcode077xwin444CHerrorxxdc/</t>
  </si>
  <si>
    <t>miccrosoft.site</t>
  </si>
  <si>
    <t>162.0.232.12</t>
  </si>
  <si>
    <t>5fab35259598d</t>
  </si>
  <si>
    <t>https://miccrosoft.site/</t>
  </si>
  <si>
    <t>grandmother-recipes.com</t>
  </si>
  <si>
    <t>172.67.149.222</t>
  </si>
  <si>
    <t>5fabf521ad539</t>
  </si>
  <si>
    <t>https://grandmother-recipes.com/codemasg/0549CHfdfffdgfgfgdfgdfgfKar/</t>
  </si>
  <si>
    <t>horoscopesolution.com</t>
  </si>
  <si>
    <t>104.18.59.166</t>
  </si>
  <si>
    <t>5fac141d6644b</t>
  </si>
  <si>
    <t>https://horoscopesolution.com/codemasg//0483CEDGfdfffdgfgfgdfgdfgfKar//</t>
  </si>
  <si>
    <t>5fac13a5c139d</t>
  </si>
  <si>
    <t>https://horoscopesolution.com/codemasg/0549CHfdfffdgfgfgdfgdfgfKar/</t>
  </si>
  <si>
    <t>172.67.181.186</t>
  </si>
  <si>
    <t>5fac15089a79b</t>
  </si>
  <si>
    <t>https://horoscopesolution.com/codemasg/0172EDfdfffdgfgfgdfgdfgfKar/</t>
  </si>
  <si>
    <t>5fac14d2833f8</t>
  </si>
  <si>
    <t>https://horoscopesolution.com/codemasg/1422FFfdfffdgfgfgdfgdfgfKar/</t>
  </si>
  <si>
    <t>5fac14c224bb5</t>
  </si>
  <si>
    <t>https://horoscopesolution.com/codemasg//0708MAfdfffdgfgfgdfgdfgfKar//</t>
  </si>
  <si>
    <t>192.81.215.228</t>
  </si>
  <si>
    <t>5fac18c214c82</t>
  </si>
  <si>
    <t>http://192.81.215.228/errorcodewindows/?phone=+1-(888)-391-1895&amp;amp;</t>
  </si>
  <si>
    <t>157.245.251.22</t>
  </si>
  <si>
    <t>5fac2013ccaa1</t>
  </si>
  <si>
    <t>http://157.245.251.22/errorcodewindows/?phone=+1-(888)-389-6581&amp;amp;</t>
  </si>
  <si>
    <t>maltextract.site</t>
  </si>
  <si>
    <t>104.31.91.202</t>
  </si>
  <si>
    <t>5fac236eb953f</t>
  </si>
  <si>
    <t>https://maltextract.site/codemasg/1371CEDGfdfffdgfgfgdfgdfgfKar/</t>
  </si>
  <si>
    <t>134.209.79.134</t>
  </si>
  <si>
    <t>5fac239cf0473</t>
  </si>
  <si>
    <t>http://134.209.79.134/IEngebbugu0101010101014500010101x010/index.html</t>
  </si>
  <si>
    <t>pinkcitytroop.com</t>
  </si>
  <si>
    <t>148.66.137.33</t>
  </si>
  <si>
    <t>5fac3f13e7e4a</t>
  </si>
  <si>
    <t>https://pinkcitytroop.com/us1/Mcafee0SPHelpline001CH101001x0008/</t>
  </si>
  <si>
    <t>ricacis2.gq</t>
  </si>
  <si>
    <t>104.18.52.45</t>
  </si>
  <si>
    <t>5fad60dd39195</t>
  </si>
  <si>
    <t>http://ricacis2.gq/tracking/IEfdfdfdfdfdfdffdfVWiNucode0xhelpms008/index.html</t>
  </si>
  <si>
    <t>134.209.122.161</t>
  </si>
  <si>
    <t>5fad6ebea429d</t>
  </si>
  <si>
    <t>http://134.209.122.161/errorcodewindows/?phone=+1-(888)-304-1281&amp;amp;</t>
  </si>
  <si>
    <t>5fad6dc59291b</t>
  </si>
  <si>
    <t>http://134.209.122.161/errorcode00ieedge/?phone=+1-(888)-525-0748&amp;amp;</t>
  </si>
  <si>
    <t>167.172.210.85</t>
  </si>
  <si>
    <t>5fadb4749ec8e</t>
  </si>
  <si>
    <t>http://167.172.210.85/systemerror-win-chx/</t>
  </si>
  <si>
    <t>tafsgxty.online</t>
  </si>
  <si>
    <t>198.54.126.81</t>
  </si>
  <si>
    <t>5fbfe04cb38ec</t>
  </si>
  <si>
    <t>https://tafsgxty.online/jytirx01/jphrd8033/</t>
  </si>
  <si>
    <t>gatsyxf.online</t>
  </si>
  <si>
    <t>5faf1218256a2</t>
  </si>
  <si>
    <t>https://gatsyxf.online/otchrx01-g245644s6-x546s-sf5s98dv4x-vx5d46-xv5x5787s64-x5874sw-xs54a-ewref-REM/chrx01/</t>
  </si>
  <si>
    <t>hafsrxt.online</t>
  </si>
  <si>
    <t>198.54.126.102</t>
  </si>
  <si>
    <t>5faf54346263c</t>
  </si>
  <si>
    <t>https://hafsrxt.online/jytirx01/jproz6536/iecx/index.php</t>
  </si>
  <si>
    <t>bootup199fr.ml</t>
  </si>
  <si>
    <t>104.28.10.167</t>
  </si>
  <si>
    <t>5fafd099d9f14</t>
  </si>
  <si>
    <t>http://bootup199fr.ml/Win22Oc9063IEDGE0777-1.hnf/XkfsdbfMSdIEhfjx/</t>
  </si>
  <si>
    <t>kjagysr.online</t>
  </si>
  <si>
    <t>68.65.122.37</t>
  </si>
  <si>
    <t>5fb0b54465a93</t>
  </si>
  <si>
    <t>https://kjagysr.online/qtryx01-g5544ew-df55798w456-sf2s7f4w56f-x598fa6a-we887-v5xf9f8s6-xv5x878rs-m1c5g54d/nchrx01/index.html</t>
  </si>
  <si>
    <t>140.82.52.146</t>
  </si>
  <si>
    <t>5fb275926e034</t>
  </si>
  <si>
    <t>http://140.82.52.146/index.html?phone=0800-181-0385</t>
  </si>
  <si>
    <t>getpeppystitchonline.club</t>
  </si>
  <si>
    <t>164.90.144.37</t>
  </si>
  <si>
    <t>5fb2adf3a8488</t>
  </si>
  <si>
    <t>https://getpeppystitchonline.club/IEfdfdfdfdfdfdffdfSamDcode0xhelpms008y/index.html</t>
  </si>
  <si>
    <t>acrepairservices.site</t>
  </si>
  <si>
    <t>104.28.29.45</t>
  </si>
  <si>
    <t>5fb2b5b41414d</t>
  </si>
  <si>
    <t>https://acrepairservices.site/codemasg/1371CEDGfdfffdgfgfgdfgdfgfKar/</t>
  </si>
  <si>
    <t>172.67.130.212</t>
  </si>
  <si>
    <t>5fb2b8a25bc9a</t>
  </si>
  <si>
    <t>https://acrepairservices.site/codemasg/1527MAfdfffdgfgfgdfgdfgfKar/</t>
  </si>
  <si>
    <t>5fb2b8974049a</t>
  </si>
  <si>
    <t>https://acrepairservices.site/codemasg/0660FFfdfffdgfgfgdfgdfgfKar/</t>
  </si>
  <si>
    <t>104.28.28.45</t>
  </si>
  <si>
    <t>5fb2b89c59d20</t>
  </si>
  <si>
    <t>https://acrepairservices.site/codemasg/4078EDfdfffdgfgfgdfgdfgfKar/</t>
  </si>
  <si>
    <t>134.209.216.83</t>
  </si>
  <si>
    <t>5fb2bcff2c6de</t>
  </si>
  <si>
    <t>http://134.209.216.83/new16microsoftallbrowser/?phone=+1-(888)-436-6903&amp;amp;</t>
  </si>
  <si>
    <t>134.209.223.136</t>
  </si>
  <si>
    <t>5fb2c26bbb5db</t>
  </si>
  <si>
    <t>http://134.209.223.136/16noviedge/?phone=+1-(888)-690-0956&amp;amp;</t>
  </si>
  <si>
    <t>kickgaslawncare.site</t>
  </si>
  <si>
    <t>104.27.185.90</t>
  </si>
  <si>
    <t>5fb2c4702b62b</t>
  </si>
  <si>
    <t>https://kickgaslawncare.site/codemasg//2430CEDGfdfffdgfgfgdfgdfgfKar/</t>
  </si>
  <si>
    <t>5fb2c457c7a52</t>
  </si>
  <si>
    <t>https://kickgaslawncare.site/codemasg//0154EDfdfffdgfgfgdfgdfgfKar/</t>
  </si>
  <si>
    <t>5fb2c3e8b9a7b</t>
  </si>
  <si>
    <t>https://kickgaslawncare.site/codemasg/9379CHfdfffdgfgfgdfgdfgfKar/</t>
  </si>
  <si>
    <t>172.67.143.216</t>
  </si>
  <si>
    <t>5fb2c42b3b98b</t>
  </si>
  <si>
    <t>https://kickgaslawncare.site/codemasg//0135FFfdfffdgfgfgdfgdfgfKar/</t>
  </si>
  <si>
    <t>134.209.223.225</t>
  </si>
  <si>
    <t>5fb2c707a50cb</t>
  </si>
  <si>
    <t>http://134.209.223.225/new16microsoftallbrowser/?phone=+1-(888)-526-3013&amp;amp;</t>
  </si>
  <si>
    <t>findmypartner.xyz</t>
  </si>
  <si>
    <t>162.0.232.167</t>
  </si>
  <si>
    <t>5fc7665b4344d</t>
  </si>
  <si>
    <t>https://findmypartner.xyz/st/D00ChsfsdfjdsfjdsfjRV/index.php</t>
  </si>
  <si>
    <t>ms.findmypartner.xyz</t>
  </si>
  <si>
    <t>5fb2e2362ae5e</t>
  </si>
  <si>
    <t>https://ms.findmypartner.xyz/rd/D00ChsfsdfjdsfjdsfjRV/index.php</t>
  </si>
  <si>
    <t>167.99.2.116</t>
  </si>
  <si>
    <t>5fb40f0757fbd</t>
  </si>
  <si>
    <t>http://167.99.2.116/new16microsoftallbrowser/?phone=+1-(888)-430-3482&amp;amp;</t>
  </si>
  <si>
    <t>134.209.122.82</t>
  </si>
  <si>
    <t>5fb41db592345</t>
  </si>
  <si>
    <t>http://134.209.122.82/new16microsoftallbrowser/?phone=+1-(888)-655-2061&amp;amp;</t>
  </si>
  <si>
    <t>134.209.218.230</t>
  </si>
  <si>
    <t>5fb55f8bd704d</t>
  </si>
  <si>
    <t>http://134.209.218.230/new16microsoftallbrowser/?phone=+1-(888)-660-1325&amp;amp;</t>
  </si>
  <si>
    <t>5fb55ee2e0b5b</t>
  </si>
  <si>
    <t>http://134.209.218.230/new16microsoftallbrowser/?phone=+1-(888)-344-6070&amp;amp;</t>
  </si>
  <si>
    <t>5fb55e4369a64</t>
  </si>
  <si>
    <t>http://134.209.218.230/new16microsoftallbrowser/?phone=+1-(888)-597-1449&amp;amp;</t>
  </si>
  <si>
    <t>5fb55d36b0d32</t>
  </si>
  <si>
    <t>http://134.209.218.230/new16microsoftallbrowser/?phone=+1-(888)-690-0779&amp;amp;</t>
  </si>
  <si>
    <t>140.82.55.101</t>
  </si>
  <si>
    <t>5fb51c6774c98</t>
  </si>
  <si>
    <t>http://140.82.55.101/XMFF7xe888/index.html?phone=0800-180-8218&amp;amp;</t>
  </si>
  <si>
    <t>134.209.218.229</t>
  </si>
  <si>
    <t>5fb55a98e9892</t>
  </si>
  <si>
    <t>http://134.209.218.229/new16microsoftallbrowser/?phone=+1-(888)-291-0128&amp;amp;</t>
  </si>
  <si>
    <t>5fb558d379913</t>
  </si>
  <si>
    <t>http://134.209.218.229/new16microsoftallbrowser/?phone=+1-(888)-383-0568&amp;amp;</t>
  </si>
  <si>
    <t>134.209.216.43</t>
  </si>
  <si>
    <t>5fb58a36644b5</t>
  </si>
  <si>
    <t>http://134.209.216.43/new16microsoftallbrowser/?phone=+1-(888)-654-4471&amp;amp;</t>
  </si>
  <si>
    <t>78.141.197.92</t>
  </si>
  <si>
    <t>5fb5c0aea78dd</t>
  </si>
  <si>
    <t>http://78.141.197.92/CHfdfdfDavidHdfd100110dfSSY/</t>
  </si>
  <si>
    <t>134.209.211.26</t>
  </si>
  <si>
    <t>5fb6acbccc617</t>
  </si>
  <si>
    <t>http://134.209.211.26/new16microsoftallbrowser/?phone=+1-(888)-656-4485&amp;amp;</t>
  </si>
  <si>
    <t>134.209.221.73</t>
  </si>
  <si>
    <t>5fb6b84ed73f5</t>
  </si>
  <si>
    <t>http://134.209.221.73/new16microsoftallbrowser/?phone=+1-(888)-620-6645&amp;amp;</t>
  </si>
  <si>
    <t>165.22.15.160</t>
  </si>
  <si>
    <t>5fb6dc36474b3</t>
  </si>
  <si>
    <t>http://165.22.15.160/new16microsoftallbrowser/?phone=+1-(888)-620-4814&amp;amp;</t>
  </si>
  <si>
    <t>5fb6d9275cc86</t>
  </si>
  <si>
    <t>http://165.22.15.160/new16microsoftallbrowser/?phone=+1-(888)-606-0993&amp;amp;</t>
  </si>
  <si>
    <t>rootserver405dr.ml</t>
  </si>
  <si>
    <t>104.28.31.96</t>
  </si>
  <si>
    <t>5fb71b6a70ca9</t>
  </si>
  <si>
    <t>https://rootserver405dr.ml/Win-D-22Oc9799IEDGE08279-1.fds/XkfsdbfMSdIEhfj22/</t>
  </si>
  <si>
    <t>136.244.112.131</t>
  </si>
  <si>
    <t>5fb7b4edf0d6d</t>
  </si>
  <si>
    <t>http://136.244.112.131/XMFF7xe888/index.html?phone=0800-181-0385&amp;amp;</t>
  </si>
  <si>
    <t>Helsinki</t>
  </si>
  <si>
    <t>94.237.104.223</t>
  </si>
  <si>
    <t>5fb7bc6edba18</t>
  </si>
  <si>
    <t>http://94.237.104.223/FFfdfffdgfgfgdfgdfgf-1/</t>
  </si>
  <si>
    <t>95.179.213.49</t>
  </si>
  <si>
    <t>5fb7be035ccc8</t>
  </si>
  <si>
    <t>http://95.179.213.49/XMFF7xe888/index.html?phone=0800-180-8218&amp;amp;</t>
  </si>
  <si>
    <t>161.35.5.136</t>
  </si>
  <si>
    <t>5fb7f17bbe652</t>
  </si>
  <si>
    <t>http://161.35.5.136/m/?phone=+1-(888)-630-8141&amp;amp;</t>
  </si>
  <si>
    <t>161.35.13.3</t>
  </si>
  <si>
    <t>5fb7f951af5a8</t>
  </si>
  <si>
    <t>http://161.35.13.3/?number=+1-(888)-593-8133</t>
  </si>
  <si>
    <t>157.230.187.128</t>
  </si>
  <si>
    <t>5fb80170bb26d</t>
  </si>
  <si>
    <t>http://157.230.187.128/m/?phone=+1-(888)-597-1348&amp;amp;</t>
  </si>
  <si>
    <t>5fb8008daacf3</t>
  </si>
  <si>
    <t>http://157.230.187.128/m/?phone=+1-(888)-604-0806&amp;amp;</t>
  </si>
  <si>
    <t>157.230.183.58</t>
  </si>
  <si>
    <t>5fb802fb47613</t>
  </si>
  <si>
    <t>http://157.230.183.58/m/?phone=+1-(888)-594-3468&amp;amp;</t>
  </si>
  <si>
    <t>5fb802b3a0ec6</t>
  </si>
  <si>
    <t>http://157.230.183.58/m/?phone=+1-(888)-304-1163&amp;amp;</t>
  </si>
  <si>
    <t>udgetcy.online</t>
  </si>
  <si>
    <t>104.219.248.97</t>
  </si>
  <si>
    <t>5fcb06e69c262</t>
  </si>
  <si>
    <t>https://udgetcy.online/ysfirx01/njporx-5393/iegcx/index.php</t>
  </si>
  <si>
    <t>pakshts.online</t>
  </si>
  <si>
    <t>5fb80c4379d37</t>
  </si>
  <si>
    <t>https://pakshts.online/beupfx01-cv2b4d46-58e4re4r-cx578f8s56-xv587sfs45-ereredfd-5c56x584fs-df5dfd8f4-xvcz545f4d/hedgx01/index.html</t>
  </si>
  <si>
    <t>157.230.190.51</t>
  </si>
  <si>
    <t>5fb81c00f0a27</t>
  </si>
  <si>
    <t>http://157.230.190.51/m/?phone=+1-(888)-645-9254&amp;amp;</t>
  </si>
  <si>
    <t>157.230.190.112</t>
  </si>
  <si>
    <t>5fb81dd7a038c</t>
  </si>
  <si>
    <t>http://157.230.190.112/m/?phone=+1-(888)-605-5023&amp;amp;</t>
  </si>
  <si>
    <t>getpaldongonline.site</t>
  </si>
  <si>
    <t>143.110.232.207</t>
  </si>
  <si>
    <t>5fb82b0937a82</t>
  </si>
  <si>
    <t>https://getpaldongonline.site/CEDfdfdfdfdfdfdffdfSamDcode0xhelpms008y/index.html</t>
  </si>
  <si>
    <t>magsrey.online</t>
  </si>
  <si>
    <t>68.65.122.39</t>
  </si>
  <si>
    <t>5fb8a8ef6c139</t>
  </si>
  <si>
    <t>https://magsrey.online/ysfegx01/nhiex-9343/index.html</t>
  </si>
  <si>
    <t>5fb8a8e6e5399</t>
  </si>
  <si>
    <t>https://magsrey.online/ysfirx01/nhiex-5393/index.html</t>
  </si>
  <si>
    <t>140.82.54.23</t>
  </si>
  <si>
    <t>5fb9032a0a341</t>
  </si>
  <si>
    <t>http://140.82.54.23/XMFF7xe888/index.html?phone=0800-181-0385&amp;amp;</t>
  </si>
  <si>
    <t>178.128.157.124</t>
  </si>
  <si>
    <t>5fb9424912ca8</t>
  </si>
  <si>
    <t>http://178.128.157.124/m/?phone=+1-(888)-638-5876&amp;amp;</t>
  </si>
  <si>
    <t>weatherforcast-daily.com</t>
  </si>
  <si>
    <t>104.27.152.45</t>
  </si>
  <si>
    <t>5fb950574b8b9</t>
  </si>
  <si>
    <t>https://weatherforcast-daily.com/codemasg/1106FFfdfffdgfgfgdfgdfgfKar/</t>
  </si>
  <si>
    <t>5fb94fcc4a8a4</t>
  </si>
  <si>
    <t>https://weatherforcast-daily.com/codemasg/2430CEDGfdfffdgfgfgdfgdfgfKar/</t>
  </si>
  <si>
    <t>104.27.153.45</t>
  </si>
  <si>
    <t>5fb9505fd13f4</t>
  </si>
  <si>
    <t>https://weatherforcast-daily.com/codemasg/4720MAfdfffdgfgfgdfgdfgfKar/</t>
  </si>
  <si>
    <t>5fb9505bcea85</t>
  </si>
  <si>
    <t>https://weatherforcast-daily.com/codemasg/8593EDfdfffdgfgfgdfgdfgfKar/</t>
  </si>
  <si>
    <t>5fb9505326e00</t>
  </si>
  <si>
    <t>https://weatherforcast-daily.com/codemasg/0327CHfdfffdgfgfgdfgdfgfKar/</t>
  </si>
  <si>
    <t>142.93.116.171</t>
  </si>
  <si>
    <t>5fb950d26d246</t>
  </si>
  <si>
    <t>http://142.93.116.171/?number=+1-(888)-662-6771</t>
  </si>
  <si>
    <t>windows-security-defender309942alrt.s3-ap-southeast-1.amazonaws.com</t>
  </si>
  <si>
    <t>52.219.124.159</t>
  </si>
  <si>
    <t>5fb95fb05f114</t>
  </si>
  <si>
    <t>https://windows-security-defender309942alrt.s3-ap-southeast-1.amazonaws.com/index.html</t>
  </si>
  <si>
    <t>queueintergertsw.ga</t>
  </si>
  <si>
    <t>149.28.94.134</t>
  </si>
  <si>
    <t>5fb95fb7647c2</t>
  </si>
  <si>
    <t>https://queueintergertsw.ga/support24x7/WIn01securityAN0CHSys01888Y/</t>
  </si>
  <si>
    <t>terminal566dw.ga</t>
  </si>
  <si>
    <t>104.27.188.225</t>
  </si>
  <si>
    <t>5fb95fbc7f03d</t>
  </si>
  <si>
    <t>https://terminal566dw.ga/C0DeF2N0rt0nhelpli0nexY685296/WinY444sec0urity01190/</t>
  </si>
  <si>
    <t>windows-security-defender049921trozn.s3-ap-southeast-1.amazonaws.com</t>
  </si>
  <si>
    <t>52.219.37.15</t>
  </si>
  <si>
    <t>5fb95fc0a7b90</t>
  </si>
  <si>
    <t>https://windows-security-defender049921trozn.s3-ap-southeast-1.amazonaws.com/index.html</t>
  </si>
  <si>
    <t>157.230.1.253</t>
  </si>
  <si>
    <t>5fb968a358706</t>
  </si>
  <si>
    <t>http://157.230.1.253/m/?phone=+1-(888)-526-2095&amp;amp;</t>
  </si>
  <si>
    <t>5fb9639c7e53b</t>
  </si>
  <si>
    <t>http://157.230.1.253/?number=+1-(888)-585-6949</t>
  </si>
  <si>
    <t>157.230.183.85</t>
  </si>
  <si>
    <t>5fb96426ab0bc</t>
  </si>
  <si>
    <t>http://157.230.183.85/?number=+1-(888)-984-0681</t>
  </si>
  <si>
    <t>q6jkjksdfkjsfdsj.s3.amazonaws.com</t>
  </si>
  <si>
    <t>52.217.64.140</t>
  </si>
  <si>
    <t>5fb971161efd0</t>
  </si>
  <si>
    <t>https://q6jkjksdfkjsfdsj.s3.amazonaws.com/index.html</t>
  </si>
  <si>
    <t>localweathertoday.site</t>
  </si>
  <si>
    <t>104.28.0.79</t>
  </si>
  <si>
    <t>5fb97846b6fe9</t>
  </si>
  <si>
    <t>https://localweathertoday.site/codemasg/1106FFfdfffdgfgfgdfgdfgfKar/</t>
  </si>
  <si>
    <t>5fb978426fe01</t>
  </si>
  <si>
    <t>https://localweathertoday.site/codemasg/0327CHfdfffdgfgfgdfgdfgfKar/</t>
  </si>
  <si>
    <t>5fb977ecd8481</t>
  </si>
  <si>
    <t>https://localweathertoday.site/codemasg/2430CEDGfdfffdgfgfgdfgdfgfKar/</t>
  </si>
  <si>
    <t>104.28.1.79</t>
  </si>
  <si>
    <t>5fb9784aca61d</t>
  </si>
  <si>
    <t>https://localweathertoday.site/codemasg/8593EDfdfffdgfgfgdfgdfgfKar/</t>
  </si>
  <si>
    <t>172.67.132.233</t>
  </si>
  <si>
    <t>5fb9784f61b94</t>
  </si>
  <si>
    <t>https://localweathertoday.site/codemasg/4720MAfdfffdgfgfgdfgdfgfKar/</t>
  </si>
  <si>
    <t>automation201de.ga</t>
  </si>
  <si>
    <t>172.67.131.212</t>
  </si>
  <si>
    <t>5fb98b54b3c81</t>
  </si>
  <si>
    <t>https://automation201de.ga/C0DeF2N0rt0nhelpli0nexY043932/WinY444sec0urity01190/</t>
  </si>
  <si>
    <t>3www.i07md96h94bk.best</t>
  </si>
  <si>
    <t>172.67.159.139</t>
  </si>
  <si>
    <t>5fb9901529be1</t>
  </si>
  <si>
    <t>https://3www.i07md96h94bk.best/us9857784/Edgch/index.html</t>
  </si>
  <si>
    <t>antivirus-security-scan-results-usa-no-protection-5247.s3.ap-south-1.</t>
  </si>
  <si>
    <t>52.219.62.95</t>
  </si>
  <si>
    <t>5fb9b5bd4bf7e</t>
  </si>
  <si>
    <t>https://antivirus-security-scan-results-usa-no-protection-5247.s3.ap-south-1.amazonaws.com/today-fri-2310.html?bemobdata=c%3D5cad399f-5b61-4b12-ac62-caf</t>
  </si>
  <si>
    <t>support.beautifulbuds.xyz</t>
  </si>
  <si>
    <t>166.62.27.168</t>
  </si>
  <si>
    <t>5fbaa4ad65311</t>
  </si>
  <si>
    <t>https://support.beautifulbuds.xyz/tjhkdgflagfuiagsif/home.php</t>
  </si>
  <si>
    <t>online-check.club</t>
  </si>
  <si>
    <t>172.67.185.177</t>
  </si>
  <si>
    <t>5fbaaef11f922</t>
  </si>
  <si>
    <t>https://online-check.club/tracking/Eds01sosajwean2083H2e4l1p24li5n1e20IESys04/</t>
  </si>
  <si>
    <t>windows-security-defender03449alrt.s3-ap-southeast-1.amazonaws.com</t>
  </si>
  <si>
    <t>52.219.40.35</t>
  </si>
  <si>
    <t>5fbab5bb5c35c</t>
  </si>
  <si>
    <t>https://windows-security-defender03449alrt.s3-ap-southeast-1.amazonaws.com/index.html</t>
  </si>
  <si>
    <t>redareawar.ga</t>
  </si>
  <si>
    <t>104.18.55.247</t>
  </si>
  <si>
    <t>5fbab7b1b230a</t>
  </si>
  <si>
    <t>https://redareawar.ga/support24x7/WIn01securityAN0CHSys01888Y/</t>
  </si>
  <si>
    <t>b3ghcq98whd8q9whd.s3.amazonaws.com</t>
  </si>
  <si>
    <t>52.217.102.68</t>
  </si>
  <si>
    <t>5fbabc20cdb08</t>
  </si>
  <si>
    <t>https://b3ghcq98whd8q9whd.s3.amazonaws.com/index.html</t>
  </si>
  <si>
    <t>78.141.210.127</t>
  </si>
  <si>
    <t>5fbbb7451f548</t>
  </si>
  <si>
    <t>http://78.141.210.127/de/XMFF7xe888/index.html?phone=0800-181-0385&amp;amp;</t>
  </si>
  <si>
    <t>159.65.232.100</t>
  </si>
  <si>
    <t>5fbbf3b71298d</t>
  </si>
  <si>
    <t>http://159.65.232.100/e/?phone=+1-(888)-383-0561&amp;amp;</t>
  </si>
  <si>
    <t>windows-security-defender2399012x34.s3-ap-southeast-1.amazonaws.com</t>
  </si>
  <si>
    <t>52.219.32.239</t>
  </si>
  <si>
    <t>5fbbf43e607bc</t>
  </si>
  <si>
    <t>https://windows-security-defender2399012x34.s3-ap-southeast-1.amazonaws.com/index.html</t>
  </si>
  <si>
    <t>fewfwvsnvugvvdsvcvuwegvecvbeycquycvw-env.ap-southeast-2.elasticbeanst</t>
  </si>
  <si>
    <t>3.24.254.19</t>
  </si>
  <si>
    <t>5fbbfec164331</t>
  </si>
  <si>
    <t>http://fewfwvsnvugvvdsvcvuwegvecvbeycquycvw-env.ap-southeast-2.elasticbeanstalk.com/Winhelpxcode111888securityCH007001/index.html?sou=dd9bfb508b98a3c729</t>
  </si>
  <si>
    <t>134.209.213.167</t>
  </si>
  <si>
    <t>5fbc276410e8a</t>
  </si>
  <si>
    <t>http://134.209.213.167/m/?phone=+1-(888)-618-0238&amp;amp;</t>
  </si>
  <si>
    <t>5fbc258a1b39e</t>
  </si>
  <si>
    <t>http://134.209.213.167/m/?phone=+1-(888)-612-3848&amp;amp;</t>
  </si>
  <si>
    <t>165.22.15.87</t>
  </si>
  <si>
    <t>5fbc295cd3789</t>
  </si>
  <si>
    <t>http://165.22.15.87/m/?phone=+1-(888)-538-0976&amp;amp;</t>
  </si>
  <si>
    <t>165.22.10.133</t>
  </si>
  <si>
    <t>5fbc2f6be457f</t>
  </si>
  <si>
    <t>http://165.22.10.133/m/?phone=+1-(888)-531-1238&amp;amp;</t>
  </si>
  <si>
    <t>5fbc2e48459cf</t>
  </si>
  <si>
    <t>http://165.22.10.133/m/?phone=+1-(888)-530-8462&amp;amp;</t>
  </si>
  <si>
    <t>yokrt3.ga</t>
  </si>
  <si>
    <t>104.31.95.232</t>
  </si>
  <si>
    <t>5fbc40766e2c9</t>
  </si>
  <si>
    <t>https://yokrt3.ga/t1-0812/Chxrx-381572/index.html</t>
  </si>
  <si>
    <t>204.48.25.82</t>
  </si>
  <si>
    <t>5fbc9493eeb21</t>
  </si>
  <si>
    <t>http://204.48.25.82/e/?phone=+61-1800-290-947&amp;amp;</t>
  </si>
  <si>
    <t>165.22.6.190</t>
  </si>
  <si>
    <t>5fbd2c4ab0390</t>
  </si>
  <si>
    <t>http://165.22.6.190/m/?phone=+1-(888)-627-7909&amp;amp;</t>
  </si>
  <si>
    <t>165.22.6.188</t>
  </si>
  <si>
    <t>5fbd3790c597b</t>
  </si>
  <si>
    <t>http://165.22.6.188/m/?phone=+1-(888)-635-8081&amp;amp;</t>
  </si>
  <si>
    <t>5fbd370113910</t>
  </si>
  <si>
    <t>http://165.22.6.188/m/?phone=+1-(888)-644-5243&amp;amp;</t>
  </si>
  <si>
    <t>zsfdf1.ga</t>
  </si>
  <si>
    <t>104.28.12.79</t>
  </si>
  <si>
    <t>5fbd3904229a0</t>
  </si>
  <si>
    <t>https://zsfdf1.ga/m1-1069/Chxrx-657462/?&amp;amp;gclid=EAIaIQobChMI_rOVhMKb7QIV0JanCh1GewiMEAEYASAAEgJhp_D_BwE</t>
  </si>
  <si>
    <t>165.22.6.189</t>
  </si>
  <si>
    <t>5fbd4a743fe22</t>
  </si>
  <si>
    <t>http://165.22.6.189/m/?phone=+1-(844)-286-9498&amp;amp;</t>
  </si>
  <si>
    <t>5fbd43f248a6c</t>
  </si>
  <si>
    <t>http://165.22.6.189/m/?phone=+1-(888)-644-5243&amp;amp;</t>
  </si>
  <si>
    <t>5fbd3b8e21542</t>
  </si>
  <si>
    <t>http://165.22.6.189/?number=+1-(888)-525-0729</t>
  </si>
  <si>
    <t>encrypted565ae.ml</t>
  </si>
  <si>
    <t>104.27.183.71</t>
  </si>
  <si>
    <t>5fbd509325ea1</t>
  </si>
  <si>
    <t>https://encrypted565ae.ml/df-sdfsd0f-sd0fsd-f0sd-fsd0f-sdf7522.inf0/WinFhelpxcodexwin444CHerrorxxdc777/</t>
  </si>
  <si>
    <t>b8hjjhjhjh.s3.amazonaws.com</t>
  </si>
  <si>
    <t>52.217.86.132</t>
  </si>
  <si>
    <t>5fbd51515674e</t>
  </si>
  <si>
    <t>https://b8hjjhjhjh.s3.amazonaws.com/index.html</t>
  </si>
  <si>
    <t>165.22.15.186</t>
  </si>
  <si>
    <t>5fbd51b5dd9a0</t>
  </si>
  <si>
    <t>http://165.22.15.186/m/?phone=+1-(888)-630-1347&amp;amp;</t>
  </si>
  <si>
    <t>134.209.72.253</t>
  </si>
  <si>
    <t>5fbd54cb3118c</t>
  </si>
  <si>
    <t>http://134.209.72.253/m/?phone=+1-617-555-0111&amp;amp;</t>
  </si>
  <si>
    <t>5fbd53138f2cb</t>
  </si>
  <si>
    <t>http://134.209.72.253/m/?phone=+202-555-0119&amp;amp;</t>
  </si>
  <si>
    <t>165.22.2.42</t>
  </si>
  <si>
    <t>5fbd5e947a749</t>
  </si>
  <si>
    <t>http://165.22.2.42/e/?phone=+1-(888)-585-6448&amp;amp;</t>
  </si>
  <si>
    <t>165.22.2.48</t>
  </si>
  <si>
    <t>5fbd649925a0b</t>
  </si>
  <si>
    <t>http://165.22.2.48/e/?phone=+1-617-555-0111&amp;amp;</t>
  </si>
  <si>
    <t>5fbd6419ad4ef</t>
  </si>
  <si>
    <t>http://165.22.2.48/e/?phone=+1-(888)-621-1491&amp;amp;</t>
  </si>
  <si>
    <t>165.22.2.90</t>
  </si>
  <si>
    <t>5fbd68bfdf36b</t>
  </si>
  <si>
    <t>http://165.22.2.90/m/?phone=+1-(888)-621-1491&amp;amp;</t>
  </si>
  <si>
    <t>159.89.51.248</t>
  </si>
  <si>
    <t>5fbd76cd8a999</t>
  </si>
  <si>
    <t>http://159.89.51.248/m/?phone=+1-(888)-621-1491&amp;amp;</t>
  </si>
  <si>
    <t>dooah1.ga</t>
  </si>
  <si>
    <t>104.18.48.185</t>
  </si>
  <si>
    <t>5fbd9e80cbefc</t>
  </si>
  <si>
    <t>https://dooah1.ga/t1-1816/Chxrx-168437/?&amp;amp;gclid=EAIaIQobChMI88e3pLeb7QIVhxI_Ch2hAgTBEAEYASAAEgJvYfD_BwE</t>
  </si>
  <si>
    <t>findmyloveline.com</t>
  </si>
  <si>
    <t>198.54.115.71</t>
  </si>
  <si>
    <t>5fbd9f6bc8068</t>
  </si>
  <si>
    <t>https://findmyloveline.com/Wind0ws-firwalalertGCH008/index.html</t>
  </si>
  <si>
    <t>5fbd9f69e514b</t>
  </si>
  <si>
    <t>wtebycf.online</t>
  </si>
  <si>
    <t>68.65.122.38</t>
  </si>
  <si>
    <t>5fca14a9e3e3c</t>
  </si>
  <si>
    <t>https://wtebycf.online/ueicksfx01/weichx01/hedgx01/index.html</t>
  </si>
  <si>
    <t>gsteyb.online</t>
  </si>
  <si>
    <t>5fbdeb7abafd6</t>
  </si>
  <si>
    <t>https://gsteyb.online/jytirx01/jproz4378/iecx/index.php</t>
  </si>
  <si>
    <t>217.69.2.53</t>
  </si>
  <si>
    <t>5fbe4ad224005</t>
  </si>
  <si>
    <t>http://217.69.2.53/XMFF7xe888/index.html?phone=0800-180-8218&amp;amp;</t>
  </si>
  <si>
    <t>165.22.176.15</t>
  </si>
  <si>
    <t>5fbe90de6ea02</t>
  </si>
  <si>
    <t>http://165.22.176.15/m/?phone=+1-(888)-404-1609&amp;amp;</t>
  </si>
  <si>
    <t>142.93.8.43</t>
  </si>
  <si>
    <t>5fbe953d21678</t>
  </si>
  <si>
    <t>http://142.93.8.43/e/?phone=+1-(888)-394-1287&amp;amp;</t>
  </si>
  <si>
    <t>5fbe93ce0648f</t>
  </si>
  <si>
    <t>http://142.93.8.43/m/?phone=+1-(888)-634-7859&amp;amp;</t>
  </si>
  <si>
    <t>165.22.176.86</t>
  </si>
  <si>
    <t>5fbe99d550835</t>
  </si>
  <si>
    <t>http://165.22.176.86/m/?phone=+1-(888)-526-6152&amp;amp;</t>
  </si>
  <si>
    <t>165.22.176.17</t>
  </si>
  <si>
    <t>5fbe9bc5e5ecc</t>
  </si>
  <si>
    <t>http://165.22.176.17/m/?phone=+1-(888)-394-1287&amp;amp;</t>
  </si>
  <si>
    <t>104.248.233.240</t>
  </si>
  <si>
    <t>5fbea60175b25</t>
  </si>
  <si>
    <t>http://104.248.233.240/trojan_microsoft/?phone=+1-(888)-291-0184&amp;amp;</t>
  </si>
  <si>
    <t>5fbea58f719ae</t>
  </si>
  <si>
    <t>http://104.248.233.240/trojan_microsoft/?phone=+1-(888)-394-1287&amp;amp;</t>
  </si>
  <si>
    <t>134.209.210.200</t>
  </si>
  <si>
    <t>5fbeacfe7d141</t>
  </si>
  <si>
    <t>http://134.209.210.200/trojan_microsoft/?phone=+1-(888)-598-1544&amp;amp;</t>
  </si>
  <si>
    <t>windows-security-defender349901alrt.s3-ap-southeast-1.amazonaws.com</t>
  </si>
  <si>
    <t>52.219.132.227</t>
  </si>
  <si>
    <t>5fbeb705b66a8</t>
  </si>
  <si>
    <t>https://windows-security-defender349901alrt.s3-ap-southeast-1.amazonaws.com/index.html</t>
  </si>
  <si>
    <t>142.93.197.246</t>
  </si>
  <si>
    <t>5fbec0995298e</t>
  </si>
  <si>
    <t>http://142.93.197.246/trojan_microsoft/?phone=+1-(888)-619-7599&amp;amp;</t>
  </si>
  <si>
    <t>5fbec05687835</t>
  </si>
  <si>
    <t>http://142.93.197.246/trojan_microsoft/?phone=+1-(888)-394-1287&amp;amp;</t>
  </si>
  <si>
    <t>windows-security-defender6x5x5alrt.s3-ap-southeast-1.amazonaws.com</t>
  </si>
  <si>
    <t>52.219.124.251</t>
  </si>
  <si>
    <t>5fbec3b15d1f2</t>
  </si>
  <si>
    <t>https://windows-security-defender6x5x5alrt.s3-ap-southeast-1.amazonaws.com/index.html</t>
  </si>
  <si>
    <t>157.230.213.235</t>
  </si>
  <si>
    <t>5fbedb5deed3b</t>
  </si>
  <si>
    <t>http://157.230.213.235/trojan_microsoft/?phone=+1-(888)-585-7503&amp;amp;</t>
  </si>
  <si>
    <t>204.48.28.149</t>
  </si>
  <si>
    <t>5fbeea34a92d3</t>
  </si>
  <si>
    <t>http://204.48.28.149/trojan_microsoft/?phone=+1-(888)-291-0217&amp;amp;</t>
  </si>
  <si>
    <t>142.93.52.36</t>
  </si>
  <si>
    <t>5fbeecbf66597</t>
  </si>
  <si>
    <t>http://142.93.52.36/trojan_edge/?phone=+61-1800-572-274&amp;amp;</t>
  </si>
  <si>
    <t>hsyevc.online</t>
  </si>
  <si>
    <t>198.54.126.99</t>
  </si>
  <si>
    <t>5fcb06efe121d</t>
  </si>
  <si>
    <t>https://hsyevc.online/qtryx01-g5544ew-df55798w456-sf2s7f4w56f-x598fa6a-we887-v5xf9f8s6-xv5x878rs-m1c5g54d/nchrx32/index.html</t>
  </si>
  <si>
    <t>bcgseys.online</t>
  </si>
  <si>
    <t>5fbef5c01c34a</t>
  </si>
  <si>
    <t>https://bcgseys.online/ysfirx01/njporx-4943/iegcx/index.php</t>
  </si>
  <si>
    <t>165.22.5.79</t>
  </si>
  <si>
    <t>5fbf425422412</t>
  </si>
  <si>
    <t>http://165.22.5.79/trojan_microsoft/?phone=+61-1800-572-274&amp;amp;</t>
  </si>
  <si>
    <t>217.69.6.68</t>
  </si>
  <si>
    <t>5fbfa66a9ad07</t>
  </si>
  <si>
    <t>http://217.69.6.68/XMFF7xe888/index.html?phone=0800-180-8218&amp;amp;</t>
  </si>
  <si>
    <t>165.22.14.138</t>
  </si>
  <si>
    <t>5fbfd68668a7d</t>
  </si>
  <si>
    <t>http://165.22.14.138/trojan_microsoft/?phone=+1-(888)-593-9012&amp;amp;</t>
  </si>
  <si>
    <t>kpdgyr.online</t>
  </si>
  <si>
    <t>198.54.126.82</t>
  </si>
  <si>
    <t>5fc0cfd607471</t>
  </si>
  <si>
    <t>https://kpdgyr.online/ojpirx01/jphrd8033/</t>
  </si>
  <si>
    <t>ysbhzpk.online</t>
  </si>
  <si>
    <t>5fbfdf96a8553</t>
  </si>
  <si>
    <t>https://ysbhzpk.online/otchrx01-g245644s6-x546s-sf5s98dv4x-vx5d46-xv5x5787s64-x5874sw-xs54a-ewref/nchrx01/index.html</t>
  </si>
  <si>
    <t>fsteyux.online</t>
  </si>
  <si>
    <t>68.65.122.42</t>
  </si>
  <si>
    <t>5fbfdfee95471</t>
  </si>
  <si>
    <t>https://fsteyux.online/ysfirx01/jphrd5393/</t>
  </si>
  <si>
    <t>165.22.9.14</t>
  </si>
  <si>
    <t>5fbfe3ee83a6f</t>
  </si>
  <si>
    <t>http://165.22.9.14/trojan_microsoft/?phone=+1-(888)-635-4501&amp;amp;</t>
  </si>
  <si>
    <t>5fbfe3a8d676a</t>
  </si>
  <si>
    <t>http://165.22.9.14/trojan_microsoft/?phone=+1-(888)-632-0364&amp;amp;</t>
  </si>
  <si>
    <t>64.227.22.249</t>
  </si>
  <si>
    <t>5fbfe85f35ad1</t>
  </si>
  <si>
    <t>http://64.227.22.249/trojan_microsoft/?phone=+1-(888)-705-0864&amp;amp;</t>
  </si>
  <si>
    <t>157.230.219.53</t>
  </si>
  <si>
    <t>5fbff102bf930</t>
  </si>
  <si>
    <t>http://157.230.219.53/trojan_microsoft/?phone=+1-(888)-525-0739&amp;amp;</t>
  </si>
  <si>
    <t>5fbff015073f7</t>
  </si>
  <si>
    <t>http://157.230.219.53/trojan_microsoft/?phone=+1-(888)-417-4024&amp;amp;</t>
  </si>
  <si>
    <t>5fbfef0392396</t>
  </si>
  <si>
    <t>http://157.230.219.53/?number=+1-(888)-655-2349</t>
  </si>
  <si>
    <t>64.227.15.106</t>
  </si>
  <si>
    <t>5fbff65edef1d</t>
  </si>
  <si>
    <t>http://64.227.15.106/trojan_microsoft/?phone=+1-(888)-703-0336&amp;amp;</t>
  </si>
  <si>
    <t>5fbff39f5d2ae</t>
  </si>
  <si>
    <t>http://64.227.15.106/trojan_microsoft/?phone=+1-(888)-598-1513&amp;amp;</t>
  </si>
  <si>
    <t>5fbff1c68bb08</t>
  </si>
  <si>
    <t>http://64.227.15.106/trojan_edge/?phone=+1-(888)-650-6797&amp;amp;</t>
  </si>
  <si>
    <t>er5ru7kbtruybmbdrtfjnufytgkmhuyfytgj-env.ap-southeast-2.elasticbeanst</t>
  </si>
  <si>
    <t>3.106.72.206</t>
  </si>
  <si>
    <t>5fbff4e51904c</t>
  </si>
  <si>
    <t>http://er5ru7kbtruybmbdrtfjnufytgkmhuyfytgj-env.ap-southeast-2.elasticbeanstalk.com/Winhelpxcode111888securityCH007001/index.html?sou=742bfffd67676acdfd</t>
  </si>
  <si>
    <t>165.22.9.37</t>
  </si>
  <si>
    <t>5fbffb2866dae</t>
  </si>
  <si>
    <t>http://165.22.9.37/trojan_microsoft/?phone=+1-(888)-613-3907&amp;amp;</t>
  </si>
  <si>
    <t>165.22.9.198</t>
  </si>
  <si>
    <t>5fc0013396b26</t>
  </si>
  <si>
    <t>http://165.22.9.198/trojan_microsoft/?phone=+1-(888)-523-2518&amp;amp;</t>
  </si>
  <si>
    <t>ahjooi.club</t>
  </si>
  <si>
    <t>104.18.59.36</t>
  </si>
  <si>
    <t>5fc0081f96af6</t>
  </si>
  <si>
    <t>https://ahjooi.club/__Windo_ws_YRFA2JPB9_QD_31/CJ__6OIGN_D2YFK/5OI18B_3N_/?n_b=MSg4NDQpMzA0IDIwMjg=&amp;amp;s_1=67-u38248142058</t>
  </si>
  <si>
    <t>159.65.227.219</t>
  </si>
  <si>
    <t>5fc017ac47968</t>
  </si>
  <si>
    <t>http://159.65.227.219/virusalertmicrosoft/?phone=+1-(888)-529-5199&amp;amp;</t>
  </si>
  <si>
    <t>165.22.2.59</t>
  </si>
  <si>
    <t>5fc019e07c97c</t>
  </si>
  <si>
    <t>http://165.22.2.59/virusalertmicrosoft/?phone=+1-(888)-541-3209&amp;amp;</t>
  </si>
  <si>
    <t>167.99.235.59</t>
  </si>
  <si>
    <t>5fc025a4eb9e2</t>
  </si>
  <si>
    <t>http://167.99.235.59/virusalertmicrosoft/?phone=+1-(888)-655-2516&amp;amp;</t>
  </si>
  <si>
    <t>142.93.7.55</t>
  </si>
  <si>
    <t>5fc027e011e0b</t>
  </si>
  <si>
    <t>http://142.93.7.55/virusalertmicrosoft/?phone=+1-(888)-660-7718&amp;amp;</t>
  </si>
  <si>
    <t>5fc027bb2e46d</t>
  </si>
  <si>
    <t>http://142.93.7.55/virusalertapple/?phone=+1-(888)-526-8141</t>
  </si>
  <si>
    <t>104.248.48.9</t>
  </si>
  <si>
    <t>5fc02cd94c228</t>
  </si>
  <si>
    <t>http://104.248.48.9/virusalertmicrosoft/?phone=+1-(888)-705-0886&amp;amp;</t>
  </si>
  <si>
    <t>104.248.60.25</t>
  </si>
  <si>
    <t>5fc02fc3b64d0</t>
  </si>
  <si>
    <t>http://104.248.60.25/virusalertmicrosoft/?phone=+1-(888)-597-1390&amp;amp;</t>
  </si>
  <si>
    <t>165.22.5.88</t>
  </si>
  <si>
    <t>5fc0390ed5ebd</t>
  </si>
  <si>
    <t>http://165.22.5.88/virusalertmicrosoft/?phone=+1-(888)-598-1445&amp;amp;</t>
  </si>
  <si>
    <t>165.22.5.70</t>
  </si>
  <si>
    <t>5fc04551912cf</t>
  </si>
  <si>
    <t>http://165.22.5.70/virusalertmicrosoft/?phone=+1-(888)-527-8970&amp;amp;</t>
  </si>
  <si>
    <t>165.22.186.145</t>
  </si>
  <si>
    <t>5fc050d4089bb</t>
  </si>
  <si>
    <t>http://165.22.186.145/virusalertmicrosoft/?phone=+1-(888)-597-1341&amp;amp;</t>
  </si>
  <si>
    <t>5fc050c28a12d</t>
  </si>
  <si>
    <t>http://165.22.186.145/virusalertmicrosoft/?phone=+1-(888)-585-6961&amp;amp;</t>
  </si>
  <si>
    <t>agromaquinausada.com</t>
  </si>
  <si>
    <t>162.241.140.249</t>
  </si>
  <si>
    <t>608849b724268</t>
  </si>
  <si>
    <t>http://agromaquinausada.com/online/microsoft/error/fail/fatal/S1001010101001CHY/</t>
  </si>
  <si>
    <t>agrojardin.com.py</t>
  </si>
  <si>
    <t>5fc07fcf1528e</t>
  </si>
  <si>
    <t>http://agrojardin.com.py/online/microsoft/error/fail/fatal/S1001010101001CHY/</t>
  </si>
  <si>
    <t>py</t>
  </si>
  <si>
    <t>192.241.154.54</t>
  </si>
  <si>
    <t>5fc08aa91bcf3</t>
  </si>
  <si>
    <t>http://192.241.154.54/virusalertmicrosoft/?phone=+61-1800-531-564&amp;amp;</t>
  </si>
  <si>
    <t>getyourfixscreensolved.cf</t>
  </si>
  <si>
    <t>162.0.235.250</t>
  </si>
  <si>
    <t>5fc46bdd3c294</t>
  </si>
  <si>
    <t>http://getyourfixscreensolved.cf/ShfdfdfdfddfEDerrorCodexv8181/index.html</t>
  </si>
  <si>
    <t>awayfromanonymousmsg.gq</t>
  </si>
  <si>
    <t>5fc08b0433834</t>
  </si>
  <si>
    <t>https://awayfromanonymousmsg.gq/ShfdfdfdfddfEDerrorCodexv8181/index.html</t>
  </si>
  <si>
    <t>AS23498</t>
  </si>
  <si>
    <t>usgtcf.online</t>
  </si>
  <si>
    <t>Cogeco Data Services LP</t>
  </si>
  <si>
    <t>199.33.112.227</t>
  </si>
  <si>
    <t>BeanfieldTechnologiesInc.</t>
  </si>
  <si>
    <t>5fc0cfd16d94b</t>
  </si>
  <si>
    <t>https://usgtcf.online/otchrx01-g245644s6-x546s-sf5s98dv4x-vx5d46-xv5x5787s64-x5874sw-xs54a-ewref/nchrx01/</t>
  </si>
  <si>
    <t>5fc0cfcca0fd8</t>
  </si>
  <si>
    <t>https://usgtcf.online/qtryx01-g5544ew-df55798w456-sf2s7f4w56f-x598fa6a-we887-v5xf9f8s6-xv5x878rs-m1c5g54d/chrx01/</t>
  </si>
  <si>
    <t>157.230.180.49</t>
  </si>
  <si>
    <t>5fc13ab6aac9e</t>
  </si>
  <si>
    <t>http://157.230.180.49/virusalertmicrosoft/?phone=+1-(888)-589-0481&amp;amp;</t>
  </si>
  <si>
    <t>5fc13aa83db22</t>
  </si>
  <si>
    <t>http://157.230.180.49/virusalertmicrosoft/?phone=+1-(888)-650-8930&amp;amp;</t>
  </si>
  <si>
    <t>5fc13a9a09330</t>
  </si>
  <si>
    <t>http://157.230.180.49/virusalertmicrosoft/?phone=+1-(888)-650-6908&amp;amp;</t>
  </si>
  <si>
    <t>5fc1394c54b5b</t>
  </si>
  <si>
    <t>http://157.230.180.49/virusalertmicrosoft/?phone=+1-(888)-651-9492&amp;amp;</t>
  </si>
  <si>
    <t>5fc13942af56f</t>
  </si>
  <si>
    <t>http://157.230.180.49/virusalertmicrosoft/?phone=+1-(888)-651-0258&amp;amp;</t>
  </si>
  <si>
    <t>5fc13934974a9</t>
  </si>
  <si>
    <t>http://157.230.180.49/virusalertmicrosoft/?phone=+1-(888)-655-9646&amp;amp;</t>
  </si>
  <si>
    <t>5fc138f15974c</t>
  </si>
  <si>
    <t>http://157.230.180.49/virusalertmicrosoft/?phone=+1-(888)-652-4083&amp;amp;</t>
  </si>
  <si>
    <t>5fc137e9174f7</t>
  </si>
  <si>
    <t>http://157.230.180.49/virusalertmicrosoft/?phone=+1-(888)-647-5243&amp;amp;</t>
  </si>
  <si>
    <t>5fc137715ca29</t>
  </si>
  <si>
    <t>http://157.230.180.49/virusalertmicrosoft/?phone=+1-(888)-660-6616&amp;amp;</t>
  </si>
  <si>
    <t>157.230.228.15</t>
  </si>
  <si>
    <t>5fc1456ee9723</t>
  </si>
  <si>
    <t>http://157.230.228.15/virusalertmicrosoft/?phone=+1-(888)-589-0481&amp;amp;</t>
  </si>
  <si>
    <t>5fc13ad0b5ae6</t>
  </si>
  <si>
    <t>http://157.230.228.15/virusalertmicrosoft/?phone=+1-(888)-650-6865&amp;amp;</t>
  </si>
  <si>
    <t>134.209.78.78</t>
  </si>
  <si>
    <t>5fc144d2c7704</t>
  </si>
  <si>
    <t>http://134.209.78.78/virusalertmicrosoft/?phone=+1-(888)-210-3832&amp;amp;</t>
  </si>
  <si>
    <t>165.22.11.90</t>
  </si>
  <si>
    <t>5fc15c90723fb</t>
  </si>
  <si>
    <t>http://165.22.11.90/virusalertmicrosoft/?phone=+1-(888)-585-1784&amp;amp;</t>
  </si>
  <si>
    <t>5fc1539c39581</t>
  </si>
  <si>
    <t>http://165.22.11.90/virusalertmicrosoft/?phone=+1-(888)-598-1446&amp;amp;</t>
  </si>
  <si>
    <t>3psilnrxuaclgc7krpkytca98dcsvtc5sw.ap-southeast-2.elasticbeanstalk.co</t>
  </si>
  <si>
    <t>54.153.231.39</t>
  </si>
  <si>
    <t>5fc1597ac299b</t>
  </si>
  <si>
    <t>http://3psilnrxuaclgc7krpkytca98dcsvtc5sw.ap-southeast-2.elasticbeanstalk.com/Winhelpxcode111888securityCH007001/index.html?sou=2fe2c56aa70a5939d4d37c28</t>
  </si>
  <si>
    <t>contravance032ft.ga</t>
  </si>
  <si>
    <t>172.67.152.217</t>
  </si>
  <si>
    <t>5fc15c969fd30</t>
  </si>
  <si>
    <t>https://contravance032ft.ga/C0DeGvN0rt0nhelpli0nexY059241/WinY444sec0urity01190xd/</t>
  </si>
  <si>
    <t>165.22.178.37</t>
  </si>
  <si>
    <t>5fc15ca0c9d57</t>
  </si>
  <si>
    <t>http://165.22.178.37/virusalertmicrosoft/?phone=+1-(888)-585-1784&amp;amp;</t>
  </si>
  <si>
    <t>165.22.178.20</t>
  </si>
  <si>
    <t>5fc1657f53a39</t>
  </si>
  <si>
    <t>http://165.22.178.20/virusalertmicrosoft/?phone=+1-(888)-240-5809&amp;amp;</t>
  </si>
  <si>
    <t>157.230.224.206</t>
  </si>
  <si>
    <t>5fc171584f190</t>
  </si>
  <si>
    <t>http://157.230.224.206/virusalertapple/?phone=+1-(888)-654-0939&amp;amp;</t>
  </si>
  <si>
    <t>165.22.178.29</t>
  </si>
  <si>
    <t>5fc1718e7ab68</t>
  </si>
  <si>
    <t>http://165.22.178.29/virusalertapple/?phone=+1-(888)-657-0411&amp;amp;</t>
  </si>
  <si>
    <t>68.183.28.179</t>
  </si>
  <si>
    <t>5fc171d5e735b</t>
  </si>
  <si>
    <t>http://68.183.28.179/virusalertmicrosoft/?phone=+1-(888)-617-5609&amp;amp;</t>
  </si>
  <si>
    <t>157.230.176.83</t>
  </si>
  <si>
    <t>5fc1836e84661</t>
  </si>
  <si>
    <t>http://157.230.176.83/virusalertmicrosoft/?phone=+1-(888)-637-0998&amp;amp;</t>
  </si>
  <si>
    <t>giuseryg87rehgrghilrhgiugiurgljrhgiu-env.ap-southeast-2.elasticbeanst</t>
  </si>
  <si>
    <t>3.24.81.47</t>
  </si>
  <si>
    <t>5fc195123acb3</t>
  </si>
  <si>
    <t>http://giuseryg87rehgrghilrhgiugiurgljrhgiu-env.ap-southeast-2.elasticbeanstalk.com/Winhelpxcode111888securityCH007001/index.html?sou=38fab2c1d4dd33a163</t>
  </si>
  <si>
    <t>165.22.1.201</t>
  </si>
  <si>
    <t>5fc1bf12d9f18</t>
  </si>
  <si>
    <t>http://165.22.1.201/virusalertmicrosoft/?phone=+61-1800-290-947&amp;amp;</t>
  </si>
  <si>
    <t>thebestwaylives.online</t>
  </si>
  <si>
    <t>143.110.220.179</t>
  </si>
  <si>
    <t>5fd05274ae84d</t>
  </si>
  <si>
    <t>https://thebestwaylives.online/725026Nov_freezonthropy_win_mac_JP/WJPxmnksEDfevfds0088hotline008/</t>
  </si>
  <si>
    <t>www.bestwaylivesb.online</t>
  </si>
  <si>
    <t>5fc46e8ce3420</t>
  </si>
  <si>
    <t>https://www.bestwaylivesb.online/725026Nov_freezonthropy_win_mac_JP/WJPxmnksEDfevfds0088hotline008/</t>
  </si>
  <si>
    <t>www.bestwaylivesc.online</t>
  </si>
  <si>
    <t>5fc1dcd2c5828</t>
  </si>
  <si>
    <t>https://www.bestwaylivesc.online/725026Nov_freezonthropy_win_mac_JP/WJPxmnksEDfevfds0088hotline008/</t>
  </si>
  <si>
    <t>165.22.3.52</t>
  </si>
  <si>
    <t>5fc2842a61aea</t>
  </si>
  <si>
    <t>http://165.22.3.52/virusalertmicrosoft/?phone=+1-(888)-211-4453&amp;amp;</t>
  </si>
  <si>
    <t>5fc2841b2dbef</t>
  </si>
  <si>
    <t>http://165.22.3.52/virusalertmicrosoft/?phone=+1-(888)-604-2911&amp;amp;</t>
  </si>
  <si>
    <t>microsoft-win-defender-system-security-scan-usa-7275-no-pro.s3.us-eas</t>
  </si>
  <si>
    <t>52.219.96.96</t>
  </si>
  <si>
    <t>5fc28c3a97712</t>
  </si>
  <si>
    <t>https://microsoft-win-defender-system-security-scan-usa-7275-no-pro.s3.us-east-2.amazonaws.com/today-fri-2310.html</t>
  </si>
  <si>
    <t>us-eas</t>
  </si>
  <si>
    <t>bsahjgfasdghjfasd.s3-ap-southeast-1.amazonaws.com</t>
  </si>
  <si>
    <t>52.219.32.196</t>
  </si>
  <si>
    <t>60a3fbc77244c</t>
  </si>
  <si>
    <t>https://bsahjgfasdghjfasd.s3-ap-southeast-1.amazonaws.com/index.with.out.pro.html</t>
  </si>
  <si>
    <t>windows-security-defender34990alrt349x2.s3-ap-southeast-1.amazonaws.c</t>
  </si>
  <si>
    <t>5fc29ada4e088</t>
  </si>
  <si>
    <t>https://windows-security-defender34990alrt349x2.s3-ap-southeast-1.amazonaws.com/index.html</t>
  </si>
  <si>
    <t>windows-security-defender3499021alrt.s3-ap-southeast-1.amazonaws.com</t>
  </si>
  <si>
    <t>52.219.124.15</t>
  </si>
  <si>
    <t>5fc29ae11e2a7</t>
  </si>
  <si>
    <t>https://windows-security-defender3499021alrt.s3-ap-southeast-1.amazonaws.com/index.html</t>
  </si>
  <si>
    <t>165.22.184.86</t>
  </si>
  <si>
    <t>5fc29ae676aa4</t>
  </si>
  <si>
    <t>http://165.22.184.86/virusalertmicrosoft/?phone=+1-(888)-207-5938&amp;amp;</t>
  </si>
  <si>
    <t>165.22.184.84</t>
  </si>
  <si>
    <t>5fc29aea1ed04</t>
  </si>
  <si>
    <t>http://165.22.184.84/virusalertmicrosoft/?phone=+1-(888)-207-5938&amp;amp;</t>
  </si>
  <si>
    <t>134.209.79.89</t>
  </si>
  <si>
    <t>5fc46bd4db59b</t>
  </si>
  <si>
    <t>http://134.209.79.89/virusalertmicrosoft/?phone=+61-1800-819-136&amp;amp;</t>
  </si>
  <si>
    <t>windows-security-defender3499521trozn45.s3-ap-southeast-1.amazonaws.c</t>
  </si>
  <si>
    <t>52.219.132.27</t>
  </si>
  <si>
    <t>5fc548eff0a77</t>
  </si>
  <si>
    <t>https://windows-security-defender3499521trozn45.s3-ap-southeast-1.amazonaws.com/index.html</t>
  </si>
  <si>
    <t>161.35.101.63</t>
  </si>
  <si>
    <t>5fc5ef1e28f49</t>
  </si>
  <si>
    <t>http://161.35.101.63/virusalertmicrosoft/?phone=+61-1800-290-947</t>
  </si>
  <si>
    <t>165.22.10.105</t>
  </si>
  <si>
    <t>5fc7c2fc5f048</t>
  </si>
  <si>
    <t>http://165.22.10.105/winall/?phone=+1-(888)-712-0687&amp;amp;</t>
  </si>
  <si>
    <t>5fc7c2efa82fa</t>
  </si>
  <si>
    <t>http://165.22.10.105/winall/?phone=+1-(888)-598-1349&amp;amp;</t>
  </si>
  <si>
    <t>5fc7c29d81f91</t>
  </si>
  <si>
    <t>http://165.22.10.105/winall/?phone=+1-(888)-712-0697&amp;amp;</t>
  </si>
  <si>
    <t>5fc7c2e4e1c5b</t>
  </si>
  <si>
    <t>http://165.22.10.105/winall/?phone=+1-(888)-650-3740&amp;amp;</t>
  </si>
  <si>
    <t>198.199.84.183</t>
  </si>
  <si>
    <t>5fc67a46636e0</t>
  </si>
  <si>
    <t>http://198.199.84.183/virusalertapple/?phone=+1-(888)-403-6101&amp;amp;</t>
  </si>
  <si>
    <t>178.128.156.190</t>
  </si>
  <si>
    <t>5fc686839aa4c</t>
  </si>
  <si>
    <t>http://178.128.156.190/virusalertmicrosoft/?phone=+1-(888)-210-1729&amp;amp;</t>
  </si>
  <si>
    <t>134.209.211.192</t>
  </si>
  <si>
    <t>5fc6884c84564</t>
  </si>
  <si>
    <t>http://134.209.211.192/virusalertmicrosoft/?phone=+1-(888)-268-9204&amp;amp;</t>
  </si>
  <si>
    <t>207.148.15.197</t>
  </si>
  <si>
    <t>5fc689ef56b67</t>
  </si>
  <si>
    <t>http://207.148.15.197/WIn01security6666Helpline099ECHSys01888YAS/?phone=+1-888-652-9887&amp;amp;</t>
  </si>
  <si>
    <t>76e34w54e76ygg7ti7uhjy6t8yjkhiotrses-env.ap-southeast-2.elasticbeanst</t>
  </si>
  <si>
    <t>52.64.218.187</t>
  </si>
  <si>
    <t>5fc69105798be</t>
  </si>
  <si>
    <t>http://76e34w54e76ygg7ti7uhjy6t8yjkhiotrses-env.ap-southeast-2.elasticbeanstalk.com/FUYGFUVBVHGVYUGVJDVVYHYCHH8FIW7FFBFEUYEUGY/index.html?sou=2f5b385d4a</t>
  </si>
  <si>
    <t>134.209.211.148</t>
  </si>
  <si>
    <t>5fc693d25f99b</t>
  </si>
  <si>
    <t>http://134.209.211.148/virusalertmicrosoft/?phone=+1-(888)-230-4689&amp;amp;</t>
  </si>
  <si>
    <t>5fc693b37c7b6</t>
  </si>
  <si>
    <t>http://134.209.211.148/virusalertmicrosoft/?phone=+1-(888)-253-4240&amp;amp;</t>
  </si>
  <si>
    <t>134.209.221.215</t>
  </si>
  <si>
    <t>5fc699d573804</t>
  </si>
  <si>
    <t>http://134.209.221.215/virusalertmicrosoft/?phone=+1-(888)-210-3115&amp;amp;</t>
  </si>
  <si>
    <t>5fc699cf8d501</t>
  </si>
  <si>
    <t>http://134.209.221.215/virusalertmicrosoft/?phone=+1-(888)-585-7311&amp;amp;</t>
  </si>
  <si>
    <t>5fc699aba5aee</t>
  </si>
  <si>
    <t>http://134.209.221.215/virusalertmicrosoft/?phone=+1-(888)-599-8076&amp;amp;</t>
  </si>
  <si>
    <t>157.230.62.237</t>
  </si>
  <si>
    <t>5fc6a47b81463</t>
  </si>
  <si>
    <t>http://157.230.62.237/virusalertmicrosoft/?phone=+1-(888)-223-6179&amp;amp;</t>
  </si>
  <si>
    <t>5fc6a47437561</t>
  </si>
  <si>
    <t>http://157.230.62.237/virusalertmicrosoft/?phone=+1-(888)-210-6382&amp;amp;</t>
  </si>
  <si>
    <t>5fc6a46a8bfaf</t>
  </si>
  <si>
    <t>http://157.230.62.237/virusalertmicrosoft/?phone=+1-(888)-253-5081&amp;amp;</t>
  </si>
  <si>
    <t>5fc6a45637431</t>
  </si>
  <si>
    <t>http://157.230.62.237/virusalertmicrosoft/?phone=+1-(888)-257-3981&amp;amp;</t>
  </si>
  <si>
    <t>52.219.164.6</t>
  </si>
  <si>
    <t>5fc6a6fae37e6</t>
  </si>
  <si>
    <t>https://s3-ap-southeast-1.amazonaws.com/windows-security-alert-93x3x52.trozen.sys/index.html</t>
  </si>
  <si>
    <t>104.248.113.122</t>
  </si>
  <si>
    <t>5fc6abc82d183</t>
  </si>
  <si>
    <t>http://104.248.113.122/virusalertmicrosoft/?phone=+1-(888)-211-6986&amp;amp;</t>
  </si>
  <si>
    <t>5fc6a9f3afb02</t>
  </si>
  <si>
    <t>http://104.248.113.122/virusalertmicrosoft/?phone=+1-(888)-233-4386&amp;amp;</t>
  </si>
  <si>
    <t>104.248.226.80</t>
  </si>
  <si>
    <t>5fc6b139234c3</t>
  </si>
  <si>
    <t>http://104.248.226.80/virusalertmicrosoft/?phone=+1-(888)-202-0778&amp;amp;</t>
  </si>
  <si>
    <t>5fc6b1319d226</t>
  </si>
  <si>
    <t>http://104.248.226.80/virusalertmicrosoft/?phone=+1-(888)-258-5807&amp;amp;</t>
  </si>
  <si>
    <t>5fc6b124690c8</t>
  </si>
  <si>
    <t>http://104.248.226.80/virusalertmicrosoft/?phone=+1-(888)-598-0145&amp;amp;</t>
  </si>
  <si>
    <t>mswinchrlogsscan542.s3.us-east-2.amazonaws.com</t>
  </si>
  <si>
    <t>52.219.97.58</t>
  </si>
  <si>
    <t>5fc6bec4e791c</t>
  </si>
  <si>
    <t>https://mswinchrlogsscan542.s3.us-east-2.amazonaws.com/notification.html.html</t>
  </si>
  <si>
    <t>134.209.121.186</t>
  </si>
  <si>
    <t>5fc6d2ddf0c4a</t>
  </si>
  <si>
    <t>http://134.209.121.186/virusalertmicrosoft/?phone=+1-(888)-585-4307&amp;amp;</t>
  </si>
  <si>
    <t>uhufezxymnjzgwsterchbtderwerdstrcgvt-env.ap-southeast-2.elasticbeanst</t>
  </si>
  <si>
    <t>54.253.32.91</t>
  </si>
  <si>
    <t>5fc77f1c95469</t>
  </si>
  <si>
    <t>http://uhufezxymnjzgwsterchbtderwerdstrcgvt-env.ap-southeast-2.elasticbeanstalk.com/fChdgeevrguewfetfygfuyefyeufCHyyffy0009001/index.html?sou=2c9a2f0ee9</t>
  </si>
  <si>
    <t>tzersuturls.azurewebsites.net</t>
  </si>
  <si>
    <t>23.99.224.56</t>
  </si>
  <si>
    <t>5fc7c7831e590</t>
  </si>
  <si>
    <t>https://tzersuturls.azurewebsites.net/WIn01secu0RJurity0CHSys01888Y/</t>
  </si>
  <si>
    <t>161.35.60.212</t>
  </si>
  <si>
    <t>5fc7c9900b079</t>
  </si>
  <si>
    <t>http://161.35.60.212/winall/?phone=+1-(888)-598-1532&amp;amp;</t>
  </si>
  <si>
    <t>5fc7c98905b9c</t>
  </si>
  <si>
    <t>http://161.35.60.212/winall/?phone=+1-(888)-705-0836&amp;amp;</t>
  </si>
  <si>
    <t>5fc7c9811d090</t>
  </si>
  <si>
    <t>http://161.35.60.212/winall/?phone=+1-(888)-269-8394&amp;amp;</t>
  </si>
  <si>
    <t>5fc7c975ee757</t>
  </si>
  <si>
    <t>http://161.35.60.212/winall/?phone=+1-(888)-598-1510&amp;amp;</t>
  </si>
  <si>
    <t>157.230.237.25</t>
  </si>
  <si>
    <t>5fc7d1deeda06</t>
  </si>
  <si>
    <t>http://157.230.237.25/winall/?phone=+1-(888)-635-7613&amp;amp;</t>
  </si>
  <si>
    <t>5fc7d1caf0668</t>
  </si>
  <si>
    <t>http://157.230.237.25/winall/?phone=+1-(888)-585-4306&amp;amp;</t>
  </si>
  <si>
    <t>192.81.218.91</t>
  </si>
  <si>
    <t>5fc7d1ef3668c</t>
  </si>
  <si>
    <t>http://192.81.218.91/winall/?phone=+1-(888)-594-3239&amp;amp;</t>
  </si>
  <si>
    <t>5fc7d1e79dd31</t>
  </si>
  <si>
    <t>http://192.81.218.91/winall/?phone=+1-(888)-690-0835&amp;amp;</t>
  </si>
  <si>
    <t>157.230.224.195</t>
  </si>
  <si>
    <t>5fc7e2c954fdf</t>
  </si>
  <si>
    <t>http://157.230.224.195/winall/?phone=+1-(888)-614-8597&amp;amp;</t>
  </si>
  <si>
    <t>167.172.129.140</t>
  </si>
  <si>
    <t>5fc7ee6975526</t>
  </si>
  <si>
    <t>http://167.172.129.140/windowsalert/?phone=+1-(888)-690-0927&amp;amp;</t>
  </si>
  <si>
    <t>5fc7ec7495313</t>
  </si>
  <si>
    <t>http://167.172.129.140/windowsalert/?phone=+1-(888)-614-4841&amp;amp;</t>
  </si>
  <si>
    <t>165.22.187.89</t>
  </si>
  <si>
    <t>5fc7f550f3803</t>
  </si>
  <si>
    <t>http://165.22.187.89/windowsalert/?phone=+1-(888)-600-7051&amp;amp;</t>
  </si>
  <si>
    <t>5fc7f52dd13f5</t>
  </si>
  <si>
    <t>http://165.22.187.89/windowsalert/?phone=+1-(888)-216-2715&amp;amp;</t>
  </si>
  <si>
    <t>tyr5dtrcbvgfutyfgjhbhgiugujbhgtydrfx-env.ap-southeast-2.elasticbeanst</t>
  </si>
  <si>
    <t>13.237.119.15</t>
  </si>
  <si>
    <t>5fc7f55ad7bb3</t>
  </si>
  <si>
    <t>http://tyr5dtrcbvgfutyfgjhbhgiugujbhgtydrfx-env.ap-southeast-2.elasticbeanstalk.com/UGEUYFVDSNHCYAVCHSACSDSNKVDGCHABACNCH7YF7FJFUFCH/index.html?sou=bd00</t>
  </si>
  <si>
    <t>ygyeefgtglrthuigyujrhgiurhgiusergkse-env.ap-southeast-2.elasticbeanst</t>
  </si>
  <si>
    <t>3.104.239.85</t>
  </si>
  <si>
    <t>5fc809a74a970</t>
  </si>
  <si>
    <t>http://ygyeefgtglrthuigyujrhgiurhgiusergkse-env.ap-southeast-2.elasticbeanstalk.com/FUYGFUVBVHGVYUGVJDVVYHYCHH8FIW7FFBFEUYEUGYring/?sou=d64d37f37270b5a0</t>
  </si>
  <si>
    <t>165.22.179.41</t>
  </si>
  <si>
    <t>5fc911d38d264</t>
  </si>
  <si>
    <t>http://165.22.179.41/windowsalert/?phone=+1-(888)-212-5641&amp;amp;</t>
  </si>
  <si>
    <t>5fc9110e3c27e</t>
  </si>
  <si>
    <t>http://165.22.179.41/windowsalert/?phone=+1-(888)-585-4129&amp;amp;</t>
  </si>
  <si>
    <t>54.77.138.136</t>
  </si>
  <si>
    <t>5fca020c23adb</t>
  </si>
  <si>
    <t>http://54.77.138.136/tiffany/jongen.html?=0466-901-799</t>
  </si>
  <si>
    <t>5fca0182bf601</t>
  </si>
  <si>
    <t>http://54.77.138.136/donjr/daddy.html?=044-586-7658</t>
  </si>
  <si>
    <t>157.230.57.95</t>
  </si>
  <si>
    <t>5fc9ee3b05d64</t>
  </si>
  <si>
    <t>http://157.230.57.95/windowsalert/?phone=+61-1800-531-564</t>
  </si>
  <si>
    <t>165.22.183.246</t>
  </si>
  <si>
    <t>5fc93039c4352</t>
  </si>
  <si>
    <t>http://165.22.183.246/WIn01sec0R999ity0CHSys01888Yy1/</t>
  </si>
  <si>
    <t>huywfejfgjghogoirehgrfgyuu7wgfebgear-env.ap-southeast-2.elasticbeanst</t>
  </si>
  <si>
    <t>54.206.228.181</t>
  </si>
  <si>
    <t>5fc930552a457</t>
  </si>
  <si>
    <t>http://huywfejfgjghogoirehgrfgyuu7wgfebgear-env.ap-southeast-2.elasticbeanstalk.com/FUYGFUVBVHGVYUGVJDVVYHYCHH8FIW7FFBFEUYEUGYring/?sou=4752208bc6273d4e</t>
  </si>
  <si>
    <t>165.22.183.137</t>
  </si>
  <si>
    <t>5fc931a31bb6d</t>
  </si>
  <si>
    <t>http://165.22.183.137/windowsalert/?phone=+1-(888)-599-4298&amp;amp;</t>
  </si>
  <si>
    <t>5fc93167aaac4</t>
  </si>
  <si>
    <t>http://165.22.183.137/windowsalert/?phone=+1-(888)-592-7014&amp;amp;</t>
  </si>
  <si>
    <t>144.202.59.206</t>
  </si>
  <si>
    <t>5fc931df255b4</t>
  </si>
  <si>
    <t>http://144.202.59.206/WIn01security6666Helpline099ECHSys01888YAS/?phone=+1-866-497-4239&amp;amp;</t>
  </si>
  <si>
    <t>fcelxi.club</t>
  </si>
  <si>
    <t>172.67.198.20</t>
  </si>
  <si>
    <t>5fc9495fb4673</t>
  </si>
  <si>
    <t>https://fcelxi.club/__Windo_ws_YRFA2JPB9_QD_31/CJ__6OIGN_D2YFK/5OI18B_3N_/?n_b=MSg4NDQpMzA0IDgxNjU=&amp;amp;s_1=s186_52b738b303d</t>
  </si>
  <si>
    <t>165.22.179.162</t>
  </si>
  <si>
    <t>5fc94b4bc8fbe</t>
  </si>
  <si>
    <t>http://165.22.179.162/windowsalert/?phone=+1-(888)-604-4153&amp;amp;</t>
  </si>
  <si>
    <t>5fc94b3c60810</t>
  </si>
  <si>
    <t>http://165.22.179.162/windowsalert/?phone=+1-(888)-593-0681&amp;amp;</t>
  </si>
  <si>
    <t>157.230.84.254</t>
  </si>
  <si>
    <t>5fc95e073ebd1</t>
  </si>
  <si>
    <t>http://157.230.84.254/windowsalert/?phone=+1-(888)-258-8646&amp;amp;</t>
  </si>
  <si>
    <t>5fc95dffda12c</t>
  </si>
  <si>
    <t>http://157.230.84.254/windowsalert/?phone=+1-(888)-585-7330&amp;amp;</t>
  </si>
  <si>
    <t>139.59.232.39</t>
  </si>
  <si>
    <t>DIGITALOCEAN</t>
  </si>
  <si>
    <t>5fca2cd3e4fdb</t>
  </si>
  <si>
    <t>http://139.59.232.39/</t>
  </si>
  <si>
    <t>gcj2tva6fjbrbl9rt8j9hr5i1rhftntj.xyz</t>
  </si>
  <si>
    <t>162.0.209.138</t>
  </si>
  <si>
    <t>5fca4d74f1ef6</t>
  </si>
  <si>
    <t>https://gcj2tva6fjbrbl9rt8j9hr5i1rhftntj.xyz/</t>
  </si>
  <si>
    <t>appleautoalert.xyz</t>
  </si>
  <si>
    <t>148.66.137.119</t>
  </si>
  <si>
    <t>5fca5398b5557</t>
  </si>
  <si>
    <t>http://appleautoalert.xyz/</t>
  </si>
  <si>
    <t>koymanare.ml</t>
  </si>
  <si>
    <t>104.18.35.184</t>
  </si>
  <si>
    <t>5fca5618a1880</t>
  </si>
  <si>
    <t>http://koymanare.ml/sa2/IEDfdfdWiniucode0xhelpms001MyS00070/index.html</t>
  </si>
  <si>
    <t>gayaguya2.cf</t>
  </si>
  <si>
    <t>178.128.79.30</t>
  </si>
  <si>
    <t>5fca5bad6572d</t>
  </si>
  <si>
    <t>http://gayaguya2.cf/sa2/CHfdfdWiniucode0xhelpms001MyS00070/index.html</t>
  </si>
  <si>
    <t>68.183.130.142</t>
  </si>
  <si>
    <t>5fca71b08e719</t>
  </si>
  <si>
    <t>http://68.183.130.142/windowsalert/?phone=+1-(888)-642-2903&amp;amp;</t>
  </si>
  <si>
    <t>5fca715067cf9</t>
  </si>
  <si>
    <t>http://68.183.130.142/windowsalert/?phone=+1-(888)-202-0732&amp;amp;</t>
  </si>
  <si>
    <t>harmonyflooring.services</t>
  </si>
  <si>
    <t>104.18.55.216</t>
  </si>
  <si>
    <t>5fca73696d7ce</t>
  </si>
  <si>
    <t>https://harmonyflooring.services/codemasg/4720MAfdfffdgfgfgdfgdfgfKar/</t>
  </si>
  <si>
    <t>5fca73618056b</t>
  </si>
  <si>
    <t>https://harmonyflooring.services/codemasg/4399FFfdfffdgfgfgdfgdfgfKar/</t>
  </si>
  <si>
    <t>5fca735bca37d</t>
  </si>
  <si>
    <t>https://harmonyflooring.services/codemasg/3691CEDGfdfffdgfgfgdfgdfgfKar/</t>
  </si>
  <si>
    <t>172.67.168.206</t>
  </si>
  <si>
    <t>5fca73658fe8f</t>
  </si>
  <si>
    <t>https://harmonyflooring.services/codemasg/8593EDfdfffdgfgfgdfgdfgfKar/</t>
  </si>
  <si>
    <t>premenedal2.cf</t>
  </si>
  <si>
    <t>172.67.151.178</t>
  </si>
  <si>
    <t>5fca754a32833</t>
  </si>
  <si>
    <t>http://premenedal2.cf/ss/IEDfdfdWiniucode0xhelpms001MyS00070/index.html</t>
  </si>
  <si>
    <t>157.230.208.27</t>
  </si>
  <si>
    <t>5fca767d1b582</t>
  </si>
  <si>
    <t>http://157.230.208.27/windowsalert/?phone=+1-(888)-585-3268&amp;amp;</t>
  </si>
  <si>
    <t>134.209.220.213</t>
  </si>
  <si>
    <t>5fca7c598e0e8</t>
  </si>
  <si>
    <t>http://134.209.220.213/windowsalert/?phone=+1-(888)-210-6693&amp;amp;</t>
  </si>
  <si>
    <t>5fca7a276dd14</t>
  </si>
  <si>
    <t>http://134.209.220.213/windowsalert/?phone=+1-(888)-217-5975&amp;amp;</t>
  </si>
  <si>
    <t>104.18.54.216</t>
  </si>
  <si>
    <t>5fca7ab5557fc</t>
  </si>
  <si>
    <t>https://harmonyflooring.services/code5017d/W880n01xmse0cur0it0yED008VP8YY/</t>
  </si>
  <si>
    <t>worksoftss.xyz</t>
  </si>
  <si>
    <t>148.66.138.129</t>
  </si>
  <si>
    <t>5fca7ac289c03</t>
  </si>
  <si>
    <t>http://worksoftss.xyz/EDTPPZTITUBOUAJJHPOZBHEJSTDHJUADGYMVHJHVXMLOLVBVBY/</t>
  </si>
  <si>
    <t>157.230.89.170</t>
  </si>
  <si>
    <t>5fca8c43695c5</t>
  </si>
  <si>
    <t>http://157.230.89.170/windowsalert/?phone=+1-(888)-271-2902&amp;amp;</t>
  </si>
  <si>
    <t>5fca8c3ccdb4a</t>
  </si>
  <si>
    <t>http://157.230.89.170/windowsalert/?phone=+1-(888)-210-5955&amp;amp;</t>
  </si>
  <si>
    <t>5fca8c35894c6</t>
  </si>
  <si>
    <t>http://157.230.89.170/windowsalert/?phone=+1-(888)-599-3405&amp;amp;</t>
  </si>
  <si>
    <t>157.230.86.118</t>
  </si>
  <si>
    <t>5fca91372acfe</t>
  </si>
  <si>
    <t>http://157.230.86.118/WinhelpxcodexwinIEsys88880101010102000mm01/</t>
  </si>
  <si>
    <t>165.22.177.214</t>
  </si>
  <si>
    <t>5fca9a86d0b84</t>
  </si>
  <si>
    <t>http://165.22.177.214/windowsalert/?phone=+1-(888)-412-7745&amp;amp;</t>
  </si>
  <si>
    <t>5fca99931469c</t>
  </si>
  <si>
    <t>http://165.22.177.214/windowsalert/?phone=+1-(888)-203-6358&amp;amp;</t>
  </si>
  <si>
    <t>5fca965974849</t>
  </si>
  <si>
    <t>http://165.22.177.214/windowsalert/?phone=+1-(888)-249-9013&amp;amp;</t>
  </si>
  <si>
    <t>premenedal12.cf</t>
  </si>
  <si>
    <t>104.28.29.162</t>
  </si>
  <si>
    <t>5fca97e3065f6</t>
  </si>
  <si>
    <t>http://premenedal12.cf/ss2/IEDfdfdWiniucode0xhelpms001MyS00070/index.html</t>
  </si>
  <si>
    <t>securewebonline67.xyz</t>
  </si>
  <si>
    <t>172.67.201.49</t>
  </si>
  <si>
    <t>5fca97e781d40</t>
  </si>
  <si>
    <t>https://securewebonline67.xyz/error8315s/WinhelpxcodexwinIEsys88880101010102/</t>
  </si>
  <si>
    <t>babynamewizard.website</t>
  </si>
  <si>
    <t>172.67.198.18</t>
  </si>
  <si>
    <t>5fca97ec3d0e7</t>
  </si>
  <si>
    <t>https://babynamewizard.website/codemasg/3691CEDGfdfffdgfgfgdfgdfgfKar/</t>
  </si>
  <si>
    <t>hzvmoz.club</t>
  </si>
  <si>
    <t>104.18.60.165</t>
  </si>
  <si>
    <t>5fca9ec025739</t>
  </si>
  <si>
    <t>https://hzvmoz.club/__Windo_ws_YRFA2JPB9_QD_31/CJ__6OIGN_D2YFK/5OI18B_3N_/?n_b=MSg4NDQpMzA2IDkxMDE=&amp;amp;s_1=s186_45c166d697d</t>
  </si>
  <si>
    <t>165.22.191.174</t>
  </si>
  <si>
    <t>5fcaa1dfa3579</t>
  </si>
  <si>
    <t>http://165.22.191.174/windowsalert/?phone=+1-(888)-531-5349&amp;amp;</t>
  </si>
  <si>
    <t>5fcaa1d6c795e</t>
  </si>
  <si>
    <t>http://165.22.191.174/windowsalert/?phone=+1-(888)-534-7134&amp;amp;</t>
  </si>
  <si>
    <t>165.22.181.58</t>
  </si>
  <si>
    <t>5fcaadf18a12e</t>
  </si>
  <si>
    <t>http://165.22.181.58/windowsalert/?phone=+1-(888)-219-5536&amp;amp;</t>
  </si>
  <si>
    <t>5fcaadeca1626</t>
  </si>
  <si>
    <t>http://165.22.181.58/windowsalert/?phone=+1-(888)-210-2667&amp;amp;</t>
  </si>
  <si>
    <t>5fcaade801f5d</t>
  </si>
  <si>
    <t>http://165.22.181.58/windowsalert/?phone=+1-(888)-202-1879&amp;amp;</t>
  </si>
  <si>
    <t>165.22.12.83</t>
  </si>
  <si>
    <t>5fcab47b3275d</t>
  </si>
  <si>
    <t>http://165.22.12.83/windowsalert/?phone=+1-(888)-471-3699&amp;amp;</t>
  </si>
  <si>
    <t>5fcab3b5990ec</t>
  </si>
  <si>
    <t>http://165.22.12.83/windowsalert/?phone=+1(888)-655-2438&amp;amp;</t>
  </si>
  <si>
    <t>5fcab3391f353</t>
  </si>
  <si>
    <t>http://165.22.12.83/windowsalert/?phone=+1-(888)-210-4070&amp;amp;</t>
  </si>
  <si>
    <t>5fcab2c7b8c76</t>
  </si>
  <si>
    <t>http://165.22.12.83/windowsalert/?phone=+1-(888)-705-0921&amp;amp;</t>
  </si>
  <si>
    <t>142.93.11.223</t>
  </si>
  <si>
    <t>5fcad19831596</t>
  </si>
  <si>
    <t>http://142.93.11.223/windowsalert/?phone=+1-(888)-202-0546&amp;amp;</t>
  </si>
  <si>
    <t>5fcad1905734e</t>
  </si>
  <si>
    <t>http://142.93.11.223/windowsalert/?phone=+1-(888)-206-4030&amp;amp;</t>
  </si>
  <si>
    <t>5fcac5a208a67</t>
  </si>
  <si>
    <t>http://142.93.11.223/windowsalert/?phone=+1-(888)-524-0859&amp;amp;</t>
  </si>
  <si>
    <t>5fcac596315c9</t>
  </si>
  <si>
    <t>http://142.93.11.223/windowsalert/?phone=+1-(888)-531-6410&amp;amp;</t>
  </si>
  <si>
    <t>5fcac5909723c</t>
  </si>
  <si>
    <t>http://142.93.11.223/windowsalert/?phone=+1-(888)-471-3699&amp;amp;</t>
  </si>
  <si>
    <t>192.81.209.233</t>
  </si>
  <si>
    <t>5fcb06ec63817</t>
  </si>
  <si>
    <t>http://192.81.209.233/microsoft-windows-apple-alerts/?phone=050-3196-4205</t>
  </si>
  <si>
    <t>165.22.187.167</t>
  </si>
  <si>
    <t>5fcb077b42ad7</t>
  </si>
  <si>
    <t>http://165.22.187.167/windowsalert/?phone=+61-1800-290-947</t>
  </si>
  <si>
    <t>carcunasan4.ml</t>
  </si>
  <si>
    <t>104.31.86.240</t>
  </si>
  <si>
    <t>5fcbb1d72c3a4</t>
  </si>
  <si>
    <t>http://carcunasan4.ml/sem/IEDfdfdWiniucode0xhelpms001MyS00070/index.html</t>
  </si>
  <si>
    <t>systemrepair71.xyz</t>
  </si>
  <si>
    <t>104.27.189.132</t>
  </si>
  <si>
    <t>5fcbb1dbed278</t>
  </si>
  <si>
    <t>https://systemrepair71.xyz/error7830s/WinhelpxcodexwinIEsys88880101010102/</t>
  </si>
  <si>
    <t>142.93.1.249</t>
  </si>
  <si>
    <t>5fcbb797bcfd4</t>
  </si>
  <si>
    <t>http://142.93.1.249/windowsalert/?phone=+1-(888)-381-6721&amp;amp;</t>
  </si>
  <si>
    <t>5fcbb794452bd</t>
  </si>
  <si>
    <t>http://142.93.1.249/windowsalert/?phone=+1-(888)-210-2717&amp;amp;</t>
  </si>
  <si>
    <t>5fcbb78fee493</t>
  </si>
  <si>
    <t>http://142.93.1.249/windowsalert/?phone=+1-(888)-210-3296&amp;amp;</t>
  </si>
  <si>
    <t>157.230.228.92</t>
  </si>
  <si>
    <t>5fcbcc9aee64f</t>
  </si>
  <si>
    <t>http://157.230.228.92/WinhelpxcodexwinIEsys88880101010102000mm01/</t>
  </si>
  <si>
    <t>carcunasan14.ml</t>
  </si>
  <si>
    <t>104.31.87.11</t>
  </si>
  <si>
    <t>5fcbcca1f11d9</t>
  </si>
  <si>
    <t>http://carcunasan14.ml/sem/IEDfdfdWiniucode0xhelpms001MyS00070/index.html</t>
  </si>
  <si>
    <t>systemrepair73.xyz</t>
  </si>
  <si>
    <t>104.28.2.141</t>
  </si>
  <si>
    <t>5fcbccab76c02</t>
  </si>
  <si>
    <t>https://systemrepair73.xyz/error7830s/WinhelpxcodexwinIEsys88880101010102/</t>
  </si>
  <si>
    <t>134.209.78.24</t>
  </si>
  <si>
    <t>5fcbcd4def661</t>
  </si>
  <si>
    <t>http://134.209.78.24/windowsalert/?phone=+1-(888)-225-5175&amp;amp;</t>
  </si>
  <si>
    <t>5fcbcd49a6d9a</t>
  </si>
  <si>
    <t>http://134.209.78.24/windowsalert/?phone=+1-(888)-603-9912&amp;amp;</t>
  </si>
  <si>
    <t>157.230.59.188</t>
  </si>
  <si>
    <t>5fcbd9101b3b9</t>
  </si>
  <si>
    <t>http://157.230.59.188/windowsalert/?phone=+1-(888)-210-2930&amp;amp;</t>
  </si>
  <si>
    <t>5fcbd7cd54864</t>
  </si>
  <si>
    <t>http://157.230.59.188/windowsalert/?phone=+1-(888)-221-2652&amp;amp;</t>
  </si>
  <si>
    <t>5fcbd7c9514a0</t>
  </si>
  <si>
    <t>http://157.230.59.188/windowsalert/?phone=+1-(888)-525-0685&amp;amp;</t>
  </si>
  <si>
    <t>5fcbd7c58fa17</t>
  </si>
  <si>
    <t>http://157.230.59.188/windowsalert/?phone=+1-(888)-257-5232&amp;amp;</t>
  </si>
  <si>
    <t>5fcbd5d226512</t>
  </si>
  <si>
    <t>http://157.230.59.188/windowsalert/?phone=+1-(888)-210-6578&amp;amp;</t>
  </si>
  <si>
    <t>5fcbd5ce39a6a</t>
  </si>
  <si>
    <t>http://157.230.59.188/windowsalert/?phone=+1-(888)-210-5806&amp;amp;</t>
  </si>
  <si>
    <t>5fcbd5ca15717</t>
  </si>
  <si>
    <t>http://157.230.59.188/windowsalert/?phone=+1-(888)-523-1564&amp;amp;</t>
  </si>
  <si>
    <t>5fcbd5c62ab85</t>
  </si>
  <si>
    <t>http://157.230.59.188/windowsalert/?phone=+1-(888)-210-3814&amp;amp;</t>
  </si>
  <si>
    <t>64.227.1.196</t>
  </si>
  <si>
    <t>5fcbe39291502</t>
  </si>
  <si>
    <t>http://64.227.1.196/windowsalert/?phone=+1-(888)-396-4092&amp;amp;</t>
  </si>
  <si>
    <t>161.35.6.136</t>
  </si>
  <si>
    <t>5fcbee0d23dc2</t>
  </si>
  <si>
    <t>http://161.35.6.136/viruswindow/?phone=+1-(888)-210-1132&amp;amp;</t>
  </si>
  <si>
    <t>5fcbee0949dff</t>
  </si>
  <si>
    <t>http://161.35.6.136/viruswindow/?phone=+1-(888)-259-6165&amp;amp;</t>
  </si>
  <si>
    <t>161.35.110.201</t>
  </si>
  <si>
    <t>5fcbf9aaa97d4</t>
  </si>
  <si>
    <t>http://161.35.110.201/viruswindow/?phone=+1-(888)-203-2064&amp;amp;</t>
  </si>
  <si>
    <t>5fcbf8dfa015b</t>
  </si>
  <si>
    <t>http://161.35.110.201/viruswindow/?phone=+1-(888)-211-0806&amp;amp;</t>
  </si>
  <si>
    <t>5www.79v02nizi46b.best</t>
  </si>
  <si>
    <t>172.67.211.89</t>
  </si>
  <si>
    <t>5fcbfa9142ac9</t>
  </si>
  <si>
    <t>https://5www.79v02nizi46b.best/us9857155/Edgch/index.html</t>
  </si>
  <si>
    <t>kkaryr.club</t>
  </si>
  <si>
    <t>104.27.151.82</t>
  </si>
  <si>
    <t>5fcbfcedee0d0</t>
  </si>
  <si>
    <t>https://kkaryr.club/__Windo_ws_YRFA2JPB9_QD_31/CJ__6OIGN_D2YFK/5OI18B_3N_/?n_b=MSg4NDQpMjUxIDgwMzg=&amp;amp;s_1=s1209_729281fe162</t>
  </si>
  <si>
    <t>3www.0b23igdpe2j4.best</t>
  </si>
  <si>
    <t>104.24.107.120</t>
  </si>
  <si>
    <t>5fcc048487504</t>
  </si>
  <si>
    <t>https://3www.0b23igdpe2j4.best/us9856873/Edgch/index.html</t>
  </si>
  <si>
    <t>165.22.13.43</t>
  </si>
  <si>
    <t>5fcc0d226ce8e</t>
  </si>
  <si>
    <t>http://165.22.13.43/viruswindow/?phone=+1-(888)-250-6924&amp;amp;</t>
  </si>
  <si>
    <t>1www.rxuuyu03nz94.best</t>
  </si>
  <si>
    <t>164.90.230.134</t>
  </si>
  <si>
    <t>5fcd1f2438a4b</t>
  </si>
  <si>
    <t>http://1www.rxuuyu03nz94.best/us9856795/Edgch/index.html</t>
  </si>
  <si>
    <t>2www.kxuleusbca9d.best</t>
  </si>
  <si>
    <t>5fccbe224395a</t>
  </si>
  <si>
    <t>http://2www.kxuleusbca9d.best/us9857155/Chrrx/index.html</t>
  </si>
  <si>
    <t>5fccbe1e378be</t>
  </si>
  <si>
    <t>http://2www.kxuleusbca9d.best/us9856873/Chrrx/index.html</t>
  </si>
  <si>
    <t>5fccbdc669078</t>
  </si>
  <si>
    <t>http://1www.rxuuyu03nz94.best/us9856873/Chrrx/index.html</t>
  </si>
  <si>
    <t>5fccbdc05933c</t>
  </si>
  <si>
    <t>http://1www.rxuuyu03nz94.best/us9857155/Chrrx/index.html</t>
  </si>
  <si>
    <t>4www.68bhktq14y6o.best</t>
  </si>
  <si>
    <t>5fccbda9da565</t>
  </si>
  <si>
    <t>http://4www.68bhktq14y6o.best/us9857155/Chrrx/index.html</t>
  </si>
  <si>
    <t>5fccbd9ed72c8</t>
  </si>
  <si>
    <t>http://4www.68bhktq14y6o.best/us9856873/Chrrx/index.html</t>
  </si>
  <si>
    <t>4www.qsk7976h91gj.best</t>
  </si>
  <si>
    <t>5fccbd857c39f</t>
  </si>
  <si>
    <t>http://4www.qsk7976h91gj.best/us9856873/Chrrx/index.html</t>
  </si>
  <si>
    <t>2www.dexc3ja5kn7y.best</t>
  </si>
  <si>
    <t>5fccbd7e4766c</t>
  </si>
  <si>
    <t>http://2www.dexc3ja5kn7y.best/us9856873/Chrrx/index.html</t>
  </si>
  <si>
    <t>5fccbd01bc26d</t>
  </si>
  <si>
    <t>http://4www.qsk7976h91gj.best/us9857155/Chrrx/index.html</t>
  </si>
  <si>
    <t>5fccbcec5fd86</t>
  </si>
  <si>
    <t>http://2www.dexc3ja5kn7y.best/us9857155/Chrrx/index.html</t>
  </si>
  <si>
    <t>5www.5vdf14f3oh1l.best</t>
  </si>
  <si>
    <t>5fccbcd3a73a9</t>
  </si>
  <si>
    <t>http://5www.5vdf14f3oh1l.best/us9857155/Edgch/index.html</t>
  </si>
  <si>
    <t>5fccbcc7762d9</t>
  </si>
  <si>
    <t>http://5www.5vdf14f3oh1l.best/us9856873/Edgch/index.html</t>
  </si>
  <si>
    <t>3www.0fj8u2oyji5u.best</t>
  </si>
  <si>
    <t>5fccbcad347f2</t>
  </si>
  <si>
    <t>http://3www.0fj8u2oyji5u.best/us9856873/Edgch/index.html</t>
  </si>
  <si>
    <t>5fccbc9d9605f</t>
  </si>
  <si>
    <t>http://3www.0fj8u2oyji5u.best/us9857155/Edgch/index.html</t>
  </si>
  <si>
    <t>2www.q2omm3vh4x8k.best</t>
  </si>
  <si>
    <t>5fccbc8a07b68</t>
  </si>
  <si>
    <t>http://2www.q2omm3vh4x8k.best/us9857155/Edgch/index.html</t>
  </si>
  <si>
    <t>1www.gkuwap3isl8o.best</t>
  </si>
  <si>
    <t>172.67.193.105</t>
  </si>
  <si>
    <t>5fcd13a6f0298</t>
  </si>
  <si>
    <t>https://1www.gkuwap3isl8o.best/us9856795/Edgch/index.html</t>
  </si>
  <si>
    <t>sevesinnal18.cf</t>
  </si>
  <si>
    <t>104.27.152.199</t>
  </si>
  <si>
    <t>5fcd2729c7623</t>
  </si>
  <si>
    <t>http://sevesinnal18.cf/tena/IEDfdfdWiniucode0xhelpms001MyS00070/index.html</t>
  </si>
  <si>
    <t>sevesinnal20.cf</t>
  </si>
  <si>
    <t>104.27.191.183</t>
  </si>
  <si>
    <t>5fcd2ea7b1b3b</t>
  </si>
  <si>
    <t>http://sevesinnal20.cf/lasa/IEDfdfdWiniucode0xhelpms001MyS00070/index.html</t>
  </si>
  <si>
    <t>www.dmissingfit.xyz</t>
  </si>
  <si>
    <t>204.48.16.113</t>
  </si>
  <si>
    <t>602f385d36435</t>
  </si>
  <si>
    <t>https://www.dmissingfit.xyz/4660def_Edge_New_updated/Winhelpxcode8080xwinEDerrorxxdc/</t>
  </si>
  <si>
    <t>www.bmissingfit.xyz</t>
  </si>
  <si>
    <t>602ea404d2811</t>
  </si>
  <si>
    <t>https://www.bmissingfit.xyz/4660def_Edge_New_updated/Winhelpxcode8080xwinCHerrorxxdc/</t>
  </si>
  <si>
    <t>www.amissingfit.xyz</t>
  </si>
  <si>
    <t>602be7db7f35c</t>
  </si>
  <si>
    <t>https://www.amissingfit.xyz/4660def_Edge_New_updated/Winhelpxcode8080xwinCHerrorxxdc/</t>
  </si>
  <si>
    <t>5fcded5bec8bc</t>
  </si>
  <si>
    <t>http://204.48.16.113/viruswindow/?phone=+61-1800-531-564</t>
  </si>
  <si>
    <t>5www.0qavgugmod1m.best</t>
  </si>
  <si>
    <t>172.67.218.216</t>
  </si>
  <si>
    <t>5fcd3efcda442</t>
  </si>
  <si>
    <t>https://5www.0qavgugmod1m.best/us9856758/Edgch/index.html</t>
  </si>
  <si>
    <t>micro202gbjhjg.cf</t>
  </si>
  <si>
    <t>157.230.236.123</t>
  </si>
  <si>
    <t>600593cdd2660</t>
  </si>
  <si>
    <t>http://micro202gbjhjg.cf/7173/WinFhelpxcodexwin444MAerrorxxdc/</t>
  </si>
  <si>
    <t>600593c68aa25</t>
  </si>
  <si>
    <t>http://micro202gbjhjg.cf/3921/WinFhelpxcodexwin444MAerrorxxdc/</t>
  </si>
  <si>
    <t>600593c2e5a48</t>
  </si>
  <si>
    <t>http://micro202gbjhjg.cf/3814/WinFhelpxcodexwin444MAerrorxxdc/</t>
  </si>
  <si>
    <t>600593bb00425</t>
  </si>
  <si>
    <t>http://micro202gbjhjg.cf/1597/WinFhelpxcodexwin444MAerrorxxdc/</t>
  </si>
  <si>
    <t>600593b5e2892</t>
  </si>
  <si>
    <t>http://micro202gbjhjg.cf/0325/WinFhelpxcodexwin444MAerrorxxdc/</t>
  </si>
  <si>
    <t>micro201asdcfv.tk</t>
  </si>
  <si>
    <t>60059357cfa72</t>
  </si>
  <si>
    <t>http://micro201asdcfv.tk/7173/WinFhelpxcodexwin444MAerrorxxdc/</t>
  </si>
  <si>
    <t>http://micro201asdcfv.tk/5293/WinFhelpxcodexwin444MAerrorxxdc/</t>
  </si>
  <si>
    <t>6005934e7f582</t>
  </si>
  <si>
    <t>http://micro201asdcfv.tk/4615/WinFhelpxcodexwin444MAerrorxxdc/</t>
  </si>
  <si>
    <t>6005934b45750</t>
  </si>
  <si>
    <t>http://micro201asdcfv.tk/3955/WinFhelpxcodexwin444MAerrorxxdc/</t>
  </si>
  <si>
    <t>6005934794fa8</t>
  </si>
  <si>
    <t>http://micro201asdcfv.tk/3921/WinFhelpxcodexwin444MAerrorxxdc/</t>
  </si>
  <si>
    <t>600593443c0bb</t>
  </si>
  <si>
    <t>http://micro201asdcfv.tk/3814/WinFhelpxcodexwin444MAerrorxxdc/</t>
  </si>
  <si>
    <t>600593406a3b1</t>
  </si>
  <si>
    <t>http://micro201asdcfv.tk/3182/WinFhelpxcodexwin444MAerrorxxdc/</t>
  </si>
  <si>
    <t>60059331d6877</t>
  </si>
  <si>
    <t>http://micro201asdcfv.tk/1597/WinFhelpxcodexwin444MAerrorxxdc/</t>
  </si>
  <si>
    <t>6005932e6dfe9</t>
  </si>
  <si>
    <t>http://micro201asdcfv.tk/0344/WinFhelpxcodexwin444MAerrorxxdc/</t>
  </si>
  <si>
    <t>600592df6ee5e</t>
  </si>
  <si>
    <t>http://micro201asdcfv.tk/0325/WinFhelpxcodexwin444MAerrorxxdc/</t>
  </si>
  <si>
    <t>600592d0e5b19</t>
  </si>
  <si>
    <t>http://micro201asdcfv.tk/0264/WinFhelpxcodexwin444MAerrorxxdc/</t>
  </si>
  <si>
    <t>micro202asdsc.ga</t>
  </si>
  <si>
    <t>60059277cdfe0</t>
  </si>
  <si>
    <t>http://micro202asdsc.ga/7173/WinFhelpxcodexwin444MAerrorxxdc/</t>
  </si>
  <si>
    <t>60059273f2a45</t>
  </si>
  <si>
    <t>http://micro202asdsc.ga/5293/WinFhelpxcodexwin444MAerrorxxdc/</t>
  </si>
  <si>
    <t>600592708c624</t>
  </si>
  <si>
    <t>http://micro202asdsc.ga/4615/WinFhelpxcodexwin444MAerrorxxdc/</t>
  </si>
  <si>
    <t>6005926d39ec6</t>
  </si>
  <si>
    <t>http://micro202asdsc.ga/3955/WinFhelpxcodexwin444MAerrorxxdc/</t>
  </si>
  <si>
    <t>600592648fbf2</t>
  </si>
  <si>
    <t>http://micro202asdsc.ga/3921/WinFhelpxcodexwin444MAerrorxxdc/</t>
  </si>
  <si>
    <t>600592610fbe2</t>
  </si>
  <si>
    <t>http://micro202asdsc.ga/3814/WinFhelpxcodexwin444MAerrorxxdc/</t>
  </si>
  <si>
    <t>6005925d5eb6f</t>
  </si>
  <si>
    <t>http://micro202asdsc.ga/3182/WinFhelpxcodexwin444MAerrorxxdc/</t>
  </si>
  <si>
    <t>60059259dbd68</t>
  </si>
  <si>
    <t>http://micro202asdsc.ga/1597/WinFhelpxcodexwin444MAerrorxxdc/</t>
  </si>
  <si>
    <t>600592560ddea</t>
  </si>
  <si>
    <t>http://micro202asdsc.ga/0344/WinFhelpxcodexwin444MAerrorxxdc/</t>
  </si>
  <si>
    <t>6005923a1dd72</t>
  </si>
  <si>
    <t>http://micro202asdsc.ga/0325/WinFhelpxcodexwin444MAerrorxxdc/</t>
  </si>
  <si>
    <t>6005922c5c90d</t>
  </si>
  <si>
    <t>http://micro202asdsc.ga/0264/WinFhelpxcodexwin444MAerrorxxdc/</t>
  </si>
  <si>
    <t>micro501asfcfc.ga</t>
  </si>
  <si>
    <t>6005920f85444</t>
  </si>
  <si>
    <t>http://micro501asfcfc.ga/7173/WinFhelpxcodexwin444MAerrorxxdc/</t>
  </si>
  <si>
    <t>6005920aa2b5c</t>
  </si>
  <si>
    <t>http://micro501asfcfc.ga/5293/WinFhelpxcodexwin444MAerrorxxdc/</t>
  </si>
  <si>
    <t>600592056b6a9</t>
  </si>
  <si>
    <t>http://micro501asfcfc.ga/4615/WinFhelpxcodexwin444MAerrorxxdc/</t>
  </si>
  <si>
    <t>600591ff6aa31</t>
  </si>
  <si>
    <t>http://micro501asfcfc.ga/3955/WinFhelpxcodexwin444MAerrorxxdc/</t>
  </si>
  <si>
    <t>600591fa2984b</t>
  </si>
  <si>
    <t>http://micro501asfcfc.ga/3921/WinFhelpxcodexwin444MAerrorxxdc/</t>
  </si>
  <si>
    <t>600591f4667be</t>
  </si>
  <si>
    <t>http://micro501asfcfc.ga/3814/WinFhelpxcodexwin444MAerrorxxdc/</t>
  </si>
  <si>
    <t>600591eeb56f7</t>
  </si>
  <si>
    <t>http://micro501asfcfc.ga/3182/WinFhelpxcodexwin444MAerrorxxdc/</t>
  </si>
  <si>
    <t>600591e9432a3</t>
  </si>
  <si>
    <t>http://micro501asfcfc.ga/1597/WinFhelpxcodexwin444MAerrorxxdc/</t>
  </si>
  <si>
    <t>600591e0a2671</t>
  </si>
  <si>
    <t>http://micro501asfcfc.ga/0344/WinFhelpxcodexwin444MAerrorxxdc/</t>
  </si>
  <si>
    <t>600591da817ba</t>
  </si>
  <si>
    <t>http://micro501asfcfc.ga/0325/WinFhelpxcodexwin444MAerrorxxdc/</t>
  </si>
  <si>
    <t>600591ca6508e</t>
  </si>
  <si>
    <t>http://micro501asfcfc.ga/0264/WinFhelpxcodexwin444MAerrorxxdc/</t>
  </si>
  <si>
    <t>60009b4158552</t>
  </si>
  <si>
    <t>http://157.230.236.123/1597/WinFhelpxcodexwin444CHerrorxxdc/</t>
  </si>
  <si>
    <t>60009b25117d2</t>
  </si>
  <si>
    <t>http://157.230.236.123/0325/WinFhelpxcodexwin444CHerrorxxdc/</t>
  </si>
  <si>
    <t>60009b57a4d54</t>
  </si>
  <si>
    <t>http://157.230.236.123/3814/WinFhelpxcodexwin444CHerrorxxdc/</t>
  </si>
  <si>
    <t>60009b632d032</t>
  </si>
  <si>
    <t>http://157.230.236.123/3921/WinFhelpxcodexwin444CHerrorxxdc/</t>
  </si>
  <si>
    <t>60009b9151737</t>
  </si>
  <si>
    <t>http://157.230.236.123/7173/WinFhelpxcodexwin444CHerrorxxdc/</t>
  </si>
  <si>
    <t>micro205asfcfgv.gq</t>
  </si>
  <si>
    <t>5ff3558e81cdd</t>
  </si>
  <si>
    <t>http://micro205asfcfgv.gq/3182/WinFhelpxcodexwin444CHerrorxxdc/</t>
  </si>
  <si>
    <t>5fecd4ffdf3e9</t>
  </si>
  <si>
    <t>http://157.230.236.123/4615/WinFhelpxcodexwin444CHerrorxxdc/</t>
  </si>
  <si>
    <t>5fecd4fc3f25f</t>
  </si>
  <si>
    <t>http://157.230.236.123/3955/WinFhelpxcodexwin444CHerrorxxdc/</t>
  </si>
  <si>
    <t>5fecd4f85006c</t>
  </si>
  <si>
    <t>http://157.230.236.123/3182/WinFhelpxcodexwin444CHerrorxxdc/</t>
  </si>
  <si>
    <t>5fecd4f4572a0</t>
  </si>
  <si>
    <t>http://157.230.236.123/0344/WinFhelpxcodexwin444CHerrorxxdc/</t>
  </si>
  <si>
    <t>5fecd4ef90920</t>
  </si>
  <si>
    <t>http://157.230.236.123/0264/WinFhelpxcodexwin444CHerrorxxdc/</t>
  </si>
  <si>
    <t>micro104asdcfv.tk</t>
  </si>
  <si>
    <t>5fecca4eb6289</t>
  </si>
  <si>
    <t>http://micro104asdcfv.tk/5293/WinFhelpxcodexwin444MAerrorxxdc/</t>
  </si>
  <si>
    <t>5fecca4af2f5c</t>
  </si>
  <si>
    <t>http://micro104asdcfv.tk/4615/WinFhelpxcodexwin444MAerrorxxdc/</t>
  </si>
  <si>
    <t>5fecca4713b5f</t>
  </si>
  <si>
    <t>http://micro104asdcfv.tk/3955/WinFhelpxcodexwin444MAerrorxxdc/</t>
  </si>
  <si>
    <t>5fecca40e3bd6</t>
  </si>
  <si>
    <t>http://micro104asdcfv.tk/0344/WinFhelpxcodexwin444MAerrorxxdc/</t>
  </si>
  <si>
    <t>5fecca3d51d0a</t>
  </si>
  <si>
    <t>http://micro104asdcfv.tk/0264/WinFhelpxcodexwin444MAerrorxxdc/</t>
  </si>
  <si>
    <t>micro103asdcfdc.tk</t>
  </si>
  <si>
    <t>5fecca059efd5</t>
  </si>
  <si>
    <t>http://micro103asdcfdc.tk/5293/WinFhelpxcodexwin444MAerrorxxdc/</t>
  </si>
  <si>
    <t>5fecca01292a7</t>
  </si>
  <si>
    <t>http://micro103asdcfdc.tk/4615/WinFhelpxcodexwin444MAerrorxxdc/</t>
  </si>
  <si>
    <t>5fecc9fd6375a</t>
  </si>
  <si>
    <t>http://micro103asdcfdc.tk/3955/WinFhelpxcodexwin444MAerrorxxdc/</t>
  </si>
  <si>
    <t>5fecc9f90ee45</t>
  </si>
  <si>
    <t>http://micro103asdcfdc.tk/3182/WinFhelpxcodexwin444MAerrorxxdc/</t>
  </si>
  <si>
    <t>5fecc9f394714</t>
  </si>
  <si>
    <t>http://micro103asdcfdc.tk/0264/WinFhelpxcodexwin444MAerrorxxdc/</t>
  </si>
  <si>
    <t>5fecc999e0ac9</t>
  </si>
  <si>
    <t>http://micro202gbjhjg.cf/5293/WinFhelpxcodexwin444MAerrorxxdc/</t>
  </si>
  <si>
    <t>5fecc99596516</t>
  </si>
  <si>
    <t>http://micro202gbjhjg.cf/3955/WinFhelpxcodexwin444MAerrorxxdc/</t>
  </si>
  <si>
    <t>5fecc8b952c71</t>
  </si>
  <si>
    <t>http://micro202gbjhjg.cf/4615/WinFhelpxcodexwin444MAerrorxxdc/</t>
  </si>
  <si>
    <t>5fecc992549e1</t>
  </si>
  <si>
    <t>http://micro202gbjhjg.cf/3182/WinFhelpxcodexwin444MAerrorxxdc/</t>
  </si>
  <si>
    <t>5fecc98e77a77</t>
  </si>
  <si>
    <t>http://micro202gbjhjg.cf/0344/WinFhelpxcodexwin444MAerrorxxdc/</t>
  </si>
  <si>
    <t>5feb7c998687e</t>
  </si>
  <si>
    <t>http://157.230.236.123/5293/WinFhelpxcodexwin444CHerrorxxdc/</t>
  </si>
  <si>
    <t>5feb78c70c0cb</t>
  </si>
  <si>
    <t>http://micro104asdcfv.tk/3182/WinFhelpxcodexwin444CHerrorxxdc/</t>
  </si>
  <si>
    <t>5feb78c24f877</t>
  </si>
  <si>
    <t>http://micro103asdcfdc.tk/0344/WinFhelpxcodexwin444CHerrorxxdc/</t>
  </si>
  <si>
    <t>5feb78bdc7b27</t>
  </si>
  <si>
    <t>http://micro202gbjhjg.cf/0264/WinFhelpxcodexwin444CHerrorxxdc/</t>
  </si>
  <si>
    <t>micro201asdcfv.gq</t>
  </si>
  <si>
    <t>5feb78b9eea3e</t>
  </si>
  <si>
    <t>http://micro201asdcfv.gq/5293/WinFhelpxcodexwin444CHerrorxxdc/</t>
  </si>
  <si>
    <t>5feb78b58108b</t>
  </si>
  <si>
    <t>http://micro201asdcfv.gq/4615/WinFhelpxcodexwin444CHerrorxxdc/</t>
  </si>
  <si>
    <t>5feb78b1711bf</t>
  </si>
  <si>
    <t>http://micro201asdcfv.gq/3955/WinFhelpxcodexwin444CHerrorxxdc/</t>
  </si>
  <si>
    <t>5feb78acd62ea</t>
  </si>
  <si>
    <t>http://micro201asdcfv.gq/3182/WinFhelpxcodexwin444CHerrorxxdc/</t>
  </si>
  <si>
    <t>5feb78a900b62</t>
  </si>
  <si>
    <t>http://micro201asdcfv.gq/0344/WinFhelpxcodexwin444CHerrorxxdc/</t>
  </si>
  <si>
    <t>5feb78a436f04</t>
  </si>
  <si>
    <t>http://micro201asdcfv.gq/0264/WinFhelpxcodexwin444CHerrorxxdc/</t>
  </si>
  <si>
    <t>micro102ascxx.tk</t>
  </si>
  <si>
    <t>5fd7ebf12c920</t>
  </si>
  <si>
    <t>http://micro102ascxx.tk/4894/WinFhelpxcodexwin444CHerrorxxdc/</t>
  </si>
  <si>
    <t>micro101asdvfdc.tk</t>
  </si>
  <si>
    <t>5fd7ac497e1a1</t>
  </si>
  <si>
    <t>http://micro101asdvfdc.tk/0085/WinFhelpxcodexwin444CHerrorxxdc/</t>
  </si>
  <si>
    <t>micro440cena.cf</t>
  </si>
  <si>
    <t>5fd7ac45654b3</t>
  </si>
  <si>
    <t>http://micro440cena.cf/1569/WinFhelpxcodexwin444CHerrorxxdc/</t>
  </si>
  <si>
    <t>micro101asdvfdc.ga</t>
  </si>
  <si>
    <t>5fd7ac419eabc</t>
  </si>
  <si>
    <t>http://micro101asdvfdc.ga/1673/WinFhelpxcodexwin444CHerrorxxdc/</t>
  </si>
  <si>
    <t>micro101asdvfdc.gq</t>
  </si>
  <si>
    <t>5fd7abbce4498</t>
  </si>
  <si>
    <t>http://micro101asdvfdc.gq/1627/WinFhelpxcodexwin444EDerrorxxdc/</t>
  </si>
  <si>
    <t>micro435jone.cf</t>
  </si>
  <si>
    <t>5fd7a95562f2c</t>
  </si>
  <si>
    <t>http://micro435jone.cf/4042/WinFhelpxcodexwin444EDerrorxxdc/</t>
  </si>
  <si>
    <t>micro435jone.ga</t>
  </si>
  <si>
    <t>5fd79a16b1b91</t>
  </si>
  <si>
    <t>http://micro435jone.ga/0379/WinFhelpxcodexwin444CHerrorxxdc/</t>
  </si>
  <si>
    <t>micro440cena.gq</t>
  </si>
  <si>
    <t>5fd799196b5e1</t>
  </si>
  <si>
    <t>http://micro440cena.gq/4804/WinFhelpxcodexwin444CHerrorxxdc/</t>
  </si>
  <si>
    <t>micro440cena.ml</t>
  </si>
  <si>
    <t>5fd799155611b</t>
  </si>
  <si>
    <t>http://micro440cena.ml/9706/WinFhelpxcodexwin444CHerrorxxdc/</t>
  </si>
  <si>
    <t>micro435jone.ml</t>
  </si>
  <si>
    <t>5fd7990a3bb14</t>
  </si>
  <si>
    <t>http://micro435jone.ml/2130/WinFhelpxcodexwin444CHerrorxxdc/</t>
  </si>
  <si>
    <t>micro425killer.gq</t>
  </si>
  <si>
    <t>5fd7984e61ac5</t>
  </si>
  <si>
    <t>http://micro425killer.gq/0379/WinFhelpxcodexwin444CHerrorxxdc/</t>
  </si>
  <si>
    <t>micro413asds.ga</t>
  </si>
  <si>
    <t>5fce6f8c79291</t>
  </si>
  <si>
    <t>http://micro413asds.ga/9706/WinFhelpxcodexwin444CHerrorxxdc/</t>
  </si>
  <si>
    <t>5fce6f888b42c</t>
  </si>
  <si>
    <t>http://micro413asds.ga/9495/WinFhelpxcodexwin444CHerrorxxdc/</t>
  </si>
  <si>
    <t>5fce6f847a0fa</t>
  </si>
  <si>
    <t>http://micro413asds.ga/4894/WinFhelpxcodexwin444CHerrorxxdc/</t>
  </si>
  <si>
    <t>5fce6f807d102</t>
  </si>
  <si>
    <t>http://micro413asds.ga/4881/WinFhelpxcodexwin444CHerrorxxdc/</t>
  </si>
  <si>
    <t>5fce6f7cbd3d0</t>
  </si>
  <si>
    <t>http://micro413asds.ga/4804/WinFhelpxcodexwin444CHerrorxxdc/</t>
  </si>
  <si>
    <t>5fce6f78ba685</t>
  </si>
  <si>
    <t>http://micro413asds.ga/1673/WinFhelpxcodexwin444CHerrorxxdc/</t>
  </si>
  <si>
    <t>5fce6f74dbe4f</t>
  </si>
  <si>
    <t>http://micro413asds.ga/2592/WinFhelpxcodexwin444CHerrorxxdc/</t>
  </si>
  <si>
    <t>5fce6f709fc8b</t>
  </si>
  <si>
    <t>http://micro413asds.ga/1569/WinFhelpxcodexwin444CHerrorxxdc/</t>
  </si>
  <si>
    <t>5fce6f6cdfb9d</t>
  </si>
  <si>
    <t>http://micro413asds.ga/1246/WinFhelpxcodexwin444CHerrorxxdc/</t>
  </si>
  <si>
    <t>5fce6f68bcdee</t>
  </si>
  <si>
    <t>http://micro413asds.ga/0085/WinFhelpxcodexwin444CHerrorxxdc/</t>
  </si>
  <si>
    <t>5fce6eead7b70</t>
  </si>
  <si>
    <t>http://micro413asds.ga/5401/WinFhelpxcodexwin444CHerrorxxdc/</t>
  </si>
  <si>
    <t>5fce4be434221</t>
  </si>
  <si>
    <t>http://micro413asds.ga/6855/WinFhelpxcodexwin444CHerrorxxdc/</t>
  </si>
  <si>
    <t>sevesinnal28.cf</t>
  </si>
  <si>
    <t>104.18.57.172</t>
  </si>
  <si>
    <t>5fce6744b09f6</t>
  </si>
  <si>
    <t>http://sevesinnal28.cf/bumbum/W880n01xmse0cur0it0yED008VP8YCB/</t>
  </si>
  <si>
    <t>systemrepair65.xyz</t>
  </si>
  <si>
    <t>104.27.182.251</t>
  </si>
  <si>
    <t>5fce674bda6df</t>
  </si>
  <si>
    <t>http://systemrepair65.xyz/error7830s/WinhelpxcodexwinIEsys88880101010102/</t>
  </si>
  <si>
    <t>157.230.0.106</t>
  </si>
  <si>
    <t>5fce6785c6e54</t>
  </si>
  <si>
    <t>http://157.230.0.106/viruswindow/?phone=+1-(888)-602-7662&amp;amp;</t>
  </si>
  <si>
    <t>systemrepair66.xyz</t>
  </si>
  <si>
    <t>104.24.100.198</t>
  </si>
  <si>
    <t>5fce6b0fdc04f</t>
  </si>
  <si>
    <t>https://systemrepair66.xyz/error7830s/WinhelpxcodexwinIEsys88880101010102/</t>
  </si>
  <si>
    <t>68.183.133.67</t>
  </si>
  <si>
    <t>5fce727bbfeaa</t>
  </si>
  <si>
    <t>http://68.183.133.67/viruswindow/?phone=+1-(888)-210-1763&amp;amp;</t>
  </si>
  <si>
    <t>5fce70a29253e</t>
  </si>
  <si>
    <t>http://68.183.133.67/viruswindow/?phone=+1-(888)-227-6524&amp;amp;</t>
  </si>
  <si>
    <t>172.67.173.113</t>
  </si>
  <si>
    <t>5fce74620f572</t>
  </si>
  <si>
    <t>https://systemrepair66.xyz/error8315s/WinhelpxcodexwinIEsys88880101010102/</t>
  </si>
  <si>
    <t>49insightsrfde.azurewebsites.net</t>
  </si>
  <si>
    <t>20.43.43.32</t>
  </si>
  <si>
    <t>605905d76a4f7</t>
  </si>
  <si>
    <t>https://49insightsrfde.azurewebsites.net/PAHDJ0SGJA844012CHXAGEODB100F/</t>
  </si>
  <si>
    <t>19resultsyhjn.azurewebsites.net</t>
  </si>
  <si>
    <t>6058d0409f615</t>
  </si>
  <si>
    <t>https://19resultsyhjn.azurewebsites.net/PAHDJ0SGJA844012CHXAGEODB100F/</t>
  </si>
  <si>
    <t>onestopsupportpkjgjg.azurewebsites.net</t>
  </si>
  <si>
    <t>5fff2ac65f883</t>
  </si>
  <si>
    <t>https://onestopsupportpkjgjg.azurewebsites.net/MicOSoEDPC017528240X00/</t>
  </si>
  <si>
    <t>20-getlivehelp.azurewebsites.net</t>
  </si>
  <si>
    <t>5ff3507db71c2</t>
  </si>
  <si>
    <t>https://20-getlivehelp.azurewebsites.net/Wind0HelEDGSyS06016552664/</t>
  </si>
  <si>
    <t>149-getsupport.azurewebsites.net</t>
  </si>
  <si>
    <t>5fce72e6d351e</t>
  </si>
  <si>
    <t>https://149-getsupport.azurewebsites.net/Wind0HelEDGSyS06016552664/</t>
  </si>
  <si>
    <t>198.199.81.161</t>
  </si>
  <si>
    <t>5fce72eaad7bc</t>
  </si>
  <si>
    <t>http://198.199.81.161/WinhelpxcodexwinIEsys88880101010102000mm01/</t>
  </si>
  <si>
    <t>straping943.ml</t>
  </si>
  <si>
    <t>143.110.163.83</t>
  </si>
  <si>
    <t>5fce7578dba83</t>
  </si>
  <si>
    <t>https://straping943.ml/JPfsdds0-4361.info/XkfsdbfMSdCHhfj1188xMM/</t>
  </si>
  <si>
    <t>basomarsel.ga</t>
  </si>
  <si>
    <t>104.18.50.95</t>
  </si>
  <si>
    <t>5fce7825ede26</t>
  </si>
  <si>
    <t>http://basomarsel.ga/aa/W880n01xmse0cur0it0yED008VP8YCB/</t>
  </si>
  <si>
    <t>systemrepair67.xyz</t>
  </si>
  <si>
    <t>172.67.188.218</t>
  </si>
  <si>
    <t>5fce7ba94d31a</t>
  </si>
  <si>
    <t>https://systemrepair67.xyz/error0483s/WinhelpxcodexwinIEsys88880101010102/</t>
  </si>
  <si>
    <t>5fce78297df62</t>
  </si>
  <si>
    <t>https://systemrepair67.xyz/error8315s/WinhelpxcodexwinIEsys88880101010102/</t>
  </si>
  <si>
    <t>162.243.164.133</t>
  </si>
  <si>
    <t>5fce782d4ea7d</t>
  </si>
  <si>
    <t>http://162.243.164.133/WinhelpxcodexwinIEsys88880101010102000mm01/</t>
  </si>
  <si>
    <t>157.230.0.82</t>
  </si>
  <si>
    <t>5fce7a9d8e0ba</t>
  </si>
  <si>
    <t>http://157.230.0.82/viruswindow/?phone=+1-(888)-231-4495&amp;amp;</t>
  </si>
  <si>
    <t>5fce7a9977df1</t>
  </si>
  <si>
    <t>http://157.230.0.82/viruswindow/?phone=+1-(888)-203-8532&amp;amp;</t>
  </si>
  <si>
    <t>basomarsel2.ga</t>
  </si>
  <si>
    <t>104.27.171.192</t>
  </si>
  <si>
    <t>5fce7ba5713fc</t>
  </si>
  <si>
    <t>http://basomarsel2.ga/aa/W880n01xmse0cur0it0yED008VP8YCB/</t>
  </si>
  <si>
    <t>printer-helpline.com</t>
  </si>
  <si>
    <t>35.206.100.141</t>
  </si>
  <si>
    <t>5fcf401504d32</t>
  </si>
  <si>
    <t>https://printer-helpline.com/</t>
  </si>
  <si>
    <t>157.230.232.107</t>
  </si>
  <si>
    <t>5fcfbb1cb329c</t>
  </si>
  <si>
    <t>http://157.230.232.107/viruswindow/?phone=+1-(888)-609-2072&amp;amp;</t>
  </si>
  <si>
    <t>5fcfbb1861174</t>
  </si>
  <si>
    <t>http://157.230.232.107/viruswindow/?phone=+1-(888)-631-9784&amp;amp;</t>
  </si>
  <si>
    <t>1www.ieuqebi1v6pc.best</t>
  </si>
  <si>
    <t>104.18.42.14</t>
  </si>
  <si>
    <t>5fcfbb20bde8d</t>
  </si>
  <si>
    <t>https://1www.ieuqebi1v6pc.best/us9845497/Edgch/index.html</t>
  </si>
  <si>
    <t>systemfailurealert2.gq</t>
  </si>
  <si>
    <t>64.225.19.37</t>
  </si>
  <si>
    <t>5fd2548cc9f96</t>
  </si>
  <si>
    <t>https://systemfailurealert2.gq/Winhelpxcode777securityCH00700x/index.html</t>
  </si>
  <si>
    <t>aboutsystemalertonpc1.tk</t>
  </si>
  <si>
    <t>5fcfd4b58c661</t>
  </si>
  <si>
    <t>https://aboutsystemalertonpc1.tk/Winhelpxcode777securityCH00700x/index.html</t>
  </si>
  <si>
    <t>aboutsystemalertonpc1.ml</t>
  </si>
  <si>
    <t>5fcfd489c3996</t>
  </si>
  <si>
    <t>https://aboutsystemalertonpc1.ml/Winhelpxcode777securityCH00700x/index.html</t>
  </si>
  <si>
    <t>aboutsystemalertonpc1.ga</t>
  </si>
  <si>
    <t>5fcfd403efdaa</t>
  </si>
  <si>
    <t>https://aboutsystemalertonpc1.ga/Winhelpxcode777securityCH00700x/index.html</t>
  </si>
  <si>
    <t>micosapotodefender.xyz</t>
  </si>
  <si>
    <t>67.227.213.104</t>
  </si>
  <si>
    <t>5fcfd79f1d5ef</t>
  </si>
  <si>
    <t>http://micosapotodefender.xyz/</t>
  </si>
  <si>
    <t>husigninerro.xyz</t>
  </si>
  <si>
    <t>107.180.52.1</t>
  </si>
  <si>
    <t>5fcfd8ee793c7</t>
  </si>
  <si>
    <t>http://husigninerro.xyz/mac_osxx-02-09-2020/?phone=</t>
  </si>
  <si>
    <t>157.230.60.61</t>
  </si>
  <si>
    <t>5fcfed1a033b4</t>
  </si>
  <si>
    <t>http://157.230.60.61/viruswindow/?phone=+1-(888)-220-1461&amp;amp;</t>
  </si>
  <si>
    <t>5fcfed1618346</t>
  </si>
  <si>
    <t>http://157.230.60.61/viruswindow/?phone=+1-(888)-231-5388&amp;amp;</t>
  </si>
  <si>
    <t>4www.zgpe3iin1gkg.best</t>
  </si>
  <si>
    <t>104.27.187.133</t>
  </si>
  <si>
    <t>5fcfed1e5e950</t>
  </si>
  <si>
    <t>https://4www.zgpe3iin1gkg.best/us9845439/Edgch/index.html</t>
  </si>
  <si>
    <t>157.230.57.1</t>
  </si>
  <si>
    <t>5fcff2dc49e0d</t>
  </si>
  <si>
    <t>http://157.230.57.1/virusmac/?phone=+1-(888)-225-9074&amp;amp;</t>
  </si>
  <si>
    <t>157.230.9.157</t>
  </si>
  <si>
    <t>5fcff7241bb32</t>
  </si>
  <si>
    <t>http://157.230.9.157/viruswindow/?phone=+1-(888)-210-6517&amp;amp;</t>
  </si>
  <si>
    <t>bsgdtex.online</t>
  </si>
  <si>
    <t>68.65.120.114</t>
  </si>
  <si>
    <t>5fd0526e81acd</t>
  </si>
  <si>
    <t>https://bsgdtex.online/qtryx01-g5544ew-df55798w456-sf2s7f4w56f-x598fa6a-we887-v5xf9f8s6-xv5x878rs-m1c5g54d/nchrx32/index.html</t>
  </si>
  <si>
    <t>2www.k05hns3lby0y.best</t>
  </si>
  <si>
    <t>167.172.112.152</t>
  </si>
  <si>
    <t>5fe946cb32a7e</t>
  </si>
  <si>
    <t>http://2www.k05hns3lby0y.best/us9858972/IeEg/index.html</t>
  </si>
  <si>
    <t>2www.tz264eoefmdn.best</t>
  </si>
  <si>
    <t>5fe946c2d1e9d</t>
  </si>
  <si>
    <t>http://2www.tz264eoefmdn.best/us9858972/IeEg/index.html</t>
  </si>
  <si>
    <t>5www.58wuedjaeana.best</t>
  </si>
  <si>
    <t>5fe946be47ff2</t>
  </si>
  <si>
    <t>http://5www.58wuedjaeana.best/us9858972/IeEg/index.html</t>
  </si>
  <si>
    <t>3www.k05hns3lby0y.best</t>
  </si>
  <si>
    <t>5fe946b6ea839</t>
  </si>
  <si>
    <t>http://3www.k05hns3lby0y.best/us9858972/IeEg/index.html</t>
  </si>
  <si>
    <t>3www.1wpjeumo3fr6.best</t>
  </si>
  <si>
    <t>5fe946b2ebfe0</t>
  </si>
  <si>
    <t>http://3www.1wpjeumo3fr6.best/us9858972/IeEg/index.html</t>
  </si>
  <si>
    <t>5www.4kaxk6ga7ma0.best</t>
  </si>
  <si>
    <t>5fe946af44f7c</t>
  </si>
  <si>
    <t>http://5www.4kaxk6ga7ma0.best/us9858972/IeEg/index.html</t>
  </si>
  <si>
    <t>4www.gtdjh9sy3y75.best</t>
  </si>
  <si>
    <t>5fe946ab5538d</t>
  </si>
  <si>
    <t>http://4www.gtdjh9sy3y75.best/us9858972/IeEg/index.html</t>
  </si>
  <si>
    <t>3www.su6im5c361s1.best</t>
  </si>
  <si>
    <t>5fe946a5c5a80</t>
  </si>
  <si>
    <t>http://3www.su6im5c361s1.best/us9858972/IeEg/index.html</t>
  </si>
  <si>
    <t>1www.58wuedjaeana.best</t>
  </si>
  <si>
    <t>5fe9469fb7195</t>
  </si>
  <si>
    <t>http://1www.58wuedjaeana.best/us9858972/IeEg/index.html</t>
  </si>
  <si>
    <t>1www.n9j33ldki3im.best</t>
  </si>
  <si>
    <t>5fe9469c05bf5</t>
  </si>
  <si>
    <t>http://1www.n9j33ldki3im.best/us9858972/IeEg/index.html</t>
  </si>
  <si>
    <t>3www.84fc594s1ktu.best</t>
  </si>
  <si>
    <t>5fe94697b8de8</t>
  </si>
  <si>
    <t>http://3www.84fc594s1ktu.best/us9858972/IeEg/index.html</t>
  </si>
  <si>
    <t>2www.xlstlfeuu57j.best</t>
  </si>
  <si>
    <t>5fe946937f714</t>
  </si>
  <si>
    <t>http://2www.xlstlfeuu57j.best/us9858972/IeEg/index.html</t>
  </si>
  <si>
    <t>5www.2lrmi3wwu36r.best</t>
  </si>
  <si>
    <t>5fe9468ec85a9</t>
  </si>
  <si>
    <t>http://5www.2lrmi3wwu36r.best/us9858972/IeEg/index.html</t>
  </si>
  <si>
    <t>2www.84fc594s1ktu.best</t>
  </si>
  <si>
    <t>5fe9468a65d85</t>
  </si>
  <si>
    <t>http://2www.84fc594s1ktu.best/us9858972/IeEg/index.html</t>
  </si>
  <si>
    <t>5www.lxf6nqi3v6uc.best</t>
  </si>
  <si>
    <t>5fe946858cf30</t>
  </si>
  <si>
    <t>http://5www.lxf6nqi3v6uc.best/us9858972/IeEg/index.html</t>
  </si>
  <si>
    <t>4www.xlstlfeuu57j.best</t>
  </si>
  <si>
    <t>5fe9468123cc4</t>
  </si>
  <si>
    <t>http://4www.xlstlfeuu57j.best/us9858972/IeEg/index.html</t>
  </si>
  <si>
    <t>3www.twi83qwr0jz8.best</t>
  </si>
  <si>
    <t>5fe9467c7c5c3</t>
  </si>
  <si>
    <t>http://3www.twi83qwr0jz8.best/us9858972/IeEg/index.html</t>
  </si>
  <si>
    <t>3www.4xr95c9jgn0q.best</t>
  </si>
  <si>
    <t>5fe9467625e87</t>
  </si>
  <si>
    <t>http://3www.4xr95c9jgn0q.best/us9858972/IeEg/index.html</t>
  </si>
  <si>
    <t>4www.6wxymvebwr87.best</t>
  </si>
  <si>
    <t>5fe9466c31342</t>
  </si>
  <si>
    <t>http://4www.6wxymvebwr87.best/us9858972/IeEg/index.html</t>
  </si>
  <si>
    <t>1www.gq3h1litaigw.best</t>
  </si>
  <si>
    <t>5fe8aa7425eb3</t>
  </si>
  <si>
    <t>http://1www.gq3h1litaigw.best/us9858972/IeEg/index.html</t>
  </si>
  <si>
    <t>4www.o3lqxq09x5t1.best</t>
  </si>
  <si>
    <t>5fe065f49dbeb</t>
  </si>
  <si>
    <t>http://4www.o3lqxq09x5t1.best/us4651198/IeEg/index.html</t>
  </si>
  <si>
    <t>3www.d47rj6fuj74x.best</t>
  </si>
  <si>
    <t>5fe065f44415f</t>
  </si>
  <si>
    <t>http://3www.d47rj6fuj74x.best/us4651198/IeEg/index.html</t>
  </si>
  <si>
    <t>1www.5d7zd2jyf0bt.best</t>
  </si>
  <si>
    <t>5fe065dfeca96</t>
  </si>
  <si>
    <t>http://1www.5d7zd2jyf0bt.best/us4651198/IeEg/index.html</t>
  </si>
  <si>
    <t>4www.chaoap4hq58u.best</t>
  </si>
  <si>
    <t>5fe065ddb5c42</t>
  </si>
  <si>
    <t>http://4www.chaoap4hq58u.best/us4651198/IeEg/index.html</t>
  </si>
  <si>
    <t>3www.ilb0wfkd5hl1.best</t>
  </si>
  <si>
    <t>5fe065ccb9166</t>
  </si>
  <si>
    <t>http://3www.ilb0wfkd5hl1.best/us4651198/IeEg/index.html</t>
  </si>
  <si>
    <t>2www.2wxuazni4k0c.best</t>
  </si>
  <si>
    <t>5fe065be7da3f</t>
  </si>
  <si>
    <t>http://2www.2wxuazni4k0c.best/us4651198/IeEg/index.html</t>
  </si>
  <si>
    <t>3www.tdjmhnw20dg8.best</t>
  </si>
  <si>
    <t>5fe065b619f3f</t>
  </si>
  <si>
    <t>http://3www.tdjmhnw20dg8.best/us4651198/IeEg/index.html</t>
  </si>
  <si>
    <t>3www.o3lqxq09x5t1.best</t>
  </si>
  <si>
    <t>5fe065aa8795b</t>
  </si>
  <si>
    <t>http://3www.o3lqxq09x5t1.best/us4651198/IeEg/index.html</t>
  </si>
  <si>
    <t>2www.a1puc23to9qf.best</t>
  </si>
  <si>
    <t>5fe0659119ed1</t>
  </si>
  <si>
    <t>http://2www.a1puc23to9qf.best/us4651198/IeEg/index.html</t>
  </si>
  <si>
    <t>5www.hxwqx7sdulws.best</t>
  </si>
  <si>
    <t>5fd6199dcd34a</t>
  </si>
  <si>
    <t>http://5www.hxwqx7sdulws.best/us9847932/</t>
  </si>
  <si>
    <t>3www.0qavgugmod1m.best</t>
  </si>
  <si>
    <t>5fd0a2bbc994b</t>
  </si>
  <si>
    <t>http://3www.0qavgugmod1m.best/us9845439/Edgch/index.html</t>
  </si>
  <si>
    <t>5www.hbybyqb2iz4k.best</t>
  </si>
  <si>
    <t>5fd0a2b48d4c7</t>
  </si>
  <si>
    <t>http://5www.hbybyqb2iz4k.best/us9845439/Edgch/index.html</t>
  </si>
  <si>
    <t>167.99.12.209</t>
  </si>
  <si>
    <t>5fd1098ae66b0</t>
  </si>
  <si>
    <t>http://167.99.12.209/WinhelpxcodexwinIEsys0010101088880101010102000mm01/</t>
  </si>
  <si>
    <t>134.209.222.90</t>
  </si>
  <si>
    <t>5fd109d509527</t>
  </si>
  <si>
    <t>http://134.209.222.90/trojanalertwindows/?phone=+1-(888)-269-3088&amp;amp;</t>
  </si>
  <si>
    <t>5fd109bd2e25e</t>
  </si>
  <si>
    <t>http://134.209.222.90/trojanalertwindows/?phone=+1-(888)-226-0915&amp;amp;</t>
  </si>
  <si>
    <t>68.183.105.205</t>
  </si>
  <si>
    <t>5fd04d0f36183</t>
  </si>
  <si>
    <t>http://68.183.105.205/viruswindow/?phone=+61-1800-931-940&amp;amp;</t>
  </si>
  <si>
    <t>3.15.225.98</t>
  </si>
  <si>
    <t>5fd110e3098b1</t>
  </si>
  <si>
    <t>http://3.15.225.98/CriticalSystemWarnings-CallForHelpNowxsxs/WIn0888secu0RJurity0CHSys01888Y/</t>
  </si>
  <si>
    <t>134.209.214.29</t>
  </si>
  <si>
    <t>5fd1171867889</t>
  </si>
  <si>
    <t>http://134.209.214.29/trojanalertwindows/?phone=+1-(888)-216-9001&amp;amp;</t>
  </si>
  <si>
    <t>5fd11714645c2</t>
  </si>
  <si>
    <t>http://134.209.214.29/trojanalertwindows/?phone=+1-(888)-256-5497&amp;amp;</t>
  </si>
  <si>
    <t>165.22.191.51</t>
  </si>
  <si>
    <t>5fd11772bc2ba</t>
  </si>
  <si>
    <t>http://165.22.191.51/IEngebbugunnxx010101xxx01010101/index.html</t>
  </si>
  <si>
    <t>systemrepai3.xyz</t>
  </si>
  <si>
    <t>104.27.163.99</t>
  </si>
  <si>
    <t>5fd1177eb7533</t>
  </si>
  <si>
    <t>https://systemrepai3.xyz/error1406s/WinhelpxcodexwinIEsys88880101010102/</t>
  </si>
  <si>
    <t>206.189.185.42</t>
  </si>
  <si>
    <t>5fd11e7b04f71</t>
  </si>
  <si>
    <t>http://206.189.185.42/trojanalertwindows/?phone=+1-(888)-232-5934&amp;amp;</t>
  </si>
  <si>
    <t>5fd11e770cb62</t>
  </si>
  <si>
    <t>http://206.189.185.42/trojanalertwindows/?phone=+1-(888)-210-2459&amp;amp;</t>
  </si>
  <si>
    <t>systemrepai4.xyz</t>
  </si>
  <si>
    <t>104.28.31.126</t>
  </si>
  <si>
    <t>5fd1213d4eea7</t>
  </si>
  <si>
    <t>https://systemrepai4.xyz/error4281s/WinhelpxcodexwinIEsys88880101010102/</t>
  </si>
  <si>
    <t>157.230.87.132</t>
  </si>
  <si>
    <t>5fd12198dfb71</t>
  </si>
  <si>
    <t>http://157.230.87.132/trojanalertwindows/?phone=+1-(888)-256-5497&amp;amp;</t>
  </si>
  <si>
    <t>165.22.178.145</t>
  </si>
  <si>
    <t>5fd1285e02399</t>
  </si>
  <si>
    <t>http://165.22.178.145/trojanalertwindows/?phone=+1-(888)-206-3757&amp;amp;</t>
  </si>
  <si>
    <t>methodology202.ml</t>
  </si>
  <si>
    <t>104.27.158.34</t>
  </si>
  <si>
    <t>5fd12938415f5</t>
  </si>
  <si>
    <t>https://methodology202.ml/C0FDeHvN0rt0nDhelpli0nexY3002712/Win8884sec0urity0119yy88/</t>
  </si>
  <si>
    <t>nesting940.ml</t>
  </si>
  <si>
    <t>104.27.163.162</t>
  </si>
  <si>
    <t>5fd23904aa5ec</t>
  </si>
  <si>
    <t>https://nesting940.ml/Win-D-22Oc2722IEDGE07771-1.fdt//XkfsdbfMSdEDhfj22/</t>
  </si>
  <si>
    <t>bulleting494.ml</t>
  </si>
  <si>
    <t>172.67.196.254</t>
  </si>
  <si>
    <t>60e4a03ad68f2</t>
  </si>
  <si>
    <t>https://bulleting494.ml/0WinDhelpli0ne361391x/</t>
  </si>
  <si>
    <t>bytedata653.ml</t>
  </si>
  <si>
    <t>5fd2393e95731</t>
  </si>
  <si>
    <t>http://bytedata653.ml/Win-D-22Oc2722IEDGE08279-1.fdd//XkfsdbfMSdIEhfj22/</t>
  </si>
  <si>
    <t>165.22.7.54</t>
  </si>
  <si>
    <t>5fd270f70c231</t>
  </si>
  <si>
    <t>http://165.22.7.54/trojanalertwindows/?phone=+1-(888)-312-1097&amp;amp;</t>
  </si>
  <si>
    <t>165.22.7.111</t>
  </si>
  <si>
    <t>5fd281176e9c1</t>
  </si>
  <si>
    <t>http://165.22.7.111/trojanalertwindows/?phone=+1-(888)-247-6754&amp;amp;</t>
  </si>
  <si>
    <t>v6ugioeh.s3.amazonaws.com</t>
  </si>
  <si>
    <t>52.216.24.84</t>
  </si>
  <si>
    <t>5fd32169b33f2</t>
  </si>
  <si>
    <t>https://v6ugioeh.s3.amazonaws.com/index.html</t>
  </si>
  <si>
    <t>decorliving.live</t>
  </si>
  <si>
    <t>104.27.162.189</t>
  </si>
  <si>
    <t>5fd3a84544f80</t>
  </si>
  <si>
    <t>http://decorliving.live/vanvan/Edx-241984/</t>
  </si>
  <si>
    <t>systemrepai90.xyz</t>
  </si>
  <si>
    <t>172.67.128.153</t>
  </si>
  <si>
    <t>5fd3a977a2c08</t>
  </si>
  <si>
    <t>https://systemrepai90.xyz/error0483s/WinhelpxcodexwinIEsys88880101010102/</t>
  </si>
  <si>
    <t>165.227.193.78</t>
  </si>
  <si>
    <t>5fd3a9cba2206</t>
  </si>
  <si>
    <t>http://165.227.193.78/trojanalertwindows/?phone=+1-(888)-210-6063&amp;amp;</t>
  </si>
  <si>
    <t>5fd3a9be75f8d</t>
  </si>
  <si>
    <t>http://165.227.193.78/trojanalertwindows/?phone=+1-(888)-271-7933&amp;amp;</t>
  </si>
  <si>
    <t>reusability490.ml</t>
  </si>
  <si>
    <t>172.67.208.44</t>
  </si>
  <si>
    <t>5fd3aa91994d3</t>
  </si>
  <si>
    <t>https://reusability490.ml/Win-D-22Oc2722IEDGE08279-1.fdd//XkfsdbfMSdIEhfj22/</t>
  </si>
  <si>
    <t>mac-us-4444.online</t>
  </si>
  <si>
    <t>198.54.125.117</t>
  </si>
  <si>
    <t>5fd3b1e13e666</t>
  </si>
  <si>
    <t>https://mac-us-4444.online/</t>
  </si>
  <si>
    <t>systemrepai57.xyz</t>
  </si>
  <si>
    <t>104.27.156.187</t>
  </si>
  <si>
    <t>5fd3b9cac8c9f</t>
  </si>
  <si>
    <t>https://systemrepai57.xyz/error8315s/WinhelpxcodexwinIEsys88880101010102/</t>
  </si>
  <si>
    <t>sadenere2.cf</t>
  </si>
  <si>
    <t>104.27.180.51</t>
  </si>
  <si>
    <t>5fd3c8cf3ba3a</t>
  </si>
  <si>
    <t>http://sadenere2.cf/vanvan2/Chxrx-241984/</t>
  </si>
  <si>
    <t>167.71.18.248</t>
  </si>
  <si>
    <t>5fd3c972031e2</t>
  </si>
  <si>
    <t>http://167.71.18.248/trojanalertwindows/?phone=+1-(888)-210-6038&amp;amp;</t>
  </si>
  <si>
    <t>sadenere1.cf</t>
  </si>
  <si>
    <t>104.31.94.119</t>
  </si>
  <si>
    <t>5fd3ca52d474b</t>
  </si>
  <si>
    <t>http://sadenere1.cf/vanvan/Chxrx-241984/</t>
  </si>
  <si>
    <t>sadenere3.cf</t>
  </si>
  <si>
    <t>172.67.215.165</t>
  </si>
  <si>
    <t>5fd3cad4ca66d</t>
  </si>
  <si>
    <t>http://sadenere3.cf/vanvan2/Chxrx-241984/</t>
  </si>
  <si>
    <t>ms-helpsupport.com</t>
  </si>
  <si>
    <t>162.0.229.135</t>
  </si>
  <si>
    <t>5fd3d76a4b50e</t>
  </si>
  <si>
    <t>https://ms-helpsupport.com/DEWMachdAAgdsffdR/home.php</t>
  </si>
  <si>
    <t>sadenere6.cf</t>
  </si>
  <si>
    <t>161.35.108.75</t>
  </si>
  <si>
    <t>5fd510dfb2941</t>
  </si>
  <si>
    <t>http://sadenere6.cf/vanvan3/W880n01xmse0cur0it0yCH008VP8YCB/</t>
  </si>
  <si>
    <t>sadenere4.cf</t>
  </si>
  <si>
    <t>5fd510db2a337</t>
  </si>
  <si>
    <t>http://sadenere4.cf/vanvan3/W880n01xmse0cur0it0yCH008VP8YCB/</t>
  </si>
  <si>
    <t>sadenere5.cf</t>
  </si>
  <si>
    <t>5fd510d6ea356</t>
  </si>
  <si>
    <t>http://sadenere5.cf/vanvan3/W880n01xmse0cur0it0yCH008VP8YCB/</t>
  </si>
  <si>
    <t>yesinedar.monster</t>
  </si>
  <si>
    <t>5fd50ecb3502b</t>
  </si>
  <si>
    <t>http://yesinedar.monster/vanvan2/Chxrx-241984/</t>
  </si>
  <si>
    <t>5fd4bf4c9fc94</t>
  </si>
  <si>
    <t>http://161.35.108.75/vanvan2/Chxrx-241984/</t>
  </si>
  <si>
    <t>5fd4bf4922605</t>
  </si>
  <si>
    <t>http://161.35.108.75/vanvan/Chxrx-241984/</t>
  </si>
  <si>
    <t>romnsae.site</t>
  </si>
  <si>
    <t>5fd4bea777589</t>
  </si>
  <si>
    <t>http://romnsae.site/vanvan/Chxrx-241984/</t>
  </si>
  <si>
    <t>caresense.website</t>
  </si>
  <si>
    <t>5fd4bea38c74f</t>
  </si>
  <si>
    <t>http://caresense.website/vanvan/Chxrx-241984/</t>
  </si>
  <si>
    <t>modernhome.live</t>
  </si>
  <si>
    <t>5fd4be9fce2db</t>
  </si>
  <si>
    <t>http://modernhome.live/vanvan/Chxrx-241984/</t>
  </si>
  <si>
    <t>yesinedar.work</t>
  </si>
  <si>
    <t>5fd4be9c96992</t>
  </si>
  <si>
    <t>http://yesinedar.work/vanvan/Chxrx-241984/</t>
  </si>
  <si>
    <t>work</t>
  </si>
  <si>
    <t>otansida.store</t>
  </si>
  <si>
    <t>5fd4be99283ff</t>
  </si>
  <si>
    <t>http://otansida.store/vanvan/Chxrx-241984/</t>
  </si>
  <si>
    <t>store</t>
  </si>
  <si>
    <t>otansida.cyou</t>
  </si>
  <si>
    <t>5fd4be95860ff</t>
  </si>
  <si>
    <t>http://otansida.cyou/vanvan/Chxrx-241984/</t>
  </si>
  <si>
    <t>5fd4be922c443</t>
  </si>
  <si>
    <t>http://sadenere6.cf/vanvan/Chxrx-241984/</t>
  </si>
  <si>
    <t>hobbyideas.live</t>
  </si>
  <si>
    <t>5fd4be8e5914c</t>
  </si>
  <si>
    <t>http://hobbyideas.live/vanvan/Chxrx-241984/</t>
  </si>
  <si>
    <t>lastfashion.live</t>
  </si>
  <si>
    <t>5fd4be8a84e04</t>
  </si>
  <si>
    <t>http://lastfashion.live/vanvan/Chxrx-241984/</t>
  </si>
  <si>
    <t>kretansel.surf</t>
  </si>
  <si>
    <t>5fd4bd6c4124b</t>
  </si>
  <si>
    <t>http://kretansel.surf/vanvan/Chxrx-241984/</t>
  </si>
  <si>
    <t>surf</t>
  </si>
  <si>
    <t>decoratinghome.life</t>
  </si>
  <si>
    <t>5fd4bc9e1c552</t>
  </si>
  <si>
    <t>http://decoratinghome.life/vanvan/Iex-241984/</t>
  </si>
  <si>
    <t>66.42.90.16</t>
  </si>
  <si>
    <t>5fd4c1c0b0b19</t>
  </si>
  <si>
    <t>http://66.42.90.16/Soeir-Wisjs/Che-11/</t>
  </si>
  <si>
    <t>104.31.68.68</t>
  </si>
  <si>
    <t>5fd4c1d129521</t>
  </si>
  <si>
    <t>http://reusability490.ml/Win-D-22Oc2722IEDGE08279-1.fdd//XkfsdbfMSdFFhfj22/</t>
  </si>
  <si>
    <t>134.209.123.139</t>
  </si>
  <si>
    <t>5fd50665c01d6</t>
  </si>
  <si>
    <t>http://134.209.123.139/trojanalertwindows/?phone=+1-(888)-298-9544&amp;amp;</t>
  </si>
  <si>
    <t>straping905.ml</t>
  </si>
  <si>
    <t>172.67.156.240</t>
  </si>
  <si>
    <t>5fd50a3fc788d</t>
  </si>
  <si>
    <t>http://straping905.ml/Win-D-22Oc8625IEDGE08279-1.fdd//XkfsdbfMSdIEhfj22/</t>
  </si>
  <si>
    <t>olarkas.cf</t>
  </si>
  <si>
    <t>104.18.37.90</t>
  </si>
  <si>
    <t>5fd50ebc87cc2</t>
  </si>
  <si>
    <t>http://olarkas.cf/vanvan2/Chxrx-241984/?url=https%3A%2F%2Famalbankso.so&amp;amp;type=5</t>
  </si>
  <si>
    <t>tolarkas.cf</t>
  </si>
  <si>
    <t>104.27.141.179</t>
  </si>
  <si>
    <t>5fd5209c134eb</t>
  </si>
  <si>
    <t>http://tolarkas.cf/vinivini2/W880n01xmse0cur0it0yCH008VP8YCB/</t>
  </si>
  <si>
    <t>9d7qw.s3.amazonaws.com</t>
  </si>
  <si>
    <t>52.217.43.148</t>
  </si>
  <si>
    <t>5fd5c02097f34</t>
  </si>
  <si>
    <t>https://9d7qw.s3.amazonaws.com/index.html</t>
  </si>
  <si>
    <t>totalizer678.ml</t>
  </si>
  <si>
    <t>104.24.113.251</t>
  </si>
  <si>
    <t>5fd6198a0f79a</t>
  </si>
  <si>
    <t>https://totalizer678.ml/Win-D-22Oc8625IEDGE08279-1.fdd//XkfsdbfMSdIEhfj22/</t>
  </si>
  <si>
    <t>nobelspasamps.xyz</t>
  </si>
  <si>
    <t>104.27.130.93</t>
  </si>
  <si>
    <t>5fd622c1735b2</t>
  </si>
  <si>
    <t>https://nobelspasamps.xyz/laxmanrekhanimusulide/lxxxx.html</t>
  </si>
  <si>
    <t>142.93.114.230</t>
  </si>
  <si>
    <t>5fd65735da942</t>
  </si>
  <si>
    <t>http://142.93.114.230/trojanalertwindows/?phone=+1-(888)-353-3186&amp;amp;</t>
  </si>
  <si>
    <t>134.209.65.215</t>
  </si>
  <si>
    <t>5fd6a1d3995d5</t>
  </si>
  <si>
    <t>http://134.209.65.215/systemerror-win-chx/?phone=.&amp;amp;</t>
  </si>
  <si>
    <t>yur6547sddfhfr76gjhg78t7gg78t7ugj87r-env.ap-southeast-2.elasticbeanst</t>
  </si>
  <si>
    <t>54.206.149.158</t>
  </si>
  <si>
    <t>5fd75be45a90d</t>
  </si>
  <si>
    <t>http://yur6547sddfhfr76gjhg78t7gg78t7ugj87r-env.ap-southeast-2.elasticbeanstalk.com/IEDWielpms777Systd76tyfd001MMKH06DRS344DF5E566/?sou=ccf847a1f99c85a0</t>
  </si>
  <si>
    <t>54.75.115.185</t>
  </si>
  <si>
    <t>5fd7716583492</t>
  </si>
  <si>
    <t>http://54.75.115.185/ares/neder.html?=0466-901-799</t>
  </si>
  <si>
    <t>5fd76f4033779</t>
  </si>
  <si>
    <t>http://54.75.115.185/athena/chu.html?=0670-309-1029</t>
  </si>
  <si>
    <t>18.202.220.89</t>
  </si>
  <si>
    <t>5fd77068b30e9</t>
  </si>
  <si>
    <t>http://18.202.220.89/aphrodite/ilu.html?=044-586-7858</t>
  </si>
  <si>
    <t>irolayaerro.ga</t>
  </si>
  <si>
    <t>104.31.79.73</t>
  </si>
  <si>
    <t>5fd78ea51a5b0</t>
  </si>
  <si>
    <t>http://irolayaerro.ga/vans2/W880n01xmse0cur0it0yED008VP8YCB/</t>
  </si>
  <si>
    <t>157.230.86.237</t>
  </si>
  <si>
    <t>5fd78ea8f2363</t>
  </si>
  <si>
    <t>http://157.230.86.237/IE010101c01011x04x41x41555x001001102/index.html</t>
  </si>
  <si>
    <t>155.138.212.176</t>
  </si>
  <si>
    <t>5fd79165333a7</t>
  </si>
  <si>
    <t>http://155.138.212.176/Rsyete-Uuwyye/Oes-12/</t>
  </si>
  <si>
    <t>68.183.103.227</t>
  </si>
  <si>
    <t>5fd7919a43503</t>
  </si>
  <si>
    <t>http://68.183.103.227/IE010101c01011x04x41x41555x001001102/index.html</t>
  </si>
  <si>
    <t>104.248.127.184</t>
  </si>
  <si>
    <t>5fd791fa64f4b</t>
  </si>
  <si>
    <t>http://104.248.127.184/operatingsyswindow/?phone=+1-(888)-246-0428&amp;amp;</t>
  </si>
  <si>
    <t>getthroedaw.site</t>
  </si>
  <si>
    <t>104.236.12.223</t>
  </si>
  <si>
    <t>5fd792910bf2f</t>
  </si>
  <si>
    <t>https://getthroedaw.site/Wind0ws-firwalalertEDg008/index.html</t>
  </si>
  <si>
    <t>applehelp.club</t>
  </si>
  <si>
    <t>104.27.189.37</t>
  </si>
  <si>
    <t>5fd7946d91e8e</t>
  </si>
  <si>
    <t>https://applehelp.club/</t>
  </si>
  <si>
    <t>Secaucus</t>
  </si>
  <si>
    <t>209.151.149.242</t>
  </si>
  <si>
    <t>5fd79762670ea</t>
  </si>
  <si>
    <t>http://209.151.149.242/Support/WIn01sec0R999ity0CHSys01888Y/</t>
  </si>
  <si>
    <t>gettdremersclub.site</t>
  </si>
  <si>
    <t>143.110.150.220</t>
  </si>
  <si>
    <t>5fd799d0c3ed4</t>
  </si>
  <si>
    <t>https://gettdremersclub.site/Wind0ws-firwalalertGCH008/index.html</t>
  </si>
  <si>
    <t>5fd798a1cecd3</t>
  </si>
  <si>
    <t>https://gettdremersclub.site/Wind0ws-firwalalertEDg008/index.html</t>
  </si>
  <si>
    <t>securewebonlin19.xyz</t>
  </si>
  <si>
    <t>104.18.62.232</t>
  </si>
  <si>
    <t>5fd799dcc4241</t>
  </si>
  <si>
    <t>http://securewebonlin19.xyz/error8315s/WinhelpxcodexwinIEsys88880101010102/</t>
  </si>
  <si>
    <t>mgerapasana.cf</t>
  </si>
  <si>
    <t>172.67.178.56</t>
  </si>
  <si>
    <t>5fd7a49666e6b</t>
  </si>
  <si>
    <t>http://mgerapasana.cf/vana2/Edx-241984/</t>
  </si>
  <si>
    <t>flockapp.azurewebsites.net</t>
  </si>
  <si>
    <t>20.40.202.4</t>
  </si>
  <si>
    <t>60d4a9f47a111</t>
  </si>
  <si>
    <t>http://flockapp.azurewebsites.net/codemasgss/MAfdfffdgfgfgdfgdfgf-188CtySS/</t>
  </si>
  <si>
    <t>60d4a9f0ce1ed</t>
  </si>
  <si>
    <t>http://flockapp.azurewebsites.net/codemasgss/FFfdfffdgfgfgdfgdfgfMPr88CtySS/</t>
  </si>
  <si>
    <t>60d4a9ed53299</t>
  </si>
  <si>
    <t>http://flockapp.azurewebsites.net/codemasgss/CEDfdfffdgfgfgdfgdfgfMPr88CtySS/</t>
  </si>
  <si>
    <t>60d4a9e95afc6</t>
  </si>
  <si>
    <t>http://flockapp.azurewebsites.net/codemasgss/EDfdfffdgfgfgdfgdfgfMPr88CtySS/</t>
  </si>
  <si>
    <t>60d4a9e4b0911</t>
  </si>
  <si>
    <t>http://flockapp.azurewebsites.net/codemasgss/CHfdfffdgfgfgdfgdfgfMPr88CtySS/</t>
  </si>
  <si>
    <t>05scan-resultsrfgt.azurewebsites.net</t>
  </si>
  <si>
    <t>605b88c19a414</t>
  </si>
  <si>
    <t>https://05scan-resultsrfgt.azurewebsites.net/PAHDJ0SGJA844012CHXAGEODB100F/</t>
  </si>
  <si>
    <t>getsyourpcfixed-31dsgdsgsg.azurewebsites.net</t>
  </si>
  <si>
    <t>601adf99bacf4</t>
  </si>
  <si>
    <t>https://getsyourpcfixed-31dsgdsgsg.azurewebsites.net/MicOSoCHPC017528240X00/</t>
  </si>
  <si>
    <t>getsyourpcfixed-41sgfsggsg.azurewebsites.net</t>
  </si>
  <si>
    <t>60199c822d395</t>
  </si>
  <si>
    <t>https://getsyourpcfixed-41sgfsggsg.azurewebsites.net/MicOSoCHPC017528240X00/</t>
  </si>
  <si>
    <t>getsyourpcfixed-34bfcbfbfbfb.azurewebsites.net</t>
  </si>
  <si>
    <t>60199814f2fa9</t>
  </si>
  <si>
    <t>https://getsyourpcfixed-34bfcbfbfbfb.azurewebsites.net/MicOSoEDPC017528240X00/</t>
  </si>
  <si>
    <t>1supportcenterfkjb.azurewebsites.net</t>
  </si>
  <si>
    <t>60070de8ddcf2</t>
  </si>
  <si>
    <t>https://1supportcenterfkjb.azurewebsites.net/MicOSoEDPC017528240X00/</t>
  </si>
  <si>
    <t>onestopsupportsfgbbnvbv.azurewebsites.net</t>
  </si>
  <si>
    <t>5fff3be7eebc1</t>
  </si>
  <si>
    <t>https://onestopsupportsfgbbnvbv.azurewebsites.net/MicOSoEDPC017528240X00/</t>
  </si>
  <si>
    <t>pitri-0244.azurewebsites.net</t>
  </si>
  <si>
    <t>5ffe196b36eec</t>
  </si>
  <si>
    <t>http://pitri-0244.azurewebsites.net/W880n01xm888se0cur0it0yCH008VP888Y/index.html</t>
  </si>
  <si>
    <t>onestopsupporterhrthtjt.azurewebsites.net</t>
  </si>
  <si>
    <t>5ffe083b350d6</t>
  </si>
  <si>
    <t>https://onestopsupporterhrthtjt.azurewebsites.net/MicOSoCHPC017528240X00/</t>
  </si>
  <si>
    <t>onestopsupportdgdgdsf.azurewebsites.net</t>
  </si>
  <si>
    <t>5ffde90bc7d9e</t>
  </si>
  <si>
    <t>https://onestopsupportdgdgdsf.azurewebsites.net/MicOSoEDPC017528240X00/</t>
  </si>
  <si>
    <t>arportal-0244.azurewebsites.net</t>
  </si>
  <si>
    <t>5ffdd247ec665</t>
  </si>
  <si>
    <t>https://arportal-0244.azurewebsites.net/W880n01xm888se0cur0it0yED008VP888Y/index.html</t>
  </si>
  <si>
    <t>18-geek-support.azurewebsites.net</t>
  </si>
  <si>
    <t>5fd7aa3640ffd</t>
  </si>
  <si>
    <t>http://18-geek-support.azurewebsites.net/Wind0HelEDGSyS06016552664/</t>
  </si>
  <si>
    <t>167.71.26.56</t>
  </si>
  <si>
    <t>5fd7ab66a48f7</t>
  </si>
  <si>
    <t>http://167.71.26.56/operatingsyswindow/?phone=+1-(888)-345-4612&amp;amp;</t>
  </si>
  <si>
    <t>5fd7ab591cb2f</t>
  </si>
  <si>
    <t>http://167.71.26.56/operatingsyswindow/?phone=+1-(888)-335-7469&amp;amp;</t>
  </si>
  <si>
    <t>157.230.231.69</t>
  </si>
  <si>
    <t>5fd7af86290ea</t>
  </si>
  <si>
    <t>http://157.230.231.69/operatingsyswindow/?phone=+1-(888)-380-8759&amp;amp;</t>
  </si>
  <si>
    <t>165.22.11.105</t>
  </si>
  <si>
    <t>5fd7ba92524ec</t>
  </si>
  <si>
    <t>http://165.22.11.105/operatingsyswindow/?phone=+1-(888)-528-0198&amp;amp;</t>
  </si>
  <si>
    <t>64.225.31.113</t>
  </si>
  <si>
    <t>5fd912ba09be7</t>
  </si>
  <si>
    <t>http://64.225.31.113/w14/?phone=+1-(888)-309-7893&amp;amp;</t>
  </si>
  <si>
    <t>netscape320.cf</t>
  </si>
  <si>
    <t>104.27.143.133</t>
  </si>
  <si>
    <t>5fd91857765c6</t>
  </si>
  <si>
    <t>https://netscape320.cf/N0rt0nDhelpli0nexY203574/Win8884sec0urity0119yy88/</t>
  </si>
  <si>
    <t>167.71.16.102</t>
  </si>
  <si>
    <t>5fd7cf546420d</t>
  </si>
  <si>
    <t>http://167.71.16.102/operatingsyswindow/?phone=+1-(888)-414-9476&amp;amp;</t>
  </si>
  <si>
    <t>178.128.65.6</t>
  </si>
  <si>
    <t>5fd8644e98f02</t>
  </si>
  <si>
    <t>http://178.128.65.6/systemerror-win-chx/?phone=.&amp;amp;</t>
  </si>
  <si>
    <t>3.217.192.225</t>
  </si>
  <si>
    <t>5fd8a400457ab</t>
  </si>
  <si>
    <t>http://3.217.192.225/j9743/Call-Mac-Support/</t>
  </si>
  <si>
    <t>crisp5.ga</t>
  </si>
  <si>
    <t>104.31.70.131</t>
  </si>
  <si>
    <t>5fd904496a19e</t>
  </si>
  <si>
    <t>https://crisp5.ga/w1-6411/Chxrx-162481/index.html</t>
  </si>
  <si>
    <t>134.209.113.130</t>
  </si>
  <si>
    <t>5fda304199bf5</t>
  </si>
  <si>
    <t>http://134.209.113.130/win16/?phone=+1-(888)-308-5980&amp;amp;</t>
  </si>
  <si>
    <t>5fda302a7c319</t>
  </si>
  <si>
    <t>http://134.209.113.130/win16/?phone=+1-(888)-248-6337&amp;amp;</t>
  </si>
  <si>
    <t>64.225.29.124</t>
  </si>
  <si>
    <t>5fd945e273df9</t>
  </si>
  <si>
    <t>http://64.225.29.124/w14/?phone=+1-(888)-339-2864&amp;amp;</t>
  </si>
  <si>
    <t>vichomecleaner.com</t>
  </si>
  <si>
    <t>165.22.10.67</t>
  </si>
  <si>
    <t>5fda2bdaa74a5</t>
  </si>
  <si>
    <t>http://vichomecleaner.com/4210newokifgsiufgdsgfinsdinvgisdgvsgvisgvivnidgvdsiungvsnewk/ch-new2-iwegfugwfwufwuf/</t>
  </si>
  <si>
    <t>upolarenes.ml</t>
  </si>
  <si>
    <t>104.24.125.159</t>
  </si>
  <si>
    <t>5fda2ec273727</t>
  </si>
  <si>
    <t>http://upolarenes.ml/vin88/W880n01xmse0cur0it0yED008VP8YCB/</t>
  </si>
  <si>
    <t>67.205.177.250</t>
  </si>
  <si>
    <t>5fda4284a90d3</t>
  </si>
  <si>
    <t>http://67.205.177.250/win16/?phone=+1-(888)-332-8393&amp;amp;</t>
  </si>
  <si>
    <t>104.236.23.190</t>
  </si>
  <si>
    <t>5fda5ea826514</t>
  </si>
  <si>
    <t>http://104.236.23.190/w14/?phone=+1-(888)-268-6250&amp;amp;</t>
  </si>
  <si>
    <t>64.225.49.152</t>
  </si>
  <si>
    <t>5fdab403daa55</t>
  </si>
  <si>
    <t>http://64.225.49.152/w14/?phone=+1-(888)-358-0248&amp;amp;</t>
  </si>
  <si>
    <t>5fdab3bbb9fe9</t>
  </si>
  <si>
    <t>http://64.225.49.152/w14/?phone=+1-(888)-224-3015&amp;amp;</t>
  </si>
  <si>
    <t>165.22.7.22</t>
  </si>
  <si>
    <t>5fdb89cf24bda</t>
  </si>
  <si>
    <t>http://165.22.7.22/win16/?phone=+1-(888)-308-5727&amp;amp;</t>
  </si>
  <si>
    <t>134.209.45.209</t>
  </si>
  <si>
    <t>5fdb89d2cf0b9</t>
  </si>
  <si>
    <t>http://134.209.45.209/3908abc/10DEC_win_mac203908/W880n01xmse0cur0it0yED008VP8YCB/</t>
  </si>
  <si>
    <t>198.211.115.228</t>
  </si>
  <si>
    <t>5fdb993e59d50</t>
  </si>
  <si>
    <t>http://198.211.115.228/win16/?phone=+1-(888)-370-0584&amp;amp;</t>
  </si>
  <si>
    <t>tiffiny.club</t>
  </si>
  <si>
    <t>104.18.34.84</t>
  </si>
  <si>
    <t>5fdb9c3b3abf8</t>
  </si>
  <si>
    <t>http://tiffiny.club/US7DEC17A/EOOChsfsdfjdsfjdsfjRVU0P/?_event=b4e1b789a22e1146bfecb65886a3369c&amp;amp;search=16ee085422d781a859fb4a4952068dad298a9ff1dfe58</t>
  </si>
  <si>
    <t>159.89.85.187</t>
  </si>
  <si>
    <t>5fdba47094814</t>
  </si>
  <si>
    <t>http://159.89.85.187/win16/?phone=+1-(888)-284-3003&amp;amp;</t>
  </si>
  <si>
    <t>157.230.180.165</t>
  </si>
  <si>
    <t>5fdcdb0cea9e0</t>
  </si>
  <si>
    <t>http://157.230.180.165/win16/?phone=+1-(888)-248-3312&amp;amp;</t>
  </si>
  <si>
    <t>157.230.180.60</t>
  </si>
  <si>
    <t>5fdce6b2f2ac0</t>
  </si>
  <si>
    <t>http://157.230.180.60/win16/?phone=+1-(888)-605-6516&amp;amp;</t>
  </si>
  <si>
    <t>142.93.15.34</t>
  </si>
  <si>
    <t>5fdbc49ab03c3</t>
  </si>
  <si>
    <t>http://142.93.15.34/win16/?phone=+1-(888)-307-4032&amp;amp;</t>
  </si>
  <si>
    <t>142.93.4.199</t>
  </si>
  <si>
    <t>5fdbc676ae328</t>
  </si>
  <si>
    <t>http://142.93.4.199/win16/?phone=+1-(888)-291-2858&amp;amp;</t>
  </si>
  <si>
    <t>contravance565.ga</t>
  </si>
  <si>
    <t>104.27.190.135</t>
  </si>
  <si>
    <t>5fdbc7be50448</t>
  </si>
  <si>
    <t>https://contravance565.ga/JPfsdds0-6495.info/XkfsdbfMSdCHhfj1188xMM/</t>
  </si>
  <si>
    <t>142.93.14.60</t>
  </si>
  <si>
    <t>5fdbcd0189831</t>
  </si>
  <si>
    <t>http://142.93.14.60/win16/?phone=+1-(888)-350-5301&amp;amp;</t>
  </si>
  <si>
    <t>5fdbcc439a2ea</t>
  </si>
  <si>
    <t>http://142.93.14.60/win16/?phone=+1-(888)-307-3986&amp;amp;</t>
  </si>
  <si>
    <t>systemupdateissue.s3.us-east-2.amazonaws.com</t>
  </si>
  <si>
    <t>52.219.100.120</t>
  </si>
  <si>
    <t>60ae6fe0473da</t>
  </si>
  <si>
    <t>https://systemupdateissue.s3.us-east-2.amazonaws.com/System-has-been-blocked/index.html</t>
  </si>
  <si>
    <t>ms-nfnkfnffnnc3046-jncnvmcnvkv18-12-dec.s3.us-east-2.amazonaws.com</t>
  </si>
  <si>
    <t>5fdcedea1e636</t>
  </si>
  <si>
    <t>https://ms-nfnkfnffnnc3046-jncnvmcnvkv18-12-dec.s3.us-east-2.amazonaws.com/index.uncript.html</t>
  </si>
  <si>
    <t>142.93.59.179</t>
  </si>
  <si>
    <t>5fdcf02186be9</t>
  </si>
  <si>
    <t>http://142.93.59.179/win16/?phone=+1-(888)-312-1402&amp;amp;</t>
  </si>
  <si>
    <t>ms-nfnkfnffnnc3981new-jncnvmcnvkv16.s3.us-east-2.amazonaws.com</t>
  </si>
  <si>
    <t>52.219.105.162</t>
  </si>
  <si>
    <t>5fdcf71f651b9</t>
  </si>
  <si>
    <t>https://ms-nfnkfnffnnc3981new-jncnvmcnvkv16.s3.us-east-2.amazonaws.com/index-lan-pro/index.html?key=eyJ0aW1lc3RhbXAiOiIxNjA4MzE2NjU1IiwiaGFzaCI6IjUxZmQ5</t>
  </si>
  <si>
    <t>198.199.77.162</t>
  </si>
  <si>
    <t>5fdcf7e34b259</t>
  </si>
  <si>
    <t>http://198.199.77.162/win16/?phone=+1-(888)-527-4108&amp;amp;</t>
  </si>
  <si>
    <t>ms-nfnkfnffnnc7496-jncnvmcnvkv18-12-dec.s3.us-east-2.amazonaws.com</t>
  </si>
  <si>
    <t>52.219.102.10</t>
  </si>
  <si>
    <t>5fdcfcb3aa8a6</t>
  </si>
  <si>
    <t>https://ms-nfnkfnffnnc7496-jncnvmcnvkv18-12-dec.s3.us-east-2.amazonaws.com/index.uncript.html</t>
  </si>
  <si>
    <t>q15gg.s3.amazonaws.com</t>
  </si>
  <si>
    <t>52.217.69.36</t>
  </si>
  <si>
    <t>5fdffd948d3ea</t>
  </si>
  <si>
    <t>https://q15gg.s3.amazonaws.com/index.html</t>
  </si>
  <si>
    <t>noorton.xyz</t>
  </si>
  <si>
    <t>199.188.201.34</t>
  </si>
  <si>
    <t>5fe001b21e610</t>
  </si>
  <si>
    <t>http://noorton.xyz/</t>
  </si>
  <si>
    <t>5www.x8g4r0zbwuid.best</t>
  </si>
  <si>
    <t>104.27.155.161</t>
  </si>
  <si>
    <t>5fde57178aa33</t>
  </si>
  <si>
    <t>https://5www.x8g4r0zbwuid.best/us4740951/Edgch/index.html</t>
  </si>
  <si>
    <t>v4agihghh.s3.amazonaws.com</t>
  </si>
  <si>
    <t>52.216.97.139</t>
  </si>
  <si>
    <t>5fe174a708cd4</t>
  </si>
  <si>
    <t>https://v4agihghh.s3.amazonaws.com/index.html</t>
  </si>
  <si>
    <t>apple-teams.com</t>
  </si>
  <si>
    <t>199.188.200.223</t>
  </si>
  <si>
    <t>5fdf3b8ab9fbf</t>
  </si>
  <si>
    <t>https://apple-teams.com/us/index.html</t>
  </si>
  <si>
    <t>4www.r23309fpuqel.best</t>
  </si>
  <si>
    <t>104.18.45.193</t>
  </si>
  <si>
    <t>5fdfbb13cc362</t>
  </si>
  <si>
    <t>https://4www.r23309fpuqel.best/us4651198/IeEg/index.html</t>
  </si>
  <si>
    <t>Cedar Knolls</t>
  </si>
  <si>
    <t>error-789-help-live-1001170.cf</t>
  </si>
  <si>
    <t>172.104.18.48</t>
  </si>
  <si>
    <t>5fe3a679ef586</t>
  </si>
  <si>
    <t>https://error-789-help-live-1001170.cf/6015o/WinhelpxcodexwinCHsys88880101010102000mm01/</t>
  </si>
  <si>
    <t>error-789-help-live-1001169.cf</t>
  </si>
  <si>
    <t>5fe3a5496a427</t>
  </si>
  <si>
    <t>https://error-789-help-live-1001169.cf/6015o/WinhelpxcodexwinCHsys88880101010102000mm01/</t>
  </si>
  <si>
    <t>error-789-help-live-1001168.cf</t>
  </si>
  <si>
    <t>5fe3a35ca8f5e</t>
  </si>
  <si>
    <t>https://error-789-help-live-1001168.cf/6015o/WinhelpxcodexwinCHsys88880101010102000mm01/</t>
  </si>
  <si>
    <t>error-789-help-live-1001167.cf</t>
  </si>
  <si>
    <t>5fe39f88424fe</t>
  </si>
  <si>
    <t>https://error-789-help-live-1001167.cf/6015o/WinhelpxcodexwinCHsys88880101010102000mm01/</t>
  </si>
  <si>
    <t>peradancing.com</t>
  </si>
  <si>
    <t>172.67.205.246</t>
  </si>
  <si>
    <t>5fe24f17883de</t>
  </si>
  <si>
    <t>https://peradancing.com/cd1/W880n01xm888se0cur0it0yCH008VP888Y/index.html</t>
  </si>
  <si>
    <t>45.55.32.147</t>
  </si>
  <si>
    <t>5fe24ff191d1f</t>
  </si>
  <si>
    <t>http://45.55.32.147/microwindows21/?phone=+1-(888)-365-0097&amp;amp;</t>
  </si>
  <si>
    <t>159.65.9.102</t>
  </si>
  <si>
    <t>5fe2e975f18b8</t>
  </si>
  <si>
    <t>http://159.65.9.102/classlive/learning/W880n01xm888se0cur0it0yCH008/index.php</t>
  </si>
  <si>
    <t>www.techsupportjp.cf</t>
  </si>
  <si>
    <t>104.18.56.144</t>
  </si>
  <si>
    <t>5fe3846c2e68f</t>
  </si>
  <si>
    <t>https://www.techsupportjp.cf/us/WinFhelpxcodexwin444CHerrorxxdc</t>
  </si>
  <si>
    <t>45.55.40.208</t>
  </si>
  <si>
    <t>5fe385177b4f3</t>
  </si>
  <si>
    <t>http://45.55.40.208/microwindows21/?phone=+1-(888)-307-4671&amp;amp;</t>
  </si>
  <si>
    <t>systemhub.xyz</t>
  </si>
  <si>
    <t>159.65.152.101</t>
  </si>
  <si>
    <t>5fe3a47c5d0d4</t>
  </si>
  <si>
    <t>https://systemhub.xyz/codemasg/4720MAfdfffdgfgfgdfgdfgfKar/</t>
  </si>
  <si>
    <t>5fe3a44cbf181</t>
  </si>
  <si>
    <t>https://systemhub.xyz/codemasg/8593EDfdfffdgfgfgdfgdfgfKar/</t>
  </si>
  <si>
    <t>5fe3a3d74583a</t>
  </si>
  <si>
    <t>https://systemhub.xyz/codemasg/5017CHfdfffdgfgfgdfgdfgfKar/</t>
  </si>
  <si>
    <t>134.122.4.152</t>
  </si>
  <si>
    <t>5fe3c8e0765f6</t>
  </si>
  <si>
    <t>http://134.122.4.152/microwindows21/?phone=+1-(888)-339-2754&amp;amp;</t>
  </si>
  <si>
    <t>5fe3c8c17ebda</t>
  </si>
  <si>
    <t>http://134.122.4.152/microwindows21/?phone=+1-(888)-308-4329&amp;amp;</t>
  </si>
  <si>
    <t>206.189.36.188</t>
  </si>
  <si>
    <t>5fe4ce00e7a79</t>
  </si>
  <si>
    <t>http://206.189.36.188/onlineclass/forlearning/W880n01xm888se0cur0it0yCH008/index.php</t>
  </si>
  <si>
    <t>167.71.174.247</t>
  </si>
  <si>
    <t>5fe3cd3242665</t>
  </si>
  <si>
    <t>http://167.71.174.247/microwindows21/?phone=+1-(888)-319-6408@</t>
  </si>
  <si>
    <t>5fe3b1c5f02cd</t>
  </si>
  <si>
    <t>http://167.71.174.247/microwindows21/?phone=+1-(888)-309-5547&amp;amp;</t>
  </si>
  <si>
    <t>209.97.147.143</t>
  </si>
  <si>
    <t>5fe3b9a29d232</t>
  </si>
  <si>
    <t>http://209.97.147.143/microwindows21/?phone=+1-(888)-351-2161&amp;amp;</t>
  </si>
  <si>
    <t>swagfood345.ml</t>
  </si>
  <si>
    <t>68.65.123.61</t>
  </si>
  <si>
    <t>6025edc407881</t>
  </si>
  <si>
    <t>https://swagfood345.ml/21Jan_SagarMithun_win_mac_iOS/0CHfdfdfdfddfd99900V/</t>
  </si>
  <si>
    <t>swagfood345.tk</t>
  </si>
  <si>
    <t>601dfebf964e6</t>
  </si>
  <si>
    <t>https://swagfood345.tk/Windows_error_4444/WinhelpxcodexwinCHsysxx/</t>
  </si>
  <si>
    <t>newstyle456.cf</t>
  </si>
  <si>
    <t>5ffd05c17bb84</t>
  </si>
  <si>
    <t>https://newstyle456.cf/Windows_error_4444/WinhelpxcodexwinCHsysxx/</t>
  </si>
  <si>
    <t>newstyle456.ml</t>
  </si>
  <si>
    <t>5fe3fef64cc84</t>
  </si>
  <si>
    <t>https://newstyle456.ml/Windows_error_4444/WinhelpxcodexwinCHsysxx/</t>
  </si>
  <si>
    <t>172.67.137.116</t>
  </si>
  <si>
    <t>5fe636ffce465</t>
  </si>
  <si>
    <t>https://3www.twi83qwr0jz8.best/us3340915/Edgch/index.html</t>
  </si>
  <si>
    <t>crasherrorb4f9bb4a5j2806.club</t>
  </si>
  <si>
    <t>104.31.94.235</t>
  </si>
  <si>
    <t>5fe519ead0829</t>
  </si>
  <si>
    <t>http://crasherrorb4f9bb4a5j2806.club/US7DEC24A/EOOEdChsjsjhskhkasdRVU0P/?_event=b6f953ec5e48f5a4fdcbeb1046f80c89&amp;amp;search=16ac08bb854b01790120eb3b0969</t>
  </si>
  <si>
    <t>migrating920.ga</t>
  </si>
  <si>
    <t>172.67.163.11</t>
  </si>
  <si>
    <t>60b49bc4337ac</t>
  </si>
  <si>
    <t>http://migrating920.ga/Win-E-22Oc0_9031_IEDGE08279-1.hhlyf88/PVkfsdbfMSdFFhfj1188/</t>
  </si>
  <si>
    <t>methodology494.ml</t>
  </si>
  <si>
    <t>5fe6771286dc3</t>
  </si>
  <si>
    <t>https://methodology494.ml/N0rt0nDhelpli0nexY203691/Win8884sec0urity0119yy88/</t>
  </si>
  <si>
    <t>www.ibriefday.online</t>
  </si>
  <si>
    <t>159.89.124.7</t>
  </si>
  <si>
    <t>5fe6fc3dbb65c</t>
  </si>
  <si>
    <t>https://www.ibriefday.online/725026Nov_freezonthropy_win_mac_JP/WJPxmnksEDfevfds0088hotline008/</t>
  </si>
  <si>
    <t>vcfsty.online</t>
  </si>
  <si>
    <t>68.65.120.88</t>
  </si>
  <si>
    <t>5fe6fc472dc0c</t>
  </si>
  <si>
    <t>https://vcfsty.online/qtryx01-g5544ew-df55798w456-sf2s7f4w56f-x598fa6a-we887-v5xf9f8s6-xv5x878rs-m1c5g54d/nchrx32/index.html</t>
  </si>
  <si>
    <t>1www.sl6g8abbwdyl.best</t>
  </si>
  <si>
    <t>104.24.108.37</t>
  </si>
  <si>
    <t>5fe8e4ffc7e19</t>
  </si>
  <si>
    <t>https://1www.sl6g8abbwdyl.best/us9857349/Edgch/index.html</t>
  </si>
  <si>
    <t>v7isgisg.s3.amazonaws.com</t>
  </si>
  <si>
    <t>52.216.98.3</t>
  </si>
  <si>
    <t>5fe83887971bf</t>
  </si>
  <si>
    <t>https://v7isgisg.s3.amazonaws.com/index.html</t>
  </si>
  <si>
    <t>cubelitarik10.cf</t>
  </si>
  <si>
    <t>64.225.56.122</t>
  </si>
  <si>
    <t>5fe9422c583b4</t>
  </si>
  <si>
    <t>http://cubelitarik10.cf/vanal2/W880n01xmse0cur0it0yED008VP8YCB</t>
  </si>
  <si>
    <t>cubelitarik8.cf</t>
  </si>
  <si>
    <t>5fe94227acbdd</t>
  </si>
  <si>
    <t>http://cubelitarik8.cf/vanal2/W880n01xmse0cur0it0yED008VP8YCB</t>
  </si>
  <si>
    <t>cubelitarik6.cf</t>
  </si>
  <si>
    <t>5fe9421514a29</t>
  </si>
  <si>
    <t>http://cubelitarik6.cf/vanal2/W880n01xmse0cur0it0yED008VP8YCB</t>
  </si>
  <si>
    <t>cubelitarik4.cf</t>
  </si>
  <si>
    <t>5fe9420dc4cb3</t>
  </si>
  <si>
    <t>http://cubelitarik4.cf/vanal2/W880n01xmse0cur0it0yED008VP8YCB</t>
  </si>
  <si>
    <t>saretalore.cf</t>
  </si>
  <si>
    <t>5fe9420431e8d</t>
  </si>
  <si>
    <t>http://saretalore.cf/vanal2/W880n01xmse0cur0it0yED008VP8YCB</t>
  </si>
  <si>
    <t>tedirnese.ml</t>
  </si>
  <si>
    <t>5fe941bb4fbb7</t>
  </si>
  <si>
    <t>http://tedirnese.ml/vanal2/W880n01xmse0cur0it0yED008VP8YCB</t>
  </si>
  <si>
    <t>aretalore.cf</t>
  </si>
  <si>
    <t>5fe941f764164</t>
  </si>
  <si>
    <t>http://aretalore.cf/vanal2/W880n01xmse0cur0it0yED008VP8YCB</t>
  </si>
  <si>
    <t>zedirnese.ml</t>
  </si>
  <si>
    <t>5fe8aa9f7ff8a</t>
  </si>
  <si>
    <t>http://zedirnese.ml/vanal2/W880n01xmse0cur0it0yED008VP8YCB/</t>
  </si>
  <si>
    <t>104.236.47.17</t>
  </si>
  <si>
    <t>5fe8c511a638f</t>
  </si>
  <si>
    <t>http://104.236.47.17/CHfdfdfdfdfdfdffdfucode0xhelpms008/index.html</t>
  </si>
  <si>
    <t>alanturing022.cf</t>
  </si>
  <si>
    <t>104.24.127.71</t>
  </si>
  <si>
    <t>5fe8ff87c6051</t>
  </si>
  <si>
    <t>https://alanturing022.cf/N0rt0nDhelpli0nexY203683/Win8884sec0urity0119yy88/</t>
  </si>
  <si>
    <t>batedoc.xyz</t>
  </si>
  <si>
    <t>212.47.253.45</t>
  </si>
  <si>
    <t>60412e5fdd4cc</t>
  </si>
  <si>
    <t>http://batedoc.xyz/t/CPfsfMSdCHhfj1188xSS08Vi8WSS0B/</t>
  </si>
  <si>
    <t>catedis.xyz</t>
  </si>
  <si>
    <t>602dabf988393</t>
  </si>
  <si>
    <t>http://catedis.xyz/t/W880n01xm888se0cur0it0yIE008/index.html</t>
  </si>
  <si>
    <t>hubbyit.xyz</t>
  </si>
  <si>
    <t>602dabf6b0eba</t>
  </si>
  <si>
    <t>http://hubbyit.xyz/t/W880n01xm888se0cur0it0yIE008/index.html</t>
  </si>
  <si>
    <t>kraitoc.xyz</t>
  </si>
  <si>
    <t>602dabf1bd8cd</t>
  </si>
  <si>
    <t>http://kraitoc.xyz/t/W880n01xm888se0cur0it0yIE008/index.html</t>
  </si>
  <si>
    <t>mannyoc.xyz</t>
  </si>
  <si>
    <t>602dabeed21f0</t>
  </si>
  <si>
    <t>http://mannyoc.xyz/t/W880n01xm888se0cur0it0yIE008/index.html</t>
  </si>
  <si>
    <t>memelis.xyz</t>
  </si>
  <si>
    <t>602dabebb2d97</t>
  </si>
  <si>
    <t>http://memelis.xyz/t/W880n01xm888se0cur0it0yIE008/index.html</t>
  </si>
  <si>
    <t>toqueit.fun</t>
  </si>
  <si>
    <t>602dabe893a6b</t>
  </si>
  <si>
    <t>http://toqueit.fun/t/W880n01xm888se0cur0it0yIE008/index.html</t>
  </si>
  <si>
    <t>bimbois.space</t>
  </si>
  <si>
    <t>602dabe51b16e</t>
  </si>
  <si>
    <t>http://bimbois.space/t/W880n01xm888se0cur0it0yIE008/index.html</t>
  </si>
  <si>
    <t>mantooc.space</t>
  </si>
  <si>
    <t>602dabe1d2d90</t>
  </si>
  <si>
    <t>http://mantooc.space/t/W880n01xm888se0cur0it0yIE008/index.html</t>
  </si>
  <si>
    <t>glozedc.xyz</t>
  </si>
  <si>
    <t>602d98e24c622</t>
  </si>
  <si>
    <t>http://glozedc.xyz/t/W880n01xm888se0cur0it0yIE008/index.html</t>
  </si>
  <si>
    <t>heniedc.fun</t>
  </si>
  <si>
    <t>602d8b903ba14</t>
  </si>
  <si>
    <t>http://heniedc.fun/t/W880n01xm888se0cur0it0yIE008/index.html</t>
  </si>
  <si>
    <t>fideility.club</t>
  </si>
  <si>
    <t>5fe9e2041bf0a</t>
  </si>
  <si>
    <t>http://fideility.club/t2/W880n01xm888se0cur0it0yCH008/index.html</t>
  </si>
  <si>
    <t>ophioric.club</t>
  </si>
  <si>
    <t>5fe9e1fdb1acb</t>
  </si>
  <si>
    <t>http://ophioric.club/t2/W880n01xm888se0cur0it0yCH008/index.html</t>
  </si>
  <si>
    <t>moniohull.xyz</t>
  </si>
  <si>
    <t>5fe9e1f8c5e40</t>
  </si>
  <si>
    <t>http://moniohull.xyz/t2/W880n01xm888se0cur0it0yCH008/index.html</t>
  </si>
  <si>
    <t>subiaxial.xyz</t>
  </si>
  <si>
    <t>5fe9e1f34615f</t>
  </si>
  <si>
    <t>http://subiaxial.xyz/t2/W880n01xm888se0cur0it0yCH008/index.html</t>
  </si>
  <si>
    <t>triivalve.club</t>
  </si>
  <si>
    <t>5fe9e1ecc50c4</t>
  </si>
  <si>
    <t>http://triivalve.club/t2/W880n01xm888se0cur0it0yCH008/index.html</t>
  </si>
  <si>
    <t>winsecuritywarning.xyz</t>
  </si>
  <si>
    <t>68.65.120.81</t>
  </si>
  <si>
    <t>5fe9e36a24594</t>
  </si>
  <si>
    <t>https://winsecuritywarning.xyz/macbook_hacked/206.189.212.58/10010101001011e00110101y10l1010101xd1010/10dec/index.html</t>
  </si>
  <si>
    <t>5fe9e34ff075f</t>
  </si>
  <si>
    <t>https://winsecuritywarning.xyz/windows_hacked/206.189.212.58/10010101001011e00110101y10l1010101xd1010/10dec/index.html</t>
  </si>
  <si>
    <t>34.247.165.204</t>
  </si>
  <si>
    <t>5fe9e761e41d9</t>
  </si>
  <si>
    <t>http://34.247.165.204/moongod/jedrinkt.html?=02-808-05-71</t>
  </si>
  <si>
    <t>5fe9e651482ce</t>
  </si>
  <si>
    <t>http://34.247.165.204/darkmoon/faire.html?=+43-670-309-1029</t>
  </si>
  <si>
    <t>45.55.39.116</t>
  </si>
  <si>
    <t>5fe9ff0a33db3</t>
  </si>
  <si>
    <t>http://45.55.39.116/microwindows21/?phone=+1-(888)-620-5750&amp;amp;</t>
  </si>
  <si>
    <t>5fe9fcd224cc5</t>
  </si>
  <si>
    <t>http://45.55.39.116/microwindows21/?phone=+1-(888)-349-1092&amp;amp;</t>
  </si>
  <si>
    <t>facebookig.com</t>
  </si>
  <si>
    <t>62.210.204.233</t>
  </si>
  <si>
    <t>5fea019c3d24e</t>
  </si>
  <si>
    <t>http://facebookig.com/</t>
  </si>
  <si>
    <t>vajgjdftgsgdfkjtgsdfkjusdgdrryutfjsgdkjfutgsjdgf2803.s3.amazonaws.com</t>
  </si>
  <si>
    <t>52.216.100.99</t>
  </si>
  <si>
    <t>5fea01f4df66a</t>
  </si>
  <si>
    <t>https://vajgjdftgsgdfkjtgsdfkjusdgdrryutfjsgdkjfutgsjdgf2803.s3.amazonaws.com/1215/ShfdfdfdfddfEDerror888Codexv/index.html</t>
  </si>
  <si>
    <t>52.216.168.195</t>
  </si>
  <si>
    <t>5fea027ddfbc5</t>
  </si>
  <si>
    <t>https://vajgjdftgsgdfkjtgsdfkjusdgdrryutfjsgdkjfutgsjdgf2803.s3.amazonaws.com/0963/ShfdfdfdfdCHEDerror888Codexv/index.html</t>
  </si>
  <si>
    <t>5fea027640b6c</t>
  </si>
  <si>
    <t>https://vajgjdftgsgdfkjtgsdfkjusdgdrryutfjsgdkjfutgsjdgf2803.s3.amazonaws.com/0102/ShfdfdfdfdCHEDerror888Codexv/index.html</t>
  </si>
  <si>
    <t>45.55.39.146</t>
  </si>
  <si>
    <t>5fea0421b7a96</t>
  </si>
  <si>
    <t>http://45.55.39.146/microwindows21/?phone=+1-(888)-373-5259&amp;amp;</t>
  </si>
  <si>
    <t>www.lakq1h8as.ml</t>
  </si>
  <si>
    <t>136.244.82.151</t>
  </si>
  <si>
    <t>5fea3a4ebf3d3</t>
  </si>
  <si>
    <t>https://www.lakq1h8as.ml/W88SH0n01xm888se0cur0it0yMA008/index.html</t>
  </si>
  <si>
    <t>45.55.38.106</t>
  </si>
  <si>
    <t>5feb7116710d4</t>
  </si>
  <si>
    <t>http://45.55.38.106/microwindows21/?phone=+1-(888)-346-0323&amp;amp;</t>
  </si>
  <si>
    <t>5feb6e514dda8</t>
  </si>
  <si>
    <t>http://45.55.38.106/microwindows21/?phone=+1-(888)-304-9499&amp;amp;</t>
  </si>
  <si>
    <t>5feb6f20e81cd</t>
  </si>
  <si>
    <t>http://45.55.38.106/microwindows21/?phone=+1-(888)-383-0186&amp;amp;</t>
  </si>
  <si>
    <t>fiberoptics302.cf</t>
  </si>
  <si>
    <t>104.27.143.38</t>
  </si>
  <si>
    <t>5feaf385071c9</t>
  </si>
  <si>
    <t>https://fiberoptics302.cf/JPfsdd-sdds0s0-1162.inf0/XkfsdbfMSdIEhfj1188xMM/</t>
  </si>
  <si>
    <t>encapsulation948.cf</t>
  </si>
  <si>
    <t>172.67.162.180</t>
  </si>
  <si>
    <t>5feb610c34a1e</t>
  </si>
  <si>
    <t>https://encapsulation948.cf/N0rt0nDhelpli0nexY2203743/Win8884sec0urity0119yy88/</t>
  </si>
  <si>
    <t>exabyte144.ml</t>
  </si>
  <si>
    <t>104.27.135.218</t>
  </si>
  <si>
    <t>5feb6b97aa6d2</t>
  </si>
  <si>
    <t>https://exabyte144.ml/N0rt0nDhelpli0nexY1202973/Win8884sec0urity0119yy88/</t>
  </si>
  <si>
    <t>7tyugjhsbv4789yturieghyuhgjb4tugrjv4-env.ap-southeast-2.elasticbeanst</t>
  </si>
  <si>
    <t>54.206.226.179</t>
  </si>
  <si>
    <t>5feb6d9274214</t>
  </si>
  <si>
    <t>http://7tyugjhsbv4789yturieghyuhgjb4tugrjv4-env.ap-southeast-2.elasticbeanstalk.com/Winhelpxcode111888securityMA007001/index.html?sou=</t>
  </si>
  <si>
    <t>ms-win-fbfbvcbffgjgtugrc2064-allred29us.s3.ap-south-1.amazonaws.com</t>
  </si>
  <si>
    <t>52.219.64.76</t>
  </si>
  <si>
    <t>5feb6f712187c</t>
  </si>
  <si>
    <t>https://ms-win-fbfbvcbffgjgtugrc2064-allred29us.s3.ap-south-1.amazonaws.com/index.with.pro.html?key=eyJ0aW1lc3RhbXAiOiIxNjA5MjY0OTkwIiwiaGFzaCI6ImUyZjc4</t>
  </si>
  <si>
    <t>2www.00qcfputg6sx.best</t>
  </si>
  <si>
    <t>104.31.82.93</t>
  </si>
  <si>
    <t>5feb70a5874ed</t>
  </si>
  <si>
    <t>https://2www.00qcfputg6sx.best/us9844535/Edgch/index.html</t>
  </si>
  <si>
    <t>nesting322.ml</t>
  </si>
  <si>
    <t>104.27.150.202</t>
  </si>
  <si>
    <t>5fec2bef952fe</t>
  </si>
  <si>
    <t>https://nesting322.ml/JPfsdd-sdds0s0-0562.info/XkfsdbfMSdEDhfj1188xMM/</t>
  </si>
  <si>
    <t>54.197.174.90</t>
  </si>
  <si>
    <t>5fec2e9c7d58d</t>
  </si>
  <si>
    <t>http://54.197.174.90//j4361/Call-Support1/</t>
  </si>
  <si>
    <t>5fec2e994f0dd</t>
  </si>
  <si>
    <t>http://54.197.174.90/j0391/Call-Support1/</t>
  </si>
  <si>
    <t>5fec2e2260eca</t>
  </si>
  <si>
    <t>http://54.197.174.90/j9743/Call-Support1/</t>
  </si>
  <si>
    <t>5fec2bfb4d13f</t>
  </si>
  <si>
    <t>http://54.197.174.90/j7632/Call-Support2/</t>
  </si>
  <si>
    <t>45.55.36.217</t>
  </si>
  <si>
    <t>5fecbfacbb657</t>
  </si>
  <si>
    <t>http://45.55.36.217/microwindows21/?phone=+1-(888)-308-5162&amp;amp;</t>
  </si>
  <si>
    <t>methodology392.ml</t>
  </si>
  <si>
    <t>104.31.90.24</t>
  </si>
  <si>
    <t>5feccdb617974</t>
  </si>
  <si>
    <t>https://methodology392.ml/N0rt0nDhelpli0nexY203742/Win8884sec0urity0119yy88/</t>
  </si>
  <si>
    <t>www.hfitatbest.online</t>
  </si>
  <si>
    <t>64.225.21.44</t>
  </si>
  <si>
    <t>5ff40c0f913e7</t>
  </si>
  <si>
    <t>https://www.hfitatbest.online/725026Nov_freezonthropy_win_mac_JP/WJPxmnksEDfevfds0088hotline008/</t>
  </si>
  <si>
    <t>www.ffitatbest.online</t>
  </si>
  <si>
    <t>5fed6f2dcf9ac</t>
  </si>
  <si>
    <t>https://www.ffitatbest.online/5541def_Edge_New_updated/Winhelpxcode8080xwinEDerrorxxdc/</t>
  </si>
  <si>
    <t>encapsulation392.cf</t>
  </si>
  <si>
    <t>172.67.146.76</t>
  </si>
  <si>
    <t>5fed7f871922e</t>
  </si>
  <si>
    <t>https://encapsulation392.cf/JPfsdd-sdds0s0-1162.inf0/XkfsdbfMSdIEhfj1188xMM/</t>
  </si>
  <si>
    <t>b2lssk.s3.amazonaws.com</t>
  </si>
  <si>
    <t>52.216.238.91</t>
  </si>
  <si>
    <t>5fed8d2c635b1</t>
  </si>
  <si>
    <t>https://b2lssk.s3.amazonaws.com/index.html</t>
  </si>
  <si>
    <t>iconbase245.cf</t>
  </si>
  <si>
    <t>104.27.137.130</t>
  </si>
  <si>
    <t>5feee145e4402</t>
  </si>
  <si>
    <t>https://iconbase245.cf/JPfsdd-sdds0s0-1162.inf0/XkfsdbfMSdIEhfj1188xMM/</t>
  </si>
  <si>
    <t>104.131.163.190</t>
  </si>
  <si>
    <t>5fef61b85c0b8</t>
  </si>
  <si>
    <t>http://104.131.163.190/microwindows21/?phone=+1-(888)-357-8966&amp;amp;</t>
  </si>
  <si>
    <t>104.236.17.25</t>
  </si>
  <si>
    <t>5fef679971d8b</t>
  </si>
  <si>
    <t>http://104.236.17.25/microwindows21/?phone=+1-(888)-373-4705&amp;amp;</t>
  </si>
  <si>
    <t>y7jhgjgjg.s3.amazonaws.com</t>
  </si>
  <si>
    <t>52.216.141.156</t>
  </si>
  <si>
    <t>5ff173b6e3259</t>
  </si>
  <si>
    <t>https://y7jhgjgjg.s3.amazonaws.com/index.html</t>
  </si>
  <si>
    <t>z2sadasfg.s3.amazonaws.com</t>
  </si>
  <si>
    <t>52.216.144.59</t>
  </si>
  <si>
    <t>5fefe74eab6d8</t>
  </si>
  <si>
    <t>https://z2sadasfg.s3.amazonaws.com/index.html</t>
  </si>
  <si>
    <t>accompalished304.cf</t>
  </si>
  <si>
    <t>104.27.169.13</t>
  </si>
  <si>
    <t>5ff08137257d8</t>
  </si>
  <si>
    <t>https://accompalished304.cf/JPfsdd-sdds0s0-1162.inf0/XkfsdbfMSdIEhfj1188xMM/</t>
  </si>
  <si>
    <t>methodology166.ml</t>
  </si>
  <si>
    <t>104.24.109.12</t>
  </si>
  <si>
    <t>5ff2149b78673</t>
  </si>
  <si>
    <t>http://methodology166.ml/JPfsdd-sdds0s0-1162.inf0/XkfsdbfMSdEDhfj1188xMM/</t>
  </si>
  <si>
    <t>securitywarningalertx00t7.xyz</t>
  </si>
  <si>
    <t>162.0.235.18</t>
  </si>
  <si>
    <t>5ff2149f4fbd2</t>
  </si>
  <si>
    <t>http://securitywarningalertx00t7.xyz/</t>
  </si>
  <si>
    <t>172.67.220.148</t>
  </si>
  <si>
    <t>5ff214a53c693</t>
  </si>
  <si>
    <t>http://accompalished304.cf/JPfsdd-sdds0s0-1162.inf0/XkfsdbfMSdIEhfj1188xMM/</t>
  </si>
  <si>
    <t>159.203.67.140</t>
  </si>
  <si>
    <t>5ff350eecec11</t>
  </si>
  <si>
    <t>http://159.203.67.140/microwindows21/?phone=+1-(888)-335-3694&amp;amp;</t>
  </si>
  <si>
    <t>5ff350d733e21</t>
  </si>
  <si>
    <t>http://159.203.67.140/microwindows21/?phone=+1-(888)-414-6549&amp;amp;</t>
  </si>
  <si>
    <t>www.bgfght.tk</t>
  </si>
  <si>
    <t>155.138.198.225</t>
  </si>
  <si>
    <t>5ff3520521cb8</t>
  </si>
  <si>
    <t>https://www.bgfght.tk/W88SH0n01xm888se0cur0it0yCH008/index.html</t>
  </si>
  <si>
    <t>159.203.67.94</t>
  </si>
  <si>
    <t>5ff3560915224</t>
  </si>
  <si>
    <t>http://159.203.67.94/microwindows21/?phone=+1-(888)-427-2960&amp;amp;</t>
  </si>
  <si>
    <t>micro607asdcvx.gq</t>
  </si>
  <si>
    <t>157.230.185.115</t>
  </si>
  <si>
    <t>5ff35668c6236</t>
  </si>
  <si>
    <t>http://micro607asdcvx.gq/5293/WinFhelpxcodexwin444CHerrorxxdc/</t>
  </si>
  <si>
    <t>ali0as54.ga</t>
  </si>
  <si>
    <t>172.67.171.117</t>
  </si>
  <si>
    <t>5ff3573e48824</t>
  </si>
  <si>
    <t>https://ali0as54.ga/ds-d0dsa-d0asd-as0d-sad0.gbw11/W880n01xmse0AN700cur0it0yCH008VP1/</t>
  </si>
  <si>
    <t>cell0relay33.ga</t>
  </si>
  <si>
    <t>104.27.128.226</t>
  </si>
  <si>
    <t>5ff35b0292c70</t>
  </si>
  <si>
    <t>https://cell0relay33.ga/das-das0d-sad0s-ds0d-sad0.info/W880n01xmse0AN700cur0it0yCH008VP/</t>
  </si>
  <si>
    <t>159.203.67.101</t>
  </si>
  <si>
    <t>5ff35835b04eb</t>
  </si>
  <si>
    <t>http://159.203.67.101/microwindows21/?phone=+1-(888)-434-9680&amp;amp;</t>
  </si>
  <si>
    <t>159.203.79.180</t>
  </si>
  <si>
    <t>5ff382e047306</t>
  </si>
  <si>
    <t>http://159.203.79.180/microwindows21/?phone=+1-(888)-308-2707&amp;amp;</t>
  </si>
  <si>
    <t>178.128.179.93</t>
  </si>
  <si>
    <t>5ff37e495ad7d</t>
  </si>
  <si>
    <t>http://178.128.179.93/systemerror-win-chx/?phone=.&amp;amp;</t>
  </si>
  <si>
    <t>45.55.63.236</t>
  </si>
  <si>
    <t>5ff3805be2919</t>
  </si>
  <si>
    <t>http://45.55.63.236/microwindows21/?phone=+1-(888)-375-3455&amp;amp;</t>
  </si>
  <si>
    <t>segment943.ml</t>
  </si>
  <si>
    <t>104.31.89.80</t>
  </si>
  <si>
    <t>5ff39270998ee</t>
  </si>
  <si>
    <t>https://segment943.ml/N0rt0nDhelpli0nexY2202949/Win8884sec0urity0119yy88/</t>
  </si>
  <si>
    <t>159.203.100.56</t>
  </si>
  <si>
    <t>5ff39c32de211</t>
  </si>
  <si>
    <t>http://159.203.100.56/microwindows21/?phone=+1-(888)-341-0456&amp;amp;</t>
  </si>
  <si>
    <t>3.250.171.35</t>
  </si>
  <si>
    <t>5ff4412b7e2cc</t>
  </si>
  <si>
    <t>http://3.250.171.35/ing/fuk.html?=044-586-76-58</t>
  </si>
  <si>
    <t>5ff44058b3de7</t>
  </si>
  <si>
    <t>http://3.250.171.35/osw/vrouw.html?=02-808-05-71</t>
  </si>
  <si>
    <t>5ff43f7758d0b</t>
  </si>
  <si>
    <t>http://3.250.171.35/vik/ing.html?=0670-309-1029</t>
  </si>
  <si>
    <t>54.194.25.103</t>
  </si>
  <si>
    <t>5ff446458e92b</t>
  </si>
  <si>
    <t>http://54.194.25.103/rued/dane.html?=+47-23-96-38-45</t>
  </si>
  <si>
    <t>5ff444bb2d3e7</t>
  </si>
  <si>
    <t>http://54.194.25.103/ald/erway.html?=051-042-0912</t>
  </si>
  <si>
    <t>s3.ap-south-1.amazonaws.com</t>
  </si>
  <si>
    <t>52.219.62.85</t>
  </si>
  <si>
    <t>5ff4a7fa36184</t>
  </si>
  <si>
    <t>https://s3.ap-south-1.amazonaws.com/ms-win-fbfbjfbsfbjasfbewhbdnlkdfbkrdfnkda3558-red05.us/index.with.out.pro.html</t>
  </si>
  <si>
    <t>104.131.0.78</t>
  </si>
  <si>
    <t>5ff494aeae926</t>
  </si>
  <si>
    <t>http://104.131.0.78/microwindows21/?phone=+1-(888)-371-4186&amp;amp;</t>
  </si>
  <si>
    <t>5ff493ea6ac7f</t>
  </si>
  <si>
    <t>http://104.131.0.78/microwindows21/?phone=+1-(888)-385-5198&amp;amp;</t>
  </si>
  <si>
    <t>5ff493c47a8da</t>
  </si>
  <si>
    <t>http://104.131.0.78/microwindows21/?phone=+1-(888)-401-0989&amp;amp;</t>
  </si>
  <si>
    <t>5ff492bdeb143</t>
  </si>
  <si>
    <t>http://104.131.0.78/microwindows21/?phone=+1-(888)-381-1982&amp;amp;</t>
  </si>
  <si>
    <t>5ff49292e3599</t>
  </si>
  <si>
    <t>http://104.131.0.78/microwindows21/?phone=+1-(888)-374-1898&amp;amp;</t>
  </si>
  <si>
    <t>mos0aic45.ga</t>
  </si>
  <si>
    <t>172.67.169.126</t>
  </si>
  <si>
    <t>5ff493651ccee</t>
  </si>
  <si>
    <t>https://mos0aic45.ga/s-fsd0f-sd0fsd-f0sd-f0sdf-d.hns/W880n01xmse0cur0it0yCH008VP8YCB/</t>
  </si>
  <si>
    <t>159.203.82.131</t>
  </si>
  <si>
    <t>5ff496245773a</t>
  </si>
  <si>
    <t>http://159.203.82.131/microwindows21/?phone=+1-(888)-416-5589&amp;amp;</t>
  </si>
  <si>
    <t>104.248.9.104</t>
  </si>
  <si>
    <t>5ff4ac191bcc8</t>
  </si>
  <si>
    <t>http://104.248.9.104/microwindows21/?phone=+1-(888)-437-4138&amp;amp;</t>
  </si>
  <si>
    <t>159.203.80.9</t>
  </si>
  <si>
    <t>5ff4cda064ad1</t>
  </si>
  <si>
    <t>http://159.203.80.9/microwindows21/?phone=+1-(888)-403-7826&amp;amp;</t>
  </si>
  <si>
    <t>5ff4cc81a9c39</t>
  </si>
  <si>
    <t>http://159.203.80.9/microwindows21/?phone=+1-(888)-513-9839&amp;amp;</t>
  </si>
  <si>
    <t>5ff4cb58c5378</t>
  </si>
  <si>
    <t>http://159.203.80.9/microwindows21/?phone=+1-(888)-521-0213&amp;amp;</t>
  </si>
  <si>
    <t>159.203.71.237</t>
  </si>
  <si>
    <t>5ff4c8fd960a9</t>
  </si>
  <si>
    <t>http://159.203.71.237/microwindows21/?phone=+1-(888)-518-2565&amp;amp;</t>
  </si>
  <si>
    <t>5ff4c802bd13c</t>
  </si>
  <si>
    <t>http://159.203.71.237/microwindows21/?phone=+1-(888)-506-1892&amp;amp;</t>
  </si>
  <si>
    <t>104.131.1.37</t>
  </si>
  <si>
    <t>5ff4bcff13a7a</t>
  </si>
  <si>
    <t>http://104.131.1.37/microwindows21/?phone=+1-(888)-481-1802&amp;amp;</t>
  </si>
  <si>
    <t>104.131.2.31</t>
  </si>
  <si>
    <t>5ff4b351c15b8</t>
  </si>
  <si>
    <t>http://104.131.2.31/microwindows21/?phone=+1-(888)-446-5075&amp;amp;</t>
  </si>
  <si>
    <t>43567tyugjkhvw4567tuygjhu56rytfgvjyt-env.ap-southeast-2.elasticbeanst</t>
  </si>
  <si>
    <t>54.206.218.234</t>
  </si>
  <si>
    <t>5ff4bb1280a45</t>
  </si>
  <si>
    <t>http://43567tyugjkhvw4567tuygjhu56rytfgvjyt-env.ap-southeast-2.elasticbeanstalk.com/MA0987654REWSERDTFYGUKHBJEDJTFYVGJHVNE5TDRGCA008SS88/index.html?sou=</t>
  </si>
  <si>
    <t>zrcwip.club</t>
  </si>
  <si>
    <t>104.18.54.23</t>
  </si>
  <si>
    <t>5ff4d2bf08087</t>
  </si>
  <si>
    <t>https://zrcwip.club/__Windo_ws_YRFA2JPB9_QD_31/CJ__6OIGN_D2YFK/5OI18B_3N_/?n_b=MSg4NDQpMzA0IDQxMTU=&amp;amp;s_1=63-21648546651447</t>
  </si>
  <si>
    <t>167.172.251.188</t>
  </si>
  <si>
    <t>5ff4d7b918d85</t>
  </si>
  <si>
    <t>http://167.172.251.188/microwindows21/?phone=+1-(888)-403-1767&amp;amp;</t>
  </si>
  <si>
    <t>5ff4d532deae1</t>
  </si>
  <si>
    <t>http://167.172.251.188/microwindows21/?phone=+1-(888)-404-9313&amp;amp;</t>
  </si>
  <si>
    <t>5ff4d51f05690</t>
  </si>
  <si>
    <t>http://167.172.251.188/microwindows21/?phone=+1-(888)-414-8016&amp;amp;</t>
  </si>
  <si>
    <t>error-789-help-live-1001187.cf</t>
  </si>
  <si>
    <t>173.255.250.188</t>
  </si>
  <si>
    <t>5ff4db2b3e429</t>
  </si>
  <si>
    <t>https://error-789-help-live-1001187.cf/6020o/WinhelpxcodexwinCHsys88880101010102000mm01/</t>
  </si>
  <si>
    <t>error-789-help-live-1001186.cf</t>
  </si>
  <si>
    <t>5ff4d89d3b486</t>
  </si>
  <si>
    <t>https://error-789-help-live-1001186.cf/6020o/WinhelpxcodexwinCHsys88880101010102000mm01/</t>
  </si>
  <si>
    <t>error-789-help-live-1001185.cf</t>
  </si>
  <si>
    <t>5ff4d606291ba</t>
  </si>
  <si>
    <t>https://error-789-help-live-1001185.cf/6020o/trojanalertmac/</t>
  </si>
  <si>
    <t>5ff4d5776852d</t>
  </si>
  <si>
    <t>https://error-789-help-live-1001185.cf/6020o/WinhelpxcodexwinCHsys88880101010102000mm01/</t>
  </si>
  <si>
    <t>inher0itance485.ga</t>
  </si>
  <si>
    <t>104.28.26.134</t>
  </si>
  <si>
    <t>5ff4d6aace5ea</t>
  </si>
  <si>
    <t>https://inher0itance485.ga/sf-sdf0sd-f0sdf-sd0fsd-f0s.hnq/W880n01xmse0cur0it0yCH008VP8YCB/</t>
  </si>
  <si>
    <t>159.203.102.18</t>
  </si>
  <si>
    <t>5ff4da1d80cc3</t>
  </si>
  <si>
    <t>http://159.203.102.18/microwindows21/?phone=+1-(888)-443-7013&amp;amp;</t>
  </si>
  <si>
    <t>5ff4d7aa291d8</t>
  </si>
  <si>
    <t>http://159.203.102.18/microwindows21/?phone=+1-(888)-414-8016&amp;amp;</t>
  </si>
  <si>
    <t>5ff4d7a29fb2e</t>
  </si>
  <si>
    <t>http://159.203.102.18/microwindows21/?phone=+1-(888)-404-9313&amp;amp;</t>
  </si>
  <si>
    <t>5ff4d7232e04a</t>
  </si>
  <si>
    <t>http://159.203.102.18/microwindows21/?phone=+1-(888)-392-5925&amp;amp;</t>
  </si>
  <si>
    <t>159.203.102.13</t>
  </si>
  <si>
    <t>5ff4e51a3cc80</t>
  </si>
  <si>
    <t>http://159.203.102.13/microwindows21/?phone=+1-(888)-516-4258&amp;amp;</t>
  </si>
  <si>
    <t>5ff4e50b73233</t>
  </si>
  <si>
    <t>http://159.203.102.13/microwindows21/?phone=+1-(888)-502-8302&amp;amp;</t>
  </si>
  <si>
    <t>159.203.102.16</t>
  </si>
  <si>
    <t>5ff4e5b970e4b</t>
  </si>
  <si>
    <t>http://159.203.102.16/microwindows21/?phone=+1-(888)-523-0669&amp;amp;</t>
  </si>
  <si>
    <t>159.203.65.143</t>
  </si>
  <si>
    <t>5ff505dba393c</t>
  </si>
  <si>
    <t>http://159.203.65.143/microwindows21/?phone=+61-1800-950-477&amp;amp;</t>
  </si>
  <si>
    <t>159.203.116.114</t>
  </si>
  <si>
    <t>5ff6029ea3a75</t>
  </si>
  <si>
    <t>http://159.203.116.114/microwindows21/?phone=+1-(888)-373-0980&amp;amp;</t>
  </si>
  <si>
    <t>159.203.166.73</t>
  </si>
  <si>
    <t>5ff78a91f05ef</t>
  </si>
  <si>
    <t>http://159.203.166.73/systemerror-win-chx/?phone=.&amp;amp;</t>
  </si>
  <si>
    <t>157.245.91.80</t>
  </si>
  <si>
    <t>5ff791aba9dce</t>
  </si>
  <si>
    <t>http://157.245.91.80/microwindows21/?phone=+1-(888)-308-5286&amp;amp;</t>
  </si>
  <si>
    <t>5ff78f875efa5</t>
  </si>
  <si>
    <t>http://157.245.91.80/microwindows21/?phone=+1-(888)-308-5284&amp;amp;</t>
  </si>
  <si>
    <t>k1dfdfgfgfd.s3.ap-south-1.amazonaws.com</t>
  </si>
  <si>
    <t>52.219.62.42</t>
  </si>
  <si>
    <t>5ff8ad7e1a37b</t>
  </si>
  <si>
    <t>https://k1dfdfgfgfd.s3.ap-south-1.amazonaws.com/index.html</t>
  </si>
  <si>
    <t>161.35.106.177</t>
  </si>
  <si>
    <t>5ff88998d46f4</t>
  </si>
  <si>
    <t>http://161.35.106.177/microwindows21/?phone=+1-(888)-353-4349&amp;amp;</t>
  </si>
  <si>
    <t>167.172.151.157</t>
  </si>
  <si>
    <t>5ff631e49bd23</t>
  </si>
  <si>
    <t>http://167.172.151.157/microwindows21/?phone=+1-(888)-527-5414&amp;amp;</t>
  </si>
  <si>
    <t>159.65.220.31</t>
  </si>
  <si>
    <t>5ff63239c2a40</t>
  </si>
  <si>
    <t>http://159.65.220.31/microwindows21/?phone=+1-(888)-308-4859&amp;amp;</t>
  </si>
  <si>
    <t>134.122.113.9</t>
  </si>
  <si>
    <t>5ff6374de38bb</t>
  </si>
  <si>
    <t>http://134.122.113.9/microwindows21/?phone=+1-(888)-312-1433&amp;amp;</t>
  </si>
  <si>
    <t>v2dugddf.s3.amazonaws.com</t>
  </si>
  <si>
    <t>52.216.184.251</t>
  </si>
  <si>
    <t>5ff67f16c98c7</t>
  </si>
  <si>
    <t>https://v2dugddf.s3.amazonaws.com/index.html</t>
  </si>
  <si>
    <t>161.35.102.122</t>
  </si>
  <si>
    <t>5ff88e18f2932</t>
  </si>
  <si>
    <t>http://161.35.102.122/?number=+1-(888)-596-9553</t>
  </si>
  <si>
    <t>174.138.40.27</t>
  </si>
  <si>
    <t>5ff7878d5ba08</t>
  </si>
  <si>
    <t>http://174.138.40.27/microwindows21/?phone=+1-(888)-308-1185&amp;amp;</t>
  </si>
  <si>
    <t>104.131.3.72</t>
  </si>
  <si>
    <t>5ff7526404cda</t>
  </si>
  <si>
    <t>http://104.131.3.72/microwindows21/?phone=+1-(888)-712-0794&amp;amp;</t>
  </si>
  <si>
    <t>206.189.184.100</t>
  </si>
  <si>
    <t>5ff75e89de5d4</t>
  </si>
  <si>
    <t>http://206.189.184.100/microwindows21/?phone=+1-(888)-382-1253&amp;amp;</t>
  </si>
  <si>
    <t>bitma0pped432.ml</t>
  </si>
  <si>
    <t>104.27.154.195</t>
  </si>
  <si>
    <t>5ff778b4b4682</t>
  </si>
  <si>
    <t>https://bitma0pped432.ml/N0rt0nDhelpli0nexY3082725/Win8884sec0urity0119yy88/</t>
  </si>
  <si>
    <t>167.99.227.248</t>
  </si>
  <si>
    <t>5ff7563e385bf</t>
  </si>
  <si>
    <t>http://167.99.227.248/microwindows21/?phone=+1-(888)-372-9370&amp;amp;</t>
  </si>
  <si>
    <t>5ff755b2c749c</t>
  </si>
  <si>
    <t>http://167.99.227.248/microwindows21/?phone=+1-(888)-353-7667&amp;amp;</t>
  </si>
  <si>
    <t>206.189.184.11</t>
  </si>
  <si>
    <t>5ff75b953589b</t>
  </si>
  <si>
    <t>http://206.189.184.11/microwindows21/?phone=+1-(888)-206-0668&amp;amp;</t>
  </si>
  <si>
    <t>16onestopsupport.azurewebsites.net</t>
  </si>
  <si>
    <t>40.119.12.13</t>
  </si>
  <si>
    <t>5ff74258b47e0</t>
  </si>
  <si>
    <t>https://16onestopsupport.azurewebsites.net/MicOSoCHPC017528240X00/</t>
  </si>
  <si>
    <t>10onestopsupport.azurewebsites.net</t>
  </si>
  <si>
    <t>5ff741e44c5ea</t>
  </si>
  <si>
    <t>https://10onestopsupport.azurewebsites.net/MicOSoCHPC017528240X00/</t>
  </si>
  <si>
    <t>161.35.107.100</t>
  </si>
  <si>
    <t>5ff7932717eef</t>
  </si>
  <si>
    <t>http://161.35.107.100/microwindows21/?phone=+1-(888)-343-5136&amp;amp;</t>
  </si>
  <si>
    <t>206.189.184.181</t>
  </si>
  <si>
    <t>5ff8b89246b3b</t>
  </si>
  <si>
    <t>http://206.189.184.181/09w/?phone=+1-(888)-323-9617&amp;amp;</t>
  </si>
  <si>
    <t>167.172.142.134</t>
  </si>
  <si>
    <t>5ff8bcf9bfb52</t>
  </si>
  <si>
    <t>http://167.172.142.134/09w/?phone=+1-(888)-334-1290&amp;amp;</t>
  </si>
  <si>
    <t>5ff8baede83ec</t>
  </si>
  <si>
    <t>http://167.172.142.134/09w/?phone=+1-(888)-335-4399&amp;amp;</t>
  </si>
  <si>
    <t>5ff8bae305523</t>
  </si>
  <si>
    <t>http://167.172.142.134/09w/?phone=+1-(888)-381-8852&amp;amp;</t>
  </si>
  <si>
    <t>64.227.27.201</t>
  </si>
  <si>
    <t>5ff8c3ef62ab7</t>
  </si>
  <si>
    <t>http://64.227.27.201/09w/?phone=+1-(888)-381-8852&amp;amp;</t>
  </si>
  <si>
    <t>167.172.154.150</t>
  </si>
  <si>
    <t>5ff8c3f5ad327</t>
  </si>
  <si>
    <t>http://167.172.154.150/09w/?phone=+1-(888)-321-3453&amp;amp;</t>
  </si>
  <si>
    <t>134.122.28.196</t>
  </si>
  <si>
    <t>5ff8cdb20efc4</t>
  </si>
  <si>
    <t>http://134.122.28.196/09w/?phone=+1-(888)-334-1270&amp;amp;</t>
  </si>
  <si>
    <t>billingwithus.online</t>
  </si>
  <si>
    <t>104.18.40.73</t>
  </si>
  <si>
    <t>5ff9e2895b218</t>
  </si>
  <si>
    <t>https://billingwithus.online/codemasgss////FFfdfffdgfgfgdfgdfgfMPr88CtySS///</t>
  </si>
  <si>
    <t>5ff9e13c4539f</t>
  </si>
  <si>
    <t>https://billingwithus.online/codemasgss/CHfdfffdgfgfgdfgdfgfMPr88CtySS/</t>
  </si>
  <si>
    <t>172.67.207.18</t>
  </si>
  <si>
    <t>5ff9e2e1d6052</t>
  </si>
  <si>
    <t>https://billingwithus.online/codemasgss/MAfdfffdgfgfgdfgdfgf-188CtySS/</t>
  </si>
  <si>
    <t>5ff9e27c48dda</t>
  </si>
  <si>
    <t>https://billingwithus.online/codemasgss////EDfdfffdgfgfgdfgdfgfMPr88CtySS///</t>
  </si>
  <si>
    <t>gfdsgsd.tk</t>
  </si>
  <si>
    <t>64.227.109.80</t>
  </si>
  <si>
    <t>5ff9e63f42d90</t>
  </si>
  <si>
    <t>https://gfdsgsd.tk/W88SH0n01xm888se0cur0it0yED008/index.html</t>
  </si>
  <si>
    <t>159.89.95.205</t>
  </si>
  <si>
    <t>5ff9e6eb569cb</t>
  </si>
  <si>
    <t>http://159.89.95.205/09w/?phone=+1-(888)-372-4709&amp;amp;</t>
  </si>
  <si>
    <t>wellupdateweather.online</t>
  </si>
  <si>
    <t>172.67.155.14</t>
  </si>
  <si>
    <t>5ff9f72d5a224</t>
  </si>
  <si>
    <t>https://wellupdateweather.online/codemasgss/CHfdfffdgfgfgdfgdfgfMPr88CtySS/</t>
  </si>
  <si>
    <t>104.31.80.232</t>
  </si>
  <si>
    <t>5ff9fa01a372e</t>
  </si>
  <si>
    <t>https://wellupdateweather.online/codemasgss/MAfdfffdgfgfgdfgdfgf-188CtySS/</t>
  </si>
  <si>
    <t>tastykitchenrecipes.site</t>
  </si>
  <si>
    <t>104.27.189.164</t>
  </si>
  <si>
    <t>5ffa60bf29751</t>
  </si>
  <si>
    <t>https://tastykitchenrecipes.site/codemasgss/MAfdfffdgfgfgdfgdfgf-188CtySS/</t>
  </si>
  <si>
    <t>5ffa01eed07fb</t>
  </si>
  <si>
    <t>https://tastykitchenrecipes.site/codemasgss/CHfdfffdgfgfgdfgdfgfMPr88CtySS/</t>
  </si>
  <si>
    <t>172.67.182.40</t>
  </si>
  <si>
    <t>5ffa05b5cb47c</t>
  </si>
  <si>
    <t>https://tastykitchenrecipes.site/codemasgss/CEDfdfffdgfgfgdfgdfgfMPr88CtySS/</t>
  </si>
  <si>
    <t>161.35.117.227</t>
  </si>
  <si>
    <t>5ffa05ec75d03</t>
  </si>
  <si>
    <t>http://161.35.117.227/09w/?phone=+1-(888)-371-8672&amp;amp;</t>
  </si>
  <si>
    <t>s3.us-east-2.amazonaws.com</t>
  </si>
  <si>
    <t>52.219.80.130</t>
  </si>
  <si>
    <t>5ffa17a3c6c60</t>
  </si>
  <si>
    <t>https://s3.us-east-2.amazonaws.com/ms-win-dkfnfknknkfnkn1011-2fullred09.us/index.with.out.pro.html</t>
  </si>
  <si>
    <t>159.89.153.90</t>
  </si>
  <si>
    <t>5ffa18b3d9aa3</t>
  </si>
  <si>
    <t>http://159.89.153.90/systemerror-win-chx/?phone=.&amp;amp;</t>
  </si>
  <si>
    <t>64.227.0.47</t>
  </si>
  <si>
    <t>5ffb3d3823a92</t>
  </si>
  <si>
    <t>http://64.227.0.47/09w/?phone=+1-(888)-320-0813&amp;amp;</t>
  </si>
  <si>
    <t>5ffb3b0694091</t>
  </si>
  <si>
    <t>http://64.227.0.47/09w/?phone=+1-(888)-340-3989&amp;amp;</t>
  </si>
  <si>
    <t>5ffb3a701b21b</t>
  </si>
  <si>
    <t>http://64.227.0.47/09w/?phone=+1-(888)-340-9967&amp;amp;</t>
  </si>
  <si>
    <t>5www.r4b1lqbg38.win</t>
  </si>
  <si>
    <t>172.67.212.37</t>
  </si>
  <si>
    <t>5ffb718b03350</t>
  </si>
  <si>
    <t>https://5www.r4b1lqbg38.win/us4653419/IeEg/index.html</t>
  </si>
  <si>
    <t>win</t>
  </si>
  <si>
    <t>q4ddf.s3.amazonaws.com</t>
  </si>
  <si>
    <t>52.216.113.27</t>
  </si>
  <si>
    <t>5ffbaafe1c3ee</t>
  </si>
  <si>
    <t>https://q4ddf.s3.amazonaws.com/index.html</t>
  </si>
  <si>
    <t>totali0zer45.ml</t>
  </si>
  <si>
    <t>104.28.21.164</t>
  </si>
  <si>
    <t>5ffbc0609f59c</t>
  </si>
  <si>
    <t>https://totali0zer45.ml/N0rt0nDhelpli0nexY1599230/Win8884sec0urity0119yy88/</t>
  </si>
  <si>
    <t>2www.bk3kuq0084.win</t>
  </si>
  <si>
    <t>104.24.110.213</t>
  </si>
  <si>
    <t>5ffc6bdb51b77</t>
  </si>
  <si>
    <t>https://2www.bk3kuq0084.win/us9848122/IeEg/index.html</t>
  </si>
  <si>
    <t>157.245.133.30</t>
  </si>
  <si>
    <t>5ffc7859311ef</t>
  </si>
  <si>
    <t>http://157.245.133.30/09w/?phone=+1-(888)-308-4898&amp;amp;</t>
  </si>
  <si>
    <t>157.245.89.2</t>
  </si>
  <si>
    <t>5ffc7ff311a0c</t>
  </si>
  <si>
    <t>http://157.245.89.2/09w/?phone=+1-(888)-341-6246&amp;amp;</t>
  </si>
  <si>
    <t>www.sauhippo.ga</t>
  </si>
  <si>
    <t>34.72.110.159</t>
  </si>
  <si>
    <t>5ffc9170d3f8e</t>
  </si>
  <si>
    <t>https://www.sauhippo.ga/ron/Winhelpxcode777securityIED00700x/index.html</t>
  </si>
  <si>
    <t>209.97.149.19</t>
  </si>
  <si>
    <t>5ffc9175ed9b6</t>
  </si>
  <si>
    <t>http://209.97.149.19/W110n01xmse0cur0it0yED008AN11/</t>
  </si>
  <si>
    <t>superiorlandscaping.site</t>
  </si>
  <si>
    <t>172.67.147.113</t>
  </si>
  <si>
    <t>5ffc917ae4d5d</t>
  </si>
  <si>
    <t>https://superiorlandscaping.site/codemasgss/CEDfdfffdgfgfgdfgdfgfMPr88CtySS/</t>
  </si>
  <si>
    <t>161.35.125.153</t>
  </si>
  <si>
    <t>5ffc97507b55f</t>
  </si>
  <si>
    <t>http://161.35.125.153/09w/?phone=+1-(888)-303-3501&amp;amp;</t>
  </si>
  <si>
    <t>5ffc9188efe00</t>
  </si>
  <si>
    <t>http://161.35.125.153/09w/?phone=+1-(888)-346-0845&amp;amp;</t>
  </si>
  <si>
    <t>142.93.6.201</t>
  </si>
  <si>
    <t>5ffc99901c999</t>
  </si>
  <si>
    <t>http://142.93.6.201/09w/?phone=+1-(888)-324-6685&amp;amp;</t>
  </si>
  <si>
    <t>5ffc987be7e7d</t>
  </si>
  <si>
    <t>http://142.93.6.201/09w/?phone=+1-(888)-312-1468&amp;amp;</t>
  </si>
  <si>
    <t>5ffc97f03bff0</t>
  </si>
  <si>
    <t>http://142.93.6.201/09w/?phone=+1-(888)-308-1181&amp;amp;</t>
  </si>
  <si>
    <t>138.197.104.63</t>
  </si>
  <si>
    <t>5ffca01613251</t>
  </si>
  <si>
    <t>http://138.197.104.63/systemerror-win-chx/?phone=.&amp;amp;</t>
  </si>
  <si>
    <t>142.93.112.59</t>
  </si>
  <si>
    <t>5ffcb74d29b51</t>
  </si>
  <si>
    <t>http://142.93.112.59/09w/?phone=+1-(888)-332-2477&amp;amp;</t>
  </si>
  <si>
    <t>142.93.112.87</t>
  </si>
  <si>
    <t>5ffcc6a9f1f20</t>
  </si>
  <si>
    <t>http://142.93.112.87/09w/?phone=+1-(888)-325-4031&amp;amp;</t>
  </si>
  <si>
    <t>5ffcc5c0b5c73</t>
  </si>
  <si>
    <t>http://142.93.112.87/09w/?phone=+1-(888)-323-5158&amp;amp;</t>
  </si>
  <si>
    <t>142.93.55.223</t>
  </si>
  <si>
    <t>5ffcf31007aee</t>
  </si>
  <si>
    <t>http://142.93.55.223/09w/?phone=+61-1800-950-477&amp;amp;</t>
  </si>
  <si>
    <t>kgfweather.online</t>
  </si>
  <si>
    <t>104.28.22.65</t>
  </si>
  <si>
    <t>5ffdae711df7e</t>
  </si>
  <si>
    <t>https://kgfweather.online/codemasgss/EDfdfffdgfgfgdfgdfgfMPr88CtySS/</t>
  </si>
  <si>
    <t>horoscopesigns.site</t>
  </si>
  <si>
    <t>104.27.186.151</t>
  </si>
  <si>
    <t>5ffdbc90e05dd</t>
  </si>
  <si>
    <t>https://horoscopesigns.site/codemasgss/EDfdfffdgfgfgdfgdfgfMPr88CtySS/</t>
  </si>
  <si>
    <t>frosty-darwin.66-42-127-94.plesk.page</t>
  </si>
  <si>
    <t>66.42.127.94</t>
  </si>
  <si>
    <t>5ffdbd1ad94cb</t>
  </si>
  <si>
    <t>https://frosty-darwin.66-42-127-94.plesk.page/WinFhelpxcodexwin444IEeXX/</t>
  </si>
  <si>
    <t>page</t>
  </si>
  <si>
    <t>165.22.224.57</t>
  </si>
  <si>
    <t>5ffdd235d435b</t>
  </si>
  <si>
    <t>http://165.22.224.57/2136ringba/10DEC_win_mac18443092136x2/YW880n01xmse088700cur0it0yED008VP/</t>
  </si>
  <si>
    <t>68.183.235.182</t>
  </si>
  <si>
    <t>5ffdd69014fba</t>
  </si>
  <si>
    <t>http://68.183.235.182/learningonline/studyrooms/WMM0n01xmse0AN7cur0it0yCH008NV00/</t>
  </si>
  <si>
    <t>0898574tuyrgfhvbjhirtu38hf4t78yu3iwy-env.ap-southeast-2.elasticbeanst</t>
  </si>
  <si>
    <t>52.64.108.245</t>
  </si>
  <si>
    <t>5ffdde4308b2d</t>
  </si>
  <si>
    <t>http://0898574tuyrgfhvbjhirtu38hf4t78yu3iwy-env.ap-southeast-2.elasticbeanstalk.com/t7348rwbauwf7824fgewjhfgwa4uft73fbh4f78a34fua4fguyftu74fufgyg7ft487f</t>
  </si>
  <si>
    <t>142.93.240.78</t>
  </si>
  <si>
    <t>5ffde4dde88c1</t>
  </si>
  <si>
    <t>http://142.93.240.78/wwwwwwwwwwwwwwwwwwwwwwwwwwwww/?phone=+1-(888)-342-8068&amp;amp;</t>
  </si>
  <si>
    <t>5ffde4396a706</t>
  </si>
  <si>
    <t>http://142.93.240.78/wwwwwwwwwwwwwwwwwwwwwwwwwwwww/?phone=+1-(888)-347-2707&amp;amp;</t>
  </si>
  <si>
    <t>5ffde28ee4fb4</t>
  </si>
  <si>
    <t>http://142.93.240.78/wwwwwwwwwwwwwwwwwwwwwwwwwwwww/?phone=+1-(888)-354-0462&amp;amp;</t>
  </si>
  <si>
    <t>pcmssecuresetup24x7errorcodehelplinezonedd30.monster</t>
  </si>
  <si>
    <t>174.138.52.249</t>
  </si>
  <si>
    <t>5ffde54ddb2fb</t>
  </si>
  <si>
    <t>https://pcmssecuresetup24x7errorcodehelplinezonedd30.monster/Errorcode23x7dskjdhskjdweeoorrrhelpline5198/CHEDfdfdfdfdfdfucode0xhelpms008Mnk0007/index.ht</t>
  </si>
  <si>
    <t>161.35.54.239</t>
  </si>
  <si>
    <t>5ffde7d49b48b</t>
  </si>
  <si>
    <t>http://161.35.54.239/wwwwwwwwwwwwwwwwwwwwwwwwwwwww/?phone=+1-(888)-350-3049&amp;amp;</t>
  </si>
  <si>
    <t>5ffde62a24b71</t>
  </si>
  <si>
    <t>http://161.35.54.239/wwwwwwwwwwwwwwwwwwwwwwwwwwwww/?phone=+1-(888)-308-5819&amp;amp;</t>
  </si>
  <si>
    <t>procedure485.gq</t>
  </si>
  <si>
    <t>104.28.10.34</t>
  </si>
  <si>
    <t>5ffde9157d02b</t>
  </si>
  <si>
    <t>https://procedure485.gq/sd-fsd0f-sd0fsd-fs0df.hbw/IEfdfd888247ucode0xhelpms88811/index.html</t>
  </si>
  <si>
    <t>206.189.183.175</t>
  </si>
  <si>
    <t>5ffdeae8ed912</t>
  </si>
  <si>
    <t>http://206.189.183.175/wwwwwwwwwwwwwwwwwwwwwwwwwwwww/?phone=+1-(888)-332-7271&amp;amp;</t>
  </si>
  <si>
    <t>5ffdea3982523</t>
  </si>
  <si>
    <t>http://206.189.183.175/wwwwwwwwwwwwwwwwwwwwwwwwwwwww/?phone=+1-(888)-348-3705&amp;amp;</t>
  </si>
  <si>
    <t>exti0nct05.gq</t>
  </si>
  <si>
    <t>104.31.88.132</t>
  </si>
  <si>
    <t>5ffdebbbbed6a</t>
  </si>
  <si>
    <t>https://exti0nct05.gq/N0rt0nDhelpli0nexY3512531/Win8884sec0urity0119yy88/</t>
  </si>
  <si>
    <t>206.189.196.174</t>
  </si>
  <si>
    <t>5ffdf1b4ae04f</t>
  </si>
  <si>
    <t>http://206.189.196.174/wwwwwwwwwwwwwwwwwwwwwwwwwwwww/?phone=+1-(888)-350-3124&amp;amp;</t>
  </si>
  <si>
    <t>5www.8j1xd9p9zn.win</t>
  </si>
  <si>
    <t>104.18.51.169</t>
  </si>
  <si>
    <t>5ffdf48cdfb70</t>
  </si>
  <si>
    <t>https://5www.8j1xd9p9zn.win/us9845452/Edgch/index.html</t>
  </si>
  <si>
    <t>204.48.18.186</t>
  </si>
  <si>
    <t>5ffdf8dadc8f6</t>
  </si>
  <si>
    <t>http://204.48.18.186/wwwwwwwwwwwwwwwwwwwwwwwwwwwww/?phone=+1-(888)-336-0407&amp;amp;</t>
  </si>
  <si>
    <t>204.48.18.130</t>
  </si>
  <si>
    <t>5ffe070d82a55</t>
  </si>
  <si>
    <t>http://204.48.18.130/wwwwwwwwwwwwwwwwwwwwwwwwwwwww/?phone=+1-(888)-354-0514&amp;amp;</t>
  </si>
  <si>
    <t>iuyutrsfdxcgvhfre45687yuihjghvcfgder-env.ap-southeast-2.elasticbeanst</t>
  </si>
  <si>
    <t>54.206.205.114</t>
  </si>
  <si>
    <t>5ffe085ced839</t>
  </si>
  <si>
    <t>http://iuyutrsfdxcgvhfre45687yuihjghvcfgder-env.ap-southeast-2.elasticbeanstalk.com/Y347TGWEFEJRFIUAEGHJEBFUA4GUYFEWVGHE4VFHDSBZHJREHFIUERGIUBHJEFWGKJGY</t>
  </si>
  <si>
    <t>www.ipillsnew.xyz</t>
  </si>
  <si>
    <t>134.209.39.247</t>
  </si>
  <si>
    <t>60091eff4e9ab</t>
  </si>
  <si>
    <t>https://www.ipillsnew.xyz/170926Nov_freezonthropy_win_mac_JP/WJPxmnksEDfevfds0088hotline008/</t>
  </si>
  <si>
    <t>www.gpillsnew.xyz</t>
  </si>
  <si>
    <t>6007a7de90e3c</t>
  </si>
  <si>
    <t>https://www.gpillsnew.xyz/5430def_Edge_New_updated/Winhelpxcode8080xwinEDerrorxxdc/</t>
  </si>
  <si>
    <t>6007a6cd05a22</t>
  </si>
  <si>
    <t>https://www.gpillsnew.xyz/5430def_Edge_New_updated/Winhelpxcode8080xwinFFerrorxxdc/</t>
  </si>
  <si>
    <t>www.fpillsnew.xyz</t>
  </si>
  <si>
    <t>60077f41a8ec1</t>
  </si>
  <si>
    <t>https://www.fpillsnew.xyz/5430def_Edge_New_updated/Winhelpxcode8080xwinCHerrorxxdc/</t>
  </si>
  <si>
    <t>60077c145a410</t>
  </si>
  <si>
    <t>https://www.fpillsnew.xyz/5430def_Edge_New_updated/Winhelpxcode8080xwinFFerrorxxdc/</t>
  </si>
  <si>
    <t>epillsnew.xyz</t>
  </si>
  <si>
    <t>5ffe156822982</t>
  </si>
  <si>
    <t>https://epillsnew.xyz/170926Nov_freezonthropy_win_mac_JP/WJPxmnksCHevfds0088hotline008/</t>
  </si>
  <si>
    <t>5ffe153675d80</t>
  </si>
  <si>
    <t>https://epillsnew.xyz/5541def_Edge_New_updated/Winhelpxcode8080xwinIEerrorxxdc/</t>
  </si>
  <si>
    <t>www.epillsnew.xyz</t>
  </si>
  <si>
    <t>5ffe0c002efc2</t>
  </si>
  <si>
    <t>https://www.epillsnew.xyz/5541def_Edge_New_updated/Winhelpxcode8080xwinCHerrorxxdc/</t>
  </si>
  <si>
    <t>5ffe08b435f8a</t>
  </si>
  <si>
    <t>https://www.epillsnew.xyz/5541def_Edge_New_updated/Winhelpxcode8080xwinEDerrorxxdc/</t>
  </si>
  <si>
    <t>bitmapped-245.ga</t>
  </si>
  <si>
    <t>104.27.146.182</t>
  </si>
  <si>
    <t>5ffe0a9b89990</t>
  </si>
  <si>
    <t>https://bitmapped-245.ga/JPfsdd-sdds0s0-1162.inf0/XkfsdbfMSdFFhfj1188xMM/</t>
  </si>
  <si>
    <t>potraitphotos.site</t>
  </si>
  <si>
    <t>164.90.146.217</t>
  </si>
  <si>
    <t>5ffe0fa34a3a9</t>
  </si>
  <si>
    <t>https://potraitphotos.site/W88SH0n01xm888se0cur0it0yCH008/index.html</t>
  </si>
  <si>
    <t>AS21499</t>
  </si>
  <si>
    <t>Strasbourg</t>
  </si>
  <si>
    <t>newdomainsearchfr.xyz</t>
  </si>
  <si>
    <t>GD MASS Network</t>
  </si>
  <si>
    <t>92.204.220.55</t>
  </si>
  <si>
    <t>5ffe1626b04b9</t>
  </si>
  <si>
    <t>https://newdomainsearchfr.xyz/kha1/code7219g1ooUS1/CHfdfffdgfgfgdfgdfgfKar/</t>
  </si>
  <si>
    <t>159.65.12.144</t>
  </si>
  <si>
    <t>5ffe23ba43eae</t>
  </si>
  <si>
    <t>http://159.65.12.144/onlineclass/forstudy/WMM0n01xmse0AN7cur0it0yCH008NV00/</t>
  </si>
  <si>
    <t>rtfyutrdfcgfhtrdfghtresdxfcgtrdfcghj-env.ap-southeast-2.elasticbeanst</t>
  </si>
  <si>
    <t>54.66.119.165</t>
  </si>
  <si>
    <t>5ffe58e6bed1c</t>
  </si>
  <si>
    <t>http://rtfyutrdfcgfhtrdfghtresdxfcgtrdfcghj-env.ap-southeast-2.elasticbeanstalk.com/TTWFURGREGFRBFHR7T77T23T464YTFBHFG78GFEGF3GF773TEVFY34TRGFHFG/?sou=e</t>
  </si>
  <si>
    <t>v2dighir.s3.amazonaws.com</t>
  </si>
  <si>
    <t>52.217.99.76</t>
  </si>
  <si>
    <t>5ffe5f1495881</t>
  </si>
  <si>
    <t>https://v2dighir.s3.amazonaws.com/index.html</t>
  </si>
  <si>
    <t>nervous-murdock.66-42-99-91.plesk.page</t>
  </si>
  <si>
    <t>66.42.99.91</t>
  </si>
  <si>
    <t>5fff0a41f0236</t>
  </si>
  <si>
    <t>https://nervous-murdock.66-42-99-91.plesk.page/WinFhelpxcodexwin444IEeXX/</t>
  </si>
  <si>
    <t>142.93.255.177</t>
  </si>
  <si>
    <t>5fff2b19b85fe</t>
  </si>
  <si>
    <t>http://142.93.255.177/wwwwwwwwwwwwwwwwwwwwwwwwwwwww/?phone=+1-(888)-357-7761&amp;amp;</t>
  </si>
  <si>
    <t>tyghjo8yghbnjo8y7ghbyghub347uehguyrh-env.ap-southeast-2.elasticbeanst</t>
  </si>
  <si>
    <t>54.153.153.121</t>
  </si>
  <si>
    <t>5fff39dfe4b43</t>
  </si>
  <si>
    <t>http://tyghjo8yghbnjo8y7ghbyghub347uehguyrh-env.ap-southeast-2.elasticbeanstalk.com/Y347TGWEFEJRFIUAEGHJEBFUA4GUYFEWVGHE4VFHDSBZHJREHFIUERGIUBHJEFWGKJGY</t>
  </si>
  <si>
    <t>159.203.23.168</t>
  </si>
  <si>
    <t>5fff42cb05c21</t>
  </si>
  <si>
    <t>http://159.203.23.168/4957-jan/11Jan_18442924957/CHfdfd888247ucode0xhelpms88811/index.html</t>
  </si>
  <si>
    <t>874wesdgfhuo65redfgcvbjhkuy6t5redfgv-env.ap-southeast-2.elasticbeanst</t>
  </si>
  <si>
    <t>52.62.54.211</t>
  </si>
  <si>
    <t>5fff49f4d16f1</t>
  </si>
  <si>
    <t>http://874wesdgfhuo65redfgcvbjhkuy6t5redfgv-env.ap-southeast-2.elasticbeanstalk.com/TTWFURGREGFRBFHR7T77T23T464YTFBHFG78GFEGF3GF773TEVFY34TRGFHFG/?sou=a</t>
  </si>
  <si>
    <t>bootup291.gq</t>
  </si>
  <si>
    <t>172.67.200.132</t>
  </si>
  <si>
    <t>5fff5025c1ff7</t>
  </si>
  <si>
    <t>https://bootup291.gq/sdf-sdf0sd-fs0df-sdf0s-sdf0sd.ndc/CHfdfd888247ucode0xhelpms88811/index.html</t>
  </si>
  <si>
    <t>159.203.21.33</t>
  </si>
  <si>
    <t>5fff50ea04705</t>
  </si>
  <si>
    <t>http://159.203.21.33/5996-jan/11Jan_1-213-357-5996/CHfdfd888247ucode0xhelpms88811/index.html</t>
  </si>
  <si>
    <t>methodology245.cf</t>
  </si>
  <si>
    <t>172.67.171.66</t>
  </si>
  <si>
    <t>5fff56940f1f1</t>
  </si>
  <si>
    <t>https://methodology245.cf/N0rt0nDhelpli0nexY6901002/Win8884sec0urity0119yy88/</t>
  </si>
  <si>
    <t>159.89.123.59</t>
  </si>
  <si>
    <t>5fff524543fca</t>
  </si>
  <si>
    <t>http://159.89.123.59/5996-jan/11Jan_1-213-357-5996/CHfdfd888247ucode0xhelpms88811/index.html</t>
  </si>
  <si>
    <t>52.219.105.161</t>
  </si>
  <si>
    <t>6000a4dcf2863</t>
  </si>
  <si>
    <t>https://s3.us-east-2.amazonaws.com/ms-win-jndndbnfncjknf1772-1red14.us/index.with.out.pro.html</t>
  </si>
  <si>
    <t>hillaoc.cyou</t>
  </si>
  <si>
    <t>212.47.240.19</t>
  </si>
  <si>
    <t>604d3346344f4</t>
  </si>
  <si>
    <t>http://hillaoc.cyou/t/CPfsfMSdEDhfj1188xSS08Vi8WSS0B/</t>
  </si>
  <si>
    <t>cannonis.xyz</t>
  </si>
  <si>
    <t>6008d83da607c</t>
  </si>
  <si>
    <t>http://cannonis.xyz/t/W880n01xm888se0cur0it0yIE008/index.html</t>
  </si>
  <si>
    <t>novaraoc.xyz</t>
  </si>
  <si>
    <t>60086d217d441</t>
  </si>
  <si>
    <t>http://novaraoc.xyz/t/W880n01xm888se0cur0it0yIE008/index.html</t>
  </si>
  <si>
    <t>beloiddc.online</t>
  </si>
  <si>
    <t>5fff78093006c</t>
  </si>
  <si>
    <t>http://beloiddc.online/t/W880n01xm888se0cur0it0yCH008/index.html</t>
  </si>
  <si>
    <t>178.128.69.209</t>
  </si>
  <si>
    <t>5fffd23ac476c</t>
  </si>
  <si>
    <t>http://178.128.69.209/systemerror-win-chx/?phone=.&amp;amp;</t>
  </si>
  <si>
    <t>www.ms-warning-unrefected.xyz</t>
  </si>
  <si>
    <t>DARL-TELECOM</t>
  </si>
  <si>
    <t>37.1.211.46</t>
  </si>
  <si>
    <t>60008cdc19ffd</t>
  </si>
  <si>
    <t>https://www.ms-warning-unrefected.xyz/IE/?subid=2f8jlou2prub</t>
  </si>
  <si>
    <t>scarydn.xyz</t>
  </si>
  <si>
    <t>51.15.87.10</t>
  </si>
  <si>
    <t>60de318910a91</t>
  </si>
  <si>
    <t>http://scarydn.xyz/t/W088PP0Y0Ris0y0CED0fv08Mhi/index.html</t>
  </si>
  <si>
    <t>nyayain.cyou</t>
  </si>
  <si>
    <t>60ddf0d93d1d3</t>
  </si>
  <si>
    <t>http://nyayain.cyou/t/W088PP0Y0Ris0y0CED0fv08Mhi/index.html</t>
  </si>
  <si>
    <t>curerop.xyz</t>
  </si>
  <si>
    <t>60c1337a7ec59</t>
  </si>
  <si>
    <t>http://curerop.xyz/t/Wind0ws-008firwal09alertECH00Mni08FF/index.html</t>
  </si>
  <si>
    <t>jewelue.cyou</t>
  </si>
  <si>
    <t>60c1084295517</t>
  </si>
  <si>
    <t>http://jewelue.cyou/t/Wind0ws-008firwal09alertECH00Mni08FF/index.html</t>
  </si>
  <si>
    <t>egesttd.cyou</t>
  </si>
  <si>
    <t>60c25af2de485</t>
  </si>
  <si>
    <t>http://egesttd.cyou/t/W088PP0Y0Ris0y0CED0fv08Mhi/index.html</t>
  </si>
  <si>
    <t>imaretdc.xyz</t>
  </si>
  <si>
    <t>601af79df3b2b</t>
  </si>
  <si>
    <t>http://imaretdc.xyz/t/W880n01xm888se0cur0it0yIE008/index.html</t>
  </si>
  <si>
    <t>poonaoc.club</t>
  </si>
  <si>
    <t>6000947e19742</t>
  </si>
  <si>
    <t>http://poonaoc.club/t/W880n01xm888se0cur0it0yIE008/index.html</t>
  </si>
  <si>
    <t>159.203.126.234</t>
  </si>
  <si>
    <t>6000980c8beca</t>
  </si>
  <si>
    <t>http://159.203.126.234/1034jan/14Jan_win_mac18664631034-%20blue/W880n01xmse0AN7cur0it0yED008VPxcp0101/</t>
  </si>
  <si>
    <t>167.99.3.143</t>
  </si>
  <si>
    <t>6000b38510bb7</t>
  </si>
  <si>
    <t>http://167.99.3.143/microsoftkimakichut/?phone=+1-(888)-355-4958&amp;amp;</t>
  </si>
  <si>
    <t>167.99.9.140</t>
  </si>
  <si>
    <t>6000b056d7ef2</t>
  </si>
  <si>
    <t>http://167.99.9.140/microsoftkimakichut/?phone=+1-(888)-339-7850&amp;amp;</t>
  </si>
  <si>
    <t>straping932.gq</t>
  </si>
  <si>
    <t>104.21.27.8</t>
  </si>
  <si>
    <t>6000b07250ae7</t>
  </si>
  <si>
    <t>https://straping932.gq/N0rt0nDhelpli0nexY8030765/Win8884sec0urity0119yy88/</t>
  </si>
  <si>
    <t>142.93.203.223</t>
  </si>
  <si>
    <t>6001d0cb133e4</t>
  </si>
  <si>
    <t>http://142.93.203.223/miw/?phone=+1-(888)-356-0943&amp;amp;</t>
  </si>
  <si>
    <t>167.99.226.124</t>
  </si>
  <si>
    <t>6001d94537ae3</t>
  </si>
  <si>
    <t>http://167.99.226.124/miw/?phone=+1-(888)-347-0207&amp;amp;</t>
  </si>
  <si>
    <t>6001d83d701d7</t>
  </si>
  <si>
    <t>http://167.99.226.124/miw/?phone=+1-(888)-353-6904&amp;amp;</t>
  </si>
  <si>
    <t>pcjdmnr.online</t>
  </si>
  <si>
    <t>198.54.114.241</t>
  </si>
  <si>
    <t>602194b90cec6</t>
  </si>
  <si>
    <t>https://pcjdmnr.online/euscrx01/iergx01/index.html?htmc=D451JGPIEP</t>
  </si>
  <si>
    <t>bsfdrxz.online</t>
  </si>
  <si>
    <t>60022cdd469b4</t>
  </si>
  <si>
    <t>https://bsfdrxz.online/ysfirx01/njporx-0373/iegcx/index.php</t>
  </si>
  <si>
    <t>2www.cocszs6a3q.win</t>
  </si>
  <si>
    <t>172.67.133.131</t>
  </si>
  <si>
    <t>6065e7d43f733</t>
  </si>
  <si>
    <t>https://2www.cocszs6a3q.win/10674/Edgch/index.html</t>
  </si>
  <si>
    <t>brightbilling.online</t>
  </si>
  <si>
    <t>60070464d4cfe</t>
  </si>
  <si>
    <t>https://brightbilling.online/codemasgss/MAfdfffdgfgfgdfgdfgf-188CtySS/</t>
  </si>
  <si>
    <t>600703f94cc9e</t>
  </si>
  <si>
    <t>https://brightbilling.online/codemasgss/EDfdfffdgfgfgdfgdfgfMPr88CtySS/</t>
  </si>
  <si>
    <t>600703cea6169</t>
  </si>
  <si>
    <t>https://brightbilling.online/codemasgss/FFfdfffdgfgfgdfgdfgfMPr88CtySS/</t>
  </si>
  <si>
    <t>6007039c82340</t>
  </si>
  <si>
    <t>https://brightbilling.online/codemasgss/CHfdfffdgfgfgdfgdfgfMPr88CtySS/</t>
  </si>
  <si>
    <t>aforeground394.gq</t>
  </si>
  <si>
    <t>172.67.179.207</t>
  </si>
  <si>
    <t>6007007a2c420</t>
  </si>
  <si>
    <t>https://aforeground394.gq/dasd-ad0as-d0as-d0asd.jjnf/CHfdfd888247ucode0xhelpms88811x/index.html</t>
  </si>
  <si>
    <t>agopher335.gq</t>
  </si>
  <si>
    <t>172.67.191.115</t>
  </si>
  <si>
    <t>600700fa454f5</t>
  </si>
  <si>
    <t>https://agopher335.gq/sad-asd0as-das0d-asd.jjhbf/CHfdfd888247ucode0xhelpms88811/index.html</t>
  </si>
  <si>
    <t>318-getyourpcfixedfgnfjnfgn.azurewebsites.net</t>
  </si>
  <si>
    <t>20.49.97.5</t>
  </si>
  <si>
    <t>60119cfc36095</t>
  </si>
  <si>
    <t>https://318-getyourpcfixedfgnfjnfgn.azurewebsites.net/MicOSoCHPC017528240X00/</t>
  </si>
  <si>
    <t>032getyourpcfixedhmhmhmh.azurewebsites.net</t>
  </si>
  <si>
    <t>6005e7bedf44e</t>
  </si>
  <si>
    <t>https://032getyourpcfixedhmhmhmh.azurewebsites.net/MicOSoEDPC017528240X00/</t>
  </si>
  <si>
    <t>167.172.225.93</t>
  </si>
  <si>
    <t>6006a84ff34f4</t>
  </si>
  <si>
    <t>http://167.172.225.93/systemerror-mac/?phone=.&amp;amp;</t>
  </si>
  <si>
    <t>6005ef856afdb</t>
  </si>
  <si>
    <t>http://167.172.225.93/systemerror-win-chx/?phone=.&amp;amp;</t>
  </si>
  <si>
    <t>ainheritance653.ga</t>
  </si>
  <si>
    <t>104.21.51.153</t>
  </si>
  <si>
    <t>600705b73499e</t>
  </si>
  <si>
    <t>https://ainheritance653.ga/das-d0asd-asd0as-das0d-asd0.bfrd/CHfdfd888247ucode0xhelpms88811x/index.html</t>
  </si>
  <si>
    <t>online-billpay.site</t>
  </si>
  <si>
    <t>172.67.185.229</t>
  </si>
  <si>
    <t>600709279b9cc</t>
  </si>
  <si>
    <t>https://online-billpay.site/codemasgss/EDfdfffdgfgfgdfgdfgfMPr88CtySS/</t>
  </si>
  <si>
    <t>60070921a6cce</t>
  </si>
  <si>
    <t>https://online-billpay.site/codemasgss/FFfdfffdgfgfgdfgdfgfMPr88CtySS/</t>
  </si>
  <si>
    <t>60070871cb74c</t>
  </si>
  <si>
    <t>https://online-billpay.site/codemasgss/CHfdfffdgfgfgdfgdfgfMPr88CtySS/</t>
  </si>
  <si>
    <t>104.21.51.209</t>
  </si>
  <si>
    <t>60070936404fb</t>
  </si>
  <si>
    <t>https://online-billpay.site/codemasgss/MAfdfffdgfgfgdfgdfgf-188CtySS/</t>
  </si>
  <si>
    <t>6007092e45490</t>
  </si>
  <si>
    <t>https://online-billpay.site/codemasgss/CEDfdfffdgfgfgdfgdfgfMPr88CtySS</t>
  </si>
  <si>
    <t>142.93.5.185</t>
  </si>
  <si>
    <t>60070e869ec82</t>
  </si>
  <si>
    <t>http://142.93.5.185/www/?phone=+1-(888)-340-4341&amp;amp;</t>
  </si>
  <si>
    <t>60070d8a0aad6</t>
  </si>
  <si>
    <t>http://142.93.5.185/www/?phone=+1-(888)-349-7564&amp;amp;</t>
  </si>
  <si>
    <t>60070c3e25e64</t>
  </si>
  <si>
    <t>http://142.93.5.185/www/?phone=+1-(888)-320-6762&amp;amp;</t>
  </si>
  <si>
    <t>54.163.9.16</t>
  </si>
  <si>
    <t>60070ccbeeb50</t>
  </si>
  <si>
    <t>http://54.163.9.16/us1325/windows/newe/index.php?source=21a420901e1202f7aa900d95f859219e</t>
  </si>
  <si>
    <t>hopeful-keldysh.108-61-215-202.plesk.page</t>
  </si>
  <si>
    <t>108.61.215.202</t>
  </si>
  <si>
    <t>60070ef4ba38f</t>
  </si>
  <si>
    <t>https://hopeful-keldysh.108-61-215-202.plesk.page/WinFhelpxcodexwin444IEeX/</t>
  </si>
  <si>
    <t>teithromamarir.tk</t>
  </si>
  <si>
    <t>104.21.11.5</t>
  </si>
  <si>
    <t>Romania</t>
  </si>
  <si>
    <t>60071108f2a4b</t>
  </si>
  <si>
    <t>https://teithromamarir.tk//sv/IE/?subid=1525-12340-20210119200313f39d5&amp;amp;number=1(888)347-28-82</t>
  </si>
  <si>
    <t>billpayaccess.site</t>
  </si>
  <si>
    <t>104.21.65.226</t>
  </si>
  <si>
    <t>600715c195c07</t>
  </si>
  <si>
    <t>https://billpayaccess.site//codemasgss/MAfdfffdgfgfgdfgdfgf-188CtySS/</t>
  </si>
  <si>
    <t>600715b972584</t>
  </si>
  <si>
    <t>https://billpayaccess.site/codemasgss/CEDfdfffdgfgfgdfgdfgfMPr88CtySS</t>
  </si>
  <si>
    <t>60071529c5595</t>
  </si>
  <si>
    <t>https://billpayaccess.site/codemasgss/CHfdfffdgfgfgdfgdfgfMPr88CtySS/</t>
  </si>
  <si>
    <t>172.67.193.135</t>
  </si>
  <si>
    <t>600715b45170a</t>
  </si>
  <si>
    <t>https://billpayaccess.site//codemasgss/EDfdfffdgfgfgdfgdfgfMPr88CtySS/</t>
  </si>
  <si>
    <t>getexperthelp5ajsgfh.xyz</t>
  </si>
  <si>
    <t>162.0.232.240</t>
  </si>
  <si>
    <t>602c50fbf33be</t>
  </si>
  <si>
    <t>http://getexperthelp5ajsgfh.xyz/bEEMIN00101CH00YY1888/</t>
  </si>
  <si>
    <t>geeksupp4user16shjio.xyz</t>
  </si>
  <si>
    <t>602434b211b66</t>
  </si>
  <si>
    <t>http://geeksupp4user16shjio.xyz/MicOSoCHPC017528240X00/</t>
  </si>
  <si>
    <t>getsupport9.xyz</t>
  </si>
  <si>
    <t>602319305de0b</t>
  </si>
  <si>
    <t>http://getsupport9.xyz/MicOSoMACPC017528240X00/</t>
  </si>
  <si>
    <t>livepcassist16fagxcv.xyz</t>
  </si>
  <si>
    <t>60246ab8e5f61</t>
  </si>
  <si>
    <t>http://livepcassist16fagxcv.xyz/MicOSoCHPC017528240X00/</t>
  </si>
  <si>
    <t>helpdeskassistt8.xyz</t>
  </si>
  <si>
    <t>6022c1f282515</t>
  </si>
  <si>
    <t>http://helpdeskassistt8.xyz/MicOSoCHPC017528240X00/</t>
  </si>
  <si>
    <t>onsutton.com</t>
  </si>
  <si>
    <t>600720add1c7b</t>
  </si>
  <si>
    <t>http://onsutton.com/MicOSoCHPC017528240X00/</t>
  </si>
  <si>
    <t>167.99.151.252</t>
  </si>
  <si>
    <t>60071ecabed93</t>
  </si>
  <si>
    <t>http://167.99.151.252/www/?phone=+1-(888)-381-7103&amp;amp;</t>
  </si>
  <si>
    <t>5www.fli96xzirf.win</t>
  </si>
  <si>
    <t>104.21.96.55</t>
  </si>
  <si>
    <t>60071fbb73163</t>
  </si>
  <si>
    <t>https://5www.fli96xzirf.win/us4654134/Edgch/index.html</t>
  </si>
  <si>
    <t>206.189.233.14</t>
  </si>
  <si>
    <t>600726fc8bf01</t>
  </si>
  <si>
    <t>http://206.189.233.14/www/?phone=+1-(888)-306-6558&amp;amp;</t>
  </si>
  <si>
    <t>206.189.200.158</t>
  </si>
  <si>
    <t>6007273fe1f48</t>
  </si>
  <si>
    <t>http://206.189.200.158/www/?phone=+1-(888)-297-0568&amp;amp;</t>
  </si>
  <si>
    <t>104.248.231.170</t>
  </si>
  <si>
    <t>600736f858646</t>
  </si>
  <si>
    <t>http://104.248.231.170/www/?phone=+1-(888)-399-8195&amp;amp;</t>
  </si>
  <si>
    <t>6007354f7109d</t>
  </si>
  <si>
    <t>http://104.248.231.170/www/?phone=+1-(888)-288-6775&amp;amp;</t>
  </si>
  <si>
    <t>uswhsbe.online</t>
  </si>
  <si>
    <t>198.187.29.44</t>
  </si>
  <si>
    <t>60091ef82ac0a</t>
  </si>
  <si>
    <t>https://uswhsbe.online/otchrx01-g245644s6-x546s-sf5s98dv4x-vx5d46-xv5x5787s64-x5874sw-xs54a-ewref/nchrx-5848/index.html</t>
  </si>
  <si>
    <t>adignite856.ga</t>
  </si>
  <si>
    <t>104.21.9.223</t>
  </si>
  <si>
    <t>60085d1349543</t>
  </si>
  <si>
    <t>https://adignite856.ga/N0rt0nDhelpli0nexY3038388/Win8884sec0urity0119yy88/</t>
  </si>
  <si>
    <t>104.131.24.116</t>
  </si>
  <si>
    <t>http://104.131.24.116/systemerror-win-chx/?phone=.&amp;amp;</t>
  </si>
  <si>
    <t>104.248.231.100</t>
  </si>
  <si>
    <t>60073886d143f</t>
  </si>
  <si>
    <t>http://104.248.231.100/www/?phone=+1-(888)-345-3033&amp;amp;</t>
  </si>
  <si>
    <t>securemyserverip87325839.xyz</t>
  </si>
  <si>
    <t>104.168.245.61</t>
  </si>
  <si>
    <t>6009014b7335f</t>
  </si>
  <si>
    <t>https://securemyserverip87325839.xyz/as8d7gsdu98v9s8d/important/W8YY1080n0Ma0S7cu0r0it0yCH008R1YYS0/</t>
  </si>
  <si>
    <t>routline222.ga</t>
  </si>
  <si>
    <t>172.67.202.161</t>
  </si>
  <si>
    <t>600778f833ad2</t>
  </si>
  <si>
    <t>https://routline222.ga/JPfsdd-sdds0s0-4485.inf0y/XkfsdbfMSdCHhfj1188xMM/</t>
  </si>
  <si>
    <t>6007780c78f56</t>
  </si>
  <si>
    <t>https://routline222.ga/JPfsdd-sdds0s0-4485.inf0y/XkfsdbfMSdFFhfj1188xMM/</t>
  </si>
  <si>
    <t>a0foreground022.ga</t>
  </si>
  <si>
    <t>104.21.59.102</t>
  </si>
  <si>
    <t>600877ee4be38</t>
  </si>
  <si>
    <t>https://a0foreground022.ga/sa-das0d-asd0as-d0asd-as0.hbw/WWfSecu0ritCHsdSHsdfd888SH/</t>
  </si>
  <si>
    <t>128.199.216.3</t>
  </si>
  <si>
    <t>6008c12d2ac8f</t>
  </si>
  <si>
    <t>http://128.199.216.3/learningpoint/classroom/W8YY1080n0Ma0S7cu0r0it0yCH008R1YYS0/?sub1=D45KEGEHPW&amp;amp;sub2=QoRw08&amp;amp;sub3=gygw432ixqw3w5zliuew</t>
  </si>
  <si>
    <t>6008bef2f38c7</t>
  </si>
  <si>
    <t>http://128.199.216.3/learningpoint/classroom/W8YY1080n0Ma0S7cu0r0it0yCH008R1YYS0/?sub1=D45KEGEHPW&amp;amp;sub2=QoRw08&amp;amp;sub3=gygwitx7q9zeiuzbx3hh</t>
  </si>
  <si>
    <t>mpjpvy.club</t>
  </si>
  <si>
    <t>172.67.157.148</t>
  </si>
  <si>
    <t>60087920e03ec</t>
  </si>
  <si>
    <t>https://mpjpvy.club/_0_Win_Hp018O_do_ws_H3p_YP__XYlS_rA/aLheeu_6wSY_hgT/u1l__e_b/?n_b=MSg4NDQpMzA0IDQ0NzU=&amp;amp;s_1=63-587</t>
  </si>
  <si>
    <t>fiberoptics539.gq</t>
  </si>
  <si>
    <t>104.21.29.119</t>
  </si>
  <si>
    <t>60087975bec58</t>
  </si>
  <si>
    <t>https://fiberoptics539.gq/asd-asd0sa-d0sa-das0d-as0das-0d.hhfdv/WWfSecu0ritCHsdSHsdfd888SH/</t>
  </si>
  <si>
    <t>204.48.23.197</t>
  </si>
  <si>
    <t>60087b6ad8288</t>
  </si>
  <si>
    <t>http://204.48.23.197/19w/?phone=+1-(888)-397-9525&amp;amp;</t>
  </si>
  <si>
    <t>128.199.109.52</t>
  </si>
  <si>
    <t>60087c5a90563</t>
  </si>
  <si>
    <t>http://128.199.109.52/onlineclass/forstudy/W8YY1080n0Ma0S7cu0r0it0yCH008R1YYS0/?sub1=D45KEGEHPW&amp;amp;sub2=QoRw08&amp;amp;sub3=gygw8kikvumfmb0f2ppe</t>
  </si>
  <si>
    <t>178.128.153.125</t>
  </si>
  <si>
    <t>60087de8187d6</t>
  </si>
  <si>
    <t>http://178.128.153.125/19w/?phone=+1-(888)-366-2990&amp;amp;</t>
  </si>
  <si>
    <t>142.93.2.120</t>
  </si>
  <si>
    <t>6008820a0dd09</t>
  </si>
  <si>
    <t>http://142.93.2.120/19w/?phone=+1-(888)-399-4823&amp;amp;</t>
  </si>
  <si>
    <t>5www.6oud57v6y3.win</t>
  </si>
  <si>
    <t>172.67.196.225</t>
  </si>
  <si>
    <t>6008c24c1c295</t>
  </si>
  <si>
    <t>https://5www.6oud57v6y3.win/us9844535/Edgch/index.html</t>
  </si>
  <si>
    <t>aexacute856.ga</t>
  </si>
  <si>
    <t>104.21.29.39</t>
  </si>
  <si>
    <t>6008915fbd755</t>
  </si>
  <si>
    <t>https://aexacute856.ga/N0rt0nDhelpli0nexY3040023/Win8884sec0urity0119yy88/</t>
  </si>
  <si>
    <t>188.166.178.4</t>
  </si>
  <si>
    <t>6008acdce8e61</t>
  </si>
  <si>
    <t>http://188.166.178.4/onlinestudy/classroom/W8YY1080n0Ma0S7cu0r0it0yCH008R1YYS0/?sub1=D45KEGEHPW&amp;amp;sub2=QoRw08&amp;amp;sub3=gygwuwha5cenhr408vig</t>
  </si>
  <si>
    <t>a0gateway494.ga</t>
  </si>
  <si>
    <t>172.67.147.139</t>
  </si>
  <si>
    <t>6008aee1e66fa</t>
  </si>
  <si>
    <t>https://a0gateway494.ga/N0rt0nDhelpli0nexY957499/Win8884sec0urity0119yy88/</t>
  </si>
  <si>
    <t>3.250.35.222</t>
  </si>
  <si>
    <t>6009568e59325</t>
  </si>
  <si>
    <t>http://3.250.35.222/supreme/krant.html?=02-808-05-71</t>
  </si>
  <si>
    <t>600955fb94825</t>
  </si>
  <si>
    <t>http://3.250.35.222/obama/care.html?=0670-309-1029</t>
  </si>
  <si>
    <t>0resusability490.ga</t>
  </si>
  <si>
    <t>104.21.2.162</t>
  </si>
  <si>
    <t>6009a7ccc9c3d</t>
  </si>
  <si>
    <t>https://0resusability490.ga/eqw-dfs0fs-f0sdf-sd0fsd-fsd-f-sd0f-sd.gsgey/WWfSecu0ritCHsdSHsdfd888SH/</t>
  </si>
  <si>
    <t>0routline393.ga</t>
  </si>
  <si>
    <t>172.67.219.168</t>
  </si>
  <si>
    <t>6009aa46aeb1e</t>
  </si>
  <si>
    <t>https://0routline393.ga/s-das0d-asd0as-d0asd-as0d-asd0sa9.gbd/WWfSecu0ritCHsdSHsdfd888SH/</t>
  </si>
  <si>
    <t>modularworld.site</t>
  </si>
  <si>
    <t>172.67.201.57</t>
  </si>
  <si>
    <t>600ae37e91e58</t>
  </si>
  <si>
    <t>https://modularworld.site/codemasgss/MAfdfffdgfgfgdfgdfgf-188CtySS/</t>
  </si>
  <si>
    <t>teacofebar.site</t>
  </si>
  <si>
    <t>104.21.0.244</t>
  </si>
  <si>
    <t>600ae8646aec9</t>
  </si>
  <si>
    <t>https://teacofebar.site/codemasgss/MAfdfffdgfgfgdfgdfgf-188CtySS</t>
  </si>
  <si>
    <t>600ae8441c79e</t>
  </si>
  <si>
    <t>https://teacofebar.site/codemasgss/EDfdfffdgfgfgdfgdfgfMPr88CtySS</t>
  </si>
  <si>
    <t>600ae7a2a231c</t>
  </si>
  <si>
    <t>https://teacofebar.site/codemasgss/CHfdfffdgfgfgdfgdfgfMPr88CtySS/</t>
  </si>
  <si>
    <t>104.21.85.27</t>
  </si>
  <si>
    <t>600ae3513a48b</t>
  </si>
  <si>
    <t>https://modularworld.site/codemasgss/EDfdfffdgfgfgdfgdfgfMPr88CtySS/</t>
  </si>
  <si>
    <t>600ae33b9671f</t>
  </si>
  <si>
    <t>https://modularworld.site/codemasgss/FFfdfffdgfgfgdfgdfgfMPr88CtySS/</t>
  </si>
  <si>
    <t>600ae3127cd71</t>
  </si>
  <si>
    <t>https://modularworld.site/codemasgss/CHfdfffdgfgfgdfgdfgfMPr88CtySS/</t>
  </si>
  <si>
    <t>600ae361085e1</t>
  </si>
  <si>
    <t>https://modularworld.site/codemasgss/CEDfdfffdgfgfgdfgdfgfMPr88CtySS/</t>
  </si>
  <si>
    <t>159.89.203.47</t>
  </si>
  <si>
    <t>6009ada1f416b</t>
  </si>
  <si>
    <t>http://159.89.203.47/onlinestudy/schoolroom/W8YY1080n0Ma0S7cu0r0it0yCH008R1YYS0/?sub1=D4ZOCGEHPW&amp;amp;sub2=228491.&amp;amp;sub3=gygwjw0p3ku4jc7raw77</t>
  </si>
  <si>
    <t>68.183.113.220</t>
  </si>
  <si>
    <t>6009ec2fe7461</t>
  </si>
  <si>
    <t>http://68.183.113.220/19w/?phone=+1-(888)-384-2295&amp;amp;</t>
  </si>
  <si>
    <t>172.67.151.124</t>
  </si>
  <si>
    <t>600ae85791c2d</t>
  </si>
  <si>
    <t>https://teacofebar.site/codemasgss/CEDfdfffdgfgfgdfgdfgfMPr88CtySS</t>
  </si>
  <si>
    <t>600ae825d4513</t>
  </si>
  <si>
    <t>https://teacofebar.site/codemasgss/FFfdfffdgfgfgdfgdfgfMPr88CtySS/</t>
  </si>
  <si>
    <t>159.65.12.163</t>
  </si>
  <si>
    <t>6009d7b702856</t>
  </si>
  <si>
    <t>http://159.65.12.163/onlineclass/schoolroom/W8YY1080n0Ma0S7cu0r0it0yCH008R1YYS0/?sub1=D45N7GEHPW&amp;amp;sub2=6e0w95&amp;amp;sub3=gygwgkae1e6hpfke8mjz</t>
  </si>
  <si>
    <t>206.189.65.49</t>
  </si>
  <si>
    <t>6009dfafd99e0</t>
  </si>
  <si>
    <t>http://206.189.65.49/systemerror-win-chx/?phone=.&amp;amp;</t>
  </si>
  <si>
    <t>encapsulation865.cf</t>
  </si>
  <si>
    <t>172.67.162.246</t>
  </si>
  <si>
    <t>6011ca6add846</t>
  </si>
  <si>
    <t>https://encapsulation865.cf/N0rt0nDhelpli0nexY970845/Win8884sec0urity0119yy88/</t>
  </si>
  <si>
    <t>collision595.gq</t>
  </si>
  <si>
    <t>6009e65307f76</t>
  </si>
  <si>
    <t>https://collision595.gq/N0rt0nDhelpli0nexY1854813/Win8884sec0urity0119yy88/</t>
  </si>
  <si>
    <t>b3dfg.s3.amazonaws.com</t>
  </si>
  <si>
    <t>52.217.94.196</t>
  </si>
  <si>
    <t>6009e6ce084cc</t>
  </si>
  <si>
    <t>https://b3dfg.s3.amazonaws.com/index.html</t>
  </si>
  <si>
    <t>decofloors.online</t>
  </si>
  <si>
    <t>172.67.135.235</t>
  </si>
  <si>
    <t>600af5139640b</t>
  </si>
  <si>
    <t>https://decofloors.online/codemasgss/CEDfdfffdgfgfgdfgdfgfMPr88CtySS/</t>
  </si>
  <si>
    <t>600af50976923</t>
  </si>
  <si>
    <t>https://decofloors.online/codemasgss/FFfdfffdgfgfgdfgdfgfMPr88CtySS/</t>
  </si>
  <si>
    <t>600af4f790546</t>
  </si>
  <si>
    <t>https://decofloors.online/codemasgss/CHfdfffdgfgfgdfgdfgfMPr88CtySS/</t>
  </si>
  <si>
    <t>104.21.7.88</t>
  </si>
  <si>
    <t>600af519ba46b</t>
  </si>
  <si>
    <t>https://decofloors.online/codemasgss/MAfdfffdgfgfgdfgdfgf-188CtySS/</t>
  </si>
  <si>
    <t>600af50e83d8f</t>
  </si>
  <si>
    <t>https://decofloors.online/codemasgss/EDfdfffdgfgfgdfgdfgfMPr88CtySS/</t>
  </si>
  <si>
    <t>159.65.6.134</t>
  </si>
  <si>
    <t>600af71d0587b</t>
  </si>
  <si>
    <t>http://159.65.6.134/onlineclass/forlearning/W8YY1080n0Ma0S7cu0r0it0yCH008R1YYS0/</t>
  </si>
  <si>
    <t>600af6c0bbaca</t>
  </si>
  <si>
    <t>http://159.65.6.134/onlineclass/forlearning/W8YY1080n0Ma0S7cu0r0it0yCH008R1YYS0/?sub1=D41JCGEHPW&amp;amp;sub2=23578849&amp;amp;sub3=gygwdlq72bq8jtsmn3cf&amp;amp;sub</t>
  </si>
  <si>
    <t>142.93.117.10</t>
  </si>
  <si>
    <t>600af8f503bba</t>
  </si>
  <si>
    <t>http://142.93.117.10/19w/?phone=+1-(888)-319-8517&amp;amp;</t>
  </si>
  <si>
    <t>600af89a8c4e0</t>
  </si>
  <si>
    <t>http://142.93.117.10/19w/?phone=+1-(888)-348-1017&amp;amp;</t>
  </si>
  <si>
    <t>600af883c0053</t>
  </si>
  <si>
    <t>http://142.93.117.10/19w/?phone=+1-(888)-373-4192&amp;amp;</t>
  </si>
  <si>
    <t>600af8786b332</t>
  </si>
  <si>
    <t>http://142.93.117.10/19w/?phone=+1-(888)-634-5304&amp;amp;</t>
  </si>
  <si>
    <t>a0bitmapped653.ga</t>
  </si>
  <si>
    <t>104.21.31.166</t>
  </si>
  <si>
    <t>600b053fc91ea</t>
  </si>
  <si>
    <t>https://a0bitmapped653.ga/d0asd9as0d9asda-sa0das-d0as-d0a.hedd/WWfSecu0ritCHsdSHsdfd888SH/</t>
  </si>
  <si>
    <t>142.93.6.168</t>
  </si>
  <si>
    <t>600c44aa136e6</t>
  </si>
  <si>
    <t>http://142.93.6.168/osw/?phone=+1-(888)-301-4143&amp;amp;</t>
  </si>
  <si>
    <t>600c44a64612d</t>
  </si>
  <si>
    <t>http://142.93.6.168/osw/?phone=+1-(888)-401-4439&amp;amp;</t>
  </si>
  <si>
    <t>a0cellrelay403.ga</t>
  </si>
  <si>
    <t>104.21.49.141</t>
  </si>
  <si>
    <t>600b170c879e9</t>
  </si>
  <si>
    <t>https://a0cellrelay403.ga/sdfsdfsdf-sd0fs-df0sd-.hhed/W880n01xmse0cur0it0yCH008VP8YCB/</t>
  </si>
  <si>
    <t>winsolitaire.site</t>
  </si>
  <si>
    <t>104.21.58.127</t>
  </si>
  <si>
    <t>600afd3c0da4d</t>
  </si>
  <si>
    <t>https://winsolitaire.site/codemasgss/CHfdfffdgfgfgdfgdfgfMPr88CtySS/</t>
  </si>
  <si>
    <t>600afd3adf708</t>
  </si>
  <si>
    <t>https://winsolitaire.site/codemasgss/EDfdfffdgfgfgdfgdfgfMPr88CtySS/</t>
  </si>
  <si>
    <t>161.35.181.35</t>
  </si>
  <si>
    <t>600b19b4494e5</t>
  </si>
  <si>
    <t>http://161.35.181.35/2546/10DEC_win_mac12133572546/W880n01xmse0cur0it0yCH008VP8YCB/</t>
  </si>
  <si>
    <t>68.183.129.104</t>
  </si>
  <si>
    <t>600b1e03e7d39</t>
  </si>
  <si>
    <t>http://68.183.129.104/osw/?phone=+1-(888)-397-7685&amp;amp;</t>
  </si>
  <si>
    <t>600b1dfa04255</t>
  </si>
  <si>
    <t>http://68.183.129.104/osw/?phone=+1-(888)-370-4674&amp;amp;</t>
  </si>
  <si>
    <t>68.183.129.111</t>
  </si>
  <si>
    <t>600b1ee0a4a93</t>
  </si>
  <si>
    <t>http://68.183.129.111/osw/?phone=+1-(888)-392-5485&amp;amp;</t>
  </si>
  <si>
    <t>2www.szq83uj7bo.win</t>
  </si>
  <si>
    <t>172.67.186.166</t>
  </si>
  <si>
    <t>600b24ca410ae</t>
  </si>
  <si>
    <t>https://2www.szq83uj7bo.win/us9794685/Edgch/index.html</t>
  </si>
  <si>
    <t>sxokix.club</t>
  </si>
  <si>
    <t>104.21.40.243</t>
  </si>
  <si>
    <t>600b2fc2c0de8</t>
  </si>
  <si>
    <t>https://sxokix.club/__Win_do_ws___1mAiWCNC_9_/_UKmTY65aA_5/_wM_blv/?n_b=MSg4NDQpMzAzIDQ5OTI=&amp;amp;s_1=s1239_6Hoke53hQnnAAUR4aFkEoT</t>
  </si>
  <si>
    <t>0dignite555.cf</t>
  </si>
  <si>
    <t>104.21.52.252</t>
  </si>
  <si>
    <t>600b324553549</t>
  </si>
  <si>
    <t>https://0dignite555.cf/N0rt0nDhelpli0nexY3985585/Win8884sec0urity0119yy88/</t>
  </si>
  <si>
    <t>gdtdtr.site</t>
  </si>
  <si>
    <t>144.202.2.7</t>
  </si>
  <si>
    <t>600b40705a3ff</t>
  </si>
  <si>
    <t>https://gdtdtr.site/W88SH0n01xm888se0cur0it0yCH008/index.html</t>
  </si>
  <si>
    <t>159.65.13.139</t>
  </si>
  <si>
    <t>600b42911113f</t>
  </si>
  <si>
    <t>http://159.65.13.139/learningclass/forstudy/W8YY1080n0Ma0S7cu0r0it0yCH008R1YYS0/?sub1=D45KEGEHPW&amp;amp;sub2=QoRw08&amp;amp;sub3=gygwp7n6gb7gof4c25vy&amp;amp;sub4=</t>
  </si>
  <si>
    <t>600b4152e063c</t>
  </si>
  <si>
    <t>http://159.65.13.139/learningclass/forstudy/W8YY1080n0Ma0S7cu0r0it0yCH008R1YYS0/?sub1=D45KEGEHPW&amp;amp;sub2=QoRw08&amp;amp;sub3=gygw0ig99m0trp13oh5i&amp;amp;sub4=</t>
  </si>
  <si>
    <t>4www.fspzzctpt3.win</t>
  </si>
  <si>
    <t>104.21.24.236</t>
  </si>
  <si>
    <t>600dbd00bc4bf</t>
  </si>
  <si>
    <t>https://4www.fspzzctpt3.win/7357/Edgch/index.html</t>
  </si>
  <si>
    <t>159.65.76.47</t>
  </si>
  <si>
    <t>600b4ea48ac07</t>
  </si>
  <si>
    <t>http://159.65.76.47/systemerror-win-chx/?phone=.&amp;amp;</t>
  </si>
  <si>
    <t>hgfsdyt7.ml</t>
  </si>
  <si>
    <t>140.82.2.166</t>
  </si>
  <si>
    <t>600c8380276cf</t>
  </si>
  <si>
    <t>https://hgfsdyt7.ml/W88SH0n01xm888se0cur0it0yCH008/index.html</t>
  </si>
  <si>
    <t>www.yegvtegf5.tk</t>
  </si>
  <si>
    <t>149.28.56.113</t>
  </si>
  <si>
    <t>600c9df415cbd</t>
  </si>
  <si>
    <t>https://www.yegvtegf5.tk/W88SH0n01xm888se0cur0it0yIE008/index.html</t>
  </si>
  <si>
    <t>yegvtegf5.tk</t>
  </si>
  <si>
    <t>600c98b6d2806</t>
  </si>
  <si>
    <t>https://yegvtegf5.tk/W88SH0n01xm888se0cur0it0yCH008/index.html</t>
  </si>
  <si>
    <t>setcvgy4.tk</t>
  </si>
  <si>
    <t>216.155.157.145</t>
  </si>
  <si>
    <t>600ca3718bdd4</t>
  </si>
  <si>
    <t>https://setcvgy4.tk/W88SH0n01xm888se0cur0it0yCH008/index.html</t>
  </si>
  <si>
    <t>l5hghgjjhhjhj.s3.amazonaws.com</t>
  </si>
  <si>
    <t>52.216.171.83</t>
  </si>
  <si>
    <t>600d770f020b1</t>
  </si>
  <si>
    <t>https://l5hghgjjhhjhj.s3.amazonaws.com/index.html</t>
  </si>
  <si>
    <t>a0dignite532.ga</t>
  </si>
  <si>
    <t>104.21.2.30</t>
  </si>
  <si>
    <t>600d792b92e11</t>
  </si>
  <si>
    <t>https://a0dignite532.ga/N0rt0nDhelpli0nexY962717/Win8884sec0urity0119yy88/</t>
  </si>
  <si>
    <t>greenlinelandscape.online</t>
  </si>
  <si>
    <t>172.67.222.216</t>
  </si>
  <si>
    <t>600eef0db36b5</t>
  </si>
  <si>
    <t>https://greenlinelandscape.online/codemasgss/EDfdfffdgfgfgdfgdfgfMPr88CtySS/</t>
  </si>
  <si>
    <t>600eef054a2c1</t>
  </si>
  <si>
    <t>https://greenlinelandscape.online/codemasgss/FFfdfffdgfgfgdfgdfgfMPr88CtySS/</t>
  </si>
  <si>
    <t>600eee578b8b6</t>
  </si>
  <si>
    <t>https://greenlinelandscape.online/codemasgss/CEDfdfffdgfgfgdfgdfgfMPr88CtySS/</t>
  </si>
  <si>
    <t>600eeeff50516</t>
  </si>
  <si>
    <t>https://greenlinelandscape.online/codemasgss/CHfdfffdgfgfgdfgdfgfMPr88CtySS/</t>
  </si>
  <si>
    <t>68.183.130.188</t>
  </si>
  <si>
    <t>600eef7c54123</t>
  </si>
  <si>
    <t>http://68.183.130.188/osw/?phone=+1-(888)-386-0795&amp;amp;</t>
  </si>
  <si>
    <t>600eef77ecd5d</t>
  </si>
  <si>
    <t>http://68.183.130.188/osw/?phone=+1-(888)-640-3032&amp;amp;</t>
  </si>
  <si>
    <t>204.48.24.120</t>
  </si>
  <si>
    <t>600f04ce5d8c3</t>
  </si>
  <si>
    <t>http://204.48.24.120/osw/?phone=+1-(888)-391-8736&amp;amp;</t>
  </si>
  <si>
    <t>mmnbvxcfdrt7yhd678uhgfth567uhdtr6798-env.ap-southeast-2.elasticbeanst</t>
  </si>
  <si>
    <t>52.63.30.34</t>
  </si>
  <si>
    <t>600f13be04409</t>
  </si>
  <si>
    <t>http://mmnbvxcfdrt7yhd678uhgfth567uhdtr6798-env.ap-southeast-2.elasticbeanstalk.com/t7348rwbauwf7824fgewjhfgwa4uft73fbh4f78a34fua4fguyftu74fufgyg7ft487f</t>
  </si>
  <si>
    <t>a0bootup483.gq</t>
  </si>
  <si>
    <t>104.21.5.171</t>
  </si>
  <si>
    <t>600f0ecb85a70</t>
  </si>
  <si>
    <t>https://a0bootup483.gq/as-da0sd-as0d-as0das-d0asd0sa-d0.ghed/W8YY0n01xmse0AN77cur0it0yCH00YY1888/</t>
  </si>
  <si>
    <t>3www.hy1ils28si.win</t>
  </si>
  <si>
    <t>172.67.134.176</t>
  </si>
  <si>
    <t>600f1b0460c5c</t>
  </si>
  <si>
    <t>https://3www.hy1ils28si.win/7966/Edgch/index.html</t>
  </si>
  <si>
    <t>wurixy.club</t>
  </si>
  <si>
    <t>104.21.20.165</t>
  </si>
  <si>
    <t>600f1e6fce8dd</t>
  </si>
  <si>
    <t>https://wurixy.club/__Win_do_ws___1mAiWCNC_9_/_UKmTY65aA_5/_wM_blv/?n_b=MSg4NDQpMjk0IDI0NDM=&amp;amp;s_1=s1239_6Hoke53hQnnAAUR4aFkEoT</t>
  </si>
  <si>
    <t>104.248.74.146</t>
  </si>
  <si>
    <t>600f1d48e9392</t>
  </si>
  <si>
    <t>http://104.248.74.146/systemerror-win-chx/?phone=.&amp;amp;</t>
  </si>
  <si>
    <t>resusability102.gq</t>
  </si>
  <si>
    <t>172.67.206.225</t>
  </si>
  <si>
    <t>600f1f57d1411</t>
  </si>
  <si>
    <t>https://resusability102.gq/N0rt0nDhelpli0nexY443524/Win8884sec0urity0119yy88/</t>
  </si>
  <si>
    <t>mosaic584.gq</t>
  </si>
  <si>
    <t>104.21.56.198</t>
  </si>
  <si>
    <t>600f30bd9ba91</t>
  </si>
  <si>
    <t>https://mosaic584.gq/JPfsdd-sdds0s0-4485.inf0y/XkfsdbfMSdFFhfj1188xMM/</t>
  </si>
  <si>
    <t>172.67.136.171</t>
  </si>
  <si>
    <t>600f336f39ab2</t>
  </si>
  <si>
    <t>https://mosaic584.gq/JPfsdd-sdds0s0-4485.inf0y/XkfsdbfMSdCHhfj1188xMM/</t>
  </si>
  <si>
    <t>1www.bs7pbawadn.win</t>
  </si>
  <si>
    <t>172.67.222.240</t>
  </si>
  <si>
    <t>600f53aa820b3</t>
  </si>
  <si>
    <t>https://1www.bs7pbawadn.win/6592/Edgch/index.html</t>
  </si>
  <si>
    <t>www.dletmefityou.xyz</t>
  </si>
  <si>
    <t>165.22.231.183</t>
  </si>
  <si>
    <t>60146eee71925</t>
  </si>
  <si>
    <t>https://www.dletmefityou.xyz/5732def_Edge_New_updated/Winhelpxcode8080xwinEDerrorxxdc/</t>
  </si>
  <si>
    <t>www.aletmefityou.xyz</t>
  </si>
  <si>
    <t>600f4df7a4ec2</t>
  </si>
  <si>
    <t>https://www.aletmefityou.xyz/0836def_Edge_New_updated/Winhelpxcode8080xwinCHerrorxxdc/</t>
  </si>
  <si>
    <t>hyeqzv.club</t>
  </si>
  <si>
    <t>172.67.199.244</t>
  </si>
  <si>
    <t>6011b996c6241</t>
  </si>
  <si>
    <t>https://hyeqzv.club/__Windo_ws_gRA45_3__F_S_PANr____z/60G_2Z__IlS6UzRk6F__d0/dNT_4vOvT/?n_b=MSg4NDQpMjk4IDIwMzM=&amp;amp;s_1=s1239_3sjMxx2BR96k2KiqvH4nFa</t>
  </si>
  <si>
    <t>201-45d4g54-sdg-5.s3-ap-southeast-2.amazonaws.com</t>
  </si>
  <si>
    <t>52.95.134.38</t>
  </si>
  <si>
    <t>6011ba247c22a</t>
  </si>
  <si>
    <t>https://201-45d4g54-sdg-5.s3-ap-southeast-2.amazonaws.com/index.html</t>
  </si>
  <si>
    <t>89hfyrg.tk</t>
  </si>
  <si>
    <t>155.138.226.207</t>
  </si>
  <si>
    <t>601051a39f248</t>
  </si>
  <si>
    <t>https://89hfyrg.tk/CHdffdfdfdf80808080Y0081188SD/index.html</t>
  </si>
  <si>
    <t>142.93.205.94</t>
  </si>
  <si>
    <t>601051e00e095</t>
  </si>
  <si>
    <t>http://142.93.205.94/osw/?phone=+1-(888)-598-1413&amp;amp;</t>
  </si>
  <si>
    <t>159.65.8.91</t>
  </si>
  <si>
    <t>6011bdb9f3465</t>
  </si>
  <si>
    <t>http://159.65.8.91/books/study/PC818181818HElpcodemCHxd8/?sub1=D45NDGEHPW&amp;amp;sub2=6e0w95&amp;amp;sub3=gygwkta4jxpsalfcv681&amp;amp;sub4=158.222.184.115&amp;amp;sub</t>
  </si>
  <si>
    <t>0procedure585.gq</t>
  </si>
  <si>
    <t>172.67.178.212</t>
  </si>
  <si>
    <t>6011bdb5cb043</t>
  </si>
  <si>
    <t>https://0procedure585.gq/N0rt0nDhelpli0nexY764002/Win8884sec0urity0119yy88/</t>
  </si>
  <si>
    <t>104.248.176.91</t>
  </si>
  <si>
    <t>6011f58fa1ca1</t>
  </si>
  <si>
    <t>http://104.248.176.91/systemerror-win-chx/?phone=.&amp;amp;</t>
  </si>
  <si>
    <t>c11fgdfg.s3.amazonaws.com</t>
  </si>
  <si>
    <t>52.216.112.235</t>
  </si>
  <si>
    <t>6012123db4074</t>
  </si>
  <si>
    <t>https://c11fgdfg.s3.amazonaws.com/index.html</t>
  </si>
  <si>
    <t>serveripaddress3402734.xyz</t>
  </si>
  <si>
    <t>104.168.146.163</t>
  </si>
  <si>
    <t>6011d0fa6921a</t>
  </si>
  <si>
    <t>https://serveripaddress3402734.xyz/LKhji4758xqikmdKJLH8268/KJHJHjhesg837423958kjdLKJSF42/PC818181818HElpcodemCHxd8/index.html</t>
  </si>
  <si>
    <t>167.99.15.45</t>
  </si>
  <si>
    <t>6011d1dc3f411</t>
  </si>
  <si>
    <t>http://167.99.15.45/00000000wwwwwwwwww0000000wwwwwwwww000000000ww0w0w0w0/?phone=+1-(888)-532-2990&amp;amp;</t>
  </si>
  <si>
    <t>159.65.130.103</t>
  </si>
  <si>
    <t>6014295714fa5</t>
  </si>
  <si>
    <t>http://159.65.130.103/online/work/PC818181818HElpcodemCHxd8/?sub1=D5E52GEHPW&amp;amp;sub2=276050&amp;amp;sub3=gygw67oe1q3h77mbk8sh&amp;amp;sub4=104.186.255.83&amp;amp;s</t>
  </si>
  <si>
    <t>60142f78ca85e</t>
  </si>
  <si>
    <t>http://159.65.130.103/online/work/PC818181818HElpcodemMAxd8/index.php</t>
  </si>
  <si>
    <t>167.99.176.26</t>
  </si>
  <si>
    <t>60131512626b9</t>
  </si>
  <si>
    <t>http://167.99.176.26/a2/a1/W8YY0n01xmse0AN77001cur0it0yCH00YY1888/</t>
  </si>
  <si>
    <t>0inheritance483.ga</t>
  </si>
  <si>
    <t>172.67.145.90</t>
  </si>
  <si>
    <t>601391a486579</t>
  </si>
  <si>
    <t>https://0inheritance483.ga/N0rt0nDhelpli0nexY897650/Win8884sec0urity0119yy88/</t>
  </si>
  <si>
    <t>157.245.255.9</t>
  </si>
  <si>
    <t>601327a03ca6c</t>
  </si>
  <si>
    <t>http://157.245.255.9/00000000wwwwwwwwww0000000wwwwwwwww000000000ww0w0w0w0/?phone=+1-(888)-577-1851&amp;amp;</t>
  </si>
  <si>
    <t>60132743ebf38</t>
  </si>
  <si>
    <t>http://157.245.255.9/00000000wwwwwwwwww0000000wwwwwwwww000000000ww0w0w0w0/?phone=+1-(888)-605-1454&amp;amp;</t>
  </si>
  <si>
    <t>157.245.247.254</t>
  </si>
  <si>
    <t>6013288fd3fb0</t>
  </si>
  <si>
    <t>http://157.245.247.254/00000000wwwwwwwwww0000000wwwwwwwww000000000ww0w0w0w0/?phone=+1-(888)-613-5315&amp;amp;</t>
  </si>
  <si>
    <t>6013288a0f096</t>
  </si>
  <si>
    <t>http://157.245.247.254/00000000wwwwwwwwww0000000wwwwwwwww000000000ww0w0w0w0/?phone=+1-(888)-616-5036&amp;amp;</t>
  </si>
  <si>
    <t>601328834f19c</t>
  </si>
  <si>
    <t>http://157.245.247.254/00000000wwwwwwwwww0000000wwwwwwwww000000000ww0w0w0w0/?phone=+1-(888)-616-3485&amp;amp;</t>
  </si>
  <si>
    <t>68.183.121.19</t>
  </si>
  <si>
    <t>601444c25a6d2</t>
  </si>
  <si>
    <t>http://68.183.121.19/00000000wwwwwwwwww0000000wwwwwwwww000000000ww0w0w0w0/?phone=+1-(888)-585-3732&amp;amp;</t>
  </si>
  <si>
    <t>68.183.126.28</t>
  </si>
  <si>
    <t>6014480f69704</t>
  </si>
  <si>
    <t>http://68.183.126.28/00000000wwwwwwwwww0000000wwwwwwwww000000000ww0w0w0w0/?phone=+1-(888)-616-4936&amp;amp;</t>
  </si>
  <si>
    <t>68.183.126.38</t>
  </si>
  <si>
    <t>60144c48527de</t>
  </si>
  <si>
    <t>http://68.183.126.38/00000000wwwwwwwwww0000000wwwwwwwww000000000ww0w0w0w0/?phone=+1-(888)-610-3214&amp;amp;</t>
  </si>
  <si>
    <t>resusability489.gq</t>
  </si>
  <si>
    <t>172.67.219.210</t>
  </si>
  <si>
    <t>60144dd5634b2</t>
  </si>
  <si>
    <t>https://resusability489.gq/0-asd0a-das0d-as0das-das-da0sd-asasd.hhbcf/W8YY0n01xmse0AN77001cur0it0yCH00YY1888/</t>
  </si>
  <si>
    <t>iouhmhr.club</t>
  </si>
  <si>
    <t>172.67.159.251</t>
  </si>
  <si>
    <t>60144dfee8afc</t>
  </si>
  <si>
    <t>https://iouhmhr.club/__Windo_ws_gRA45_3__F_S_PANr____z/60G_2Z__IlS6UzRk6F__d0/dNT_4vOvT/?n_b=MSg4ODgpMjkxIDYxOTA=&amp;amp;s_1=1412-226facb5a6</t>
  </si>
  <si>
    <t>Cramlington</t>
  </si>
  <si>
    <t>mcsocorp.ga</t>
  </si>
  <si>
    <t>31.22.4.67</t>
  </si>
  <si>
    <t>60367bd19fcf7</t>
  </si>
  <si>
    <t>http://mcsocorp.ga/WinEDS03erroe2win-02Repor443E2s2-W2nmEing2Q01ki/?phone=+1-(865)-395-6838&amp;amp;</t>
  </si>
  <si>
    <t>mcsocorp.ml</t>
  </si>
  <si>
    <t>6035415b7f7ac</t>
  </si>
  <si>
    <t>http://mcsocorp.ml/WinEDS03erroe2win-02Repor443E2s2-W2nmEing2Q01ki?phone=+1-(865)-395-6838&amp;amp;</t>
  </si>
  <si>
    <t>canbeloopx.cf</t>
  </si>
  <si>
    <t>602d40b6b8f24</t>
  </si>
  <si>
    <t>http://canbeloopx.cf/erroe2win-02Repor443E2s2-W2nmEing2Q01ki/?phone=+1-(865)-888-8139&amp;amp;</t>
  </si>
  <si>
    <t>winkoxz.tk</t>
  </si>
  <si>
    <t>6026ceb0c6837</t>
  </si>
  <si>
    <t>http://winkoxz.tk/wewewr2EWDX3e43424242242424/?phone=+1-(844)-271-9171&amp;amp;</t>
  </si>
  <si>
    <t>iyewinus.cf</t>
  </si>
  <si>
    <t>6025578835aa7</t>
  </si>
  <si>
    <t>http://iyewinus.cf/erroe2win-02Repor443E2s2-W2nmEing2Q01ki/?phone=+1-(865)-888-8139&amp;amp;</t>
  </si>
  <si>
    <t>Newcastle upon Tyne</t>
  </si>
  <si>
    <t>ipjiwinusa.gq</t>
  </si>
  <si>
    <t>6022c2d95414d</t>
  </si>
  <si>
    <t>http://ipjiwinusa.gq/erroe2win-02Repor443E2s2-W2nmEing2Q01ki/?phone=+1-(844)-271-9171&amp;amp;</t>
  </si>
  <si>
    <t>mcsxvbh.cf</t>
  </si>
  <si>
    <t>601ecda11d23c</t>
  </si>
  <si>
    <t>http://mcsxvbh.cf/wewewr2EWDX3e43424242242424/?phone=+1-(844)-271-9171&amp;amp;</t>
  </si>
  <si>
    <t>mscaiop.ml</t>
  </si>
  <si>
    <t>601c62a6bb87d</t>
  </si>
  <si>
    <t>https://mscaiop.ml/wewewr2EWDX3e43424242242424/?phone=+1-(844)-271-9171</t>
  </si>
  <si>
    <t>mscaiop.tk</t>
  </si>
  <si>
    <t>601c1b9010e5a</t>
  </si>
  <si>
    <t>http://mscaiop.tk/erroe2win-02Repor443E2s2-W2nmEing2Q01ki/?phone=+1-(844)-271-9171&amp;amp;</t>
  </si>
  <si>
    <t>reachtowinml.samdigitalservice.site</t>
  </si>
  <si>
    <t>60199ce42bdcd</t>
  </si>
  <si>
    <t>http://reachtowinml.samdigitalservice.site/erroe2win-02Repor443E2s2-W2nmEing2Q01ki/?phone=+1-(844)-271-9171&amp;amp;</t>
  </si>
  <si>
    <t>reachtowin.ga</t>
  </si>
  <si>
    <t>60198ed772753</t>
  </si>
  <si>
    <t>http://reachtowin.ga/erroe2win-02Repor443E2s2-W2nmEing2Q01ki/?phone=+1-(844)-271-9171&amp;amp;</t>
  </si>
  <si>
    <t>reachtowin.tk</t>
  </si>
  <si>
    <t>60198087a75f2</t>
  </si>
  <si>
    <t>http://reachtowin.tk/erroe2win-02Repor443E2s2-W2nmEing2Q01ki/?phone=+1-(844)-271-9171&amp;amp;</t>
  </si>
  <si>
    <t>reduceimb.ml</t>
  </si>
  <si>
    <t>60184cf584734</t>
  </si>
  <si>
    <t>http://reduceimb.ml/wini292no3290203032024j2/?phone=+1-(844)-271-9171&amp;amp;</t>
  </si>
  <si>
    <t>kinetics.gq</t>
  </si>
  <si>
    <t>60158ae1a3cd7</t>
  </si>
  <si>
    <t>http://kinetics.gq/wini292no3290203032024j2/?phone=+1-(865)-888-8139&amp;amp;</t>
  </si>
  <si>
    <t>kinetics.ga</t>
  </si>
  <si>
    <t>601454b28ad1b</t>
  </si>
  <si>
    <t>http://kinetics.ga/wini292no3290203032024j2/?phone=+1-(865)-888-8139&amp;amp;</t>
  </si>
  <si>
    <t>68.183.113.120</t>
  </si>
  <si>
    <t>6014554ec2287</t>
  </si>
  <si>
    <t>http://68.183.113.120/00000000wwwwwwwwww0000000wwwwwwwww000000000ww0w0w0w0/?phone=+1-(888)-596-8949&amp;amp;</t>
  </si>
  <si>
    <t>601454c3d9e0b</t>
  </si>
  <si>
    <t>http://68.183.113.120/00000000wwwwwwwwww0000000wwwwwwwww000000000ww0w0w0w0/?phone=+1-(888)-615-5695&amp;amp;</t>
  </si>
  <si>
    <t>0emoticon584.ml</t>
  </si>
  <si>
    <t>172.67.129.126</t>
  </si>
  <si>
    <t>60146c2f08df9</t>
  </si>
  <si>
    <t>https://0emoticon584.ml/JPfsdd-sdds0s0-4838.inf0bm/XkfsdbfMSdFFhfj1188xMM/</t>
  </si>
  <si>
    <t>601469f1ddfcd</t>
  </si>
  <si>
    <t>https://0emoticon584.ml/JPfsdd-sdds0s0-4838.inf0bm/XkfsdbfMSdCHhfj1188xMM/</t>
  </si>
  <si>
    <t>68.183.141.57</t>
  </si>
  <si>
    <t>60146e0314779</t>
  </si>
  <si>
    <t>http://68.183.141.57/00000000wwwwwwwwww0000000wwwwwwwww000000000ww0w0w0w0/?phone=+1-(888)-597-9285&amp;amp;</t>
  </si>
  <si>
    <t>mpibswb.club</t>
  </si>
  <si>
    <t>172.67.208.222</t>
  </si>
  <si>
    <t>6014704f4f146</t>
  </si>
  <si>
    <t>https://mpibswb.club/__Windo_ws_gRA45_3__F_S_PANr____z/60G_2Z__IlS6UzRk6F__d0/dNT_4vOvT/?n_b=MSg4NDQpMzA0IDQwMjI=&amp;amp;s_1=63-22852753522447</t>
  </si>
  <si>
    <t>3www.8c4ykvqsvy.win</t>
  </si>
  <si>
    <t>172.67.205.169</t>
  </si>
  <si>
    <t>601470959415b</t>
  </si>
  <si>
    <t>https://3www.8c4ykvqsvy.win/1125/Edgch/index.html</t>
  </si>
  <si>
    <t>www.mcriti.ga</t>
  </si>
  <si>
    <t>104.248.72.252</t>
  </si>
  <si>
    <t>601478f84d250</t>
  </si>
  <si>
    <t>https://www.mcriti.ga/WF8YY1080n0AScu0r0it0yED008R1YFYSF0FZ/</t>
  </si>
  <si>
    <t>104.248.121.107</t>
  </si>
  <si>
    <t>601479127dbad</t>
  </si>
  <si>
    <t>http://104.248.121.107/00000000wwwwwwwwww0000000wwwwwwwww000000000ww0w0w0w0/?phone=+1-(888)-616-5047&amp;amp;</t>
  </si>
  <si>
    <t>601479016e30a</t>
  </si>
  <si>
    <t>http://104.248.121.107/00000000wwwwwwwwww0000000wwwwwwwww000000000ww0w0w0w0/?phone=+1-(888)-615-4109&amp;amp;</t>
  </si>
  <si>
    <t>104.248.115.147</t>
  </si>
  <si>
    <t>60148224dec1b</t>
  </si>
  <si>
    <t>http://104.248.115.147/00000000wwwwwwwwww0000000wwwwwwwww000000000ww0w0w0w0/?phone=+1-(888)-611-9073&amp;amp;</t>
  </si>
  <si>
    <t>104.248.125.33</t>
  </si>
  <si>
    <t>6014815ddba20</t>
  </si>
  <si>
    <t>http://104.248.125.33/00000000wwwwwwwwww0000000wwwwwwwww000000000ww0w0w0w0/?phone=+1-(888)-611-9073&amp;amp;</t>
  </si>
  <si>
    <t>68.183.104.112</t>
  </si>
  <si>
    <t>6014893cd36c2</t>
  </si>
  <si>
    <t>http://68.183.104.112/00000000wwwwwwwwww0000000wwwwwwwww000000000ww0w0w0w0/?phone=+1-(888)-553-8434&amp;amp;</t>
  </si>
  <si>
    <t>e8e8acf82d5b796c93d541abecb39.xyz</t>
  </si>
  <si>
    <t>162.0.209.141</t>
  </si>
  <si>
    <t>6015aa2e5f80f</t>
  </si>
  <si>
    <t>https://e8e8acf82d5b796c93d541abecb39.xyz/</t>
  </si>
  <si>
    <t>104.248.235.250</t>
  </si>
  <si>
    <t>6015aac2d5634</t>
  </si>
  <si>
    <t>http://104.248.235.250/00000000wwwwwwwwww0000000wwwwwwwww000000000ww0w0w0w0/?phone=+1-(888)-610-5345&amp;amp;</t>
  </si>
  <si>
    <t>68.183.16.32</t>
  </si>
  <si>
    <t>6015bab55fe73</t>
  </si>
  <si>
    <t>http://68.183.16.32/00000000wwwwwwwwww0000000wwwwwwwww000000000ww0w0w0w0/?phone=+1-(888)-594-5015&amp;amp;</t>
  </si>
  <si>
    <t>objec0tive823.gq</t>
  </si>
  <si>
    <t>172.67.209.25</t>
  </si>
  <si>
    <t>6015bc8969195</t>
  </si>
  <si>
    <t>https://objec0tive823.gq/N0rt0nDhelpli0nexY6087214/WinY8884sec0urity0119yyY88Y/</t>
  </si>
  <si>
    <t>167.99.107.143</t>
  </si>
  <si>
    <t>6015bdd56cce9</t>
  </si>
  <si>
    <t>http://167.99.107.143/systemerror-win-chx/?phone=.&amp;amp;</t>
  </si>
  <si>
    <t>3www.gx0888zhf0.win</t>
  </si>
  <si>
    <t>104.21.88.109</t>
  </si>
  <si>
    <t>6016f18e054fb</t>
  </si>
  <si>
    <t>https://3www.gx0888zhf0.win/1477/Edgch/index.html</t>
  </si>
  <si>
    <t>mqzdbyhp.ga</t>
  </si>
  <si>
    <t>172.67.144.22</t>
  </si>
  <si>
    <t>6018427d39297</t>
  </si>
  <si>
    <t>https://mqzdbyhp.ga/__Windo_ws_gRA45_3__F_S_PANr____z/60G_2Z__IlS6UzRk6F__d0/dNT_4vOvT/?n_b=MSg4NDQpMzAzIDQxODk=&amp;amp;s_1=s358_818286</t>
  </si>
  <si>
    <t>601845f79706f</t>
  </si>
  <si>
    <t>https://mqzdbyhp.ga/__Windo_ws_gRA45_3__F_S_PANr____z/60G_2Z__IlS6UzRk6F__d0/dNT_4vOvT/?n_b=MSg4NDQpMzAzIDQxODk=&amp;amp;s_1=s744_796884</t>
  </si>
  <si>
    <t>54.247.4.212</t>
  </si>
  <si>
    <t>6017cc1f15eb3</t>
  </si>
  <si>
    <t>http://54.247.4.212/art/hetboek.html?=02-808-05-71</t>
  </si>
  <si>
    <t>9mxn5tyq.ga</t>
  </si>
  <si>
    <t>104.21.92.54</t>
  </si>
  <si>
    <t>601843fc48447</t>
  </si>
  <si>
    <t>https://9mxn5tyq.ga/__Windo_ws_gRA45_3__F_S_PANr____z/60G_2Z__IlS6UzRk6F__d0/dNT_4vOvT/?n_b=MSg4NDQpMzAzIDQxODk=&amp;amp;s_1=s358_818286</t>
  </si>
  <si>
    <t>dkx913g8.ga</t>
  </si>
  <si>
    <t>172.67.203.26</t>
  </si>
  <si>
    <t>601845c9adbe1</t>
  </si>
  <si>
    <t>https://dkx913g8.ga/__Windo_ws_gRA45_3__F_S_PANr____z/60G_2Z__IlS6UzRk6F__d0/dNT_4vOvT/?n_b=MSg4NDQpMzAzIDQxODk=&amp;amp;s_1=s744_796884</t>
  </si>
  <si>
    <t>35.202.0.180</t>
  </si>
  <si>
    <t>6018545f11d58</t>
  </si>
  <si>
    <t>http://35.202.0.180/WinhelpxcodexwinCHsys88880101010102/</t>
  </si>
  <si>
    <t>accomadate383.ga</t>
  </si>
  <si>
    <t>104.21.61.201</t>
  </si>
  <si>
    <t>601848544ca07</t>
  </si>
  <si>
    <t>https://accomadate383.ga/XN0rt0nDhelpli0nexY3096353/WinY8884sec0urity0119yyY88Y/</t>
  </si>
  <si>
    <t>157.245.83.154</t>
  </si>
  <si>
    <t>60184ffcaca2a</t>
  </si>
  <si>
    <t>http://157.245.83.154/wwwwwwwwwwwwwwwwwwwwwwwwwwwwwwwwwwwwwwwwwwwwwwwwwwwwwwwwwwwwwwwwwwwwwwwwww/?phone=+1-(888)-616-7315&amp;amp;</t>
  </si>
  <si>
    <t>67.205.172.72</t>
  </si>
  <si>
    <t>6018494016bc7</t>
  </si>
  <si>
    <t>http://67.205.172.72/wwwwwwwwwwwwwwwwwwwwwwwwwwwwwwwwwwwwwwwwwwwwwwwwwwwwwwwwwwwwwwwwwwwwwwwwww/?phone=+1-(888)-515-8694&amp;amp;</t>
  </si>
  <si>
    <t>157.245.83.138</t>
  </si>
  <si>
    <t>60184cc16f3c4</t>
  </si>
  <si>
    <t>http://157.245.83.138/wwwwwwwwwwwwwwwwwwwwwwwwwwwwwwwwwwwwwwwwwwwwwwwwwwwwwwwwwwwwwwwwwwwwwwwwww/?phone=+1-(888)-616-3239&amp;amp;</t>
  </si>
  <si>
    <t>ecstatic-shockley.157-230-57-81.plesk.page</t>
  </si>
  <si>
    <t>157.230.57.81</t>
  </si>
  <si>
    <t>6018614c76826</t>
  </si>
  <si>
    <t>https://ecstatic-shockley.157-230-57-81.plesk.page/WinFhelpxcodexwin444CHeX/</t>
  </si>
  <si>
    <t>104.248.51.193</t>
  </si>
  <si>
    <t>60186644a0f1e</t>
  </si>
  <si>
    <t>http://104.248.51.193/wwwwwwwwwwwwwwwwwwwwwwwwwwwwwwwwwwwwwwwwwwwwwwwwwwwwwwwwwwwwwwwwwwwwwwwwww/?phone=+1-(888)-615-1658&amp;amp;</t>
  </si>
  <si>
    <t>601865031c079</t>
  </si>
  <si>
    <t>http://104.248.51.193/wwwwwwwwwwwwwwwwwwwwwwwwwwwwwwwwwwwwwwwwwwwwwwwwwwwwwwwwwwwwwwwwwwwwwwwwww/?phone=+1-(888)-607-3718&amp;amp;</t>
  </si>
  <si>
    <t>instantive722.gq</t>
  </si>
  <si>
    <t>172.67.184.134</t>
  </si>
  <si>
    <t>6018662e59b6d</t>
  </si>
  <si>
    <t>https://instantive722.gq/JPfsdd-sdds0s0-7409.inf0y/XkfsdbfMSdFFhfj1188xMM/</t>
  </si>
  <si>
    <t>b5fgbhgfh.s3.amazonaws.com</t>
  </si>
  <si>
    <t>52.217.13.180</t>
  </si>
  <si>
    <t>601867d2b8e38</t>
  </si>
  <si>
    <t>https://b5fgbhgfh.s3.amazonaws.com/index.html</t>
  </si>
  <si>
    <t>jo3rr2dh.gq</t>
  </si>
  <si>
    <t>104.21.71.27</t>
  </si>
  <si>
    <t>60186a33b9c4d</t>
  </si>
  <si>
    <t>https://jo3rr2dh.gq/__Windo_ws_gRA45_3__F_S_PANr____z/60G_2Z__IlS6UzRk6F__d0/dNT_4vOvT/?n_b=MSg4NDQpMzAzIDIyODI=&amp;amp;s_1=1193-345387240610051</t>
  </si>
  <si>
    <t>159.65.140.228</t>
  </si>
  <si>
    <t>60186f4433ec3</t>
  </si>
  <si>
    <t>http://159.65.140.228/news/portal/WMM0n01xmse0AN7cur0it0yCH008NV00/?sub1=D40KBGEHPW&amp;amp;sub2=6734-311182&amp;amp;sub3=gygwkn691soot5sdhjwe&amp;amp;sub4=158.222.</t>
  </si>
  <si>
    <t>104.21.84.9</t>
  </si>
  <si>
    <t>60187315eb2c1</t>
  </si>
  <si>
    <t>https://instantive722.gq/JPfsdd-sdds0s0-7409.inf0y/XkfsdbfMSdCHhfj1188xMM/</t>
  </si>
  <si>
    <t>128.199.180.122</t>
  </si>
  <si>
    <t>6018754d443ac</t>
  </si>
  <si>
    <t>http://128.199.180.122/online/books/WMM0n01xmse0AN7cur0it0yCH008NV00/?sub1=D7B9NGEHPW&amp;amp;sub2=puadultwinchrome&amp;amp;sub3=gygwwuw0akwwada19qyx&amp;amp;sub4=1</t>
  </si>
  <si>
    <t>xpillsnew.xyz</t>
  </si>
  <si>
    <t>104.236.38.111</t>
  </si>
  <si>
    <t>606454e2d3162</t>
  </si>
  <si>
    <t>http://xpillsnew.xyz/allsrce0281/</t>
  </si>
  <si>
    <t>6063359dd89c8</t>
  </si>
  <si>
    <t>https://xpillsnew.xyz/allsrce0281/</t>
  </si>
  <si>
    <t>www.ypillsnew.xyz</t>
  </si>
  <si>
    <t>6019ce7ae48dd</t>
  </si>
  <si>
    <t>https://www.ypillsnew.xyz/5732def_Edge_New_updated/Winhelpxcode8080xwinEDerrorxxdc/</t>
  </si>
  <si>
    <t>www.zpillsnew.xyz</t>
  </si>
  <si>
    <t>60188703e6bb5</t>
  </si>
  <si>
    <t>https://www.zpillsnew.xyz/5732def_Edge_New_updated/Winhelpxcode8080xwinEDerrorxxdc/</t>
  </si>
  <si>
    <t>mynewexp.s3-website-us-west-1.amazonaws.com</t>
  </si>
  <si>
    <t>52.219.112.131</t>
  </si>
  <si>
    <t>6018bdc849a4f</t>
  </si>
  <si>
    <t>http://mynewexp.s3-website-us-west-1.amazonaws.com/</t>
  </si>
  <si>
    <t>i0s.online</t>
  </si>
  <si>
    <t>162.0.209.241</t>
  </si>
  <si>
    <t>601987576f21c</t>
  </si>
  <si>
    <t>http://i0s.online/</t>
  </si>
  <si>
    <t>157.230.178.194</t>
  </si>
  <si>
    <t>6019854497c1b</t>
  </si>
  <si>
    <t>http://157.230.178.194/wwwwwwwwwwwwwwwwwwwwwwwwwwwwwwwwwwwwwwwwwwwwwwwwwwwwwwwwwwwwwwwwwwwwwwwwww/?phone=+1-(888)-598-2292&amp;amp;</t>
  </si>
  <si>
    <t>60198480b7ced</t>
  </si>
  <si>
    <t>http://157.230.178.194/?number=+1-(888)-615-0988</t>
  </si>
  <si>
    <t>findmatch.xyz</t>
  </si>
  <si>
    <t>148.66.138.121</t>
  </si>
  <si>
    <t>6019850ab5e26</t>
  </si>
  <si>
    <t>http://findmatch.xyz/787/EWPIYJIADQGMCVHUEGMHFRXEXZAKODXAIUXNQGDVIJQJA/</t>
  </si>
  <si>
    <t>onlineinforesearch.com</t>
  </si>
  <si>
    <t>69.163.239.168</t>
  </si>
  <si>
    <t>60198fa566be5</t>
  </si>
  <si>
    <t>http://onlineinforesearch.com/</t>
  </si>
  <si>
    <t>xcvfd12s.com</t>
  </si>
  <si>
    <t>107.180.41.38</t>
  </si>
  <si>
    <t>60198fe622e67</t>
  </si>
  <si>
    <t>http://xcvfd12s.com/</t>
  </si>
  <si>
    <t>pplkart.online</t>
  </si>
  <si>
    <t>162.0.232.36</t>
  </si>
  <si>
    <t>60199041865c3</t>
  </si>
  <si>
    <t>https://pplkart.online/</t>
  </si>
  <si>
    <t>157.230.48.147</t>
  </si>
  <si>
    <t>601999660d49b</t>
  </si>
  <si>
    <t>http://157.230.48.147/wwwwwwwwwwwwwwwwwwwwwwwwwwwwwwwwwwwwwwwwwwwwwwwwwwwwwwwwwwwwwwwwwwwwwwwwww/?phone=+1-(888)-615-6522&amp;amp;</t>
  </si>
  <si>
    <t>6019994b0e010</t>
  </si>
  <si>
    <t>http://157.230.48.147/wwwwwwwwwwwwwwwwwwwwwwwwwwwwwwwwwwwwwwwwwwwwwwwwwwwwwwwwwwwwwwwwwwwwwwwwww/?phone=+1-(888)-483-7204&amp;amp;</t>
  </si>
  <si>
    <t>dyfjb8zt.gq</t>
  </si>
  <si>
    <t>172.67.164.253</t>
  </si>
  <si>
    <t>60199f20cb044</t>
  </si>
  <si>
    <t>https://dyfjb8zt.gq/__Windo_ws__MQXik_OPx_kQh_F/v_1VmElh_7kpS__4/5r_DpxQA/?n_b=MSg4NDQpMzA0IDQyMTE=&amp;amp;s_1=s358_818286</t>
  </si>
  <si>
    <t>xkwcx19i.gq</t>
  </si>
  <si>
    <t>172.67.142.72</t>
  </si>
  <si>
    <t>60199fd49925c</t>
  </si>
  <si>
    <t>https://xkwcx19i.gq/__Windo_ws__MQXik_OPx_kQh_F/v_1VmElh_7kpS__4/5r_DpxQA/?n_b=MSg4NDQpMzA0IDQyMTE=&amp;amp;s_1=s358_818286</t>
  </si>
  <si>
    <t>4www.zwtjwvn20h.win</t>
  </si>
  <si>
    <t>104.21.46.223</t>
  </si>
  <si>
    <t>6019a7be45dc3</t>
  </si>
  <si>
    <t>https://4www.zwtjwvn20h.win/23088/Edgch/index.html</t>
  </si>
  <si>
    <t>recursing-shockley.138-197-214-44.plesk.page</t>
  </si>
  <si>
    <t>138.197.214.44</t>
  </si>
  <si>
    <t>6019a382e8936</t>
  </si>
  <si>
    <t>https://recursing-shockley.138-197-214-44.plesk.page/WinFhelpxcodexwin444CHeX/</t>
  </si>
  <si>
    <t>3www.zwtjwvn20h.win</t>
  </si>
  <si>
    <t>172.67.142.178</t>
  </si>
  <si>
    <t>6019a3fb30a2c</t>
  </si>
  <si>
    <t>https://3www.zwtjwvn20h.win/23088/Edgch/index.html</t>
  </si>
  <si>
    <t>104.248.150.252</t>
  </si>
  <si>
    <t>6019a44ad4b53</t>
  </si>
  <si>
    <t>http://104.248.150.252/onlineclass/forstudy/WMM0n01xmse0AN7cur0it0yCH008NV00/?sub1=D43O9GEHPW&amp;amp;sub2=6576-45148&amp;amp;sub3=gygwnrhq967is4dgbkvt&amp;amp;sub4</t>
  </si>
  <si>
    <t>143.110.214.227</t>
  </si>
  <si>
    <t>6019ae5e385f2</t>
  </si>
  <si>
    <t>http://143.110.214.227/7582j/W8YY0n01xmse0AN77001cur0it0yED00YY1888/</t>
  </si>
  <si>
    <t>buffer0byte475.ga</t>
  </si>
  <si>
    <t>104.21.28.183</t>
  </si>
  <si>
    <t>6019b5965acf0</t>
  </si>
  <si>
    <t>https://buffer0byte475.ga/XN0rt0nDhelpli0nexY952280/WinY8884sec0urity0119yyY88Y/</t>
  </si>
  <si>
    <t>209.97.161.48</t>
  </si>
  <si>
    <t>6019cc3acd5ff</t>
  </si>
  <si>
    <t>http://209.97.161.48/classonline/forlearning/WMM0n01xmse0AN7cur0it0yCH008NV00/?sub1=D40NHGEHPW&amp;amp;sub2=6734-311182&amp;amp;sub3=gygwyn1tmbh5l4v6b5gi&amp;amp;su</t>
  </si>
  <si>
    <t>157.245.254.228</t>
  </si>
  <si>
    <t>6019c51b9ee27</t>
  </si>
  <si>
    <t>http://157.245.254.228/wwwwwwwwwwwwwwwwwwwwwwwwwwwwwwwwwwwwwwwwwwwwwwwwwwwwwwwwwwwwwwwwwwwwwwwwww/?phone=+1-(888)-521-1857&amp;amp;</t>
  </si>
  <si>
    <t>www.aagdfzxcxzv.tk</t>
  </si>
  <si>
    <t>167.71.162.99</t>
  </si>
  <si>
    <t>6019cddb48539</t>
  </si>
  <si>
    <t>https://www.aagdfzxcxzv.tk/fsafdgfsgghbgjkfjkfj5541/feb2new/Winhelpxcode777securityCH00700x/index.html</t>
  </si>
  <si>
    <t>b10hfgh.s3.amazonaws.com</t>
  </si>
  <si>
    <t>52.217.81.236</t>
  </si>
  <si>
    <t>6019d4383cbcf</t>
  </si>
  <si>
    <t>https://b10hfgh.s3.amazonaws.com/index.html</t>
  </si>
  <si>
    <t>parity489.ga</t>
  </si>
  <si>
    <t>172.67.165.77</t>
  </si>
  <si>
    <t>6019d6f367520</t>
  </si>
  <si>
    <t>https://parity489.ga/XN0rt0nDhelpli0nexY6125027/WinY8884sec0urity0119yyY88Y/</t>
  </si>
  <si>
    <t>vjhzzmr3.gq</t>
  </si>
  <si>
    <t>172.67.168.109</t>
  </si>
  <si>
    <t>601adf034404d</t>
  </si>
  <si>
    <t>https://vjhzzmr3.gq/__Windo_ws_ababDadtYH__O_t/S__Apc41B9fE6tY/vwl_qk_q_t/?n_b=MSg4NDQpMzAyIDE2MjM=&amp;amp;s_1=s358_818286</t>
  </si>
  <si>
    <t>52.219.104.34</t>
  </si>
  <si>
    <t>601ae01553d46</t>
  </si>
  <si>
    <t>https://s3.us-east-2.amazonaws.com/ms-win-opoiuplko4479-0red02.us/index.with.out.pro.html</t>
  </si>
  <si>
    <t>157.230.188.146</t>
  </si>
  <si>
    <t>601aedd4f03fe</t>
  </si>
  <si>
    <t>http://157.230.188.146/wwwwwwwwwwwwwwwwwwwwwwwwwwwwwwwwwwwwwwwwwwwwwwwwwwwwwwwwwwwwwwwwwwwwwwwwww/?phone=+1-(888)-476-5609&amp;amp;</t>
  </si>
  <si>
    <t>601aed4071f4f</t>
  </si>
  <si>
    <t>http://157.230.188.146/wwwwwwwwwwwwwwwwwwwwwwwwwwwwwwwwwwwwwwwwwwwwwwwwwwwwwwwwwwwwwwwwwwwwwwwwww/?phone=+1-(888)-614-1255&amp;amp;</t>
  </si>
  <si>
    <t>68.183.235.175</t>
  </si>
  <si>
    <t>601af4f3708f7</t>
  </si>
  <si>
    <t>http://68.183.235.175/classroom/forstudy/WMM0n01xmse0AN7cur0it0yCH008NV00/?sub1=D45NDGEHPW&amp;amp;sub2=6e0w95&amp;amp;sub3=gygwpkx46oxomj2q16mb&amp;amp;sub4=158.22</t>
  </si>
  <si>
    <t>601af27f47496</t>
  </si>
  <si>
    <t>http://68.183.235.175/classroom/forstudy/WMM0n01xmse0AN7cur0it0yCH008NV00/?sub1=D45KEGEHPW&amp;amp;sub2=QoRw08&amp;amp;sub3=gygwmdoeloj3dhl66juy&amp;amp;sub4=158.22</t>
  </si>
  <si>
    <t>157.230.188.150</t>
  </si>
  <si>
    <t>601af4318de67</t>
  </si>
  <si>
    <t>http://157.230.188.150/wwwwwwwwwwwwwwwwwwwwwwwwwwwwwwwwwwwwwwwwwwwwwwwwwwwwwwwwwwwwwwwwwwwwwwwwww/?phone=+1-(888)-614-2052&amp;amp;</t>
  </si>
  <si>
    <t>3www.0ol6tfpsat.win</t>
  </si>
  <si>
    <t>172.67.170.222</t>
  </si>
  <si>
    <t>601af48926487</t>
  </si>
  <si>
    <t>https://3www.0ol6tfpsat.win/23088/Edgch/index.html</t>
  </si>
  <si>
    <t>68.183.189.76</t>
  </si>
  <si>
    <t>601b1ab0e5837</t>
  </si>
  <si>
    <t>http://68.183.189.76/studyroom/onlineclass/WMM0n01xmse0AN7cur0it0yCH008NV00/?sub1=D7B9NGEHPW&amp;amp;sub2=puadultwinchrome&amp;amp;sub3=gygwgrzdpwng6zd4mghq&amp;amp</t>
  </si>
  <si>
    <t>collision655.ml</t>
  </si>
  <si>
    <t>172.67.137.39</t>
  </si>
  <si>
    <t>601b1bd146c57</t>
  </si>
  <si>
    <t>https://collision655.ml/JPfsddf-d0fd-f0df-d0fds0-9383.info/XkfsdbfMSdFFhfj1188xMMx/</t>
  </si>
  <si>
    <t>www.esafeworld.xyz</t>
  </si>
  <si>
    <t>167.99.177.183</t>
  </si>
  <si>
    <t>601e1599e4166</t>
  </si>
  <si>
    <t>https://www.esafeworld.xyz/5732def_Edge_New_updated/Winhelpxcode8080xwinEDerrorxxdc/</t>
  </si>
  <si>
    <t>www.bsafeworld.xyz</t>
  </si>
  <si>
    <t>601d626c26180</t>
  </si>
  <si>
    <t>https://www.bsafeworld.xyz/5732def_Edge_New_updated/Winhelpxcode8080xwinCHerrorxxdc/</t>
  </si>
  <si>
    <t>601c7ba0cd140</t>
  </si>
  <si>
    <t>https://www.bsafeworld.xyz/5732def_Edge_New_updated/Winhelpxcode8080xwinEDerrorxxdc/</t>
  </si>
  <si>
    <t>www.asafeworld.xyz</t>
  </si>
  <si>
    <t>601d61f823672</t>
  </si>
  <si>
    <t>https://www.asafeworld.xyz/5732def_Edge_New_updated/Winhelpxcode8080xwinCHerrorxxdc/</t>
  </si>
  <si>
    <t>601b1d4b5b5f9</t>
  </si>
  <si>
    <t>https://www.asafeworld.xyz/5732def_Edge_New_updated/Winhelpxcode8080xwinEDerrorxxdc/</t>
  </si>
  <si>
    <t>138.68.25.164</t>
  </si>
  <si>
    <t>601b302eeb80d</t>
  </si>
  <si>
    <t>http://138.68.25.164/systemerror-win-chx/?phone=.&amp;amp;</t>
  </si>
  <si>
    <t>serveripaddress320359.xyz</t>
  </si>
  <si>
    <t>192.236.154.253</t>
  </si>
  <si>
    <t>601b73f31f6f9</t>
  </si>
  <si>
    <t>https://serveripaddress320359.xyz/LKhji4758xqikmdKJLH8268/KJHJHjhesg837423958kjdLKJSF42/PC818181818HElpcodemCHxd8/index.html</t>
  </si>
  <si>
    <t>34.254.243.135</t>
  </si>
  <si>
    <t>601bfa9bdafd4</t>
  </si>
  <si>
    <t>http://34.254.243.135/freddie/ljunberg.html?=051-042-0912</t>
  </si>
  <si>
    <t>601bfa038eddf</t>
  </si>
  <si>
    <t>http://34.254.243.135/snow/mobile.html?=+47-23-96-38-45</t>
  </si>
  <si>
    <t>54.170.167.243</t>
  </si>
  <si>
    <t>601c006ad8acd</t>
  </si>
  <si>
    <t>http://54.170.167.243/party/lines.html?=+33-01-84-14-27-02</t>
  </si>
  <si>
    <t>601bfd8705328</t>
  </si>
  <si>
    <t>http://54.170.167.243/rotter/dam.html?=030-808-0204</t>
  </si>
  <si>
    <t>3.250.18.109</t>
  </si>
  <si>
    <t>601c0146ca8a6</t>
  </si>
  <si>
    <t>http://3.250.18.109/castle/osaka.html?=02-808-05-71</t>
  </si>
  <si>
    <t>superbmatch.xyz</t>
  </si>
  <si>
    <t>174.138.62.108</t>
  </si>
  <si>
    <t>601c13177f11b</t>
  </si>
  <si>
    <t>https://superbmatch.xyz/alt/W8YY1080n0Mait0yFF008R1YYS0QU88/</t>
  </si>
  <si>
    <t>mail-serv10.online</t>
  </si>
  <si>
    <t>199.188.200.236</t>
  </si>
  <si>
    <t>602a8533dabe0</t>
  </si>
  <si>
    <t>https://mail-serv10.online/SELF/crazymarvel.com/rich/index1.html</t>
  </si>
  <si>
    <t>mail-webs09.online</t>
  </si>
  <si>
    <t>6025469332af5</t>
  </si>
  <si>
    <t>https://mail-webs09.online/POP/crazymarvel.com/rich/index1.html</t>
  </si>
  <si>
    <t>webmail-data28.online</t>
  </si>
  <si>
    <t>601d63656c27a</t>
  </si>
  <si>
    <t>https://webmail-data28.online/PC/crazymarvel.com/rich/index1.html</t>
  </si>
  <si>
    <t>web-searchf001.online</t>
  </si>
  <si>
    <t>601c17751f6ca</t>
  </si>
  <si>
    <t>https://web-searchf001.online/POP/crazymarvel.com/rich/index1.html</t>
  </si>
  <si>
    <t>601c13d3d84f3</t>
  </si>
  <si>
    <t>https://web-searchf001.online/HLT/crazymarvel.com/rich/index1.html</t>
  </si>
  <si>
    <t>AS50673</t>
  </si>
  <si>
    <t>Dronten</t>
  </si>
  <si>
    <t>gnuctt.magpieventure.com</t>
  </si>
  <si>
    <t>Serverius</t>
  </si>
  <si>
    <t>194.147.142.232</t>
  </si>
  <si>
    <t>ParsParvaSystemLLC</t>
  </si>
  <si>
    <t>601c15cfb6aee</t>
  </si>
  <si>
    <t>https://gnuctt.magpieventure.com/4502z/?VkjPBXFBWd=tMASQHjoNx</t>
  </si>
  <si>
    <t>server-webs031.online</t>
  </si>
  <si>
    <t>198.54.120.206</t>
  </si>
  <si>
    <t>601d62e2e36f6</t>
  </si>
  <si>
    <t>https://server-webs031.online/AD/crazymarvel.com/rich/index1.html</t>
  </si>
  <si>
    <t>mail-server0028.online</t>
  </si>
  <si>
    <t>601c167d38334</t>
  </si>
  <si>
    <t>https://mail-server0028.online/PC/crazymarvel.com/rich/index1.html</t>
  </si>
  <si>
    <t>skyhighttours.com</t>
  </si>
  <si>
    <t>162.0.209.130</t>
  </si>
  <si>
    <t>601c18ffa4967</t>
  </si>
  <si>
    <t>https://skyhighttours.com/systemerroralert4.tk/malwaredetected/callsupportnow/Winhelpxcode777securityCH00700x/index.html</t>
  </si>
  <si>
    <t>tastyclassics.site</t>
  </si>
  <si>
    <t>104.21.20.67</t>
  </si>
  <si>
    <t>601c1b26826fa</t>
  </si>
  <si>
    <t>https://tastyclassics.site/codemasgss/MAfdfffdgfgfgdfgdfgf-188CtySS/</t>
  </si>
  <si>
    <t>601c1a7de5dac</t>
  </si>
  <si>
    <t>https://tastyclassics.site/codemasgss/CEDfdfffdgfgfgdfgdfgfMPr88CtySS/</t>
  </si>
  <si>
    <t>172.67.191.217</t>
  </si>
  <si>
    <t>601c1b22b2759</t>
  </si>
  <si>
    <t>https://tastyclassics.site/codemasgss/EDfdfffdgfgfgdfgdfgfMPr88CtySS/</t>
  </si>
  <si>
    <t>601c1b1e24ce9</t>
  </si>
  <si>
    <t>https://tastyclassics.site/codemasgss/FFfdfffdgfgfgdfgdfgfMPr88CtySS/</t>
  </si>
  <si>
    <t>601c1b19db1dc</t>
  </si>
  <si>
    <t>https://tastyclassics.site/codemasgss/CHfdfffdgfgfgdfgdfgfMPr88CtySS/</t>
  </si>
  <si>
    <t>157.230.218.145</t>
  </si>
  <si>
    <t>601c1c3f698bc</t>
  </si>
  <si>
    <t>http://157.230.218.145/wwwwwwwwwwwwwwwwwwwwwwwwwwwwwwwwwwwwwwwwwwwwwwwwwwwwwwwwwwwwwwwwwwwwwwwwww/?phone=+1-(888)-513-8695&amp;amp;</t>
  </si>
  <si>
    <t>157.230.62.9</t>
  </si>
  <si>
    <t>601c40b970825</t>
  </si>
  <si>
    <t>http://157.230.62.9/wwwwwwwwwwwwwwwwwwwwwwwwwwwwwwwwwwwwwwwwwwwwwwwwwwwwwwwwwwwwwwwwwwwwwwwwww/?phone=+1-(888)-569-7018&amp;amp;</t>
  </si>
  <si>
    <t>gateway652.gq</t>
  </si>
  <si>
    <t>172.67.167.168</t>
  </si>
  <si>
    <t>601c2774650b1</t>
  </si>
  <si>
    <t>https://gateway652.gq/XN0rt0nDhelpli0nexY28107/WinY8884sec0urity0119yyY88Y/</t>
  </si>
  <si>
    <t>blissful-northcutt.161-35-104-77.plesk.page</t>
  </si>
  <si>
    <t>161.35.104.77</t>
  </si>
  <si>
    <t>601c32ba046a4</t>
  </si>
  <si>
    <t>https://blissful-northcutt.161-35-104-77.plesk.page/WinFhelpxcodexwin444CHeX/</t>
  </si>
  <si>
    <t>157.230.179.106</t>
  </si>
  <si>
    <t>601c37eb68d0f</t>
  </si>
  <si>
    <t>http://157.230.179.106/wwwwwwwwwwwwwwwwwwwwwwwwwwwwwwwwwwwwwwwwwwwwwwwwwwwwwwwwwwwwwwwwwwwwwwwwww/?phone=+1-(888)-601-7824&amp;amp;</t>
  </si>
  <si>
    <t>157.230.54.223</t>
  </si>
  <si>
    <t>601c55c14e02d</t>
  </si>
  <si>
    <t>http://157.230.54.223/wwwwwwwwwwwwwwwwwwwwwwwwwwwwwwwwwwwwwwwwwwwwwwwwwwwwwwwwwwwwwwwwwwwwwwwwww/?phone=+1-(888)-610-2169&amp;amp;</t>
  </si>
  <si>
    <t>157.230.84.86</t>
  </si>
  <si>
    <t>601c667d5fcaf</t>
  </si>
  <si>
    <t>http://157.230.84.86/wwwwwwwwwwwwwwwwwwwwwwwwwwwwwwwwwwwwwwwwwwwwwwwwwwwwwwwwwwwwwwwwwwwwwwwwww/?phone=+1-(888)-605-6417&amp;amp;</t>
  </si>
  <si>
    <t>601c642ca094e</t>
  </si>
  <si>
    <t>http://157.230.84.86/wwwwwwwwwwwwwwwwwwwwwwwwwwwwwwwwwwwwwwwwwwwwwwwwwwwwwwwwwwwwwwwwwwwwwwwwww/?phone=+1-(888)-614-0795&amp;amp;</t>
  </si>
  <si>
    <t>superbmatch.site</t>
  </si>
  <si>
    <t>134.122.27.198</t>
  </si>
  <si>
    <t>601d60eaddd2a</t>
  </si>
  <si>
    <t>https://superbmatch.site/today/W8YY1080n0Mait0yFF008R1YYS0QU88/</t>
  </si>
  <si>
    <t>myktyleu.gq</t>
  </si>
  <si>
    <t>172.67.154.33</t>
  </si>
  <si>
    <t>601dcb4162e3f</t>
  </si>
  <si>
    <t>https://myktyleu.gq/WdY_c__UWdH_Jrw0JEdd/_wWfp2f4_jGs8__QQLdd/R_Fl_iD2m8/?n_b=MSg4ODgpNjE0IDE5Mzk=&amp;amp;s_1=1412-c725c96ca0</t>
  </si>
  <si>
    <t>192.241.143.56</t>
  </si>
  <si>
    <t>601d7444ac13a</t>
  </si>
  <si>
    <t>http://192.241.143.56/wwwwwwwwwwwwwwwwwwwwwwwwwwwwwwwwwwwwwwwwwwwwwwwwwwwwwwwwwwwwwwwwwwwwwwwwww/?phone=+1-(888)-593-2389&amp;amp;</t>
  </si>
  <si>
    <t>104.248.229.203</t>
  </si>
  <si>
    <t>601d8dd3b7e7f</t>
  </si>
  <si>
    <t>http://104.248.229.203/spywarewindows/?phone=+1-(888)-593-2766&amp;amp;</t>
  </si>
  <si>
    <t>104.248.237.2</t>
  </si>
  <si>
    <t>601d90b709dbd</t>
  </si>
  <si>
    <t>http://104.248.237.2/spywarewindows/?phone=+1-(888)-598-3153&amp;amp;</t>
  </si>
  <si>
    <t>dig0nite456.cf</t>
  </si>
  <si>
    <t>172.64.131.34</t>
  </si>
  <si>
    <t>601d9b099d4e0</t>
  </si>
  <si>
    <t>https://dig0nite456.cf/XN0rt0nDhelpli0nexY1995578/WinY8884sec0urity0119yyY88Y/</t>
  </si>
  <si>
    <t>0e5eafbu.gq</t>
  </si>
  <si>
    <t>104.21.24.142</t>
  </si>
  <si>
    <t>601dcc279d0f4</t>
  </si>
  <si>
    <t>https://0e5eafbu.gq/WdY_c__UWdH_Jrw0JEdd/_wWfp2f4_jGs8__QQLdd/R_Fl_iD2m8/?n_b=MSg4NDQpMzAzIDk1NjE=&amp;amp;s_1=s744_796884</t>
  </si>
  <si>
    <t>7pvdg7qk.gq</t>
  </si>
  <si>
    <t>104.21.63.87</t>
  </si>
  <si>
    <t>601dcd1727fb6</t>
  </si>
  <si>
    <t>https://7pvdg7qk.gq/WdY_c__UWdH_Jrw0JEdd/_wWfp2f4_jGs8__QQLdd/R_Fl_iD2m8/?n_b=MSg4NDQpMzAzIDk1NjE=&amp;amp;s_1=s744_818286</t>
  </si>
  <si>
    <t>mountainvalleytree.online</t>
  </si>
  <si>
    <t>104.21.70.168</t>
  </si>
  <si>
    <t>601daba58ede9</t>
  </si>
  <si>
    <t>https://mountainvalleytree.online/codemasgss/CHfdfffdgfgfgdfgdfgfMPr88CtySS/</t>
  </si>
  <si>
    <t>601dab6771510</t>
  </si>
  <si>
    <t>https://mountainvalleytree.online/codemasgss/CEDfdfffdgfgfgdfgdfgfMPr88CtySS/</t>
  </si>
  <si>
    <t>172.67.137.184</t>
  </si>
  <si>
    <t>601dabf260b3f</t>
  </si>
  <si>
    <t>https://mountainvalleytree.online/codemasgss/MAfdfffdgfgfgdfgdfgf-188CtySS/</t>
  </si>
  <si>
    <t>601dabd3abe93</t>
  </si>
  <si>
    <t>https://mountainvalleytree.online/codemasgss/EDfdfffdgfgfgdfgdfgfMPr88CtySS</t>
  </si>
  <si>
    <t>601dabc80f34a</t>
  </si>
  <si>
    <t>https://mountainvalleytree.online/codemasgss/FFfdfffdgfgfgdfgdfgfMPr88CtySS/</t>
  </si>
  <si>
    <t>157.230.7.183</t>
  </si>
  <si>
    <t>601dad8279616</t>
  </si>
  <si>
    <t>http://157.230.7.183/wwwwwwwwwwwwwwwwwwwwwwwwwwwwwwwwwwwwwwwwwwwwwwwwwwwwwwwwwwwwwwwwwwwwwwwwww/?phone=+1-(888)-612-9862&amp;amp;</t>
  </si>
  <si>
    <t>172.67.218.251</t>
  </si>
  <si>
    <t>601dcf3f54482</t>
  </si>
  <si>
    <t>https://0e5eafbu.gq/WdY_c__UWdH_Jrw0JEdd/_wWfp2f4_jGs8__QQLdd/R_Fl_iD2m8/?n_b=MSg4NDQpMzAyIDUyNDc=&amp;amp;s_1=s1239_DKdfdiUXDPqFUHwHPZd5uF</t>
  </si>
  <si>
    <t>b7hghj.s3.amazonaws.com</t>
  </si>
  <si>
    <t>52.217.84.84</t>
  </si>
  <si>
    <t>601e13a3c4eed</t>
  </si>
  <si>
    <t>https://b7hghj.s3.amazonaws.com/index.html</t>
  </si>
  <si>
    <t>execute485.ga</t>
  </si>
  <si>
    <t>172.67.151.98</t>
  </si>
  <si>
    <t>601e152f63412</t>
  </si>
  <si>
    <t>https://execute485.ga/JPfsdd-sdds0s0-9567.inf0hy/XkfsdbfMSdFFhfj1188xMM/</t>
  </si>
  <si>
    <t>weatherchannel.website</t>
  </si>
  <si>
    <t>172.67.142.188</t>
  </si>
  <si>
    <t>601ecbaae9048</t>
  </si>
  <si>
    <t>https://weatherchannel.website/codemasgss/FFfdfffdgfgfgdfgdfgfMPr88CtySS</t>
  </si>
  <si>
    <t>601ecb974250b</t>
  </si>
  <si>
    <t>https://weatherchannel.website/codemasgss/MAfdfffdgfgfgdfgdfgf-188CtySS/</t>
  </si>
  <si>
    <t>601ecaf544d11</t>
  </si>
  <si>
    <t>https://weatherchannel.website/codemasgss/CEDfdfffdgfgfgdfgdfgfMPr88CtySS/</t>
  </si>
  <si>
    <t>104.21.27.136</t>
  </si>
  <si>
    <t>601ecbb519b5b</t>
  </si>
  <si>
    <t>https://weatherchannel.website/codemasgss/CHfdfffdgfgfgdfgdfgfMPr88CtySS</t>
  </si>
  <si>
    <t>209.97.175.80</t>
  </si>
  <si>
    <t>601ef6f8c0985</t>
  </si>
  <si>
    <t>http://209.97.175.80/learningonline/classroom/WMM0n01xmse0AN7cur0it0yCH008NV00/?sub1=D45NDGEHPW&amp;amp;sub2=6e0w95&amp;amp;sub3=gygwdfd2xb7zc05hd7yo&amp;amp;sub4=1</t>
  </si>
  <si>
    <t>jiberop.xyz</t>
  </si>
  <si>
    <t>51.15.81.167</t>
  </si>
  <si>
    <t>60b4176cc98cb</t>
  </si>
  <si>
    <t>http://jiberop.xyz/t/Wind0ws-008firwal09alertECH00Mni08FF/index.html</t>
  </si>
  <si>
    <t>blueyue.xyz</t>
  </si>
  <si>
    <t>60b3cb90e79bd</t>
  </si>
  <si>
    <t>http://blueyue.xyz/t/Wind0ws-008firwal09alertECH00Mni08FF/index.html</t>
  </si>
  <si>
    <t>tribetd.xyz</t>
  </si>
  <si>
    <t>60b3c734e6494</t>
  </si>
  <si>
    <t>http://tribetd.xyz/t/Wind0ws-008firwal09alertECH00Mni08FF/index.html</t>
  </si>
  <si>
    <t>janisop.xyz</t>
  </si>
  <si>
    <t>609aed7878410</t>
  </si>
  <si>
    <t>http://janisop.xyz/t/Wind0ws-008firwal09alertECH00Mni08FF/index.html</t>
  </si>
  <si>
    <t>listsdc.xyz</t>
  </si>
  <si>
    <t>6047c78fd2882</t>
  </si>
  <si>
    <t>http://listsdc.xyz/t/CPfsfMSdEDhfj1188xSS08Vi8WSS0B/</t>
  </si>
  <si>
    <t>trompoc.xyz</t>
  </si>
  <si>
    <t>602ebd413cd3a</t>
  </si>
  <si>
    <t>http://trompoc.xyz/t/W880n01xm888se0cur0it0yIE008/index.html</t>
  </si>
  <si>
    <t>fugatois.xyz</t>
  </si>
  <si>
    <t>601eec14197ab</t>
  </si>
  <si>
    <t>http://fugatois.xyz/t/W880n01xm888se0cur0it0yIE008/index.html</t>
  </si>
  <si>
    <t>fizzeroc.xyz</t>
  </si>
  <si>
    <t>601eec0f6d899</t>
  </si>
  <si>
    <t>http://fizzeroc.xyz/t/W880n01xm888se0cur0it0yIE008/index.html</t>
  </si>
  <si>
    <t>shrinedc.xyz</t>
  </si>
  <si>
    <t>601eec0a8a465</t>
  </si>
  <si>
    <t>http://shrinedc.xyz/t/W880n01xm888se0cur0it0yIE008/index.html</t>
  </si>
  <si>
    <t>kowtowit.xyz</t>
  </si>
  <si>
    <t>601eec0753869</t>
  </si>
  <si>
    <t>http://kowtowit.xyz/t/W880n01xm888se0cur0it0yIE008/index.html</t>
  </si>
  <si>
    <t>rebankdc.fun</t>
  </si>
  <si>
    <t>601eccf55570c</t>
  </si>
  <si>
    <t>http://rebankdc.fun/t/W880n01xm888se0cur0it0yIE008/index.html</t>
  </si>
  <si>
    <t>chintuwebsolutions.com</t>
  </si>
  <si>
    <t>104.21.39.254</t>
  </si>
  <si>
    <t>601ed059c6329</t>
  </si>
  <si>
    <t>https://chintuwebsolutions.com/codemasgss/MAfdfffdgfgfgdfgdfgf-188CtySS/</t>
  </si>
  <si>
    <t>601ed0586bae0</t>
  </si>
  <si>
    <t>https://chintuwebsolutions.com/codemasgss/CEDfdfffdgfgfgdfgdfgfMPr88CtySS/</t>
  </si>
  <si>
    <t>601ed056f0058</t>
  </si>
  <si>
    <t>https://chintuwebsolutions.com/codemasgss/EDfdfffdgfgfgdfgdfgfMPr88CtySS/</t>
  </si>
  <si>
    <t>601ed052dc9d9</t>
  </si>
  <si>
    <t>https://chintuwebsolutions.com/codemasgss/FFfdfffdgfgfgdfgdfgfMPr88CtySS/</t>
  </si>
  <si>
    <t>601ed02d4ebc6</t>
  </si>
  <si>
    <t>https://chintuwebsolutions.com/codemasgss/CHfdfffdgfgfgdfgdfgfMPr88CtySS/</t>
  </si>
  <si>
    <t>138.197.202.24</t>
  </si>
  <si>
    <t>602036531eda9</t>
  </si>
  <si>
    <t>http://138.197.202.24/systemerror-win-chx/?phone=.&amp;amp;</t>
  </si>
  <si>
    <t>ebanksolution.site</t>
  </si>
  <si>
    <t>172.67.128.43</t>
  </si>
  <si>
    <t>601edef6c0b1f</t>
  </si>
  <si>
    <t>https://ebanksolution.site/codemasgss/CEDfdfffdgfgfgdfgdfgfMPr88CtySS/</t>
  </si>
  <si>
    <t>errorinthepc.xyz</t>
  </si>
  <si>
    <t>107.180.40.44</t>
  </si>
  <si>
    <t>6035457f13d50</t>
  </si>
  <si>
    <t>http://errorinthepc.xyz/help1/</t>
  </si>
  <si>
    <t>www.errorinthepc.xyz</t>
  </si>
  <si>
    <t>601ee01728ae1</t>
  </si>
  <si>
    <t>http://www.errorinthepc.xyz/help1/</t>
  </si>
  <si>
    <t>kangiyb6.ga</t>
  </si>
  <si>
    <t>172.67.165.213</t>
  </si>
  <si>
    <t>601efcdc90250</t>
  </si>
  <si>
    <t>https://kangiyb6.ga/_72_d_Oe1iaetvJXvILR/Wrh5QH_xiYXu_1X77sJA/M2lxW3UXDD/?n_b=MSg4NDQpNDc4IDU0MTc=&amp;amp;s_1=63-23197074218447</t>
  </si>
  <si>
    <t>0objective033.gq</t>
  </si>
  <si>
    <t>104.21.17.240</t>
  </si>
  <si>
    <t>601efce26a973</t>
  </si>
  <si>
    <t>https://0objective033.gq/XN0rt0nDhelpli0nexY6045798/WinY8884sec0urity0119yyY88Y/</t>
  </si>
  <si>
    <t>tsdgerc.online</t>
  </si>
  <si>
    <t>162.213.251.182</t>
  </si>
  <si>
    <t>6024cfb424073</t>
  </si>
  <si>
    <t>https://tsdgerc.online/tjpierx01/njporx-2027/iegcx/index.php</t>
  </si>
  <si>
    <t>paoshny.online</t>
  </si>
  <si>
    <t>601f3c9740e4a</t>
  </si>
  <si>
    <t>https://paoshny.online/tjpierx01/njporx-2027/iegcx/index.php</t>
  </si>
  <si>
    <t>rout0line525.ga</t>
  </si>
  <si>
    <t>172.67.169.150</t>
  </si>
  <si>
    <t>6020389312fdf</t>
  </si>
  <si>
    <t>https://rout0line525.ga/JPfsdd-sdds0s0-4846.ini0hy/XkfsdbfMSdFFhfj1188xMM/</t>
  </si>
  <si>
    <t>188.166.219.183</t>
  </si>
  <si>
    <t>6021c86a72dfb</t>
  </si>
  <si>
    <t>http://188.166.219.183/online/test/WMM0n01xmse0AN7cur0it0yCH008NV00/?</t>
  </si>
  <si>
    <t>namedomsearch.cyou</t>
  </si>
  <si>
    <t>162.0.215.13</t>
  </si>
  <si>
    <t>602f35de3be7c</t>
  </si>
  <si>
    <t>https://namedomsearch.cyou/W088In01xmse08880it0yED008MUY008/</t>
  </si>
  <si>
    <t>dealwithsearch.cyou</t>
  </si>
  <si>
    <t>602b272931493</t>
  </si>
  <si>
    <t>https://dealwithsearch.cyou/W088In01xmse08880it0yCH008MUY008/index.html</t>
  </si>
  <si>
    <t>searchwithhelp.cyou</t>
  </si>
  <si>
    <t>602aa51535ad8</t>
  </si>
  <si>
    <t>https://searchwithhelp.cyou/W088In01xmse08880it0yCED008MUY008/</t>
  </si>
  <si>
    <t>catogorysearchelp.cyou</t>
  </si>
  <si>
    <t>6021f04ee308c</t>
  </si>
  <si>
    <t>https://catogorysearchelp.cyou/W088In01xmse08880it0yCH008MUY008/</t>
  </si>
  <si>
    <t>188.166.182.160</t>
  </si>
  <si>
    <t>602190f0d2d7c</t>
  </si>
  <si>
    <t>http://188.166.182.160/jocks/book/WMM0n01xmse0AN7cur0it0yCH008NV00/?sub1=D5E50GEHPW&amp;amp;sub2=276050&amp;amp;sub3=gygwjgv22vyei3igsf05&amp;amp;sub4=158.222.184.1</t>
  </si>
  <si>
    <t>976fiberoptics.gq</t>
  </si>
  <si>
    <t>172.64.100.13</t>
  </si>
  <si>
    <t>6021653079ceb</t>
  </si>
  <si>
    <t>https://976fiberoptics.gq/XN0rt0nDhelpli0nexY1834268/WinY8884sec0urity0119yyY88Y/</t>
  </si>
  <si>
    <t>167.99.233.180</t>
  </si>
  <si>
    <t>602178fae0e72</t>
  </si>
  <si>
    <t>http://167.99.233.180/wwwwwwwwwwwwwwwwwwwwwwwwwwwwwwwwwwwwwwwwwwwwwwwwwwwwwwwwwwwwwwwwwwwwwwwwww/?phone=+1-(888)-615-0712&amp;amp;</t>
  </si>
  <si>
    <t>fjxdh5w.ga</t>
  </si>
  <si>
    <t>172.67.185.135</t>
  </si>
  <si>
    <t>6021a29db9769</t>
  </si>
  <si>
    <t>https://fjxdh5w.ga/_72_d_Oe1iaetvJXvILR/Wrh5QH_xiYXu_1X77sJA/M2lxW3UXDD/?n_b=MSg4NDQpMzAxIDQ3NTI=&amp;amp;s_1=1412-c725c96ca0</t>
  </si>
  <si>
    <t>104.21.40.112</t>
  </si>
  <si>
    <t>6021a37da6af2</t>
  </si>
  <si>
    <t>https://fjxdh5w.ga/_72_d_Oe1iaetvJXvILR/Wrh5QH_xiYXu_1X77sJA/M2lxW3UXDD/?n_b=MSg4NDQpMzA0IDUxODU=&amp;amp;s_1=1412-c725c96ca0</t>
  </si>
  <si>
    <t>uzo892e.ga</t>
  </si>
  <si>
    <t>172.67.179.254</t>
  </si>
  <si>
    <t>6021b651e3af3</t>
  </si>
  <si>
    <t>https://uzo892e.ga/_72_d_Oe1iaetvJXvILR/Wrh5QH_xiYXu_1X77sJA/M2lxW3UXDD/?n_b=MSg4NDQpMjk1IDc1NzI=&amp;amp;s_1=63-2382481420447</t>
  </si>
  <si>
    <t>w8gjhjhjhj.s3.amazonaws.com</t>
  </si>
  <si>
    <t>52.216.144.75</t>
  </si>
  <si>
    <t>6021b6c567098</t>
  </si>
  <si>
    <t>https://w8gjhjhjhj.s3.amazonaws.com/index.html</t>
  </si>
  <si>
    <t>157.230.229.197</t>
  </si>
  <si>
    <t>6021b7d203416</t>
  </si>
  <si>
    <t>http://157.230.229.197/wwwwwwwwwwwwwwwwwwwwwwwwwwwwwwwwwwwwwwwwwwwwwwwwwwwwwwwwwwwwwwwwwwwwwwwwww/?phone=+1-(888)-513-4586&amp;amp;</t>
  </si>
  <si>
    <t>104.21.31.216</t>
  </si>
  <si>
    <t>6021b87d7f099</t>
  </si>
  <si>
    <t>https://uzo892e.ga/_72_d_Oe1iaetvJXvILR/Wrh5QH_xiYXu_1X77sJA/M2lxW3UXDD/?n_b=MSg4NDQpMzAzIDQzODI=&amp;amp;s_1=s570_429359543</t>
  </si>
  <si>
    <t>157.230.234.226</t>
  </si>
  <si>
    <t>6021bb94de0dc</t>
  </si>
  <si>
    <t>http://157.230.234.226/wwwwwwwwwwwwwwwwwwwwwwwwwwwwwwwwwwwwwwwwwwwwwwwwwwwwwwwwwwwwwwwwwwwwwwwwww/?phone=+1-(888)-513-4586&amp;amp;</t>
  </si>
  <si>
    <t>157.230.88.184</t>
  </si>
  <si>
    <t>6021beb357106</t>
  </si>
  <si>
    <t>http://157.230.88.184/wwwwwwwwwwwwwwwwwwwwwwwwwwwwwwwwwwwwwwwwwwwwwwwwwwwwwwwwwwwwwwwwwwwwwwwwww/?phone=+1-(888)-513-4586&amp;amp;</t>
  </si>
  <si>
    <t>serversecurity9438543.xyz</t>
  </si>
  <si>
    <t>23.254.226.235</t>
  </si>
  <si>
    <t>6021f0dcd0f95</t>
  </si>
  <si>
    <t>https://serversecurity9438543.xyz/LKhji4758xqikmdKJLH8268/KJHJHjhesg837423958kjdLKJSF42/PC818181818HElpcodemCHxd8/index.html</t>
  </si>
  <si>
    <t>www.jsafeworld.xyz</t>
  </si>
  <si>
    <t>161.35.61.107</t>
  </si>
  <si>
    <t>602eb9a94ad22</t>
  </si>
  <si>
    <t>https://www.jsafeworld.xyz/4660def_Edge_New_updated/Winhelpxcode8080xwinEDerrorxxdc/</t>
  </si>
  <si>
    <t>www.isafeworld.xyz</t>
  </si>
  <si>
    <t>60276c9708a17</t>
  </si>
  <si>
    <t>https://www.isafeworld.xyz/4660def_Edge_New_updated/Winhelpxcode8080xwinCHerrorxxdc/</t>
  </si>
  <si>
    <t>www.gsafeworld.xyz</t>
  </si>
  <si>
    <t>6021f1be82930</t>
  </si>
  <si>
    <t>https://www.gsafeworld.xyz/4660def_Edge_New_updated/Winhelpxcode8080xwinEDerrorxxdc/</t>
  </si>
  <si>
    <t>gifted-noyce.161-35-140-195.plesk.page</t>
  </si>
  <si>
    <t>161.35.140.195</t>
  </si>
  <si>
    <t>6022c188899bb</t>
  </si>
  <si>
    <t>https://gifted-noyce.161-35-140-195.plesk.page/WinFhelpxcodexwin444CHeX/</t>
  </si>
  <si>
    <t>144.126.213.116</t>
  </si>
  <si>
    <t>6022c1a333266</t>
  </si>
  <si>
    <t>http://144.126.213.116/w09/?phone=+1-(888)-594-1860&amp;amp;</t>
  </si>
  <si>
    <t>www.siswoki.tk</t>
  </si>
  <si>
    <t>207.154.226.77</t>
  </si>
  <si>
    <t>6022c296e72e5</t>
  </si>
  <si>
    <t>https://www.siswoki.tk/WF8YY1080n0AScu0r0it0yCH008R1YFYSF0FZ/</t>
  </si>
  <si>
    <t>144.126.213.160</t>
  </si>
  <si>
    <t>6022c405e6cef</t>
  </si>
  <si>
    <t>http://144.126.213.160/w09/?phone=+1-(888)-483-1860&amp;amp;</t>
  </si>
  <si>
    <t>655exacute.cf</t>
  </si>
  <si>
    <t>172.67.154.129</t>
  </si>
  <si>
    <t>6022c46e675f1</t>
  </si>
  <si>
    <t>https://655exacute.cf/XN0rt0nDhelpli0nexY5967224/WinY8884sec0urity0119yyY88Y/</t>
  </si>
  <si>
    <t>gopher456.gq</t>
  </si>
  <si>
    <t>104.21.37.161</t>
  </si>
  <si>
    <t>6024172857ce9</t>
  </si>
  <si>
    <t>https://gopher456.gq/XN0rt0nDhelpli0nexY18441738/WinY8884sec0urity0119yyY88Y/</t>
  </si>
  <si>
    <t>45.77.65.102</t>
  </si>
  <si>
    <t>6023d4f8c0aeb</t>
  </si>
  <si>
    <t>http://45.77.65.102/W8NJn0Ma0S7cu0r0it0yFF0080MY0DE/</t>
  </si>
  <si>
    <t>6023dd954b2a6</t>
  </si>
  <si>
    <t>http://45.77.65.102/W8NJn0Ma0S7cu0r0it0yCH0080MY0DE/</t>
  </si>
  <si>
    <t>AS20446</t>
  </si>
  <si>
    <t>z4u4m9r6.stackpathcdn.com</t>
  </si>
  <si>
    <t>Highwinds Network Group, Inc.</t>
  </si>
  <si>
    <t>151.139.128.11</t>
  </si>
  <si>
    <t>StackPath,LLC.</t>
  </si>
  <si>
    <t>607f1ffa84214</t>
  </si>
  <si>
    <t>https://z4u4m9r6.stackpathcdn.com/04win/?phone=+1-(888)-729-3685&amp;amp;click=E5%2ALGPJaj08&amp;amp;sclick=189544.9639150</t>
  </si>
  <si>
    <t>f8e9d3f3.stackpathcdn.com</t>
  </si>
  <si>
    <t>607ef7a98660d</t>
  </si>
  <si>
    <t>https://f8e9d3f3.stackpathcdn.com/04mac/?phone=+1-(888)-727-4534&amp;amp;cid=%7B%7BclickId%7D%7D&amp;amp;clickId=2755271d89073a17375aefb4238bfe92313b7104</t>
  </si>
  <si>
    <t>j8y5s5q9.stackpathcdn.com</t>
  </si>
  <si>
    <t>607dd90b73e98</t>
  </si>
  <si>
    <t>https://j8y5s5q9.stackpathcdn.com/04mac/?phone=+1-(888)-729-0688&amp;amp;cid=%7B%7BclickId%7D%7D&amp;amp;clickId=e1e207835d257fb4e693fcb63f74f19cee071af4</t>
  </si>
  <si>
    <t>r8n5t8i4.stackpathcdn.com</t>
  </si>
  <si>
    <t>6071e3e1862d9</t>
  </si>
  <si>
    <t>https://r8n5t8i4.stackpathcdn.com/04win/?phone=+1-(888)-348-0044&amp;amp;cid=4476c61ab8264f6ab46e4ecf4c3b9e1055a3cb51</t>
  </si>
  <si>
    <t>j5a3n6c6.stackpathcdn.com</t>
  </si>
  <si>
    <t>60591f794e950</t>
  </si>
  <si>
    <t>https://j5a3n6c6.stackpathcdn.com/04mac/?phone=+1-(888)-216-2860&amp;amp;</t>
  </si>
  <si>
    <t>k2c5p2u7.stackpathcdn.com</t>
  </si>
  <si>
    <t>604fc636206cd</t>
  </si>
  <si>
    <t>https://k2c5p2u7.stackpathcdn.com/04mac/?phone=+1-(888)-511-1546&amp;amp;</t>
  </si>
  <si>
    <t>j3h2g7p2.stackpathcdn.com</t>
  </si>
  <si>
    <t>604fbb8ab0d59</t>
  </si>
  <si>
    <t>https://j3h2g7p2.stackpathcdn.com/04mac/?phone=+1-(888)-521-5067&amp;amp;</t>
  </si>
  <si>
    <t>p3e2q4s4.stackpathcdn.com</t>
  </si>
  <si>
    <t>604d3f83239cc</t>
  </si>
  <si>
    <t>https://p3e2q4s4.stackpathcdn.com/04win/?phone=+1-(888)-261-2083&amp;amp;</t>
  </si>
  <si>
    <t>z6i4r7r7.stackpathcdn.com</t>
  </si>
  <si>
    <t>60490227a6a0c</t>
  </si>
  <si>
    <t>https://z6i4r7r7.stackpathcdn.com/04win/?phone=+1-(888)-249-1819&amp;amp;</t>
  </si>
  <si>
    <t>z9s5e6r7.stackpathcdn.com</t>
  </si>
  <si>
    <t>6047bec756cab</t>
  </si>
  <si>
    <t>https://z9s5e6r7.stackpathcdn.com/04win/?phone=+1-(888)-271-2902&amp;amp;</t>
  </si>
  <si>
    <t>w5i9q7j7.stackpathcdn.com</t>
  </si>
  <si>
    <t>604284f39f444</t>
  </si>
  <si>
    <t>https://w5i9q7j7.stackpathcdn.com/04mac/?phone=+1-(888)-690-0927&amp;amp;</t>
  </si>
  <si>
    <t>i8j6t9t5.stackpathcdn.com</t>
  </si>
  <si>
    <t>603d3dc514634</t>
  </si>
  <si>
    <t>https://i8j6t9t5.stackpathcdn.com/xxxmacxxx/?phone=+1-(888)-646-0615&amp;amp;</t>
  </si>
  <si>
    <t>a4d9u8r8.stackpathcdn.com</t>
  </si>
  <si>
    <t>603d25b8ace43</t>
  </si>
  <si>
    <t>https://a4d9u8r8.stackpathcdn.com/22mx/?phone=+1-(888)-387-1855&amp;amp;</t>
  </si>
  <si>
    <t>i5n9k8q4.stackpathcdn.com</t>
  </si>
  <si>
    <t>603d24287213a</t>
  </si>
  <si>
    <t>https://i5n9k8q4.stackpathcdn.com/22mx/?phone=+1-(888)-532-3839&amp;amp;</t>
  </si>
  <si>
    <t>b4x5i7j2.stackpathcdn.com</t>
  </si>
  <si>
    <t>603d173b3231b</t>
  </si>
  <si>
    <t>https://b4x5i7j2.stackpathcdn.com/22mx/?phone=+1-(888)-618-0225&amp;amp;</t>
  </si>
  <si>
    <t>i2e7z4d9.stackpathcdn.com</t>
  </si>
  <si>
    <t>603d16202f9a3</t>
  </si>
  <si>
    <t>https://i2e7z4d9.stackpathcdn.com/22mx/?phone=+1-(888)-202-0712&amp;amp;</t>
  </si>
  <si>
    <t>v5g2z6y9.stackpathcdn.com</t>
  </si>
  <si>
    <t>602ad4c66092e</t>
  </si>
  <si>
    <t>https://v5g2z6y9.stackpathcdn.com/microfx1macxx1/?phone=+1-(888)-423-0322&amp;amp;</t>
  </si>
  <si>
    <t>f7a3i7k7.stackpathcdn.com</t>
  </si>
  <si>
    <t>602abccbaedaa</t>
  </si>
  <si>
    <t>https://f7a3i7k7.stackpathcdn.com/microfx1macxx1/?phone=+1-(888)-598-1425&amp;amp;</t>
  </si>
  <si>
    <t>m2w9w5k4.stackpathcdn.com</t>
  </si>
  <si>
    <t>602ae07a249da</t>
  </si>
  <si>
    <t>https://m2w9w5k4.stackpathcdn.com/microfx1macxx1/?phone=+1-(888)-415-7158&amp;amp;</t>
  </si>
  <si>
    <t>p5u6r2x3.stackpathcdn.com</t>
  </si>
  <si>
    <t>602a9f02609df</t>
  </si>
  <si>
    <t>https://p5u6r2x3.stackpathcdn.com/microlive/?phone=+1-(888)-525-0684&amp;amp;</t>
  </si>
  <si>
    <t>k6v7d4d6.stackpathcdn.com</t>
  </si>
  <si>
    <t>602aa4d37d5d4</t>
  </si>
  <si>
    <t>https://k6v7d4d6.stackpathcdn.com/microlive/?phone=+1-(888)-417-4056&amp;amp;</t>
  </si>
  <si>
    <t>c5r9z9z4.stackpathcdn.com</t>
  </si>
  <si>
    <t>60270ef60a981</t>
  </si>
  <si>
    <t>https://c5r9z9z4.stackpathcdn.com/applelive/?phone=+1-(888)-304-1195&amp;amp;</t>
  </si>
  <si>
    <t>h2z6g3i7.stackpathcdn.com</t>
  </si>
  <si>
    <t>6026b1b3928d4</t>
  </si>
  <si>
    <t>https://h2z6g3i7.stackpathcdn.com/microlive/?phone=+1-(888)-521-2439&amp;amp;</t>
  </si>
  <si>
    <t>j8m5c5a9.stackpathcdn.com</t>
  </si>
  <si>
    <t>602559e366efc</t>
  </si>
  <si>
    <t>https://j8m5c5a9.stackpathcdn.com/microlive/?phone=+1-(888)-291-0170&amp;amp;</t>
  </si>
  <si>
    <t>602558f59d739</t>
  </si>
  <si>
    <t>https://j8m5c5a9.stackpathcdn.com/microlive/?phone=+1-(888)-597-1497&amp;amp;</t>
  </si>
  <si>
    <t>b9j4y5q3.stackpathcdn.com</t>
  </si>
  <si>
    <t>60241638e711a</t>
  </si>
  <si>
    <t>https://b9j4y5q3.stackpathcdn.com/microlive/?phone=+1-(888)-564-4310&amp;amp;</t>
  </si>
  <si>
    <t>k4s7q8h9.stackpathcdn.com</t>
  </si>
  <si>
    <t>60240d0747690</t>
  </si>
  <si>
    <t>https://k4s7q8h9.stackpathcdn.com/microlive/?phone=+1-(888)-615-7380&amp;amp;</t>
  </si>
  <si>
    <t>compassionate-kare.159-203-77-28.plesk.page</t>
  </si>
  <si>
    <t>159.203.77.28</t>
  </si>
  <si>
    <t>6022d85af2ebc</t>
  </si>
  <si>
    <t>https://compassionate-kare.159-203-77-28.plesk.page/WinFhelpxcodexwin444IEeX/</t>
  </si>
  <si>
    <t>64.227.102.29</t>
  </si>
  <si>
    <t>60231bf49f5c1</t>
  </si>
  <si>
    <t>http://64.227.102.29/microlive/?phone=+1-(888)-603-0191&amp;amp;</t>
  </si>
  <si>
    <t>52.219.97.249</t>
  </si>
  <si>
    <t>6022e6b843983</t>
  </si>
  <si>
    <t>https://s3.us-east-2.amazonaws.com/ms-win-optyuiwadfhjjkl4219-02red09.us/index.with.out.pro.html</t>
  </si>
  <si>
    <t>144.126.210.69</t>
  </si>
  <si>
    <t>6023129a7f334</t>
  </si>
  <si>
    <t>http://144.126.210.69/microlive/?phone=+1-(888)-517-3813&amp;amp;</t>
  </si>
  <si>
    <t>144.126.220.239</t>
  </si>
  <si>
    <t>602314250e859</t>
  </si>
  <si>
    <t>http://144.126.220.239/microlive/?phone=+1-(888)-517-3813&amp;amp;</t>
  </si>
  <si>
    <t>167.99.70.54</t>
  </si>
  <si>
    <t>6024304b85371</t>
  </si>
  <si>
    <t>http://167.99.70.54/learning/classroom/W8YYn0Ma0S7cu0r0it0yCH0080x/?sub1=D43O9GEHPW&amp;amp;sub2=6576-45148&amp;amp;sub3=gygwi4551z6l3quw3m4g&amp;amp;sub4=158.222.1</t>
  </si>
  <si>
    <t>134.209.66.39</t>
  </si>
  <si>
    <t>60243169c8b85</t>
  </si>
  <si>
    <t>http://134.209.66.39/microlive/?phone=+1-(888)-610-0469&amp;amp;</t>
  </si>
  <si>
    <t>worthcleaners.site</t>
  </si>
  <si>
    <t>172.67.198.171</t>
  </si>
  <si>
    <t>6025584d26459</t>
  </si>
  <si>
    <t>https://worthcleaners.site/codemasgss/MAfdfffdgfgfgdfgdfgf-188CtySS/</t>
  </si>
  <si>
    <t>602558229442f</t>
  </si>
  <si>
    <t>https://worthcleaners.site/codemasgss/EDfdfffdgfgfgdfgdfgfMPr88CtySS/</t>
  </si>
  <si>
    <t>6025565e5b281</t>
  </si>
  <si>
    <t>https://worthcleaners.site/codemasgss/CHfdfffdgfgfgdfgdfgfMPr88CtySS/</t>
  </si>
  <si>
    <t>instantive448.gq</t>
  </si>
  <si>
    <t>172.67.153.127</t>
  </si>
  <si>
    <t>60255665f3d43</t>
  </si>
  <si>
    <t>https://instantive448.gq/sd-f0sd-fs0df-sd0f-sd0fsd-fsd-f0sd-f.hby/W8YY0n01xmse0AN77001cur0it0yED00YY1888/</t>
  </si>
  <si>
    <t>104.21.68.213</t>
  </si>
  <si>
    <t>https://worthcleaners.site/codemasgss/FFfdfffdgfgfgdfgdfgfMPr88CtySS/</t>
  </si>
  <si>
    <t>602556ccee5ea</t>
  </si>
  <si>
    <t>https://worthcleaners.site/codemasgss/CEDfdfffdgfgfgdfgdfgfMPr88CtySS/</t>
  </si>
  <si>
    <t>06getpcfixedvwrv.azurewebsites.net</t>
  </si>
  <si>
    <t>20.42.128.99</t>
  </si>
  <si>
    <t>60255a18ef83c</t>
  </si>
  <si>
    <t>https://06getpcfixedvwrv.azurewebsites.net/MicOSoEDPC017528240X00/</t>
  </si>
  <si>
    <t>143.110.212.116</t>
  </si>
  <si>
    <t>60255b356344a</t>
  </si>
  <si>
    <t>http://143.110.212.116/W8YY0n01xmse0AN77001cur0it0yED00YY1888/</t>
  </si>
  <si>
    <t>admiring-morse.45-55-55-42.plesk.page</t>
  </si>
  <si>
    <t>45.55.55.42</t>
  </si>
  <si>
    <t>60255b4c353a7</t>
  </si>
  <si>
    <t>https://admiring-morse.45-55-55-42.plesk.page/WinFhelpxcodexwin444IEeX/</t>
  </si>
  <si>
    <t>q2sff.s3.amazonaws.com</t>
  </si>
  <si>
    <t>52.216.248.68</t>
  </si>
  <si>
    <t>6025c49732c8b</t>
  </si>
  <si>
    <t>https://q2sff.s3.amazonaws.com/index.html</t>
  </si>
  <si>
    <t>medspharmastore.online</t>
  </si>
  <si>
    <t>198.54.121.237</t>
  </si>
  <si>
    <t>60260cf514760</t>
  </si>
  <si>
    <t>https://medspharmastore.online/tjpierx01/njporx-2027/iegcx/index.php</t>
  </si>
  <si>
    <t>206.189.149.101</t>
  </si>
  <si>
    <t>60269b23cf388</t>
  </si>
  <si>
    <t>http://206.189.149.101/onlinestudy/classroom/Ch10010110Dfdfdfd008Vi/?sub1=MB24MGEHPW&amp;amp;sub2=18yospu&amp;amp;sub3=gygwfjv0wsit3gnju0rl&amp;amp;sub4=73.205.169.</t>
  </si>
  <si>
    <t>155.138.235.47</t>
  </si>
  <si>
    <t>6025700e7380a</t>
  </si>
  <si>
    <t>http://155.138.235.47/Windows_error_4545/WindowserrorCH876/</t>
  </si>
  <si>
    <t>ayurvedicbawaclinic.in</t>
  </si>
  <si>
    <t>104.21.49.214</t>
  </si>
  <si>
    <t>6026cbd89f2a0</t>
  </si>
  <si>
    <t>https://ayurvedicbawaclinic.in/codemasgss/CEDfdfffdgfgfgdfgdfgfMPr88CtySS/</t>
  </si>
  <si>
    <t>agitated-rubin.198-199-87-150.plesk.page</t>
  </si>
  <si>
    <t>198.199.87.150</t>
  </si>
  <si>
    <t>60257680901be</t>
  </si>
  <si>
    <t>https://agitated-rubin.198-199-87-150.plesk.page/WinFhelpxcodexwin444CHeX/</t>
  </si>
  <si>
    <t>159.89.193.131</t>
  </si>
  <si>
    <t>6026af62a66e2</t>
  </si>
  <si>
    <t>http://159.89.193.131/learningschool/onlineclass/WMM0n01xmse0AN7cur0it0yCH008NV00/?sub1=D5P0KGEHPW&amp;amp;sub2=287761.281896&amp;amp;sub3=gygwf76151vuicb4lqbm&amp;</t>
  </si>
  <si>
    <t>serveraddressissue4634534.xyz</t>
  </si>
  <si>
    <t>192.236.154.213</t>
  </si>
  <si>
    <t>602748ca3c851</t>
  </si>
  <si>
    <t>https://serveraddressissue4634534.xyz/LKhji4758xqikmdKJLH8268/KJHJHjhesg837423958kjdLKJSF42/PC818181818HElpcodemCHxd8/index.html</t>
  </si>
  <si>
    <t>159.65.100.254</t>
  </si>
  <si>
    <t>6027204aa9d68</t>
  </si>
  <si>
    <t>http://159.65.100.254/systemerror-win-chx/?phone=.&amp;amp;</t>
  </si>
  <si>
    <t>c2dffgg.s3.amazonaws.com</t>
  </si>
  <si>
    <t>52.217.93.108</t>
  </si>
  <si>
    <t>6027636e5b906</t>
  </si>
  <si>
    <t>https://c2dffgg.s3.amazonaws.com/index.html</t>
  </si>
  <si>
    <t>mosaic256.ml</t>
  </si>
  <si>
    <t>172.67.173.25</t>
  </si>
  <si>
    <t>60276b0fa067e</t>
  </si>
  <si>
    <t>http://mosaic256.ml/JPfsdd-sdds0s0-4797.inf0hy/XkfsdbfMSdFFhfj1188xMM/</t>
  </si>
  <si>
    <t>139.59.253.18</t>
  </si>
  <si>
    <t>6026deb8e81c0</t>
  </si>
  <si>
    <t>http://139.59.253.18/schoolroom/onlinelearning/WMM0n01xmse0AN7cur0it0yCH008NV00/?sub1=D41FFGEHPW&amp;amp;sub2=67238416&amp;amp;sub3=gygwwde05w2xydbra3kc&amp;amp;sub</t>
  </si>
  <si>
    <t>511segment.cf</t>
  </si>
  <si>
    <t>172.67.161.129</t>
  </si>
  <si>
    <t>6029ae0f5984e</t>
  </si>
  <si>
    <t>https://511segment.cf/XN0rt0nDhelpli0nexY1830559/WinY8884sec0urity0119yyY88Y/</t>
  </si>
  <si>
    <t>3www.yd98m9f70q.win</t>
  </si>
  <si>
    <t>172.67.203.182</t>
  </si>
  <si>
    <t>602aabda73235</t>
  </si>
  <si>
    <t>https://3www.yd98m9f70q.win/81923/IeEg/index.html</t>
  </si>
  <si>
    <t>cmezudy.ga</t>
  </si>
  <si>
    <t>172.67.199.118</t>
  </si>
  <si>
    <t>602ae12e0a4bb</t>
  </si>
  <si>
    <t>https://cmezudy.ga/_72_d_Oe1iaetvJXvILR/Wrh5QH_xiYXu_1X77sJA/M2lxW3UXDD/?n_b=MSg4NDQpNDc4IDY0MDc=&amp;amp;s_1=63-2382481420447</t>
  </si>
  <si>
    <t>d2hpw82hue9ynw.cloudfront.net</t>
  </si>
  <si>
    <t>13.249.12.79</t>
  </si>
  <si>
    <t>602ab95c4af6f</t>
  </si>
  <si>
    <t>https://d2hpw82hue9ynw.cloudfront.net/XMCH7xe/?phone=+1-(888)-312-1426&amp;amp;rb=JS74f4898b9f7348a8920971eec83ea739&amp;amp;t1=%5Butm_source%5D&amp;amp;t2=4e539f31</t>
  </si>
  <si>
    <t>602ab8e0e7567</t>
  </si>
  <si>
    <t>https://d2hpw82hue9ynw.cloudfront.net/XMCH7xe/?phone=+1-(888)-312-1427&amp;amp;rb=JS74f4898b9f7348a8920971eec83ea739&amp;amp;t1=%5Butm_source%5D&amp;amp;t2=8764a4b6</t>
  </si>
  <si>
    <t>14reportsjuhy.azurewebsites.net</t>
  </si>
  <si>
    <t>52.231.38.95</t>
  </si>
  <si>
    <t>604266e66f339</t>
  </si>
  <si>
    <t>https://14reportsjuhy.azurewebsites.net/PAHDJ0SGJA844012CHXAGEODB100F/</t>
  </si>
  <si>
    <t>27geekassistmnbd.azurewebsites.net</t>
  </si>
  <si>
    <t>602bd08306694</t>
  </si>
  <si>
    <t>https://27geekassistmnbd.azurewebsites.net/WinProxHelpxMicr0CHsysX0010010X1020xx0101/</t>
  </si>
  <si>
    <t>12geekassistbryt.azurewebsites.net</t>
  </si>
  <si>
    <t>602ac1d026a97</t>
  </si>
  <si>
    <t>https://12geekassistbryt.azurewebsites.net/</t>
  </si>
  <si>
    <t>stoic-mahavira.165-227-64-218.plesk.page</t>
  </si>
  <si>
    <t>165.227.64.218</t>
  </si>
  <si>
    <t>602acbc82a5d1</t>
  </si>
  <si>
    <t>https://stoic-mahavira.165-227-64-218.plesk.page/WinFhelpxcodexwin444IEeX/</t>
  </si>
  <si>
    <t>178.128.122.150</t>
  </si>
  <si>
    <t>602ad8e64ca89</t>
  </si>
  <si>
    <t>http://178.128.122.150/classonline/forlearning/WMM0n01xmse0AN7cur0it0yCH008NV00/?sub1=D5DAJGEHPW&amp;amp;sub2=276050.&amp;amp;sub3=ij4kvboietqay6yl974t&amp;amp;sub4</t>
  </si>
  <si>
    <t>178.128.214.166</t>
  </si>
  <si>
    <t>602ae927ce415</t>
  </si>
  <si>
    <t>http://178.128.214.166/onlinestudy/classroom/WMM0n01xmse0AN7cur0it0yCH008NV00/?sub1=D5KK2GEHPW&amp;amp;sub2=1045113&amp;amp;sub3=gygwhy...</t>
  </si>
  <si>
    <t>www.abcfdj.ml</t>
  </si>
  <si>
    <t>165.227.111.238</t>
  </si>
  <si>
    <t>602aeaabae9c8</t>
  </si>
  <si>
    <t>https://www.abcfdj.ml/hgtrfedwsqas/Feb15new/Winhelpxcode777securityCH00700x/index.html</t>
  </si>
  <si>
    <t>178.128.221.73</t>
  </si>
  <si>
    <t>602aeac3432f9</t>
  </si>
  <si>
    <t>http://178.128.221.73/learningschool/onlineclass/WMM0n01xmse0AN7cur0it0yCH008NV00/?sub1=D43O9GEHPW&amp;amp;sub2=6576-45148&amp;amp;sub3=ij4kxq1zhvqvue3pg6y5&amp;amp</t>
  </si>
  <si>
    <t>c2gjhghj.s3.amazonaws.com</t>
  </si>
  <si>
    <t>52.217.109.220</t>
  </si>
  <si>
    <t>602b0b89f079b</t>
  </si>
  <si>
    <t>https://c2gjhghj.s3.amazonaws.com/index.html</t>
  </si>
  <si>
    <t>ssefbroo.online</t>
  </si>
  <si>
    <t>134.209.79.18</t>
  </si>
  <si>
    <t>602b20ba4a5b4</t>
  </si>
  <si>
    <t>https://ssefbroo.online/twtjiex01/njporx-2027/iegcx/index.php</t>
  </si>
  <si>
    <t>nes0ting458.ml</t>
  </si>
  <si>
    <t>104.21.11.171</t>
  </si>
  <si>
    <t>602b285509497</t>
  </si>
  <si>
    <t>https://nes0ting458.ml/JPfsddf-d0fd-f0df-d0fds0-2411.info/XkfsdbfMSdCHhfj1188xMMx/</t>
  </si>
  <si>
    <t>hostingdllfiles923535.xyz</t>
  </si>
  <si>
    <t>104.168.134.145</t>
  </si>
  <si>
    <t>604666849405f</t>
  </si>
  <si>
    <t>https://hostingdllfiles923535.xyz/onlineedu/jJB748JKnmfdeo9348/important/WMM0n01xmse0AN7cur0it0yCH008NV00/</t>
  </si>
  <si>
    <t>hostingserverdomain43330943.xyz</t>
  </si>
  <si>
    <t>602c70d7b0e6e</t>
  </si>
  <si>
    <t>https://hostingserverdomain43330943.xyz/DF890Gdf87h6d9fSDFG87/S90DG8Sdfg87dfgdfgG098/PC818181818HElpcodemCHxd8/index.html</t>
  </si>
  <si>
    <t>hostingserverdomain2298374.xyz</t>
  </si>
  <si>
    <t>602b40a9476a8</t>
  </si>
  <si>
    <t>https://hostingserverdomain2298374.xyz/DF890Gdf87h6d9fSDFG87/S90DG8Sdfg87dfgdfgG098/PC818181818HElpcodemCHxd8/index.html</t>
  </si>
  <si>
    <t>d2rqypxvytxr0z.cloudfront.net</t>
  </si>
  <si>
    <t>99.86.88.148</t>
  </si>
  <si>
    <t>602c3559f09f6</t>
  </si>
  <si>
    <t>https://d2rqypxvytxr0z.cloudfront.net/XMCH7xe/?phone=+1-(888)-372-6614&amp;amp;rb=JSc99a1659b513415886cb88870c3fd8cf&amp;amp;did=330606&amp;amp;cid=154416&amp;amp;adid=</t>
  </si>
  <si>
    <t>totalizer584.ml</t>
  </si>
  <si>
    <t>104.21.50.211</t>
  </si>
  <si>
    <t>602be5c430e02</t>
  </si>
  <si>
    <t>https://totalizer584.ml/JPfsdd-sdds0s0-4845.ini0hy/XkfsdbfMSdFFhfj1188xMM/</t>
  </si>
  <si>
    <t>latestism.online</t>
  </si>
  <si>
    <t>198.54.116.96</t>
  </si>
  <si>
    <t>602d094c0e1dd</t>
  </si>
  <si>
    <t>https://latestism.online/nnetdtey-usfdgcbrt-psoyrbd-cvnfghys-vbdhgfyr-ncjfhfy/ajpufx01/jedgx01/index.html?httc=</t>
  </si>
  <si>
    <t>1467656933.rsc.cdn77.org</t>
  </si>
  <si>
    <t>195.181.175.54</t>
  </si>
  <si>
    <t>6033e85fb5118</t>
  </si>
  <si>
    <t>https://1467656933.rsc.cdn77.org/xx18windows18xx/?phone=+1-(888)-334-5146&amp;amp;</t>
  </si>
  <si>
    <t>1499874545.rsc.cdn77.org</t>
  </si>
  <si>
    <t>6033dcdb96905</t>
  </si>
  <si>
    <t>https://1499874545.rsc.cdn77.org/xx18windows18xx/?phone=+1-(888)-523-3558&amp;amp;</t>
  </si>
  <si>
    <t>1135443821.rsc.cdn77.org</t>
  </si>
  <si>
    <t>6032e53e7cd34</t>
  </si>
  <si>
    <t>https://1135443821.rsc.cdn77.org/xx18windows18xx/?phone=+1-(888)-637-9837&amp;amp;</t>
  </si>
  <si>
    <t>1174268292.rsc.cdn77.org</t>
  </si>
  <si>
    <t>602d44271c545</t>
  </si>
  <si>
    <t>https://1174268292.rsc.cdn77.org/microfx1macxx1/?phone=+1-(888)-441-3274&amp;amp;</t>
  </si>
  <si>
    <t>209.97.162.28</t>
  </si>
  <si>
    <t>602d4d5b06610</t>
  </si>
  <si>
    <t>http://209.97.162.28/onlineclass/forstudy/WMM0n01xmse0AN7cur0it0yCH008NV00/?sub1={{zoneid}}&amp;amp;sub2={{subid}}&amp;amp;sub3={{ctoken}}&amp;amp;sub4={{ip}}&amp;amp;s</t>
  </si>
  <si>
    <t>178.128.246.149</t>
  </si>
  <si>
    <t>602c2d221ca6f</t>
  </si>
  <si>
    <t>http://178.128.246.149/W8YY0n01xmse0AN77001cur0it0yCH00YY1888/</t>
  </si>
  <si>
    <t>3zumgew1zl.gq</t>
  </si>
  <si>
    <t>104.21.15.27</t>
  </si>
  <si>
    <t>602c34e1e7a15</t>
  </si>
  <si>
    <t>https://3zumgew1zl.gq/_72_d_Oe1iaetvJXvILR/Wrh5QH_xiYXu_1X77sJA/M2lxW3UXDD/?n_b=MSg4NDQpMzAzIDI0NDE=&amp;amp;s_1=1412-c725c96ca0</t>
  </si>
  <si>
    <t>3.233.166.5</t>
  </si>
  <si>
    <t>602c129b7f8c8</t>
  </si>
  <si>
    <t>http://3.233.166.5/us4961/windows/newe/index.php?source=21a420901e1202f7aa900d95f859219e</t>
  </si>
  <si>
    <t>6c3mfquqlv.gq</t>
  </si>
  <si>
    <t>104.21.7.203</t>
  </si>
  <si>
    <t>602c12b907b6e</t>
  </si>
  <si>
    <t>https://6c3mfquqlv.gq/_72_d_Oe1iaetvJXvILR/Wrh5QH_xiYXu_1X77sJA/M2lxW3UXDD/?n_b=MSg4NDQpMzAzIDQyMTE=&amp;amp;s_1=s207_288000</t>
  </si>
  <si>
    <t>159.203.13.147</t>
  </si>
  <si>
    <t>602c234b13713</t>
  </si>
  <si>
    <t>http://159.203.13.147/a01010101cvv01bEEMIN00101CH00YY1888/</t>
  </si>
  <si>
    <t>1317831068.rsc.cdn77.org</t>
  </si>
  <si>
    <t>195.181.175.46</t>
  </si>
  <si>
    <t>60369d2036930</t>
  </si>
  <si>
    <t>https://1317831068.rsc.cdn77.org/22wx/?phone=+1-(888)-401-1506&amp;amp;</t>
  </si>
  <si>
    <t>1305324826.rsc.cdn77.org</t>
  </si>
  <si>
    <t>602e8d37bfb99</t>
  </si>
  <si>
    <t>https://1305324826.rsc.cdn77.org/microfx1macxx1/?phone=+1-(888)-417-4094&amp;amp;</t>
  </si>
  <si>
    <t>1723256907.rsc.cdn77.org</t>
  </si>
  <si>
    <t>602d6be5403ad</t>
  </si>
  <si>
    <t>https://1723256907.rsc.cdn77.org/2x2win1x1/?phone=+1-(888)-417-4064&amp;amp;</t>
  </si>
  <si>
    <t>206.189.33.227</t>
  </si>
  <si>
    <t>602d6d1be19ae</t>
  </si>
  <si>
    <t>http://206.189.33.227/forlearning/onlineschool/WMM0n01xmse0AN7cur0it0yCH008NV00/?sub1={{zoneid}}&amp;amp;sub2={{subid}}&amp;amp;sub3={{ctoken}}&amp;amp;sub4={{ip}}&amp;</t>
  </si>
  <si>
    <t>865foreground.ga</t>
  </si>
  <si>
    <t>172.67.161.247</t>
  </si>
  <si>
    <t>602d7ccee3891</t>
  </si>
  <si>
    <t>https://865foreground.ga/JPfsdd-sdds0s0-4845.ini0hy/XkfsdbfMSdFFhfj1188xMM/</t>
  </si>
  <si>
    <t>2www.nbsc1ds6ow.win</t>
  </si>
  <si>
    <t>104.21.87.119</t>
  </si>
  <si>
    <t>602d89355adff</t>
  </si>
  <si>
    <t>https://2www.nbsc1ds6ow.win/57931/IeEg/index.html</t>
  </si>
  <si>
    <t>3www.osesqgd4wu.win</t>
  </si>
  <si>
    <t>172.67.160.200</t>
  </si>
  <si>
    <t>602e85777a509</t>
  </si>
  <si>
    <t>https://3www.osesqgd4wu.win/57931/IeEg/index.html</t>
  </si>
  <si>
    <t>68.183.227.27</t>
  </si>
  <si>
    <t>602e89ce3b7bf</t>
  </si>
  <si>
    <t>http://68.183.227.27/classroom/forlearning/WMM0n01xmse0AN7cur0it0yCH008NV00/?sub1=D5KINGEHPW&amp;amp;sub2=4234259&amp;amp;sub3=ij4kg4jjyb8swmydmbow&amp;amp;sub4=73.</t>
  </si>
  <si>
    <t>a3hjkjjkhjk.s3.amazonaws.com</t>
  </si>
  <si>
    <t>52.216.106.236</t>
  </si>
  <si>
    <t>602e902d4d218</t>
  </si>
  <si>
    <t>https://a3hjkjjkhjk.s3.amazonaws.com/index.html</t>
  </si>
  <si>
    <t>start-setup-norton.online</t>
  </si>
  <si>
    <t>104.21.84.87</t>
  </si>
  <si>
    <t>602e97908d797</t>
  </si>
  <si>
    <t>https://start-setup-norton.online/next/7IEyui_rwepyx18/</t>
  </si>
  <si>
    <t>1741363261.rsc.cdn77.org</t>
  </si>
  <si>
    <t>195.181.175.48</t>
  </si>
  <si>
    <t>6037e9e91cc4a</t>
  </si>
  <si>
    <t>https://1741363261.rsc.cdn77.org/22wx/?phone=+1-(888)-651-9492&amp;amp;</t>
  </si>
  <si>
    <t>1328544057.rsc.cdn77.org</t>
  </si>
  <si>
    <t>602e99c5bafe9</t>
  </si>
  <si>
    <t>https://1328544057.rsc.cdn77.org/2x2win1x1/?phone=+1-(888)-655-2061&amp;amp;</t>
  </si>
  <si>
    <t>206.189.91.86</t>
  </si>
  <si>
    <t>602e9b0ad33da</t>
  </si>
  <si>
    <t>http://206.189.91.86/schoolroom/onlinestudy/WMM0n01xmse0AN7cur0it0yCH008NV00/?sub1=D43O9GEHPW&amp;amp;sub2=6576-45148&amp;amp;sub3=ij4kvczp336rdieeaz7s&amp;amp;sub4</t>
  </si>
  <si>
    <t>09messujkh.azurewebsites.net</t>
  </si>
  <si>
    <t>191.235.228.33</t>
  </si>
  <si>
    <t>60df3c5eea8ed</t>
  </si>
  <si>
    <t>https://09messujkh.azurewebsites.net/W088MSi08880Moit0yCED0008Mhi0/index.html</t>
  </si>
  <si>
    <t>36aurauikj.azurewebsites.net</t>
  </si>
  <si>
    <t>60de314a40ee1</t>
  </si>
  <si>
    <t>https://36aurauikj.azurewebsites.net/W088MSi08880Moit0yCH0008Mhi0/index.html</t>
  </si>
  <si>
    <t>10messikgf.azurewebsites.net</t>
  </si>
  <si>
    <t>60ddf15d79b38</t>
  </si>
  <si>
    <t>https://10messikgf.azurewebsites.net/W088MSi08880Moit0yCED0008Mhi0/index.html</t>
  </si>
  <si>
    <t>15byteujkm.azurewebsites.net</t>
  </si>
  <si>
    <t>60dcbf67d0d72</t>
  </si>
  <si>
    <t>https://15byteujkm.azurewebsites.net/W088MSi08880Moit0yCED0008Mhi0/index.html</t>
  </si>
  <si>
    <t>10byteujhg.azurewebsites.net</t>
  </si>
  <si>
    <t>60dcbcd56251d</t>
  </si>
  <si>
    <t>https://10byteujhg.azurewebsites.net/W088MSi08880Moit0yCED0008Mhi0/index.html</t>
  </si>
  <si>
    <t>20messjklm.azurewebsites.net</t>
  </si>
  <si>
    <t>60dc9fb503881</t>
  </si>
  <si>
    <t>https://20messjklm.azurewebsites.net/W088MSi08880Moit0yCED0008Mhi0/index.html</t>
  </si>
  <si>
    <t>13messjklo.azurewebsites.net</t>
  </si>
  <si>
    <t>60dc9c97abd3a</t>
  </si>
  <si>
    <t>https://13messjklo.azurewebsites.net/W088MSi08880Moit0yCED0008Mhi0/index.html</t>
  </si>
  <si>
    <t>10tinyzxsa.azurewebsites.net</t>
  </si>
  <si>
    <t>60da0cf4ae803</t>
  </si>
  <si>
    <t>https://10tinyzxsa.azurewebsites.net/W088MSi08880Moit0yCH0008Mhi0/index.html</t>
  </si>
  <si>
    <t>09tinyasdx.azurewebsites.net</t>
  </si>
  <si>
    <t>60da0b127149c</t>
  </si>
  <si>
    <t>https://09tinyasdx.azurewebsites.net/W088MSi08880Moit0yCED0008Mhi0/index.html</t>
  </si>
  <si>
    <t>32messqwsa.azurewebsites.net</t>
  </si>
  <si>
    <t>60db585ccf178</t>
  </si>
  <si>
    <t>https://32messqwsa.azurewebsites.net/W088MSi08880Moit0yCED0008Mhi0/index.html</t>
  </si>
  <si>
    <t>27torronikjm.azurewebsites.net</t>
  </si>
  <si>
    <t>60da18ec6133f</t>
  </si>
  <si>
    <t>https://27torronikjm.azurewebsites.net/W088MSi08880Moit0yCED0008Mhi0/index.html</t>
  </si>
  <si>
    <t>24torronyhgb.azurewebsites.net</t>
  </si>
  <si>
    <t>60d6274eec1e2</t>
  </si>
  <si>
    <t>https://24torronyhgb.azurewebsites.net/W088MSi08880Moit0yCH0008Mhi0/index.html</t>
  </si>
  <si>
    <t>20threptujhg.azurewebsites.net</t>
  </si>
  <si>
    <t>60d5fd4512cb3</t>
  </si>
  <si>
    <t>https://20threptujhg.azurewebsites.net/W088MSi08880Moit0yCED0008Mhi0/index.html</t>
  </si>
  <si>
    <t>20torronujki.azurewebsites.net</t>
  </si>
  <si>
    <t>60d37ca098e23</t>
  </si>
  <si>
    <t>https://20torronujki.azurewebsites.net/W088MSi08880Moit0yCED0008Mhi0/index.html</t>
  </si>
  <si>
    <t>47teamxsda.azurewebsites.net</t>
  </si>
  <si>
    <t>60d23ae770ba1</t>
  </si>
  <si>
    <t>https://47teamxsda.azurewebsites.net/W088MSi08880Moit0yCED0008Mhi0/index.html</t>
  </si>
  <si>
    <t>52tinyujhy.azurewebsites.net</t>
  </si>
  <si>
    <t>60d215d8d61c2</t>
  </si>
  <si>
    <t>https://52tinyujhy.azurewebsites.net/W088MSi08880Moit0yCED0008Mhi0/index.html</t>
  </si>
  <si>
    <t>51tinyjkhy.azurewebsites.net</t>
  </si>
  <si>
    <t>60d215a42740d</t>
  </si>
  <si>
    <t>https://51tinyjkhy.azurewebsites.net/W088MSi08880Moit0yCED0008Mhi0/index.html</t>
  </si>
  <si>
    <t>44tinyikju.azurewebsites.net</t>
  </si>
  <si>
    <t>60d2119a354f8</t>
  </si>
  <si>
    <t>https://44tinyikju.azurewebsites.net/W088MSi08880Moit0yCED0008Mhi0/index.html</t>
  </si>
  <si>
    <t>42tinyjklo.azurewebsites.net</t>
  </si>
  <si>
    <t>60d210b7cb974</t>
  </si>
  <si>
    <t>https://42tinyjklo.azurewebsites.net/W088MSi08880Moit0yCED0008Mhi0/index.html</t>
  </si>
  <si>
    <t>36tinyikju.azurewebsites.net</t>
  </si>
  <si>
    <t>60d20e368cbb7</t>
  </si>
  <si>
    <t>https://36tinyikju.azurewebsites.net/W088MSi08880Moit0yCED0008Mhi0/index.html</t>
  </si>
  <si>
    <t>61teamujki.azurewebsites.net</t>
  </si>
  <si>
    <t>60d0e721c7c32</t>
  </si>
  <si>
    <t>https://61teamujki.azurewebsites.net/W088MSi08880Moit0yMA0008Mhi0/index.html</t>
  </si>
  <si>
    <t>43teamujhy.azurewebsites.net</t>
  </si>
  <si>
    <t>60d0e08c26702</t>
  </si>
  <si>
    <t>https://43teamujhy.azurewebsites.net/W088MSi08880Moit0yCED0008Mhi0/index.html</t>
  </si>
  <si>
    <t>39teamqasx.azurewebsites.net</t>
  </si>
  <si>
    <t>60d0deacab402</t>
  </si>
  <si>
    <t>https://39teamqasx.azurewebsites.net/W088MSi08880Moit0yCED0008Mhi0/index.html</t>
  </si>
  <si>
    <t>24torronasdw.azurewebsites.net</t>
  </si>
  <si>
    <t>60d0d4dfc0b9a</t>
  </si>
  <si>
    <t>https://24torronasdw.azurewebsites.net/W088MSi08880Moit0yCED0008Mhi0/index.html</t>
  </si>
  <si>
    <t>23torronasdx.azurewebsites.net</t>
  </si>
  <si>
    <t>60d0d498cb7f9</t>
  </si>
  <si>
    <t>https://23torronasdx.azurewebsites.net/W088MSi08880Moit0yCED0008Mhi0/index.html</t>
  </si>
  <si>
    <t>20torronasdf.azurewebsites.net</t>
  </si>
  <si>
    <t>60d0d325dc0e7</t>
  </si>
  <si>
    <t>https://20torronasdf.azurewebsites.net/W088MSi08880Moit0yCED0008Mhi0/index.html</t>
  </si>
  <si>
    <t>64tinyasdw.azurewebsites.net</t>
  </si>
  <si>
    <t>60d0cb029b853</t>
  </si>
  <si>
    <t>https://64tinyasdw.azurewebsites.net/W088MSi08880Moit0yCED0008Mhi0/index.html</t>
  </si>
  <si>
    <t>20threptzasd.azurewebsites.net</t>
  </si>
  <si>
    <t>60d4ac7141542</t>
  </si>
  <si>
    <t>https://20threptzasd.azurewebsites.net/W088MSi08880Moit0yCED0008Mhi0/index.html</t>
  </si>
  <si>
    <t>30torronasdx.azurewebsites.net</t>
  </si>
  <si>
    <t>60cb9543c53fa</t>
  </si>
  <si>
    <t>https://30torronasdx.azurewebsites.net/W088MSi08880Moit0yCED0008Mhi0/index.html</t>
  </si>
  <si>
    <t>56tinyqasz.azurewebsites.net</t>
  </si>
  <si>
    <t>60cb93de4ed9f</t>
  </si>
  <si>
    <t>https://56tinyqasz.azurewebsites.net/W088MSi08880Moit0yCED0008Mhi0/index.html</t>
  </si>
  <si>
    <t>42tinyasdx.azurewebsites.net</t>
  </si>
  <si>
    <t>60cb7d0ba8686</t>
  </si>
  <si>
    <t>https://42tinyasdx.azurewebsites.net/W088MSi08880Moit0yCED0008Mhi0/index.html</t>
  </si>
  <si>
    <t>36tinyasdc.azurewebsites.net</t>
  </si>
  <si>
    <t>60cb7a4473583</t>
  </si>
  <si>
    <t>https://36tinyasdc.azurewebsites.net/W088MSi08880Moit0yCED0008Mhi0/index.html</t>
  </si>
  <si>
    <t>30threptqwer.azurewebsites.net</t>
  </si>
  <si>
    <t>60cb77afa569a</t>
  </si>
  <si>
    <t>https://30threptqwer.azurewebsites.net/W088MSi08880Moit0yCED0008Mhi0/index.html</t>
  </si>
  <si>
    <t>22-corner-erfwe.azurewebsites.net</t>
  </si>
  <si>
    <t>609d65555b671</t>
  </si>
  <si>
    <t>https://22-corner-erfwe.azurewebsites.net/ERRWINIn01MSi0XXiUICH0MXGRAPHIC/index.html</t>
  </si>
  <si>
    <t>11get-connectedsdxc.azurewebsites.net</t>
  </si>
  <si>
    <t>6086e8c1652f6</t>
  </si>
  <si>
    <t>https://11get-connectedsdxc.azurewebsites.net/W088In01MSi08880it0yCH000811JD/index.html</t>
  </si>
  <si>
    <t>18quicksolutionyhjn.azurewebsites.net</t>
  </si>
  <si>
    <t>60786d1aedd94</t>
  </si>
  <si>
    <t>https://18quicksolutionyhjn.azurewebsites.net/ed98786543weiuhjbfdhgfJNFDBHGRYT78/</t>
  </si>
  <si>
    <t>11livesupportmjnb.azurewebsites.net</t>
  </si>
  <si>
    <t>603fc59b5f0d9</t>
  </si>
  <si>
    <t>https://11livesupportmjnb.azurewebsites.net/XOXMUS800844EDG844MMDD1857/</t>
  </si>
  <si>
    <t>02helpandsupport.azurewebsites.net</t>
  </si>
  <si>
    <t>603931f0965a5</t>
  </si>
  <si>
    <t>https://02helpandsupport.azurewebsites.net/bEEMIN00101CH00YY1888/</t>
  </si>
  <si>
    <t>06getsupportxsza.azurewebsites.net</t>
  </si>
  <si>
    <t>6038095742d76</t>
  </si>
  <si>
    <t>https://06getsupportxsza.azurewebsites.net/bEEMIN00101CH00YY1888/</t>
  </si>
  <si>
    <t>55helpandsupportswed.azurewebsites.net</t>
  </si>
  <si>
    <t>603578f9f30ed</t>
  </si>
  <si>
    <t>https://55helpandsupportswed.azurewebsites.net/bEEMIN00101CH00YY1888/</t>
  </si>
  <si>
    <t>25helpandsupportcdew.azurewebsites.net</t>
  </si>
  <si>
    <t>6033f4a22d6cd</t>
  </si>
  <si>
    <t>https://25helpandsupportcdew.azurewebsites.net/bEEMIN00101CH00YY1888/</t>
  </si>
  <si>
    <t>23helpandsupportvfcd.azurewebsites.net</t>
  </si>
  <si>
    <t>602e9d9c1203d</t>
  </si>
  <si>
    <t>https://23helpandsupportvfcd.azurewebsites.net/bEEMIN00101CH00YY1888/</t>
  </si>
  <si>
    <t>bufferbyte483.ga</t>
  </si>
  <si>
    <t>104.21.8.20</t>
  </si>
  <si>
    <t>602ea0a7c5c92</t>
  </si>
  <si>
    <t>https://bufferbyte483.ga/XN0rt0nDhelpli0nexY021526/WinY8884sec0urity0119yyY88Y/</t>
  </si>
  <si>
    <t>AS398101</t>
  </si>
  <si>
    <t>securezonesafe.club</t>
  </si>
  <si>
    <t>208.109.20.76</t>
  </si>
  <si>
    <t>602ea5239c013</t>
  </si>
  <si>
    <t>http://securezonesafe.club/</t>
  </si>
  <si>
    <t>systemzone.club</t>
  </si>
  <si>
    <t>602ea4d598d12</t>
  </si>
  <si>
    <t>http://systemzone.club/0MAfdfdfdfddfd99900AB/</t>
  </si>
  <si>
    <t>www.securezones.club</t>
  </si>
  <si>
    <t>602ea3e771c9c</t>
  </si>
  <si>
    <t>http://www.securezones.club/</t>
  </si>
  <si>
    <t>www.securezonesafe.club</t>
  </si>
  <si>
    <t>602ea27f2d01c</t>
  </si>
  <si>
    <t>https://www.securezonesafe.club/</t>
  </si>
  <si>
    <t>545encrypt.ml</t>
  </si>
  <si>
    <t>104.21.59.52</t>
  </si>
  <si>
    <t>602ea32748a7b</t>
  </si>
  <si>
    <t>https://545encrypt.ml/JPfsdd-sdds0s0-4845.ini0hy/XkfsdbfMSdFFhfj1188xMM/</t>
  </si>
  <si>
    <t>vibrant-ishizaka.159-65-159-154.plesk.page</t>
  </si>
  <si>
    <t>159.65.159.154</t>
  </si>
  <si>
    <t>602eb4f585be5</t>
  </si>
  <si>
    <t>https://vibrant-ishizaka.159-65-159-154.plesk.page/WinFhelpxcodexwin444CHeX/</t>
  </si>
  <si>
    <t>exacute673.ml</t>
  </si>
  <si>
    <t>104.21.87.88</t>
  </si>
  <si>
    <t>602ebcd42299e</t>
  </si>
  <si>
    <t>https://exacute673.ml/XN0rt0nDhelpli0nexY147487/WinY8884sec0urity0119yyY88Y/</t>
  </si>
  <si>
    <t>138.68.53.214</t>
  </si>
  <si>
    <t>602ee3523ab1b</t>
  </si>
  <si>
    <t>http://138.68.53.214/systemerror-win-chx/?phone=.&amp;amp;</t>
  </si>
  <si>
    <t>d1a7pyyarlfq2h.cloudfront.net</t>
  </si>
  <si>
    <t>13.32.144.216</t>
  </si>
  <si>
    <t>602ffd4c69645</t>
  </si>
  <si>
    <t>https://d1a7pyyarlfq2h.cloudfront.net/XMCH7xe/?phone=+1-(888)-335-2919&amp;amp;rb=JSc99a1659b513415886cb88870c3fd8cf&amp;amp;did=330606&amp;amp;cid=154416&amp;amp;adid=</t>
  </si>
  <si>
    <t>gracious-gagarin.159-89-163-133.plesk.page</t>
  </si>
  <si>
    <t>159.89.163.133</t>
  </si>
  <si>
    <t>602ff3ad9b7ed</t>
  </si>
  <si>
    <t>https://gracious-gagarin.159-89-163-133.plesk.page/WinFhelpxcodexwin444CHeX/</t>
  </si>
  <si>
    <t>AS29873</t>
  </si>
  <si>
    <t>microsoftinvoice.tech</t>
  </si>
  <si>
    <t>The Endurance International Group, Inc.</t>
  </si>
  <si>
    <t>66.96.147.120</t>
  </si>
  <si>
    <t>NewfoldDigital,Inc.</t>
  </si>
  <si>
    <t>60307a79ab7ed</t>
  </si>
  <si>
    <t>https://microsoftinvoice.tech/</t>
  </si>
  <si>
    <t>tech</t>
  </si>
  <si>
    <t>0emoticon943.ml</t>
  </si>
  <si>
    <t>104.21.9.245</t>
  </si>
  <si>
    <t>60308006a8adf</t>
  </si>
  <si>
    <t>https://0emoticon943.ml/JPfsdd-sdds0s0-4238.inf0hy/XkfsdbfMSdFFhfj1188xMM/</t>
  </si>
  <si>
    <t>178.128.85.112</t>
  </si>
  <si>
    <t>603024d04dc54</t>
  </si>
  <si>
    <t>http://178.128.85.112/clasroom/forlearning/WMM0n01xmse0AN7cur0it0yCH008NV00/?sub1=D45NDGEHPW&amp;amp;sub2=6e0w95&amp;amp;sub3=ij4kw19klp5rrf7nb000&amp;amp;sub4=158.</t>
  </si>
  <si>
    <t>206.189.34.16</t>
  </si>
  <si>
    <t>603032718ad5a</t>
  </si>
  <si>
    <t>http://206.189.34.16/onlineschool/classroom/WMM0n01xmse0AN7cur0it0yCH008NV00/?sub1=D43O9GEHPW&amp;amp;sub2=6576-45148&amp;amp;sub3=ij4koq1801ar1l3amz9k&amp;amp;sub4</t>
  </si>
  <si>
    <t>52.219.64.33</t>
  </si>
  <si>
    <t>60303730ece5e</t>
  </si>
  <si>
    <t>http://s3.ap-south-1.amazonaws.com/ms-win-oiuyhkljncvgsbs-2741-hftdcd.us/index.html</t>
  </si>
  <si>
    <t>oriented532.ga</t>
  </si>
  <si>
    <t>172.64.134.19</t>
  </si>
  <si>
    <t>60315c176055b</t>
  </si>
  <si>
    <t>https://oriented532.ga/XN0rt0nDhelpli0nexY379209/WinY8884sec0urity0119yyY88Y/</t>
  </si>
  <si>
    <t>157.230.242.189</t>
  </si>
  <si>
    <t>60315cda2ccbf</t>
  </si>
  <si>
    <t>http://157.230.242.189/studyonline/schoolroom/WMM0n01xmse0AN7cur0it0yCH008NV00/?sub1=D45NDGEHPW&amp;amp;sub2=6e0w95&amp;amp;sub3=ij4kts5gxybizjg936el&amp;amp;sub4=1</t>
  </si>
  <si>
    <t>frosty-stonebraker.139-59-26-62.plesk.page</t>
  </si>
  <si>
    <t>139.59.26.62</t>
  </si>
  <si>
    <t>603144f869c26</t>
  </si>
  <si>
    <t>https://frosty-stonebraker.139-59-26-62.plesk.page/WinFhelpxcodexwin444CHeX/</t>
  </si>
  <si>
    <t>20zabmlxrk.gq</t>
  </si>
  <si>
    <t>172.67.162.136</t>
  </si>
  <si>
    <t>603165b5bf6d7</t>
  </si>
  <si>
    <t>https://20zabmlxrk.gq/_72_d_Oe1iaetvJXvILR/Wrh5QH_xiYXu_1X77sJA/M2lxW3UXDD/?n_b=MSg4ODgpNjAyIDM1ODc=&amp;amp;s_1=s1033_10998</t>
  </si>
  <si>
    <t>178.128.49.113</t>
  </si>
  <si>
    <t>6031a3531f1da</t>
  </si>
  <si>
    <t>http://178.128.49.113/classroom/forlearning/WMM0n01xmse0AN7cur0it0yCH008NV00/?sub1=D43O9GEHPW&amp;amp;sub2=6576-45148&amp;amp;sub3=ij4k2xljcihuaud5lc2n&amp;amp;sub4</t>
  </si>
  <si>
    <t>dignite566.ga</t>
  </si>
  <si>
    <t>172.67.219.50</t>
  </si>
  <si>
    <t>603207c989613</t>
  </si>
  <si>
    <t>https://dignite566.ga/JPfsdd-sdds0s0-0007.inf0hy/XkfsdbfMSdFFhfj1188xMM/</t>
  </si>
  <si>
    <t>458objective.ga</t>
  </si>
  <si>
    <t>172.64.101.23</t>
  </si>
  <si>
    <t>603269ca81177</t>
  </si>
  <si>
    <t>https://458objective.ga/XN0rt0nDhelpli0nexY993250/WinY8884sec0urity0119yyY88Y/</t>
  </si>
  <si>
    <t>157.230.255.78</t>
  </si>
  <si>
    <t>6032e66945053</t>
  </si>
  <si>
    <t>http://157.230.255.78/reading/books/WMM0n01xmse0AN7cur0it0yCH008NV00/?sub1=D41FNGEHPW&amp;amp;sub2=1234365726&amp;amp;sub3=ij4ky5qkj5nmwctddpot&amp;amp;sub4=158.222</t>
  </si>
  <si>
    <t>533procedure.ga</t>
  </si>
  <si>
    <t>172.64.130.13</t>
  </si>
  <si>
    <t>6033a727a1bfa</t>
  </si>
  <si>
    <t>https://533procedure.ga/XN0rt0nDhelpli0nexY834013/WinY8884sec0urity0119yyY88Y/</t>
  </si>
  <si>
    <t>mystifying-lewin.206-189-134-125.plesk.page</t>
  </si>
  <si>
    <t>206.189.134.125</t>
  </si>
  <si>
    <t>6033d370784fe</t>
  </si>
  <si>
    <t>https://mystifying-lewin.206-189-134-125.plesk.page/WinFhelpxcodexwin444IEeX/</t>
  </si>
  <si>
    <t>w2xu4at1w.gq</t>
  </si>
  <si>
    <t>172.67.130.29</t>
  </si>
  <si>
    <t>6033e9335700e</t>
  </si>
  <si>
    <t>https://w2xu4at1w.gq/_jsu_GzOn6mOyM1s_Q/CwEhlzBgDMW__eI_V3/xCcGEyY__L/?n_b=MSg4ODgpMzA4IDU4NjM=&amp;amp;s_1=63-2382481420447</t>
  </si>
  <si>
    <t>6033e8458ea92</t>
  </si>
  <si>
    <t>https://w2xu4at1w.gq/_jsu_GzOn6mOyM1s_Q/CwEhlzBgDMW__eI_V3/xCcGEyY__L/?n_b=MSg4MzMpMjU3IDMxOTY=&amp;amp;s_1=s734_247498-272363</t>
  </si>
  <si>
    <t>1346430233.rsc.cdn77.org</t>
  </si>
  <si>
    <t>195.181.175.45</t>
  </si>
  <si>
    <t>6033ebc2aa192</t>
  </si>
  <si>
    <t>https://1346430233.rsc.cdn77.org/xx18windows18xx/?phone=+1-(888)-585-5471&amp;amp;</t>
  </si>
  <si>
    <t>1460644473.rsc.cdn77.org</t>
  </si>
  <si>
    <t>6033db0006d51</t>
  </si>
  <si>
    <t>https://1460644473.rsc.cdn77.org/xx18windows18xx/?phone=+1-(888)-316-5239&amp;amp;</t>
  </si>
  <si>
    <t>franbusinessex.com</t>
  </si>
  <si>
    <t>172.67.174.35</t>
  </si>
  <si>
    <t>6033ee17f3a61</t>
  </si>
  <si>
    <t>https://franbusinessex.com/error0483s/WinhelpxcodexwinCHsys88880101010102/</t>
  </si>
  <si>
    <t>c88lx8nd5.ga</t>
  </si>
  <si>
    <t>172.67.132.173</t>
  </si>
  <si>
    <t>6033f61f0e8ad</t>
  </si>
  <si>
    <t>https://c88lx8nd5.ga/_jsu_GzOn6mOyM1s_Q/CwEhlzBgDMW__eI_V3/xCcGEyY__L/?n_b=MSg4ODgpNjYyIDgxNzQ=&amp;amp;s_1=1412-c725c96ca0</t>
  </si>
  <si>
    <t>165.22.252.207</t>
  </si>
  <si>
    <t>6033fa49c4b23</t>
  </si>
  <si>
    <t>http://165.22.252.207/</t>
  </si>
  <si>
    <t>206.189.71.102</t>
  </si>
  <si>
    <t>6033faf1d4e18</t>
  </si>
  <si>
    <t>http://206.189.71.102/systemerror-win-ff/?phone=.&amp;amp;</t>
  </si>
  <si>
    <t>copper-neutral-links.co.uk</t>
  </si>
  <si>
    <t>104.21.79.242</t>
  </si>
  <si>
    <t>6033fbeb951bd</t>
  </si>
  <si>
    <t>https://copper-neutral-links.co.uk/codemasgss/CEDfdfffdgfgfgdfgdfgfMPr88CtySS/</t>
  </si>
  <si>
    <t>uk</t>
  </si>
  <si>
    <t>camper-tours.com</t>
  </si>
  <si>
    <t>104.21.61.71</t>
  </si>
  <si>
    <t>6034011da9550</t>
  </si>
  <si>
    <t>https://camper-tours.com/codemasgss/CHfdfffdgfgfgdfgdfgfMPr88CtySS/</t>
  </si>
  <si>
    <t>bsetmefit.xyz</t>
  </si>
  <si>
    <t>142.93.182.57</t>
  </si>
  <si>
    <t>603641a13429f</t>
  </si>
  <si>
    <t>https://bsetmefit.xyz/4660def_Edge_New_updated/Winhelpxcode8080xwinCHerrorxxdc/</t>
  </si>
  <si>
    <t>setmefit.xyz</t>
  </si>
  <si>
    <t>60340b0e354d0</t>
  </si>
  <si>
    <t>https://setmefit.xyz/4660def_Edge_New_updated/Winhelpxcode8080xwinIEerrorxxdc/</t>
  </si>
  <si>
    <t>134.209.107.88</t>
  </si>
  <si>
    <t>60340df4bb6c9</t>
  </si>
  <si>
    <t>http://134.209.107.88/jobs/portal/WMM0n01xmse0AN7cur0it0yCH008NV00/?sub1={{zoneid}}&amp;amp;sub2={{subid}}&amp;amp;sub3={{ctoken}}&amp;amp;sub4={{ip}}&amp;amp;sub5={{us</t>
  </si>
  <si>
    <t>3i8i4zz1e.ga</t>
  </si>
  <si>
    <t>104.21.35.175</t>
  </si>
  <si>
    <t>60340eb05a4e4</t>
  </si>
  <si>
    <t>https://3i8i4zz1e.ga/_jsu_GzOn6mOyM1s_Q/CwEhlzBgDMW__eI_V3/xCcGEyY__L/?n_b=MSg4ODgpNjYzIDAxMDc=&amp;amp;s_1=1412-c725c96ca0</t>
  </si>
  <si>
    <t>error0223.s3.us-east-2.amazonaws.com</t>
  </si>
  <si>
    <t>52.219.84.120</t>
  </si>
  <si>
    <t>603555fcc6fe7</t>
  </si>
  <si>
    <t>https://error0223.s3.us-east-2.amazonaws.com/index.html</t>
  </si>
  <si>
    <t>d1oieiz0hsueq.cloudfront.net</t>
  </si>
  <si>
    <t>13.32.144.56</t>
  </si>
  <si>
    <t>60350ef123aad</t>
  </si>
  <si>
    <t>http://d1oieiz0hsueq.cloudfront.net/XMCH7xe/?phone=050-3161-0307&amp;amp;</t>
  </si>
  <si>
    <t>7s5vbw9b.ga</t>
  </si>
  <si>
    <t>104.21.93.113</t>
  </si>
  <si>
    <t>60351efe7313b</t>
  </si>
  <si>
    <t>https://7s5vbw9b.ga/_jsu_GzOn6mOyM1s_Q/CwEhlzBgDMW__eI_V3/xCcGEyY__L/?n_b=MSg4NDQpMjY0IDUzMjI=&amp;amp;s_1=1412-c725c96ca0</t>
  </si>
  <si>
    <t>60351e4c4609d</t>
  </si>
  <si>
    <t>https://7s5vbw9b.ga/_jsu_GzOn6mOyM1s_Q/CwEhlzBgDMW__eI_V3/xCcGEyY__L/?n_b=MSg4NDQpMzAzIDU1NTM=&amp;amp;s_1=63-2382481420447</t>
  </si>
  <si>
    <t>a1d6556.s3.amazonaws.com</t>
  </si>
  <si>
    <t>52.217.32.204</t>
  </si>
  <si>
    <t>60350a359b6e6</t>
  </si>
  <si>
    <t>https://a1d6556.s3.amazonaws.com/index.html</t>
  </si>
  <si>
    <t>bootnet245.ga</t>
  </si>
  <si>
    <t>172.67.177.69</t>
  </si>
  <si>
    <t>60364135415b9</t>
  </si>
  <si>
    <t>https://bootnet245.ga/JPfsdd-sdds0s0-0007.inf0hy/XkfsdbfMSdFFhfj1188xMM/</t>
  </si>
  <si>
    <t>funny-sammet.142-93-208-10.plesk.page</t>
  </si>
  <si>
    <t>142.93.208.10</t>
  </si>
  <si>
    <t>https://funny-sammet.142-93-208-10.plesk.page/WinFhelpxcodexwin444CHeX/</t>
  </si>
  <si>
    <t>Manchester</t>
  </si>
  <si>
    <t>www.authsignin.com</t>
  </si>
  <si>
    <t>141.136.39.242</t>
  </si>
  <si>
    <t>6052666143c82</t>
  </si>
  <si>
    <t>https://www.authsignin.com/</t>
  </si>
  <si>
    <t>authsignin.com</t>
  </si>
  <si>
    <t>6035451a5efed</t>
  </si>
  <si>
    <t>http://authsignin.com</t>
  </si>
  <si>
    <t>www.shopholderfree.xyz</t>
  </si>
  <si>
    <t>162.0.215.21</t>
  </si>
  <si>
    <t>60400900572a2</t>
  </si>
  <si>
    <t>https://www.shopholderfree.xyz/</t>
  </si>
  <si>
    <t>warrenty-alertm.xyz</t>
  </si>
  <si>
    <t>60354535275d5</t>
  </si>
  <si>
    <t>http://warrenty-alertm.xyz</t>
  </si>
  <si>
    <t>tethering565.ml</t>
  </si>
  <si>
    <t>172.67.195.105</t>
  </si>
  <si>
    <t>60366c0eae39c</t>
  </si>
  <si>
    <t>https://tethering565.ml/XN0rt0nDhelpli0nexY140611/WinY8884sec0urity0119yyY88Y/</t>
  </si>
  <si>
    <t>21scan-resultsyhgb.azurewebsites.net</t>
  </si>
  <si>
    <t>51.104.28.69</t>
  </si>
  <si>
    <t>6058e65e8a269</t>
  </si>
  <si>
    <t>https://21scan-resultsyhgb.azurewebsites.net/PAHDJ0SGJA844012CHXAGEODB100F/</t>
  </si>
  <si>
    <t>51manage-resultsyhju.azurewebsites.net</t>
  </si>
  <si>
    <t>6047d69bc052b</t>
  </si>
  <si>
    <t>https://51manage-resultsyhju.azurewebsites.net/PAHDJ0SGJA844012CHXAGEODB100F/</t>
  </si>
  <si>
    <t>47manage-resultsqasw.azurewebsites.net</t>
  </si>
  <si>
    <t>6047d44a97632</t>
  </si>
  <si>
    <t>https://47manage-resultsqasw.azurewebsites.net/PAHDJ0SGJA844012CHXAGEODB100F/</t>
  </si>
  <si>
    <t>05getsupportcxza.azurewebsites.net</t>
  </si>
  <si>
    <t>603807ab7b018</t>
  </si>
  <si>
    <t>https://05getsupportcxza.azurewebsites.net/bEEMIN00101CH00YY1888/</t>
  </si>
  <si>
    <t>04helpandsupportcxdf.azurewebsites.net</t>
  </si>
  <si>
    <t>6037efb70b88c</t>
  </si>
  <si>
    <t>https://04helpandsupportcxdf.azurewebsites.net/bEEMIN00101CH00YY1888/</t>
  </si>
  <si>
    <t>21getsupportxdfr.azurewebsites.net</t>
  </si>
  <si>
    <t>603687bb7c690</t>
  </si>
  <si>
    <t>https://21getsupportxdfr.azurewebsites.net/bEEMIN00101CH00YY1888/</t>
  </si>
  <si>
    <t>ckytbpq0.ga</t>
  </si>
  <si>
    <t>104.21.45.62</t>
  </si>
  <si>
    <t>60369bf161336</t>
  </si>
  <si>
    <t>https://ckytbpq0.ga/_jsu_GzOn6mOyM1s_Q/CwEhlzBgDMW__eI_V3/xCcGEyY__L/?n_b=MSg4NDQpMzI5IDIwNzI=&amp;amp;s_1=s734_247498-272363</t>
  </si>
  <si>
    <t>172.67.210.186</t>
  </si>
  <si>
    <t>60369c595f172</t>
  </si>
  <si>
    <t>https://ckytbpq0.ga/_jsu_GzOn6mOyM1s_Q/CwEhlzBgDMW__eI_V3/xCcGEyY__L/?n_b=MSg4MzMpMzE2IDYwNjM=&amp;amp;s_1=1412-c725c96ca0</t>
  </si>
  <si>
    <t>128.199.76.218</t>
  </si>
  <si>
    <t>6036a349cc2e3</t>
  </si>
  <si>
    <t>http://128.199.76.218/studyonline/classrooms/WMM0n01xmse0AN7cur0it0yCH008NV00/?sub1=D45NOGEHPW&amp;amp;sub2=6e0w95&amp;amp;sub3=ij4ks7ikdin9s2ucfvrv&amp;amp;sub4=15</t>
  </si>
  <si>
    <t>52.219.84.98</t>
  </si>
  <si>
    <t>6036a63d3d890</t>
  </si>
  <si>
    <t>http://s3.us-east-2.amazonaws.com/ms-win-3842njncndnd-new-00-24.us/index.html</t>
  </si>
  <si>
    <t>vigorous-robinson.167-71-237-47.plesk.page</t>
  </si>
  <si>
    <t>167.71.237.47</t>
  </si>
  <si>
    <t>6037b8a5b7f94</t>
  </si>
  <si>
    <t>https://vigorous-robinson.167-71-237-47.plesk.page/WinFhelpxcodexwin444CHeX/</t>
  </si>
  <si>
    <t>sinkhole942.ga</t>
  </si>
  <si>
    <t>172.67.213.31</t>
  </si>
  <si>
    <t>6037b69b6ba0b</t>
  </si>
  <si>
    <t>https://sinkhole942.ga/XN0rt0nDhelpli0nexY1802260/W9inY8884sec0urity0Y88Y8/</t>
  </si>
  <si>
    <t>pedibyte204.ml</t>
  </si>
  <si>
    <t>172.67.143.203</t>
  </si>
  <si>
    <t>6037b8873e9f3</t>
  </si>
  <si>
    <t>https://pedibyte204.ml/JPfsddf-d0fd-f0df-d0fds0-9663.info/XkfsdbfMSdFFhfj1188xMMx/</t>
  </si>
  <si>
    <t>grandflooring.xyz</t>
  </si>
  <si>
    <t>172.67.151.53</t>
  </si>
  <si>
    <t>6037c7be66161</t>
  </si>
  <si>
    <t>https://grandflooring.xyz/codemasgss/MAfdfffdgfgfgdfgdfgf-188CtySS</t>
  </si>
  <si>
    <t>6037c7b57c282</t>
  </si>
  <si>
    <t>https://grandflooring.xyz/codemasgss/EDfdfffdgfgfgdfgdfgfMPr88CtySS</t>
  </si>
  <si>
    <t>6037c7ac0ce5c</t>
  </si>
  <si>
    <t>https://grandflooring.xyz/codemasgss/FFfdfffdgfgfgdfgdfgfMPr88CtySS</t>
  </si>
  <si>
    <t>6037c7a48d7c3</t>
  </si>
  <si>
    <t>https://grandflooring.xyz/codemasgss/CHfdfffdgfgfgdfgdfgfMPr88CtySS</t>
  </si>
  <si>
    <t>6037c737bd736</t>
  </si>
  <si>
    <t>https://grandflooring.xyz/codemasgss/CEDfdfffdgfgfgdfgdfgfMPr88CtySS/</t>
  </si>
  <si>
    <t>winsupport.xyz</t>
  </si>
  <si>
    <t>185.92.220.163</t>
  </si>
  <si>
    <t>6037d090dca00</t>
  </si>
  <si>
    <t>https://winsupport.xyz/FFWInhelp10010101xDE/</t>
  </si>
  <si>
    <t>qyujt82v.gq</t>
  </si>
  <si>
    <t>172.67.188.180</t>
  </si>
  <si>
    <t>6037e2dcf1af8</t>
  </si>
  <si>
    <t>https://qyujt82v.gq/_jsu_GzOn6mOyM1s_Q/CwEhlzBgDMW__eI_V3/xCcGEyY__L/?n_b=MSg4NDQpMjg4IDQxMTg=&amp;amp;s_1=295-328</t>
  </si>
  <si>
    <t>9mpqoowt.gq</t>
  </si>
  <si>
    <t>104.21.51.140</t>
  </si>
  <si>
    <t>6037e7dcbce6c</t>
  </si>
  <si>
    <t>https://9mpqoowt.gq/_jsu_GzOn6mOyM1s_Q/CwEhlzBgDMW__eI_V3/xCcGEyY__L/?n_b=MSg4NDQpNDEzIDU5NTY=&amp;amp;s_1=63-2382481420447</t>
  </si>
  <si>
    <t>6037e6f188ca0</t>
  </si>
  <si>
    <t>https://9mpqoowt.gq/_jsu_GzOn6mOyM1s_Q/CwEhlzBgDMW__eI_V3/xCcGEyY__L/?n_b=MSg4NDQpMzkwIDYzMTc=&amp;amp;s_1=s734_247498-272363</t>
  </si>
  <si>
    <t>172.67.181.41</t>
  </si>
  <si>
    <t>6037eafef07a1</t>
  </si>
  <si>
    <t>https://9mpqoowt.gq/_jsu_GzOn6mOyM1s_Q/CwEhlzBgDMW__eI_V3/xCcGEyY__L/?n_b=MSg4NDQpMzk2IDk5Mjk=&amp;amp;s_1=63-2382481420447</t>
  </si>
  <si>
    <t>139.59.245.44</t>
  </si>
  <si>
    <t>6037f12b3dae6</t>
  </si>
  <si>
    <t>http://139.59.245.44/classroom/forlearning/WMM0n01xmse0AN7cur0it0yCH008NV00/?sub1={{zoneid}}&amp;amp;sub2={{subid}}&amp;amp;sub3={{ctoken}}&amp;amp;sub4={{ip}}&amp;amp;</t>
  </si>
  <si>
    <t>archeive933.ga</t>
  </si>
  <si>
    <t>172.67.133.63</t>
  </si>
  <si>
    <t>6037f14d4c6f2</t>
  </si>
  <si>
    <t>https://archeive933.ga/dsa-ds0ad-sa0dsa-d0as-d0sa-d0s.jjnsdy/W8YY0n01xmse0AN77001cur0it0yCH00YY1888/</t>
  </si>
  <si>
    <t>139.59.97.93</t>
  </si>
  <si>
    <t>6038133f3f70a</t>
  </si>
  <si>
    <t>http://139.59.97.93/learningclass/schoolroom//WMM0n01xmse0AN7cur0it0yCH008NV00/?sub1=%7B%7Bzoneid%7D%7D&amp;amp;sub2=%7B%7Bsubid%7D%7D&amp;amp;sub3=%7B%7Bctoken</t>
  </si>
  <si>
    <t>bpn5dyrw.gq</t>
  </si>
  <si>
    <t>172.67.179.148</t>
  </si>
  <si>
    <t>60381a15dc139</t>
  </si>
  <si>
    <t>https://bpn5dyrw.gq/_jsu_GzOn6mOyM1s_Q/CwEhlzBgDMW__eI_V3/xCcGEyY__L/?n_b=MSg4NDQpMjM3IDMzMjc=&amp;amp;s_1=1412-c725c96ca0</t>
  </si>
  <si>
    <t>139.59.226.14</t>
  </si>
  <si>
    <t>60381fe358127</t>
  </si>
  <si>
    <t>http://139.59.226.14/classonline/forlearning/WMM0n01xmse0AN7cur0it0yCH008NV00/?sub1=D5807GEHPW&amp;amp;sub2=puadultall&amp;amp;sub3=gygwqenkzj41hg6hvub4&amp;amp;sub</t>
  </si>
  <si>
    <t>60381f7b6cdc4</t>
  </si>
  <si>
    <t>http://139.59.226.14/classonline/forlearning/WMM0n01xmse0AN7cur0it0yCH008NV00/?sub1=D5807GEHPW&amp;amp;sub2=puadultall&amp;amp;sub3=gygwrcdfar96lc243vbv&amp;amp;sub</t>
  </si>
  <si>
    <t>initialize249.ga</t>
  </si>
  <si>
    <t>104.21.63.54</t>
  </si>
  <si>
    <t>603820c970b91</t>
  </si>
  <si>
    <t>https://initialize249.ga/XN0rt0nDhelpli0nexY1857810/W9inY8884sec0urity0Y88Y8/</t>
  </si>
  <si>
    <t>y2ko1oxn.ga</t>
  </si>
  <si>
    <t>172.67.138.17</t>
  </si>
  <si>
    <t>603821caf0f2a</t>
  </si>
  <si>
    <t>https://y2ko1oxn.ga/_jsu_GzOn6mOyM1s_Q/CwEhlzBgDMW__eI_V3/xCcGEyY__L/?n_b=MSg4NDQpMzM3IDE4NTU=&amp;amp;s_1=1412-c725c96ca0</t>
  </si>
  <si>
    <t>52.210.219.45</t>
  </si>
  <si>
    <t>6038c90e121b4</t>
  </si>
  <si>
    <t>http://52.210.219.45/elect/nlpalace.html?=02-808-05-71</t>
  </si>
  <si>
    <t>52.214.181.252</t>
  </si>
  <si>
    <t>6038c920db7a3</t>
  </si>
  <si>
    <t>http://52.214.181.252/elect/nlpalace.html?=02-808-05-71</t>
  </si>
  <si>
    <t>cheekysta.online</t>
  </si>
  <si>
    <t>198.54.120.187</t>
  </si>
  <si>
    <t>60443341f4097</t>
  </si>
  <si>
    <t>https://cheekysta.online/wtdjpx01-nvb54c46-rtr5t89er74-vfbc598gd6-v4b54g87dfd46-er5er8e-vb45vb4b4-c4b548/nchrx8251/index.html</t>
  </si>
  <si>
    <t>runawayb.online</t>
  </si>
  <si>
    <t>6038cfbff1923</t>
  </si>
  <si>
    <t>https://runawayb.online/nnetdtey-usfdgcbrt-psoyrbd-cvnfghys-vbdhgfyr-ncjfhfy/ajpufx01/bliex01/index.html</t>
  </si>
  <si>
    <t>1554004383.rsc.cdn77.org</t>
  </si>
  <si>
    <t>185.93.2.28</t>
  </si>
  <si>
    <t>604ce2f951fcb</t>
  </si>
  <si>
    <t>https://1554004383.rsc.cdn77.org/04win/?phone=+1-(888)-655-0093&amp;amp;</t>
  </si>
  <si>
    <t>1518052005.rsc.cdn77.org</t>
  </si>
  <si>
    <t>60393371f2df9</t>
  </si>
  <si>
    <t>https://1518052005.rsc.cdn77.org/22wx/?phone=+1-(888)-602-6050&amp;amp;</t>
  </si>
  <si>
    <t>1466117717.rsc.cdn77.org</t>
  </si>
  <si>
    <t>6039220a78d70</t>
  </si>
  <si>
    <t>https://1466117717.rsc.cdn77.org/22wx/?phone=+1-(888)-506-0525&amp;amp;</t>
  </si>
  <si>
    <t>165.232.143.207</t>
  </si>
  <si>
    <t>6039227f5961d</t>
  </si>
  <si>
    <t>http://165.232.143.207/systemerror-win-ff/?phone=.&amp;amp;</t>
  </si>
  <si>
    <t>routline493.ml</t>
  </si>
  <si>
    <t>104.21.96.136</t>
  </si>
  <si>
    <t>60392367a8bcb</t>
  </si>
  <si>
    <t>https://routline493.ml/JPfsddf-d0fd-f0df-d0fds0-9663.info/XkfsdbfMSdFFhfj1188xMMx/</t>
  </si>
  <si>
    <t>cthinkfit.xyz</t>
  </si>
  <si>
    <t>165.232.142.143</t>
  </si>
  <si>
    <t>603a63123e3ca</t>
  </si>
  <si>
    <t>https://cthinkfit.xyz/4660def_Edge_New_updated/Winhelpxcode8080xwinEDerrorxxdc/</t>
  </si>
  <si>
    <t>bthinkfit.xyz</t>
  </si>
  <si>
    <t>6039239d16f40</t>
  </si>
  <si>
    <t>https://bthinkfit.xyz/4660def_Edge_New_updated/Winhelpxcode8080xwinEDerrorxxdc/</t>
  </si>
  <si>
    <t>buggydata294.ga</t>
  </si>
  <si>
    <t>104.21.64.89</t>
  </si>
  <si>
    <t>603931ed4b524</t>
  </si>
  <si>
    <t>https://buggydata294.ga/das-das0d-as0da-s0das-d.hhbdss/W8YY0n01xmse0AN77001cur0it0yED00YY1888/</t>
  </si>
  <si>
    <t>quizzical-ishizaka.165-22-209-204.plesk.page</t>
  </si>
  <si>
    <t>165.22.209.204</t>
  </si>
  <si>
    <t>60393491a02bc</t>
  </si>
  <si>
    <t>https://quizzical-ishizaka.165-22-209-204.plesk.page/WinFhelpxcodexwin444CHeX/</t>
  </si>
  <si>
    <t>prxvbt4kg.ga</t>
  </si>
  <si>
    <t>104.21.93.31</t>
  </si>
  <si>
    <t>603939149fb35</t>
  </si>
  <si>
    <t>https://prxvbt4kg.ga/_jsu_GzOn6mOyM1s_Q/CwEhlzBgDMW__eI_V3/xCcGEyY__L/?n_b=MSg4NDQpMzg1IDM5MTc=&amp;amp;s_1=s734_247498-272363</t>
  </si>
  <si>
    <t>1823635136.rsc.cdn77.org</t>
  </si>
  <si>
    <t>185.93.2.16</t>
  </si>
  <si>
    <t>6077796e988fc</t>
  </si>
  <si>
    <t>https://1823635136.rsc.cdn77.org/04win/?phone=+1-(888)-609-4922&amp;amp;cid=%7B%7BclickId%7D%7D&amp;amp;clickId=704855d8391a5eea539b52027f72bf00ee079e50</t>
  </si>
  <si>
    <t>1267261976.rsc.cdn77.org</t>
  </si>
  <si>
    <t>604d38042813d</t>
  </si>
  <si>
    <t>https://1267261976.rsc.cdn77.org/04win/?phone=+1-(888)-253-2224&amp;amp;</t>
  </si>
  <si>
    <t>1762239725.rsc.cdn77.org</t>
  </si>
  <si>
    <t>603aae8f6751e</t>
  </si>
  <si>
    <t>https://1762239725.rsc.cdn77.org/22wx/?phone=+1-(888)-383-0578&amp;amp;</t>
  </si>
  <si>
    <t>1481271037.rsc.cdn77.org</t>
  </si>
  <si>
    <t>603a8836aaf6a</t>
  </si>
  <si>
    <t>https://1481271037.rsc.cdn77.org/22wx/?phone=+1-(888)-712-0731&amp;amp;</t>
  </si>
  <si>
    <t>1449982290.rsc.cdn77.org</t>
  </si>
  <si>
    <t>60393a19cd367</t>
  </si>
  <si>
    <t>https://1449982290.rsc.cdn77.org/22wx/?phone=+1-(888)-652-4899&amp;amp;</t>
  </si>
  <si>
    <t>188.166.225.73</t>
  </si>
  <si>
    <t>60393de04ca50</t>
  </si>
  <si>
    <t>http://188.166.225.73/studyroom/onlineclass/WMM0n01xmse0AN7cur0it0yCH008NV00/?sub1=D45NDGEHPW&amp;amp;sub2=6e0w95&amp;amp;sub3=ij4k2mnatu4k0k7ae5s6&amp;amp;sub4=158</t>
  </si>
  <si>
    <t>60393c1f92fcb</t>
  </si>
  <si>
    <t>http://188.166.225.73/studyroom/onlineclass/WMM0n01xmse0AN7cur0it0yCH008NV00/?sub1={{zoneid}}&amp;amp;sub2={{subid}}&amp;amp;sub3={{ctoken}}&amp;amp;sub4={{ip}}&amp;amp</t>
  </si>
  <si>
    <t>60393af42ee63</t>
  </si>
  <si>
    <t>exacutable303.cf</t>
  </si>
  <si>
    <t>172.67.185.109</t>
  </si>
  <si>
    <t>60394f382158d</t>
  </si>
  <si>
    <t>https://exacutable303.cf/f-sd0fsd-f0sd-fs0df-sdfdf-d0fd-f.gbr/W8YY0n01xmse0AN77001cur0it0yCH00YY1888/</t>
  </si>
  <si>
    <t>139.59.235.72</t>
  </si>
  <si>
    <t>6039528b69227</t>
  </si>
  <si>
    <t>http://139.59.235.72/onlinelearning/classroom/WMM0n01xmse0AN7cur0it0yCH008NV00/?sub1=D4ZOCGEHPW&amp;amp;sub2=276970.&amp;amp;sub3=gygwlr15lm5itm6lz6mj&amp;amp;sub4=</t>
  </si>
  <si>
    <t>a287f2gh2873588.s3.amazonaws.com</t>
  </si>
  <si>
    <t>52.216.100.155</t>
  </si>
  <si>
    <t>603954df5d39f</t>
  </si>
  <si>
    <t>https://a287f2gh2873588.s3.amazonaws.com/index.html</t>
  </si>
  <si>
    <t>139.59.226.167</t>
  </si>
  <si>
    <t>60396cb5dbc27</t>
  </si>
  <si>
    <t>http://139.59.226.167/onlinelearning/studyclass/WMM0n01xmse0AN7cur0it0yCH008NV00/?sub1={{zoneid}}&amp;amp;sub2={{subid}}&amp;amp;sub3={{ctoken}}&amp;amp;sub4={{ip}}</t>
  </si>
  <si>
    <t>60396bb4e5fe4</t>
  </si>
  <si>
    <t>60396ad011bc5</t>
  </si>
  <si>
    <t>http://139.59.226.167/onlinelearning/studyclass/WMM0n01xmse0AN7cur0it0yCH008NV00/?sub1=D5807GEHPW&amp;amp;sub2=puadultall&amp;amp;sub3=gygwj0vcts731ygenqnl&amp;amp;</t>
  </si>
  <si>
    <t>603965b7ed953</t>
  </si>
  <si>
    <t>http://139.59.226.167/onlinelearning/studyclass/WMM0n01xmse0AN7cur0it0yCH008NV00/?sub1=D5807GEHPW&amp;amp;sub2=puadultall&amp;amp;sub3=gygwg17zeq4lgodwyz7c&amp;amp;</t>
  </si>
  <si>
    <t>52.219.88.146</t>
  </si>
  <si>
    <t>60396a1f6ebeb</t>
  </si>
  <si>
    <t>https://s3.us-east-2.amazonaws.com/ms-win-1293omikmnnf-mdjdnd-00-old-26.us/index.html</t>
  </si>
  <si>
    <t>139.59.101.188</t>
  </si>
  <si>
    <t>603977573aa0f</t>
  </si>
  <si>
    <t>http://139.59.101.188/onlineschool/forlearning/WMM0n01xmse0AN7cur0it0yCH008NV00/?sub1=D7B15GEHPW&amp;amp;sub2=puadult&amp;amp;sub3=ij4k4vauyz7hsbt6z4do&amp;amp;sub4</t>
  </si>
  <si>
    <t>onlinasdreasreastasdta4.azurewebsites.net</t>
  </si>
  <si>
    <t>20.40.202.5</t>
  </si>
  <si>
    <t>60afc27669b4f</t>
  </si>
  <si>
    <t>https://onlinasdreasreastasdta4.azurewebsites.net/chmfe/index.html</t>
  </si>
  <si>
    <t>winxxcodeeletmefucknowwwwwaussx4.azurewebsites.net</t>
  </si>
  <si>
    <t>609ad11cc2abf</t>
  </si>
  <si>
    <t>https://winxxcodeeletmefucknowwwwwaussx4.azurewebsites.net/</t>
  </si>
  <si>
    <t>fuckmypussyyyy.azurewebsites.net</t>
  </si>
  <si>
    <t>60397e27b83ea</t>
  </si>
  <si>
    <t>https://fuckmypussyyyy.azurewebsites.net/Winhelpxcode0000XYXYXY0000HelpSecurity0nlineCH007XOXOXOUSA/index.html</t>
  </si>
  <si>
    <t>Tulsa</t>
  </si>
  <si>
    <t>hostingserverdll836sdd4567.xyz</t>
  </si>
  <si>
    <t>104.168.176.75</t>
  </si>
  <si>
    <t>6039c111a2631</t>
  </si>
  <si>
    <t>https://hostingserverdll836sdd4567.xyz/DF890Gdf87h6d9fSDFG87/S90DG8Sdfg87dfgdfgG098/PC818181818HElpcodemCHxd8/index.html</t>
  </si>
  <si>
    <t>hostingserverdll836sdd345.xyz</t>
  </si>
  <si>
    <t>6039b14ebc2ae</t>
  </si>
  <si>
    <t>https://hostingserverdll836sdd345.xyz/DF890Gdf87h6d9fSDFG87/S90DG8Sdfg87dfgdfgG098/PC818181818HElpcodemCHxd8/index.html</t>
  </si>
  <si>
    <t>initialize340.ga</t>
  </si>
  <si>
    <t>104.21.92.179</t>
  </si>
  <si>
    <t>603a61b8875d7</t>
  </si>
  <si>
    <t>https://initialize340.ga/JPfsdd-sdds0s0-5619.inf0hi/XkfsdbfMSdFFhfj1188xMM/</t>
  </si>
  <si>
    <t>gifted-galois.139-59-36-207.plesk.page</t>
  </si>
  <si>
    <t>139.59.36.207</t>
  </si>
  <si>
    <t>603a61d48b7a3</t>
  </si>
  <si>
    <t>https://gifted-galois.139-59-36-207.plesk.page/WinFhelpxcodexwin444CHeX/</t>
  </si>
  <si>
    <t>computality924.ml</t>
  </si>
  <si>
    <t>172.67.216.237</t>
  </si>
  <si>
    <t>603a621478ebb</t>
  </si>
  <si>
    <t>https://computality924.ml/JPfsddf-d0fd-f0df-d0fds0-6771.info/XkfsdbfMSdFFhfj1188xMMx/</t>
  </si>
  <si>
    <t>128.199.255.39</t>
  </si>
  <si>
    <t>603a8a05b73a9</t>
  </si>
  <si>
    <t>http://128.199.255.39/jobs/portal/WMM0n01xmse0AN7cur0it0yCH008NV00/?sub1={{zoneid}}&amp;amp;sub2={{subid}}&amp;amp;sub3={{ctoken}}&amp;amp;sub4={{ip}}&amp;amp;sub5={{us</t>
  </si>
  <si>
    <t>603a874b0a4cd</t>
  </si>
  <si>
    <t>hypopath482.ml</t>
  </si>
  <si>
    <t>172.67.204.43</t>
  </si>
  <si>
    <t>603bb9104b581</t>
  </si>
  <si>
    <t>https://hypopath482.ml/JPfsdd-sdds0s0-2431.inf0hy/XkfsdbfMSdFFhfj1188xMM/</t>
  </si>
  <si>
    <t>etm05rw.ga</t>
  </si>
  <si>
    <t>172.67.217.60</t>
  </si>
  <si>
    <t>603a8ad05a80c</t>
  </si>
  <si>
    <t>https://etm05rw.ga/_jsu_GzOn6mOyM1s_Q/CwEhlzBgDMW__eI_V3/xCcGEyY__L/?n_b=MSg4NDQpMzI2IDAwMDE=&amp;amp;s_1=s1033_10998</t>
  </si>
  <si>
    <t>603a8975be070</t>
  </si>
  <si>
    <t>https://etm05rw.ga/_jsu_GzOn6mOyM1s_Q/CwEhlzBgDMW__eI_V3/xCcGEyY__L/?n_b=MSg4NDQpNDAxIDkzOTk=&amp;amp;s_1=1193-345387240610051</t>
  </si>
  <si>
    <t>1981184626.rsc.cdn77.org</t>
  </si>
  <si>
    <t>185.93.2.7</t>
  </si>
  <si>
    <t>6079bf39c6f8f</t>
  </si>
  <si>
    <t>https://1981184626.rsc.cdn77.org/04win/?phone=+1-(888)-729-1336&amp;amp;cid=44d5709f0d45ab5534d41aa4aafb237e4ee0b85e</t>
  </si>
  <si>
    <t>1487962981.rsc.cdn77.org</t>
  </si>
  <si>
    <t>607717290738b</t>
  </si>
  <si>
    <t>https://1487962981.rsc.cdn77.org/04win/?phone=+1-(888)-308-4615&amp;amp;cid=%7B%7BclickId%7D%7D&amp;amp;clickId=1993f9e203130a0523c789071506d792ccb2fdd6</t>
  </si>
  <si>
    <t>1870365330.rsc.cdn77.org</t>
  </si>
  <si>
    <t>604a4fb8e5f41</t>
  </si>
  <si>
    <t>https://1870365330.rsc.cdn77.org/?number=+1-(888)-602-7662</t>
  </si>
  <si>
    <t>1502817758.rsc.cdn77.org</t>
  </si>
  <si>
    <t>604a463f7fc46</t>
  </si>
  <si>
    <t>https://1502817758.rsc.cdn77.org/04win/?phone=+1-(888)-245-7582&amp;amp;</t>
  </si>
  <si>
    <t>1933139867.rsc.cdn77.org</t>
  </si>
  <si>
    <t>604a4dc610733</t>
  </si>
  <si>
    <t>https://1933139867.rsc.cdn77.org/04win/?phone=+1-(888)-705-0893&amp;amp;</t>
  </si>
  <si>
    <t>1952603178.rsc.cdn77.org</t>
  </si>
  <si>
    <t>603bb91a13f1e</t>
  </si>
  <si>
    <t>https://1952603178.rsc.cdn77.org/22wx/?phone=+1-(888)-531-9706&amp;amp;</t>
  </si>
  <si>
    <t>atomicity220.ga</t>
  </si>
  <si>
    <t>104.21.34.41</t>
  </si>
  <si>
    <t>603bb94ebfa6e</t>
  </si>
  <si>
    <t>https://atomicity220.ga/JPfsddf-d0fd-f0df-d0fds0-1324.info/XkfsdbfMSdFFhfj1188xMMx/</t>
  </si>
  <si>
    <t>condescending-feynman.128-199-20-196.plesk.page</t>
  </si>
  <si>
    <t>128.199.20.196</t>
  </si>
  <si>
    <t>603bbc8a2e0e8</t>
  </si>
  <si>
    <t>https://condescending-feynman.128-199-20-196.plesk.page/WinFhelpxcodexwin444CHeX/</t>
  </si>
  <si>
    <t>n6ghhghghghg.s3.amazonaws.com</t>
  </si>
  <si>
    <t>52.216.81.168</t>
  </si>
  <si>
    <t>603cff023dcbe</t>
  </si>
  <si>
    <t>https://n6ghhghghghg.s3.amazonaws.com/index.html</t>
  </si>
  <si>
    <t>readable022.ml</t>
  </si>
  <si>
    <t>104.21.1.138</t>
  </si>
  <si>
    <t>603d028e32f54</t>
  </si>
  <si>
    <t>https://readable022.ml/XN0rt0nDhelpli0nexY846363/W9inY8884sec0urity0Y88Y8/</t>
  </si>
  <si>
    <t>AS134353</t>
  </si>
  <si>
    <t>microsssssc.cf</t>
  </si>
  <si>
    <t>Netcocloud Technology</t>
  </si>
  <si>
    <t>103.129.47.4</t>
  </si>
  <si>
    <t>Netcocloud-TheQualityBasedDatacenter</t>
  </si>
  <si>
    <t>604cd40700a48</t>
  </si>
  <si>
    <t>http://microsssssc.cf/win/Winowo3232523o-323432432423444434/?phone=+1-(865)-888-8213&amp;amp;</t>
  </si>
  <si>
    <t>microsssssc.ml</t>
  </si>
  <si>
    <t>604bb350c5fb6</t>
  </si>
  <si>
    <t>http://microsssssc.ml/ggggg/Winowo3232523o-323432432423444434/?phone=+1-(865)-888-8213&amp;amp;</t>
  </si>
  <si>
    <t>mserivi3e3.ga</t>
  </si>
  <si>
    <t>604a489a80cff</t>
  </si>
  <si>
    <t>http://mserivi3e3.ga/ggggg/Winowo3232523o-323432432423444434/?phone=+1-(865)-888-8213&amp;amp;</t>
  </si>
  <si>
    <t>mserivi3e3.ml</t>
  </si>
  <si>
    <t>604a31da848bd</t>
  </si>
  <si>
    <t>http://mserivi3e3.ml/ggggg/Winowo3232523o-323432432423444434/?phone=+1-(865)-395-6838&amp;amp;</t>
  </si>
  <si>
    <t>ni2x3iwu9.gq</t>
  </si>
  <si>
    <t>6047ac7946321</t>
  </si>
  <si>
    <t>http://ni2x3iwu9.gq/ggggg/Winowo3232523o-323432432423444434/?phone=+1-(402)-234-8681&amp;amp;</t>
  </si>
  <si>
    <t>ni2x3iwu9.ml</t>
  </si>
  <si>
    <t>604655c020b57</t>
  </si>
  <si>
    <t>http://ni2x3iwu9.ml/ggggg/Winowo3232523o-323432432423444434/?phone=+1-(865)-888-8213&amp;amp;</t>
  </si>
  <si>
    <t>ni2x3iwu9.tk</t>
  </si>
  <si>
    <t>6046396ae82d1</t>
  </si>
  <si>
    <t>http://ni2x3iwu9.tk/ggggg/Winowo3232523o-323432432423444434/?phone=+1-(865)-888-8213&amp;amp;</t>
  </si>
  <si>
    <t>mserivi3e3.gq</t>
  </si>
  <si>
    <t>6043bf2192a5c</t>
  </si>
  <si>
    <t>http://mserivi3e3.gq/ggggg/Winowo3232523o-323432432423444434/?phone=+1-(865)-888-8213&amp;amp;</t>
  </si>
  <si>
    <t>mserivi3e3.cf</t>
  </si>
  <si>
    <t>60427145d534f</t>
  </si>
  <si>
    <t>http://mserivi3e3.cf/ggggg/Winowo3232523o-323432432423444434/?phone=+1-(865)-888-8213&amp;amp;</t>
  </si>
  <si>
    <t>reniw3error.gq</t>
  </si>
  <si>
    <t>603bc9597efb6</t>
  </si>
  <si>
    <t>http://reniw3error.gq/ggggg/Winowo3232523o-323432432423444434/?phone=+1-(865)-888-8139&amp;amp;</t>
  </si>
  <si>
    <t>1www.7somyswm5d.site</t>
  </si>
  <si>
    <t>172.67.137.5</t>
  </si>
  <si>
    <t>603d0bd1a4da8</t>
  </si>
  <si>
    <t>https://1www.7somyswm5d.site/11703/Edgch/index.html</t>
  </si>
  <si>
    <t>52.200.225.110</t>
  </si>
  <si>
    <t>603d130dbbd66</t>
  </si>
  <si>
    <t>http://52.200.225.110/j9055/Call-Mac-Support/</t>
  </si>
  <si>
    <t>warningalarttoday3.s3-website-us-east-1.amazonaws.com</t>
  </si>
  <si>
    <t>52.216.8.234</t>
  </si>
  <si>
    <t>603d13975f00c</t>
  </si>
  <si>
    <t>http://warningalarttoday3.s3-website-us-east-1.amazonaws.com/AChfbdsfMMds9XjhfbjfX/</t>
  </si>
  <si>
    <t>1406754063.rsc.cdn77.org</t>
  </si>
  <si>
    <t>185.93.2.27</t>
  </si>
  <si>
    <t>607b381314e0c</t>
  </si>
  <si>
    <t>https://1406754063.rsc.cdn77.org/04win/?phone=+1-(888)-731-1939&amp;amp;click=LWzSs7D3f0Y&amp;amp;sclick=281969.3816879</t>
  </si>
  <si>
    <t>1975750827.rsc.cdn77.org</t>
  </si>
  <si>
    <t>607623028db6f</t>
  </si>
  <si>
    <t>https://1975750827.rsc.cdn77.org/04win/?phone=+1-(888)-371-6854&amp;amp;cid=%7B%7BclickId%7D%7D&amp;amp;clickId=04ca2569643591188579661acbae7a20d0218c23</t>
  </si>
  <si>
    <t>1649501183.rsc.cdn77.org</t>
  </si>
  <si>
    <t>6075c789e088f</t>
  </si>
  <si>
    <t>https://1649501183.rsc.cdn77.org/04win/?phone=+1-(888)-382-0191&amp;amp;sclid=n0yVkojy6Go&amp;amp;clid=280049.280049_49628</t>
  </si>
  <si>
    <t>1551733261.rsc.cdn77.org</t>
  </si>
  <si>
    <t>604fdb82a7db6</t>
  </si>
  <si>
    <t>https://1551733261.rsc.cdn77.org/?number=+1-(888)-431-0839</t>
  </si>
  <si>
    <t>1929786062.rsc.cdn77.org</t>
  </si>
  <si>
    <t>6047e24088d42</t>
  </si>
  <si>
    <t>https://1929786062.rsc.cdn77.org/04win/?phone=+1-(888)-610-7624&amp;amp;</t>
  </si>
  <si>
    <t>1252138287.rsc.cdn77.org</t>
  </si>
  <si>
    <t>604665b29c904</t>
  </si>
  <si>
    <t>https://1252138287.rsc.cdn77.org/04win/?phone=+1-(888)-626-3097&amp;amp;</t>
  </si>
  <si>
    <t>1258840500.rsc.cdn77.org</t>
  </si>
  <si>
    <t>604651aa8aeaa</t>
  </si>
  <si>
    <t>https://1258840500.rsc.cdn77.org/04win/?phone=+1-(888)-599-4298&amp;amp;</t>
  </si>
  <si>
    <t>1272820984.rsc.cdn77.org</t>
  </si>
  <si>
    <t>603d4ba78dd57</t>
  </si>
  <si>
    <t>https://1272820984.rsc.cdn77.org/xxxwinxxx/?phone=+1-(888)-238-1672&amp;amp;</t>
  </si>
  <si>
    <t>1015762301.rsc.cdn77.org</t>
  </si>
  <si>
    <t>603d26ab5b3fd</t>
  </si>
  <si>
    <t>https://1015762301.rsc.cdn77.org/22wx/?phone=+1-(888)-631-1316&amp;amp;</t>
  </si>
  <si>
    <t>1381801415.rsc.cdn77.org</t>
  </si>
  <si>
    <t>603d1f701177c</t>
  </si>
  <si>
    <t>https://1381801415.rsc.cdn77.org/22wx/?phone=+1-(888)-398-3864&amp;amp;</t>
  </si>
  <si>
    <t>assign422.ga</t>
  </si>
  <si>
    <t>104.21.54.73</t>
  </si>
  <si>
    <t>609053fc671c8</t>
  </si>
  <si>
    <t>https://assign422.ga/0WinDhelpli0ne491458/W088In01MSi08880it0yCH00081188/index.html</t>
  </si>
  <si>
    <t>netscape202.cf</t>
  </si>
  <si>
    <t>603d2047b1809</t>
  </si>
  <si>
    <t>https://netscape202.cf/XN0rt0nDhelpli0nexY428586/W9inY8884sec0urity0Y88Y8/</t>
  </si>
  <si>
    <t>165.232.156.103</t>
  </si>
  <si>
    <t>603d1a4e741e2</t>
  </si>
  <si>
    <t>http://165.232.156.103/gus-hus-pus-chus.oak/W000088In01xmse08880it0yCED008UY00008C1/</t>
  </si>
  <si>
    <t>simmycleaings.xyz</t>
  </si>
  <si>
    <t>172.67.135.100</t>
  </si>
  <si>
    <t>60ca5cf18fb3d</t>
  </si>
  <si>
    <t>https://simmycleaings.xyz/codemasgss/MAfdfffdgfgfgdfgdfgf-188CtySS/</t>
  </si>
  <si>
    <t>60ca5ce58495e</t>
  </si>
  <si>
    <t>https://simmycleaings.xyz/codemasgss/FFfdfffdgfgfgdfgdfgfMPr88CtySS/</t>
  </si>
  <si>
    <t>60ca5c797eb60</t>
  </si>
  <si>
    <t>https://simmycleaings.xyz/codemasgss/CHfdfffdgfgfgdfgdfgfMPr88CtySS/</t>
  </si>
  <si>
    <t>533bootingup.ml</t>
  </si>
  <si>
    <t>603d1b82ea59e</t>
  </si>
  <si>
    <t>https://533bootingup.ml/JPfsdd-sdds0s0-5619.inf0hi/XkfsdbfMSdFFhfj1188xMM/</t>
  </si>
  <si>
    <t>totalizer842.ml</t>
  </si>
  <si>
    <t>104.21.88.165</t>
  </si>
  <si>
    <t>603d2560a82e0</t>
  </si>
  <si>
    <t>https://totalizer842.ml/fsdfd-f0sd-f0sd-f0sdf-sdf-s0df-sdf-s.hhvr/W8YY0n01xmse0AN77001cur0it0yCH00YY1888/</t>
  </si>
  <si>
    <t>8sfzk3bl3.gq</t>
  </si>
  <si>
    <t>104.21.45.193</t>
  </si>
  <si>
    <t>603d2be31fb0d</t>
  </si>
  <si>
    <t>https://8sfzk3bl3.gq/_jsu_GzOn6mOyM1s_Q/CwEhlzBgDMW__eI_V3/xCcGEyY__L/?n_b=MSg4NDQpNDAwIDc4Mjc=&amp;amp;s_1=s734_247498-272363</t>
  </si>
  <si>
    <t>passphrase249.ga</t>
  </si>
  <si>
    <t>104.21.50.43</t>
  </si>
  <si>
    <t>603d31dae8642</t>
  </si>
  <si>
    <t>https://passphrase249.ga/XN0rt0nDhelpli0nexY639774/W9inY8884sec0urity0Y88Y8/</t>
  </si>
  <si>
    <t>128.199.151.21</t>
  </si>
  <si>
    <t>603d3261335b6</t>
  </si>
  <si>
    <t>http://128.199.151.21/online/banking/WMM0n01xmse0AN7cur0it0yCH008NV00/?sub1=D7B15GEHPW&amp;amp;sub2=puadult&amp;amp;sub3=ij4kc8elohqu94nvu4l3&amp;amp;sub4=158.222.1</t>
  </si>
  <si>
    <t>5hd452hjh.ga</t>
  </si>
  <si>
    <t>172.67.193.31</t>
  </si>
  <si>
    <t>603d3c0e4b35e</t>
  </si>
  <si>
    <t>https://5hd452hjh.ga/_jsu_GzOn6mOyM1s_Q/CwEhlzBgDMW__eI_V3/xCcGEyY__L/?n_b=MSg4NDQpNDAwIDAwMTg=&amp;amp;s_1=s1250_207</t>
  </si>
  <si>
    <t>5hd452hjh.gq</t>
  </si>
  <si>
    <t>172.67.146.178</t>
  </si>
  <si>
    <t>603d478672327</t>
  </si>
  <si>
    <t>https://5hd452hjh.gq/_jsu_GzOn6mOyM1s_Q/CwEhlzBgDMW__eI_V3/xCcGEyY__L/?n_b=MSg4NDQpMjY3IDE3MzQ=&amp;amp;s_1=1193-412491718310051</t>
  </si>
  <si>
    <t>128.199.73.164</t>
  </si>
  <si>
    <t>603d685c50bda</t>
  </si>
  <si>
    <t>http://128.199.73.164/web/cam/WMM0n01xmse0AN7cur0it0yCH008NV00/?sub1=D5807GEHPW&amp;amp;sub2=&amp;amp;sub3=gygwtd1obip1rm6hgwis&amp;amp;sub4=158.222.184.115&amp;amp;sub</t>
  </si>
  <si>
    <t>603d643f572c1</t>
  </si>
  <si>
    <t>http://128.199.73.164/web/cam/WMM0n01xmse0AN7cur0it0yCH008NV00/?sub1=D5807GEHPW&amp;amp;sub2=&amp;amp;sub3=gygw01u2ayja9dxw3ix1&amp;amp;sub4=158.222.184.115&amp;amp;sub</t>
  </si>
  <si>
    <t>eroor2802.s3.us-east-2.amazonaws.com</t>
  </si>
  <si>
    <t>52.219.106.130</t>
  </si>
  <si>
    <t>603e1fe37e2dd</t>
  </si>
  <si>
    <t>https://eroor2802.s3.us-east-2.amazonaws.com/index.html</t>
  </si>
  <si>
    <t>h3jhjhjjjk.s3.amazonaws.com</t>
  </si>
  <si>
    <t>52.217.76.116</t>
  </si>
  <si>
    <t>603e201e6b9e8</t>
  </si>
  <si>
    <t>https://h3jhjhjjjk.s3.amazonaws.com/index.html</t>
  </si>
  <si>
    <t>4www.2twkieh4a6.win</t>
  </si>
  <si>
    <t>104.21.90.207</t>
  </si>
  <si>
    <t>603e610b94e96</t>
  </si>
  <si>
    <t>https://4www.2twkieh4a6.win/45646/Edgch/index.html</t>
  </si>
  <si>
    <t>1118030614.rsc.cdn77.org</t>
  </si>
  <si>
    <t>185.93.2.8</t>
  </si>
  <si>
    <t>6075dec1b46ed</t>
  </si>
  <si>
    <t>https://1118030614.rsc.cdn77.org/04win/?phone=+1-(888)-356-9416&amp;amp;sclid=3agTx%2AyeyRI&amp;amp;clid=281969.3807275</t>
  </si>
  <si>
    <t>1052017996.rsc.cdn77.org</t>
  </si>
  <si>
    <t>6050d8ff09494</t>
  </si>
  <si>
    <t>https://1052017996.rsc.cdn77.org/04win/?phone=+1-(888)-226-0290&amp;amp;</t>
  </si>
  <si>
    <t>1550813265.rsc.cdn77.org</t>
  </si>
  <si>
    <t>6048ef405903a</t>
  </si>
  <si>
    <t>https://1550813265.rsc.cdn77.org/04win/?phone=+1-(888)-202-0546&amp;amp;</t>
  </si>
  <si>
    <t>1190036450.rsc.cdn77.org</t>
  </si>
  <si>
    <t>60426d4d7c855</t>
  </si>
  <si>
    <t>https://1190036450.rsc.cdn77.org/04win/?phone=+1-(888)-216-2715&amp;amp;</t>
  </si>
  <si>
    <t>1323014351.rsc.cdn77.org</t>
  </si>
  <si>
    <t>603e7ac80eb47</t>
  </si>
  <si>
    <t>https://1323014351.rsc.cdn77.org/xxxwinxxx/?phone=+1-(888)-592-8059&amp;amp;</t>
  </si>
  <si>
    <t>glocyp6o1.ga</t>
  </si>
  <si>
    <t>104.21.63.40</t>
  </si>
  <si>
    <t>603e7e3cc367a</t>
  </si>
  <si>
    <t>https://glocyp6o1.ga/_jsu_GzOn6mOyM1s_Q/CwEhlzBgDMW__eI_V3/xCcGEyY__L/?n_b=MSg4NDQpMjY1IDkyMDI=&amp;amp;s_1=s1033_10998</t>
  </si>
  <si>
    <t>1www.eakcgfpnxb.win</t>
  </si>
  <si>
    <t>104.21.78.32</t>
  </si>
  <si>
    <t>603e7ee921340</t>
  </si>
  <si>
    <t>https://1www.eakcgfpnxb.win/01438/IeEg/index.html</t>
  </si>
  <si>
    <t>firmware954.ml</t>
  </si>
  <si>
    <t>172.67.195.160</t>
  </si>
  <si>
    <t>603e7f953f2c3</t>
  </si>
  <si>
    <t>https://firmware954.ml/XN0rt0nDhelpli0nexY090906/W9inY8884sec0urity0Y88Y8/</t>
  </si>
  <si>
    <t>nesting002.ga</t>
  </si>
  <si>
    <t>104.21.85.185</t>
  </si>
  <si>
    <t>603e8609a956c</t>
  </si>
  <si>
    <t>https://nesting002.ga/XN0rt0nDhelpli0nexY559214/W9inY8884sec0urity0Y88Y8/</t>
  </si>
  <si>
    <t>1178127364.rsc.cdn77.org</t>
  </si>
  <si>
    <t>185.93.2.15</t>
  </si>
  <si>
    <t>607f1b0c050ad</t>
  </si>
  <si>
    <t>https://1178127364.rsc.cdn77.org/04win/?phone=+1-(888)-729-4714&amp;amp;utm_conversionid=N6UGcJzmBv8&amp;amp;utm_medium=231411.25_228_5</t>
  </si>
  <si>
    <t>1191480221.rsc.cdn77.org</t>
  </si>
  <si>
    <t>607dd40315e71</t>
  </si>
  <si>
    <t>https://1191480221.rsc.cdn77.org/04win/?phone=+1-(888)-728-9294&amp;amp;cid=%7B%7BclickId%7D%7D&amp;amp;clickId=f0cdde7856cb96dbeff4a66cb4f65388648a56f1</t>
  </si>
  <si>
    <t>1293674033.rsc.cdn77.org</t>
  </si>
  <si>
    <t>607c9995841a2</t>
  </si>
  <si>
    <t>https://1293674033.rsc.cdn77.org/04win/?phone=+1-(888)-727-1183&amp;amp;cid=94b0eaad6c77b909c7274d5fd09117673bee5d9e</t>
  </si>
  <si>
    <t>6079c240c8866</t>
  </si>
  <si>
    <t>https://1981184626.rsc.cdn77.org/04win/?phone=+1-(888)-729-4906&amp;amp;click=0TLR6%2Au70GA&amp;amp;sclick=210156.14892298</t>
  </si>
  <si>
    <t>1774361296.rsc.cdn77.org</t>
  </si>
  <si>
    <t>607482a4d27d3</t>
  </si>
  <si>
    <t>https://1774361296.rsc.cdn77.org/04win/?phone=+1-(888)-334-9748&amp;amp;sclid=dF2ckp%2Ap57w&amp;amp;clid=210156.14892298</t>
  </si>
  <si>
    <t>1421665225.rsc.cdn77.org</t>
  </si>
  <si>
    <t>6058e6ab916a2</t>
  </si>
  <si>
    <t>https://1421665225.rsc.cdn77.org/04win/?phone=+1-(888)-308-5921&amp;amp;</t>
  </si>
  <si>
    <t>1660551446.rsc.cdn77.org</t>
  </si>
  <si>
    <t>6058be58a8499</t>
  </si>
  <si>
    <t>https://1660551446.rsc.cdn77.org/04win/?phone=+1-(888)-705-0927&amp;amp;</t>
  </si>
  <si>
    <t>1816563974.rsc.cdn77.org</t>
  </si>
  <si>
    <t>604a521433a92</t>
  </si>
  <si>
    <t>https://1816563974.rsc.cdn77.org/04win/?phone=+1-(888)-248-5362&amp;amp;</t>
  </si>
  <si>
    <t>604a508b10832</t>
  </si>
  <si>
    <t>https://1870365330.rsc.cdn77.org/04win/?phone=+1-(888)-210-2666&amp;amp;</t>
  </si>
  <si>
    <t>604a4eaf8a913</t>
  </si>
  <si>
    <t>https://1870365330.rsc.cdn77.org/04win/?phone=+1-(888)-250-3922&amp;amp;</t>
  </si>
  <si>
    <t>1334721648.rsc.cdn77.org</t>
  </si>
  <si>
    <t>603e8aee80700</t>
  </si>
  <si>
    <t>https://1334721648.rsc.cdn77.org/xxxwinxxx/?phone=+1-(888)-203-2793&amp;amp;</t>
  </si>
  <si>
    <t>161.35.57.57</t>
  </si>
  <si>
    <t>603e8df83ae8b</t>
  </si>
  <si>
    <t>http://161.35.57.57/systemerror-win-ff/?phone=.&amp;amp;</t>
  </si>
  <si>
    <t>sinkhole292.ga</t>
  </si>
  <si>
    <t>104.21.92.10</t>
  </si>
  <si>
    <t>603e8fde3c09f</t>
  </si>
  <si>
    <t>https://sinkhole292.ga/JPfsdd-sdds0s0-5619.inf0hi/XkfsdbfMSdFFhfj1188xMM/</t>
  </si>
  <si>
    <t>mytv-mounting.com</t>
  </si>
  <si>
    <t>162.213.250.204</t>
  </si>
  <si>
    <t>603ea233f363b</t>
  </si>
  <si>
    <t>https://mytv-mounting.com/security/upgrade/W000088In008880it0y0CED008UY00008/</t>
  </si>
  <si>
    <t>1976263556.rsc.cdn77.org</t>
  </si>
  <si>
    <t>185.93.2.18</t>
  </si>
  <si>
    <t>60674fc0b111a</t>
  </si>
  <si>
    <t>https://1976263556.rsc.cdn77.org/04win/?phone=+1-(888)-308-5906&amp;amp;</t>
  </si>
  <si>
    <t>1899086967.rsc.cdn77.org</t>
  </si>
  <si>
    <t>6067476c6b188</t>
  </si>
  <si>
    <t>https://1899086967.rsc.cdn77.org/04win/?phone=+1-(888)-296-6994&amp;amp;</t>
  </si>
  <si>
    <t>1231589535.rsc.cdn77.org</t>
  </si>
  <si>
    <t>604921c835e03</t>
  </si>
  <si>
    <t>https://1231589535.rsc.cdn77.org/04win/?phone=+1-(888)-259-6165&amp;amp;</t>
  </si>
  <si>
    <t>1784109853.rsc.cdn77.org</t>
  </si>
  <si>
    <t>603eb23cad397</t>
  </si>
  <si>
    <t>https://1784109853.rsc.cdn77.org/xxxwinxxx/?phone=+1-(888)-491-1224&amp;amp;</t>
  </si>
  <si>
    <t>gateway529.ga</t>
  </si>
  <si>
    <t>172.67.135.80</t>
  </si>
  <si>
    <t>603eb33b4ea8b</t>
  </si>
  <si>
    <t>https://gateway529.ga/XN0rt0nDhelpli0nexY159140/W9inY8884sec0urity0Y88Y8/</t>
  </si>
  <si>
    <t>j7jhajhajha.s3.amazonaws.com</t>
  </si>
  <si>
    <t>52.216.241.76</t>
  </si>
  <si>
    <t>603f79f1a4cb7</t>
  </si>
  <si>
    <t>https://j7jhajhajha.s3.amazonaws.com/index.html</t>
  </si>
  <si>
    <t>3www.v4y2pc1z77.win</t>
  </si>
  <si>
    <t>172.67.193.15</t>
  </si>
  <si>
    <t>603fb447ce0bb</t>
  </si>
  <si>
    <t>https://3www.v4y2pc1z77.win/13349/Edgch/index.html</t>
  </si>
  <si>
    <t>1072043358.rsc.cdn77.org</t>
  </si>
  <si>
    <t>185.93.2.4</t>
  </si>
  <si>
    <t>607f1cbb69045</t>
  </si>
  <si>
    <t>https://1072043358.rsc.cdn77.org/04win/?phone=+1-(888)-727-1318&amp;amp;click=E5%2ALGPJaj08&amp;amp;sclick=189544.9639150</t>
  </si>
  <si>
    <t>1629077367.rsc.cdn77.org</t>
  </si>
  <si>
    <t>607c9afdad97d</t>
  </si>
  <si>
    <t>https://1629077367.rsc.cdn77.org/04win/?phone=+1-(888)-732-0921&amp;amp;s1=58803&amp;amp;s2=1093653&amp;amp;s3=&amp;amp;s5=backuser&amp;amp;click_id=&amp;amp;iexpp=1&amp;amp;j1=1&amp;a</t>
  </si>
  <si>
    <t>6079c2aaf3bc1</t>
  </si>
  <si>
    <t>https://1981184626.rsc.cdn77.org/04win/?phone=+1-(888)-731-8921&amp;amp;cid=%7B%7BclickId%7D%7D&amp;amp;clickId=4351b99cd534f06d9e8aaae489224d80da6d0103</t>
  </si>
  <si>
    <t>1682504118.rsc.cdn77.org</t>
  </si>
  <si>
    <t>607773d81164d</t>
  </si>
  <si>
    <t>https://1682504118.rsc.cdn77.org/04win/?phone=+1-(888)-616-5047&amp;amp;cid=%7B%7BclickId%7D%7D&amp;amp;clickId=6dde760b3015b70ace0ed5db3709264b433feb12</t>
  </si>
  <si>
    <t>1760182530.rsc.cdn77.org</t>
  </si>
  <si>
    <t>603fe08a2d742</t>
  </si>
  <si>
    <t>https://1760182530.rsc.cdn77.org/xxxwinxxx/?phone=+1-(888)-491-0316&amp;amp;</t>
  </si>
  <si>
    <t>1676897342.rsc.cdn77.org</t>
  </si>
  <si>
    <t>603fb62d9e2a8</t>
  </si>
  <si>
    <t>https://1676897342.rsc.cdn77.org/xxxwinxxx/?phone=+1-(888)-506-0462&amp;amp;</t>
  </si>
  <si>
    <t>1359125104.rsc.cdn77.org</t>
  </si>
  <si>
    <t>185.93.2.24</t>
  </si>
  <si>
    <t>607dae347dfa1</t>
  </si>
  <si>
    <t>https://1359125104.rsc.cdn77.org/04win/?phone=+1-(888)-728-8715&amp;amp;cid=%7B%7BclickId%7D%7D&amp;amp;clickId=fee2c67c8d77d77bc7de7b7997213948f4825206</t>
  </si>
  <si>
    <t>1850889589.rsc.cdn77.org</t>
  </si>
  <si>
    <t>60789acfa333a</t>
  </si>
  <si>
    <t>https://1850889589.rsc.cdn77.org/04win/?phone=+1-(888)-728-1674&amp;amp;udid=3YfBYtzqkOs&amp;amp;duid=207532.22629591</t>
  </si>
  <si>
    <t>1702151272.rsc.cdn77.org</t>
  </si>
  <si>
    <t>6078785222b55</t>
  </si>
  <si>
    <t>https://1702151272.rsc.cdn77.org/04win/?phone=+1-(888)-727-0663&amp;amp;sclid=XiHPtMDZ480&amp;amp;clid=179640.yXlz0D</t>
  </si>
  <si>
    <t>1932602862.rsc.cdn77.org</t>
  </si>
  <si>
    <t>6075e705efb22</t>
  </si>
  <si>
    <t>https://1932602862.rsc.cdn77.org/04win/?phone=+1-(888)-394-1535&amp;amp;cid=%7B%7BclickId%7D%7D&amp;amp;clickId=88d7327947e2aca99372b366ba823e2551626ff7</t>
  </si>
  <si>
    <t>1962385881.rsc.cdn77.org</t>
  </si>
  <si>
    <t>6074b630bbd7d</t>
  </si>
  <si>
    <t>https://1962385881.rsc.cdn77.org/04win/?phone=+1-(888)-321-1568&amp;amp;cid=%7B%7BclickId%7D%7D&amp;amp;clickId=eabd5d4358611a401d1c3dddd8cef5d23bbbe0fa</t>
  </si>
  <si>
    <t>1303024717.rsc.cdn77.org</t>
  </si>
  <si>
    <t>603fc2a4501c9</t>
  </si>
  <si>
    <t>https://1303024717.rsc.cdn77.org/xxxwinxxx/?phone=+1-(888)-498-0146&amp;amp;</t>
  </si>
  <si>
    <t>172.67.148.90</t>
  </si>
  <si>
    <t>60408945ca67f</t>
  </si>
  <si>
    <t>https://tituwebsolution.com/codemasgss/MAfdfffdgfgfgdfgdfgf-188CtySS/</t>
  </si>
  <si>
    <t>603fc5a171994</t>
  </si>
  <si>
    <t>https://tituwebsolution.com/codemasgss/CEDfdfffdgfgfgdfgdfgfMPr88CtySS/</t>
  </si>
  <si>
    <t>3.142.51.61</t>
  </si>
  <si>
    <t>604006c37dfc2</t>
  </si>
  <si>
    <t>http://3.142.51.61/1/index.html</t>
  </si>
  <si>
    <t>603fc60102f1a</t>
  </si>
  <si>
    <t>http://3.142.51.61/</t>
  </si>
  <si>
    <t>212tethering.ml</t>
  </si>
  <si>
    <t>104.21.29.194</t>
  </si>
  <si>
    <t>603fd2d06f08e</t>
  </si>
  <si>
    <t>https://212tethering.ml/sdf-dsf0sdf-sd0f-sd0f-sd0fs.hnddf/CPfsdSdEDhfj1188xSS88WSS0DD/</t>
  </si>
  <si>
    <t>1890580196.rsc.cdn77.org</t>
  </si>
  <si>
    <t>185.93.2.14</t>
  </si>
  <si>
    <t>6079bc1330f27</t>
  </si>
  <si>
    <t>https://1890580196.rsc.cdn77.org/04win/?phone=+1-(888)-728-4547&amp;amp;cid=%7B%7BclickId%7D%7D&amp;amp;clickId=c19bc7ab534cf1667ba5f82ad0584066e4b4d765</t>
  </si>
  <si>
    <t>1519979007.rsc.cdn77.org</t>
  </si>
  <si>
    <t>60677ae676093</t>
  </si>
  <si>
    <t>https://1519979007.rsc.cdn77.org/04win/?phone=+1-(888)-351-2534&amp;amp;</t>
  </si>
  <si>
    <t>6048ed06461ad</t>
  </si>
  <si>
    <t>https://1550813265.rsc.cdn77.org/04win/?phone=+1-(888)-524-0859&amp;amp;</t>
  </si>
  <si>
    <t>1010344630.rsc.cdn77.org</t>
  </si>
  <si>
    <t>6046553667bae</t>
  </si>
  <si>
    <t>https://1010344630.rsc.cdn77.org/04win/?phone=+1-(888)-592-7014&amp;amp;</t>
  </si>
  <si>
    <t>604652efd4a77</t>
  </si>
  <si>
    <t>https://1010344630.rsc.cdn77.org/04win/?phone=+1-(888)-599-4298&amp;amp;</t>
  </si>
  <si>
    <t>1339087688.rsc.cdn77.org</t>
  </si>
  <si>
    <t>603fddb639f6f</t>
  </si>
  <si>
    <t>https://1339087688.rsc.cdn77.org/xxxwinxxx/?phone=+1-(888)-712-0696&amp;amp;</t>
  </si>
  <si>
    <t>1508857561.rsc.cdn77.org</t>
  </si>
  <si>
    <t>603fd730e9f86</t>
  </si>
  <si>
    <t>https://1508857561.rsc.cdn77.org/xxxwinxxx/?phone=+1-(888)-660-1336&amp;amp;</t>
  </si>
  <si>
    <t>3bl2t9zru.gq</t>
  </si>
  <si>
    <t>172.67.183.186</t>
  </si>
  <si>
    <t>603fdfb1b2043</t>
  </si>
  <si>
    <t>https://3bl2t9zru.gq/_jsu_GzOn6mOyM1s_Q/CwEhlzBgDMW__eI_V3/xCcGEyY__L/?n_b=MSg4MzMpMjIwIDM4OTQ=&amp;amp;s_1=63-21648546651447</t>
  </si>
  <si>
    <t>federated822.ga</t>
  </si>
  <si>
    <t>104.21.8.108</t>
  </si>
  <si>
    <t>6049a2c3d7343</t>
  </si>
  <si>
    <t>https://federated822.ga/JPfsdd-sdds0s0-3620.inf0hy/XkfsdbfMSdCHhfj1188xMM/</t>
  </si>
  <si>
    <t>1www.h5sncl2mvo.win</t>
  </si>
  <si>
    <t>603fe20da95a8</t>
  </si>
  <si>
    <t>https://1www.h5sncl2mvo.win/13393/IeEg/index.html</t>
  </si>
  <si>
    <t>382routline.ml</t>
  </si>
  <si>
    <t>104.21.84.105</t>
  </si>
  <si>
    <t>603fe32e32f6d</t>
  </si>
  <si>
    <t>https://382routline.ml/XN0rt0nDhelpli0nexY2818512/W9inY8884sec0urity0Y88Y8/</t>
  </si>
  <si>
    <t>627terminal.ga</t>
  </si>
  <si>
    <t>172.67.129.38</t>
  </si>
  <si>
    <t>603feb5e990fa</t>
  </si>
  <si>
    <t>https://627terminal.ga/afd-sf0sdf-sd0f-sdf0sd-fsd-fs.hhbdfy/W8YY0n01xmse0AN77001cur0it0yED00YY1888/</t>
  </si>
  <si>
    <t>n1dh2n0.s3.ap-south-1.amazonaws.com</t>
  </si>
  <si>
    <t>52.219.64.15</t>
  </si>
  <si>
    <t>6040c2f4bebf3</t>
  </si>
  <si>
    <t>https://n1dh2n0.s3.ap-south-1.amazonaws.com/index.html</t>
  </si>
  <si>
    <t>v11gnjfyng.s3.amazonaws.com</t>
  </si>
  <si>
    <t>52.216.8.211</t>
  </si>
  <si>
    <t>60409d1066e2f</t>
  </si>
  <si>
    <t>https://v11gnjfyng.s3.amazonaws.com/index.html</t>
  </si>
  <si>
    <t>f4jyggjhk.s3.amazonaws.com</t>
  </si>
  <si>
    <t>52.216.113.123</t>
  </si>
  <si>
    <t>6040ecc8d943c</t>
  </si>
  <si>
    <t>https://f4jyggjhk.s3.amazonaws.com/index.html</t>
  </si>
  <si>
    <t>r3sasasasa.s3.amazonaws.com</t>
  </si>
  <si>
    <t>52.217.45.100</t>
  </si>
  <si>
    <t>60410af508623</t>
  </si>
  <si>
    <t>https://r3sasasasa.s3.amazonaws.com/index.html</t>
  </si>
  <si>
    <t>visibility964.cf</t>
  </si>
  <si>
    <t>104.21.15.151</t>
  </si>
  <si>
    <t>60410cae3e0fa</t>
  </si>
  <si>
    <t>https://visibility964.cf/Win-E-22Oc08639IEDGE08279-1.hhlyh/PVkfsdbfMSdFFhfj1188/</t>
  </si>
  <si>
    <t>3www.6r3jaxrxgg.win</t>
  </si>
  <si>
    <t>104.21.74.29</t>
  </si>
  <si>
    <t>60411a9e9d027</t>
  </si>
  <si>
    <t>https://3www.6r3jaxrxgg.win/15303/Edgch/index.html</t>
  </si>
  <si>
    <t>eikfskb.gq</t>
  </si>
  <si>
    <t>104.21.88.199</t>
  </si>
  <si>
    <t>60411f7d38234</t>
  </si>
  <si>
    <t>https://eikfskb.gq/_jsu_GzOn6mOyM1s_Q/CwEhlzBgDMW__eI_V3/xCcGEyY__L/?n_b=MSg4NDQpMjQzIDQxMjQ=&amp;amp;s_1=s1033_10998</t>
  </si>
  <si>
    <t>1848051570.rsc.cdn77.org</t>
  </si>
  <si>
    <t>185.93.2.6</t>
  </si>
  <si>
    <t>604d40d8a07c2</t>
  </si>
  <si>
    <t>https://1848051570.rsc.cdn77.org/04win/?phone=+1-(888)-231-5388&amp;amp;</t>
  </si>
  <si>
    <t>1828221802.rsc.cdn77.org</t>
  </si>
  <si>
    <t>604120316ab2a</t>
  </si>
  <si>
    <t>https://1828221802.rsc.cdn77.org/xxxwinxxx/?phone=+1-(888)-598-8199&amp;amp;</t>
  </si>
  <si>
    <t>security-control-handler-network-domain-protection-breached2.xyz</t>
  </si>
  <si>
    <t>172.67.183.33</t>
  </si>
  <si>
    <t>6041241d00c75</t>
  </si>
  <si>
    <t>https://security-control-handler-network-domain-protection-breached2.xyz/W000088In008880it0y0CED008UY00008/</t>
  </si>
  <si>
    <t>db5grw2.ga</t>
  </si>
  <si>
    <t>104.21.54.180</t>
  </si>
  <si>
    <t>6041255acad06</t>
  </si>
  <si>
    <t>https://db5grw2.ga/_jsu_GzOn6mOyM1s_Q/CwEhlzBgDMW__eI_V3/xCcGEyY__L/?n_b=MSg4NDQpNDAwIDA4MDM=&amp;amp;s_1=s734_247498-272363</t>
  </si>
  <si>
    <t>104.131.117.206</t>
  </si>
  <si>
    <t>604127365432f</t>
  </si>
  <si>
    <t>http://104.131.117.206/W8YY0n01xmse0AN77001cur0it0yCH00YY1888/</t>
  </si>
  <si>
    <t>securityd95.xyz</t>
  </si>
  <si>
    <t>172.67.135.153</t>
  </si>
  <si>
    <t>60412a9326b0f</t>
  </si>
  <si>
    <t>https://securityd95.xyz/error7830n/WinhelpxcodexwinCHsys88880101010102/</t>
  </si>
  <si>
    <t>128.199.170.74</t>
  </si>
  <si>
    <t>60413275667fb</t>
  </si>
  <si>
    <t>http://128.199.170.74/onlineclass/study/WMM0n01xmse0AN7cur0it0yCH008NV00/?sub1={{zoneid}}&amp;amp;sub2={{subid}}&amp;amp;sub3={{ctoken}}&amp;amp;sub4={{ip}}&amp;amp;sub</t>
  </si>
  <si>
    <t>604131209413b</t>
  </si>
  <si>
    <t>j8e6g4y.gq</t>
  </si>
  <si>
    <t>104.21.2.79</t>
  </si>
  <si>
    <t>604146cedf43e</t>
  </si>
  <si>
    <t>https://j8e6g4y.gq/_jsu_GzOn6mOyM1s_Q/CwEhlzBgDMW__eI_V3/xCcGEyY__L/?n_b=MSg4NDQpMjMzIDU2MTk=&amp;amp;s_1=63-2382481420447</t>
  </si>
  <si>
    <t>f5emyb0.ga</t>
  </si>
  <si>
    <t>104.21.81.199</t>
  </si>
  <si>
    <t>604153a25d572</t>
  </si>
  <si>
    <t>https://f5emyb0.ga/_jsu_GzOn6mOyM1s_Q/CwEhlzBgDMW__eI_V3/xCcGEyY__L/?n_b=MSg4NDQpMjQzIDUxMzQ=&amp;amp;s_1=1193-44807203810051</t>
  </si>
  <si>
    <t>172.67.146.64</t>
  </si>
  <si>
    <t>604154484a1ce</t>
  </si>
  <si>
    <t>https://f5emyb0.ga/_jsu_GzOn6mOyM1s_Q/CwEhlzBgDMW__eI_V3/xCcGEyY__L/?n_b=MSg4NDQpMzk2IDk2NTY=&amp;amp;s_1=s1250_207</t>
  </si>
  <si>
    <t>securityd13.xyz</t>
  </si>
  <si>
    <t>172.67.145.43</t>
  </si>
  <si>
    <t>6042611a237ec</t>
  </si>
  <si>
    <t>https://securityd13.xyz/error7830n/WinhelpxcodexwinCHsys88880101010102/</t>
  </si>
  <si>
    <t>v20brber.s3.amazonaws.com</t>
  </si>
  <si>
    <t>52.216.147.11</t>
  </si>
  <si>
    <t>6041ebabad927</t>
  </si>
  <si>
    <t>https://v20brber.s3.amazonaws.com/index.html</t>
  </si>
  <si>
    <t>n2j09xs.s3.ap-south-1.amazonaws.com</t>
  </si>
  <si>
    <t>52.219.62.3</t>
  </si>
  <si>
    <t>604219cba579a</t>
  </si>
  <si>
    <t>https://n2j09xs.s3.ap-south-1.amazonaws.com/index.html</t>
  </si>
  <si>
    <t>www.4080err044.club</t>
  </si>
  <si>
    <t>157.230.98.253</t>
  </si>
  <si>
    <t>60421d1f8a2ce</t>
  </si>
  <si>
    <t>https://www.4080err044.club/15Gm7U</t>
  </si>
  <si>
    <t>y1gfhgfhgh.s3.amazonaws.com</t>
  </si>
  <si>
    <t>52.216.239.171</t>
  </si>
  <si>
    <t>60421da716d8b</t>
  </si>
  <si>
    <t>https://y1gfhgfhgh.s3.amazonaws.com/index.html</t>
  </si>
  <si>
    <t>g1hghghgf.s3.amazonaws.com</t>
  </si>
  <si>
    <t>52.216.80.200</t>
  </si>
  <si>
    <t>https://g1hghghgf.s3.amazonaws.com/index.html</t>
  </si>
  <si>
    <t>securityd12.xyz</t>
  </si>
  <si>
    <t>172.67.153.9</t>
  </si>
  <si>
    <t>6042575213d5f</t>
  </si>
  <si>
    <t>https://securityd12.xyz/error7830n/WinhelpxcodexwinIEsys88880101010102/</t>
  </si>
  <si>
    <t>159.203.113.77</t>
  </si>
  <si>
    <t>60426f3ae6945</t>
  </si>
  <si>
    <t>http://159.203.113.77/systemerror-win-ff/?phone=.&amp;amp;</t>
  </si>
  <si>
    <t>extinct201.cf</t>
  </si>
  <si>
    <t>104.21.10.21</t>
  </si>
  <si>
    <t>604274a1eb05d</t>
  </si>
  <si>
    <t>https://extinct201.cf/JPfsdd-sdds0s0-9318.inf0hy/XkfsdbfMSdCHhfj1188xMM/</t>
  </si>
  <si>
    <t>securityd18.xyz</t>
  </si>
  <si>
    <t>172.67.179.86</t>
  </si>
  <si>
    <t>https://securityd18.xyz/error3836n/WinhelpxcodexwinCHsys88880101010102/</t>
  </si>
  <si>
    <t>rik4c2cdi.gq</t>
  </si>
  <si>
    <t>104.21.38.229</t>
  </si>
  <si>
    <t>60427ee8590dd</t>
  </si>
  <si>
    <t>https://rik4c2cdi.gq/_jsu_GzOn6mOyM1s_Q/CwEhlzBgDMW__eI_V3/xCcGEyY__L/?n_b=MSg4NDQpMzQyIDA3ODc=&amp;amp;s_1=s734_247498-272363</t>
  </si>
  <si>
    <t>8fxxmwysa.ga</t>
  </si>
  <si>
    <t>104.21.9.89</t>
  </si>
  <si>
    <t>6042863d24587</t>
  </si>
  <si>
    <t>https://8fxxmwysa.ga/_jsu_GzOn6mOyM1s_Q/CwEhlzBgDMW__eI_V3/xCcGEyY__L/?n_b=MSg4NDQpMzE4IDQzNDM=&amp;amp;s_1=63-2382481420447</t>
  </si>
  <si>
    <t>604280b04f321</t>
  </si>
  <si>
    <t>https://8fxxmwysa.ga/_jsu_GzOn6mOyM1s_Q/CwEhlzBgDMW__eI_V3/xCcGEyY__L/?n_b=MSg4NDQpMzI1IDMzNDg=&amp;amp;s_1=63-2382481420447</t>
  </si>
  <si>
    <t>terminal030.ga</t>
  </si>
  <si>
    <t>172.67.164.229</t>
  </si>
  <si>
    <t>604281006f4b3</t>
  </si>
  <si>
    <t>https://terminal030.ga/XN0rt0nDhelpli0nexY116580/W9inY8884sec0urity0Y88Y8/</t>
  </si>
  <si>
    <t>securityd26.xyz</t>
  </si>
  <si>
    <t>104.21.27.83</t>
  </si>
  <si>
    <t>6042826e36195</t>
  </si>
  <si>
    <t>https://securityd26.xyz/error0483n/WinhelpxcodexwinCHsys88880101010102/</t>
  </si>
  <si>
    <t>172.67.159.178</t>
  </si>
  <si>
    <t>604283be2dacc</t>
  </si>
  <si>
    <t>https://8fxxmwysa.ga/_jsu_GzOn6mOyM1s_Q/CwEhlzBgDMW__eI_V3/xCcGEyY__L/?n_b=MSg4NDQpMjQ4IDAxMTk=&amp;amp;s_1=1193-345387240610051</t>
  </si>
  <si>
    <t>128.199.99.193</t>
  </si>
  <si>
    <t>604287876d6cd</t>
  </si>
  <si>
    <t>http://128.199.99.193/classroom/onlinestudy/WMM0n01xmse0AN7cur0it0yCH008NV00/?sub1={{zoneid}}&amp;amp;sub2={{subid}}&amp;amp;sub3={{ctoken}}&amp;amp;sub4={{ip}}&amp;amp</t>
  </si>
  <si>
    <t>6042873c3c781</t>
  </si>
  <si>
    <t>6ngqg8vot.gq</t>
  </si>
  <si>
    <t>104.21.50.126</t>
  </si>
  <si>
    <t>604297266fa02</t>
  </si>
  <si>
    <t>https://6ngqg8vot.gq/_jsu_GzOn6mOyM1s_Q/CwEhlzBgDMW__eI_V3/xCcGEyY__L/?n_b=MSg4MzMpMjIwIDM5OTU=&amp;amp;s_1=63-2382481420447</t>
  </si>
  <si>
    <t>securityd29.xyz</t>
  </si>
  <si>
    <t>172.67.208.228</t>
  </si>
  <si>
    <t>6043c445770e7</t>
  </si>
  <si>
    <t>https://securityd29.xyz/error0483n/WinhelpxcodexwinFFsys88880101010102/</t>
  </si>
  <si>
    <t>getjobsearch.life</t>
  </si>
  <si>
    <t>207.174.213.22</t>
  </si>
  <si>
    <t>604f91f82987e</t>
  </si>
  <si>
    <t>http://getjobsearch.life/wp-content/plugins/1111/usa/McafeeHelplineSecurity001CH101001x0008/</t>
  </si>
  <si>
    <t>firyman.tk</t>
  </si>
  <si>
    <t>604b4cd2712a2</t>
  </si>
  <si>
    <t>http://firyman.tk/css/11/</t>
  </si>
  <si>
    <t>ghot.cf</t>
  </si>
  <si>
    <t>6043cc9d1a46a</t>
  </si>
  <si>
    <t>http://ghot.cf/austi/2512021/</t>
  </si>
  <si>
    <t>archeive939.ml</t>
  </si>
  <si>
    <t>172.67.165.54</t>
  </si>
  <si>
    <t>6043cce101496</t>
  </si>
  <si>
    <t>https://archeive939.ml/XN0rt0nDhelpli0nexY0203978/W9inY8884sec0urity0Y88Y8/</t>
  </si>
  <si>
    <t>cmakemefit.xyz</t>
  </si>
  <si>
    <t>143.198.48.220</t>
  </si>
  <si>
    <t>6043e6dcdc353</t>
  </si>
  <si>
    <t>https://cmakemefit.xyz/9436_winmac_Prndef_5mar/D88FdbfMS888dFFh188SA008AW088XXXrj/</t>
  </si>
  <si>
    <t>computality732.ml</t>
  </si>
  <si>
    <t>104.21.15.122</t>
  </si>
  <si>
    <t>6043e6e8987d0</t>
  </si>
  <si>
    <t>https://computality732.ml/Win-E-22Oc01021IEDGE08279-1.hhlyf/PVkfsdbfMSdFFhfj1188/</t>
  </si>
  <si>
    <t>buggydata203.ga</t>
  </si>
  <si>
    <t>104.21.8.128</t>
  </si>
  <si>
    <t>6043e6eb7cc30</t>
  </si>
  <si>
    <t>https://buggydata203.ga/JPfsdd-sdds0s0-1499.inf0hy/XkfsdbfMSdFFhfj1188xMM/</t>
  </si>
  <si>
    <t>hjasushshop.xyz</t>
  </si>
  <si>
    <t>172.67.148.146</t>
  </si>
  <si>
    <t>604508a20b267</t>
  </si>
  <si>
    <t>http://hjasushshop.xyz/testing/live/</t>
  </si>
  <si>
    <t>6044e2b27aa98</t>
  </si>
  <si>
    <t>http://hjasushshop.xyz/</t>
  </si>
  <si>
    <t>6044e094c65f8</t>
  </si>
  <si>
    <t>http://hjasushshop.xyz/testing/l6/</t>
  </si>
  <si>
    <t>6044e0214f722</t>
  </si>
  <si>
    <t>http://hjasushshop.xyz/testing/l5/</t>
  </si>
  <si>
    <t>firmware939.ga</t>
  </si>
  <si>
    <t>172.67.146.187</t>
  </si>
  <si>
    <t>6044e0c53b4c7</t>
  </si>
  <si>
    <t>https://firmware939.ga/Win-E-22Oc01021IEDGE08279-1.hhlyf/PVkfsdbfMSdCHhfj1188/</t>
  </si>
  <si>
    <t>databased404.ml</t>
  </si>
  <si>
    <t>172.67.161.60</t>
  </si>
  <si>
    <t>6044e0fd9d308</t>
  </si>
  <si>
    <t>https://databased404.ml/JPfsdd-sdds0s0-9316.inf0hy/XkfsdbfMSdCHhfj1188xMM/</t>
  </si>
  <si>
    <t>www.carrent247.com</t>
  </si>
  <si>
    <t>79.137.5.88</t>
  </si>
  <si>
    <t>60b36291615f0</t>
  </si>
  <si>
    <t>http://www.carrent247.com/</t>
  </si>
  <si>
    <t>carrent247.com</t>
  </si>
  <si>
    <t>604509f1c5c23</t>
  </si>
  <si>
    <t>http://carrent247.com/</t>
  </si>
  <si>
    <t>604509d1f3d1a</t>
  </si>
  <si>
    <t>http://carrent247.com/fr1/alerte3134.html</t>
  </si>
  <si>
    <t>128.199.234.189</t>
  </si>
  <si>
    <t>60453763c3132</t>
  </si>
  <si>
    <t>http://128.199.234.189/online/banking/WMM0n01xmse0AN7cur0it0yCH008NV00/?sub1=D5807GEHPW&amp;amp;sub2=&amp;amp;sub3=gygwbkpr8sc5gj348boo&amp;amp;sub4=2603%3A7000%3A7</t>
  </si>
  <si>
    <t>604535c2bbbe0</t>
  </si>
  <si>
    <t>http://128.199.234.189/online/banking/WMM0n01xmse0AN7cur0it0yCH008NV00/?sub1=D5807GEHPW&amp;amp;sub2=&amp;amp;sub3=gygwheire4cj8uizhw75&amp;amp;sub4=2603%3A7000%3A7</t>
  </si>
  <si>
    <t>migrating203.cf</t>
  </si>
  <si>
    <t>104.21.82.175</t>
  </si>
  <si>
    <t>60453bcc1b1ed</t>
  </si>
  <si>
    <t>https://migrating203.cf/XN0rt0nDhelpli0nexY01803864/W9inY8884sec0urity0Y88Y8/</t>
  </si>
  <si>
    <t>routline939.ga</t>
  </si>
  <si>
    <t>172.67.189.152</t>
  </si>
  <si>
    <t>604544ec3a22d</t>
  </si>
  <si>
    <t>https://routline939.ga/XN0rt0nDhelpli0nexY033386/W9inY8884sec0urity0Y88Y8/</t>
  </si>
  <si>
    <t>gateway932.ga</t>
  </si>
  <si>
    <t>104.21.84.194</t>
  </si>
  <si>
    <t>604631101449f</t>
  </si>
  <si>
    <t>https://gateway932.ga/XN0rt0nDhelpli0nexY1045062/W9inY8884sec0urity0Y88Y8</t>
  </si>
  <si>
    <t>terminal939.ml</t>
  </si>
  <si>
    <t>104.21.91.173</t>
  </si>
  <si>
    <t>604639ff043fc</t>
  </si>
  <si>
    <t>https://terminal939.ml/Win-E-22Oc06956IEDGE08279-1.hhlyf1/PVkfsdbfMSdFFhfj1188/</t>
  </si>
  <si>
    <t>143.198.192.91</t>
  </si>
  <si>
    <t>http://143.198.192.91/</t>
  </si>
  <si>
    <t>2www.yceen8en2m.win</t>
  </si>
  <si>
    <t>172.67.208.152</t>
  </si>
  <si>
    <t>6046522ae85ed</t>
  </si>
  <si>
    <t>https://2www.yceen8en2m.win/98264/Edgch/index.html</t>
  </si>
  <si>
    <t>21insightsolki.azurewebsites.net</t>
  </si>
  <si>
    <t>20.50.2.34</t>
  </si>
  <si>
    <t>6046577f976a5</t>
  </si>
  <si>
    <t>https://21insightsolki.azurewebsites.net/PAHDJ0SGJA844012EDXAGEODB100F/</t>
  </si>
  <si>
    <t>securityd102.xyz</t>
  </si>
  <si>
    <t>172.67.130.109</t>
  </si>
  <si>
    <t>60465ab0447de</t>
  </si>
  <si>
    <t>https://securityd102.xyz/error1194n/WinhelpxcodexwinIEsys88880101010102/</t>
  </si>
  <si>
    <t>xsavqnq.gq</t>
  </si>
  <si>
    <t>172.67.208.214</t>
  </si>
  <si>
    <t>60466099529c1</t>
  </si>
  <si>
    <t>https://xsavqnq.gq/_jsu_GzOn6mOyM1s_Q/CwEhlzBgDMW__eI_V3/xCcGEyY__L/?n_b=MSg4NDQpMzEyIDMyMjg=&amp;amp;s_1=s1250_207</t>
  </si>
  <si>
    <t>6046600c72455</t>
  </si>
  <si>
    <t>https://xsavqnq.gq/_jsu_GzOn6mOyM1s_Q/CwEhlzBgDMW__eI_V3/xCcGEyY__L/?n_b=MSg4NDQpMzEzIDc4MTE=&amp;amp;s_1=63-587</t>
  </si>
  <si>
    <t>securityd103.xyz</t>
  </si>
  <si>
    <t>172.67.159.89</t>
  </si>
  <si>
    <t>https://securityd103.xyz/error1194n/WinhelpxcodexwinIEsys88880101010102/</t>
  </si>
  <si>
    <t>pornhub2s9d.azurewebsites.net</t>
  </si>
  <si>
    <t>20.40.202.6</t>
  </si>
  <si>
    <t>60a7f1cd61c8c</t>
  </si>
  <si>
    <t>https://pornhub2s9d.azurewebsites.net/WDH88In008880it0yCED0DH81188/</t>
  </si>
  <si>
    <t>adulttubeht1a0b.azurewebsites.net</t>
  </si>
  <si>
    <t>60a27f8269c16</t>
  </si>
  <si>
    <t>https://adulttubeht1a0b.azurewebsites.net/WMM0n01xmse0AN7cur0it0yCH008NV00/</t>
  </si>
  <si>
    <t>14resultsyhnm.azurewebsites.net</t>
  </si>
  <si>
    <t>605b846c2e2eb</t>
  </si>
  <si>
    <t>https://14resultsyhnm.azurewebsites.net/PAHDJ0SGJA844012MACXAGEODB100F/</t>
  </si>
  <si>
    <t>rambharose007.azurewebsites.net</t>
  </si>
  <si>
    <t>6046617909bf3</t>
  </si>
  <si>
    <t>https://rambharose007.azurewebsites.net/WinhelpxcodexwinCHsysxx/</t>
  </si>
  <si>
    <t>securityd105.xyz</t>
  </si>
  <si>
    <t>104.21.51.177</t>
  </si>
  <si>
    <t>604665a1e6d3e</t>
  </si>
  <si>
    <t>https://securityd105.xyz/error1194n/WinhelpxcodexwinIEsys88880101010102/</t>
  </si>
  <si>
    <t>10reportsmnhj.azurewebsites.net</t>
  </si>
  <si>
    <t>20.50.2.28</t>
  </si>
  <si>
    <t>604666052fcee</t>
  </si>
  <si>
    <t>https://10reportsmnhj.azurewebsites.net/PAHDJ0SGJA844012EDXAGEODB100F/</t>
  </si>
  <si>
    <t>security-control-handler-network-domain-protection-breached9.xyz</t>
  </si>
  <si>
    <t>104.21.85.93</t>
  </si>
  <si>
    <t>60467e546b050</t>
  </si>
  <si>
    <t>https://security-control-handler-network-domain-protection-breached9.xyz/W000088In008880it0y0CED008UY00008/</t>
  </si>
  <si>
    <t>securityd108.xyz</t>
  </si>
  <si>
    <t>104.21.35.147</t>
  </si>
  <si>
    <t>60467f9ed1271</t>
  </si>
  <si>
    <t>https://securityd108.xyz/error5830n/WinhelpxcodexwinCHsys88880101010102/</t>
  </si>
  <si>
    <t>error0703.s3.us-east-2.amazonaws.com</t>
  </si>
  <si>
    <t>52.219.102.2</t>
  </si>
  <si>
    <t>604684fb5daaa</t>
  </si>
  <si>
    <t>https://error0703.s3.us-east-2.amazonaws.com/index.html</t>
  </si>
  <si>
    <t>securityd109.xyz</t>
  </si>
  <si>
    <t>104.21.7.49</t>
  </si>
  <si>
    <t>6046863b4f39f</t>
  </si>
  <si>
    <t>https://securityd109.xyz/error8315n/WinhelpxcodexwinCHsys88880101010102/</t>
  </si>
  <si>
    <t>18.224.72.128</t>
  </si>
  <si>
    <t>60468cc3a72d8</t>
  </si>
  <si>
    <t>http://18.224.72.128/2/index.html</t>
  </si>
  <si>
    <t>ob-3436892-835373884-08-1451-06.s3.ap-south-1.amazonaws.com</t>
  </si>
  <si>
    <t>52.219.64.11</t>
  </si>
  <si>
    <t>6046b53226b14</t>
  </si>
  <si>
    <t>https://ob-3436892-835373884-08-1451-06.s3.ap-south-1.amazonaws.com/index.html</t>
  </si>
  <si>
    <t>v14sry35y.s3.amazonaws.com</t>
  </si>
  <si>
    <t>52.217.40.140</t>
  </si>
  <si>
    <t>60475b89dde72</t>
  </si>
  <si>
    <t>https://v14sry35y.s3.amazonaws.com/index.html</t>
  </si>
  <si>
    <t>munging292.cf</t>
  </si>
  <si>
    <t>104.21.22.127</t>
  </si>
  <si>
    <t>6047642c9f9c1</t>
  </si>
  <si>
    <t>https://munging292.cf/Win-E-22Oc06956IEDGE08279-1.hhlyf1/PVkfsdbfMSdCHhfj1188/</t>
  </si>
  <si>
    <t>haptics224.ml</t>
  </si>
  <si>
    <t>172.67.223.197</t>
  </si>
  <si>
    <t>604764793e433</t>
  </si>
  <si>
    <t>https://haptics224.ml/JPfsdd-sdds0s0-9316.inf0hy/XkfsdbfMSdCHhfj1188xMM/</t>
  </si>
  <si>
    <t>6047644fcb999</t>
  </si>
  <si>
    <t>https://haptics224.ml/JPfsdd-sdds0s0-9316.inf0hy/XkfsdbfMSdFFhfj1188xMM/</t>
  </si>
  <si>
    <t>security-controller-handler-network-domain-protection-breached6.xyz</t>
  </si>
  <si>
    <t>172.67.216.229</t>
  </si>
  <si>
    <t>6047930f6f3c1</t>
  </si>
  <si>
    <t>https://security-controller-handler-network-domain-protection-breached6.xyz/W000088In008880it0y0FF008UY00008/</t>
  </si>
  <si>
    <t>security-controller-handler-network-domain-protection-breached7.xyz</t>
  </si>
  <si>
    <t>104.21.26.30</t>
  </si>
  <si>
    <t>6047a6bd1a003</t>
  </si>
  <si>
    <t>https://security-controller-handler-network-domain-protection-breached7.xyz/W000088In008880it0y0CED008UY00008/</t>
  </si>
  <si>
    <t>3www.gfli4vw4ll.win</t>
  </si>
  <si>
    <t>104.21.74.201</t>
  </si>
  <si>
    <t>6047a8bd73279</t>
  </si>
  <si>
    <t>https://3www.gfli4vw4ll.win/07346/Edgch/index.html</t>
  </si>
  <si>
    <t>optimistic-hugle.192-155-83-75.plesk.page</t>
  </si>
  <si>
    <t>192.155.83.75</t>
  </si>
  <si>
    <t>6047a9419a3f3</t>
  </si>
  <si>
    <t>https://optimistic-hugle.192-155-83-75.plesk.page/WinFhelpxcodexwin444IEeX/</t>
  </si>
  <si>
    <t>1563831326.rsc.cdn77.org</t>
  </si>
  <si>
    <t>185.93.2.10</t>
  </si>
  <si>
    <t>6075d75b1c3ce</t>
  </si>
  <si>
    <t>https://1563831326.rsc.cdn77.org/04win/?phone=+1-(888)-395-0482&amp;amp;cid=%7B%7BclickId%7D%7D&amp;amp;clickId=2856ae633041b250a3c8045eed8f2e37a99cad6f</t>
  </si>
  <si>
    <t>1699323669.rsc.cdn77.org</t>
  </si>
  <si>
    <t>605bcedb8ffdc</t>
  </si>
  <si>
    <t>http://1699323669.rsc.cdn77.org/04win/?phone=+1-(888)-596-5682&amp;amp;</t>
  </si>
  <si>
    <t>1469707261.rsc.cdn77.org</t>
  </si>
  <si>
    <t>6047b527e032d</t>
  </si>
  <si>
    <t>https://1469707261.rsc.cdn77.org/04win/?phone=+1-(888)-270-3356&amp;amp;</t>
  </si>
  <si>
    <t>1361429630.rsc.cdn77.org</t>
  </si>
  <si>
    <t>6047a98ddc0ce</t>
  </si>
  <si>
    <t>https://1361429630.rsc.cdn77.org/04win/?phone=+1-(888)-210-6693&amp;amp;</t>
  </si>
  <si>
    <t>136.244.100.26</t>
  </si>
  <si>
    <t>6047b30b1e262</t>
  </si>
  <si>
    <t>http://136.244.100.26/Tronics-elegible-light-screen-zero-deffer-main-lights/Winhelpxcode777securityCH00700x/index.html</t>
  </si>
  <si>
    <t>95.179.166.199</t>
  </si>
  <si>
    <t>6047b325a9069</t>
  </si>
  <si>
    <t>http://95.179.166.199/Prefix-santer-disable-concer-divert-blue-screen-erroe/Winhelpxcode777securityCH00700x/index.html</t>
  </si>
  <si>
    <t>tzhw1hyz.gq</t>
  </si>
  <si>
    <t>172.67.152.102</t>
  </si>
  <si>
    <t>6047c4c72f560</t>
  </si>
  <si>
    <t>https://tzhw1hyz.gq/_jsu_GzOn6mOyM1s_Q/CwEhlzBgDMW__eI_V3/xCcGEyY__L/?n_b=MSg4NDQpMzA5IDIxOTU=&amp;amp;s_1=s1033_G1808010194</t>
  </si>
  <si>
    <t>eager-mccarthy.45-79-181-206.plesk.page</t>
  </si>
  <si>
    <t>45.79.181.206</t>
  </si>
  <si>
    <t>6047c28804031</t>
  </si>
  <si>
    <t>https://eager-mccarthy.45-79-181-206.plesk.page/WinFhelpxcodexwin444CHeX/</t>
  </si>
  <si>
    <t>kbedding.xyz</t>
  </si>
  <si>
    <t>172.67.220.219</t>
  </si>
  <si>
    <t>6047c78b18fac</t>
  </si>
  <si>
    <t>https://kbedding.xyz/</t>
  </si>
  <si>
    <t>pdcj96gi.ga</t>
  </si>
  <si>
    <t>104.21.22.129</t>
  </si>
  <si>
    <t>6047c7e2b3d0c</t>
  </si>
  <si>
    <t>https://pdcj96gi.ga/_jsu_GzOn6mOyM1s_Q/CwEhlzBgDMW__eI_V3/xCcGEyY__L/?n_b=MSg4MzMpMjIwIDMwMjg=&amp;amp;s_1=63-587</t>
  </si>
  <si>
    <t>security23.xyz</t>
  </si>
  <si>
    <t>172.67.161.128</t>
  </si>
  <si>
    <t>6047c8d8dc77c</t>
  </si>
  <si>
    <t>https://security23.xyz/error8646n/WinhelpxcodexwinCHsys88880101010102/</t>
  </si>
  <si>
    <t>1618550900.rsc.cdn77.org</t>
  </si>
  <si>
    <t>185.93.2.17</t>
  </si>
  <si>
    <t>607cbcc7b33c3</t>
  </si>
  <si>
    <t>https://1618550900.rsc.cdn77.org/04win/?phone=+1-(888)-732-1062&amp;amp;click=14892298.BSK1pyrvVVc&amp;amp;sclick=210156.14892298</t>
  </si>
  <si>
    <t>1234503845.rsc.cdn77.org</t>
  </si>
  <si>
    <t>6079d1cb35993</t>
  </si>
  <si>
    <t>https://1234503845.rsc.cdn77.org/04win/?phone=+1-(888)-727-7076&amp;amp;</t>
  </si>
  <si>
    <t>607897120d7f9</t>
  </si>
  <si>
    <t>https://1850889589.rsc.cdn77.org/04win/?phone=+1-(888)-732-1477&amp;amp;sclid=u95FFE18EME&amp;amp;clid=281969.3816879</t>
  </si>
  <si>
    <t>1740043607.rsc.cdn77.org</t>
  </si>
  <si>
    <t>6063920bc9276</t>
  </si>
  <si>
    <t>https://1740043607.rsc.cdn77.org/04win/?phone=+1-(888)-425-1375&amp;amp;cid=7j9Yip8xSRc&amp;amp;sid=225955.youtubee.com</t>
  </si>
  <si>
    <t>1759703471.rsc.cdn77.org</t>
  </si>
  <si>
    <t>6064a13e222a9</t>
  </si>
  <si>
    <t>https://1759703471.rsc.cdn77.org/04win/?phone=+1-(888)-360-6162&amp;amp;cid=rAX%2A3GTbEic&amp;amp;sid=216899.ttwitter.com</t>
  </si>
  <si>
    <t>6047e06ce0504</t>
  </si>
  <si>
    <t>https://1929786062.rsc.cdn77.org/04win/?phone=+1-(888)-534-7134&amp;amp;</t>
  </si>
  <si>
    <t>1881406353.rsc.cdn77.org</t>
  </si>
  <si>
    <t>6047c9ecb24db</t>
  </si>
  <si>
    <t>https://1881406353.rsc.cdn77.org/04win/?phone=+1-(888)-210-5955&amp;amp;</t>
  </si>
  <si>
    <t>4www.1b7roxqz0u.win</t>
  </si>
  <si>
    <t>172.67.202.238</t>
  </si>
  <si>
    <t>6047cb708cf10</t>
  </si>
  <si>
    <t>https://4www.1b7roxqz0u.win/03689/IeEg/index.html</t>
  </si>
  <si>
    <t>security22.xyz</t>
  </si>
  <si>
    <t>172.67.173.162</t>
  </si>
  <si>
    <t>6047d0f41f0c3</t>
  </si>
  <si>
    <t>https://security22.xyz/error4281n/WinhelpxcodexwinIEsys88880101010102/</t>
  </si>
  <si>
    <t>wsedrftgyuhilaszdxfcghjkkop87654ewsd-env.eba-x7wmpzqq.ap-southeast-2.</t>
  </si>
  <si>
    <t>3.24.160.14</t>
  </si>
  <si>
    <t>6047d88170526</t>
  </si>
  <si>
    <t>http://wsedrftgyuhilaszdxfcghjkkop87654ewsd-env.eba-x7wmpzqq.ap-southeast-2.elasticbeanstalk.com/456YGFRT5678UHGFDER5678IJHDER45678YTRESDFGHY65EDFGHJHGF</t>
  </si>
  <si>
    <t>debugnet653.ml</t>
  </si>
  <si>
    <t>104.21.13.153</t>
  </si>
  <si>
    <t>6047e083cba05</t>
  </si>
  <si>
    <t>https://debugnet653.ml/dasd-asd0sa-d0sad-as0d-asdas-d.hhbdy/W088In01xmse08880it0yCED008MUY008xx/</t>
  </si>
  <si>
    <t>havococ.icu</t>
  </si>
  <si>
    <t>163.172.171.71</t>
  </si>
  <si>
    <t>6048fdc7b0f40</t>
  </si>
  <si>
    <t>http://havococ.icu/p/CPfsfMSdEDhfj1188xSS08Vi8WSS0B/</t>
  </si>
  <si>
    <t>serifis.icu</t>
  </si>
  <si>
    <t>6047e2855f4fb</t>
  </si>
  <si>
    <t>http://serifis.icu/t/CPfsfMSdEDhfj1188xSS08Vi8WSS0B/</t>
  </si>
  <si>
    <t>ertygdhasiu6.tk</t>
  </si>
  <si>
    <t>142.93.115.71</t>
  </si>
  <si>
    <t>6047e4c578727</t>
  </si>
  <si>
    <t>https://ertygdhasiu6.tk/h3r5647/W00008008880it0y0CED008UY00008/</t>
  </si>
  <si>
    <t>18.184.216.20</t>
  </si>
  <si>
    <t>6048ab00c5bd8</t>
  </si>
  <si>
    <t>http://18.184.216.20/admiration/nlmemorandum.html?=02-808-05-71</t>
  </si>
  <si>
    <t>ukdftgyhjkfhjio45erdfui8945ertyui95-env.eba-cgvjkhqu.ap-southeast-2.e</t>
  </si>
  <si>
    <t>13.238.83.103</t>
  </si>
  <si>
    <t>6048b03d1d606</t>
  </si>
  <si>
    <t>http://ukdftgyhjkfhjio45erdfui8945ertyui95-env.eba-cgvjkhqu.ap-southeast-2.elasticbeanstalk.com/EDCH67TYFGHGJT46789E0IOJFHGRYT746489UEIJHGUYT7483UIJHEFG</t>
  </si>
  <si>
    <t>e</t>
  </si>
  <si>
    <t>pedibyte399.ml</t>
  </si>
  <si>
    <t>104.21.21.91</t>
  </si>
  <si>
    <t>6048d73883829</t>
  </si>
  <si>
    <t>https://pedibyte399.ml/JPfsdd-sdds0s0-4208.inf0hy/XkfsdbfMSdCHhfj1188xMM/</t>
  </si>
  <si>
    <t>complexity993.ga</t>
  </si>
  <si>
    <t>104.21.50.9</t>
  </si>
  <si>
    <t>6048ed7f1f79d</t>
  </si>
  <si>
    <t>https://complexity993.ga/JPfsdd-sdds0s0-3620.inf0hy/XkfsdbfMSdFFhfj1188xMM/</t>
  </si>
  <si>
    <t>6048d7a0c5113</t>
  </si>
  <si>
    <t>https://complexity993.ga/JPfsdd-sdds0s0-3620.inf0hy/XkfsdbfMSdCHhfj1188xMM/</t>
  </si>
  <si>
    <t>buggydata392.ga</t>
  </si>
  <si>
    <t>104.21.59.220</t>
  </si>
  <si>
    <t>6048eda5009cd</t>
  </si>
  <si>
    <t>https://buggydata392.ga/Win-E-22Oc06956IEDGE08279-1.hhlyf1/PVkfsdbfMSdFFhfj1188/</t>
  </si>
  <si>
    <t>6048d7cd4e933</t>
  </si>
  <si>
    <t>https://buggydata392.ga/Win-E-22Oc06956IEDGE08279-1.hhlyf1/PVkfsdbfMSdCHhfj1188/</t>
  </si>
  <si>
    <t>172.67.197.85</t>
  </si>
  <si>
    <t>6048eceb6f057</t>
  </si>
  <si>
    <t>https://pedibyte399.ml/JPfsdd-sdds0s0-4208.inf0hy/XkfsdbfMSdFFhfj1188xMM/</t>
  </si>
  <si>
    <t>happy-mcnulty.192-155-89-244.plesk.page</t>
  </si>
  <si>
    <t>192.155.89.244</t>
  </si>
  <si>
    <t>6048f9a0ec53c</t>
  </si>
  <si>
    <t>https://happy-mcnulty.192-155-89-244.plesk.page/WinFhelpxcodexwin444CHeX/</t>
  </si>
  <si>
    <t>3www.8po3fe0e67.win</t>
  </si>
  <si>
    <t>172.67.152.52</t>
  </si>
  <si>
    <t>6048fe5ce1b61</t>
  </si>
  <si>
    <t>https://3www.8po3fe0e67.win/03860/IeEg/index.html</t>
  </si>
  <si>
    <t>passphrase949.ga</t>
  </si>
  <si>
    <t>104.21.88.105</t>
  </si>
  <si>
    <t>6048fea996fa1</t>
  </si>
  <si>
    <t>https://passphrase949.ga/fsdf-sd0f-sdf0sd-f0sd-fs0df-sdf.jjnfgy/W088In01xmse08880it0yCED008MUY008xx/</t>
  </si>
  <si>
    <t>i970jd0p.gq</t>
  </si>
  <si>
    <t>104.21.49.63</t>
  </si>
  <si>
    <t>604911ea19173</t>
  </si>
  <si>
    <t>https://i970jd0p.gq/_jsu_GzOn6mOyM1s_Q/CwEhlzBgDMW__eI_V3/xCcGEyY__L/?n_b=MSg4NDQpMjE2IDA4NDU=&amp;amp;s_1=1193-162118273310051</t>
  </si>
  <si>
    <t>d1kpp2ww5pgov9.cloudfront.net</t>
  </si>
  <si>
    <t>99.86.88.217</t>
  </si>
  <si>
    <t>6049184ac1a62</t>
  </si>
  <si>
    <t>https://d1kpp2ww5pgov9.cloudfront.net/CCH88xe/?phone=09-70-18-15-11&amp;amp;rb=JSee3fef20c2c74d9d9c06faede40662ae&amp;amp;clickid=718aafna9a07v062a&amp;amp;t1=4xZ6t</t>
  </si>
  <si>
    <t>n0iwrvw3.ga</t>
  </si>
  <si>
    <t>104.21.75.221</t>
  </si>
  <si>
    <t>60492a11ac0df</t>
  </si>
  <si>
    <t>https://n0iwrvw3.ga/_jsu_GzOn6mOyM1s_Q/CwEhlzBgDMW__eI_V3/xCcGEyY__L/?n_b=MSg4NDQpNDc2IDAxMzU=&amp;amp;s_1=63-2382481420447</t>
  </si>
  <si>
    <t>172.67.182.105</t>
  </si>
  <si>
    <t>60492cc0f3d98</t>
  </si>
  <si>
    <t>https://n0iwrvw3.ga/_jsu_GzOn6mOyM1s_Q/CwEhlzBgDMW__eI_V3/xCcGEyY__L/?n_b=MSg4NDQpMzA5IDI2OTg=&amp;amp;s_1=s1033_G1808010194</t>
  </si>
  <si>
    <t>pclaptop.club</t>
  </si>
  <si>
    <t>68.65.120.151</t>
  </si>
  <si>
    <t>607fdf526a29e</t>
  </si>
  <si>
    <t>http://pclaptop.club/haha/D88FdbfMSdCHh188SA008AWJPx/</t>
  </si>
  <si>
    <t>607fdf1a1e7eb</t>
  </si>
  <si>
    <t>http://pclaptop.club/us/W00008008880it0y0CED008UY00008/</t>
  </si>
  <si>
    <t>60794e2b865fb</t>
  </si>
  <si>
    <t>http://pclaptop.club/my/D88FdbfMSdCHh188SA008AWJPx/</t>
  </si>
  <si>
    <t>60794e07088d4</t>
  </si>
  <si>
    <t>http://pclaptop.club/www/D88FdbfMSdCHh188SA008AWJPx/</t>
  </si>
  <si>
    <t>jayant2020.ga</t>
  </si>
  <si>
    <t>6073103b2cc10</t>
  </si>
  <si>
    <t>https://jayant2020.ga/amt/D88FdbfMSdCHh188SA008AWJPx/</t>
  </si>
  <si>
    <t>evadav2020.ml</t>
  </si>
  <si>
    <t>605b691404105</t>
  </si>
  <si>
    <t>https://evadav2020.ml/jp/WinFhelpxcodexwin444EDerrorxxdc/</t>
  </si>
  <si>
    <t>computer2020.tk</t>
  </si>
  <si>
    <t>60495f23d1c1b</t>
  </si>
  <si>
    <t>https://computer2020.tk/my/WinFhelpxcodexwin444CHerrorxxdc/</t>
  </si>
  <si>
    <t>checkchickshop.online</t>
  </si>
  <si>
    <t>162.213.251.206</t>
  </si>
  <si>
    <t>60498677b203c</t>
  </si>
  <si>
    <t>https://checkchickshop.online/wtdjpx01-nvb54c46-rtr5t89er74-vfbc598gd6-v4b54g87dfd46-er5er8e-vb45vb4b4-c4b548/nchrx7186/index.html</t>
  </si>
  <si>
    <t>telematic220.ml</t>
  </si>
  <si>
    <t>172.67.137.182</t>
  </si>
  <si>
    <t>604a43d1d7cf5</t>
  </si>
  <si>
    <t>https://telematic220.ml/Win-E-22Oc07818IEDGE08279-1.hhlyf2/PVkfsdbfMSdFFhfj1188/</t>
  </si>
  <si>
    <t>604997dbc29b3</t>
  </si>
  <si>
    <t>https://telematic220.ml/Win-E-22Oc07818IEDGE08279-1.hhlyf2/PVkfsdbfMSdCHhfj1188/</t>
  </si>
  <si>
    <t>atomicity022.ga</t>
  </si>
  <si>
    <t>172.67.154.151</t>
  </si>
  <si>
    <t>6049a33455288</t>
  </si>
  <si>
    <t>https://atomicity022.ga/JPfsdd-sdds0s0-4208.inf0hy/XkfsdbfMSdCHhfj1188xMM/</t>
  </si>
  <si>
    <t>tethering004.ga</t>
  </si>
  <si>
    <t>104.21.46.3</t>
  </si>
  <si>
    <t>604a4c2c57751</t>
  </si>
  <si>
    <t>https://tethering004.ga/fd-d-ffddff0d00dfdf0-df0fd0.hhbvgy/W088In01xmse08880it0yCED008MUY008xx/</t>
  </si>
  <si>
    <t>unique-baby-name.site</t>
  </si>
  <si>
    <t>104.21.37.251</t>
  </si>
  <si>
    <t>604a7fed4c407</t>
  </si>
  <si>
    <t>https://unique-baby-name.site/codemasgss/MAfdfffdgfgfgdfgdfgf-188CtySS/</t>
  </si>
  <si>
    <t>604a50b9e0cab</t>
  </si>
  <si>
    <t>https://unique-baby-name.site/codemasgss/CEDfdfffdgfgfgdfgdfgfMPr88CtySS/</t>
  </si>
  <si>
    <t>nortonfreeantivirus.com</t>
  </si>
  <si>
    <t>HOSTINGER</t>
  </si>
  <si>
    <t>31.220.104.196</t>
  </si>
  <si>
    <t>604a67ef565b9</t>
  </si>
  <si>
    <t>https://nortonfreeantivirus.com/error/Winhelpxcode888securityCH007/index.html</t>
  </si>
  <si>
    <t>128.199.149.140</t>
  </si>
  <si>
    <t>604a73fac2c37</t>
  </si>
  <si>
    <t>http://128.199.149.140/classrooms/forlearning/WMM0n01xmse0AN7cur0it0yCH008NV00/?sub1=D5025GEHPW&amp;amp;sub2=232226&amp;amp;sub3=gygwfr1i4wfb8x5djw0s&amp;amp;sub4=1</t>
  </si>
  <si>
    <t>htpzffr.ga</t>
  </si>
  <si>
    <t>104.21.52.172</t>
  </si>
  <si>
    <t>604a7d6a0d02a</t>
  </si>
  <si>
    <t>https://htpzffr.ga/_jsu_GzOn6mOyM1s_Q/CwEhlzBgDMW__eI_V3/xCcGEyY__L/?n_b=MSg4NDQpMjU0IDg0NDg=&amp;amp;s_1=63-587</t>
  </si>
  <si>
    <t>complexity393.ga</t>
  </si>
  <si>
    <t>104.21.86.167</t>
  </si>
  <si>
    <t>604b8b2a2ea1f</t>
  </si>
  <si>
    <t>https://complexity393.ga/JPfsdd-sdds0s0-9276.inf0hy/XkfsdbfMSdFFhfj1188xMM/</t>
  </si>
  <si>
    <t>piquaoc.xyz</t>
  </si>
  <si>
    <t>51.15.68.8</t>
  </si>
  <si>
    <t>604a99973519e</t>
  </si>
  <si>
    <t>http://piquaoc.xyz/t/CPfsfMSdEDhfj1188xSS08Vi8WSS0B/</t>
  </si>
  <si>
    <t>1940746767.rsc.cdn77.org</t>
  </si>
  <si>
    <t>185.93.2.5</t>
  </si>
  <si>
    <t>6071dc404aa53</t>
  </si>
  <si>
    <t>https://1940746767.rsc.cdn77.org/04win/?phone=+1-(888)-341-0796&amp;amp;cid=%7B%7BclickId%7D%7D&amp;amp;clickId=73d1ebbd99d34f744467d3146232f9efc5984255</t>
  </si>
  <si>
    <t>1540163661.rsc.cdn77.org</t>
  </si>
  <si>
    <t>6058e6327c322</t>
  </si>
  <si>
    <t>https://1540163661.rsc.cdn77.org/04win/?phone=+1-(888)-373-3294&amp;amp;</t>
  </si>
  <si>
    <t>6058e6124ed6e</t>
  </si>
  <si>
    <t>https://1540163661.rsc.cdn77.org/04win/?phone=+1-(888)-308-5921&amp;amp;</t>
  </si>
  <si>
    <t>1106003732.rsc.cdn77.org</t>
  </si>
  <si>
    <t>604aa01cabda4</t>
  </si>
  <si>
    <t>https://1106003732.rsc.cdn77.org/04win/?phone=+1-(888)-231-4495&amp;amp;</t>
  </si>
  <si>
    <t>datafarming494.ga</t>
  </si>
  <si>
    <t>104.21.39.129</t>
  </si>
  <si>
    <t>604b8b42c72b8</t>
  </si>
  <si>
    <t>https://datafarming494.ga/Win-E-22Oc07818IEDGE08279-1.hhlyf2/PVkfsdbfMSdFFhfj1188/</t>
  </si>
  <si>
    <t>1762267130.rsc.cdn77.org</t>
  </si>
  <si>
    <t>185.93.2.19</t>
  </si>
  <si>
    <t>607e0ddee4dae</t>
  </si>
  <si>
    <t>https://1762267130.rsc.cdn77.org//04win/?phone=+1-(888)-729-8023&amp;amp;cid=%7B%7BclickId%7D%7D&amp;amp;clickId=a704e0c9073e4aace8c67fceef895c29a1a1f5a0</t>
  </si>
  <si>
    <t>1902637094.rsc.cdn77.org</t>
  </si>
  <si>
    <t>607b599f8a051</t>
  </si>
  <si>
    <t>https://1902637094.rsc.cdn77.org/04win/?phone=+1-(888)-725-4059&amp;amp;click=Dq9vlgaQUx0&amp;amp;sclick=218955.02d423bb8174c28fed8ee3a88</t>
  </si>
  <si>
    <t>1226442764.rsc.cdn77.org</t>
  </si>
  <si>
    <t>607b45495ee68</t>
  </si>
  <si>
    <t>https://1226442764.rsc.cdn77.org/04win/?phone=+1-(888)-728-9617&amp;amp;click=SJHliGkp9JA&amp;amp;sclick=210156.14892298</t>
  </si>
  <si>
    <t>6079d1a667f45</t>
  </si>
  <si>
    <t>https://1234503845.rsc.cdn77.org/04win/?phone=+1-(888)-726-0325&amp;amp;click=l36T1NIDbzE&amp;amp;sclick=281969.3807275</t>
  </si>
  <si>
    <t>1373616212.rsc.cdn77.org</t>
  </si>
  <si>
    <t>60786f1be5a53</t>
  </si>
  <si>
    <t>https://1373616212.rsc.cdn77.org/04win/?phone=+1-(888)-532-1937&amp;amp;cid=%7B%7BclickId%7D%7D&amp;amp;clickId=cc63cb6e889473435396358bf760c22bfa4cc279</t>
  </si>
  <si>
    <t>1443375697.rsc.cdn77.org</t>
  </si>
  <si>
    <t>https://1443375697.rsc.cdn77.org/04win/?phone=+1-(888)-382-2106&amp;amp;</t>
  </si>
  <si>
    <t>1579801343.rsc.cdn77.org</t>
  </si>
  <si>
    <t>6054ef9243eb6</t>
  </si>
  <si>
    <t>https://1579801343.rsc.cdn77.org/04win/?phone=+1-(888)-260-9396&amp;amp;</t>
  </si>
  <si>
    <t>1306329116.rsc.cdn77.org</t>
  </si>
  <si>
    <t>6053a6397e27f</t>
  </si>
  <si>
    <t>https://1306329116.rsc.cdn77.org/04win/?phone=+1-(888)-269-1890&amp;amp;</t>
  </si>
  <si>
    <t>1055630787.rsc.cdn77.org</t>
  </si>
  <si>
    <t>604b8b5f44bfa</t>
  </si>
  <si>
    <t>https://1055630787.rsc.cdn77.org/04win/?phone=+1-(888)-585-8041&amp;amp;</t>
  </si>
  <si>
    <t>185.93.2.25</t>
  </si>
  <si>
    <t>607b3a4858bc2</t>
  </si>
  <si>
    <t>https://1406754063.rsc.cdn77.org/04win/?phone=+1-(888)-729-0588&amp;amp;udid=1K0%2AKVGrHeM&amp;amp;duid=265454.02d423bb8174c28fed8ee3a88</t>
  </si>
  <si>
    <t>1197299412.rsc.cdn77.org</t>
  </si>
  <si>
    <t>604b95ac4a144</t>
  </si>
  <si>
    <t>https://1197299412.rsc.cdn77.org/04win/?phone=+1-(888)-242-1708&amp;amp;</t>
  </si>
  <si>
    <t>microlivehelpsupport.tk</t>
  </si>
  <si>
    <t>104.248.165.163</t>
  </si>
  <si>
    <t>6052366122cd8</t>
  </si>
  <si>
    <t>http://microlivehelpsupport.tk/main1/</t>
  </si>
  <si>
    <t>microlivehelps.tk</t>
  </si>
  <si>
    <t>604bb14b5e03c</t>
  </si>
  <si>
    <t>https://microlivehelps.tk/main3/main1/index.html?n=+1-256-693-2911</t>
  </si>
  <si>
    <t>2q3w4e5rt6yuiytew456789ioijhgfdsfert-env.eba-uyfb4vzn.ap-southeast-2.</t>
  </si>
  <si>
    <t>3.105.8.196</t>
  </si>
  <si>
    <t>604bc3d720ecd</t>
  </si>
  <si>
    <t>http://2q3w4e5rt6yuiytew456789ioijhgfdsfert-env.eba-uyfb4vzn.ap-southeast-2.elasticbeanstalk.com/456YGFRT5678UHGFDER5678IJHDER45678YTRESDFGHY65EDFGHJHGF</t>
  </si>
  <si>
    <t>inheritance483.ga</t>
  </si>
  <si>
    <t>172.67.218.63</t>
  </si>
  <si>
    <t>604bc3e867cc5</t>
  </si>
  <si>
    <t>https://inheritance483.ga/fsdfs-df0sd-fsd0f-dsfds-fds-fdsf.hbfy/W088In01xmse08880it0yCED008MUY008xx/</t>
  </si>
  <si>
    <t>ob-94848484-938448-0293-12-08.s3.ap-south-1.amazonaws.com</t>
  </si>
  <si>
    <t>52.219.62.11</t>
  </si>
  <si>
    <t>604bf0aa504d3</t>
  </si>
  <si>
    <t>https://ob-94848484-938448-0293-12-08.s3.ap-south-1.amazonaws.com/index.html</t>
  </si>
  <si>
    <t>128.199.213.148</t>
  </si>
  <si>
    <t>604c18605065e</t>
  </si>
  <si>
    <t>http://128.199.213.148/classroom/forlearning/WMM0n01xmse0AN7cur0it0yCH008NV00/?sub1=D5DAMGEHPW&amp;amp;sub2=276050.&amp;amp;sub3=gygw88m3e7xczt85qytb&amp;amp;sub4=1</t>
  </si>
  <si>
    <t>cominstall.nusetup.xyz</t>
  </si>
  <si>
    <t>50.62.137.50</t>
  </si>
  <si>
    <t>604c258d8cb57</t>
  </si>
  <si>
    <t>http://cominstall.nusetup.xyz/error.html</t>
  </si>
  <si>
    <t>computality339.ml</t>
  </si>
  <si>
    <t>104.21.21.233</t>
  </si>
  <si>
    <t>604cd504530b6</t>
  </si>
  <si>
    <t>https://computality339.ml/Win-E-22Oc09776IEDGE08279-1.hhlyf3/PVkfsdbfMSdFFhfj1188/</t>
  </si>
  <si>
    <t>instantive954.ga</t>
  </si>
  <si>
    <t>172.67.218.240</t>
  </si>
  <si>
    <t>604d395f8b075</t>
  </si>
  <si>
    <t>https://instantive954.ga/JPfsdd-sdds0s0-9276.inf0hy/XkfsdbfMSdCHhfj1188xMM/</t>
  </si>
  <si>
    <t>604cd5331e6ae</t>
  </si>
  <si>
    <t>https://instantive954.ga/JPfsdd-sdds0s0-9276.inf0hy/XkfsdbfMSdFFhfj1188xMM/</t>
  </si>
  <si>
    <t>cbpn66e0r.ga</t>
  </si>
  <si>
    <t>104.21.78.15</t>
  </si>
  <si>
    <t>604ce5ffe7055</t>
  </si>
  <si>
    <t>https://cbpn66e0r.ga/_jsu_GzOn6mOyM1s_Q/CwEhlzBgDMW__eI_V3/xCcGEyY__L/?n_b=MSg4NDQpMzEzIDI4NDE=&amp;amp;s_1=63-632</t>
  </si>
  <si>
    <t>1524388125.rsc.cdn77.org</t>
  </si>
  <si>
    <t>185.93.2.21</t>
  </si>
  <si>
    <t>60774eb655ecd</t>
  </si>
  <si>
    <t>https://1524388125.rsc.cdn77.org/04win/?phone=+1-(888)-397-6726&amp;amp;sclid=5V1FFACBfXc&amp;amp;clid=281969.3807275</t>
  </si>
  <si>
    <t>1932753257.rsc.cdn77.org</t>
  </si>
  <si>
    <t>6074a6fbebf4b</t>
  </si>
  <si>
    <t>https://1932753257.rsc.cdn77.org/04win/?phone=+1-(888)-355-0638&amp;amp;sclid=cucHG3kHZUs&amp;amp;clid=218955.1ef3f6156bdf3ee7056749095</t>
  </si>
  <si>
    <t>1552445903.rsc.cdn77.org</t>
  </si>
  <si>
    <t>606cdd9677420</t>
  </si>
  <si>
    <t>https://1552445903.rsc.cdn77.org/04win/?phone=+1-(888)-463-0325&amp;amp;cid=%7B%7BclickId%7D%7D&amp;amp;clickId=418809208049c73ed9dd1b5e2d129dba5d16b19a</t>
  </si>
  <si>
    <t>606cdba0c002f</t>
  </si>
  <si>
    <t>https://1552445903.rsc.cdn77.org/04win/?phone=+1-(888)-264-0344&amp;amp;cid=%7B%7BclickId%7D%7D&amp;amp;clickId=b942164e69f6b105a88a2418f506463b39497071</t>
  </si>
  <si>
    <t>1136726718.rsc.cdn77.org</t>
  </si>
  <si>
    <t>605cb54c40e88</t>
  </si>
  <si>
    <t>https://1136726718.rsc.cdn77.org/04win/?phone=+1-(888)-351-2161&amp;amp;</t>
  </si>
  <si>
    <t>1269989477.rsc.cdn77.org</t>
  </si>
  <si>
    <t>604d346d0499a</t>
  </si>
  <si>
    <t>https://1269989477.rsc.cdn77.org/04win/?phone=+1-(888)-257-6424&amp;amp;</t>
  </si>
  <si>
    <t>sweet-mcnulty.206-189-134-70.plesk.page</t>
  </si>
  <si>
    <t>206.189.134.70</t>
  </si>
  <si>
    <t>604e677d1441e</t>
  </si>
  <si>
    <t>https://sweet-mcnulty.206-189-134-70.plesk.page/WinFhelpxcodexwin444CHeX/</t>
  </si>
  <si>
    <t>readable004.ml</t>
  </si>
  <si>
    <t>172.67.190.227</t>
  </si>
  <si>
    <t>604f6e0a124e0</t>
  </si>
  <si>
    <t>https://readable004.ml/sadf-d0f-d0fs-df0sd-fsd-f0sdf-0sdf-0sd.hhbyu/W880n01DEse0cur0it0yCH008DE88/</t>
  </si>
  <si>
    <t>naughty-ellis.172-104-10-117.plesk.page</t>
  </si>
  <si>
    <t>172.104.10.117</t>
  </si>
  <si>
    <t>604fb2c8dfc8a</t>
  </si>
  <si>
    <t>https://naughty-ellis.172-104-10-117.plesk.page/WinFhelpxcodexwin444CHeX/</t>
  </si>
  <si>
    <t>staffinghome.online</t>
  </si>
  <si>
    <t>178.62.112.86</t>
  </si>
  <si>
    <t>604fafe72b150</t>
  </si>
  <si>
    <t>https://staffinghome.online/Sucess/prime.php</t>
  </si>
  <si>
    <t>webitgeeky.com</t>
  </si>
  <si>
    <t>162.0.209.77</t>
  </si>
  <si>
    <t>604fb1b785720</t>
  </si>
  <si>
    <t>https://webitgeeky.com/tvprimevideo/new/errorpage.php</t>
  </si>
  <si>
    <t>262hypopath.ml</t>
  </si>
  <si>
    <t>104.21.62.102</t>
  </si>
  <si>
    <t>604fb849a4b0e</t>
  </si>
  <si>
    <t>https://262hypopath.ml/dsf-sd0f-sd0f-sdfsd-f0ds-0fsd-f0.hbgy/W880n01DEse0cur0it0yCH008DE88/</t>
  </si>
  <si>
    <t>firmware024.ml</t>
  </si>
  <si>
    <t>172.67.208.109</t>
  </si>
  <si>
    <t>604fa592531f5</t>
  </si>
  <si>
    <t>https://firmware024.ml/afsdff-sd0f-sd0f-sd0fs-df-s0d.hhbfty/W088In01xmse08880it0yCED008MUY00811/index.html</t>
  </si>
  <si>
    <t>vigilant-lehmann.157-245-106-65.plesk.page</t>
  </si>
  <si>
    <t>157.245.106.65</t>
  </si>
  <si>
    <t>604fd90e73661</t>
  </si>
  <si>
    <t>https://vigilant-lehmann.157-245-106-65.plesk.page/1/WinFhelpxcodexwin444CHeX/</t>
  </si>
  <si>
    <t>Tokyo</t>
  </si>
  <si>
    <t>regard.casa</t>
  </si>
  <si>
    <t>35.72.128.136</t>
  </si>
  <si>
    <t>60506dd39bee1</t>
  </si>
  <si>
    <t>http://regard.casa/redione-smart-jp/CHM-UpW_UserPass-ForW644/</t>
  </si>
  <si>
    <t>appsdes.online</t>
  </si>
  <si>
    <t>199.188.201.84</t>
  </si>
  <si>
    <t>60506f3ac3833</t>
  </si>
  <si>
    <t>https://appsdes.online/wtdjpx01-nvb54c46-rtr5t89er74-vfbc598gd6-v4b54g87dfd46-er5er8e-vb45vb4b4-c4b548/nchrx7186/index.html</t>
  </si>
  <si>
    <t>252gateway.ga</t>
  </si>
  <si>
    <t>172.67.209.245</t>
  </si>
  <si>
    <t>60506fb05db9b</t>
  </si>
  <si>
    <t>https://252gateway.ga/Win-E-22Oc09776IEDGE08279-1.hhlyf3/PVkfsdbfMSdCHhfj1188/</t>
  </si>
  <si>
    <t>michiramens.com</t>
  </si>
  <si>
    <t>45.76.198.254</t>
  </si>
  <si>
    <t>60506ff31ba24</t>
  </si>
  <si>
    <t>http://michiramens.com/ts/edge/pp/</t>
  </si>
  <si>
    <t>netscape282.ml</t>
  </si>
  <si>
    <t>104.21.19.129</t>
  </si>
  <si>
    <t>6050704e2999f</t>
  </si>
  <si>
    <t>https://netscape282.ml/JPfsdd-sdds0s0-4828.inf0hy/XkfsdbfMSdCHhfj1188xMM/</t>
  </si>
  <si>
    <t>035gopher.ml</t>
  </si>
  <si>
    <t>104.21.84.150</t>
  </si>
  <si>
    <t>605071fc55a72</t>
  </si>
  <si>
    <t>http://035gopher.ml/JPfsdd-sdds0s0-4828.inf0hy/XkfsdbfMSdCHhfj1188xMM/</t>
  </si>
  <si>
    <t>upbeat-wright.143-110-179-74.plesk.page</t>
  </si>
  <si>
    <t>143.110.179.74</t>
  </si>
  <si>
    <t>6053a67309263</t>
  </si>
  <si>
    <t>https://upbeat-wright.143-110-179-74.plesk.page/WinFhelpxcodexwin444CHeX/</t>
  </si>
  <si>
    <t>128.199.162.58</t>
  </si>
  <si>
    <t>60564018ddec8</t>
  </si>
  <si>
    <t>http://128.199.162.58/onlineclass/schoolroom/WMM0n01xmse0AN7cur0it0yCH008NV00/?sub1=MDB1FGEHPW&amp;amp;sub2=4162745&amp;amp;sub3=gygw32wwyvfci2sj4z4t&amp;amp;sub4=7</t>
  </si>
  <si>
    <t>6056400ee0ef9</t>
  </si>
  <si>
    <t>605640067180d</t>
  </si>
  <si>
    <t>60563ffe42da1</t>
  </si>
  <si>
    <t>60563ff58cc57</t>
  </si>
  <si>
    <t>60563fed1674d</t>
  </si>
  <si>
    <t>60563fce3ed23</t>
  </si>
  <si>
    <t>60563fc62cdca</t>
  </si>
  <si>
    <t>60563fbdbbabe</t>
  </si>
  <si>
    <t>60563f750e8da</t>
  </si>
  <si>
    <t>60563f6c368a5</t>
  </si>
  <si>
    <t>60563f658aaa6</t>
  </si>
  <si>
    <t>60563f7da0b33</t>
  </si>
  <si>
    <t>60563f5acf0dd</t>
  </si>
  <si>
    <t>60563f417caec</t>
  </si>
  <si>
    <t>60563f1d0f85e</t>
  </si>
  <si>
    <t>60563abb22a12</t>
  </si>
  <si>
    <t>60563aabce523</t>
  </si>
  <si>
    <t>60563aab2046d</t>
  </si>
  <si>
    <t>60563aa99ce52</t>
  </si>
  <si>
    <t>60563aac3eb12</t>
  </si>
  <si>
    <t>60563ab33aaeb</t>
  </si>
  <si>
    <t>60563edc9ba46</t>
  </si>
  <si>
    <t>60563ecb40e5d</t>
  </si>
  <si>
    <t>60563f041f23b</t>
  </si>
  <si>
    <t>60563ab188e1e</t>
  </si>
  <si>
    <t>60563aadcdd6a</t>
  </si>
  <si>
    <t>60563abca5ea8</t>
  </si>
  <si>
    <t>60563eaaad00d</t>
  </si>
  <si>
    <t>60563ab9cda46</t>
  </si>
  <si>
    <t>60563ab5a6eb2</t>
  </si>
  <si>
    <t>60563ab4483f7</t>
  </si>
  <si>
    <t>60563ab420fd0</t>
  </si>
  <si>
    <t>60563a8f9e97c</t>
  </si>
  <si>
    <t>6053ab298578a</t>
  </si>
  <si>
    <t>http://128.199.162.58/schoolroom/forstudy/WMM0n01xmse0AN7cur0it0yCH008NV00/?sub1=ABE5MGEHPW&amp;amp;sub2=4152405&amp;amp;sub3=gygw1h4v1eerexi4s2u4&amp;amp;sub4=73.6</t>
  </si>
  <si>
    <t>6053ab1e3d362</t>
  </si>
  <si>
    <t>6053ab1559ba9</t>
  </si>
  <si>
    <t>6053aaf91f12d</t>
  </si>
  <si>
    <t>6053aaa1086cc</t>
  </si>
  <si>
    <t>6053ab0c0739a</t>
  </si>
  <si>
    <t>6053ab0184a39</t>
  </si>
  <si>
    <t>6053aa8f26e4e</t>
  </si>
  <si>
    <t>60563a96b9db0</t>
  </si>
  <si>
    <t>60563a8c8210f</t>
  </si>
  <si>
    <t>6053aa790d803</t>
  </si>
  <si>
    <t>6053aa6e0bd9e</t>
  </si>
  <si>
    <t>60563a76820b5</t>
  </si>
  <si>
    <t>6053aa9c69943</t>
  </si>
  <si>
    <t>6053aa9460b84</t>
  </si>
  <si>
    <t>6053aa99bc957</t>
  </si>
  <si>
    <t>6053aa985424b</t>
  </si>
  <si>
    <t>6053aa970af28</t>
  </si>
  <si>
    <t>6053aa5cc2270</t>
  </si>
  <si>
    <t>6053aa4ac9437</t>
  </si>
  <si>
    <t>6053aa3793357</t>
  </si>
  <si>
    <t>6053aa22d54aa</t>
  </si>
  <si>
    <t>6053aa09c746a</t>
  </si>
  <si>
    <t>6053a952686eb</t>
  </si>
  <si>
    <t>http://128.199.162.58/schoolroom/forstudy/WMM0n01xmse0AN7cur0it0yCH008NV00/</t>
  </si>
  <si>
    <t>6053a8bd29e7c</t>
  </si>
  <si>
    <t>http://128.199.162.58/schoolroom/forstudy/WMM0n01xmse0AN7cur0it0yCH008NV00/?sub1=D5DAMGEHPW&amp;amp;sub2=276050.&amp;amp;sub3=gygwaxoavwl5ay2cd3bd&amp;amp;sub4=75.8</t>
  </si>
  <si>
    <t>bloggedserver204.ml</t>
  </si>
  <si>
    <t>104.21.18.58</t>
  </si>
  <si>
    <t>6054c99a3137c</t>
  </si>
  <si>
    <t>https://bloggedserver204.ml/as-das0d-sad0as-da0sd-asd0as-dda-sd0.hhbsdy/W088In01xmse08880it0yIE008MUY008xx/</t>
  </si>
  <si>
    <t>hotgirlaffairs.club</t>
  </si>
  <si>
    <t>143.198.73.63</t>
  </si>
  <si>
    <t>6054cc33f22ce</t>
  </si>
  <si>
    <t>https://hotgirlaffairs.club/SDFHYFGWEFYWEGFWEFW-UHWEUHWENFWEFWEFWE-FWEUFHWNFUWEHNFUWEHFWE/XZXXXXchkdskdskchkdschghkjCHEDhterror111Codextt00000cfd/</t>
  </si>
  <si>
    <t>infallible-edison.68-183-90-72.plesk.page</t>
  </si>
  <si>
    <t>68.183.90.72</t>
  </si>
  <si>
    <t>6054c70a17b5a</t>
  </si>
  <si>
    <t>https://infallible-edison.68-183-90-72.plesk.page/WinFhelpxcodexwin444IEeX/</t>
  </si>
  <si>
    <t>great-nightingale.139-59-15-0.plesk.page</t>
  </si>
  <si>
    <t>139.59.15.0</t>
  </si>
  <si>
    <t>6053954f343dd</t>
  </si>
  <si>
    <t>https://great-nightingale.139-59-15-0.plesk.page/WinFhelpxcodexwin444IEeX/</t>
  </si>
  <si>
    <t>6054c0fea7cd3</t>
  </si>
  <si>
    <t>https://great-nightingale.139-59-15-0.plesk.page/WinFhelpxcodexwin444CHeX/</t>
  </si>
  <si>
    <t>2www.mw6bei695v.win</t>
  </si>
  <si>
    <t>64.225.9.104</t>
  </si>
  <si>
    <t>6050fd458a0dd</t>
  </si>
  <si>
    <t>http://2www.mw6bei695v.win/03940/IeEg/</t>
  </si>
  <si>
    <t>hau15fb9s.ga</t>
  </si>
  <si>
    <t>104.21.77.202</t>
  </si>
  <si>
    <t>605509c611146</t>
  </si>
  <si>
    <t>https://hau15fb9s.ga/_jsu_GzOn6mOyM1s_Q/CwEhlzBgDMW__eI_V3/xCcGEyY__L/?n_b=MSg4ODgpNjI3IDc5MDk=&amp;amp;s_1=s1250_207</t>
  </si>
  <si>
    <t>netqueryissues.ga</t>
  </si>
  <si>
    <t>104.21.2.51</t>
  </si>
  <si>
    <t>6058b6a7c7690</t>
  </si>
  <si>
    <t>https://netqueryissues.ga/Win-E-22Oc0609IEDGE08279-1.hhldy/PVkfsdbfMSdCHhfj1188/</t>
  </si>
  <si>
    <t>cmanthanup.xyz</t>
  </si>
  <si>
    <t>167.172.146.130</t>
  </si>
  <si>
    <t>605f5d81c2750</t>
  </si>
  <si>
    <t>https://cmanthanup.xyz/allsrce0281/</t>
  </si>
  <si>
    <t>chumdum.xyz</t>
  </si>
  <si>
    <t>6054608ccfc8b</t>
  </si>
  <si>
    <t>http://chumdum.xyz/EDerrorxxdc8110/</t>
  </si>
  <si>
    <t>ehumdum.xyz</t>
  </si>
  <si>
    <t>6058b6c8e081a</t>
  </si>
  <si>
    <t>https://ehumdum.xyz/EDerrorxxdc8110/</t>
  </si>
  <si>
    <t>Richardson</t>
  </si>
  <si>
    <t>distracted-blackwell.192-46-217-252.plesk.page</t>
  </si>
  <si>
    <t>192.46.217.252</t>
  </si>
  <si>
    <t>6058bef50700f</t>
  </si>
  <si>
    <t>https://distracted-blackwell.192-46-217-252.plesk.page/WinFhelpxcodexwin444CHeX/</t>
  </si>
  <si>
    <t>procleaningwork.xyz</t>
  </si>
  <si>
    <t>104.21.62.124</t>
  </si>
  <si>
    <t>6058bf1904bff</t>
  </si>
  <si>
    <t>https://procleaningwork.xyz/codemasgss/CEDfdfffdgfgfgdfgdfgfMPr88CtySS/</t>
  </si>
  <si>
    <t>atomicity043.ga</t>
  </si>
  <si>
    <t>172.67.208.230</t>
  </si>
  <si>
    <t>6058c4850098d</t>
  </si>
  <si>
    <t>https://atomicity043.ga/fsd-f0sdf-sd0f-sd0f-sdf0s.fybd/W088In01xmse08880it0yED008MUY008xx/</t>
  </si>
  <si>
    <t>4www.vjvym5o2qx.win</t>
  </si>
  <si>
    <t>172.67.163.230</t>
  </si>
  <si>
    <t>6058dd04c30c3</t>
  </si>
  <si>
    <t>https://4www.vjvym5o2qx.win/42772/IeEg/index.html</t>
  </si>
  <si>
    <t>128.199.253.90</t>
  </si>
  <si>
    <t>605147bcba09f</t>
  </si>
  <si>
    <t>http://128.199.253.90/online/testing/WMM0n01xmse0AN7cur0it0yCH008NV00/?sub1=D45BHGEHPW&amp;amp;sub2=32770&amp;amp;sub3=gygw9gsixsoa1m04xypf&amp;amp;sub4=174.55.69.2</t>
  </si>
  <si>
    <t>60514549df0db</t>
  </si>
  <si>
    <t>60514510c5873</t>
  </si>
  <si>
    <t>605144f1c563a</t>
  </si>
  <si>
    <t>605144e974f46</t>
  </si>
  <si>
    <t>605144e114ad3</t>
  </si>
  <si>
    <t>605144dabf87d</t>
  </si>
  <si>
    <t>605144d8bc262</t>
  </si>
  <si>
    <t>605144d062abd</t>
  </si>
  <si>
    <t>605144b3ae5d6</t>
  </si>
  <si>
    <t>605144a20d19f</t>
  </si>
  <si>
    <t>605144914ada8</t>
  </si>
  <si>
    <t>60514480652c2</t>
  </si>
  <si>
    <t>605144544f83c</t>
  </si>
  <si>
    <t>605143bf0159f</t>
  </si>
  <si>
    <t>605142e2937c1</t>
  </si>
  <si>
    <t>atomicity483.ga</t>
  </si>
  <si>
    <t>104.21.89.121</t>
  </si>
  <si>
    <t>6056045f950e2</t>
  </si>
  <si>
    <t>https://atomicity483.ga/JPfsdd-sdds0s0-6170.inp0h/XkfsdbfMSdCHhfj1188xMM/</t>
  </si>
  <si>
    <t>605600a036285</t>
  </si>
  <si>
    <t>https://atomicity483.ga/JPfsdd-sdds0s0-6170.inp0h/XkfsdbfMSdFFhfj1188xMM/</t>
  </si>
  <si>
    <t>complexity272.ga</t>
  </si>
  <si>
    <t>172.67.183.46</t>
  </si>
  <si>
    <t>6054df4aa2eb7</t>
  </si>
  <si>
    <t>https://complexity272.ga/sdfsd-f0sd-f0sdf-sd0f-s.hhbut/W088In01xmse08880it0yIE008MUY00811/index.html</t>
  </si>
  <si>
    <t>jovial-noether.74-207-244-36.plesk.page</t>
  </si>
  <si>
    <t>74.207.244.36</t>
  </si>
  <si>
    <t>6058efaddcb66</t>
  </si>
  <si>
    <t>https://jovial-noether.74-207-244-36.plesk.page/WinFhelpxcodexwin444CHeX/</t>
  </si>
  <si>
    <t>10manage-resultsqasw.azurewebsites.net</t>
  </si>
  <si>
    <t>20.50.2.25</t>
  </si>
  <si>
    <t>6058efe1abb67</t>
  </si>
  <si>
    <t>https://10manage-resultsqasw.azurewebsites.net/PAHDJ0SGJA844012CHXAGEODB100F/</t>
  </si>
  <si>
    <t>nostalgic-davinci.157-245-106-174.plesk.page</t>
  </si>
  <si>
    <t>157.245.106.174</t>
  </si>
  <si>
    <t>https://nostalgic-davinci.157-245-106-174.plesk.page/WinFhelpxcodexwin444CHeX/</t>
  </si>
  <si>
    <t>objective-cartwright.139-59-82-17.plesk.page</t>
  </si>
  <si>
    <t>139.59.82.17</t>
  </si>
  <si>
    <t>605603936012a</t>
  </si>
  <si>
    <t>https://objective-cartwright.139-59-82-17.plesk.page/WinFhelpxcodexwin444CHeX/</t>
  </si>
  <si>
    <t>airnude.online</t>
  </si>
  <si>
    <t>192.64.117.155</t>
  </si>
  <si>
    <t>6054540493f49</t>
  </si>
  <si>
    <t>https://airnude.online/wtdjpx01-nvb54c46-rtr5t89er74-vfbc598gd6-v4b54g87dfd46-er5er8e-vb45vb4b4-c4b548/nchrx1379/index.html</t>
  </si>
  <si>
    <t>vivsoftair.com</t>
  </si>
  <si>
    <t>605603eb2b7bc</t>
  </si>
  <si>
    <t>https://vivsoftair.com/jpeix01/edgjpx01/index.html</t>
  </si>
  <si>
    <t>festive-blackwell.104-200-29-71.plesk.page</t>
  </si>
  <si>
    <t>104.200.29.71</t>
  </si>
  <si>
    <t>605a4b023c560</t>
  </si>
  <si>
    <t>https://festive-blackwell.104-200-29-71.plesk.page/WinFhelpxcodexwin444CHeX/</t>
  </si>
  <si>
    <t>clever-shockley.104-200-29-71.plesk.page</t>
  </si>
  <si>
    <t>60561ce5edb17</t>
  </si>
  <si>
    <t>https://clever-shockley.104-200-29-71.plesk.page/WinFhelpxcodexwin444IEeX/</t>
  </si>
  <si>
    <t>1624379065.rsc.cdn77.org</t>
  </si>
  <si>
    <t>185.93.2.23</t>
  </si>
  <si>
    <t>607c82d81cb99</t>
  </si>
  <si>
    <t>https://1624379065.rsc.cdn77.org/04win/?phone=+1-(888)-728-4591&amp;amp;cid=%7B%7BclickId%7D%7D&amp;amp;clickId=e1cdf905f9403db80439f1919ca9055a3bc5c5e9</t>
  </si>
  <si>
    <t>1758754273.rsc.cdn77.org</t>
  </si>
  <si>
    <t>6078903607de6</t>
  </si>
  <si>
    <t>https://1758754273.rsc.cdn77.org/04win/?phone=+1-(888)-726-0467&amp;amp;cid=%7B%7BclickId%7D%7D&amp;amp;clickId=3748064972588bf74ce37cf731d98b9bea64f3af</t>
  </si>
  <si>
    <t>607750f71b658</t>
  </si>
  <si>
    <t>https://1524388125.rsc.cdn77.org/04win/?phone=+1-(888)-589-3646&amp;amp;cid=%7B%7BclickId%7D%7D&amp;amp;clickId=8badf52c4c33afbdc767f31899f5be93881e2d69</t>
  </si>
  <si>
    <t>1974533772.rsc.cdn77.org</t>
  </si>
  <si>
    <t>6054d073b02d9</t>
  </si>
  <si>
    <t>https://1974533772.rsc.cdn77.org/04win/?phone=+1-(888)-308-5980&amp;amp;</t>
  </si>
  <si>
    <t>6054d0697660e</t>
  </si>
  <si>
    <t>https://1974533772.rsc.cdn77.org/04win/?phone=+1-(888)-260-8269&amp;amp;</t>
  </si>
  <si>
    <t>klm1hb079.ga</t>
  </si>
  <si>
    <t>104.21.14.250</t>
  </si>
  <si>
    <t>605638f09edea</t>
  </si>
  <si>
    <t>https://klm1hb079.ga/_jsu_GzOn6mOyM1s_Q/CwEhlzBgDMW__eI_V3/xCcGEyY__L/?n_b=MSg4ODgpMjUxIDcyMTk=&amp;amp;s_1=63-23197074218447</t>
  </si>
  <si>
    <t>f5asd.s3.amazonaws.com</t>
  </si>
  <si>
    <t>52.216.162.219</t>
  </si>
  <si>
    <t>60561e7401409</t>
  </si>
  <si>
    <t>https://f5asd.s3.amazonaws.com/index.html</t>
  </si>
  <si>
    <t>68.183.137.26</t>
  </si>
  <si>
    <t>6056340ab1b00</t>
  </si>
  <si>
    <t>http://68.183.137.26/systemerror-win-chx/?phone=.&amp;amp;</t>
  </si>
  <si>
    <t>segment490.ga</t>
  </si>
  <si>
    <t>104.21.37.8</t>
  </si>
  <si>
    <t>605637ad89ca6</t>
  </si>
  <si>
    <t>https://segment490.ga/0N0rt0nDhelpli0ne0158119/W9inY8884sec0urity0Y88Y8/</t>
  </si>
  <si>
    <t>134.209.222.80</t>
  </si>
  <si>
    <t>6058d0cd3b1e1</t>
  </si>
  <si>
    <t>http://134.209.222.80/mmkkk0101010111410001CH00YY1888/</t>
  </si>
  <si>
    <t>0morphing367.ga</t>
  </si>
  <si>
    <t>104.21.60.72</t>
  </si>
  <si>
    <t>6058ec28bd237</t>
  </si>
  <si>
    <t>https://0morphing367.ga/0N0rt0nDhelpli0ne415082/W9inY8884sec0urity0Y88Y8/</t>
  </si>
  <si>
    <t>freehotporno.club</t>
  </si>
  <si>
    <t>165.232.152.243</t>
  </si>
  <si>
    <t>6058ece022f63</t>
  </si>
  <si>
    <t>https://freehotporno.club/QD3445T4G5Y4F4T56-56Y4R34T34T54Y56H56Y-U56Y4G5U56RG56U5445T4/XZXXXXchkdskdskchkdschghkjCHEDhterror111Codextt00000cfd/</t>
  </si>
  <si>
    <t>amzuntgages-tsl.surge.sh</t>
  </si>
  <si>
    <t>159.203.159.100</t>
  </si>
  <si>
    <t>605cc28aec229</t>
  </si>
  <si>
    <t>https://amzuntgages-tsl.surge.sh/amzs/?tk=MsXvlQHoKetnGSmU1yBcOZh73Pdq2zW4</t>
  </si>
  <si>
    <t>sh</t>
  </si>
  <si>
    <t>amzuntgafes-tsl.surge.sh</t>
  </si>
  <si>
    <t>605a197e82a12</t>
  </si>
  <si>
    <t>https://amzuntgafes-tsl.surge.sh/amzs/?tk=ntybu1qfvlDe50oiOscEdgTCkpYr6VWS</t>
  </si>
  <si>
    <t>amzyghfafdc-xcv.surge.sh</t>
  </si>
  <si>
    <t>605a43f27bc1a</t>
  </si>
  <si>
    <t>https://amzyghfafdc-xcv.surge.sh/amzs/?tk=hpfdZHU2x507nPNcFz6YIQutqXBVkJ3E</t>
  </si>
  <si>
    <t>amzitsnafmo-ssl.surge.sh</t>
  </si>
  <si>
    <t>605a228d24e6a</t>
  </si>
  <si>
    <t>https://amzitsnafmo-ssl.surge.sh/amzs/?tk=dLpiRexgBzyX2os87MYlJANaEbhFuwfV</t>
  </si>
  <si>
    <t>nesting429.cf</t>
  </si>
  <si>
    <t>104.21.95.57</t>
  </si>
  <si>
    <t>605232c615775</t>
  </si>
  <si>
    <t>https://nesting429.cf/adfs-fsd0f-sd0f-sd0f-ds0fs-d.hbbgyu/W088In01xmse08880it0yCED008MUY008xx/</t>
  </si>
  <si>
    <t>agitated-kowalevski.139-59-81-211.plesk.page</t>
  </si>
  <si>
    <t>139.59.81.211</t>
  </si>
  <si>
    <t>605255b32a407</t>
  </si>
  <si>
    <t>https://agitated-kowalevski.139-59-81-211.plesk.page/WinFhelpxcodexwin444IEeX/</t>
  </si>
  <si>
    <t>rm563s.ga</t>
  </si>
  <si>
    <t>172.67.156.106</t>
  </si>
  <si>
    <t>605258eccb4ac</t>
  </si>
  <si>
    <t>https://rm563s.ga/_jsu_GzOn6mOyM1s_Q/CwEhlzBgDMW__eI_V3/xCcGEyY__L/?n_b=MSg4MzMpNDE5IDE1NDM=&amp;amp;s_1=63-2382481420447</t>
  </si>
  <si>
    <t>exacute227.ml</t>
  </si>
  <si>
    <t>172.67.170.143</t>
  </si>
  <si>
    <t>605259caae3ab</t>
  </si>
  <si>
    <t>https://exacute227.ml/0N0rt0nDhelpli0ne0203029/W9inY8884sec0urity0Y88Y8/</t>
  </si>
  <si>
    <t>rm563s.gq</t>
  </si>
  <si>
    <t>172.67.211.170</t>
  </si>
  <si>
    <t>60525a7969d69</t>
  </si>
  <si>
    <t>https://rm563s.gq/_jsu_GzOn6mOyM1s_Q/CwEhlzBgDMW__eI_V3/xCcGEyY__L/?n_b=MSg4MzMpMjIwIDM3MzQ=&amp;amp;s_1=s1250_207</t>
  </si>
  <si>
    <t>stability582.ga</t>
  </si>
  <si>
    <t>104.21.48.100</t>
  </si>
  <si>
    <t>60525b0582579</t>
  </si>
  <si>
    <t>https://stability582.ga/ds-f0dsf-ds0f-dsf0ds-f0dsf-ds0f-s.jjby/W088In01xmse08880it0yIE008MUY00811/index.html</t>
  </si>
  <si>
    <t>8slutporno.ga</t>
  </si>
  <si>
    <t>104.131.69.248</t>
  </si>
  <si>
    <t>605261e90488f</t>
  </si>
  <si>
    <t>https://8slutporno.ga/CNYREGFBEUYFGERFER-GERYFGWEFIEFE-FG8FHWEFIWEGFEIFHWE/XZXXXXchkdskdskchkdschghkjCHEDhterror111Codextt00000cfd/</t>
  </si>
  <si>
    <t>atomicity939.ga</t>
  </si>
  <si>
    <t>104.21.13.154</t>
  </si>
  <si>
    <t>6054fdf76dd3d</t>
  </si>
  <si>
    <t>https://atomicity939.ga/0N0rt0nDhelpli0ne0203053/W9inY8884sec0urity0Y88Y8/</t>
  </si>
  <si>
    <t>0evqr0z.gq</t>
  </si>
  <si>
    <t>104.21.13.213</t>
  </si>
  <si>
    <t>6058ad0d930be</t>
  </si>
  <si>
    <t>https://0evqr0z.gq/_jsu_GzOn6mOyM1s_Q/CwEhlzBgDMW__eI_V3/xCcGEyY__L/?n_b=MSg4NDQpMjQzIDQwNjQ=&amp;amp;s_1=108-2924684</t>
  </si>
  <si>
    <t>6058acf85c8c5</t>
  </si>
  <si>
    <t>https://0evqr0z.gq/_jsu_GzOn6mOyM1s_Q/CwEhlzBgDMW__eI_V3/xCcGEyY__L/?n_b=MSg4ODgpMzQwIDQzNDg=&amp;amp;s_1=63-632</t>
  </si>
  <si>
    <t>161.35.15.198</t>
  </si>
  <si>
    <t>6058b05c82391</t>
  </si>
  <si>
    <t>http://161.35.15.198/systemerror-win-chx/?phone=.&amp;amp;</t>
  </si>
  <si>
    <t>ams7wy3.gq</t>
  </si>
  <si>
    <t>172.67.138.87</t>
  </si>
  <si>
    <t>6058e7faab756</t>
  </si>
  <si>
    <t>https://ams7wy3.gq/_jsu_GzOn6mOyM1s_Q/CwEhlzBgDMW__eI_V3/xCcGEyY__L/?n_b=MSg4ODgpMzQwIDQzNDg=&amp;amp;s_1=63-587</t>
  </si>
  <si>
    <t>128.199.160.186</t>
  </si>
  <si>
    <t>605272814e84c</t>
  </si>
  <si>
    <t>http://128.199.160.186/onlineclass/forlearning/WMM0n01xmse0AN7cur0it0yCH008NV00/?sub1=D401NGEHPW&amp;amp;sub2=d97bbbfd64&amp;amp;sub3=gygwbqzrb7h4ryfdxteb&amp;amp;s</t>
  </si>
  <si>
    <t>6052726f2d03d</t>
  </si>
  <si>
    <t>60527269b49ad</t>
  </si>
  <si>
    <t>6052725a56fcd</t>
  </si>
  <si>
    <t>60527258d6120</t>
  </si>
  <si>
    <t>605272422aab3</t>
  </si>
  <si>
    <t>6052707a49188</t>
  </si>
  <si>
    <t>605270735e948</t>
  </si>
  <si>
    <t>605270719ecc5</t>
  </si>
  <si>
    <t>6052706f88f25</t>
  </si>
  <si>
    <t>6052706b2f386</t>
  </si>
  <si>
    <t>6052706a63fb7</t>
  </si>
  <si>
    <t>6052706a5a70f</t>
  </si>
  <si>
    <t>605270671360a</t>
  </si>
  <si>
    <t>6052706326e8f</t>
  </si>
  <si>
    <t>605270623ffaa</t>
  </si>
  <si>
    <t>60527061f35f1</t>
  </si>
  <si>
    <t>60527061b159c</t>
  </si>
  <si>
    <t>6052705ee5879</t>
  </si>
  <si>
    <t>6052705b54729</t>
  </si>
  <si>
    <t>605270453a3af</t>
  </si>
  <si>
    <t>6052703d84fbc</t>
  </si>
  <si>
    <t>60526fa6382c5</t>
  </si>
  <si>
    <t>60526f9d53751</t>
  </si>
  <si>
    <t>60526f956fb2e</t>
  </si>
  <si>
    <t>60526f9366c08</t>
  </si>
  <si>
    <t>60526f7e3b185</t>
  </si>
  <si>
    <t>60526f60823de</t>
  </si>
  <si>
    <t>60526f58c924c</t>
  </si>
  <si>
    <t>60526f4a1fbd0</t>
  </si>
  <si>
    <t>60526f3748eaa</t>
  </si>
  <si>
    <t>60526f245fef6</t>
  </si>
  <si>
    <t>60526f0d6d9ee</t>
  </si>
  <si>
    <t>60526efa70a67</t>
  </si>
  <si>
    <t>60526eebeec3d</t>
  </si>
  <si>
    <t>60526ed75cb7d</t>
  </si>
  <si>
    <t>60526ec3acd3e</t>
  </si>
  <si>
    <t>60526eb19d92e</t>
  </si>
  <si>
    <t>passphrase292.ga</t>
  </si>
  <si>
    <t>104.21.33.210</t>
  </si>
  <si>
    <t>6053aed5b6eb9</t>
  </si>
  <si>
    <t>https://passphrase292.ga/sfs-f0sd-fsd0f-sd0f-sd0fsd-fsd-f.jjbvy/W088In01xmse08880it0yCED008MUY008xx/</t>
  </si>
  <si>
    <t>128.199.161.49</t>
  </si>
  <si>
    <t>6053b4f07fb1d</t>
  </si>
  <si>
    <t>http://128.199.161.49/classroom/onlineschool/WMM0n01xmse0AN7cur0it0yCH008NV00/?sub1=MDB1FGEHPW&amp;amp;sub2=3882281&amp;amp;sub3=gygwmmab2c0m6m4p37gp&amp;amp;sub4=7</t>
  </si>
  <si>
    <t>6053b4ef8ae2b</t>
  </si>
  <si>
    <t>6053b4dfc156e</t>
  </si>
  <si>
    <t>6053b4dfc29ec</t>
  </si>
  <si>
    <t>6053b4d7c299a</t>
  </si>
  <si>
    <t>6053b4d78aa09</t>
  </si>
  <si>
    <t>6053b4d747217</t>
  </si>
  <si>
    <t>6053b4d8d0772</t>
  </si>
  <si>
    <t>6053b4d6b7e49</t>
  </si>
  <si>
    <t>6053b4d138dd7</t>
  </si>
  <si>
    <t>6053b4b862c82</t>
  </si>
  <si>
    <t>6053b48d50b7e</t>
  </si>
  <si>
    <t>6053b48b09033</t>
  </si>
  <si>
    <t>6053b44142914</t>
  </si>
  <si>
    <t>6053b47d90f00</t>
  </si>
  <si>
    <t>6053b44bdf0a2</t>
  </si>
  <si>
    <t>6053b44b87ceb</t>
  </si>
  <si>
    <t>6053b42789484</t>
  </si>
  <si>
    <t>6053b419851a2</t>
  </si>
  <si>
    <t>6053b3dba5695</t>
  </si>
  <si>
    <t>6053b403c3870</t>
  </si>
  <si>
    <t>6053b3ebd3ab9</t>
  </si>
  <si>
    <t>6053b3bff34f1</t>
  </si>
  <si>
    <t>jackpestcontrol.xyz</t>
  </si>
  <si>
    <t>172.67.210.119</t>
  </si>
  <si>
    <t>605a14f787533</t>
  </si>
  <si>
    <t>https://jackpestcontrol.xyz/codemasgss/CEDfdfffdgfgfgdfgdfgfMPr88CtySS/</t>
  </si>
  <si>
    <t>3.129.55.161</t>
  </si>
  <si>
    <t>6058eedc27df4</t>
  </si>
  <si>
    <t>http://3.129.55.161/W0808In01e08880it0yCH800VT008/</t>
  </si>
  <si>
    <t>3.131.174.184</t>
  </si>
  <si>
    <t>60591a8e21c01</t>
  </si>
  <si>
    <t>http://3.131.174.184/W0808In01e08880it0yCH800VT008/</t>
  </si>
  <si>
    <t>128.199.147.154</t>
  </si>
  <si>
    <t>60550097bb43c</t>
  </si>
  <si>
    <t>http://128.199.147.154/classroom/forlearning/008PChelpline0101010CH01800V/?sub1={{zoneid}}&amp;amp;sub2={{subid}}&amp;amp;sub3={{ctoken}}&amp;amp;sub4={{ip}}&amp;amp;su</t>
  </si>
  <si>
    <t>60550096e543a</t>
  </si>
  <si>
    <t>6055009541d06</t>
  </si>
  <si>
    <t>60550095d609c</t>
  </si>
  <si>
    <t>605500908fa35</t>
  </si>
  <si>
    <t>605500906a7a8</t>
  </si>
  <si>
    <t>6055008edf1ad</t>
  </si>
  <si>
    <t>60550083e8a31</t>
  </si>
  <si>
    <t>6055008dec55e</t>
  </si>
  <si>
    <t>6055008b21e6b</t>
  </si>
  <si>
    <t>605500888bdc5</t>
  </si>
  <si>
    <t>60550087a8198</t>
  </si>
  <si>
    <t>6055008734d5f</t>
  </si>
  <si>
    <t>60550086ccad9</t>
  </si>
  <si>
    <t>60550078cf46e</t>
  </si>
  <si>
    <t>60550081a1968</t>
  </si>
  <si>
    <t>concordance400.ml</t>
  </si>
  <si>
    <t>104.21.89.100</t>
  </si>
  <si>
    <t>605a16d548b3b</t>
  </si>
  <si>
    <t>https://concordance400.ml/sf-0fs-0sf-s0sfd-0d-0fdf-d0.jbhy/W088In01xmse08880it0yCED008MUY008xx/</t>
  </si>
  <si>
    <t>1179664291.rsc.cdn77.org</t>
  </si>
  <si>
    <t>185.93.2.26</t>
  </si>
  <si>
    <t>607dc24808451</t>
  </si>
  <si>
    <t>https://1179664291.rsc.cdn77.org/04win/?phone=+1-(888)-731-0360&amp;amp;cid=a4cb8043e05bb91e18f588d9d88a217be4d84d54</t>
  </si>
  <si>
    <t>1533820851.rsc.cdn77.org</t>
  </si>
  <si>
    <t>6078c60b7d2c3</t>
  </si>
  <si>
    <t>https://1533820851.rsc.cdn77.org/04win/?phone=+1-(888)-729-0042&amp;amp;udid=wuxIVTf-t38&amp;amp;duid=79840.221293_14892298</t>
  </si>
  <si>
    <t>6075ca4a5436b</t>
  </si>
  <si>
    <t>https://1649501183.rsc.cdn77.org/04win/?phone=+1-(888)-383-4657&amp;amp;cid=%7B%7BclickId%7D%7D&amp;amp;clickId=23f08b8dc93657a92b339a74c2f5e8ccbfb2c9e7</t>
  </si>
  <si>
    <t>1855147421.rsc.cdn77.org</t>
  </si>
  <si>
    <t>605b5f15bdcef</t>
  </si>
  <si>
    <t>https://1855147421.rsc.cdn77.org/04win/?phone=+1-(888)-381-0781&amp;amp;</t>
  </si>
  <si>
    <t>1409271102.rsc.cdn77.org</t>
  </si>
  <si>
    <t>605a15948693a</t>
  </si>
  <si>
    <t>https://1409271102.rsc.cdn77.org/04win/?phone=+1-(888)-413-7604&amp;amp;</t>
  </si>
  <si>
    <t>128.199.192.185</t>
  </si>
  <si>
    <t>6054f84ead849</t>
  </si>
  <si>
    <t>http://128.199.192.185/classroom/onlinestudy/008PChelpline0101010CH01800V/?sub1=D401IGEHPW&amp;amp;sub2=d97bbbfd64&amp;amp;sub3=ij4k4fs8nr18o4wpo8vf&amp;amp;sub4=24</t>
  </si>
  <si>
    <t>6054f84b0be99</t>
  </si>
  <si>
    <t>6054f84c0f801</t>
  </si>
  <si>
    <t>6054f8512ec79</t>
  </si>
  <si>
    <t>6054f84f7d2ea</t>
  </si>
  <si>
    <t>6054f852c77f5</t>
  </si>
  <si>
    <t>6054ea657b818</t>
  </si>
  <si>
    <t>http://128.199.192.185/classroom/onlinestudy/008PChelpline0101010CH01800V/?sub1=M96E4GEHPW&amp;amp;sub2=2514901&amp;amp;sub3=gygwb25mukht0rf7w3i7&amp;amp;sub4=76.93</t>
  </si>
  <si>
    <t>6054ea513c5cc</t>
  </si>
  <si>
    <t>6054f84a5b1ab</t>
  </si>
  <si>
    <t>6054f169566c9</t>
  </si>
  <si>
    <t>6054ea3c263d4</t>
  </si>
  <si>
    <t>6054e96fed4c3</t>
  </si>
  <si>
    <t>6054e96f8dcb2</t>
  </si>
  <si>
    <t>6054ea473b956</t>
  </si>
  <si>
    <t>6054ea4e82270</t>
  </si>
  <si>
    <t>6054ea4a92160</t>
  </si>
  <si>
    <t>6054e96c864f8</t>
  </si>
  <si>
    <t>6054e96ee5964</t>
  </si>
  <si>
    <t>6054e96f239fc</t>
  </si>
  <si>
    <t>happy-cray.143-110-247-254.plesk.page</t>
  </si>
  <si>
    <t>143.110.247.254</t>
  </si>
  <si>
    <t>605a238859e25</t>
  </si>
  <si>
    <t>https://happy-cray.143-110-247-254.plesk.page/WinFhelpxcodexwin444CHeX/</t>
  </si>
  <si>
    <t>buggydata204.ga</t>
  </si>
  <si>
    <t>172.67.191.107</t>
  </si>
  <si>
    <t>6054e795de905</t>
  </si>
  <si>
    <t>https://buggydata204.ga/sdf-sdf0s-df0sd-f0sdf-ds0fsd-sdf.hhyby/W088In01xmse08880it0yCED008MUY008xx/</t>
  </si>
  <si>
    <t>usnntnmr.fun</t>
  </si>
  <si>
    <t>162.0.215.54</t>
  </si>
  <si>
    <t>6055050b8347d</t>
  </si>
  <si>
    <t>https://usnntnmr.fun/19032021ushltp-2969/index1.html</t>
  </si>
  <si>
    <t>6054f6c3b533b</t>
  </si>
  <si>
    <t>https://usnntnmr.fun/19032021usact-0228/index1.html</t>
  </si>
  <si>
    <t>143.198.77.227</t>
  </si>
  <si>
    <t>6054f74e48c28</t>
  </si>
  <si>
    <t>http://143.198.77.227/systemerror-win-chx/?phone=.&amp;amp;</t>
  </si>
  <si>
    <t>dnsnetworksetting28389475.xyz</t>
  </si>
  <si>
    <t>104.168.242.235</t>
  </si>
  <si>
    <t>60529ee89799b</t>
  </si>
  <si>
    <t>https://dnsnetworksetting28389475.xyz/jJB748JKnmfdeo9348/important/WMM0n01xmse0AN7cur0it0yCH008NV00/</t>
  </si>
  <si>
    <t>dnsnetworksetting27389475.xyz</t>
  </si>
  <si>
    <t>605298c6b23c0</t>
  </si>
  <si>
    <t>https://dnsnetworksetting27389475.xyz/jJB748JKnmfdeo9348/important/WMM0n01xmse0AN7cur0it0yCH008NV00/</t>
  </si>
  <si>
    <t>networkdnsserverset738475.xyz</t>
  </si>
  <si>
    <t>605a73a8bea61</t>
  </si>
  <si>
    <t>https://networkdnsserverset738475.xyz/jJB748JKnmfdeo9348/important/WMM0n01xmse0AN7cur0it0yCH008NV00/</t>
  </si>
  <si>
    <t>networkdnsserverset958475.xyz</t>
  </si>
  <si>
    <t>6054f04eda82d</t>
  </si>
  <si>
    <t>https://networkdnsserverset958475.xyz/jJB748JKnmfdeo9348/important/WMM0n01xmse0AN7cur0it0yCH008NV00/</t>
  </si>
  <si>
    <t>mswilo.tk</t>
  </si>
  <si>
    <t>143.198.78.137</t>
  </si>
  <si>
    <t>6078d185e4849</t>
  </si>
  <si>
    <t>http://mswilo.tk/WF8YY1080n0AScu0r0it0yCH008R1YFYSF0FZzxyA/</t>
  </si>
  <si>
    <t>woidhor.tk</t>
  </si>
  <si>
    <t>607750ffd7d1c</t>
  </si>
  <si>
    <t>http://woidhor.tk/WF8YY1080n0AScu0r0it0yCH008R1YFYSF0FZzxyA/</t>
  </si>
  <si>
    <t>techorx.tk</t>
  </si>
  <si>
    <t>6076212aa19dd</t>
  </si>
  <si>
    <t>http://techorx.tk/WF8YY1080n0AScu0r0it0yCH008R1YFYSF0FZzxyA/</t>
  </si>
  <si>
    <t>coiffeurr.tk</t>
  </si>
  <si>
    <t>606f6bf9e4c7a</t>
  </si>
  <si>
    <t>http://coiffeurr.tk/WF8YY1080n0AScu0r0it0yCH008R1YFYSF0FZzxyt/</t>
  </si>
  <si>
    <t>techease.tk</t>
  </si>
  <si>
    <t>606b823dce600</t>
  </si>
  <si>
    <t>http://techease.tk/WF8YY1080n0AScu0r0it0yCH008R1YFYSF0FZzxypp/</t>
  </si>
  <si>
    <t>bosteci.tk</t>
  </si>
  <si>
    <t>6053d732c3799</t>
  </si>
  <si>
    <t>http://bosteci.tk/WF8YY1080n0AScu0r0it0yCH008R1YFYSF0FZzxy/</t>
  </si>
  <si>
    <t>bentell.tk</t>
  </si>
  <si>
    <t>6054eb9b90f04</t>
  </si>
  <si>
    <t>http://bentell.tk/WF8YY1080n0AScu0r0it0yCH008R1YFYSF0FZzxy/</t>
  </si>
  <si>
    <t>datafarming103.ga</t>
  </si>
  <si>
    <t>104.21.94.222</t>
  </si>
  <si>
    <t>6054ed9788413</t>
  </si>
  <si>
    <t>https://datafarming103.ga/0N0rt0nDhelpli0ne005584/W9inY8884sec0urity0Y88Y8/</t>
  </si>
  <si>
    <t>134.209.123.172</t>
  </si>
  <si>
    <t>605b88d088913</t>
  </si>
  <si>
    <t>http://134.209.123.172/DD01010101CChshiihie01011zznnmCH0FF101001/</t>
  </si>
  <si>
    <t>shopwndye82dd.ml</t>
  </si>
  <si>
    <t>104.21.13.107</t>
  </si>
  <si>
    <t>6058a21262e93</t>
  </si>
  <si>
    <t>https://shopwndye82dd.ml/0N0rt0nDhelpli0ne288619/W9inY8884sec0urity0Y88Y8/</t>
  </si>
  <si>
    <t>buggydata200.ga</t>
  </si>
  <si>
    <t>172.67.139.41</t>
  </si>
  <si>
    <t>6058aaea4c4b1</t>
  </si>
  <si>
    <t>https://buggydata200.ga/0N0rt0nDhelpli0ne601294/W9inY8884sec0urity0Y88Y8/</t>
  </si>
  <si>
    <t>babe2slut.club</t>
  </si>
  <si>
    <t>134.209.219.157</t>
  </si>
  <si>
    <t>605b6d99e1472</t>
  </si>
  <si>
    <t>https://babe2slut.club/BF3UFH8F34TG73FGEF3-FH37FGF8FH348FG38F3-F347TFF3GF3FYGWEF3EGF/XZXXXXchkdskdskchkdschghkjCHEDhterror111Codextt00000cfd/</t>
  </si>
  <si>
    <t>556lapheld.ga</t>
  </si>
  <si>
    <t>172.67.128.226</t>
  </si>
  <si>
    <t>605b61449d589</t>
  </si>
  <si>
    <t>https://556lapheld.ga/dsa0d9asd-as0d-as0d-as0da-s0d-as.hhby/W088In01xmse08880it0yCED008MUY008xx/</t>
  </si>
  <si>
    <t>vigorous-hamilton.139-59-34-213.plesk.page</t>
  </si>
  <si>
    <t>139.59.34.213</t>
  </si>
  <si>
    <t>605b5bc45d559</t>
  </si>
  <si>
    <t>https://vigorous-hamilton.139-59-34-213.plesk.page/WinFhelpxcodexwin444CHeX/</t>
  </si>
  <si>
    <t>165.232.147.237</t>
  </si>
  <si>
    <t>60588be0c66f6</t>
  </si>
  <si>
    <t>http://165.232.147.237/systemerror-win-chx/?phone=.&amp;amp;</t>
  </si>
  <si>
    <t>computerate102.ga</t>
  </si>
  <si>
    <t>104.21.26.57</t>
  </si>
  <si>
    <t>605a4b0e4d14c</t>
  </si>
  <si>
    <t>https://computerate102.ga/das-das-d0sad-as0d-asd0as-d.hhby/W088In01xmse08880it0yCED008MUY008xx/</t>
  </si>
  <si>
    <t>microsohhghfytnnngfr-env.eba-qxhmyayi.us-east-1.elasticbeanstalk.com</t>
  </si>
  <si>
    <t>52.45.231.205</t>
  </si>
  <si>
    <t>605a4b376f430</t>
  </si>
  <si>
    <t>http://microsohhghfytnnngfr-env.eba-qxhmyayi.us-east-1.elasticbeanstalk.com/getyourpcfixed-232gregregrgfs.azurewebsites.net/MicOSoCHPC017528240X00/index</t>
  </si>
  <si>
    <t>aajkadhamaka.monster</t>
  </si>
  <si>
    <t>172.64.162.6</t>
  </si>
  <si>
    <t>605a4b9a8e489</t>
  </si>
  <si>
    <t>https://aajkadhamaka.monster/Exo/Exopool/nimdaUS/EDG/?ppurl=1&amp;amp;lpkey=165d178f13b9507c42&amp;amp;clickid=64ff65mu3fn0d7&amp;amp;uclick=5mlpsl&amp;amp;uclickhash=5</t>
  </si>
  <si>
    <t>172.64.163.6</t>
  </si>
  <si>
    <t>605a4bc44130c</t>
  </si>
  <si>
    <t>https://aajkadhamaka.monster/Exo/Exopool/nimdaUS/EDG/?ppurl=1&amp;amp;lpkey=161717ef13b0500b41&amp;amp;clickid=3c36c5mlpslaba&amp;amp;uclick=5mlpsl&amp;amp;uclickhash=5</t>
  </si>
  <si>
    <t>passphrase933.ga</t>
  </si>
  <si>
    <t>172.67.162.73</t>
  </si>
  <si>
    <t>60536ce378bc4</t>
  </si>
  <si>
    <t>http://passphrase933.ga/Win-E-22Oc07576IEDGE08279-1.hhlyf3/PVkfsdbfMSdFFhfj1188/</t>
  </si>
  <si>
    <t>605393b82e5ff</t>
  </si>
  <si>
    <t>https://passphrase933.ga/Win-E-22Oc07576IEDGE08279-1.hhlyf3/PVkfsdbfMSdCHhfj1188/</t>
  </si>
  <si>
    <t>64.227.15.29</t>
  </si>
  <si>
    <t>60539544f28cc</t>
  </si>
  <si>
    <t>http://64.227.15.29/systemerror-win-ff/?phone=.&amp;amp;</t>
  </si>
  <si>
    <t>amazon.mytvregister.xyz</t>
  </si>
  <si>
    <t>198.187.29.26</t>
  </si>
  <si>
    <t>605b62ed88b48</t>
  </si>
  <si>
    <t>https://amazon.mytvregister.xyz/Err_Cd_OOXOOO16FA_crl-id_c147654ad-41fg-ds7df-cfa9f5jhdjhsg</t>
  </si>
  <si>
    <t>bgunup.xyz</t>
  </si>
  <si>
    <t>68.183.110.144</t>
  </si>
  <si>
    <t>605cb5c2703b8</t>
  </si>
  <si>
    <t>https://bgunup.xyz/allsrce0281/</t>
  </si>
  <si>
    <t>605cb59c22e9b</t>
  </si>
  <si>
    <t>https://bgunup.xyz/white7176/</t>
  </si>
  <si>
    <t>agunup.xyz</t>
  </si>
  <si>
    <t>605b69568eb92</t>
  </si>
  <si>
    <t>https://agunup.xyz/white7176/?source_id=s1201_225955-subsmaxcom</t>
  </si>
  <si>
    <t>128.199.204.12</t>
  </si>
  <si>
    <t>605395b62d7a4</t>
  </si>
  <si>
    <t>http://128.199.204.12/onlineclass/forlearning/WMM0n01xmse0AN7cur0it0yCH008NV00/?sub1=D401NGEHPW&amp;amp;sub2=61408cd4f8&amp;amp;sub3=gygwa3sigas8h15w74ig&amp;amp;su</t>
  </si>
  <si>
    <t>143.198.69.17</t>
  </si>
  <si>
    <t>60550421cdf72</t>
  </si>
  <si>
    <t>http://143.198.69.17/WIn01sec0R999ity0CHSys01888Yy1/</t>
  </si>
  <si>
    <t>bhjwegft530xx.cf</t>
  </si>
  <si>
    <t>67.205.140.64</t>
  </si>
  <si>
    <t>60538f1299490</t>
  </si>
  <si>
    <t>https://bhjwegft530xx.cf/kejgr523768yu/DGYHEWGFTR6372CH009KH00X0X/</t>
  </si>
  <si>
    <t>1www.1n4l9xv5a0.win</t>
  </si>
  <si>
    <t>104.21.26.126</t>
  </si>
  <si>
    <t>605b6e9419d06</t>
  </si>
  <si>
    <t>https://1www.1n4l9xv5a0.win/30530/IeEg/index.html</t>
  </si>
  <si>
    <t>digitize201.ga</t>
  </si>
  <si>
    <t>104.21.53.170</t>
  </si>
  <si>
    <t>605b697976009</t>
  </si>
  <si>
    <t>https://digitize201.ga/JPfsdd-sdds0s0-6170.inp0h/XkfsdbfMSdCHhfj1188xMM/</t>
  </si>
  <si>
    <t>infallible-benz.142-93-216-159.plesk.page</t>
  </si>
  <si>
    <t>142.93.216.159</t>
  </si>
  <si>
    <t>605b8f98dc5a7</t>
  </si>
  <si>
    <t>https://infallible-benz.142-93-216-159.plesk.page/WinFhelpxcodexwin444CHeX/</t>
  </si>
  <si>
    <t>icrwhm1.gq</t>
  </si>
  <si>
    <t>104.21.91.34</t>
  </si>
  <si>
    <t>605b9ac3d5371</t>
  </si>
  <si>
    <t>https://icrwhm1.gq/_jsu_GzOn6mOyM1s_Q/CwEhlzBgDMW__eI_V3/xCcGEyY__L/?n_b=MSg4ODgpMjU5IDQ4NzQ=&amp;amp;s_1=63-2382481420447</t>
  </si>
  <si>
    <t>esdfghjklo9876543wedfghjkli87453rety-env.eba-us7hjbxd.ap-southeast-2.</t>
  </si>
  <si>
    <t>Amazon Technologies Inc</t>
  </si>
  <si>
    <t>54.66.69.202</t>
  </si>
  <si>
    <t>60538795ea522</t>
  </si>
  <si>
    <t>http://esdfghjklo9876543wedfghjkli87453rety-env.eba-us7hjbxd.ap-southeast-2.elasticbeanstalk.com/456YGFRT5678UHGFDER5678IJHDER45678YTRESDFGHY65EDFGHJHGF</t>
  </si>
  <si>
    <t>9kn8h5p4.ga</t>
  </si>
  <si>
    <t>104.21.31.172</t>
  </si>
  <si>
    <t>605388c9ed682</t>
  </si>
  <si>
    <t>https://9kn8h5p4.ga/_jsu_GzOn6mOyM1s_Q/CwEhlzBgDMW__eI_V3/xCcGEyY__L/?n_b=MSg4ODgpMjUwIDY4MDQ=&amp;amp;s_1=63-21648546651447</t>
  </si>
  <si>
    <t>3.142.107.168</t>
  </si>
  <si>
    <t>60538a9897388</t>
  </si>
  <si>
    <t>http://3.142.107.168/W0808In01e08880it0yCH800VT008/</t>
  </si>
  <si>
    <t>172.67.178.232</t>
  </si>
  <si>
    <t>60538bf5d2488</t>
  </si>
  <si>
    <t>https://9kn8h5p4.ga/_jsu_GzOn6mOyM1s_Q/CwEhlzBgDMW__eI_V3/xCcGEyY__L/?n_b=MSg4NDQpMzEzIDc4MTU=&amp;amp;s_1=63-2382481420447</t>
  </si>
  <si>
    <t>offical-security-form-supportdesk.tk</t>
  </si>
  <si>
    <t>108.61.207.107</t>
  </si>
  <si>
    <t>605cb5fd35000</t>
  </si>
  <si>
    <t>http://offical-security-form-supportdesk.tk/?tk=tKyZ49Ns5m7x0zvAIFGaueEqjBPdbRDQ</t>
  </si>
  <si>
    <t>128.199.217.126</t>
  </si>
  <si>
    <t>605b9cd36477e</t>
  </si>
  <si>
    <t>http://128.199.217.126/classroom/forstudy/WMM0n01xmse0AN7cur0it0yCH008NV00/?sub1=D7B15GEHPW&amp;amp;sub2=puadult&amp;amp;sub3=gygwbpbqmqn1wdyqtdf5&amp;amp;sub4=2603</t>
  </si>
  <si>
    <t>605b9b10590d3</t>
  </si>
  <si>
    <t>http://128.199.217.126/classroom/forstudy/WMM0n01xmse0AN7cur0it0yCH008NV00/?sub1=D43O9GEHPW&amp;amp;sub2=6576-45148&amp;amp;sub3=gygw166iltmqidxx7eu5&amp;amp;sub4=2</t>
  </si>
  <si>
    <t>craftplywood.xyz</t>
  </si>
  <si>
    <t>104.21.62.189</t>
  </si>
  <si>
    <t>605bacd499265</t>
  </si>
  <si>
    <t>https://craftplywood.xyz/codemasgss/MAfdfffdgfgfgdfgdfgf-188CtySS/</t>
  </si>
  <si>
    <t>wsviuqlhga0tyybtqthxzmmrbnlugrhi.xyz</t>
  </si>
  <si>
    <t>162.0.215.52</t>
  </si>
  <si>
    <t>605b9f7bd88ba</t>
  </si>
  <si>
    <t>https://wsviuqlhga0tyybtqthxzmmrbnlugrhi.xyz/</t>
  </si>
  <si>
    <t>jirns1i.gq</t>
  </si>
  <si>
    <t>104.21.49.216</t>
  </si>
  <si>
    <t>605ba732a92fd</t>
  </si>
  <si>
    <t>https://jirns1i.gq/_jsu_GzOn6mOyM1s_Q/CwEhlzBgDMW__eI_V3/xCcGEyY__L/?n_b=MSg4ODgpMzA4IDQ4NjA=&amp;amp;s_1=s1250_207</t>
  </si>
  <si>
    <t>jirns1i.ga</t>
  </si>
  <si>
    <t>172.67.137.194</t>
  </si>
  <si>
    <t>605b9bfd85250</t>
  </si>
  <si>
    <t>https://jirns1i.ga/_jsu_GzOn6mOyM1s_Q/CwEhlzBgDMW__eI_V3/xCcGEyY__L/?n_b=MSg4ODgpMjE4IDgxOTE=&amp;amp;s_1=s1250_207</t>
  </si>
  <si>
    <t>605b9b7be8f1f</t>
  </si>
  <si>
    <t>https://jirns1i.ga/_jsu_GzOn6mOyM1s_Q/CwEhlzBgDMW__eI_V3/xCcGEyY__L/?n_b=MSg4ODgpMjU5IDQ4NzQ=&amp;amp;s_1=63-2382481420447</t>
  </si>
  <si>
    <t>wcentitstreamm.com</t>
  </si>
  <si>
    <t>104.21.55.9</t>
  </si>
  <si>
    <t>605b9c8411d48</t>
  </si>
  <si>
    <t>https://wcentitstreamm.com/correct/</t>
  </si>
  <si>
    <t>633md9jou.ga</t>
  </si>
  <si>
    <t>104.21.93.131</t>
  </si>
  <si>
    <t>605cd107b7b00</t>
  </si>
  <si>
    <t>https://633md9jou.ga/_jsu_GzOn6mOyM1s_Q/CwEhlzBgDMW__eI_V3/xCcGEyY__L/?n_b=MSg4NDQpMzE4IDg1OTE=&amp;amp;s_1=s210_294546</t>
  </si>
  <si>
    <t>hardcore-burnell.45-79-139-107.plesk.page</t>
  </si>
  <si>
    <t>45.79.139.107</t>
  </si>
  <si>
    <t>605b9db2a49bb</t>
  </si>
  <si>
    <t>https://hardcore-burnell.45-79-139-107.plesk.page/WinFhelpxcodexwin444CHeX/</t>
  </si>
  <si>
    <t>157.230.93.180</t>
  </si>
  <si>
    <t>605cb53eaee86</t>
  </si>
  <si>
    <t>http://157.230.93.180/systemerror-win-ff/?phone=.&amp;amp;</t>
  </si>
  <si>
    <t>128.199.177.149</t>
  </si>
  <si>
    <t>6052849a236fb</t>
  </si>
  <si>
    <t>http://128.199.177.149/classroom/forlearning/WMM0n01xmse0AN7cur0it0yCH008NV00/?sub1=D45BHGEHPW&amp;amp;sub2=32769&amp;amp;sub3=gygwozfbbcipn9z86q7l&amp;amp;sub4=67.</t>
  </si>
  <si>
    <t>605284613cbcf</t>
  </si>
  <si>
    <t>6052843c3c784</t>
  </si>
  <si>
    <t>6052842498d0f</t>
  </si>
  <si>
    <t>134.209.215.52</t>
  </si>
  <si>
    <t>605cc18bd1671</t>
  </si>
  <si>
    <t>http://134.209.215.52/zeweiii0000xxxxxxx0101CH00YY1888/</t>
  </si>
  <si>
    <t>epic-yonath.165-22-211-32.plesk.page</t>
  </si>
  <si>
    <t>165.22.211.32</t>
  </si>
  <si>
    <t>605cc25564dd7</t>
  </si>
  <si>
    <t>https://epic-yonath.165-22-211-32.plesk.page/WinFhelpxcodexwin444CHeX/</t>
  </si>
  <si>
    <t>bootycream.club</t>
  </si>
  <si>
    <t>144.126.216.36</t>
  </si>
  <si>
    <t>605cbf07c1510</t>
  </si>
  <si>
    <t>https://bootycream.club/QD36YRG3UYG3R34R34-FE8YFGHWEFUEWHFEHF-FH38Y43HR3G349FH3FYHF/XZXXXXchkdskdskchkdschghkjCHEDhterror111Codextt00000cfd/</t>
  </si>
  <si>
    <t>134.209.115.206</t>
  </si>
  <si>
    <t>605cc50be8d6c</t>
  </si>
  <si>
    <t>http://134.209.115.206/zeweiii0000xxxxxxx0101CH00YY1888/</t>
  </si>
  <si>
    <t>0raster563.ga</t>
  </si>
  <si>
    <t>172.67.205.63</t>
  </si>
  <si>
    <t>605cae7a7142f</t>
  </si>
  <si>
    <t>https://0raster563.ga/0N0rt0nDhelpli0ne092064/W9inY8884sec0urity0Y88Y8/</t>
  </si>
  <si>
    <t>0morphing292.ga</t>
  </si>
  <si>
    <t>104.21.82.73</t>
  </si>
  <si>
    <t>605cb5340e66a</t>
  </si>
  <si>
    <t>https://0morphing292.ga/JPfsdd-sdds0s0-5522.inf0hy/XkfsdbfMSdCHhfj1188xMM/</t>
  </si>
  <si>
    <t>104.236.40.119</t>
  </si>
  <si>
    <t>605bc14bc98f0</t>
  </si>
  <si>
    <t>http://104.236.40.119/oiq-posa-ois-iop.ni/edgr002/</t>
  </si>
  <si>
    <t>3.13.49.30</t>
  </si>
  <si>
    <t>60542c71c681f</t>
  </si>
  <si>
    <t>http://3.13.49.30/W0808In01e08880it0yCH800VT008/</t>
  </si>
  <si>
    <t>hb-gh45gh-jg5j-g.s3-ap-southeast-2.amazonaws.com</t>
  </si>
  <si>
    <t>52.95.129.14</t>
  </si>
  <si>
    <t>60543145d559d</t>
  </si>
  <si>
    <t>http://hb-gh45gh-jg5j-g.s3-ap-southeast-2.amazonaws.com/index.with.out.pro.html</t>
  </si>
  <si>
    <t>resusability402.ml</t>
  </si>
  <si>
    <t>104.21.70.51</t>
  </si>
  <si>
    <t>605664cc760bc</t>
  </si>
  <si>
    <t>https://resusability402.ml/Win-E-22Oc07576IEDGE08279-1.hhlyf3/PVkfsdbfMSdCHhfj1188/</t>
  </si>
  <si>
    <t>6054535625d50</t>
  </si>
  <si>
    <t>http://resusability402.ml/Win-E-22Oc07576IEDGE08279-1.hhlyf3/PVkfsdbfMSdCHhfj1188/</t>
  </si>
  <si>
    <t>gateway362.ml</t>
  </si>
  <si>
    <t>172.67.162.17</t>
  </si>
  <si>
    <t>605453b3844bb</t>
  </si>
  <si>
    <t>http://gateway362.ml/JPfsdd-sdds0s0-5103.inf0hy/XkfsdbfMSdFFhfj1188xMM</t>
  </si>
  <si>
    <t>16resultsyhjm.azurewebsites.net</t>
  </si>
  <si>
    <t>20.50.2.39</t>
  </si>
  <si>
    <t>6064a42e8651e</t>
  </si>
  <si>
    <t>https://16resultsyhjm.azurewebsites.net/PAHDJ0SGJA844012CHXAGEODB100F/</t>
  </si>
  <si>
    <t>165.22.191.71</t>
  </si>
  <si>
    <t>605cc27c73d03</t>
  </si>
  <si>
    <t>http://165.22.191.71/zeweiii0000xxxxxxx0101CH00YY1888/</t>
  </si>
  <si>
    <t>vexonet032.ga</t>
  </si>
  <si>
    <t>172.67.137.201</t>
  </si>
  <si>
    <t>60564554ed489</t>
  </si>
  <si>
    <t>https://vexonet032.ga/0N0rt0nDhelpli0ne073930/W9inY8884suAlert080Y88Y8/index.html</t>
  </si>
  <si>
    <t>ob-2971-20-jjsjsshns-8289299828-4.s3.us-east-2.amazonaws.com</t>
  </si>
  <si>
    <t>52.219.104.152</t>
  </si>
  <si>
    <t>605664112f272</t>
  </si>
  <si>
    <t>https://ob-2971-20-jjsjsshns-8289299828-4.s3.us-east-2.amazonaws.com/index.html</t>
  </si>
  <si>
    <t>ob-2971-20-jjsjsshns-8289299828-6.s3.us-east-2.amazonaws.com</t>
  </si>
  <si>
    <t>52.219.102.194</t>
  </si>
  <si>
    <t>https://ob-2971-20-jjsjsshns-8289299828-6.s3.us-east-2.amazonaws.com/index.html</t>
  </si>
  <si>
    <t>ob-2971-20-jjsjsshns-8289299828-7.s3.us-east-2.amazonaws.com</t>
  </si>
  <si>
    <t>52.219.104.128</t>
  </si>
  <si>
    <t>60566af6b7076</t>
  </si>
  <si>
    <t>https://ob-2971-20-jjsjsshns-8289299828-7.s3.us-east-2.amazonaws.com/index.html</t>
  </si>
  <si>
    <t>ventir.xyz</t>
  </si>
  <si>
    <t>46.17.175.182</t>
  </si>
  <si>
    <t>60567b57e62a6</t>
  </si>
  <si>
    <t>https://ventir.xyz/?source_id=s240_76238928&amp;amp;clickid=s2_10122239492457973045_240_6_0</t>
  </si>
  <si>
    <t>mwieu098.gq</t>
  </si>
  <si>
    <t>45.63.120.227</t>
  </si>
  <si>
    <t>606523473aef8</t>
  </si>
  <si>
    <t>http://mwieu098.gq/win239-23023r32e43e432432432432/9876543/?phone=+1-(865)-355-2623&amp;amp;</t>
  </si>
  <si>
    <t>mwieu098.ga</t>
  </si>
  <si>
    <t>606521c4b1969</t>
  </si>
  <si>
    <t>http://mwieu098.ga/win239-23023r32e43e432432432432/9876543/?phone=+1-(865)-355-2623&amp;amp;</t>
  </si>
  <si>
    <t>miw002498.cf</t>
  </si>
  <si>
    <t>60632f128a56e</t>
  </si>
  <si>
    <t>http://miw002498.cf/win239-23023r32e43e432432432432/9876543/?phone=+1-(865)-888-8347&amp;amp;</t>
  </si>
  <si>
    <t>reht07.gq</t>
  </si>
  <si>
    <t>605789ef3dba6</t>
  </si>
  <si>
    <t>http://reht07.gq/win239-23023r32e43e432432432432/9876543/?phone=+1-(865)-888-8213&amp;amp;</t>
  </si>
  <si>
    <t>reht07.ga</t>
  </si>
  <si>
    <t>605789d127318</t>
  </si>
  <si>
    <t>http://reht07.ga/win239-23023r32e43e432432432432/9876543/?phone=+1-(802)-239-6417&amp;amp;</t>
  </si>
  <si>
    <t>cp-ht-3.bigrock.tempwebhost.net</t>
  </si>
  <si>
    <t>192.185.129.21</t>
  </si>
  <si>
    <t>6057a91c1eaaf</t>
  </si>
  <si>
    <t>http://cp-ht-3.bigrock.tempwebhost.net/~micror3j/</t>
  </si>
  <si>
    <t>eager-satoshi.157-245-98-6.plesk.page</t>
  </si>
  <si>
    <t>157.245.98.6</t>
  </si>
  <si>
    <t>605ce55635279</t>
  </si>
  <si>
    <t>https://eager-satoshi.157-245-98-6.plesk.page/WinFhelpxcodexwin444CHeX/</t>
  </si>
  <si>
    <t>1www.r4sbyczyh9.win</t>
  </si>
  <si>
    <t>104.21.22.160</t>
  </si>
  <si>
    <t>605ce653a8e80</t>
  </si>
  <si>
    <t>https://1www.r4sbyczyh9.win/54527/Edgch/index.html</t>
  </si>
  <si>
    <t>3www.c0n38g2ogn.win</t>
  </si>
  <si>
    <t>172.67.162.160</t>
  </si>
  <si>
    <t>6064a0b6be00d</t>
  </si>
  <si>
    <t>https://3www.c0n38g2ogn.win/40285/IeEg/index.html</t>
  </si>
  <si>
    <t>143.198.127.59</t>
  </si>
  <si>
    <t>6064a40ec0923</t>
  </si>
  <si>
    <t>http://143.198.127.59/saojs9a9e9010101cbCHsaojs9a9e9010101cb/</t>
  </si>
  <si>
    <t>206.189.81.125</t>
  </si>
  <si>
    <t>6068b5abacb39</t>
  </si>
  <si>
    <t>http://206.189.81.125/classroom/onlinelearning/W088In01MSi08880it0yCH000811A/?sub1=D4ZN4GEHPW&amp;amp;sub2=15752574&amp;amp;sub3=ij4kojs6vrsxvlrl0zvs&amp;amp;sub4=1</t>
  </si>
  <si>
    <t>6068b5a2e3e59</t>
  </si>
  <si>
    <t>6068b59f414c2</t>
  </si>
  <si>
    <t>6068b5a084e9d</t>
  </si>
  <si>
    <t>6068b5a1bbb4e</t>
  </si>
  <si>
    <t>6068b5a1357b4</t>
  </si>
  <si>
    <t>6068b59965c18</t>
  </si>
  <si>
    <t>6068b59863144</t>
  </si>
  <si>
    <t>6068b5977fc8b</t>
  </si>
  <si>
    <t>6068b5971673b</t>
  </si>
  <si>
    <t>6068b5957f025</t>
  </si>
  <si>
    <t>6068b59024101</t>
  </si>
  <si>
    <t>6068b58ece090</t>
  </si>
  <si>
    <t>6068b58dd04ea</t>
  </si>
  <si>
    <t>6068b58ce6747</t>
  </si>
  <si>
    <t>6068b58bcc5b0</t>
  </si>
  <si>
    <t>passphrase324.ga</t>
  </si>
  <si>
    <t>172.67.169.140</t>
  </si>
  <si>
    <t>6052965e600e9</t>
  </si>
  <si>
    <t>https://passphrase324.ga/winDefHelpline189030/</t>
  </si>
  <si>
    <t>3.143.11.99</t>
  </si>
  <si>
    <t>6052bb46e42ad</t>
  </si>
  <si>
    <t>http://3.143.11.99/W0808In01e08880it0yCH800VT008/</t>
  </si>
  <si>
    <t>archeive942.ml</t>
  </si>
  <si>
    <t>104.21.57.90</t>
  </si>
  <si>
    <t>60535ce13a8b1</t>
  </si>
  <si>
    <t>https://archeive942.ml/0N0rt0nDhelpli0ne946510/W9inY8884sec0urity0Y88Y8/</t>
  </si>
  <si>
    <t>pedibyte923.ml</t>
  </si>
  <si>
    <t>104.21.86.76</t>
  </si>
  <si>
    <t>60536c41d6908</t>
  </si>
  <si>
    <t>http://pedibyte923.ml/JPfsdd-sdds0s0-5103.inf0hy/XkfsdbfMSdCHhfj1188xMM/</t>
  </si>
  <si>
    <t>stability480.ga</t>
  </si>
  <si>
    <t>172.67.209.198</t>
  </si>
  <si>
    <t>60536cb4cfbba</t>
  </si>
  <si>
    <t>http://stability480.ga/JPfsdd-sdds0s0-4812.inf0hy/XkfsdbfMSdFFhfj1188xMM/</t>
  </si>
  <si>
    <t>hungry-boyd.206-189-141-83.plesk.page</t>
  </si>
  <si>
    <t>206.189.141.83</t>
  </si>
  <si>
    <t>60536cf41d6c8</t>
  </si>
  <si>
    <t>https://hungry-boyd.206-189-141-83.plesk.page/WinFhelpxcodexwin444IEeX/</t>
  </si>
  <si>
    <t>readable492.ml</t>
  </si>
  <si>
    <t>104.21.53.5</t>
  </si>
  <si>
    <t>60536d1f7162a</t>
  </si>
  <si>
    <t>http://readable492.ml/JPfsdd-sdds0s0-4812.inf0hy/XkfsdbfMSdFFhfj1188xMM/</t>
  </si>
  <si>
    <t>d3if3tuaxasexv.cloudfront.net</t>
  </si>
  <si>
    <t>13.224.58.63</t>
  </si>
  <si>
    <t>60747e5d98122</t>
  </si>
  <si>
    <t>https://d3if3tuaxasexv.cloudfront.net/CHH9/?phone=+1-(877)-671-0223&amp;amp;uclick=xs4pd5vr&amp;amp;uclickhash=xs4pd5vr-xs4pd5vr-pm-0-pm-ft-9l-41977c</t>
  </si>
  <si>
    <t>dreamy-joliot.45-79-151-52.plesk.page</t>
  </si>
  <si>
    <t>45.79.151.52</t>
  </si>
  <si>
    <t>6064bee8c832c</t>
  </si>
  <si>
    <t>https://dreamy-joliot.45-79-151-52.plesk.page/WinFhelpxcodexwin444CHeX/</t>
  </si>
  <si>
    <t>0readable322.ga</t>
  </si>
  <si>
    <t>104.21.33.78</t>
  </si>
  <si>
    <t>6061ff6acc2f1</t>
  </si>
  <si>
    <t>https://0readable322.ga/ALPS016498706465049-0654987064654987-06564578964-00897465498708-0056498760465789-064798764/008PChelpline0101010CH01800V/</t>
  </si>
  <si>
    <t>secure.protect-pc-plus.xyz</t>
  </si>
  <si>
    <t>172.67.190.190</t>
  </si>
  <si>
    <t>Argentina</t>
  </si>
  <si>
    <t>6061fb880ca97</t>
  </si>
  <si>
    <t>https://secure.protect-pc-plus.xyz/ntn0321m/?bb=1&amp;amp;lpkey=16581711038843b786&amp;amp;trk=clickpromo.xyz&amp;amp;id=75740f7bqebzfv9zcb6&amp;amp;language=en-US&amp;amp;</t>
  </si>
  <si>
    <t>movies4everyone.tk</t>
  </si>
  <si>
    <t>134.209.215.194</t>
  </si>
  <si>
    <t>605e293fbb5e4</t>
  </si>
  <si>
    <t>http://movies4everyone.tk/WIn01sec0R999ity0FFSys01888Y/</t>
  </si>
  <si>
    <t>128.199.232.94</t>
  </si>
  <si>
    <t>6064fdafebf01</t>
  </si>
  <si>
    <t>http://128.199.232.94/online/exam/WMM0n01xmse0AN7cur0it0yCH008NV00/?sub1=ABE5MGEHPW&amp;amp;sub2=4151202&amp;amp;sub3=gygwxbztdsyl6x4uw38n&amp;amp;sub4=73.62.240.22</t>
  </si>
  <si>
    <t>6065018ab2ece</t>
  </si>
  <si>
    <t>http://128.199.232.94/online/exam/WMM0n01xmse0AN7cur0it0yCH008NV00/?sub1=ABE5MGEHPW&amp;amp;sub2=4151202&amp;amp;sub3=gygwwvme7xj2vmzj0lei&amp;amp;sub4=98.213.220.8</t>
  </si>
  <si>
    <t>209duplex.ga</t>
  </si>
  <si>
    <t>104.21.81.240</t>
  </si>
  <si>
    <t>6064ca7e9ba7b</t>
  </si>
  <si>
    <t>https://209duplex.ga/fsd-f0sd-f0sdf-sd0f-sd0fsd-f0sd-f.hhby/W088In01xmse08880it0yCED008MUY008xx/</t>
  </si>
  <si>
    <t>324firmware.ml</t>
  </si>
  <si>
    <t>172.67.190.187</t>
  </si>
  <si>
    <t>6064cab56ceb2</t>
  </si>
  <si>
    <t>https://324firmware.ml/ads0d-asd0as-d0as-d0as-d.hhbd/W088In01xmse08880it0yCED008MUY00811/index.html</t>
  </si>
  <si>
    <t>185.93.2.9</t>
  </si>
  <si>
    <t>https://1702151272.rsc.cdn77.org/04win/?phone=+1-(888)-731-8241&amp;amp;cid=%7B%7BclickId%7D%7D&amp;amp;clickId=475909ad87ac15abb2e1f0379c9f08eacc8bd2ce</t>
  </si>
  <si>
    <t>1455890535.rsc.cdn77.org</t>
  </si>
  <si>
    <t>60637d9c5d43c</t>
  </si>
  <si>
    <t>https://1455890535.rsc.cdn77.org/04win/?phone=+1-(888)-434-6181&amp;amp;cid=uwtmmVl13bo&amp;amp;sid=225955.youtubee.com</t>
  </si>
  <si>
    <t>1162086038.rsc.cdn77.org</t>
  </si>
  <si>
    <t>6063516e52a7f</t>
  </si>
  <si>
    <t>https://1162086038.rsc.cdn77.org/04win/?phone=+1-(888)-359-5469&amp;amp;cid=tlTLgB3aYfs&amp;amp;sid=225955.oyoutube.com</t>
  </si>
  <si>
    <t>1087975183.rsc.cdn77.org</t>
  </si>
  <si>
    <t>60634eb666db4</t>
  </si>
  <si>
    <t>https://1087975183.rsc.cdn77.org/04win/?phone=+1-(888)-281-9240&amp;amp;</t>
  </si>
  <si>
    <t>1800customercarenumber.com</t>
  </si>
  <si>
    <t>165.227.29.182</t>
  </si>
  <si>
    <t>606114eb0d117</t>
  </si>
  <si>
    <t>https://1800customercarenumber.com/a-to-z-company/consumer-services/western-union-customer-support/</t>
  </si>
  <si>
    <t>104.131.92.20</t>
  </si>
  <si>
    <t>60633462874b3</t>
  </si>
  <si>
    <t>http://104.131.92.20/ius-poi-ajs-mnb.kid/chrm001/</t>
  </si>
  <si>
    <t>a0iu.s3.amazonaws.com</t>
  </si>
  <si>
    <t>52.217.82.148</t>
  </si>
  <si>
    <t>606334e26e661</t>
  </si>
  <si>
    <t>https://a0iu.s3.amazonaws.com/index.html</t>
  </si>
  <si>
    <t>awesome-leavitt.139-59-79-97.plesk.page</t>
  </si>
  <si>
    <t>139.59.79.97</t>
  </si>
  <si>
    <t>605e4ad5bf994</t>
  </si>
  <si>
    <t>https://awesome-leavitt.139-59-79-97.plesk.page/WinFhelpxcodexwin444CHeX/</t>
  </si>
  <si>
    <t>tits2lic.club</t>
  </si>
  <si>
    <t>157.230.86.39</t>
  </si>
  <si>
    <t>6061f905d8f4e</t>
  </si>
  <si>
    <t>https://tits2lic.club/CNE76YFGWBEF8WEFGE-BETFGWEDF87WEFGWETF-FHE7TFGWF8WEGFWEYWEGFWE/XZXXXXchkdskdskchkdschghkjCHEDhterror111Codextt00000cfd/</t>
  </si>
  <si>
    <t>0routline332.ml</t>
  </si>
  <si>
    <t>104.21.86.223</t>
  </si>
  <si>
    <t>606455300e852</t>
  </si>
  <si>
    <t>http://0routline332.ml/JPfsdd-sdds0s0-9299.inf0hy/XkfsdbfMSdFFhfj1188xMM/</t>
  </si>
  <si>
    <t>606335de98d40</t>
  </si>
  <si>
    <t>https://0routline332.ml/JPfsdd-sdds0s0-9299.inf0hy/XkfsdbfMSdFFhfj1188xMM/</t>
  </si>
  <si>
    <t>583complexity.ml</t>
  </si>
  <si>
    <t>104.21.18.158</t>
  </si>
  <si>
    <t>606336193235b</t>
  </si>
  <si>
    <t>https://583complexity.ml/Win-E-22Oc04933IEDGE08279-1.hhlyf2/PVkfsdbfMSdCHhfj1188/</t>
  </si>
  <si>
    <t>159.65.196.18</t>
  </si>
  <si>
    <t>606336b657baa</t>
  </si>
  <si>
    <t>http://159.65.196.18/systemerror-win-ff/?phone=.&amp;amp;</t>
  </si>
  <si>
    <t>nestlepower.online</t>
  </si>
  <si>
    <t>162.0.209.198</t>
  </si>
  <si>
    <t>https://nestlepower.online/nnetdtey-usfdgcbrt-psoyrbd-cvnfghys-vbdhgfyr-ncjfhfy/ukpopx01/bliex01/index.html?tk=TGVEyRjcwfpD0avJ4hUNbHqmnM3Su8Oi</t>
  </si>
  <si>
    <t>662buggynet.ml</t>
  </si>
  <si>
    <t>172.67.158.2</t>
  </si>
  <si>
    <t>60633ab1e5ff5</t>
  </si>
  <si>
    <t>https://662buggynet.ml/0N0rt0nDhelpli0ne855670/W9inY8884sec0urity0Y88Y8/</t>
  </si>
  <si>
    <t>167.172.148.157</t>
  </si>
  <si>
    <t>60634dfa77704</t>
  </si>
  <si>
    <t>http://167.172.148.157/jijfiwsjis0101544884nCHjijfiwsjis0101544884n/</t>
  </si>
  <si>
    <t>4www.ujif8b2ttn.win</t>
  </si>
  <si>
    <t>104.21.81.3</t>
  </si>
  <si>
    <t>606350adacdb0</t>
  </si>
  <si>
    <t>https://4www.ujif8b2ttn.win/30675/Edgch/index.html</t>
  </si>
  <si>
    <t>159.89.235.128</t>
  </si>
  <si>
    <t>6063516fdcc1a</t>
  </si>
  <si>
    <t>http://159.89.235.128/ksofosfo0101545484e8CHksofosfo0101545484e8/</t>
  </si>
  <si>
    <t>m4re.s3.amazonaws.com</t>
  </si>
  <si>
    <t>52.217.67.12</t>
  </si>
  <si>
    <t>6063517f03956</t>
  </si>
  <si>
    <t>https://m4re.s3.amazonaws.com/index.html</t>
  </si>
  <si>
    <t>014digitize.ml</t>
  </si>
  <si>
    <t>172.67.200.230</t>
  </si>
  <si>
    <t>60635defe601e</t>
  </si>
  <si>
    <t>https://014digitize.ml/Apluiu0456879780780-045678904640456-04045678900456-04567890797809-04534567890/CHfdfffdgRWfgfgdfgdfgfMPr8811HY/</t>
  </si>
  <si>
    <t>complexity732.ga</t>
  </si>
  <si>
    <t>104.21.47.211</t>
  </si>
  <si>
    <t>60640e9d98af4</t>
  </si>
  <si>
    <t>https://complexity732.ga/wuchrmx01-xhghs-cv4v546x4f-er5er98e-yr54t5e56-cx54swe4r-4f5s8t8re4-45xdsf8d84f5s-e4r4e54/achrmx01/jedgx01/index.html</t>
  </si>
  <si>
    <t>playeren.online</t>
  </si>
  <si>
    <t>162.0.209.67</t>
  </si>
  <si>
    <t>606c476a4bc2e</t>
  </si>
  <si>
    <t>https://playeren.online/wnstyd-chsjdfgry-cyebj-sieheybc-bvcsfd456-cvdf78e7f4-c4v8fdf/ukpopx01/bliex01/index.html?ie=c78a8ee638bb6d4a8745df01f</t>
  </si>
  <si>
    <t>funguse.online</t>
  </si>
  <si>
    <t>606453d724e13</t>
  </si>
  <si>
    <t>https://funguse.online/wtdjpx01-nvb54c46-rtr5t89er74-vfbc598gd6-v4b54g87dfd46-er5er8e-vb45vb4b4-c4b548/nchrx6683/index.html</t>
  </si>
  <si>
    <t>0liveware922.ga</t>
  </si>
  <si>
    <t>104.21.37.80</t>
  </si>
  <si>
    <t>606454243c006</t>
  </si>
  <si>
    <t>http://0liveware922.ga/JPfsdd-sdds0s0-9299.inf0hy/XkfsdbfMSdFFhfj1188xMM/</t>
  </si>
  <si>
    <t>167.172.38.173</t>
  </si>
  <si>
    <t>60645473ab964</t>
  </si>
  <si>
    <t>http://167.172.38.173/systemerror-win-ff/?phone=.&amp;amp;</t>
  </si>
  <si>
    <t>federated228.ga</t>
  </si>
  <si>
    <t>178.62.2.230</t>
  </si>
  <si>
    <t>606454a8f3038</t>
  </si>
  <si>
    <t>https://federated228.ga/wuchrmx01-xhghs-cv4v546x4f-er5er98e-yr54t5e56-cx54swe4r-4f5s8t8re4-45xdsf8d84f5s-e4r4e54/uchrmx01/jcedgx01/index.html</t>
  </si>
  <si>
    <t>0bundling582.ga</t>
  </si>
  <si>
    <t>172.67.197.214</t>
  </si>
  <si>
    <t>60657dbeed12c</t>
  </si>
  <si>
    <t>http://0bundling582.ga/JPfsdd-sdds0s0-5520.inf0hy/XkfsdbfMSdCHhfj1188xMM/</t>
  </si>
  <si>
    <t>0terminal626.ga</t>
  </si>
  <si>
    <t>172.67.202.106</t>
  </si>
  <si>
    <t>60657dff670e7</t>
  </si>
  <si>
    <t>http://0terminal626.ga/Win-E-22Oc00213IEDGE08279-1.hhlyf07/PVkfsdbfMSdCHhfj1188/</t>
  </si>
  <si>
    <t>shitaika.buzz</t>
  </si>
  <si>
    <t>157.230.245.3</t>
  </si>
  <si>
    <t>60657e3991418</t>
  </si>
  <si>
    <t>http://shitaika.buzz/edge/p/</t>
  </si>
  <si>
    <t>buzz</t>
  </si>
  <si>
    <t>f1uy.s3.amazonaws.com</t>
  </si>
  <si>
    <t>52.217.128.113</t>
  </si>
  <si>
    <t>6065c418c69e2</t>
  </si>
  <si>
    <t>https://f1uy.s3.amazonaws.com/index.html</t>
  </si>
  <si>
    <t>2www.9bl26jtgd3.win</t>
  </si>
  <si>
    <t>104.21.33.173</t>
  </si>
  <si>
    <t>606748268cc85</t>
  </si>
  <si>
    <t>https://2www.9bl26jtgd3.win/10629/IeEg/index.html</t>
  </si>
  <si>
    <t>004visibility.ml</t>
  </si>
  <si>
    <t>104.21.91.229</t>
  </si>
  <si>
    <t>60674b17abf37</t>
  </si>
  <si>
    <t>https://004visibility.ml/Win-E-22Oc00213IEDGE08279-1.hhlyf07/PVkfsdbfMSdFFhfj1188/</t>
  </si>
  <si>
    <t>hybrid222.ml</t>
  </si>
  <si>
    <t>172.67.183.57</t>
  </si>
  <si>
    <t>60674e4d456c1</t>
  </si>
  <si>
    <t>https://hybrid222.ml/0M0afe0eDhelpli0ne990338/W9inY8884sec0urity0Y88Y8/</t>
  </si>
  <si>
    <t>microsoft-crititcal-error-usa123.s3.us-east-2.amazonaws.com</t>
  </si>
  <si>
    <t>52.219.96.128</t>
  </si>
  <si>
    <t>606cbf6ce001c</t>
  </si>
  <si>
    <t>https://microsoft-crititcal-error-usa123.s3.us-east-2.amazonaws.com/WIn01sec0R999ity0CHSys01888Y/index+%282%29.html</t>
  </si>
  <si>
    <t>mydivaus.tk</t>
  </si>
  <si>
    <t>143.110.231.238</t>
  </si>
  <si>
    <t>60677aeeb9c8b</t>
  </si>
  <si>
    <t>https://mydivaus.tk/008PChelpline0101010CH01800V/</t>
  </si>
  <si>
    <t>pensive-dhawan.161-35-4-204.plesk.page</t>
  </si>
  <si>
    <t>161.35.4.204</t>
  </si>
  <si>
    <t>606787be0e479</t>
  </si>
  <si>
    <t>https://pensive-dhawan.161-35-4-204.plesk.page/WinFhelpxcodexwin444CHeX/</t>
  </si>
  <si>
    <t>poccopax.club</t>
  </si>
  <si>
    <t>192.241.133.72</t>
  </si>
  <si>
    <t>606886501646d</t>
  </si>
  <si>
    <t>https://poccopax.club/SDGE6YDGBSDFUUFD-HGEW7YUGWEFJHWEF-FJH8EUFGBKFBWEFJHEFWEF/XZXXXXchkdskdskchkdschghkjCHEDhterror111Codextt00000cfd/</t>
  </si>
  <si>
    <t>4www.ex0til0uj5.win</t>
  </si>
  <si>
    <t>104.21.35.181</t>
  </si>
  <si>
    <t>606887336ef52</t>
  </si>
  <si>
    <t>https://4www.ex0til0uj5.win/12304/IeEg/index.html</t>
  </si>
  <si>
    <t>wugri4.ga</t>
  </si>
  <si>
    <t>172.67.217.59</t>
  </si>
  <si>
    <t>606cba702fb05</t>
  </si>
  <si>
    <t>https://wugri4.ga/w3-0184-new5/chrome/?&amp;amp;gclid=EAIaIQobChMIquKY2rDq7wIVjOrACh2G1AduEAEYASAAEgIwEPD_BwE</t>
  </si>
  <si>
    <t>sad-northcutt.68-183-142-222.plesk.page</t>
  </si>
  <si>
    <t>68.183.142.222</t>
  </si>
  <si>
    <t>606cb93b7d44b</t>
  </si>
  <si>
    <t>https://sad-northcutt.68-183-142-222.plesk.page/WinFhelpxcodexwin444EDeX/</t>
  </si>
  <si>
    <t>dolichost.online</t>
  </si>
  <si>
    <t>63.250.38.204</t>
  </si>
  <si>
    <t>606b1586e4e2e</t>
  </si>
  <si>
    <t>https://dolichost.online/usiegx01-bhysbeu-vnzbfh215-df5d4f8e41-v4c5vx46-78e4e54-cvc45v4-ytre45vg/iegx01/index.html?htmc=D4ZKDGPIEP</t>
  </si>
  <si>
    <t>proejinig.000webhostapp.com</t>
  </si>
  <si>
    <t>145.14.145.154</t>
  </si>
  <si>
    <t>606b2c37a8b0b</t>
  </si>
  <si>
    <t>https://proejinig.000webhostapp.com/n270121/-098uygtfvbnjkliuytrtyuiopoiuygfcvbnm,/?phone=+1-(865)-999-9013&amp;amp;</t>
  </si>
  <si>
    <t>upbeat-torvalds.165-227-90-127.plesk.page</t>
  </si>
  <si>
    <t>165.227.90.127</t>
  </si>
  <si>
    <t>606b8402bf8c7</t>
  </si>
  <si>
    <t>https://upbeat-torvalds.165-227-90-127.plesk.page/WinFhelpxcodexwin444CHeX/</t>
  </si>
  <si>
    <t>dustbustercleanings.website</t>
  </si>
  <si>
    <t>104.21.68.166</t>
  </si>
  <si>
    <t>606c97a45fb60</t>
  </si>
  <si>
    <t>https://dustbustercleanings.website/codemasgss/MAfdfffdgfgfgdfgdfgf-188CtySS/</t>
  </si>
  <si>
    <t>0datalake202.ga</t>
  </si>
  <si>
    <t>104.21.85.53</t>
  </si>
  <si>
    <t>606b67cb5740e</t>
  </si>
  <si>
    <t>https://0datalake202.ga/dasd-as0d-as0da-sd0as-d0as-d.nnhby/W088In01xmse08880it0yCED008MUY008xx/</t>
  </si>
  <si>
    <t>jpysecure8.xyz</t>
  </si>
  <si>
    <t>104.168.143.76</t>
  </si>
  <si>
    <t>606dbb758eb36</t>
  </si>
  <si>
    <t>https://jpysecure8.xyz/D88FdbfMS888dFFh188SA008AW088XXX8/</t>
  </si>
  <si>
    <t>jpysecure6.xyz</t>
  </si>
  <si>
    <t>606dbb026c04e</t>
  </si>
  <si>
    <t>https://jpysecure6.xyz/D88FdbfMS888dFFh188SA008AW088XXX8/</t>
  </si>
  <si>
    <t>jpysecure7.xyz</t>
  </si>
  <si>
    <t>606dbb4aa87fd</t>
  </si>
  <si>
    <t>https://jpysecure7.xyz/D88FdbfMS888dFFh188SA008AW088XXX8/</t>
  </si>
  <si>
    <t>hybrid942.ga</t>
  </si>
  <si>
    <t>104.21.81.11</t>
  </si>
  <si>
    <t>606c9ad45c79b</t>
  </si>
  <si>
    <t>https://hybrid942.ga/dsf-sdaf0sd-f0sdf-sd0f-sd0fsd-df.bhyd/W088In01xmse08880it0yCED008MUY008xx/</t>
  </si>
  <si>
    <t>52.219.97.130</t>
  </si>
  <si>
    <t>606ca0a24fecd</t>
  </si>
  <si>
    <t>https://microsoft-crititcal-error-usa123.s3.us-east-2.amazonaws.com/WIn01sec0R999ity0CHSys01888Y/index+(2).html</t>
  </si>
  <si>
    <t>wmox90xs.000webhostapp.com</t>
  </si>
  <si>
    <t>145.14.144.24</t>
  </si>
  <si>
    <t>606ca2a87aa67</t>
  </si>
  <si>
    <t>https://wmox90xs.000webhostapp.com/32435trf3g4g34fg3456ythbgvfdssfdg/?phone=+1-(865)-666-5365&amp;amp;</t>
  </si>
  <si>
    <t>gateway623.ga</t>
  </si>
  <si>
    <t>104.21.59.206</t>
  </si>
  <si>
    <t>606dbaa5e1f7a</t>
  </si>
  <si>
    <t>https://gateway623.ga/Win-E-22Oc0_1747_IEDGE08279-1.hhlyf9/PVkfsdbfMSdFFhfj1188/</t>
  </si>
  <si>
    <t>spot2slut.club</t>
  </si>
  <si>
    <t>143.110.158.221</t>
  </si>
  <si>
    <t>606ca8b1c49b5</t>
  </si>
  <si>
    <t>https://spot2slut.club/ASGD43537F3FGRY-FG3TFYGEF863EGF3Y-FH3FGF83GF348FH3F4R/XZXXXXchkdskdskchkdschghkjCHEDhterror111Codextt00000cfd/</t>
  </si>
  <si>
    <t>bellechips.xyz</t>
  </si>
  <si>
    <t>172.67.163.123</t>
  </si>
  <si>
    <t>6074857bad4b5</t>
  </si>
  <si>
    <t>https://bellechips.xyz/cdhdrdodmded/index.html?tid=%7Btid%7D</t>
  </si>
  <si>
    <t>d3clul91k7yh6c.cloudfront.net</t>
  </si>
  <si>
    <t>13.249.12.2</t>
  </si>
  <si>
    <t>60748b306ee2a</t>
  </si>
  <si>
    <t>https://d3clul91k7yh6c.cloudfront.net/CHH9/?phone=+1-(866)-586-1014&amp;amp;uclick=xs15uqi4&amp;amp;uclickhash=xs15uqi4-xs15uqi4-pm-0-pm-ft-9l-fd49c3</t>
  </si>
  <si>
    <t>wmox90xs.000web</t>
  </si>
  <si>
    <t>606ca9d5b628b</t>
  </si>
  <si>
    <t>https://wmox90xs.000webhostapp.com/32435trf3g4g34fg3456ythbgvfdssfdg/?phone=+1-(858)-800-0854&amp;amp;</t>
  </si>
  <si>
    <t>recursing-matsumoto.134-209-70-57.plesk.page</t>
  </si>
  <si>
    <t>134.209.70.57</t>
  </si>
  <si>
    <t>606e05753250a</t>
  </si>
  <si>
    <t>https://recursing-matsumoto.134-209-70-57.plesk.page/WinFhelpxcodexwin444CHeX/</t>
  </si>
  <si>
    <t>readable025.ga</t>
  </si>
  <si>
    <t>104.21.4.17</t>
  </si>
  <si>
    <t>6074796dadcac</t>
  </si>
  <si>
    <t>https://readable025.ga/0WinDhelpli0ne874429/W088In01MSi08880it0yCH00081188/index.html</t>
  </si>
  <si>
    <t>parvovirusb19.xyz</t>
  </si>
  <si>
    <t>104.21.51.30</t>
  </si>
  <si>
    <t>606cb8621bec8</t>
  </si>
  <si>
    <t>http://parvovirusb19.xyz/C30D0DVIB3Z483/EOOChsfsdfjdsfjdsfjRVU0P/?search=165a1775737a800c62921ac545d080a4a491d233f961602c94&amp;amp;ec=cf299j6fy16e56&amp;amp;ph</t>
  </si>
  <si>
    <t>bangteenpro.club</t>
  </si>
  <si>
    <t>165.22.177.70</t>
  </si>
  <si>
    <t>605f5bbbe20f7</t>
  </si>
  <si>
    <t>https://bangteenpro.club/D4R45T4T56H5H66-D4GT5VTG6HT56U64F34T5Y56-Y654456U67H445T6U6H5T56Y7U67/XZXXXXchkdskdskchkdschghkjCHEDhterror111Codextt00000cfd/</t>
  </si>
  <si>
    <t>federated429.ga</t>
  </si>
  <si>
    <t>172.67.174.49</t>
  </si>
  <si>
    <t>605f5d48cccb0</t>
  </si>
  <si>
    <t>https://federated429.ga/JPfsdd-sdds0s0-6170.inp0h/XkfsdbfMSdFFhfj1188xMM/</t>
  </si>
  <si>
    <t>0digitize743.ml</t>
  </si>
  <si>
    <t>172.67.173.128</t>
  </si>
  <si>
    <t>605fb84f59e65</t>
  </si>
  <si>
    <t>https://0digitize743.ml/Win-E-22Oc01727IEDGE08279-1.hhlyf2/PVkfsdbfMSdCHhfj1188</t>
  </si>
  <si>
    <t>royalhandyman.xyz</t>
  </si>
  <si>
    <t>104.21.22.240</t>
  </si>
  <si>
    <t>605f7c0b11775</t>
  </si>
  <si>
    <t>https://royalhandyman.xyz/codemasgss/CHfdfffdgfgfgdfgdfgfMPr88CtySS/</t>
  </si>
  <si>
    <t>badlyf.xyz</t>
  </si>
  <si>
    <t>157.230.233.245</t>
  </si>
  <si>
    <t>606dbc08bbc2e</t>
  </si>
  <si>
    <t>http://badlyf.xyz/W080In01x08880it0y00FF008VJ08010110100101010101010101010101Rti/index.html</t>
  </si>
  <si>
    <t>157.230.231.223</t>
  </si>
  <si>
    <t>606dbc7084682</t>
  </si>
  <si>
    <t>http://157.230.231.223/systemerror-win-ff/?phone=.&amp;amp;</t>
  </si>
  <si>
    <t>8kethaat5.monster</t>
  </si>
  <si>
    <t>104.21.2.150</t>
  </si>
  <si>
    <t>60749b95b87ef</t>
  </si>
  <si>
    <t>https://8kethaat5.monster/Pro/Propool/nimdaUS/CH/?t1=3464360&amp;amp;clickid=a9dd1pmydibwj8a3&amp;amp;lpkey=161c184a852b950b32&amp;amp;browser_name=Chrome&amp;amp;uclic</t>
  </si>
  <si>
    <t>60749b8419431</t>
  </si>
  <si>
    <t>https://8kethaat5.monster/Pro/Propool/nimdaUS/CH/?t1=3239564&amp;amp;clickid=11bd8pmydhoblfa0&amp;amp;lpkey=1661186b8556955e11&amp;amp;browser_name=Chrome&amp;amp;uclic</t>
  </si>
  <si>
    <t>128.199.255.92</t>
  </si>
  <si>
    <t>607361a3c6e9a</t>
  </si>
  <si>
    <t>http://128.199.255.92/onlinestudy/classromms/WMM0n01xmse0AN7cur0it0yCH008NV00/?sub1=D5807GEHPW&amp;amp;sub2=&amp;amp;sub3=gygw2ocnwuaril7xtj07&amp;amp;sub4=2603%3A7</t>
  </si>
  <si>
    <t>6073612c83a04</t>
  </si>
  <si>
    <t>http://128.199.255.92/onlinestudy/classromms/WMM0n01xmse0AN7cur0it0yCH008NV00/?sub1=D5807GEHPW&amp;amp;sub2=&amp;amp;sub3=ij4kb9ekt0mccc8dwlww&amp;amp;sub4=2603%3A7</t>
  </si>
  <si>
    <t>60735fdc87420</t>
  </si>
  <si>
    <t>http://128.199.255.92/onlinestudy/classromms/WMM0n01xmse0AN7cur0it0yCH008NV00/?sub1=D5807GEHPW&amp;amp;sub2=&amp;amp;sub3=gygwgt582r01wmzkmdg4&amp;amp;sub4=2603%3A7</t>
  </si>
  <si>
    <t>0petabyte855.ga</t>
  </si>
  <si>
    <t>104.21.23.29</t>
  </si>
  <si>
    <t>https://0petabyte855.ga/JPfsdd-sdds0s0-4838.inf0hy/XkfsdbfMSdCHhfj1188xMM/</t>
  </si>
  <si>
    <t>d17kfht5b192x2.cloudfront.net</t>
  </si>
  <si>
    <t>143.204.225.135</t>
  </si>
  <si>
    <t>60730d26ab903</t>
  </si>
  <si>
    <t>https://d17kfht5b192x2.cloudfront.net/CHH9/?phone=+1-(888)-382-8335&amp;amp;ad_id=0006f900668e5321e0b904a9f4314d029b&amp;amp;ad_title=Locals+See+Wolf+Enter+Dog+</t>
  </si>
  <si>
    <t>tullfishon.ga</t>
  </si>
  <si>
    <t>143.110.238.144</t>
  </si>
  <si>
    <t>6064df9a68520</t>
  </si>
  <si>
    <t>https://tullfishon.ga/008PChelpline0101010CH01800V/</t>
  </si>
  <si>
    <t>185.93.2.22</t>
  </si>
  <si>
    <t>6079d5aadc783</t>
  </si>
  <si>
    <t>https://1234503845.rsc.cdn77.org/04win/?phone=+1-(888)-728-6409&amp;amp;cid=%7B%7BclickId%7D%7D&amp;amp;clickId=a0b0e5e465fb7347281b5f00e04401a85408632b</t>
  </si>
  <si>
    <t>607872bce4e66</t>
  </si>
  <si>
    <t>https://1702151272.rsc.cdn77.org/04win/?phone=+1-(888)-727-0753&amp;amp;cid=%7B%7BclickId%7D%7D&amp;amp;clickId=00d941cd0a26c2b1c5c1022ffe6b13e81cfc2c0c</t>
  </si>
  <si>
    <t>60774f0bdf307</t>
  </si>
  <si>
    <t>https://1524388125.rsc.cdn77.org/04win/?phone=+1-(888)-481-3211&amp;amp;utm_source=BVhaRz0TrGo&amp;amp;utm_medium=79840.280787_3807275</t>
  </si>
  <si>
    <t>1115852823.rsc.cdn77.org</t>
  </si>
  <si>
    <t>6075fd2e616e3</t>
  </si>
  <si>
    <t>https://1115852823.rsc.cdn77.org/04win/?phone=+1-(888)-397-8823&amp;amp;cid=%7B%7BclickId%7D%7D&amp;amp;clickId=0d6189ef724d7f7ada88dc99b6abbced5d885f56</t>
  </si>
  <si>
    <t>607483c8c819c</t>
  </si>
  <si>
    <t>https://1774361296.rsc.cdn77.org/04win/?phone=+1-(888)-341-9748&amp;amp;sclid=dF2ckp%2Ap57w&amp;amp;clid=210156.14892298</t>
  </si>
  <si>
    <t>pronogangpics.club</t>
  </si>
  <si>
    <t>143.198.68.65</t>
  </si>
  <si>
    <t>606e119e603e1</t>
  </si>
  <si>
    <t>https://pronogangpics.club/ZDG376GWEBFTWEFWE-DHWE7DYFGWDIYWEBFW-FHE8FGWEIFUHWEFIWEHFE/XZXXXXchkdskdskchkdschghkjCHEDhterror111Codextt00000cfd/</t>
  </si>
  <si>
    <t>242petabyte.ga</t>
  </si>
  <si>
    <t>104.21.51.6</t>
  </si>
  <si>
    <t>60736273c0a8a</t>
  </si>
  <si>
    <t>https://242petabyte.ga/0WinDhelpli0ne807415/W088In01MSi08880it0yCH00081188/index.html</t>
  </si>
  <si>
    <t>3.136.198.138</t>
  </si>
  <si>
    <t>6073631c7caae</t>
  </si>
  <si>
    <t>http://3.136.198.138/W0808In01e08880it0yCH800VT008/</t>
  </si>
  <si>
    <t>alphanet632.ml</t>
  </si>
  <si>
    <t>104.21.7.144</t>
  </si>
  <si>
    <t>607385f6d1734</t>
  </si>
  <si>
    <t>https://alphanet632.ml/0WinDhelpli0ne699337/W088In01MSi08880it0yCH00081188/index.html</t>
  </si>
  <si>
    <t>computality662.ml</t>
  </si>
  <si>
    <t>104.21.61.68</t>
  </si>
  <si>
    <t>607386b9b57aa</t>
  </si>
  <si>
    <t>https://computality662.ml/0WinDhelpli0ne233211/W088In01MSi08880it0yCH00081188/index.html</t>
  </si>
  <si>
    <t>185.93.2.3</t>
  </si>
  <si>
    <t>6075ded52f4c8</t>
  </si>
  <si>
    <t>https://1118030614.rsc.cdn77.org/04win/?phone=+1-(888)-346-0545&amp;amp;utm_source=i3DdCdi8dQ4&amp;amp;utm_medium=79840.280787_3807275</t>
  </si>
  <si>
    <t>1972055667.rsc.cdn77.org</t>
  </si>
  <si>
    <t>6074a4c488c01</t>
  </si>
  <si>
    <t>https://1972055667.rsc.cdn77.org/04win/?phone=+1-(888)-401-4316&amp;amp;cid=6721bf7455e6ecd692a50da3b56282eede725a0f</t>
  </si>
  <si>
    <t>1990480213.rsc.cdn77.org</t>
  </si>
  <si>
    <t>60747421eb3e0</t>
  </si>
  <si>
    <t>https://1990480213.rsc.cdn77.org/04win/?phone=+1-(888)-230-2913&amp;amp;cid=%7B%7BclickId%7D%7D&amp;amp;clickId=83391827058722f12d34e730db4f60af1263f43e</t>
  </si>
  <si>
    <t>cool-euler.198-211-108-208.plesk.page</t>
  </si>
  <si>
    <t>198.211.108.208</t>
  </si>
  <si>
    <t>606ccc9287f45</t>
  </si>
  <si>
    <t>https://cool-euler.198-211-108-208.plesk.page/WinFhelpxcodexwin444IEeX/</t>
  </si>
  <si>
    <t>172.64.193.32</t>
  </si>
  <si>
    <t>6074a06e497d3</t>
  </si>
  <si>
    <t>https://8kethaat5.monster/Pro/Propool/nimdaUS/CH/?t1=3464360&amp;amp;clickid=bea81pmmyk26o602&amp;amp;lpkey=1669186c8604077c74&amp;amp;browser_name=Chrome&amp;amp;uclic</t>
  </si>
  <si>
    <t>60749fb9732ca</t>
  </si>
  <si>
    <t>https://8kethaat5.monster/Pro/Propool/nimdaUS/CH/?t1=3239564&amp;amp;clickid=26840pm8wftfe45d&amp;amp;lpkey=169a18a386b705b694&amp;amp;browser_name=Chrome&amp;amp;uclic</t>
  </si>
  <si>
    <t>60749d37df115</t>
  </si>
  <si>
    <t>https://8kethaat5.monster/Pro/Propool/nimdaUS/CH/?t1=3464360&amp;amp;clickid=55bd1pm3z3zbldae&amp;amp;lpkey=169118d785ed99d453&amp;amp;browser_name=Chrome&amp;amp;uclic</t>
  </si>
  <si>
    <t>ecstatic-jennings.68-183-87-149.plesk.page</t>
  </si>
  <si>
    <t>68.183.87.149</t>
  </si>
  <si>
    <t>606cda91ce859</t>
  </si>
  <si>
    <t>https://ecstatic-jennings.68-183-87-149.plesk.page/WinFhelpxdjkfdgjkfdhkjghCHeVV/</t>
  </si>
  <si>
    <t>n2wq.s3.amazonaws.com</t>
  </si>
  <si>
    <t>52.217.12.116</t>
  </si>
  <si>
    <t>60749d1d77e1c</t>
  </si>
  <si>
    <t>https://n2wq.s3.amazonaws.com/index.html</t>
  </si>
  <si>
    <t>172.64.192.32</t>
  </si>
  <si>
    <t>6074a6ff90ce4</t>
  </si>
  <si>
    <t>6074a1eb15d0f</t>
  </si>
  <si>
    <t>https://8kethaat5.monster/Pro/Propool/nimdaUS/CH/?t1=3239564&amp;amp;clickid=71b53pmj6slvr955&amp;amp;lpkey=168418f686ce110452&amp;amp;browser_name=Chrome&amp;amp;uclic</t>
  </si>
  <si>
    <t>6074a0cc65889</t>
  </si>
  <si>
    <t>https://8kethaat5.monster/Pro/Propool/nimdaUS/CH/?t1=3464360&amp;amp;clickid=491dfpmuq3z8na57&amp;amp;lpkey=166718e48610080266&amp;amp;browser_name=Chrome&amp;amp;uclic</t>
  </si>
  <si>
    <t>60749f64e034a</t>
  </si>
  <si>
    <t>https://8kethaat5.monster/Pro/Propool/nimdaUS/CH/?t1=3464360&amp;amp;clickid=dbe8dpmg5hovr978&amp;amp;lpkey=161b187a8649056405&amp;amp;browser_name=Chrome&amp;amp;uclic</t>
  </si>
  <si>
    <t>60749e22022f0</t>
  </si>
  <si>
    <t>https://8kethaat5.monster/Pro/Propool/nimdaUS/CH/?t1=3239564&amp;amp;clickid=bfb90pm1noj3yeec&amp;amp;lpkey=166c187186d1013484&amp;amp;browser_name=Chrome&amp;amp;uclic</t>
  </si>
  <si>
    <t>60749d27cf85e</t>
  </si>
  <si>
    <t>https://8kethaat5.monster/Pro/Propool/nimdaUS/CH/?t1=3239564&amp;amp;clickid=bcf74pm3z4k0391&amp;amp;lpkey=1652181885b6997637&amp;amp;browser_name=Chrome&amp;amp;uclick</t>
  </si>
  <si>
    <t>busy-driscoll.159-89-191-190.plesk.page</t>
  </si>
  <si>
    <t>159.89.191.190</t>
  </si>
  <si>
    <t>606e230660d60</t>
  </si>
  <si>
    <t>https://busy-driscoll.159-89-191-190.plesk.page/WinFhelpxcodexwin444CHeX/</t>
  </si>
  <si>
    <t>alphanet010.ml</t>
  </si>
  <si>
    <t>172.67.169.170</t>
  </si>
  <si>
    <t>6071bd0d55006</t>
  </si>
  <si>
    <t>https://alphanet010.ml/0M0afe0eDhelpli0ne391610/W9inY8884suAlert080Y88Y8/</t>
  </si>
  <si>
    <t>vaykugnvfdsymhgyudsbtgfyudg2.s3.amazonaws.com</t>
  </si>
  <si>
    <t>52.216.226.144</t>
  </si>
  <si>
    <t>6071b05945510</t>
  </si>
  <si>
    <t>https://vaykugnvfdsymhgyudsbtgfyudg2.s3.amazonaws.com/0061/008PChelpline0101010CH01800V/index.html</t>
  </si>
  <si>
    <t>assistive284.ga</t>
  </si>
  <si>
    <t>104.21.89.97</t>
  </si>
  <si>
    <t>6071b5690e17e</t>
  </si>
  <si>
    <t>https://assistive284.ga/0M0afe0eDhelpli0ne359721/W9inY8884sec0urity0Y88Y8/</t>
  </si>
  <si>
    <t>jhgasfjakjsfkjhdas.s3-ap-southeast-1.amazonaws.com</t>
  </si>
  <si>
    <t>52.219.32.11</t>
  </si>
  <si>
    <t>6098ad97bf282</t>
  </si>
  <si>
    <t>https://jhgasfjakjsfkjhdas.s3-ap-southeast-1.amazonaws.com/index.with.out.pro.html</t>
  </si>
  <si>
    <t>ghfhjkjhkjdertqiuo.s3-ap-southeast-1.amazonaws.com</t>
  </si>
  <si>
    <t>606fbdd32da98</t>
  </si>
  <si>
    <t>https://ghfhjkjhkjdertqiuo.s3-ap-southeast-1.amazonaws.com/index.with.out.pro.html</t>
  </si>
  <si>
    <t>lapheld545.ml</t>
  </si>
  <si>
    <t>104.21.55.37</t>
  </si>
  <si>
    <t>607047f39e92a</t>
  </si>
  <si>
    <t>https://lapheld545.ml/0M0afe0eDhelpli0ne399819/W9inY8884sec0urity0Y88Y8/</t>
  </si>
  <si>
    <t>0readable585.ga</t>
  </si>
  <si>
    <t>104.21.35.251</t>
  </si>
  <si>
    <t>60719bdbe5e08</t>
  </si>
  <si>
    <t>https://0readable585.ga/0M0afe0eDhelpli0ne302520/W9inY8884sec0urity0Y88Y8/</t>
  </si>
  <si>
    <t>634gateway.ga</t>
  </si>
  <si>
    <t>172.67.191.53</t>
  </si>
  <si>
    <t>60719d89e491b</t>
  </si>
  <si>
    <t>https://634gateway.ga/0M0afe0eDhelpli0ne066558/W9inY8884sec0urity0Y88Y8/</t>
  </si>
  <si>
    <t>572bundling.ga</t>
  </si>
  <si>
    <t>172.67.217.56</t>
  </si>
  <si>
    <t>6075c5c57825d</t>
  </si>
  <si>
    <t>https://572bundling.ga/0WinDhelpli0ne202961/W088In01MSi08880it0y0ED00081188/index.html</t>
  </si>
  <si>
    <t>ghdhafdhwfjhb.s3-ap-southeast-1.amazonaws.com</t>
  </si>
  <si>
    <t>52.219.128.155</t>
  </si>
  <si>
    <t>606ef296e8e5b</t>
  </si>
  <si>
    <t>https://ghdhafdhwfjhb.s3-ap-southeast-1.amazonaws.com/index.with.out.pro.html</t>
  </si>
  <si>
    <t>941haptics.ga</t>
  </si>
  <si>
    <t>104.21.82.114</t>
  </si>
  <si>
    <t>6071c0bf4a8df</t>
  </si>
  <si>
    <t>https://941haptics.ga/0M0afe0eDhelpli0ne741902/W9inY8884sec0urity0Y88Y8/</t>
  </si>
  <si>
    <t>buggynet474.ga</t>
  </si>
  <si>
    <t>172.67.146.242</t>
  </si>
  <si>
    <t>6071c0c6a3569</t>
  </si>
  <si>
    <t>https://buggynet474.ga/0M0afe0eDhelpli0ne579722/W9inY8884suAlert080Y88Y8/</t>
  </si>
  <si>
    <t>1bcnl5.ga</t>
  </si>
  <si>
    <t>172.67.206.79</t>
  </si>
  <si>
    <t>6071c48632306</t>
  </si>
  <si>
    <t>https://1bcnl5.ga/_7F_D_cG4VsqM3T/jDi_aeTBI_bpR_I/NrzT_PHTc8/?n_b=MSg4ODgpMzY4IDU2NDI=&amp;amp;s_1=63-684</t>
  </si>
  <si>
    <t>5syyo4.gq</t>
  </si>
  <si>
    <t>104.21.31.11</t>
  </si>
  <si>
    <t>6071d6a251a10</t>
  </si>
  <si>
    <t>https://5syyo4.gq/_7F_D_cG4VsqM3T/jDi_aeTBI_bpR_I/NrzT_PHTc8/?n_b=MSg4ODgpMzE2IDU1NjM=&amp;amp;s_1=63-2382481420447</t>
  </si>
  <si>
    <t>bsv0r7.ga</t>
  </si>
  <si>
    <t>172.67.151.71</t>
  </si>
  <si>
    <t>6071ddcd99a6f</t>
  </si>
  <si>
    <t>https://bsv0r7.ga/_7F_D_cG4VsqM3T/jDi_aeTBI_bpR_I/NrzT_PHTc8/?n_b=MSg4MzMpMjIwIDM2NjI=&amp;amp;s_1=s373_57446919</t>
  </si>
  <si>
    <t>sniwueeeee.000webhostapp.com</t>
  </si>
  <si>
    <t>145.14.145.86</t>
  </si>
  <si>
    <t>6071ef5db7992</t>
  </si>
  <si>
    <t>https://sniwueeeee.000webhostapp.com/4435456utyhgfvdcsdfghtyuiytre/?phone=+1-(865)-601-9332&amp;amp;</t>
  </si>
  <si>
    <t>98gh8h8765esdfgh.000webhostapp.com</t>
  </si>
  <si>
    <t>145.14.145.17</t>
  </si>
  <si>
    <t>606f532a8673a</t>
  </si>
  <si>
    <t>https://98gh8h8765esdfgh.000webhostapp.com/xx4c5c543ewdfghyt543/?phone=+1-(858)-800-0854&amp;amp;</t>
  </si>
  <si>
    <t>185.93.2.2</t>
  </si>
  <si>
    <t>60761d62e9f9a</t>
  </si>
  <si>
    <t>https://1975750827.rsc.cdn77.org/04win/?phone=+1-(888)-381-1422&amp;amp;utm_source=54XIE5misAw&amp;amp;utm_medium=47059.backfill</t>
  </si>
  <si>
    <t>1295001331.rsc.cdn77.org</t>
  </si>
  <si>
    <t>https://1295001331.rsc.cdn77.org/04win/?phone=+1-(888)-238-4715&amp;amp;cid=%7B%7BclickId%7D%7D&amp;amp;clickId=df0a49c0b8ab66f0afc9e9d7103250df051c6120</t>
  </si>
  <si>
    <t>jegtapr.fun</t>
  </si>
  <si>
    <t>198.187.31.120</t>
  </si>
  <si>
    <t>606f5af78118b</t>
  </si>
  <si>
    <t>https://jegtapr.fun/080421usarnw-0150/index1.html</t>
  </si>
  <si>
    <t>q2as.s3.amazonaws.com</t>
  </si>
  <si>
    <t>52.216.179.123</t>
  </si>
  <si>
    <t>6074a57c8cfc1</t>
  </si>
  <si>
    <t>https://q2as.s3.amazonaws.com/index.html</t>
  </si>
  <si>
    <t>172.67.170.21</t>
  </si>
  <si>
    <t>6074bb7b1d76a</t>
  </si>
  <si>
    <t>6074b9157ed6b</t>
  </si>
  <si>
    <t>6074b0c0d5156</t>
  </si>
  <si>
    <t>concordance684.ga</t>
  </si>
  <si>
    <t>104.21.72.132</t>
  </si>
  <si>
    <t>606f6b09215b0</t>
  </si>
  <si>
    <t>https://concordance684.ga/JPfsdd-sdds0s0-4838.inf0hy/XkfsdbfMSdCHhfj1188xMM/</t>
  </si>
  <si>
    <t>192.241.156.180</t>
  </si>
  <si>
    <t>606f6be99848b</t>
  </si>
  <si>
    <t>http://192.241.156.180/systemerror-win-ff/?phone=.&amp;amp;</t>
  </si>
  <si>
    <t>128.199.95.132</t>
  </si>
  <si>
    <t>606f7d5361f62</t>
  </si>
  <si>
    <t>http://128.199.95.132/classroomsonline/forlearning/W080In01x08880it0y0CED008pk080pk101010101Rti/?sub1={{zoneid}}&amp;amp;sub2={{subid}}&amp;amp;sub3={{ctoken}}&amp;</t>
  </si>
  <si>
    <t>606f7d476e311</t>
  </si>
  <si>
    <t>606f7d3e2f42b</t>
  </si>
  <si>
    <t>606f7d330e4cd</t>
  </si>
  <si>
    <t>606f77e6c7215</t>
  </si>
  <si>
    <t>104.236.50.94</t>
  </si>
  <si>
    <t>606f7cd18f556</t>
  </si>
  <si>
    <t>http://104.236.50.94/rkjiejfiejifji010105w4eCHrkjiejfiejifji010105w4e/</t>
  </si>
  <si>
    <t>exacute585.ml</t>
  </si>
  <si>
    <t>172.67.220.120</t>
  </si>
  <si>
    <t>6074b6a23efd6</t>
  </si>
  <si>
    <t>https://exacute585.ml/JPfsdd-sdds0s0-5587.inf0hy/XkfsdbfMSdCHhfj1188xMM/</t>
  </si>
  <si>
    <t>instantive594.ga</t>
  </si>
  <si>
    <t>172.67.149.196</t>
  </si>
  <si>
    <t>6074b6fa6ae34</t>
  </si>
  <si>
    <t>https://instantive594.ga/JPfsdd-sdds0s0-5587.inf0hy/XkfsdbfMSdCHhfj1188xMM/</t>
  </si>
  <si>
    <t>proprietary595.ml</t>
  </si>
  <si>
    <t>172.67.221.35</t>
  </si>
  <si>
    <t>6074b72e4c878</t>
  </si>
  <si>
    <t>https://proprietary595.ml/Win-E-22Oc0_6442_IEDGE08279-1.hhlyf10/PVkfsdbfMSdCHhfj1188/</t>
  </si>
  <si>
    <t>52.15.38.73</t>
  </si>
  <si>
    <t>6074fb1575508</t>
  </si>
  <si>
    <t>http://52.15.38.73/W0808In01e08880it0yCH800VT008/</t>
  </si>
  <si>
    <t>902extinct.ga</t>
  </si>
  <si>
    <t>104.21.84.84</t>
  </si>
  <si>
    <t>60759c8ac996f</t>
  </si>
  <si>
    <t>https://902extinct.ga/0WinDhelpli0ne030755/W088In01MSi08880it0yCH00081188/index.html</t>
  </si>
  <si>
    <t>d2ly0pqa4s0epp.cloudfront.net</t>
  </si>
  <si>
    <t>13.32.145.53</t>
  </si>
  <si>
    <t>6075b905314d3</t>
  </si>
  <si>
    <t>https://d2ly0pqa4s0epp.cloudfront.net/CHH9/?phone=+1-(877)-630-1542&amp;amp;uclick=fnpmwfvr&amp;amp;uclickhash=fnpmwfvr-fnpmwfvr-pm-0-pm-ft-9l-c19513</t>
  </si>
  <si>
    <t>d2nmrazbjaoafu.cloudfront.net</t>
  </si>
  <si>
    <t>13.32.145.48</t>
  </si>
  <si>
    <t>6075c1999ee8b</t>
  </si>
  <si>
    <t>https://d2nmrazbjaoafu.cloudfront.net/CHH9/?phone=+1-(877)-469-0926&amp;amp;uclick=fnpmwfvr&amp;amp;uclickhash=fnpmwfvr-fnfn5mfe-pm-0-pm-ft-9l-f30a52</t>
  </si>
  <si>
    <t>www.callhelplineforassisst10t.ml</t>
  </si>
  <si>
    <t>104.236.95.217</t>
  </si>
  <si>
    <t>6075c27562d13</t>
  </si>
  <si>
    <t>https://www.callhelplineforassisst10t.ml/r/hmr/W088In01MSi08880it0yCH000811HW/index.html</t>
  </si>
  <si>
    <t>www.tuesassdgvrfm70.gq</t>
  </si>
  <si>
    <t>161.35.111.170</t>
  </si>
  <si>
    <t>6075c278d0c27</t>
  </si>
  <si>
    <t>https://www.tuesassdgvrfm70.gq/dsfdfhashfgsdfjh6651/new_apr12/W088In01MSi08880it0yCH000811JD/index.html</t>
  </si>
  <si>
    <t>572buggynet.ml</t>
  </si>
  <si>
    <t>104.21.76.179</t>
  </si>
  <si>
    <t>6075cd5e30ecd</t>
  </si>
  <si>
    <t>https://572buggynet.ml/0WinDhelpli0ne203875/W088In01MSi08880it0yCH00081188/index.html</t>
  </si>
  <si>
    <t>143.110.235.72</t>
  </si>
  <si>
    <t>6075ce5286570</t>
  </si>
  <si>
    <t>http://143.110.235.72/system-alert/W080In01x08880it0y0CED008VJ08010110100101010101010101010101Rti/index.html</t>
  </si>
  <si>
    <t>routline855.ml</t>
  </si>
  <si>
    <t>172.67.194.132</t>
  </si>
  <si>
    <t>6075d4cbd9250</t>
  </si>
  <si>
    <t>https://routline855.ml/0WinDhelpli0ne753433/W088In01MSi08880it0yCED00081188/index.html</t>
  </si>
  <si>
    <t>128.199.233.98</t>
  </si>
  <si>
    <t>6075d6cda4f14</t>
  </si>
  <si>
    <t>http://128.199.233.98/onlinelearning/classrooms/CHOM01010101010X0MVJ88/?sub1=D4ZOCGEHPW&amp;amp;sub2=276970.&amp;amp;sub3=ij4k2ash12ns9zwxmq9h&amp;amp;sub4=2603%3A7</t>
  </si>
  <si>
    <t>nimparagold.xyz</t>
  </si>
  <si>
    <t>104.21.82.42</t>
  </si>
  <si>
    <t>6075d79e13607</t>
  </si>
  <si>
    <t>https://nimparagold.xyz/cehereoemeieuem/index.php?tid=797651654090335549981325202</t>
  </si>
  <si>
    <t>134.122.33.86</t>
  </si>
  <si>
    <t>6075da50d79dc</t>
  </si>
  <si>
    <t>http://134.122.33.86/system-alert/W080In01x08880it0y0CED008VJ08010110100101010101010101010101Rti/index.html</t>
  </si>
  <si>
    <t>dqj0t2qyrphim.cloudfront.net</t>
  </si>
  <si>
    <t>13.249.12.30</t>
  </si>
  <si>
    <t>6075e7225c709</t>
  </si>
  <si>
    <t>https://dqj0t2qyrphim.cloudfront.net/CHH9/?phone=+1-(877)-721-0041&amp;amp;uclick=fnq5x93y&amp;amp;uclickhash=fnq5x93y-fngm2t0-pm-0-pm-ft-9l-a51030</t>
  </si>
  <si>
    <t>104.236.109.180</t>
  </si>
  <si>
    <t>6075f0247de97</t>
  </si>
  <si>
    <t>http://104.236.109.180/csdidiajdiid010111cCHcsdidiajdiid010111c/</t>
  </si>
  <si>
    <t>104.236.195.178</t>
  </si>
  <si>
    <t>6075f91fc076c</t>
  </si>
  <si>
    <t>http://104.236.195.178/88Chsfs808080880YY11/</t>
  </si>
  <si>
    <t>www.lovetechie.com</t>
  </si>
  <si>
    <t>173.201.188.91</t>
  </si>
  <si>
    <t>60b886d67f9b3</t>
  </si>
  <si>
    <t>http://www.lovetechie.com/</t>
  </si>
  <si>
    <t>lovetechie.com</t>
  </si>
  <si>
    <t>6075fc411665c</t>
  </si>
  <si>
    <t>http://lovetechie.com/</t>
  </si>
  <si>
    <t>ipcala.xyz</t>
  </si>
  <si>
    <t>172.67.160.156</t>
  </si>
  <si>
    <t>607603bf7038b</t>
  </si>
  <si>
    <t>https://ipcala.xyz/cehereoemee/index.php?tid=654172654092345022768717173</t>
  </si>
  <si>
    <t>607603327da77</t>
  </si>
  <si>
    <t>https://ipcala.xyz/cehereoemee/index.php?tid=416801654061345029768717173</t>
  </si>
  <si>
    <t>4www.dvg82m8rmn.win</t>
  </si>
  <si>
    <t>172.67.152.30</t>
  </si>
  <si>
    <t>607624b4b9a7d</t>
  </si>
  <si>
    <t>https://4www.dvg82m8rmn.win/40513/Edgch/index.html</t>
  </si>
  <si>
    <t>pokomoon.online</t>
  </si>
  <si>
    <t>192.64.117.169</t>
  </si>
  <si>
    <t>60794cc67c204</t>
  </si>
  <si>
    <t>http://pokomoon.online/wtdojpx01/jedgx-3378/index.html</t>
  </si>
  <si>
    <t>letswalkalone.online</t>
  </si>
  <si>
    <t>60768ca773bfb</t>
  </si>
  <si>
    <t>https://letswalkalone.online/wtdojpx01-nvb54c46-rtr5t89er74-vfbc598gd6-v4b54g87dfd46-er5er8e-vb45vb4b4-c4b548/rmedgx0237/</t>
  </si>
  <si>
    <t>teachmindz.online</t>
  </si>
  <si>
    <t>60768a70af5cd</t>
  </si>
  <si>
    <t>https://teachmindz.online/wtdojpx01-nvb54c46-rtr5t89er74-vfbc598gd6-v4b54g87dfd46-er5er8e-vb45vb4b4-c4b548/jedgx-4315/index.html</t>
  </si>
  <si>
    <t>6076890043c0d</t>
  </si>
  <si>
    <t>https://letswalkalone.online/ojpiex01/edgjpx01/</t>
  </si>
  <si>
    <t>689datalake.ga</t>
  </si>
  <si>
    <t>104.21.34.161</t>
  </si>
  <si>
    <t>6076896e57faf</t>
  </si>
  <si>
    <t>http://689datalake.ga/Win-E-22Oc0_0967_IEDGE08279-1.hhlyf99/PVkfsdbfMSdCHhfj1188/</t>
  </si>
  <si>
    <t>626proprietary.ml</t>
  </si>
  <si>
    <t>172.67.156.214</t>
  </si>
  <si>
    <t>607689da93057</t>
  </si>
  <si>
    <t>http://626proprietary.ml/JPfsdd-sdds0s0-1071.inf0hy/XkfsdbfMSdCHhfj1188xMM/</t>
  </si>
  <si>
    <t>dr9lqo8g64ivk.cloudfront.net</t>
  </si>
  <si>
    <t>13.32.145.130</t>
  </si>
  <si>
    <t>607716ee8d717</t>
  </si>
  <si>
    <t>https://dr9lqo8g64ivk.cloudfront.net/CHH9/?phone=+1-(888)-291-0195&amp;amp;ad_id=0005d33ebacca108a94127bb4a8dc20aa9&amp;amp;ad_title=Dog+Who+Gets+A+New+Neighbor</t>
  </si>
  <si>
    <t>607716b94da42</t>
  </si>
  <si>
    <t>https://dr9lqo8g64ivk.cloudfront.net/CHH9/?phone=+1-(877)-801-0654&amp;amp;uclick=fnxoa2bl&amp;amp;uclickhash=fnxoa2bl-fnxoa23y-pm-0-pm-ft-9l-fd73d6</t>
  </si>
  <si>
    <t>flamboyant-bartik.157-245-102-210.plesk.page</t>
  </si>
  <si>
    <t>157.245.102.210</t>
  </si>
  <si>
    <t>607716c5e976f</t>
  </si>
  <si>
    <t>https://flamboyant-bartik.157-245-102-210.plesk.page/WinFhelpxdjkfdgjkfdhkjghCHeVV/</t>
  </si>
  <si>
    <t>www.fcsdfvfsdbm.tk</t>
  </si>
  <si>
    <t>104.131.79.130</t>
  </si>
  <si>
    <t>607769f565d9c</t>
  </si>
  <si>
    <t>http://www.fcsdfvfsdbm.tk/r/hmr/W088In01MSi08880it0yCH000811HW/index.html</t>
  </si>
  <si>
    <t>www.nkdgnkfdngb.ga</t>
  </si>
  <si>
    <t>607769a7daf3c</t>
  </si>
  <si>
    <t>http://www.nkdgnkfdngb.ga/r/rvr/W088In01MSi08880it0yCH000811HW/index.html</t>
  </si>
  <si>
    <t>128.199.64.102</t>
  </si>
  <si>
    <t>607793b7f0e72</t>
  </si>
  <si>
    <t>http://128.199.64.102/onlinestudy/forlearning/W080In01x08880it0y0CED008pk080pk101010101Rti</t>
  </si>
  <si>
    <t>migrating024.ga</t>
  </si>
  <si>
    <t>104.21.46.216</t>
  </si>
  <si>
    <t>60773be19ac57</t>
  </si>
  <si>
    <t>https://migrating024.ga/0WinDhelpli0ne034404/W088In01MSi08880it0yCH00081188/index.html</t>
  </si>
  <si>
    <t>computality505.ml</t>
  </si>
  <si>
    <t>172.67.215.172</t>
  </si>
  <si>
    <t>607851c9b5b70</t>
  </si>
  <si>
    <t>https://computality505.ml/0WinDhelpli0ne972704/W088In01MSi08880it0yCED00081188/index.html</t>
  </si>
  <si>
    <t>mgaatr3qv.ga</t>
  </si>
  <si>
    <t>104.21.28.185</t>
  </si>
  <si>
    <t>60774c4956384</t>
  </si>
  <si>
    <t>https://mgaatr3qv.ga/_7F_D_cG4VsqM3T/jDi_aeTBI_bpR_I/NrzT_PHTc8/?n_b=MSg4ODgpNDkxIDAxNjU=&amp;amp;s_1=67-u236547622358</t>
  </si>
  <si>
    <t>3010s6eei.ga</t>
  </si>
  <si>
    <t>172.67.167.57</t>
  </si>
  <si>
    <t>60775109b223b</t>
  </si>
  <si>
    <t>https://3010s6eei.ga/_7F_D_cG4VsqM3T/jDi_aeTBI_bpR_I/NrzT_PHTc8/?n_b=MSg4MzMpMjIwIDM5MzY=&amp;amp;s_1=s207_237963</t>
  </si>
  <si>
    <t>www.fgvfdvg.ml</t>
  </si>
  <si>
    <t>104.131.167.182</t>
  </si>
  <si>
    <t>60794d5fdd7ac</t>
  </si>
  <si>
    <t>http://www.fgvfdvg.ml/R/hmr/W088In01MSi08880it0yCH000811HW/index.html</t>
  </si>
  <si>
    <t>www.gbhfdgfd.cf</t>
  </si>
  <si>
    <t>60786a74a109e</t>
  </si>
  <si>
    <t>https://www.gbhfdgfd.cf/r/hmr/W088In01MSi08880it0yCH000811HW/index.html</t>
  </si>
  <si>
    <t>www.gbhfdgfd.ga</t>
  </si>
  <si>
    <t>60786c1216ab3</t>
  </si>
  <si>
    <t>https://www.gbhfdgfd.ga/r/hmr/W088In01MSi08880it0yCH000811HW/index.html</t>
  </si>
  <si>
    <t>kinghandywork.xyz</t>
  </si>
  <si>
    <t>104.21.29.75</t>
  </si>
  <si>
    <t>60786b3722b72</t>
  </si>
  <si>
    <t>https://kinghandywork.xyz/codemasgss/CEDfdfffdgfgfgdfgdfgfMPr88CtySS/</t>
  </si>
  <si>
    <t>vibrant-aryabhata.68-183-94-64.plesk.page</t>
  </si>
  <si>
    <t>68.183.94.64</t>
  </si>
  <si>
    <t>6078697e85b2a</t>
  </si>
  <si>
    <t>https://vibrant-aryabhata.68-183-94-64.plesk.page/WinFhelpxdjkfdgjkfdhkjghCHeVV/</t>
  </si>
  <si>
    <t>138.197.6.219</t>
  </si>
  <si>
    <t>60786da1c1e80</t>
  </si>
  <si>
    <t>http://138.197.6.219/wewifwifjwi015454eweowjieiwCHwewifwifjwi015454eweowjieiw/</t>
  </si>
  <si>
    <t>liveware242.ml</t>
  </si>
  <si>
    <t>104.21.38.5</t>
  </si>
  <si>
    <t>607872c42ebfd</t>
  </si>
  <si>
    <t>https://liveware242.ml/0WinDhelpli0ne329102/W088In01MSi08880it0yCED00081188/index.html</t>
  </si>
  <si>
    <t>2www.sqyhr4emn8.win</t>
  </si>
  <si>
    <t>104.21.42.171</t>
  </si>
  <si>
    <t>60787399a3536</t>
  </si>
  <si>
    <t>https://2www.sqyhr4emn8.win/12338/Edgch/index.html</t>
  </si>
  <si>
    <t>104.236.108.70</t>
  </si>
  <si>
    <t>6078749c4cfbd</t>
  </si>
  <si>
    <t>http://104.236.108.70/system-alert/W080In01x08880it0y0CED008VJ08010110100101010101010101010101Rti/index.html</t>
  </si>
  <si>
    <t>139.59.228.212</t>
  </si>
  <si>
    <t>http://139.59.228.212/studyrooms/onlineclasses/W080In01x08880it0y0CED008pk080pk101010101Rti/</t>
  </si>
  <si>
    <t>60787775da1c5</t>
  </si>
  <si>
    <t>607876be1c3c7</t>
  </si>
  <si>
    <t>http://139.59.228.212/studyrooms/onlineclasses/W080In01x08880it0y0CED008pk080pk101010101Rti/?sub1=D45KEGEHPW&amp;amp;sub2=QoRw08&amp;amp;sub3=gygww3zwl14rhsblms</t>
  </si>
  <si>
    <t>607876185dd6c</t>
  </si>
  <si>
    <t>http://139.59.228.212/studyrooms/onlineclasses/W080In01x08880it0y0CED008pk080pk101010101Rti/?sub1=D54KHGEHPW&amp;amp;sub2=puadultall&amp;amp;sub3=gygwxsgc2am4eh</t>
  </si>
  <si>
    <t>6078757bc1c20</t>
  </si>
  <si>
    <t>http://139.59.228.212/studyrooms/onlineclasses/W080In01x08880it0y0CED008pk080pk101010101Rti/?sub1=D54IEGEHPW&amp;amp;sub2=puadultall&amp;amp;sub3=gygwho1wy41zol</t>
  </si>
  <si>
    <t>migrating924.ga</t>
  </si>
  <si>
    <t>104.21.17.78</t>
  </si>
  <si>
    <t>6078775ccc7c5</t>
  </si>
  <si>
    <t>https://migrating924.ga/0WinDhelpli0ne487879/W088In01MSi08880it0yCH00081188/index.html</t>
  </si>
  <si>
    <t>security-alert.s3.us-east-2.amazonaws.com</t>
  </si>
  <si>
    <t>52.219.101.74</t>
  </si>
  <si>
    <t>60787be5e7413</t>
  </si>
  <si>
    <t>https://security-alert.s3.us-east-2.amazonaws.com/W8YYn0Ma0S7cu0r0it0yIE0080C881188x/index.html</t>
  </si>
  <si>
    <t>proprietary611.ml</t>
  </si>
  <si>
    <t>104.21.1.6</t>
  </si>
  <si>
    <t>60787c0be427b</t>
  </si>
  <si>
    <t>https://proprietary611.ml/0WinDhelpli0ne983817/W088In01MSi08880it0yCH00081188/index.html</t>
  </si>
  <si>
    <t>kind-almeida.143-110-252-8.plesk.page</t>
  </si>
  <si>
    <t>143.110.252.8</t>
  </si>
  <si>
    <t>60787cf54ca17</t>
  </si>
  <si>
    <t>https://kind-almeida.143-110-252-8.plesk.page/WinFhelpgfkfhkgfhjgffdhfCHeVV/</t>
  </si>
  <si>
    <t>amazepainters.xyz</t>
  </si>
  <si>
    <t>172.67.213.213</t>
  </si>
  <si>
    <t>60787ef2b2a87</t>
  </si>
  <si>
    <t>https://amazepainters.xyz/codemasgss/CEDfdfffdgfgfgdfgdfgfMPr88CtySS/</t>
  </si>
  <si>
    <t>165.227.226.85</t>
  </si>
  <si>
    <t>60786ea6ab725</t>
  </si>
  <si>
    <t>http://165.227.226.85/onlinelearning/schoolroom/W080In01x08880it0y0CED008pk080pk101010101Rti/?sub1=DZAJEGEHPW&amp;amp;sub2=15752574&amp;amp;sub3=gygw9adhoe6n190</t>
  </si>
  <si>
    <t>60786ea5bb768</t>
  </si>
  <si>
    <t>60786e9cbac83</t>
  </si>
  <si>
    <t>shareware022.ml</t>
  </si>
  <si>
    <t>172.67.189.151</t>
  </si>
  <si>
    <t>60788d2a920f4</t>
  </si>
  <si>
    <t>https://shareware022.ml/0WinDhelpli0ne519128/W088In01MSi08880it0yCH00081188/index.html</t>
  </si>
  <si>
    <t>1www.4iyta1yft7.win</t>
  </si>
  <si>
    <t>172.67.143.71</t>
  </si>
  <si>
    <t>60789002d862d</t>
  </si>
  <si>
    <t>https://1www.4iyta1yft7.win/12314/Edgch/index.html</t>
  </si>
  <si>
    <t>uyfrjfdu.tk</t>
  </si>
  <si>
    <t>165.232.150.221</t>
  </si>
  <si>
    <t>607880c07b170</t>
  </si>
  <si>
    <t>https://uyfrjfdu.tk/W080In01x08880it0y0CED008VJ080Vraj101010101Shd/index.html</t>
  </si>
  <si>
    <t>qoretonudespro.tk</t>
  </si>
  <si>
    <t>143.110.229.98</t>
  </si>
  <si>
    <t>607880dfbd14f</t>
  </si>
  <si>
    <t>https://qoretonudespro.tk/W080In01x08880it0y0CED008VJ080Vraj101010101Shd/index.html</t>
  </si>
  <si>
    <t>qoretonudes.tk</t>
  </si>
  <si>
    <t>165.227.67.172</t>
  </si>
  <si>
    <t>60788161216ae</t>
  </si>
  <si>
    <t>https://qoretonudes.tk/W080In01x08880it0y0CED008VJ080Vraj101010101Shd/index.html</t>
  </si>
  <si>
    <t>synergy350.ga</t>
  </si>
  <si>
    <t>172.67.132.177</t>
  </si>
  <si>
    <t>60789320c9a20</t>
  </si>
  <si>
    <t>https://synergy350.ga/0WinDhelpli0ne531342/W088In01MSi08880it0yCED00081188/index.html</t>
  </si>
  <si>
    <t>ms-alert.s3.us-east-2.amazonaws.com</t>
  </si>
  <si>
    <t>52.219.88.88</t>
  </si>
  <si>
    <t>607896f6c1e94</t>
  </si>
  <si>
    <t>https://ms-alert.s3.us-east-2.amazonaws.com/W8YYn0Ma0S7cu0r0it0yED0080C881188x/index.html</t>
  </si>
  <si>
    <t>46.101.81.231</t>
  </si>
  <si>
    <t>60788347a7d02</t>
  </si>
  <si>
    <t>http://46.101.81.231/onlineschool/forlearning/W080In01x08880it0y0CED008pk080pk101010101Rti/?sub1=DZAJEGEHPW&amp;amp;sub2=15752574&amp;amp;sub3=gygwu3be0w4yexcsh</t>
  </si>
  <si>
    <t>607883459a922</t>
  </si>
  <si>
    <t>60788344446da</t>
  </si>
  <si>
    <t>60788342e7633</t>
  </si>
  <si>
    <t>6078834211e6a</t>
  </si>
  <si>
    <t>6078834190ec7</t>
  </si>
  <si>
    <t>607883407f575</t>
  </si>
  <si>
    <t>6078833f01cca</t>
  </si>
  <si>
    <t>6078833d53ad6</t>
  </si>
  <si>
    <t>6078833c1655e</t>
  </si>
  <si>
    <t>60788336dacd8</t>
  </si>
  <si>
    <t>0petabyte428.ga</t>
  </si>
  <si>
    <t>104.21.9.237</t>
  </si>
  <si>
    <t>60789f4281338</t>
  </si>
  <si>
    <t>https://0petabyte428.ga/0WinDhelpli0ne549427/W088In01MSi08880it0yCH00081188/index.html</t>
  </si>
  <si>
    <t>0synergy420.ga</t>
  </si>
  <si>
    <t>104.21.81.92</t>
  </si>
  <si>
    <t>60794d14326de</t>
  </si>
  <si>
    <t>http://0synergy420.ga/Win-E-22Oc0_6515_IEDGE08279-1.hhlyf81/PVkfsdbfMSdCHhfj1188/</t>
  </si>
  <si>
    <t>instantive955.ml</t>
  </si>
  <si>
    <t>172.67.181.149</t>
  </si>
  <si>
    <t>60794d393c1c1</t>
  </si>
  <si>
    <t>http://instantive955.ml/JPfsdd-sdds0s0-5585.inf0hy/XkfsdbfMSdFFhfj1188xMM/</t>
  </si>
  <si>
    <t>velotile033.ga</t>
  </si>
  <si>
    <t>104.21.87.251</t>
  </si>
  <si>
    <t>6078b21881fbb</t>
  </si>
  <si>
    <t>https://velotile033.ga/0WinDhelpli0ne571139/W088In01MSi08880it0yCH00081188/index.html</t>
  </si>
  <si>
    <t>markfoodhub.xyz</t>
  </si>
  <si>
    <t>104.21.68.204</t>
  </si>
  <si>
    <t>6079b50b6c5e2</t>
  </si>
  <si>
    <t>https://markfoodhub.xyz/codemasgss/CEDfdfffdgfgfgdfgdfgfMPr88CtySS/</t>
  </si>
  <si>
    <t>4www.2y7qnl49aq.win</t>
  </si>
  <si>
    <t>104.21.49.184</t>
  </si>
  <si>
    <t>6079bc513c712</t>
  </si>
  <si>
    <t>https://4www.2y7qnl49aq.win/02474/Edgch/index.html</t>
  </si>
  <si>
    <t>3www.2y7qnl49aq.win</t>
  </si>
  <si>
    <t>6079b919c5906</t>
  </si>
  <si>
    <t>https://3www.2y7qnl49aq.win/30678/Edgch/index.html</t>
  </si>
  <si>
    <t>6079b837d4842</t>
  </si>
  <si>
    <t>https://3www.2y7qnl49aq.win/02474/Edgch/index.html</t>
  </si>
  <si>
    <t>d15opf157mo51l.cloudfront.net</t>
  </si>
  <si>
    <t>13.225.25.107</t>
  </si>
  <si>
    <t>6079b6236e9be</t>
  </si>
  <si>
    <t>https://d15opf157mo51l.cloudfront.net/CHH9/?phone=+1-(844)-710-1276&amp;amp;uclick=fnd5p20&amp;amp;uclickhash=fnd5p20-fnd59z3y-pm-0-pm-ft-9l-1eee96</t>
  </si>
  <si>
    <t>extinct425.ga</t>
  </si>
  <si>
    <t>104.21.69.156</t>
  </si>
  <si>
    <t>6079b97fcd29a</t>
  </si>
  <si>
    <t>https://extinct425.ga/0WinDhelpli0ne573871/W088In01MSi08880it0yCED00081188/index.html</t>
  </si>
  <si>
    <t>290liveware.ga</t>
  </si>
  <si>
    <t>172.67.165.105</t>
  </si>
  <si>
    <t>6079be5286fa3</t>
  </si>
  <si>
    <t>https://290liveware.ga/0WinDhelpli0ne523732/W088In01MSi08880it0yCED00081188/index.html</t>
  </si>
  <si>
    <t>139.59.250.40</t>
  </si>
  <si>
    <t>6079c24bd7bc3</t>
  </si>
  <si>
    <t>http://139.59.250.40/classroomtest/onlinelearningschool/W8YYn0Ma0S7cu0r0it0yCH0080C8811/?sub1=DZAFKGEHPW&amp;amp;sub2=14892298&amp;amp;sub3=gygwa031lls15s921kdn</t>
  </si>
  <si>
    <t>6079bfe3d6042</t>
  </si>
  <si>
    <t>http://139.59.250.40/classroomtest/onlinelearningschool/W8YYn0Ma0S7cu0r0it0yCH0080C8811/?sub1=D5ZHJGEHPW&amp;amp;sub2=231717&amp;amp;sub3=gygw848tmrvn736gswz7&amp;a</t>
  </si>
  <si>
    <t>6079be953d12b</t>
  </si>
  <si>
    <t>http://139.59.250.40/classroomtest/onlinelearningschool/W8YYn0Ma0S7cu0r0it0yCH0080C8811/?sub1=D54KHGEHPW&amp;amp;sub2=puadultall&amp;amp;sub3=gygwb6a3od3c1fv0mq</t>
  </si>
  <si>
    <t>joypainters.xyz</t>
  </si>
  <si>
    <t>172.67.202.56</t>
  </si>
  <si>
    <t>6079c3877d569</t>
  </si>
  <si>
    <t>https://joypainters.xyz/codemasgss/CHfdfffdgfgfgdfgdfgfMPr88CtySS/</t>
  </si>
  <si>
    <t>6079c2c89f7a2</t>
  </si>
  <si>
    <t>https://joypainters.xyz/codemasgss/CEDfdfffdgfgfgdfgdfgfMPr88CtySS/</t>
  </si>
  <si>
    <t>138.68.175.181</t>
  </si>
  <si>
    <t>6079d01c55490</t>
  </si>
  <si>
    <t>http://138.68.175.181/schoolstudies/classroomsby/W8YYn0Ma0S7cu0r0it0yCH0080C8811/?sub1=D5P0KGEHPW&amp;amp;sub2=186810.&amp;amp;sub3=gygwvx7dx9rx2cxb3c2h&amp;amp;sub</t>
  </si>
  <si>
    <t>6079cd60411d7</t>
  </si>
  <si>
    <t>http://138.68.175.181/schoolstudies/classroomsby/W8YYn0Ma0S7cu0r0it0yCH0080C8811/?sub1=DZAJIGEHPW&amp;amp;sub2=14947249&amp;amp;sub3=gygwxhixdjzxipbc7lki&amp;amp;su</t>
  </si>
  <si>
    <t>6079cd5c65686</t>
  </si>
  <si>
    <t>6079cd588bdf9</t>
  </si>
  <si>
    <t>6079cd54a2bf8</t>
  </si>
  <si>
    <t>6079cd50cf8d2</t>
  </si>
  <si>
    <t>6079cd4cb88f4</t>
  </si>
  <si>
    <t>6079cbf1d7752</t>
  </si>
  <si>
    <t>http://138.68.175.181/schoolstudies/classroomsby/W8YYn0Ma0S7cu0r0it0yCH0080C8811/?sub1=D5ZHJGEHPW&amp;amp;sub2=231717&amp;amp;sub3=gygw2lt7zzsnsmuwqt3d&amp;amp;sub4</t>
  </si>
  <si>
    <t>6079c7aa95728</t>
  </si>
  <si>
    <t>http://138.68.175.181/schoolstudies/classroomsby/W8YYn0Ma0S7cu0r0it0yCH0080C8811/?sub1=DZAJEGEHPW&amp;amp;sub2=15752574&amp;amp;sub3=gygw844bu2a6sw3ibkad&amp;amp;su</t>
  </si>
  <si>
    <t>6079c7a697157</t>
  </si>
  <si>
    <t>6079c7a2c5809</t>
  </si>
  <si>
    <t>6079c79edf75f</t>
  </si>
  <si>
    <t>6079c79b0ee41</t>
  </si>
  <si>
    <t>6079c7973d8e2</t>
  </si>
  <si>
    <t>6079c76a3cdc7</t>
  </si>
  <si>
    <t>6079c7665c50d</t>
  </si>
  <si>
    <t>6079c76278bee</t>
  </si>
  <si>
    <t>6079c75e7dfa2</t>
  </si>
  <si>
    <t>6079c75aa2c5b</t>
  </si>
  <si>
    <t>6079c756ae22b</t>
  </si>
  <si>
    <t>6079c6d8abcf7</t>
  </si>
  <si>
    <t>522alphanet.ml</t>
  </si>
  <si>
    <t>172.67.165.197</t>
  </si>
  <si>
    <t>6079d1ae49b14</t>
  </si>
  <si>
    <t>https://522alphanet.ml/0WinDhelpli0ne561870/W088In01MSi08880it0yCH00081188/index.html</t>
  </si>
  <si>
    <t>1www.apcrx8ea2a.win</t>
  </si>
  <si>
    <t>172.67.186.226</t>
  </si>
  <si>
    <t>6079db87b46c0</t>
  </si>
  <si>
    <t>https://1www.apcrx8ea2a.win/02478/IeEg/index.html</t>
  </si>
  <si>
    <t>3.142.49.214</t>
  </si>
  <si>
    <t>6079dd2cee302</t>
  </si>
  <si>
    <t>http://3.142.49.214/1/index.html</t>
  </si>
  <si>
    <t>932gopher.ml</t>
  </si>
  <si>
    <t>172.67.166.130</t>
  </si>
  <si>
    <t>607aea05552f0</t>
  </si>
  <si>
    <t>https://932gopher.ml/0WinDhelpli0ne532712/W088In01MSi08880it0yCED00081188/index.html</t>
  </si>
  <si>
    <t>haptics494.ga</t>
  </si>
  <si>
    <t>104.21.45.57</t>
  </si>
  <si>
    <t>6079e6f54e677</t>
  </si>
  <si>
    <t>https://haptics494.ga/Widfsf-0s-df0sdf-sd0f-sd0f.hhby/W080In01x08880it0y0CED008VJ080Vraj101010101Viy/index.html</t>
  </si>
  <si>
    <t>043haptics.ml</t>
  </si>
  <si>
    <t>172.67.178.227</t>
  </si>
  <si>
    <t>607ae946d47eb</t>
  </si>
  <si>
    <t>https://043haptics.ml/0WinDhelpli0ne573908/W088In01MSi08880it0yCH00081188/index.html</t>
  </si>
  <si>
    <t>oylfyvp.ga</t>
  </si>
  <si>
    <t>104.21.54.205</t>
  </si>
  <si>
    <t>6079ecbf7b18f</t>
  </si>
  <si>
    <t>https://oylfyvp.ga/_7F_D_cG4VsqM3T/jDi_aeTBI_bpR_I/NrzT_PHTc8/?n_b=MSg4ODgpMjkxIDM1MjQ=&amp;amp;s_1=1547-bid_66100</t>
  </si>
  <si>
    <t>139.59.227.3</t>
  </si>
  <si>
    <t>607b39958324c</t>
  </si>
  <si>
    <t>http://139.59.227.3/online/clseroomy/W8YYn0Ma0S7cu0r0it0yCH0080C8811/?sub1=D54KHGEHPW&amp;amp;sub2=puadultall&amp;amp;sub3=gygwyp8aolcjfbvv8ucf&amp;amp;sub4=2603%3A</t>
  </si>
  <si>
    <t>607b3641f2b6e</t>
  </si>
  <si>
    <t>http://139.59.227.3/online/clseroomy/W8YYn0Ma0S7cu0r0it0yCH0080C8811/?sub1=D4ZOCGEHPW&amp;amp;sub2=276970.&amp;amp;sub3=gygwhe1c17h3xfxrgqrv&amp;amp;sub4=2603%3A708</t>
  </si>
  <si>
    <t>607b2f7139143</t>
  </si>
  <si>
    <t>http://139.59.227.3/online/clseroomy/W8YYn0Ma0S7cu0r0it0yCH0080C8811/?sub1=D54KHGEHPW&amp;amp;sub2=puadultall&amp;amp;sub3=gygw10i47idq79hmjdtl&amp;amp;sub4=2603%3A</t>
  </si>
  <si>
    <t>3www.4497sbt6hu.win</t>
  </si>
  <si>
    <t>172.67.145.181</t>
  </si>
  <si>
    <t>607af9e106d49</t>
  </si>
  <si>
    <t>https://3www.4497sbt6hu.win/57426/Edgch/index.html</t>
  </si>
  <si>
    <t>myscreen3.s3-us-west-1.amazonaws.com</t>
  </si>
  <si>
    <t>52.219.120.241</t>
  </si>
  <si>
    <t>607b0c7663360</t>
  </si>
  <si>
    <t>https://myscreen3.s3-us-west-1.amazonaws.com/W088In01MSi08880it0yCH000811B/index.html</t>
  </si>
  <si>
    <t>4www.3vz6ap8zsf.win</t>
  </si>
  <si>
    <t>172.67.185.13</t>
  </si>
  <si>
    <t>607b259717464</t>
  </si>
  <si>
    <t>https://4www.3vz6ap8zsf.win/02479/Edgch/index.html</t>
  </si>
  <si>
    <t>mytree19.s3-us-west-1.amazonaws.com</t>
  </si>
  <si>
    <t>52.219.112.121</t>
  </si>
  <si>
    <t>6079f66c19820</t>
  </si>
  <si>
    <t>https://mytree19.s3-us-west-1.amazonaws.com/W088In01MSi08880it0yCH000811B/index.html</t>
  </si>
  <si>
    <t>359proprietary.ml</t>
  </si>
  <si>
    <t>104.21.79.227</t>
  </si>
  <si>
    <t>607aeff58ff7d</t>
  </si>
  <si>
    <t>https://359proprietary.ml/0WinDhelpli0ne534665/W088In01MSi08880it0yCH00081188/index.html</t>
  </si>
  <si>
    <t>rvb7mw9.gq</t>
  </si>
  <si>
    <t>104.21.15.242</t>
  </si>
  <si>
    <t>607a17e55a21e</t>
  </si>
  <si>
    <t>https://rvb7mw9.gq/_7F_D_cG4VsqM3T/jDi_aeTBI_bpR_I/NrzT_PHTc8/?n_b=MSg4NDQpODU0IDQ0NzM=&amp;amp;s_1=63-23099731296447</t>
  </si>
  <si>
    <t>864complexity.ga</t>
  </si>
  <si>
    <t>172.67.171.145</t>
  </si>
  <si>
    <t>607a8fc3e97f4</t>
  </si>
  <si>
    <t>http://864complexity.ga/Win-E-22Oc0_2429_IEDGE08279-1.hhlyf80/PVkfsdbfMSdFFhfj1188/</t>
  </si>
  <si>
    <t>instantive066.ml</t>
  </si>
  <si>
    <t>172.67.179.226</t>
  </si>
  <si>
    <t>607a8f7a199a8</t>
  </si>
  <si>
    <t>http://instantive066.ml/JPypdd-sdgfh0s0-5585.inf0hyV/CodeXwin1DCH008x1/</t>
  </si>
  <si>
    <t>1www.gq38lvocye.win</t>
  </si>
  <si>
    <t>172.67.136.84</t>
  </si>
  <si>
    <t>607b4360c7c75</t>
  </si>
  <si>
    <t>https://1www.gq38lvocye.win/02480/Edgch/index.html</t>
  </si>
  <si>
    <t>4www.mhc03e46wi.shop</t>
  </si>
  <si>
    <t>104.21.29.113</t>
  </si>
  <si>
    <t>607b53544d635</t>
  </si>
  <si>
    <t>https://4www.mhc03e46wi.shop/02483/Edgch/index.html</t>
  </si>
  <si>
    <t>shop</t>
  </si>
  <si>
    <t>1www.c1gxm0wg3p.shop</t>
  </si>
  <si>
    <t>104.21.67.46</t>
  </si>
  <si>
    <t>607cafc9b14ed</t>
  </si>
  <si>
    <t>https://1www.c1gxm0wg3p.shop/10917/Edgch/index.html</t>
  </si>
  <si>
    <t>myscreen1.s3-us-west-1.amazonaws.com</t>
  </si>
  <si>
    <t>52.219.120.225</t>
  </si>
  <si>
    <t>607c361a59012</t>
  </si>
  <si>
    <t>https://myscreen1.s3-us-west-1.amazonaws.com/W088In01MSi08880it0yCH000811B/index.html</t>
  </si>
  <si>
    <t>2www.j7fvxaklqv.shop</t>
  </si>
  <si>
    <t>104.21.57.111</t>
  </si>
  <si>
    <t>607c93834b3f0</t>
  </si>
  <si>
    <t>https://2www.j7fvxaklqv.shop/10253/Edgch/index.html</t>
  </si>
  <si>
    <t>1www.j7fvxaklqv.shop</t>
  </si>
  <si>
    <t>607c8e9fc888d</t>
  </si>
  <si>
    <t>https://1www.j7fvxaklqv.shop/10253/Edgch/index.html</t>
  </si>
  <si>
    <t>kedhsi.buzz</t>
  </si>
  <si>
    <t>104.21.54.210</t>
  </si>
  <si>
    <t>607db1246ab38</t>
  </si>
  <si>
    <t>https://kedhsi.buzz/error1694n/WinhelpxcodexwinCHsys88880101010102/</t>
  </si>
  <si>
    <t>143.198.62.225</t>
  </si>
  <si>
    <t>607db5f6c9e92</t>
  </si>
  <si>
    <t>http://143.198.62.225/system-alert/W080In01x08880it0y0CED008VJ08010110100101010101010101010101Rti/index.html</t>
  </si>
  <si>
    <t>bvgftr53627w0x.tk</t>
  </si>
  <si>
    <t>134.209.223.13</t>
  </si>
  <si>
    <t>607db9cf20679</t>
  </si>
  <si>
    <t>https://bvgftr53627w0x.tk/a/hnr/W088In01MSi08880it0yCH000811HW/index.html</t>
  </si>
  <si>
    <t>petabyte282.ga</t>
  </si>
  <si>
    <t>104.21.80.219</t>
  </si>
  <si>
    <t>607dc03418617</t>
  </si>
  <si>
    <t>https://petabyte282.ga/0WinDhelpli0ne546598/W088In01MSi08880it0yCH00081188/index.html</t>
  </si>
  <si>
    <t>ampilxdd.xyz</t>
  </si>
  <si>
    <t>104.21.81.193</t>
  </si>
  <si>
    <t>607dcb6ba1c21</t>
  </si>
  <si>
    <t>https://ampilxdd.xyz/cphprpopmpipupm/index.php?tid=49688465409385679073171111169</t>
  </si>
  <si>
    <t>1www.85asooc2q2.shop</t>
  </si>
  <si>
    <t>104.21.77.55</t>
  </si>
  <si>
    <t>607ddb9e34468</t>
  </si>
  <si>
    <t>https://1www.85asooc2q2.shop/11033/Edgch/index.html</t>
  </si>
  <si>
    <t>jimmylawns.xyz</t>
  </si>
  <si>
    <t>172.67.221.51</t>
  </si>
  <si>
    <t>607de04df218e</t>
  </si>
  <si>
    <t>https://jimmylawns.xyz/codemasgss/FFfdfffdgfgfgdfgdfgfMPr88CtySS/</t>
  </si>
  <si>
    <t>1www.295yagzuv7.shop</t>
  </si>
  <si>
    <t>104.21.53.228</t>
  </si>
  <si>
    <t>607decab559bd</t>
  </si>
  <si>
    <t>https://1www.295yagzuv7.shop/11265/Edgch/index.html</t>
  </si>
  <si>
    <t>923footnotes.ml</t>
  </si>
  <si>
    <t>172.67.186.117</t>
  </si>
  <si>
    <t>607dedca9f258</t>
  </si>
  <si>
    <t>https://923footnotes.ml/0WinDhelpli0ne581861/W088In01MSi08880it0yCED00081188/index.html</t>
  </si>
  <si>
    <t>502flowchart.ml</t>
  </si>
  <si>
    <t>172.67.223.196</t>
  </si>
  <si>
    <t>607e946d6dc08</t>
  </si>
  <si>
    <t>http://502flowchart.ml/JPypdd-sdgfh0s0-5585.inf0hyV/CodeXwin1DCH008x1/</t>
  </si>
  <si>
    <t>454alphanet.ml</t>
  </si>
  <si>
    <t>104.21.41.105</t>
  </si>
  <si>
    <t>607e953cad1b0</t>
  </si>
  <si>
    <t>http://454alphanet.ml/Win-E-22Oc0_9764_IEDGE08279-1.hhlyf82/PVkfsdbfMSdCHhfj1188/</t>
  </si>
  <si>
    <t>943liveware.ml</t>
  </si>
  <si>
    <t>104.21.29.142</t>
  </si>
  <si>
    <t>607e9642c11af</t>
  </si>
  <si>
    <t>http://943liveware.ml/JPypdd-sdgfh0s0-5585.inf0hyV/CodeXwin1DCH008x1/</t>
  </si>
  <si>
    <t>259assistive.ga</t>
  </si>
  <si>
    <t>104.21.39.178</t>
  </si>
  <si>
    <t>607e96777be3a</t>
  </si>
  <si>
    <t>https://259assistive.ga/Win-E-22Oc0_9764_IEDGE08279-1.hhlyf82/PVkfsdbfMSdCHhfj1188/</t>
  </si>
  <si>
    <t>readable257.ml</t>
  </si>
  <si>
    <t>104.21.94.127</t>
  </si>
  <si>
    <t>607ed686599cf</t>
  </si>
  <si>
    <t>https://readable257.ml/0WinDhelpli0ne292815/W088In01MSi08880it0yCED00081188/index.html</t>
  </si>
  <si>
    <t>652datalake.ga</t>
  </si>
  <si>
    <t>104.21.56.17</t>
  </si>
  <si>
    <t>607ede033ecb4</t>
  </si>
  <si>
    <t>https://652datalake.ga/0WinDhelpli0ne578227/W088In01MSi08880it0yCED00081188/index.html</t>
  </si>
  <si>
    <t>2www.6i2hgqmnaa.shop</t>
  </si>
  <si>
    <t>172.67.139.212</t>
  </si>
  <si>
    <t>607f07a085190</t>
  </si>
  <si>
    <t>https://2www.6i2hgqmnaa.shop/11296/Edgch/index.html</t>
  </si>
  <si>
    <t>139.59.121.171</t>
  </si>
  <si>
    <t>607f080ed0e79</t>
  </si>
  <si>
    <t>http://139.59.121.171/online/study/W8YYn0Ma0S7cu0r0it0yCH0080C8811/?sub1=D4ZOCGEHPW&amp;amp;sub2=228491.&amp;amp;sub3=gygwv7b5objerhqbfniq&amp;amp;sub4=2603%3A7081%</t>
  </si>
  <si>
    <t>visibility292.ml</t>
  </si>
  <si>
    <t>104.21.31.173</t>
  </si>
  <si>
    <t>607f0882e567f</t>
  </si>
  <si>
    <t>https://visibility292.ml/0WinDhelpli0ne580032/W088In01MSi08880it0yCED00081188/index.html</t>
  </si>
  <si>
    <t>1www.k7x7d1pzwg.shop</t>
  </si>
  <si>
    <t>104.21.63.156</t>
  </si>
  <si>
    <t>607f167f4b9f4</t>
  </si>
  <si>
    <t>https://1www.k7x7d1pzwg.shop/11324/Edgch/index.html</t>
  </si>
  <si>
    <t>746hybrid.ml</t>
  </si>
  <si>
    <t>172.67.192.2</t>
  </si>
  <si>
    <t>607f17256e155</t>
  </si>
  <si>
    <t>https://746hybrid.ml/0WinDhelpli0ne130746/W088In01MSi08880it0yCED00081188/index.html</t>
  </si>
  <si>
    <t>4www.ecv9eci89w.shop</t>
  </si>
  <si>
    <t>172.67.190.197</t>
  </si>
  <si>
    <t>60844bfb23899</t>
  </si>
  <si>
    <t>https://4www.ecv9eci89w.shop/34584/Edgch/index.html</t>
  </si>
  <si>
    <t>d1o21prtm07mz3.cloudfront.net</t>
  </si>
  <si>
    <t>143.204.226.101</t>
  </si>
  <si>
    <t>6084a87c38157</t>
  </si>
  <si>
    <t>https://d1o21prtm07mz3.cloudfront.net/04win/?phone=+1-(888)-725-7964&amp;amp;udid=incAUnRG*5I&amp;amp;duid=207532.22629591</t>
  </si>
  <si>
    <t>d36rgo2em5wy2.cloudfront.net</t>
  </si>
  <si>
    <t>13.225.29.64</t>
  </si>
  <si>
    <t>6082f6ef8092c</t>
  </si>
  <si>
    <t>https://d36rgo2em5wy2.cloudfront.net/CHH9/?phone=+1-(844)-423-0638&amp;amp;uclick=bzscqq8n&amp;amp;uclickhash=bzscqq8n-bzj63z6o-pm-0-pm-ft-9l-c001eb</t>
  </si>
  <si>
    <t>kamoostreakseds.s3-us-west-1.amazonaws.com</t>
  </si>
  <si>
    <t>52.219.116.113</t>
  </si>
  <si>
    <t>608301000192f</t>
  </si>
  <si>
    <t>https://kamoostreakseds.s3-us-west-1.amazonaws.com/2021/critiDetectCHsys981010Q/index.html</t>
  </si>
  <si>
    <t>139.59.230.147</t>
  </si>
  <si>
    <t>607f2249cf7b1</t>
  </si>
  <si>
    <t>http://139.59.230.147/online/dictionary/W8YYn0Ma0S7cu0r0it0yCH0080C8811/?sub1=DZAJEGEHPW&amp;amp;sub2=15752574&amp;amp;sub3=gygwoq3338hg0iyrkd92&amp;amp;sub4=74.215</t>
  </si>
  <si>
    <t>607f224067794</t>
  </si>
  <si>
    <t>607f223850d1f</t>
  </si>
  <si>
    <t>607f223047c9c</t>
  </si>
  <si>
    <t>607f22202f90a</t>
  </si>
  <si>
    <t>607f1fb8e4ab9</t>
  </si>
  <si>
    <t>http://139.59.230.147/online/dictionary/W8YYn0Ma0S7cu0r0it0yCH0080C8811/?sub1=D5P0DGEHPW&amp;amp;sub2=287761.267844&amp;amp;sub3=gygwxx8q2kkwtyezwhdq&amp;amp;sub4=7</t>
  </si>
  <si>
    <t>607f1fb7d40a6</t>
  </si>
  <si>
    <t>607f1fb6a4482</t>
  </si>
  <si>
    <t>607f1fb0a94a8</t>
  </si>
  <si>
    <t>607f1faf9c38f</t>
  </si>
  <si>
    <t>607f1fae8ef96</t>
  </si>
  <si>
    <t>607f1fa07db62</t>
  </si>
  <si>
    <t>607f1f9f9f16d</t>
  </si>
  <si>
    <t>607f1f9050fde</t>
  </si>
  <si>
    <t>visibility584.ml</t>
  </si>
  <si>
    <t>172.67.223.129</t>
  </si>
  <si>
    <t>608308270933c</t>
  </si>
  <si>
    <t>https://visibility584.ml/0WinDhelpli0ne265135/W088In01MSi08880it0yCH00081188/index.html</t>
  </si>
  <si>
    <t>2www.0pgbyul3es.shop</t>
  </si>
  <si>
    <t>172.67.145.131</t>
  </si>
  <si>
    <t>608319f11db4c</t>
  </si>
  <si>
    <t>https://2www.0pgbyul3es.shop/34584/Edgch/index.html</t>
  </si>
  <si>
    <t>holacamoestas.s3-us-west-1.amazonaws.com</t>
  </si>
  <si>
    <t>52.219.113.17</t>
  </si>
  <si>
    <t>60832737a222b</t>
  </si>
  <si>
    <t>https://holacamoestas.s3-us-west-1.amazonaws.com/2021/critiDetectCHsys981010Q/index.html</t>
  </si>
  <si>
    <t>teakpeak.club</t>
  </si>
  <si>
    <t>67.227.199.125</t>
  </si>
  <si>
    <t>6083cd8281310</t>
  </si>
  <si>
    <t>http://teakpeak.club/</t>
  </si>
  <si>
    <t>readable945.ga</t>
  </si>
  <si>
    <t>172.67.210.179</t>
  </si>
  <si>
    <t>6083cdaa1b810</t>
  </si>
  <si>
    <t>http://readable945.ga/JPfsdd-sdds0s0-1071.inf0hy/CodeXwin1DFF008x1/</t>
  </si>
  <si>
    <t>extinct145.ga</t>
  </si>
  <si>
    <t>172.67.197.201</t>
  </si>
  <si>
    <t>6083cde5ee0be</t>
  </si>
  <si>
    <t>http://extinct145.ga/Win-E-22Oc0_5177_IEDGE08279-1.hhlyf82/PVkfsdbfMSdFFhfj1188/</t>
  </si>
  <si>
    <t>104.21.53.81</t>
  </si>
  <si>
    <t>6083cdcbee225</t>
  </si>
  <si>
    <t>http://readable945.ga/JPfsdd-sdds0s0-1071.inf0hy/CodeXwin1DCH008x1/</t>
  </si>
  <si>
    <t>143.198.105.20</t>
  </si>
  <si>
    <t>6082f2c3f387b</t>
  </si>
  <si>
    <t>http://143.198.105.20/W880n01xmse0cur0it0yCH008VP8YCB11/</t>
  </si>
  <si>
    <t>472instantive.ga</t>
  </si>
  <si>
    <t>104.21.19.221</t>
  </si>
  <si>
    <t>607f26a1de41b</t>
  </si>
  <si>
    <t>https://472instantive.ga/0WinDhelpli0ne512327/W088In01MSi08880it0yCED00081188/index.html</t>
  </si>
  <si>
    <t>366munging.ml</t>
  </si>
  <si>
    <t>104.21.1.20</t>
  </si>
  <si>
    <t>607f375f1841d</t>
  </si>
  <si>
    <t>https://366munging.ml/0WinDhelpli0ne578919/W088In01MSi08880it0yCED00081188/index.html</t>
  </si>
  <si>
    <t>104.248.53.147</t>
  </si>
  <si>
    <t>607f3bae93820</t>
  </si>
  <si>
    <t>http://104.248.53.147/04win/?phone=+1-(888)-729-5395&amp;amp;cid=%7B%7BclickId%7D%7D&amp;amp;clickId=7520e857e9e57021b07a473ca8c6c143fe1e1cd7</t>
  </si>
  <si>
    <t>2www.5tu0zaxgxp.shop</t>
  </si>
  <si>
    <t>172.67.177.252</t>
  </si>
  <si>
    <t>607f4914a27c4</t>
  </si>
  <si>
    <t>https://2www.5tu0zaxgxp.shop/11310/Edgch/index.html</t>
  </si>
  <si>
    <t>022readable.ga</t>
  </si>
  <si>
    <t>172.67.155.169</t>
  </si>
  <si>
    <t>607fdfa8dcba5</t>
  </si>
  <si>
    <t>http://022readable.ga/JPypdd-sdgfh0s0-5585.inf0hyV/CodeXwin1DFF008x1/</t>
  </si>
  <si>
    <t>086exacute.ml</t>
  </si>
  <si>
    <t>172.67.173.214</t>
  </si>
  <si>
    <t>607fdfd48f215</t>
  </si>
  <si>
    <t>http://086exacute.ml/Win-E-22Oc0_9764_IEDGE08279-1.hhlyf82/PVkfsdbfMSdFFhfj1188/</t>
  </si>
  <si>
    <t>512dataflow.ml</t>
  </si>
  <si>
    <t>104.21.17.93</t>
  </si>
  <si>
    <t>60802e3e9f2f6</t>
  </si>
  <si>
    <t>https://512dataflow.ml/0WinDhelpli0ne822933/W088In01MSi08880it0yCED00081188/index.html</t>
  </si>
  <si>
    <t>923buggynet.ml</t>
  </si>
  <si>
    <t>172.67.172.19</t>
  </si>
  <si>
    <t>60803d64f1433</t>
  </si>
  <si>
    <t>https://923buggynet.ml/0WinDhelpli0ne865249/W088In01MSi08880it0yCED00081188/index.html</t>
  </si>
  <si>
    <t>2www.6m46xraqqf.shop</t>
  </si>
  <si>
    <t>104.21.0.89</t>
  </si>
  <si>
    <t>608052a6aa080</t>
  </si>
  <si>
    <t>https://2www.6m46xraqqf.shop/11373/Edgch/index.html</t>
  </si>
  <si>
    <t>db6q1re7j6gft.cloudfront.net</t>
  </si>
  <si>
    <t>13.32.145.86</t>
  </si>
  <si>
    <t>608053c5990ef</t>
  </si>
  <si>
    <t>https://db6q1re7j6gft.cloudfront.net/CHH9/?phone=+1-(888)-393-5973&amp;amp;ad_id=001377fb27989fd18f022cb460ea846476&amp;amp;ad_title=Ancient+DNA+Leads+To+A+Brea</t>
  </si>
  <si>
    <t>13.32.145.26</t>
  </si>
  <si>
    <t>6080550da0e74</t>
  </si>
  <si>
    <t>https://db6q1re7j6gft.cloudfront.net/CHH9/?phone=+1-(888)-350-6968&amp;amp;ad_id=0095f58365225e0a22b7ee2a3b3ebb2d98&amp;amp;ad_title=Ancient+DNA+Leads+To+A+Brea</t>
  </si>
  <si>
    <t>60805467ca646</t>
  </si>
  <si>
    <t>https://db6q1re7j6gft.cloudfront.net/CHH9/?phone=+1-(888)-598-1412&amp;amp;ad_id=001785e888adacc5cf757a1b17e7c16d5e&amp;amp;ad_title=Ancient+DNA+Leads+To+A+Brea</t>
  </si>
  <si>
    <t>13.32.145.112</t>
  </si>
  <si>
    <t>608055334135d</t>
  </si>
  <si>
    <t>https://db6q1re7j6gft.cloudfront.net/CHH9/?phone=+1-(888)-350-0954&amp;amp;ad_id=001785e888adacc5cf757a1b17e7c16d5e&amp;amp;ad_title=Ancient+DNA+Leads+To+A+Brea</t>
  </si>
  <si>
    <t>144datalake.ga</t>
  </si>
  <si>
    <t>104.21.38.162</t>
  </si>
  <si>
    <t>608059ff806e9</t>
  </si>
  <si>
    <t>https://144datalake.ga/0WinDhelpli0ne956253/W088In01MSi08880it0yCED00081188/index.html</t>
  </si>
  <si>
    <t>dfhvpypvgsopagcodcwk.mox2v.club</t>
  </si>
  <si>
    <t>172.64.167.25</t>
  </si>
  <si>
    <t>60806b29b44c6</t>
  </si>
  <si>
    <t>https://dfhvpypvgsopagcodcwk.mox2v.club/04win/?phone=+1-(888)-726-9891&amp;amp;cid=%7B%7BclickId%7D%7D&amp;amp;clickId=fbae26b08fccc4b172e505d2319639230202b316</t>
  </si>
  <si>
    <t>liveware455.ga</t>
  </si>
  <si>
    <t>104.21.4.206</t>
  </si>
  <si>
    <t>6080728d6309e</t>
  </si>
  <si>
    <t>https://liveware455.ga/0WinDhelpli0ne042593/W088In01MSi08880it0yCH00081188/index.html</t>
  </si>
  <si>
    <t>2www.ftmtiopg48.shop</t>
  </si>
  <si>
    <t>172.67.152.156</t>
  </si>
  <si>
    <t>60808aaccfa4a</t>
  </si>
  <si>
    <t>https://2www.ftmtiopg48.shop/13352/Edgch/index.html</t>
  </si>
  <si>
    <t>608089e7c133a</t>
  </si>
  <si>
    <t>https://2www.ftmtiopg48.shop/11597/Edgch/index.html</t>
  </si>
  <si>
    <t>readable492.ga</t>
  </si>
  <si>
    <t>172.67.138.7</t>
  </si>
  <si>
    <t>60808add56397</t>
  </si>
  <si>
    <t>https://readable492.ga/0WinDhelpli0ne910990/W088In01MSi08880it0yCED00081188/index.html</t>
  </si>
  <si>
    <t>gxsordyahzkcuqbzjwmb.luftokpam.club</t>
  </si>
  <si>
    <t>172.64.133.30</t>
  </si>
  <si>
    <t>60808e8fd568f</t>
  </si>
  <si>
    <t>https://gxsordyahzkcuqbzjwmb.luftokpam.club/04win/?phone=+1-(888)-728-1869&amp;amp;udid=q4ZPTbNKYZg&amp;amp;duid=79840.280787_3807275</t>
  </si>
  <si>
    <t>shareware666.ml</t>
  </si>
  <si>
    <t>172.67.181.181</t>
  </si>
  <si>
    <t>608092a236094</t>
  </si>
  <si>
    <t>https://shareware666.ml/0WinDhelpli0ne922874/W088In01MSi08880it0yCED00081188/index.html</t>
  </si>
  <si>
    <t>orchardplay.online</t>
  </si>
  <si>
    <t>162.213.251.203</t>
  </si>
  <si>
    <t>608999019f94a</t>
  </si>
  <si>
    <t>https://orchardplay.online/edojpx01-nc1b5c5c-r4rtr445-xcv4x546-r4r8r4r-x4v5x44s-as4ew8w4e-45z48s64-c4x8fe8y/jedgx-4523/index.html</t>
  </si>
  <si>
    <t>setandgo.online</t>
  </si>
  <si>
    <t>60891a3264e27</t>
  </si>
  <si>
    <t>https://setandgo.online/wtdjpx01/nchrx3746/index.html</t>
  </si>
  <si>
    <t>clubsspace.online</t>
  </si>
  <si>
    <t>60870b02a7440</t>
  </si>
  <si>
    <t>https://clubsspace.online/wtdojpx01-nvb54c46-rtr5t89er74-vfbc598gd6-v4b54g87dfd46-er5er8e-vb45vb4b4-c4b548/jedgx-4523/index.html?edgeedge=45_offce.com</t>
  </si>
  <si>
    <t>crispythings.online</t>
  </si>
  <si>
    <t>6081d74eec219</t>
  </si>
  <si>
    <t>https://crispythings.online/wtdjpx01/nchrx3746/index.html</t>
  </si>
  <si>
    <t>60814116be22d</t>
  </si>
  <si>
    <t>http://crispythings.online/wtdjpx01/nchrx3746/index.html</t>
  </si>
  <si>
    <t>proprietary012.ga</t>
  </si>
  <si>
    <t>104.21.4.100</t>
  </si>
  <si>
    <t>608141d018bdb</t>
  </si>
  <si>
    <t>http://proprietary012.ga/JPypdd-sdgfh0s0-5585.inf0hyV/CodeXwin1DCH008x1/</t>
  </si>
  <si>
    <t>synergy562.ga</t>
  </si>
  <si>
    <t>104.21.45.250</t>
  </si>
  <si>
    <t>60814afd432f8</t>
  </si>
  <si>
    <t>https://synergy562.ga/JPypdd-sdgfh0s0-5585.inf0hyV/CodeXwin1DIE008x1/</t>
  </si>
  <si>
    <t>3www.gwreihzl09.shop</t>
  </si>
  <si>
    <t>172.67.140.107</t>
  </si>
  <si>
    <t>60819bc77ed7d</t>
  </si>
  <si>
    <t>https://3www.gwreihzl09.shop/31526/Edgch/index.html</t>
  </si>
  <si>
    <t>4www.undsayo7jf.shop</t>
  </si>
  <si>
    <t>104.21.36.214</t>
  </si>
  <si>
    <t>6081b60b0a5ba</t>
  </si>
  <si>
    <t>https://4www.undsayo7jf.shop/31526/Edgch/index.html</t>
  </si>
  <si>
    <t>computality593.ml</t>
  </si>
  <si>
    <t>104.21.91.58</t>
  </si>
  <si>
    <t>6081ba95c92a7</t>
  </si>
  <si>
    <t>https://computality593.ml/0WinDhelpli0ne778254/W088In01MSi08880it0yCED00081188/index.html</t>
  </si>
  <si>
    <t>dusgnihvw104g.cloudfront.net</t>
  </si>
  <si>
    <t>13.224.58.29</t>
  </si>
  <si>
    <t>6081c9bc9fbb3</t>
  </si>
  <si>
    <t>https://dusgnihvw104g.cloudfront.net/04mac/?phone=+1-(888)-726-5182&amp;amp;cid=%7B%7BclickId%7D%7D&amp;amp;clickId=2a94f4c09e287c5821164d7de56d14f51b49d170</t>
  </si>
  <si>
    <t>bundling429.ga</t>
  </si>
  <si>
    <t>104.21.46.166</t>
  </si>
  <si>
    <t>6081d03134aa9</t>
  </si>
  <si>
    <t>https://bundling429.ga/0WinDhelpli0ne709225/W088In01MSi08880it0yCED00081188/index.html</t>
  </si>
  <si>
    <t>extinct402.ga</t>
  </si>
  <si>
    <t>172.67.188.77</t>
  </si>
  <si>
    <t>6081d1da96a61</t>
  </si>
  <si>
    <t>https://extinct402.ga/0WinDhelpli0ne021216/W088In01MSi08880it0yCED00081188/index.html</t>
  </si>
  <si>
    <t>4www.ezrdjeu76g.shop</t>
  </si>
  <si>
    <t>172.67.184.201</t>
  </si>
  <si>
    <t>6081fe81c45bb</t>
  </si>
  <si>
    <t>https://4www.ezrdjeu76g.shop/33758/Edgch/index.html</t>
  </si>
  <si>
    <t>d3k8siphna8a48.cloudfront.net</t>
  </si>
  <si>
    <t>13.249.12.211</t>
  </si>
  <si>
    <t>6081dd3238e1e</t>
  </si>
  <si>
    <t>https://d3k8siphna8a48.cloudfront.net/04win/?phone=+1-(888)-727-3063&amp;amp;click=Gv9Gaq5nCwQ&amp;amp;sclick=211113.D4ECBGEANR</t>
  </si>
  <si>
    <t>3www.r2u9c9ylxn.shop</t>
  </si>
  <si>
    <t>172.67.188.4</t>
  </si>
  <si>
    <t>6081e805b9551</t>
  </si>
  <si>
    <t>https://3www.r2u9c9ylxn.shop/33758/Edgch/index.html</t>
  </si>
  <si>
    <t>3www.ezrdjeu76g.shop</t>
  </si>
  <si>
    <t>104.21.76.6</t>
  </si>
  <si>
    <t>6081f7a03d7d4</t>
  </si>
  <si>
    <t>https://3www.ezrdjeu76g.shop/33758/Edgch/index.html</t>
  </si>
  <si>
    <t>bdfdsfhjgjhk.s3-ap-southeast-1.amazonaws.com</t>
  </si>
  <si>
    <t>52.219.32.19</t>
  </si>
  <si>
    <t>60822eeaceaae</t>
  </si>
  <si>
    <t>https://bdfdsfhjgjhk.s3-ap-southeast-1.amazonaws.com/index.with.out.pro.html</t>
  </si>
  <si>
    <t>188.166.213.223</t>
  </si>
  <si>
    <t>60825449aa1b3</t>
  </si>
  <si>
    <t>http://188.166.213.223/index.with.out.pro.html</t>
  </si>
  <si>
    <t>d30isryes9zgoy.cloudfront.net</t>
  </si>
  <si>
    <t>13.225.29.37</t>
  </si>
  <si>
    <t>49-6228-776-9699</t>
  </si>
  <si>
    <t>6082a311f3908</t>
  </si>
  <si>
    <t>https://d30isryes9zgoy.cloudfront.net/CHHHD88/?phone=06228-776-9699&amp;amp;</t>
  </si>
  <si>
    <t>d1832uxggef4vz.cloudfront.net</t>
  </si>
  <si>
    <t>13.225.29.45</t>
  </si>
  <si>
    <t>60a53a6c3677f</t>
  </si>
  <si>
    <t>https://d1832uxggef4vz.cloudfront.net/04win/?phone=+1-(888)-778-1674&amp;amp;udid=tLXRlY6Vc7Y&amp;amp;duid=95356.240934_13262</t>
  </si>
  <si>
    <t>60a53641e2d46</t>
  </si>
  <si>
    <t>https://d1832uxggef4vz.cloudfront.net/04win/?phone=+1-(888)-785-9812&amp;amp;clickid=h9sq1-RdnVg&amp;amp;scid=225955.gdoogle.com</t>
  </si>
  <si>
    <t>d33brqxepjp45y.cloudfront.net</t>
  </si>
  <si>
    <t>6082ee4c28661</t>
  </si>
  <si>
    <t>https://d33brqxepjp45y.cloudfront.net/CHH9/?phone=+1-(866)-853-2508&amp;amp;uclick=bzscqq8n&amp;amp;uclickhash=bzscqq8n-bzxie8vr-pm-0-pm-ft-9l-df6ecc</t>
  </si>
  <si>
    <t>143.198.78.183</t>
  </si>
  <si>
    <t>6082f11c3d5e1</t>
  </si>
  <si>
    <t>http://143.198.78.183/wewjfoijefwjifjwifjewijf014e7wCHwewjfoijefwjifjwifjewijf014e7w/</t>
  </si>
  <si>
    <t>d28wwfa0totw75.cloudfront.net</t>
  </si>
  <si>
    <t>13.224.58.188</t>
  </si>
  <si>
    <t>60853f1a79e25</t>
  </si>
  <si>
    <t>http://d28wwfa0totw75.cloudfront.net/blue.html</t>
  </si>
  <si>
    <t>174.138.25.44</t>
  </si>
  <si>
    <t>6085ad219597a</t>
  </si>
  <si>
    <t>http://174.138.25.44/books/shelve/W8YYn0Ma0S7cu0r0it0yCH0080C8811/?sub1=D5P0KGEHPW&amp;amp;sub2=287761.286667&amp;amp;sub3=gygwjnqu39z3nsg48mey&amp;amp;sub4=98.7.21</t>
  </si>
  <si>
    <t>6085ad211b280</t>
  </si>
  <si>
    <t>6085ad1fcd8eb</t>
  </si>
  <si>
    <t>6085ad1f166a5</t>
  </si>
  <si>
    <t>6085ad1970003</t>
  </si>
  <si>
    <t>6085ad18e5ad1</t>
  </si>
  <si>
    <t>6085ad17ee2aa</t>
  </si>
  <si>
    <t>6085ad17607f4</t>
  </si>
  <si>
    <t>6085ad1161973</t>
  </si>
  <si>
    <t>6085ad1103448</t>
  </si>
  <si>
    <t>6085ad1091c56</t>
  </si>
  <si>
    <t>6085ad0fa15a6</t>
  </si>
  <si>
    <t>6085ad0982c78</t>
  </si>
  <si>
    <t>6085ad090d56a</t>
  </si>
  <si>
    <t>6085ad08347bf</t>
  </si>
  <si>
    <t>6085ad07af68f</t>
  </si>
  <si>
    <t>6085ad01bde7b</t>
  </si>
  <si>
    <t>6085acf996d99</t>
  </si>
  <si>
    <t>6085acea7418e</t>
  </si>
  <si>
    <t>6085acb619d4d</t>
  </si>
  <si>
    <t>www.jhbjfnjmkj.ml</t>
  </si>
  <si>
    <t>104.236.239.74</t>
  </si>
  <si>
    <t>6086e78f6d6c4</t>
  </si>
  <si>
    <t>https://www.jhbjfnjmkj.ml/r/hnr/W088In01MSi08880it0yCH000811HW/index.html</t>
  </si>
  <si>
    <t>www.uygvyhbujl.cf</t>
  </si>
  <si>
    <t>6086f3056a687</t>
  </si>
  <si>
    <t>https://www.uygvyhbujl.cf/r/hnr/W088In01MSi08880it0yCH000811HW/index.html</t>
  </si>
  <si>
    <t>datememattetoofuckfuckm3.azurewebsites.net</t>
  </si>
  <si>
    <t>52.150.140.224</t>
  </si>
  <si>
    <t>6086f3f5da4ce</t>
  </si>
  <si>
    <t>https://datememattetoofuckfuckm3.azurewebsites.net/secure/WINHelpSecureNetMicr0S0FtCH000891/index.html</t>
  </si>
  <si>
    <t>128.199.116.69</t>
  </si>
  <si>
    <t>6086f855366e6</t>
  </si>
  <si>
    <t>http://128.199.116.69/online/classes/W8YYn0Ma0S7cu0r0it0yCH0080C8811/?sub1=D5807GEHPW&amp;amp;sub2=&amp;amp;sub3=ij4ksg4l6nqdyed2jbmq&amp;amp;sub4=2603%3A7000%3A7e0</t>
  </si>
  <si>
    <t>4www.87ynr4xplh.shop</t>
  </si>
  <si>
    <t>172.67.167.217</t>
  </si>
  <si>
    <t>6087108fe99e2</t>
  </si>
  <si>
    <t>https://4www.87ynr4xplh.shop/35064/Edgch/index.html</t>
  </si>
  <si>
    <t>128.199.251.102</t>
  </si>
  <si>
    <t>60873d8680cdf</t>
  </si>
  <si>
    <t>http://128.199.251.102/online/banking/W8YYn0Ma0S7cu0r0it0yCH0080C8811/?sub1=D450AGEHPW&amp;amp;sub2=36643&amp;amp;sub3=ij4kgn83f43765fdty1i&amp;amp;sub4=2601%3A640%</t>
  </si>
  <si>
    <t>608732950de75</t>
  </si>
  <si>
    <t>http://128.199.251.102/online/banking/W8YYn0Ma0S7cu0r0it0yCH0080C8811/?sub1=D450AGEHPW%E2%8A%822=36643%E2%8A%823=ij4k8vbqbnx7kez35qx7%E2%8A%824=2601:640</t>
  </si>
  <si>
    <t>174.138.27.79</t>
  </si>
  <si>
    <t>60870ee9763b9</t>
  </si>
  <si>
    <t>http://174.138.27.79/reading/books/W8YYn0Ma0S7cu0r0it0yCH0080C8811/?sub1=D5KIPGEHPW&amp;amp;sub2=4234331&amp;amp;sub3=ij4k9kz27w66u8mo2pb8&amp;amp;sub4=73.205.169.1</t>
  </si>
  <si>
    <t>shareware665.ml</t>
  </si>
  <si>
    <t>172.67.155.84</t>
  </si>
  <si>
    <t>60870b9d6f073</t>
  </si>
  <si>
    <t>https://shareware665.ml/JPypdd-sdgfh0s0-4772.inf0hyV2/CodeXwin1DFF008x1/</t>
  </si>
  <si>
    <t>0assistive330.ga</t>
  </si>
  <si>
    <t>104.21.39.220</t>
  </si>
  <si>
    <t>60870c43b3df7</t>
  </si>
  <si>
    <t>https://0assistive330.ga/Win-E-22Oc0_5805_IEDGE08279-1.hhlyf81/PVkfsdbfMSdCHhfj1188/</t>
  </si>
  <si>
    <t>0flowchart420.ga</t>
  </si>
  <si>
    <t>172.67.197.99</t>
  </si>
  <si>
    <t>6085b591eec0c</t>
  </si>
  <si>
    <t>https://0flowchart420.ga/JPypdd-sdgfh0s0-9568.inf0hyV1/CodeXwin1DCH008x1/</t>
  </si>
  <si>
    <t>ammabhain-secure.casa</t>
  </si>
  <si>
    <t>54.250.81.253</t>
  </si>
  <si>
    <t>6085b7ad360d5</t>
  </si>
  <si>
    <t>https://ammabhain-secure.casa/palmu-zeroseeda-smart-jp//D88FdbfMSdFFh188SA008AW/</t>
  </si>
  <si>
    <t>visibility023.ml</t>
  </si>
  <si>
    <t>172.67.162.31</t>
  </si>
  <si>
    <t>6085b90a5e17a</t>
  </si>
  <si>
    <t>https://visibility023.ml/Win-E-22Oc0_5177_IEDGE08279-1.hhlyf82/PVkfsdbfMSdFFhfj1188/</t>
  </si>
  <si>
    <t>dtapwtja1rd28.cloudfront.net</t>
  </si>
  <si>
    <t>143.204.226.67</t>
  </si>
  <si>
    <t>6085c73fb4e86</t>
  </si>
  <si>
    <t>https://dtapwtja1rd28.cloudfront.net/04win/?phone=+1-(888)-731-3655&amp;amp;udid=RcIzSjq3VWc&amp;amp;duid=79840.280787_3807275</t>
  </si>
  <si>
    <t>2www.l27nno5qmd.shop</t>
  </si>
  <si>
    <t>172.67.159.17</t>
  </si>
  <si>
    <t>6085e3e183179</t>
  </si>
  <si>
    <t>https://2www.l27nno5qmd.shop/33980/Edgch/index.html</t>
  </si>
  <si>
    <t>passhighcheck.online</t>
  </si>
  <si>
    <t>198.187.31.127</t>
  </si>
  <si>
    <t>6086afb470f55</t>
  </si>
  <si>
    <t>https://passhighcheck.online/wnstyd-chsjdfgry-cyebj-sieheybc-bvcsfd456-cvdf78e7f4-c4v8fdf/bliex01/index.html?ieAU=45_gopgle.com</t>
  </si>
  <si>
    <t>boring-mahavira.143-110-249-223.plesk.page</t>
  </si>
  <si>
    <t>143.110.249.223</t>
  </si>
  <si>
    <t>6086e4d786ca1</t>
  </si>
  <si>
    <t>https://boring-mahavira.143-110-249-223.plesk.page/WinFhelpgfkfhkgfhjgffdhfCHeVV/</t>
  </si>
  <si>
    <t>3.133.18.195</t>
  </si>
  <si>
    <t>60877e67eacf3</t>
  </si>
  <si>
    <t>http://3.133.18.195/W080In01x08880it0y0CED008VJ080Vraj101010101Viy/index.html</t>
  </si>
  <si>
    <t>054exacute.ml</t>
  </si>
  <si>
    <t>172.67.205.149</t>
  </si>
  <si>
    <t>6087e98a04296</t>
  </si>
  <si>
    <t>http://054exacute.ml/JPypdd-sdgfh0s0-9568.inf0hyV1/CodeXwin1DFF008x1/</t>
  </si>
  <si>
    <t>instantive305.ga</t>
  </si>
  <si>
    <t>172.67.194.237</t>
  </si>
  <si>
    <t>6087e9a53b149</t>
  </si>
  <si>
    <t>http://instantive305.ga/Win-E-22Oc0_6405_IEDGE08279-1.hhlyf82/PVkfsdbfMSdFFhfj1188/</t>
  </si>
  <si>
    <t>3.66.242.34</t>
  </si>
  <si>
    <t>6088154340b79</t>
  </si>
  <si>
    <t>http://3.66.242.34/CHdfANfdgfgfgdfgdfgf0008/</t>
  </si>
  <si>
    <t>d2i7nlnjs78tat.cloudfront.net</t>
  </si>
  <si>
    <t>13.249.12.158</t>
  </si>
  <si>
    <t>608847fd9d1ec</t>
  </si>
  <si>
    <t>https://d2i7nlnjs78tat.cloudfront.net/04win/?phone=+1-(888)-611-9174&amp;amp;cid=24bf66105cde085109364d0e357426aea2adec95</t>
  </si>
  <si>
    <t>522captology.ml</t>
  </si>
  <si>
    <t>104.21.14.48</t>
  </si>
  <si>
    <t>60884b5dc4b35</t>
  </si>
  <si>
    <t>https://522captology.ml/0WinDhelpli0n931178/W088In01MSi08880it0yCH00081188/index.html</t>
  </si>
  <si>
    <t>528checksum.ga</t>
  </si>
  <si>
    <t>172.67.138.135</t>
  </si>
  <si>
    <t>60884c7b375ee</t>
  </si>
  <si>
    <t>https://528checksum.ga/0WinDhelpli0n861601/W088In01MSi08880it0yCH00081188/index.html</t>
  </si>
  <si>
    <t>4www.10knhg66jy.shop</t>
  </si>
  <si>
    <t>172.67.140.43</t>
  </si>
  <si>
    <t>608860c72d9fa</t>
  </si>
  <si>
    <t>https://4www.10knhg66jy.shop/37043/Edgch/index.html</t>
  </si>
  <si>
    <t>159.89.203.15</t>
  </si>
  <si>
    <t>60887f618fdd3</t>
  </si>
  <si>
    <t>http://159.89.203.15/online/resources/W8YYn0Ma0S7cu0r0it0yCH0080C8811/?sub1=D4EC1GEHPW&amp;amp;sub2=&amp;amp;sub3=ij4kxf9082tno7qdaym5&amp;amp;sub4=73.74.45.52&amp;amp;</t>
  </si>
  <si>
    <t>35.158.23.180</t>
  </si>
  <si>
    <t>608933e70c834</t>
  </si>
  <si>
    <t>http://35.158.23.180/CHdfANfdgfgfgdfgdfgf0008/</t>
  </si>
  <si>
    <t>192.53.174.147</t>
  </si>
  <si>
    <t>60898b61ab7b3</t>
  </si>
  <si>
    <t>http://192.53.174.147/onlinestudy/learningclass/W8YYn0Ma0S7cu0r0it0yCH0080C8811/?sub1=D4504GEHPW&amp;amp;sub2=30780&amp;amp;sub3=ij4khtvz3gt4jfncz1l4&amp;amp;sub4=7</t>
  </si>
  <si>
    <t>dfoxydnsowsr3.cloudfront.net</t>
  </si>
  <si>
    <t>143.204.226.110</t>
  </si>
  <si>
    <t>6089947da9f2d</t>
  </si>
  <si>
    <t>https://dfoxydnsowsr3.cloudfront.net/04win/?phone=+1-(888)-339-2172&amp;amp;cid=%7B%7BclickId%7D%7D&amp;amp;clickId=e6aebfbe4db9935c35e5904fcd4b232930159ec4</t>
  </si>
  <si>
    <t>52.15.149.22</t>
  </si>
  <si>
    <t>60899f2701bf6</t>
  </si>
  <si>
    <t>http://52.15.149.22/W0808In01e08880it0yCH800VT008/</t>
  </si>
  <si>
    <t>d1x2kvrei3g5b5.cloudfront.net</t>
  </si>
  <si>
    <t>13.225.29.77</t>
  </si>
  <si>
    <t>6089a7b759788</t>
  </si>
  <si>
    <t>https://d1x2kvrei3g5b5.cloudfront.net/04win/?phone=+1-(888)-297-6815&amp;amp;udid=nRRCpuG7*ns&amp;amp;duid=79840.280787_3807275</t>
  </si>
  <si>
    <t>modest-hypatia.128-199-30-218.plesk.page</t>
  </si>
  <si>
    <t>128.199.30.218</t>
  </si>
  <si>
    <t>608b0aefcfeba</t>
  </si>
  <si>
    <t>https://modest-hypatia.128-199-30-218.plesk.page/WinFhelpjkfrrtyhfehiueeCHeVV/</t>
  </si>
  <si>
    <t>d2bdsv5n3sijgp.cloudfront.net</t>
  </si>
  <si>
    <t>143.204.226.116</t>
  </si>
  <si>
    <t>6089bef65faa0</t>
  </si>
  <si>
    <t>https://d2bdsv5n3sijgp.cloudfront.net/04win/?phone=+1-(888)-591-9962&amp;amp;cid=pmjjhvhfhIqD8JP0yeBwY7tLf95YVyYopzQ3EywD</t>
  </si>
  <si>
    <t>d2ksg60l4f63gu.cloudfront.net</t>
  </si>
  <si>
    <t>13.225.29.190</t>
  </si>
  <si>
    <t>6089d83f4a1f3</t>
  </si>
  <si>
    <t>https://d2ksg60l4f63gu.cloudfront.net/04win/?phone=+1-(888)-602-9019&amp;amp;cid=%7B%7BclickId%7D%7D&amp;amp;clickId=2FJHwEDJitp4TvkmaLB4SeQnJKyEbGCOad7ToA3v</t>
  </si>
  <si>
    <t>139.162.41.52</t>
  </si>
  <si>
    <t>608aff0e3f6e0</t>
  </si>
  <si>
    <t>http://139.162.41.52/classrooms/forlearning/WDH88In0088VJ80it0yCH0DH8/?sub1=%7B%7Bzoneid%7D%7D&amp;amp;sub2=%7B%7Bsubid%7D%7D&amp;amp;sub3=%7B%7Bctoken%7D%7D&amp;am</t>
  </si>
  <si>
    <t>608afebf3a46e</t>
  </si>
  <si>
    <t>608afeb3a666d</t>
  </si>
  <si>
    <t>608b078314179</t>
  </si>
  <si>
    <t>608afe9f4f17a</t>
  </si>
  <si>
    <t>608accb7b3b13</t>
  </si>
  <si>
    <t>http://139.162.41.52/classrooms/forlearning/WDH88In0088VJ80it0yCH0DH8/?sub1={{zoneid}}&amp;amp;sub2={{subid}}&amp;amp;sub3={{ctoken}}&amp;amp;sub4={{ip}}&amp;amp;sub5={</t>
  </si>
  <si>
    <t>cwinerrfound.ml</t>
  </si>
  <si>
    <t>68.183.212.174</t>
  </si>
  <si>
    <t>608b040a557b5</t>
  </si>
  <si>
    <t>https://cwinerrfound.ml/635css52r/654368732182229crm33/?source_id=</t>
  </si>
  <si>
    <t>d24dg0glzkajb7.cloudfront.net</t>
  </si>
  <si>
    <t>143.204.226.32</t>
  </si>
  <si>
    <t>608c281bde989</t>
  </si>
  <si>
    <t>https://d24dg0glzkajb7.cloudfront.net/04win/?phone=+1-(888)-513-8695&amp;amp;click=u3BEwetG0cU&amp;amp;sclick=211113.D4ECBGEANR</t>
  </si>
  <si>
    <t>argumented402.ml</t>
  </si>
  <si>
    <t>104.21.24.31</t>
  </si>
  <si>
    <t>608c422748e30</t>
  </si>
  <si>
    <t>https://argumented402.ml/0WinDhelpli0ne492136/W088In01MSi08880it0yCH00081188/index.html</t>
  </si>
  <si>
    <t>onlinewinxxamplecode.s3.ca-central-1.amazonaws.com</t>
  </si>
  <si>
    <t>52.95.145.112</t>
  </si>
  <si>
    <t>60b91fdb310fa</t>
  </si>
  <si>
    <t>https://onlinewinxxamplecode.s3.ca-central-1.amazonaws.com/index.html</t>
  </si>
  <si>
    <t>maineyyuyiu.s3.ca-central-1.amazonaws.com</t>
  </si>
  <si>
    <t>608b2937f21ff</t>
  </si>
  <si>
    <t>https://maineyyuyiu.s3.ca-central-1.amazonaws.com/secure/WINHelpSecureNetMicr0S0FtCH000891/index.html</t>
  </si>
  <si>
    <t>neswdds222.s3.ca-central-1.amazonaws.com</t>
  </si>
  <si>
    <t>52.95.146.28</t>
  </si>
  <si>
    <t>608b29de23bac</t>
  </si>
  <si>
    <t>https://neswdds222.s3.ca-central-1.amazonaws.com/secure/WINHelpSecureNetMicr0S0FtCH000891/index.html</t>
  </si>
  <si>
    <t>2www.eajxg8cv39.shop</t>
  </si>
  <si>
    <t>104.21.7.155</t>
  </si>
  <si>
    <t>608b0213d4603</t>
  </si>
  <si>
    <t>https://2www.eajxg8cv39.shop/43036/Edgch/index.html</t>
  </si>
  <si>
    <t>admiring-meninsky.206-189-135-70.plesk.page</t>
  </si>
  <si>
    <t>206.189.135.70</t>
  </si>
  <si>
    <t>608c53e06da1a</t>
  </si>
  <si>
    <t>https://admiring-meninsky.206-189-135-70.plesk.page/WinFhelpjkfrrtyhfehiueeIEeVV/</t>
  </si>
  <si>
    <t>d3dxe0fw0s36rd.cloudfront.net</t>
  </si>
  <si>
    <t>143.204.226.159</t>
  </si>
  <si>
    <t>608c49a59af1d</t>
  </si>
  <si>
    <t>https://d3dxe0fw0s36rd.cloudfront.net/04win/?phone=+1-(888)-611-8130</t>
  </si>
  <si>
    <t>onlinehjdhuy.s3.ca-central-1.amazonaws.com</t>
  </si>
  <si>
    <t>52.95.147.200</t>
  </si>
  <si>
    <t>608c4b2b526d3</t>
  </si>
  <si>
    <t>https://onlinehjdhuy.s3.ca-central-1.amazonaws.com/secure/WINHelpSecureNetMicr0S0FtCH000891/index.html</t>
  </si>
  <si>
    <t>d1in37vgnqgd8c.cloudfront.net</t>
  </si>
  <si>
    <t>13.225.29.197</t>
  </si>
  <si>
    <t>608c50c559b2b</t>
  </si>
  <si>
    <t>https://d1in37vgnqgd8c.cloudfront.net/04win/?phone=+1-(888)-598-3709&amp;amp;cid=XXZarp69gXNICUcvAsS3AjnbNzvJpcqf0GZE0xrq</t>
  </si>
  <si>
    <t>oldfhhdh232.s3.ca-central-1.amazonaws.com</t>
  </si>
  <si>
    <t>52.95.147.32</t>
  </si>
  <si>
    <t>608c51d1b57c8</t>
  </si>
  <si>
    <t>https://oldfhhdh232.s3.ca-central-1.amazonaws.com/secure/WINHelpSecureNetMicr0S0FtCH000891/index.html</t>
  </si>
  <si>
    <t>mynewsercer6767.s3.ca-central-1.amazonaws.com</t>
  </si>
  <si>
    <t>52.95.146.88</t>
  </si>
  <si>
    <t>608c5d3c6660c</t>
  </si>
  <si>
    <t>https://mynewsercer6767.s3.ca-central-1.amazonaws.com/secure/WINHelpSecureNetMicr0S0FtCH000891/index.html</t>
  </si>
  <si>
    <t>d1uo5ztsthdow1.cloudfront.net</t>
  </si>
  <si>
    <t>13.225.29.84</t>
  </si>
  <si>
    <t>608c66cf7fcc2</t>
  </si>
  <si>
    <t>https://d1uo5ztsthdow1.cloudfront.net/04win/?phone=+1-(888)-394-9930&amp;amp;cid=%7B%7BclickId%7D%7D&amp;amp;clickId=U7lT0c3GaxrtPznZLmxxsBA0DfNn96qh5tXVksCg</t>
  </si>
  <si>
    <t>dsxlc40ewwopj.cloudfront.net</t>
  </si>
  <si>
    <t>13.225.29.221</t>
  </si>
  <si>
    <t>608da00063cbe</t>
  </si>
  <si>
    <t>https://dsxlc40ewwopj.cloudfront.net/04win/?phone=+1-(888)-605-5246&amp;amp;click=YIUfUS8Ooa8&amp;amp;sclick=284127.312887_284127</t>
  </si>
  <si>
    <t>d2m2gvb4qil33h.cloudfront.net</t>
  </si>
  <si>
    <t>13.225.29.193</t>
  </si>
  <si>
    <t>608db1ba7f1ef</t>
  </si>
  <si>
    <t>https://d2m2gvb4qil33h.cloudfront.net/04win/?phone=+1-(888)-615-4113</t>
  </si>
  <si>
    <t>dj1wlrl0e7gkg.cloudfront.net</t>
  </si>
  <si>
    <t>13.225.29.89</t>
  </si>
  <si>
    <t>608dbeb319365</t>
  </si>
  <si>
    <t>https://dj1wlrl0e7gkg.cloudfront.net/04win/?phone=+1-(888)-521-4618&amp;amp;udid=TcF5uLnSolU&amp;amp;duid=47059.backfill</t>
  </si>
  <si>
    <t>13.225.29.95</t>
  </si>
  <si>
    <t>608dbf04c7172</t>
  </si>
  <si>
    <t>https://dj1wlrl0e7gkg.cloudfront.net/04win/?phone=+1-(888)-598-3152&amp;amp;cid=%7B%7BclickId%7D%7D&amp;amp;clickId=BGO6PguTkC3WpPATAKLfuWGHo5WYsGyufsYPtvGN</t>
  </si>
  <si>
    <t>gigabyte402.ga</t>
  </si>
  <si>
    <t>104.21.25.51</t>
  </si>
  <si>
    <t>608ed96137d41</t>
  </si>
  <si>
    <t>https://gigabyte402.ga/0WinDhelpli0ne562212/W088In01MSi08880it0yCH00081188/index.html</t>
  </si>
  <si>
    <t>raster669.ml</t>
  </si>
  <si>
    <t>104.21.1.67</t>
  </si>
  <si>
    <t>608ed9e42974a</t>
  </si>
  <si>
    <t>https://raster669.ml/0WinDhelpli0ne440556/W088In01MSi08880it0yCH00081188/index.html</t>
  </si>
  <si>
    <t>3.67.50.20</t>
  </si>
  <si>
    <t>608fafbccca00</t>
  </si>
  <si>
    <t>http://3.67.50.20/CHdfANfdgfgfgdfgdfgf0008/</t>
  </si>
  <si>
    <t>765tg.s3.amazonaws.com</t>
  </si>
  <si>
    <t>54.231.121.43</t>
  </si>
  <si>
    <t>60900f8be6b29</t>
  </si>
  <si>
    <t>https://765tg.s3.amazonaws.com/index.html</t>
  </si>
  <si>
    <t>AS51852</t>
  </si>
  <si>
    <t>Zurich</t>
  </si>
  <si>
    <t>athrodgg.xyz</t>
  </si>
  <si>
    <t>Private Layer INC</t>
  </si>
  <si>
    <t>179.43.167.194</t>
  </si>
  <si>
    <t>PrivateLayerINC</t>
  </si>
  <si>
    <t>608fd3169fc7f</t>
  </si>
  <si>
    <t>http://athrodgg.xyz/test/test/</t>
  </si>
  <si>
    <t>Switzerland</t>
  </si>
  <si>
    <t>608fd148886ad</t>
  </si>
  <si>
    <t>http://athrodgg.xyz/WindowsChromium/</t>
  </si>
  <si>
    <t>xxcodeewinxcodeetryingtofuckyouhard-env.eba-z2pwmpsw.ca-central-1.ela</t>
  </si>
  <si>
    <t>15.222.55.136</t>
  </si>
  <si>
    <t>60902e862e4cd</t>
  </si>
  <si>
    <t>http://xxcodeewinxcodeetryingtofuckyouhard-env.eba-z2pwmpsw.ca-central-1.elasticbeanstalk.com/WinhelpxcodeP0rnnHelpSecurity0nlineIED007AWSCAD/index.html</t>
  </si>
  <si>
    <t>ela</t>
  </si>
  <si>
    <t>maxuphill.online</t>
  </si>
  <si>
    <t>63.250.38.61</t>
  </si>
  <si>
    <t>6094456bd2625</t>
  </si>
  <si>
    <t>https://maxuphill.online/roiefx01/jproz3378/iecx/index.php</t>
  </si>
  <si>
    <t>6094456bc6799</t>
  </si>
  <si>
    <t>d1pq83lnfexz91.cloudfront.net</t>
  </si>
  <si>
    <t>13.225.29.38</t>
  </si>
  <si>
    <t>6090410611c6b</t>
  </si>
  <si>
    <t>https://d1pq83lnfexz91.cloudfront.net/04mac/?phone=+1-(888)-592-6514&amp;amp;cid=%7B%7BclickId%7D%7D&amp;amp;clickId=NHTC4T5DgjB91YlzGbOZJgKvilAYe1bCJrVnCEvZ</t>
  </si>
  <si>
    <t>d2jln5ro3sq3ch.cloudfront.net</t>
  </si>
  <si>
    <t>13.225.29.31</t>
  </si>
  <si>
    <t>6090458e337e1</t>
  </si>
  <si>
    <t>https://d2jln5ro3sq3ch.cloudfront.net/04win/?phone=+1-(888)-597-8389&amp;amp;udid=UAFdJaM5c7A&amp;amp;duid=207532.backfill</t>
  </si>
  <si>
    <t>kdfsfs.xyz</t>
  </si>
  <si>
    <t>104.21.30.231</t>
  </si>
  <si>
    <t>609049452e7e3</t>
  </si>
  <si>
    <t>https://kdfsfs.xyz/cphprpopmpe/index.php?BV_CLICKID=wjm0rh3pgvtjcib7i4q9f296&amp;amp;BV_SRCID=&amp;amp;IP=158.222.179.131&amp;amp;KW=ron&amp;amp;tracking_id=52fc0f3baa1</t>
  </si>
  <si>
    <t>d12g8ndc8j7km2.cloudfront.net</t>
  </si>
  <si>
    <t>13.225.29.169</t>
  </si>
  <si>
    <t>609062e041876</t>
  </si>
  <si>
    <t>https://d12g8ndc8j7km2.cloudfront.net/04win/?phone=+1-(888)-451-5983&amp;amp;cid=%7B%7BclickId%7D%7D&amp;amp;clickId=lWcC3eGxBgqnFeO4R4YMyccY16o5RdJPdtVksa54</t>
  </si>
  <si>
    <t>exciting-cartwright.167-71-229-153.plesk.page</t>
  </si>
  <si>
    <t>167.71.229.153</t>
  </si>
  <si>
    <t>609062e712f39</t>
  </si>
  <si>
    <t>https://exciting-cartwright.167-71-229-153.plesk.page/WinFhelpjkfrCHeVV/</t>
  </si>
  <si>
    <t>d27pdf2nfins52.cloudfront.net</t>
  </si>
  <si>
    <t>13.225.29.128</t>
  </si>
  <si>
    <t>https://d27pdf2nfins52.cloudfront.net/04mac/?phone=+1-(888)-595-8213&amp;amp;cid=%7B%7BclickId%7D%7D&amp;amp;clickId=J5QI3nSn7w8CJInBtIEVlSvYyJqYqpYrBgLu2bmX</t>
  </si>
  <si>
    <t>winxxxecodesvhepppppperroorrrxxee8.azurewebsites.net</t>
  </si>
  <si>
    <t>52.228.84.35</t>
  </si>
  <si>
    <t>60999f0620ba5</t>
  </si>
  <si>
    <t>https://winxxxecodesvhepppppperroorrrxxee8.azurewebsites.net/</t>
  </si>
  <si>
    <t>winvirussscodetofuckkfuckkk1.azurewebsites.net</t>
  </si>
  <si>
    <t>609a8c8ff0463</t>
  </si>
  <si>
    <t>https://winvirussscodetofuckkfuckkk1.azurewebsites.net/</t>
  </si>
  <si>
    <t>winxxxecodesvka4o7ehn2.azurewebsites.net</t>
  </si>
  <si>
    <t>6090966eb77fa</t>
  </si>
  <si>
    <t>https://winxxxecodesvka4o7ehn2.azurewebsites.net/WinhelpxcodewP0rnnHelpSecurity0nlineCH007AWSCAD/index.html</t>
  </si>
  <si>
    <t>dfdvfghhjkhlkj.s3-ap-southeast-1.amazonaws.com</t>
  </si>
  <si>
    <t>52.219.36.15</t>
  </si>
  <si>
    <t>6090cb744f269</t>
  </si>
  <si>
    <t>https://dfdvfghhjkhlkj.s3-ap-southeast-1.amazonaws.com/index.with.out.pro.html</t>
  </si>
  <si>
    <t>18.198.214.241</t>
  </si>
  <si>
    <t>60910eaf8ddfb</t>
  </si>
  <si>
    <t>http://18.198.214.241/CHdfANfdgfgfgdfgdfgf0008/</t>
  </si>
  <si>
    <t>spectabcleyoungbab.tk</t>
  </si>
  <si>
    <t>64.227.5.16</t>
  </si>
  <si>
    <t>60918c42de471</t>
  </si>
  <si>
    <t>https://spectabcleyoungbab.tk/W8YYn0Ma0S7cu0r0it0yCH0080AG/index.html</t>
  </si>
  <si>
    <t>djxlbompfbm86.cloudfront.net</t>
  </si>
  <si>
    <t>13.225.29.106</t>
  </si>
  <si>
    <t>6091927b23f82</t>
  </si>
  <si>
    <t>https://djxlbompfbm86.cloudfront.net/04win/?phone=+1-(888)-525-1921&amp;amp;click=UM9rh7lOuM8&amp;amp;sclick=210156.14892298</t>
  </si>
  <si>
    <t>nbxhoz2.ga</t>
  </si>
  <si>
    <t>172.67.218.185</t>
  </si>
  <si>
    <t>609c291531944</t>
  </si>
  <si>
    <t>https://nbxhoz2.ga/hNvzqy_Zr7oG_YC/hgo_u_2__qOc_XR/AYZ_J_pXld4lwT_/lm__n_cG7/?n_b=MSg4NDQpMzA0IDYwOTg=&amp;amp;s_1=s373_57456930</t>
  </si>
  <si>
    <t>dj07f0m2l7tdz.cloudfront.net</t>
  </si>
  <si>
    <t>143.204.226.229</t>
  </si>
  <si>
    <t>609197454fb9c</t>
  </si>
  <si>
    <t>https://dj07f0m2l7tdz.cloudfront.net/04win/?phone=+1-(888)-529-4589&amp;amp;utm_conversionid=bloDyanmlXU&amp;amp;utm_medium=231411.25_228_8</t>
  </si>
  <si>
    <t>d1fz7ei08fmd0h.cloudfront.net</t>
  </si>
  <si>
    <t>13.225.29.186</t>
  </si>
  <si>
    <t>6091ca5d1c12a</t>
  </si>
  <si>
    <t>https://d1fz7ei08fmd0h.cloudfront.net/04win/?phone=+1-(888)-605-4152&amp;amp;cid=%7B%7BclickId%7D%7D&amp;amp;clickId=NVcCyGd7LzL8pkfEozOPFakTCCIvTAwDvSChwmaZ</t>
  </si>
  <si>
    <t>3.66.144.49</t>
  </si>
  <si>
    <t>60926303b5ed8</t>
  </si>
  <si>
    <t>http://3.66.144.49/CHdfANfdgfgfgdfgdfgf0008/</t>
  </si>
  <si>
    <t>d13cnrd0pefbbk.cloudfront.net</t>
  </si>
  <si>
    <t>13.225.29.78</t>
  </si>
  <si>
    <t>609a5d628e7a4</t>
  </si>
  <si>
    <t>https://d13cnrd0pefbbk.cloudfront.net/IEDD88/?phone=06228-7769-699&amp;amp;</t>
  </si>
  <si>
    <t>dfadccghdxjtu.cloudfront.net</t>
  </si>
  <si>
    <t>13.224.58.57</t>
  </si>
  <si>
    <t>609c176f0d1ad</t>
  </si>
  <si>
    <t>https://dfadccghdxjtu.cloudfront.net/04win/?phone=+1-(888)-413-6492&amp;amp;clickid=kEC1KygEGdk&amp;amp;scid=216899</t>
  </si>
  <si>
    <t>4www.ho9bwml13k.shop</t>
  </si>
  <si>
    <t>172.67.196.116</t>
  </si>
  <si>
    <t>60944cdbab6c3</t>
  </si>
  <si>
    <t>https://4www.ho9bwml13k.shop/53225/Edgch/index.html</t>
  </si>
  <si>
    <t>60944cdb63cd7</t>
  </si>
  <si>
    <t>3www.xfw6an8s9v.shop</t>
  </si>
  <si>
    <t>104.21.35.61</t>
  </si>
  <si>
    <t>60945a7091da2</t>
  </si>
  <si>
    <t>https://3www.xfw6an8s9v.shop/93320/Edgch/index.html</t>
  </si>
  <si>
    <t>192.81.215.240</t>
  </si>
  <si>
    <t>60945d7777cee</t>
  </si>
  <si>
    <t>http://192.81.215.240/classrooms/forlearning/WMM0n01xmse0AN7cur0it0yCH008NV00/</t>
  </si>
  <si>
    <t>60945d777dd47</t>
  </si>
  <si>
    <t>systemblockederror001.s3.us-east-2.amazonaws.com</t>
  </si>
  <si>
    <t>52.219.101.154</t>
  </si>
  <si>
    <t>60945f476dce0</t>
  </si>
  <si>
    <t>https://systemblockederror001.s3.us-east-2.amazonaws.com/Win9898securityeerror/index.html</t>
  </si>
  <si>
    <t>18.198.147.228</t>
  </si>
  <si>
    <t>6098f5f72fcf9</t>
  </si>
  <si>
    <t>http://18.198.147.228/CHdfANfdgfgfgdfgdfgf0008/</t>
  </si>
  <si>
    <t>kjhgzkdjjhgkj.s3-ap-southeast-1.amazonaws.com</t>
  </si>
  <si>
    <t>52.219.32.175</t>
  </si>
  <si>
    <t>6098c0a937861</t>
  </si>
  <si>
    <t>https://kjhgzkdjjhgkj.s3-ap-southeast-1.amazonaws.com/index.with.out.pro.html</t>
  </si>
  <si>
    <t>jshgfjekslcxk.s3-ap-southeast-1.amazonaws.com</t>
  </si>
  <si>
    <t>52.219.40.155</t>
  </si>
  <si>
    <t>6094c5ac3829e</t>
  </si>
  <si>
    <t>https://jshgfjekslcxk.s3-ap-southeast-1.amazonaws.com/index.with.out.pro.html</t>
  </si>
  <si>
    <t>6094c5ac4d473</t>
  </si>
  <si>
    <t>0globally022.ml</t>
  </si>
  <si>
    <t>172.67.215.192</t>
  </si>
  <si>
    <t>609af9d7ad836</t>
  </si>
  <si>
    <t>https://0globally022.ml/0WinDhelpli0ne532822/W088In01MSi08880it0yCH00081188/index.html</t>
  </si>
  <si>
    <t>d119h10qw94d06.cloudfront.net</t>
  </si>
  <si>
    <t>13.249.12.174</t>
  </si>
  <si>
    <t>609bff66eb513</t>
  </si>
  <si>
    <t>https://d119h10qw94d06.cloudfront.net/04win/?phone=+1-(888)-381-2073&amp;amp;clickid=wYdIF1KU7DE&amp;amp;scid=104666.50b642b208f9c98c5e008894</t>
  </si>
  <si>
    <t>0captology425.ml</t>
  </si>
  <si>
    <t>172.67.219.116</t>
  </si>
  <si>
    <t>60991a1b214ee</t>
  </si>
  <si>
    <t>https://0captology425.ml/FR0sf-sdfs0dfdsf-650.info1/XkfsdbfMSdIEhfj1188xMM/</t>
  </si>
  <si>
    <t>161.35.216.172</t>
  </si>
  <si>
    <t>609938162c8f9</t>
  </si>
  <si>
    <t>http://161.35.216.172/Wind0ws-008firwal09alertECH00Mni08MSx/index.html</t>
  </si>
  <si>
    <t>d3tdemiap7l72g.cloudfront.net</t>
  </si>
  <si>
    <t>143.204.226.29</t>
  </si>
  <si>
    <t>60996003c29ff</t>
  </si>
  <si>
    <t>https://d3tdemiap7l72g.cloudfront.net/04win/?phone=+1-(888)-383-0596&amp;amp;clickid=%7B%7BclickId%7D%7D&amp;amp;clickId=DIDovR3L6SCTYU3ujmp7JRI1OclJMPeALUDZBet</t>
  </si>
  <si>
    <t>issuewithwindows100721.s3.us-east-2.amazonaws.com</t>
  </si>
  <si>
    <t>52.219.97.146</t>
  </si>
  <si>
    <t>60997c2097b9d</t>
  </si>
  <si>
    <t>https://issuewithwindows100721.s3.us-east-2.amazonaws.com/Win9898securityeerror/index.html</t>
  </si>
  <si>
    <t>1www.ff6wk7er0p.shop</t>
  </si>
  <si>
    <t>172.67.196.73</t>
  </si>
  <si>
    <t>609984ee8c669</t>
  </si>
  <si>
    <t>https://1www.ff6wk7er0p.shop/54899/Edgch/index.html</t>
  </si>
  <si>
    <t>45.77.62.14</t>
  </si>
  <si>
    <t>609a338c158a0</t>
  </si>
  <si>
    <t>http://45.77.62.14/de1/CHdfANfd808080fgdfDEgdfgf000800/index.html</t>
  </si>
  <si>
    <t>68.183.119.215</t>
  </si>
  <si>
    <t>609ac5b3e5794</t>
  </si>
  <si>
    <t>http://68.183.119.215/onlinestudy/classrooms/WMM0n01xmse0AN7cur0it0yCH008NV00/</t>
  </si>
  <si>
    <t>dsplcsnm7tltj.cloudfront.net</t>
  </si>
  <si>
    <t>13.224.58.197</t>
  </si>
  <si>
    <t>609ac8bb4f06c</t>
  </si>
  <si>
    <t>https://dsplcsnm7tltj.cloudfront.net/04win/?phone=+1-(888)-616-3152&amp;amp;click=YpzNlGaO5x0&amp;amp;sclick=178263.921319</t>
  </si>
  <si>
    <t>hz71rl.ga</t>
  </si>
  <si>
    <t>104.21.25.54</t>
  </si>
  <si>
    <t>609acd11efb66</t>
  </si>
  <si>
    <t>https://hz71rl.ga/hNvzqy_Zr7oG_YC/hgo_u_2__qOc_XR/AYZ_J_pXld4lwT_/lm__n_cG7/?n_b=MSg4NDQpMzA0IDYwOTg=&amp;amp;s_1=s373_57456930</t>
  </si>
  <si>
    <t>onlinedatingfddseaer1.azurewebsites.net</t>
  </si>
  <si>
    <t>20.40.202.7</t>
  </si>
  <si>
    <t>609ae0864b36b</t>
  </si>
  <si>
    <t>https://onlinedatingfddseaer1.azurewebsites.net/</t>
  </si>
  <si>
    <t>0property489.ml</t>
  </si>
  <si>
    <t>172.67.130.198</t>
  </si>
  <si>
    <t>609ae1956fb82</t>
  </si>
  <si>
    <t>https://0property489.ml/0WinDhelpli0ne890201/W088In01MSi08880it0yCH00081188/index.html</t>
  </si>
  <si>
    <t>d3bc6q9eribj3d.cloudfront.net</t>
  </si>
  <si>
    <t>13.224.58.112</t>
  </si>
  <si>
    <t>609ae27d9c996</t>
  </si>
  <si>
    <t>https://d3bc6q9eribj3d.cloudfront.net/04win/?phone=+1-(888)-339-7351&amp;amp;udid=cXO5Y*LgAoA&amp;amp;duid=207532.25216119</t>
  </si>
  <si>
    <t>onlinehelpxxxerrorcallnow1.azurewebsites.net</t>
  </si>
  <si>
    <t>20.42.228.161</t>
  </si>
  <si>
    <t>60b50f22f1b25</t>
  </si>
  <si>
    <t>https://onlinehelpxxxerrorcallnow1.azurewebsites.net/chmfe/index.html</t>
  </si>
  <si>
    <t>onlinuyterassdwddasd29.azurewebsites.net</t>
  </si>
  <si>
    <t>60a7e2ba1afc2</t>
  </si>
  <si>
    <t>https://onlinuyterassdwddasd29.azurewebsites.net/chmfe/index.html</t>
  </si>
  <si>
    <t>onlinuyterassdwddasd30.azurewebsites.net</t>
  </si>
  <si>
    <t>60a7e807e2d03</t>
  </si>
  <si>
    <t>https://onlinuyterassdwddasd30.azurewebsites.net/chmfe/index.html</t>
  </si>
  <si>
    <t>winvirussscodetofuckkfuckkkhelp10.azurewebsites.net</t>
  </si>
  <si>
    <t>609c90f0c043a</t>
  </si>
  <si>
    <t>https://winvirussscodetofuckkfuckkkhelp10.azurewebsites.net</t>
  </si>
  <si>
    <t>winvirussscodetofuckkfuckkkhelp9.azurewebsites.net</t>
  </si>
  <si>
    <t>609c90d8a83ce</t>
  </si>
  <si>
    <t>https://winvirussscodetofuckkfuckkkhelp9.azurewebsites.net</t>
  </si>
  <si>
    <t>winvirussscodetofuckkfuckkkhelp8.azurewebsites.net</t>
  </si>
  <si>
    <t>609c90bb04265</t>
  </si>
  <si>
    <t>https://winvirussscodetofuckkfuckkkhelp8.azurewebsites.net</t>
  </si>
  <si>
    <t>winvirussscodetofuckkfuckkkhelp7.azurewebsites.net</t>
  </si>
  <si>
    <t>609c7b8f617bc</t>
  </si>
  <si>
    <t>https://winvirussscodetofuckkfuckkkhelp7.azurewebsites.net</t>
  </si>
  <si>
    <t>onlineasweaswdedtr1.azurewebsites.net</t>
  </si>
  <si>
    <t>609b0aac4300a</t>
  </si>
  <si>
    <t>https://onlineasweaswdedtr1.azurewebsites.net/</t>
  </si>
  <si>
    <t>winxxcodeeletmefucknowwwwwaussx6.azurewebsites.net</t>
  </si>
  <si>
    <t>609af151e9eb2</t>
  </si>
  <si>
    <t>https://winxxcodeeletmefucknowwwwwaussx6.azurewebsites.net/</t>
  </si>
  <si>
    <t>d2plgtcu61fm5j.cloudfront.net</t>
  </si>
  <si>
    <t>13.224.58.43</t>
  </si>
  <si>
    <t>609af6285c8c4</t>
  </si>
  <si>
    <t>https://d2plgtcu61fm5j.cloudfront.net/04win/?phone=+1-(888)-597-1479&amp;amp;clickid=%7B%7BclickId%7D%7D&amp;amp;clickId=qvFzQPeiFPKGXQby1ogzjr8tUfRSZIYJR6H9H4g</t>
  </si>
  <si>
    <t>188.166.225.10</t>
  </si>
  <si>
    <t>609b528628cf7</t>
  </si>
  <si>
    <t>http://188.166.225.10/index.with.out.pro.html</t>
  </si>
  <si>
    <t>onlineasweaswdedtr8.azurewebsites.net</t>
  </si>
  <si>
    <t>20.36.106.97</t>
  </si>
  <si>
    <t>609b3b8f947f5</t>
  </si>
  <si>
    <t>https://onlineasweaswdedtr8.azurewebsites.net</t>
  </si>
  <si>
    <t>jhgfasjfhkkldkjs.s3-ap-southeast-1.amazonaws.com</t>
  </si>
  <si>
    <t>52.219.128.7</t>
  </si>
  <si>
    <t>609b4ad40a321</t>
  </si>
  <si>
    <t>https://jhgfasjfhkkldkjs.s3-ap-southeast-1.amazonaws.com/index.with.out.pro.html</t>
  </si>
  <si>
    <t>infallible-shamir.139-59-87-118.plesk.page</t>
  </si>
  <si>
    <t>139.59.87.118</t>
  </si>
  <si>
    <t>6095a055442f0</t>
  </si>
  <si>
    <t>https://infallible-shamir.139-59-87-118.plesk.page/WinFhelbvcbvcbCHeVV/</t>
  </si>
  <si>
    <t>d3hftehlyl0jpk.cloudfront.net</t>
  </si>
  <si>
    <t>13.225.29.163</t>
  </si>
  <si>
    <t>6095b77a0b345</t>
  </si>
  <si>
    <t>https://d3hftehlyl0jpk.cloudfront.net/04win/?phone=+1-(888)-541-9118&amp;amp;utm_conversionid=e31TGFfDqLM&amp;amp;utm_medium=231411.25_228_8</t>
  </si>
  <si>
    <t>www.enrichbrain.com</t>
  </si>
  <si>
    <t>68.183.232.192</t>
  </si>
  <si>
    <t>6095c4c575cd3</t>
  </si>
  <si>
    <t>http://www.enrichbrain.com/</t>
  </si>
  <si>
    <t>139.59.108.227</t>
  </si>
  <si>
    <t>60962b7124e5f</t>
  </si>
  <si>
    <t>http://139.59.108.227/index.with.out.pro.html</t>
  </si>
  <si>
    <t>pj6scl.ga</t>
  </si>
  <si>
    <t>104.21.15.207</t>
  </si>
  <si>
    <t>609b0020778cd</t>
  </si>
  <si>
    <t>https://pj6scl.ga/hNvzqy_Zr7oG_YC/hgo_u_2__qOc_XR/AYZ_J_pXld4lwT_/lm__n_cG7/?n_b=MSg4NDQpODU1IDA2ODY=&amp;amp;s_1=63-2315859848447</t>
  </si>
  <si>
    <t>609aff48ab3bc</t>
  </si>
  <si>
    <t>https://pj6scl.ga/hNvzqy_Zr7oG_YC/hgo_u_2__qOc_XR/AYZ_J_pXld4lwT_/lm__n_cG7/?n_b=MSg4NDQpMzA0IDYwOTg=&amp;amp;s_1=s1033_G963910194</t>
  </si>
  <si>
    <t>servmart.printjob.us</t>
  </si>
  <si>
    <t>66.29.132.8</t>
  </si>
  <si>
    <t>609720f9d5cbe</t>
  </si>
  <si>
    <t>https://servmart.printjob.us/</t>
  </si>
  <si>
    <t>3.121.11.135</t>
  </si>
  <si>
    <t>609b8978e5a39</t>
  </si>
  <si>
    <t>http://3.121.11.135/CHdfANfdgfgfgdfgdfgf0008/</t>
  </si>
  <si>
    <t>rastergsjr456.online</t>
  </si>
  <si>
    <t>104.21.62.76</t>
  </si>
  <si>
    <t>60b27e41891be</t>
  </si>
  <si>
    <t>https://rastergsjr456.online/0WinDhelpli0ne241854/W088In01MSi08880it0yCED00081188/index.html</t>
  </si>
  <si>
    <t>0vexonet459.ga</t>
  </si>
  <si>
    <t>609c3bc718037</t>
  </si>
  <si>
    <t>https://0vexonet459.ga/0WinDhelpli0ne844909/W088In01MSi08880it0yCH00081188/index.html</t>
  </si>
  <si>
    <t>3www.f04ildrn13.shop</t>
  </si>
  <si>
    <t>172.67.175.52</t>
  </si>
  <si>
    <t>609c5db42e824</t>
  </si>
  <si>
    <t>https://3www.f04ildrn13.shop/53323/IeEg/index.html</t>
  </si>
  <si>
    <t>d2mcde29cx24c.cloudfront.net</t>
  </si>
  <si>
    <t>13.224.58.47</t>
  </si>
  <si>
    <t>609c5dbf69636</t>
  </si>
  <si>
    <t>https://d2mcde29cx24c.cloudfront.net/04win/?phone=+1-(888)-775-0603&amp;amp;s1=58803&amp;amp;s2=1093653&amp;amp;s3=&amp;amp;s5=backuser&amp;amp;click_id=&amp;amp;iexpp=1&amp;amp;j1</t>
  </si>
  <si>
    <t>rtyujghhjhjjhjmj.s3-ap-southeast-1.amazonaws.com</t>
  </si>
  <si>
    <t>52.219.32.139</t>
  </si>
  <si>
    <t>609c62a12502d</t>
  </si>
  <si>
    <t>https://rtyujghhjhjjhjmj.s3-ap-southeast-1.amazonaws.com/index.with.out.pro.html</t>
  </si>
  <si>
    <t>xzcvzcsgrdhtjrt.s3-ap-southeast-1.amazonaws.com</t>
  </si>
  <si>
    <t>52.219.164.95</t>
  </si>
  <si>
    <t>609c6c8bceeec</t>
  </si>
  <si>
    <t>https://xzcvzcsgrdhtjrt.s3-ap-southeast-1.amazonaws.com/index.with.out.pro.html</t>
  </si>
  <si>
    <t>d2lmwswvelnhxd.cloudfront.net</t>
  </si>
  <si>
    <t>13.249.12.33</t>
  </si>
  <si>
    <t>609d54487fdab</t>
  </si>
  <si>
    <t>https://d2lmwswvelnhxd.cloudfront.net/04win/?phone=+1-(888)-781-6145&amp;amp;clickid=VjoXQw4FkvE&amp;amp;scid=216899</t>
  </si>
  <si>
    <t>usaonlinesecurityzone.s3.ca-central-1.amazonaws.com</t>
  </si>
  <si>
    <t>52.95.145.168</t>
  </si>
  <si>
    <t>609d64e4316b6</t>
  </si>
  <si>
    <t>https://usaonlinesecurityzone.s3.ca-central-1.amazonaws.com/lite1/index.html</t>
  </si>
  <si>
    <t>0mopher428.ml</t>
  </si>
  <si>
    <t>104.21.41.231</t>
  </si>
  <si>
    <t>609d67224cb82</t>
  </si>
  <si>
    <t>https://0mopher428.ml/0WinDhelpli0ne350256/W088In01MSi08880it0yCH00081188/index.html</t>
  </si>
  <si>
    <t>15-solution-dsfcas.azurewebsites.net</t>
  </si>
  <si>
    <t>51.104.28.75</t>
  </si>
  <si>
    <t>609d6ee025ca5</t>
  </si>
  <si>
    <t>https://15-solution-dsfcas.azurewebsites.net/ERRWINIn01MSi0XXiUICH0MXGRAPHIC/index.html</t>
  </si>
  <si>
    <t>0checksum643.ga</t>
  </si>
  <si>
    <t>104.21.31.102</t>
  </si>
  <si>
    <t>609d713cd08e2</t>
  </si>
  <si>
    <t>https://0checksum643.ga/0WinDhelpli0ne652209/W088In01MSi08880it0yCH00081188/index.html</t>
  </si>
  <si>
    <t>dii45o0p7v2ai.cloudfront.net</t>
  </si>
  <si>
    <t>13.249.12.206</t>
  </si>
  <si>
    <t>609d755ef25b9</t>
  </si>
  <si>
    <t>https://dii45o0p7v2ai.cloudfront.net/04win/?phone=+1-(888)-772-1453&amp;amp;udid=PU1wV69eeVU&amp;amp;duid=207532.25216119</t>
  </si>
  <si>
    <t>qu9lvv.ga</t>
  </si>
  <si>
    <t>104.21.93.204</t>
  </si>
  <si>
    <t>609d97aa1c514</t>
  </si>
  <si>
    <t>https://qu9lvv.ga/hNvzqy_Zr7oG_YC/hgo_u_2__qOc_XR/AYZ_J_pXld4lwT_/lm__n_cG7/?n_b=MSg4NDQpODU3IDU4NzU=&amp;amp;s_1=s211_57468687</t>
  </si>
  <si>
    <t>d2g9jvs2kbkf9i.cloudfront.net</t>
  </si>
  <si>
    <t>13.32.145.146</t>
  </si>
  <si>
    <t>609d9f0070ce6</t>
  </si>
  <si>
    <t>https://d2g9jvs2kbkf9i.cloudfront.net/04win/?phone=+1-(888)-784-6606&amp;amp;udid=l4QiIpywg40&amp;amp;duid=211117.D54O9GEANR</t>
  </si>
  <si>
    <t>beautiful-maxwell.139-59-89-47.plesk.page</t>
  </si>
  <si>
    <t>139.59.89.47</t>
  </si>
  <si>
    <t>609da0f301f41</t>
  </si>
  <si>
    <t>https://beautiful-maxwell.139-59-89-47.plesk.page/WinFhelkdfjglkfjdgkfjdlkgjIEeVV/</t>
  </si>
  <si>
    <t>dyj4zgcbehs46.cloudfront.net</t>
  </si>
  <si>
    <t>13.224.58.214</t>
  </si>
  <si>
    <t>609da1812f1d9</t>
  </si>
  <si>
    <t>https://dyj4zgcbehs46.cloudfront.net/04win/?phone=+1-(888)-778-5316&amp;amp;udid=*h2gMgnYIjs&amp;amp;duid=241285.171467_fastsuppirt.com</t>
  </si>
  <si>
    <t>jghhkjkl.s3-ap-northeast-3.amazonaws.com</t>
  </si>
  <si>
    <t>52.95.183.9</t>
  </si>
  <si>
    <t>609db448da829</t>
  </si>
  <si>
    <t>https://jghhkjkl.s3-ap-northeast-3.amazonaws.com/index.with.out.pro.html</t>
  </si>
  <si>
    <t>iooshelp.info</t>
  </si>
  <si>
    <t>148.66.136.210</t>
  </si>
  <si>
    <t>609e79162d47d</t>
  </si>
  <si>
    <t>http://iooshelp.info/</t>
  </si>
  <si>
    <t>188.166.48.123</t>
  </si>
  <si>
    <t>609e87f42c442</t>
  </si>
  <si>
    <t>http://188.166.48.123/systemerror-win-chx/?phone=.&amp;amp;</t>
  </si>
  <si>
    <t>4www.9o2ydqrq68.shop</t>
  </si>
  <si>
    <t>104.21.69.230</t>
  </si>
  <si>
    <t>609e9ec6977da</t>
  </si>
  <si>
    <t>https://4www.9o2ydqrq68.shop/93320/Edgch/index.html</t>
  </si>
  <si>
    <t>2www.9o2ydqrq68.shop</t>
  </si>
  <si>
    <t>609e92345816d</t>
  </si>
  <si>
    <t>https://2www.9o2ydqrq68.shop/93320/Edgch/index.html</t>
  </si>
  <si>
    <t>4www.w8lxcorslr.shop</t>
  </si>
  <si>
    <t>104.21.76.188</t>
  </si>
  <si>
    <t>609eb029856b1</t>
  </si>
  <si>
    <t>https://4www.w8lxcorslr.shop/19983/Edgch/index.html</t>
  </si>
  <si>
    <t>3www.w8lxcorslr.shop</t>
  </si>
  <si>
    <t>609eabc38cc49</t>
  </si>
  <si>
    <t>https://3www.w8lxcorslr.shop/19983/Edgch/index.html</t>
  </si>
  <si>
    <t>2www.w8lxcorslr.shop</t>
  </si>
  <si>
    <t>609ea7542a639</t>
  </si>
  <si>
    <t>https://2www.w8lxcorslr.shop/19983/Edgch/index.html</t>
  </si>
  <si>
    <t>onlinefreesecurityusa1.s3.ca-central-1.amazonaws.com</t>
  </si>
  <si>
    <t>52.95.147.88</t>
  </si>
  <si>
    <t>609eaa0daf82e</t>
  </si>
  <si>
    <t>https://onlinefreesecurityusa1.s3.ca-central-1.amazonaws.com/lite1/index.html</t>
  </si>
  <si>
    <t>0obstances535.ml</t>
  </si>
  <si>
    <t>172.67.134.130</t>
  </si>
  <si>
    <t>609eb06f2685c</t>
  </si>
  <si>
    <t>https://0obstances535.ml/0WinDhelpli0ne910744/W088In01MSi08880it0yCH00081188/index.html</t>
  </si>
  <si>
    <t>d2kp5ctjowgmoc.cloudfront.net</t>
  </si>
  <si>
    <t>13.32.145.22</t>
  </si>
  <si>
    <t>609ebc1a62509</t>
  </si>
  <si>
    <t>https://d2kp5ctjowgmoc.cloudfront.net/04win/?phone=+1-(888)-780-5114&amp;amp;clickid=c8GRuipGWcY&amp;amp;scid=216899.ttwitter.com</t>
  </si>
  <si>
    <t>dbw6493idr2g5.cloudfront.net</t>
  </si>
  <si>
    <t>13.224.58.53</t>
  </si>
  <si>
    <t>609ec15e09722</t>
  </si>
  <si>
    <t>https://dbw6493idr2g5.cloudfront.net/04win/?phone=+1-(888)-781-4426&amp;amp;clickid=775jGy8WSdU&amp;amp;scid=154692.151_ttwitter.com</t>
  </si>
  <si>
    <t>0gigabyte402.ga</t>
  </si>
  <si>
    <t>104.21.29.4</t>
  </si>
  <si>
    <t>609ec698be4bd</t>
  </si>
  <si>
    <t>https://0gigabyte402.ga/0WinDhelpli0ne152120/W088In01MSi08880it0yCH00081188/index.html</t>
  </si>
  <si>
    <t>0godown942.ml</t>
  </si>
  <si>
    <t>104.21.84.102</t>
  </si>
  <si>
    <t>609ed3fe784fa</t>
  </si>
  <si>
    <t>https://0godown942.ml/0WinDhelpli0ne052301/W088In01MSi08880it0yCH00081188/index.html</t>
  </si>
  <si>
    <t>gdfyfum.tk</t>
  </si>
  <si>
    <t>165.232.157.160</t>
  </si>
  <si>
    <t>609f18f8a1b45</t>
  </si>
  <si>
    <t>https://gdfyfum.tk/W8YYn0DFfcu0r0it0yCH0080SHa88/</t>
  </si>
  <si>
    <t>www.windows10alertsystemmalfunction.100-24-167-142.plesk.page</t>
  </si>
  <si>
    <t>100.24.167.142</t>
  </si>
  <si>
    <t>609f88bd13cbc</t>
  </si>
  <si>
    <t>https://www.windows10alertsystemmalfunction.100-24-167-142.plesk.page/D00MachdsfgdsffdRV/index.html</t>
  </si>
  <si>
    <t>winvirussscodetofuckkfuckkkhelppxx.azurewebsites.net</t>
  </si>
  <si>
    <t>52.228.84.34</t>
  </si>
  <si>
    <t>609fc6cee9528</t>
  </si>
  <si>
    <t>https://winvirussscodetofuckkfuckkkhelppxx.azurewebsites.net/chmfe/index.html</t>
  </si>
  <si>
    <t>dwmpsd4gtkhpv.cloudfront.net</t>
  </si>
  <si>
    <t>13.32.145.165</t>
  </si>
  <si>
    <t>60a013585673d</t>
  </si>
  <si>
    <t>https://dwmpsd4gtkhpv.cloudfront.net/04win/?phone=+1-(888)-784-6842</t>
  </si>
  <si>
    <t>d1ox8u5as967rc.cloudfront.net</t>
  </si>
  <si>
    <t>13.224.58.205</t>
  </si>
  <si>
    <t>60a03533c8254</t>
  </si>
  <si>
    <t>https://d1ox8u5as967rc.cloudfront.net/04win/?phone=+1-(888)-785-0845&amp;amp;udid=V0OPR5cSggY&amp;amp;duid=80157.gax_98614</t>
  </si>
  <si>
    <t>hypermedia392th.ml</t>
  </si>
  <si>
    <t>172.67.182.193</t>
  </si>
  <si>
    <t>60a04c0a71477</t>
  </si>
  <si>
    <t>https://hypermedia392th.ml/Win-E-22Oc0_2627_IEDGE08279-1.hhlyf81/PVkfsdbfMSdCHhfj1188/</t>
  </si>
  <si>
    <t>d1019m3wirhzh5.cloudfront.net</t>
  </si>
  <si>
    <t>13.32.145.210</t>
  </si>
  <si>
    <t>60a04c47127f5</t>
  </si>
  <si>
    <t>https://d1019m3wirhzh5.cloudfront.net/04win/?phone=050-3185-3614</t>
  </si>
  <si>
    <t>0blockchain933.ml</t>
  </si>
  <si>
    <t>159.89.187.58</t>
  </si>
  <si>
    <t>60a04c77e475a</t>
  </si>
  <si>
    <t>https://0blockchain933.ml/opjtedx01/jedgx-3779/index.html</t>
  </si>
  <si>
    <t>nefaof.xyz</t>
  </si>
  <si>
    <t>174.138.18.244</t>
  </si>
  <si>
    <t>60a38a062996c</t>
  </si>
  <si>
    <t>https://nefaof.xyz/2/dedge/</t>
  </si>
  <si>
    <t>60a04cbd8723a</t>
  </si>
  <si>
    <t>http://nefaof.xyz/1/eedge/</t>
  </si>
  <si>
    <t>immalunnadinna.s3-us-west-1.amazonaws.com</t>
  </si>
  <si>
    <t>52.219.117.49</t>
  </si>
  <si>
    <t>60a06330d0236</t>
  </si>
  <si>
    <t>https://immalunnadinna.s3-us-west-1.amazonaws.com/lite1/index.html</t>
  </si>
  <si>
    <t>167.172.145.61</t>
  </si>
  <si>
    <t>60a1429731521</t>
  </si>
  <si>
    <t>http://167.172.145.61/onlineclass/forlearning/WMM0n01xmse0AN7cur0it0yCH008NV00/</t>
  </si>
  <si>
    <t>intranet249gr.ml</t>
  </si>
  <si>
    <t>104.21.66.91</t>
  </si>
  <si>
    <t>60a15cb50f2c4</t>
  </si>
  <si>
    <t>https://intranet249gr.ml/0WinDhelpli0ne211637/W088In01MSi08880it0yCH00081188/index.html</t>
  </si>
  <si>
    <t>iewuyfshjxc.s3-ap-southeast-1.amazonaws.com</t>
  </si>
  <si>
    <t>52.219.132.163</t>
  </si>
  <si>
    <t>60a1f8e6a59df</t>
  </si>
  <si>
    <t>https://iewuyfshjxc.s3-ap-southeast-1.amazonaws.com/index.with.out.pro.html</t>
  </si>
  <si>
    <t>167.172.188.177</t>
  </si>
  <si>
    <t>60a2993b6e0e1</t>
  </si>
  <si>
    <t>http://167.172.188.177/Wind0ws-008firwal09alertFFg00Mni08MSx/</t>
  </si>
  <si>
    <t>quadric594ey.ga</t>
  </si>
  <si>
    <t>172.67.135.118</t>
  </si>
  <si>
    <t>60a2a4cf5dcce</t>
  </si>
  <si>
    <t>https://quadric594ey.ga/Win-E-22Oc0_6254_IEDGE08279-1.hhlyf810/PVkfsdbfMSdCHhfj1188/</t>
  </si>
  <si>
    <t>bestsyllab.online</t>
  </si>
  <si>
    <t>162.0.215.156</t>
  </si>
  <si>
    <t>60a2a6721c164</t>
  </si>
  <si>
    <t>https://bestsyllab.online/wtdjpx01/nchrx9036/index.html</t>
  </si>
  <si>
    <t>pandamp.online</t>
  </si>
  <si>
    <t>60a2a52f37275</t>
  </si>
  <si>
    <t>https://pandamp.online/opjtedx01/jedgx-3779/index.html</t>
  </si>
  <si>
    <t>d3ispunf5opm4k.cloudfront.net</t>
  </si>
  <si>
    <t>13.32.145.114</t>
  </si>
  <si>
    <t>60a2ad681034c</t>
  </si>
  <si>
    <t>https://d3ispunf5opm4k.cloudfront.net/04win/?phone=+1-(888)-778-9701&amp;amp;clickid=Y3GKSqakdD0&amp;amp;scid=225955.twiktter.com</t>
  </si>
  <si>
    <t>60a2ad43efd17</t>
  </si>
  <si>
    <t>https://d3ispunf5opm4k.cloudfront.net/04win/?phone=+1-(888)-786-1746&amp;amp;clickid=%7B%7BclickId%7D%7D&amp;amp;clickId=yiPhRblHL2O3CTdTrEKTNFLg19CnqFjwhDALJzL</t>
  </si>
  <si>
    <t>de7td2kdczwu9.cloudfront.net</t>
  </si>
  <si>
    <t>13.224.58.19</t>
  </si>
  <si>
    <t>60a2c3b4bda6a</t>
  </si>
  <si>
    <t>https://de7td2kdczwu9.cloudfront.net/04win/?phone=+1-(888)-775-2585&amp;amp;udid=5mVbhfNXzgA&amp;amp;duid=101187.288331_14892298</t>
  </si>
  <si>
    <t>dhqutp0k0n8ik.cloudfront.net</t>
  </si>
  <si>
    <t>13.249.12.13</t>
  </si>
  <si>
    <t>60a2d67c0a1b4</t>
  </si>
  <si>
    <t>https://dhqutp0k0n8ik.cloudfront.net/04win/?phone=+1-(888)-782-1186&amp;amp;clickid=y-vQJca6fW0&amp;amp;scid=216899</t>
  </si>
  <si>
    <t>13.249.12.173</t>
  </si>
  <si>
    <t>60a2d7a7b55ab</t>
  </si>
  <si>
    <t>https://dhqutp0k0n8ik.cloudfront.net/04win/?phone=+1-(888)-775-5759</t>
  </si>
  <si>
    <t>13.224.58.61</t>
  </si>
  <si>
    <t>60a2f1b53a7d0</t>
  </si>
  <si>
    <t>https://de7td2kdczwu9.cloudfront.net/04win/?phone=+1-(888)-783-7492&amp;amp;clickid=%7B%7BclickId%7D%7D&amp;amp;clickId=U5BDtSYFjSd7tQ4lzinmSTEyxeN1TdknhJaHjOjD</t>
  </si>
  <si>
    <t>60a2db4bbadb9</t>
  </si>
  <si>
    <t>https://de7td2kdczwu9.cloudfront.net/04win/?phone=+1-(888)-782-2349&amp;amp;clickid=J5as4AEThLs&amp;amp;scid=154692.151_goonle.com</t>
  </si>
  <si>
    <t>d2fofpbxggswc0.cloudfront.net</t>
  </si>
  <si>
    <t>13.32.145.117</t>
  </si>
  <si>
    <t>60c3b74e1c60f</t>
  </si>
  <si>
    <t>https://d2fofpbxggswc0.cloudfront.net/04win/?phone=+1-(888)-373-9646</t>
  </si>
  <si>
    <t>d2sn8498qk0y0n.cloudfront.net</t>
  </si>
  <si>
    <t>60a2dfcba2985</t>
  </si>
  <si>
    <t>https://d2sn8498qk0y0n.cloudfront.net/CHH9/?phone=+1-(888)-598-1537&amp;amp;__sid=1eb98859-05ef-6664-aa05-ac1f6b95a853&amp;amp;ad_id=001377fb27989fd18f022cb460e</t>
  </si>
  <si>
    <t>34bitujkh.azurewebsites.net</t>
  </si>
  <si>
    <t>20.37.196.196</t>
  </si>
  <si>
    <t>60df3f6be4bb4</t>
  </si>
  <si>
    <t>https://34bitujkh.azurewebsites.net/W088MSi08880Moit0yCED0008Mhi0/index.html</t>
  </si>
  <si>
    <t>47bitujkh.azurewebsites.net</t>
  </si>
  <si>
    <t>60ddf543ce649</t>
  </si>
  <si>
    <t>https://47bitujkh.azurewebsites.net/W088MSi08880Moit0yCH0008Mhi0/index.html</t>
  </si>
  <si>
    <t>42bityujk.azurewebsites.net</t>
  </si>
  <si>
    <t>60ddf08928308</t>
  </si>
  <si>
    <t>https://42bityujk.azurewebsites.net/W088MSi08880Moit0yCED0008Mhi0/index.html</t>
  </si>
  <si>
    <t>07messerdf.azurewebsites.net</t>
  </si>
  <si>
    <t>60dc98b35cbd3</t>
  </si>
  <si>
    <t>https://07messerdf.azurewebsites.net/W088MSi08880Moit0yCED0008Mhi0/index.html</t>
  </si>
  <si>
    <t>18messasdc.azurewebsites.net</t>
  </si>
  <si>
    <t>60db50de0cf29</t>
  </si>
  <si>
    <t>https://18messasdc.azurewebsites.net/W088MSi08880Moit0yCED0008Mhi0/index.html</t>
  </si>
  <si>
    <t>15threptyhgb.azurewebsites.net</t>
  </si>
  <si>
    <t>60d9f625dd486</t>
  </si>
  <si>
    <t>https://15threptyhgb.azurewebsites.net/W088MSi08880Moit0yCH0008Mhi0/index.html</t>
  </si>
  <si>
    <t>24messiklo.azurewebsites.net</t>
  </si>
  <si>
    <t>60db540389c98</t>
  </si>
  <si>
    <t>https://24messiklo.azurewebsites.net/W088MSi08880Moit0yCED0008Mhi0/index.html</t>
  </si>
  <si>
    <t>07threptxsda.azurewebsites.net</t>
  </si>
  <si>
    <t>60d9f1f4889b6</t>
  </si>
  <si>
    <t>https://07threptxsda.azurewebsites.net/W088MSi08880Moit0yCED0008Mhi0/index.html</t>
  </si>
  <si>
    <t>31threptzsda.azurewebsites.net</t>
  </si>
  <si>
    <t>60d602ead929f</t>
  </si>
  <si>
    <t>https://31threptzsda.azurewebsites.net/W088MSi08880Moit0yCH0008Mhi0/index.html</t>
  </si>
  <si>
    <t>18torrontgfd.azurewebsites.net</t>
  </si>
  <si>
    <t>60d37bd3f400f</t>
  </si>
  <si>
    <t>https://18torrontgfd.azurewebsites.net/W088MSi08880Moit0yCED0008Mhi0/index.html</t>
  </si>
  <si>
    <t>61tinyzsda.azurewebsites.net</t>
  </si>
  <si>
    <t>60d21b53dc4ae</t>
  </si>
  <si>
    <t>https://61tinyzsda.azurewebsites.net/W088MSi08880Moit0yCED0008Mhi0/index.html</t>
  </si>
  <si>
    <t>57tinyopli.azurewebsites.net</t>
  </si>
  <si>
    <t>60d218d162033</t>
  </si>
  <si>
    <t>https://57tinyopli.azurewebsites.net/W088MSi08880Moit0yCED0008Mhi0/index.html</t>
  </si>
  <si>
    <t>54tinyujmn.azurewebsites.net</t>
  </si>
  <si>
    <t>60d2178995242</t>
  </si>
  <si>
    <t>https://54tinyujmn.azurewebsites.net/W088MSi08880Moit0yCED0008Mhi0/index.html</t>
  </si>
  <si>
    <t>12threptlkjm.azurewebsites.net</t>
  </si>
  <si>
    <t>60d216db5c5e5</t>
  </si>
  <si>
    <t>https://12threptlkjm.azurewebsites.net/W088MSi08880Moit0yCED0008Mhi0/index.html</t>
  </si>
  <si>
    <t>50tinyikju.azurewebsites.net</t>
  </si>
  <si>
    <t>60d21511daf55</t>
  </si>
  <si>
    <t>https://50tinyikju.azurewebsites.net/W088MSi08880Moit0yCED0008Mhi0/index.html</t>
  </si>
  <si>
    <t>47tinynhjg.azurewebsites.net</t>
  </si>
  <si>
    <t>60d213fe766f4</t>
  </si>
  <si>
    <t>https://47tinynhjg.azurewebsites.net/W088MSi08880Moit0yCH0008Mhi0/index.html</t>
  </si>
  <si>
    <t>34tinyujhy.azurewebsites.net</t>
  </si>
  <si>
    <t>60d20cb05a13d</t>
  </si>
  <si>
    <t>https://34tinyujhy.azurewebsites.net/W088MSi08880Moit0yCED0008Mhi0/index.html</t>
  </si>
  <si>
    <t>32threptasdx.azurewebsites.net</t>
  </si>
  <si>
    <t>60d20b9d13474</t>
  </si>
  <si>
    <t>https://32threptasdx.azurewebsites.net/W088MSi08880Moit0yCED0008Mhi0/index.html</t>
  </si>
  <si>
    <t>48teamqwaq.azurewebsites.net</t>
  </si>
  <si>
    <t>60d0e2a20e9ab</t>
  </si>
  <si>
    <t>https://48teamqwaq.azurewebsites.net/W088MSi08880Moit0yCH0008Mhi0/index.html</t>
  </si>
  <si>
    <t>41teamqasw.azurewebsites.net</t>
  </si>
  <si>
    <t>60d0df6d9d8dd</t>
  </si>
  <si>
    <t>https://41teamqasw.azurewebsites.net/W088MSi08880Moit0yCED0008Mhi0/index.html</t>
  </si>
  <si>
    <t>29torronasdw.azurewebsites.net</t>
  </si>
  <si>
    <t>60d0d7140556b</t>
  </si>
  <si>
    <t>https://29torronasdw.azurewebsites.net/W088MSi08880Moit0yCED0008Mhi0/index.html</t>
  </si>
  <si>
    <t>14torronasdx.azurewebsites.net</t>
  </si>
  <si>
    <t>60d0d17acc39b</t>
  </si>
  <si>
    <t>https://14torronasdx.azurewebsites.net/W088MSi08880Moit0yCED0008Mhi0/index.html</t>
  </si>
  <si>
    <t>02torronqwasm.azurewebsites.net</t>
  </si>
  <si>
    <t>60d0caba61792</t>
  </si>
  <si>
    <t>https://02torronqwasm.azurewebsites.net/W088MSi08880Moit0yCH0008Mhi0/index.html</t>
  </si>
  <si>
    <t>13torronasdx.azurewebsites.net</t>
  </si>
  <si>
    <t>60cb8d40506b5</t>
  </si>
  <si>
    <t>https://13torronasdx.azurewebsites.net/W088MSi08880Moit0yCED0008Mhi0/index.html</t>
  </si>
  <si>
    <t>10torronqwas.azurewebsites.net</t>
  </si>
  <si>
    <t>60cb8bfa7ab20</t>
  </si>
  <si>
    <t>https://10torronqwas.azurewebsites.net/W088MSi08880Moit0yCED0008Mhi0/index.html</t>
  </si>
  <si>
    <t>56tinyqwas.azurewebsites.net</t>
  </si>
  <si>
    <t>60ca65430b993</t>
  </si>
  <si>
    <t>https://56tinyqwas.azurewebsites.net/W088MSi08880Moit0yCH0008Mhi0/index.html</t>
  </si>
  <si>
    <t>49tinyqwas.azurewebsites.net</t>
  </si>
  <si>
    <t>60ca61461871e</t>
  </si>
  <si>
    <t>https://49tinyqwas.azurewebsites.net/W088MSi08880Moit0yCH0008Mhi0/index.html</t>
  </si>
  <si>
    <t>21tinyureaszx.azurewebsites.net</t>
  </si>
  <si>
    <t>60c27a13237b9</t>
  </si>
  <si>
    <t>https://21tinyureaszx.azurewebsites.net/W088MSi08880Moit0yCH0008Mhi0/index.html</t>
  </si>
  <si>
    <t>04tinyureqwas.azurewebsites.net</t>
  </si>
  <si>
    <t>60c26da2b49fb</t>
  </si>
  <si>
    <t>https://04tinyureqwas.azurewebsites.net/W088MSi08880Moit0yCH0008Mhi0/index.html</t>
  </si>
  <si>
    <t>01tinyureyhju.azurewebsites.net</t>
  </si>
  <si>
    <t>60c26c516fb28</t>
  </si>
  <si>
    <t>https://01tinyureyhju.azurewebsites.net/W088MSi08880Moit0yCH0008Mhi0/index.html</t>
  </si>
  <si>
    <t>59usleqwas.azurewebsites.net</t>
  </si>
  <si>
    <t>60c26a53be2f2</t>
  </si>
  <si>
    <t>https://59usleqwas.azurewebsites.net/W088MSi08880Moit0yCH0008Mhi0/index.html</t>
  </si>
  <si>
    <t>48usleqasz.azurewebsites.net</t>
  </si>
  <si>
    <t>60c261b87e6f2</t>
  </si>
  <si>
    <t>https://48usleqasz.azurewebsites.net/W088MSi08880Moit0yCED0008Mhi0/index.html</t>
  </si>
  <si>
    <t>47usleyuhj.azurewebsites.net</t>
  </si>
  <si>
    <t>60c261436ab70</t>
  </si>
  <si>
    <t>https://47usleyuhj.azurewebsites.net/W088MSi08880Moit0yCED0008Mhi0/index.html</t>
  </si>
  <si>
    <t>46usleqwas.azurewebsites.net</t>
  </si>
  <si>
    <t>60c260c4ae1d9</t>
  </si>
  <si>
    <t>https://46usleqwas.azurewebsites.net/W088MSi08880Moit0yCED0008Mhi0/index.html</t>
  </si>
  <si>
    <t>44usleyujk.azurewebsites.net</t>
  </si>
  <si>
    <t>60c25fb8de4ea</t>
  </si>
  <si>
    <t>https://44usleyujk.azurewebsites.net/W088MSi08880Moit0yCED0008Mhi0/index.html</t>
  </si>
  <si>
    <t>41usleyhgtr.azurewebsites.net</t>
  </si>
  <si>
    <t>60c25e58f1cd5</t>
  </si>
  <si>
    <t>https://41usleyhgtr.azurewebsites.net/W088MSi08880Moit0yCED0008Mhi0/index.html</t>
  </si>
  <si>
    <t>36usletfrr.azurewebsites.net</t>
  </si>
  <si>
    <t>60c25c031e346</t>
  </si>
  <si>
    <t>https://36usletfrr.azurewebsites.net/W088MSi08880Moit0yCH0008Mhi0/index.html</t>
  </si>
  <si>
    <t>33uslewqas.azurewebsites.net</t>
  </si>
  <si>
    <t>60c25a9b518a7</t>
  </si>
  <si>
    <t>https://33uslewqas.azurewebsites.net/W088MSi08880Moit0yCH0008Mhi0/index.html</t>
  </si>
  <si>
    <t>22bitsupportqasz.azurewebsites.net</t>
  </si>
  <si>
    <t>60a3ede49813d</t>
  </si>
  <si>
    <t>https://22bitsupportqasz.azurewebsites.net/ERRWINIn01MSi0XXiUICH0MXGRAPHIC/index.html</t>
  </si>
  <si>
    <t>01bitsupportyuhj.azurewebsites.net</t>
  </si>
  <si>
    <t>60a3e9e13e0c7</t>
  </si>
  <si>
    <t>https://01bitsupportyuhj.azurewebsites.net/ERRWINIn01MSi0XXiUICH0MXGRAPHIC/index.html</t>
  </si>
  <si>
    <t>lanzaf.ga</t>
  </si>
  <si>
    <t>172.67.210.42</t>
  </si>
  <si>
    <t>60a3fa4b28a87</t>
  </si>
  <si>
    <t>https://lanzaf.ga/hNvzqy_Zr7oG_YC/hgo_u_2__qOc_XR/AYZ_J_pXld4lwT_/lm__n_cG7/?n_b=MSg4NDQpNDg5IDg1NDE=&amp;amp;s_1=s1412_av-0df2ec657e061c7</t>
  </si>
  <si>
    <t>parity550jm.ga</t>
  </si>
  <si>
    <t>104.21.59.235</t>
  </si>
  <si>
    <t>60a3fe57719af</t>
  </si>
  <si>
    <t>https://parity550jm.ga/0WinDhelpli0ne220317/W088In01MSi08880it0yCH00081188/index.html</t>
  </si>
  <si>
    <t>kabootarjaja2.monster</t>
  </si>
  <si>
    <t>172.67.140.91</t>
  </si>
  <si>
    <t>60a40a8e75bf7</t>
  </si>
  <si>
    <t>https://kabootarjaja2.monster/Exo/Exopool/nimdaUS-Adult/EDG/?lpkey=160421573656364379&amp;amp;clickid=5248a7vj23zblf15&amp;amp;browser_name=Microsoft%20Edge&amp;amp</t>
  </si>
  <si>
    <t>60a3ff0c7998b</t>
  </si>
  <si>
    <t>https://kabootarjaja2.monster/Exo/Exopool/nimdaUS-Adult/CH/?lpkey=163c211736a9084f22&amp;amp;clickid=57c087vm79lvrb11&amp;amp;browser_name=Chrome&amp;amp;ip=158.222</t>
  </si>
  <si>
    <t>d2xje74dpwlcih.cloudfront.net</t>
  </si>
  <si>
    <t>13.225.29.176</t>
  </si>
  <si>
    <t>60a6ca8cad721</t>
  </si>
  <si>
    <t>https://d2xje74dpwlcih.cloudfront.net/04win/?phone=+1-(888)-775-3170&amp;amp;clickid=4HpCvxg58Ds&amp;amp;scid=216899.twiutter.com</t>
  </si>
  <si>
    <t>60a6c94899b44</t>
  </si>
  <si>
    <t>https://d2xje74dpwlcih.cloudfront.net/04win/?phone=+1-(888)-778-9182&amp;amp;clickid=9rBq*uspCsw&amp;amp;scid=154692.151_gmaqil.com</t>
  </si>
  <si>
    <t>60a6c9054c6c2</t>
  </si>
  <si>
    <t>https://d2xje74dpwlcih.cloudfront.net/04win/?phone=+1-(888)-780-4127&amp;amp;clickid=%7B%7BclickId%7D%7D&amp;amp;sub=72d53cbefc9cacc1523dc9634&amp;amp;clickId=Mwap8</t>
  </si>
  <si>
    <t>60a6cbba71366</t>
  </si>
  <si>
    <t>https://d2xje74dpwlcih.cloudfront.net/04win/?phone=+1-(888)-780-5674&amp;amp;clickid=GZXVJLI2*6k&amp;amp;scid=216899.twittre.com</t>
  </si>
  <si>
    <t>d1h04bfu2sfp8v.cloudfront.net</t>
  </si>
  <si>
    <t>13.249.12.96</t>
  </si>
  <si>
    <t>60a41d6de6908</t>
  </si>
  <si>
    <t>https://d1h04bfu2sfp8v.cloudfront.net/04win/?phone=+1-(888)-784-9316&amp;amp;clickid=9P1pTeNJb6Q&amp;amp;scid=225955.twiktter.com</t>
  </si>
  <si>
    <t>13.225.29.65</t>
  </si>
  <si>
    <t>60a533538a708</t>
  </si>
  <si>
    <t>https://d1832uxggef4vz.cloudfront.net/04win/?phone=+1-(888)-776-0521&amp;amp;clickid=hHtmQKxDKtk&amp;amp;scid=176456.fzcebook.com</t>
  </si>
  <si>
    <t>13.225.29.25</t>
  </si>
  <si>
    <t>60a5381d513f8</t>
  </si>
  <si>
    <t>https://d1832uxggef4vz.cloudfront.net/04win/?phone=+1-(888)-785-5609&amp;amp;click=4YR5StYzMZ8&amp;amp;sclick=210156.14892298</t>
  </si>
  <si>
    <t>60a5357d02019</t>
  </si>
  <si>
    <t>https://d1832uxggef4vz.cloudfront.net/04win/?phone=+1-(888)-784-2297&amp;amp;udid=V4jEq525MM8&amp;amp;duid=95356.240934_13262</t>
  </si>
  <si>
    <t>60a534d5f18fa</t>
  </si>
  <si>
    <t>https://d1832uxggef4vz.cloudfront.net/04win/?phone=+1-(888)-782-1482&amp;amp;clickid=-BSD8XTqE5I&amp;amp;scid=104666.50b642b208f9c98c5e008894</t>
  </si>
  <si>
    <t>itip03.azurewebsites.net</t>
  </si>
  <si>
    <t>20.40.202.15</t>
  </si>
  <si>
    <t>60d22c97e1937</t>
  </si>
  <si>
    <t>https://itip03.azurewebsites.net/W880n01xm888se0cur0it0yCH008VP888Y/index.html</t>
  </si>
  <si>
    <t>itip5.azurewebsites.net</t>
  </si>
  <si>
    <t>60d22bec5baf0</t>
  </si>
  <si>
    <t>https://itip5.azurewebsites.net/W880n01xm888se0cur0it0yCH008VP888Y/index.html</t>
  </si>
  <si>
    <t>itip4.azurewebsites.net</t>
  </si>
  <si>
    <t>60d22be720b86</t>
  </si>
  <si>
    <t>https://itip4.azurewebsites.net/W880n01xm888se0cur0it0yCH008VP888Y/index.html</t>
  </si>
  <si>
    <t>itip2.azurewebsites.net</t>
  </si>
  <si>
    <t>60d22be032043</t>
  </si>
  <si>
    <t>https://itip2.azurewebsites.net/W880n01xm888se0cur0it0yCH008VP888Y/index.html</t>
  </si>
  <si>
    <t>itip3.azurewebsites.net</t>
  </si>
  <si>
    <t>60d22bdb103b6</t>
  </si>
  <si>
    <t>https://itip3.azurewebsites.net/W880n01xm888se0cur0it0yCH008VP888Y/index.html</t>
  </si>
  <si>
    <t>mtip15.azurewebsites.net</t>
  </si>
  <si>
    <t>60ca76353464f</t>
  </si>
  <si>
    <t>https://mtip15.azurewebsites.net/W880n01xm888se0cur0it0yCH008VP888Y/index.html</t>
  </si>
  <si>
    <t>mtip14.azurewebsites.net</t>
  </si>
  <si>
    <t>60ca762b8e7d2</t>
  </si>
  <si>
    <t>https://mtip14.azurewebsites.net/W880n01xm888se0cur0it0yCH008VP888Y/index.html</t>
  </si>
  <si>
    <t>mtip13.azurewebsites.net</t>
  </si>
  <si>
    <t>60ca7620674e2</t>
  </si>
  <si>
    <t>https://mtip13.azurewebsites.net/W880n01xm888se0cur0it0yCH008VP888Y/index.html</t>
  </si>
  <si>
    <t>mtip12.azurewebsites.net</t>
  </si>
  <si>
    <t>60ca760dca7d0</t>
  </si>
  <si>
    <t>https://mtip12.azurewebsites.net/W880n01xm888se0cur0it0yCH008VP888Y/index.html</t>
  </si>
  <si>
    <t>mtip11.azurewebsites.net</t>
  </si>
  <si>
    <t>60ca716b3c978</t>
  </si>
  <si>
    <t>https://mtip11.azurewebsites.net/W880n01xm888se0cur0it0yCH008VP888Y/index.html</t>
  </si>
  <si>
    <t>mtip6.azurewebsites.net</t>
  </si>
  <si>
    <t>60ca5b7a086e8</t>
  </si>
  <si>
    <t>https://mtip6.azurewebsites.net/W880n01xm888se0cur0it0yCH008VP888Y/index.html</t>
  </si>
  <si>
    <t>mtip10.azurewebsites.net</t>
  </si>
  <si>
    <t>60ca59d97f3d3</t>
  </si>
  <si>
    <t>https://mtip10.azurewebsites.net/W880n01xm888se0cur0it0yCH008VP888Y/index.html</t>
  </si>
  <si>
    <t>mtip9.azurewebsites.net</t>
  </si>
  <si>
    <t>60ca59d3c1362</t>
  </si>
  <si>
    <t>https://mtip9.azurewebsites.net/W880n01xm888se0cur0it0yCH008VP888Y/index.html</t>
  </si>
  <si>
    <t>mtip8.azurewebsites.net</t>
  </si>
  <si>
    <t>60ca59ced58fa</t>
  </si>
  <si>
    <t>https://mtip8.azurewebsites.net/W880n01xm888se0cur0it0yCH008VP888Y/index.html</t>
  </si>
  <si>
    <t>mtip7.azurewebsites.net</t>
  </si>
  <si>
    <t>60ca59c9ba0bc</t>
  </si>
  <si>
    <t>https://mtip7.azurewebsites.net/W880n01xm888se0cur0it0yCH008VP888Y/index.html</t>
  </si>
  <si>
    <t>mtip1.azurewebsites.net</t>
  </si>
  <si>
    <t>60ca564531a68</t>
  </si>
  <si>
    <t>https://mtip1.azurewebsites.net/W880n01xm888se0cur0it0yCH008VP888Y/index.html</t>
  </si>
  <si>
    <t>mtip2.azurewebsites.net</t>
  </si>
  <si>
    <t>60ca56403d6ff</t>
  </si>
  <si>
    <t>https://mtip2.azurewebsites.net/W880n01xm888se0cur0it0yCH008VP888Y/index.html</t>
  </si>
  <si>
    <t>mtip3.azurewebsites.net</t>
  </si>
  <si>
    <t>60ca563a7a812</t>
  </si>
  <si>
    <t>https://mtip3.azurewebsites.net/W880n01xm888se0cur0it0yCH008VP888Y/index.html</t>
  </si>
  <si>
    <t>mtip4.azurewebsites.net</t>
  </si>
  <si>
    <t>60ca5635184b1</t>
  </si>
  <si>
    <t>https://mtip4.azurewebsites.net/W880n01xm888se0cur0it0yCH008VP888Y/index.html</t>
  </si>
  <si>
    <t>mtip5.azurewebsites.net</t>
  </si>
  <si>
    <t>60ca535a080ad</t>
  </si>
  <si>
    <t>https://mtip5.azurewebsites.net/W880n01xm888se0cur0it0yCH008VP888Y/index.html</t>
  </si>
  <si>
    <t>adsgdhjjkkkjhfghg.azurewebsites.net</t>
  </si>
  <si>
    <t>60a7ec0185162</t>
  </si>
  <si>
    <t>http://adsgdhjjkkkjhfghg.azurewebsites.net/Winhelpxcodew3w3w3HelpSecurity0nlineCH007AWSCAD/index.html</t>
  </si>
  <si>
    <t>pornhub1v3d.azurewebsites.net</t>
  </si>
  <si>
    <t>60a6d641c8f69</t>
  </si>
  <si>
    <t>https://pornhub1v3d.azurewebsites.net/WDH88In008880it0yCH0DH81188/?sub1={{zoneid}}&amp;amp;sub2={{subid}}&amp;amp;sub3={{ctoken}}&amp;amp;sub4={{ip}}&amp;amp;sub5={{use</t>
  </si>
  <si>
    <t>pornhub2s5g.azurewebsites.net</t>
  </si>
  <si>
    <t>60a7c5f58a3dc</t>
  </si>
  <si>
    <t>https://pornhub2s5g.azurewebsites.net/WDH88In008880it0yCH0DH81188/?sub1={{zoneid}}</t>
  </si>
  <si>
    <t>thepornhubdirectory0a9b.azurewebsites.net</t>
  </si>
  <si>
    <t>60a5355b985df</t>
  </si>
  <si>
    <t>https://thepornhubdirectory0a9b.azurewebsites.net/WDH88In008880it0yCED0DH81188/</t>
  </si>
  <si>
    <t>d33ai362yyl381.cloudfront.net</t>
  </si>
  <si>
    <t>13.225.29.213</t>
  </si>
  <si>
    <t>60a5380a72593</t>
  </si>
  <si>
    <t>https://d33ai362yyl381.cloudfront.net/CHH9/?phone=+1-(888)-395-9301&amp;amp;ad_id=0060bd8ec1d785526405380013bab92a45&amp;amp;ad_title=Locals+See+Wolf+Enter+Dog+</t>
  </si>
  <si>
    <t>13.225.29.90</t>
  </si>
  <si>
    <t>60a5382daae05</t>
  </si>
  <si>
    <t>https://d33ai362yyl381.cloudfront.net/CHH9/?phone=+1-(888)-396-9155&amp;amp;ad_id=00497a0e2ae5e0a6306e55029a7f5aeb2d&amp;amp;ad_title=Locals+See+Wolf+Enter+Dog+</t>
  </si>
  <si>
    <t>d19l5wcgjflasx.cloudfront.net</t>
  </si>
  <si>
    <t>143.204.226.93</t>
  </si>
  <si>
    <t>60a6e86ba492a</t>
  </si>
  <si>
    <t>https://d19l5wcgjflasx.cloudfront.net/04win/?phone=+1-(888)-785-4575&amp;amp;clickid=%7B%7BclickId%7D%7D&amp;amp;sub=8200fea6cccdc7bf753022ba0&amp;amp;clickId=nB7zI</t>
  </si>
  <si>
    <t>3.123.220.207</t>
  </si>
  <si>
    <t>60a77722ad2de</t>
  </si>
  <si>
    <t>http://3.123.220.207/CHdfANfdgfgfgdfgdfgf0008/</t>
  </si>
  <si>
    <t>18.158.68.187</t>
  </si>
  <si>
    <t>60a7a10266a2e</t>
  </si>
  <si>
    <t>http://18.158.68.187/CHdfANfdgfgfgdfgdfgf0008/</t>
  </si>
  <si>
    <t>AS62729</t>
  </si>
  <si>
    <t>inmsu7.gq</t>
  </si>
  <si>
    <t>A Small Orange LLC</t>
  </si>
  <si>
    <t>23.91.71.247</t>
  </si>
  <si>
    <t>60ae6ccc4507f</t>
  </si>
  <si>
    <t>http://inmsu7.gq/Win9283293u4h984uhjnm9876tybno230984trgfdsfgde4e5654tyrtytytgf/?phone=+1-(865)-888-8191&amp;amp;</t>
  </si>
  <si>
    <t>inmsu7.cf</t>
  </si>
  <si>
    <t>60aa8caeed433</t>
  </si>
  <si>
    <t>http://inmsu7.cf/Win9283293u4h984uhjnm9876tybno230984trgfdsfgde4e5654tyrtytytgf/?phone=+1-(865)-888-8191&amp;amp;</t>
  </si>
  <si>
    <t>niwios3.ml</t>
  </si>
  <si>
    <t>60a7f2143225a</t>
  </si>
  <si>
    <t>http://niwios3.ml/Win9283293u4h984uhjnm9876tybno230984trgfdsfgde4e5654tyrtytytgf/?phone=+1-(865)-888-8191&amp;amp;</t>
  </si>
  <si>
    <t>mniw939j.ga</t>
  </si>
  <si>
    <t>60a7b3d8576ed</t>
  </si>
  <si>
    <t>http://mniw939j.ga/Win9283293u4h984uhjnm9876tybno230984trgfdsfgde4e5654tyrtytytgf/?phone=+1-(865)-888-8191&amp;amp;</t>
  </si>
  <si>
    <t>wqax.s3.amazonaws.com</t>
  </si>
  <si>
    <t>52.217.101.60</t>
  </si>
  <si>
    <t>60a7b69b50b7a</t>
  </si>
  <si>
    <t>https://wqax.s3.amazonaws.com/index.html</t>
  </si>
  <si>
    <t>d82hq3c2biam7.cloudfront.net</t>
  </si>
  <si>
    <t>52.84.193.48</t>
  </si>
  <si>
    <t>60a7d17521984</t>
  </si>
  <si>
    <t>https://d82hq3c2biam7.cloudfront.net/04win/?phone=+1-(888)-775-1012&amp;amp;clickid=%7B%7BclickId%7D%7D&amp;amp;sub=2f30fe5ce5afb9798c67ede2b&amp;amp;clickId=kR385c</t>
  </si>
  <si>
    <t>dhnlwl5g6p3ve.cloudfront.net</t>
  </si>
  <si>
    <t>52.84.193.135</t>
  </si>
  <si>
    <t>60a7e06f34403</t>
  </si>
  <si>
    <t>https://dhnlwl5g6p3ve.cloudfront.net/04win/?phone=+1-(888)-780-5561&amp;amp;utm_conversionid=wN59QZyoX-c&amp;amp;utm_medium=202672.294546</t>
  </si>
  <si>
    <t>fulllzygfs8bh.xyz</t>
  </si>
  <si>
    <t>172.67.222.162</t>
  </si>
  <si>
    <t>60a7e1122b883</t>
  </si>
  <si>
    <t>https://fulllzygfs8bh.xyz/0WinDhelpli0ne130677/W088In01MSi08880it0yCH00081188/index.html</t>
  </si>
  <si>
    <t>limitedwebcure3.online</t>
  </si>
  <si>
    <t>104.21.68.224</t>
  </si>
  <si>
    <t>60a7e1a42e668</t>
  </si>
  <si>
    <t>https://limitedwebcure3.online/0WinDhelpli0ne511959/W088In01MSi08880it0yCH00081188/index.html</t>
  </si>
  <si>
    <t>52.84.193.140</t>
  </si>
  <si>
    <t>60a7e2b42cfbd</t>
  </si>
  <si>
    <t>https://dhnlwl5g6p3ve.cloudfront.net/04win/?phone=+1-(888)-782-5731&amp;amp;udid=Rmk73M*nqgA&amp;amp;duid=207532.25216119</t>
  </si>
  <si>
    <t>52.84.193.29</t>
  </si>
  <si>
    <t>60a7e516a0be7</t>
  </si>
  <si>
    <t>https://dhnlwl5g6p3ve.cloudfront.net/04win/?phone=+1-(888)-781-0982&amp;amp;clickid=LcyS1rgEZVz4esxVDqbeRwSjtnzXzUAg5ivW6mCC&amp;amp;sub=02d423bb8174c28fed8ee3a</t>
  </si>
  <si>
    <t>13.225.29.118</t>
  </si>
  <si>
    <t>60a6ca78b9f98</t>
  </si>
  <si>
    <t>https://d2xje74dpwlcih.cloudfront.net/04win/?phone=+1-(888)-782-0508&amp;amp;clickid=%7B%7BclickId%7D%7D&amp;amp;sub=41d1105da53194017056851dd&amp;amp;clickId=4x3tQ</t>
  </si>
  <si>
    <t>d1tv01oh9r2f45.cloudfront.net</t>
  </si>
  <si>
    <t>143.204.226.224</t>
  </si>
  <si>
    <t>60a5674fa8de0</t>
  </si>
  <si>
    <t>https://d1tv01oh9r2f45.cloudfront.net/04win/?phone=+1-(888)-783-0296&amp;amp;clickid=wQLGb8i8oYw&amp;amp;scid=279066.gmaol.com</t>
  </si>
  <si>
    <t>143.204.226.78</t>
  </si>
  <si>
    <t>60a56d1a8dc53</t>
  </si>
  <si>
    <t>https://d1tv01oh9r2f45.cloudfront.net/04win/?phone=+1-(888)-773-5417</t>
  </si>
  <si>
    <t>d315d1qtp9vd2.cloudfront.net</t>
  </si>
  <si>
    <t>143.204.226.41</t>
  </si>
  <si>
    <t>60a57575475e2</t>
  </si>
  <si>
    <t>https://d315d1qtp9vd2.cloudfront.net/04win/?phone=+1-(888)-773-6710</t>
  </si>
  <si>
    <t>ifitwasthere42.s3-sa-east-1.amazonaws.com</t>
  </si>
  <si>
    <t>52.95.164.3</t>
  </si>
  <si>
    <t>60a57c251879d</t>
  </si>
  <si>
    <t>https://ifitwasthere42.s3-sa-east-1.amazonaws.com/lite1/index.html</t>
  </si>
  <si>
    <t>192.248.179.8</t>
  </si>
  <si>
    <t>The Constant Company</t>
  </si>
  <si>
    <t>60a6196ac5ccb</t>
  </si>
  <si>
    <t>http://192.248.179.8/de2/CHdfANfd808080fgdfDEgdfgf000800/index.html</t>
  </si>
  <si>
    <t>178.62.33.246</t>
  </si>
  <si>
    <t>60a6d290581a3</t>
  </si>
  <si>
    <t>http://178.62.33.246/index.with.out.pro.html</t>
  </si>
  <si>
    <t>charcoalbags.xyz</t>
  </si>
  <si>
    <t>159.203.83.251</t>
  </si>
  <si>
    <t>60a69cd0646bf</t>
  </si>
  <si>
    <t>https://charcoalbags.xyz/tnt/W088MSi08880it0yCEH00811Ar/index.html</t>
  </si>
  <si>
    <t>d4f1kshq7zb40.cloudfront.net</t>
  </si>
  <si>
    <t>52.84.193.104</t>
  </si>
  <si>
    <t>60a69f0fdff4d</t>
  </si>
  <si>
    <t>https://d4f1kshq7zb40.cloudfront.net/04win/?phone=+1-(888)-785-2923&amp;amp;click=EjWuyNlLe3w&amp;amp;sclick=210156.14892298</t>
  </si>
  <si>
    <t>d1vljdp0a5mmij.cloudfront.net</t>
  </si>
  <si>
    <t>13.225.29.185</t>
  </si>
  <si>
    <t>60a6c64c3603f</t>
  </si>
  <si>
    <t>https://d1vljdp0a5mmij.cloudfront.net/04win/?phone=+1-(888)-785-4014&amp;amp;utm_conversionid=d8*27a9mt-o&amp;amp;utm_medium=231411.25_228_8</t>
  </si>
  <si>
    <t>helpline24x7officialclickforcall2.xyz</t>
  </si>
  <si>
    <t>159.65.35.76</t>
  </si>
  <si>
    <t>60a6c6a95865f</t>
  </si>
  <si>
    <t>https://helpline24x7officialclickforcall2.xyz/Errorcode23x7dskjdhskjdweeoorrrhelplinenewhelp0981/W8YYn0Ma0S7cu0r0it0yCH0080MYK/</t>
  </si>
  <si>
    <t>d3duk46gy8pjh8.cloudfront.net</t>
  </si>
  <si>
    <t>52.84.193.188</t>
  </si>
  <si>
    <t>60a6bb8e3919a</t>
  </si>
  <si>
    <t>https://d3duk46gy8pjh8.cloudfront.net/04win/?phone=+1-(888)-771-8538&amp;amp;clickid=%7B%7BclickId%7D%7D&amp;amp;sub=4f1736b3423e87171dab8d4bc&amp;amp;clickId=j6NMf</t>
  </si>
  <si>
    <t>60a6b4b4a5b90</t>
  </si>
  <si>
    <t>https://d3duk46gy8pjh8.cloudfront.net/04win/?phone=+1-(888)-773-4657&amp;amp;clickid=zDgu0NgPCkk&amp;amp;scid=154692.151_ygmail.com</t>
  </si>
  <si>
    <t>52.84.193.230</t>
  </si>
  <si>
    <t>60a6c22701882</t>
  </si>
  <si>
    <t>https://d1vljdp0a5mmij.cloudfront.net/04win/?phone=+1-(888)-782-3129&amp;amp;clickid=xJl9vwC-e7E&amp;amp;scid=225955.twiktter.com</t>
  </si>
  <si>
    <t>60a6c0f0605f7</t>
  </si>
  <si>
    <t>https://d1vljdp0a5mmij.cloudfront.net/04win/?phone=+1-(888)-774-9253&amp;amp;udid=ShfxwJX1Ew0&amp;amp;duid=276487.236836_googre.com</t>
  </si>
  <si>
    <t>60a6bbbc06b05</t>
  </si>
  <si>
    <t>https://d1vljdp0a5mmij.cloudfront.net/04win/?phone=+1-(888)-773-0631&amp;amp;clickid=he299hdAqUY&amp;amp;scid=154692.151_twltter.com</t>
  </si>
  <si>
    <t>52.84.193.15</t>
  </si>
  <si>
    <t>60a6be1403911</t>
  </si>
  <si>
    <t>https://d1vljdp0a5mmij.cloudfront.net/04win/?phone=+1-(888)-733-0566&amp;amp;clickid=lXHzNZdjtGo&amp;amp;scid=248790.164_twuitter.com</t>
  </si>
  <si>
    <t>52.84.193.10</t>
  </si>
  <si>
    <t>60a6c29b81bc3</t>
  </si>
  <si>
    <t>https://d1vljdp0a5mmij.cloudfront.net/04win/?phone=+1-(888)-773-1164&amp;amp;udid=e-uO8TUzVcI&amp;amp;duid=241285.176456_youtubd.com</t>
  </si>
  <si>
    <t>60a6c0c5a6ba6</t>
  </si>
  <si>
    <t>https://d1vljdp0a5mmij.cloudfront.net/04win/?phone=+1-(888)-779-0624&amp;amp;clickid=A*7fgqiEtEA&amp;amp;scid=216899.googre.com</t>
  </si>
  <si>
    <t>softcareeef.ml</t>
  </si>
  <si>
    <t>161.35.232.221</t>
  </si>
  <si>
    <t>60a7f928d4dbd</t>
  </si>
  <si>
    <t>https://softcareeef.ml/W088MSi08880Moit0y0FF0008Mhi11/index.html</t>
  </si>
  <si>
    <t>dizkzhn4eeb5y.cloudfront.net</t>
  </si>
  <si>
    <t>52.84.193.187</t>
  </si>
  <si>
    <t>60d0ea6239394</t>
  </si>
  <si>
    <t>https://dizkzhn4eeb5y.cloudfront.net/04win/?phone=+1-(888)-202-3347&amp;amp;s1=adult_popunders&amp;amp;s2=235372.1097288</t>
  </si>
  <si>
    <t>d3p8cxiu4wxz7k.cloudfront.net</t>
  </si>
  <si>
    <t>60a7fb5e0f779</t>
  </si>
  <si>
    <t>https://d3p8cxiu4wxz7k.cloudfront.net/04win/?phone=+1-(888)-782-5241&amp;amp;clickid=9YvFg7tv6fE&amp;amp;scid=176456.gmqail.com</t>
  </si>
  <si>
    <t>hqazcop.buzz</t>
  </si>
  <si>
    <t>172.67.189.35</t>
  </si>
  <si>
    <t>60a80067cce56</t>
  </si>
  <si>
    <t>https://hqazcop.buzz/error4961n/WinhelpxcodexwinFFsys88880101010102/</t>
  </si>
  <si>
    <t>d2mfo65z88v00q.cloudfront.net</t>
  </si>
  <si>
    <t>52.84.193.70</t>
  </si>
  <si>
    <t>60a802f4855ae</t>
  </si>
  <si>
    <t>https://d2mfo65z88v00q.cloudfront.net/CHH9/?phone=+1-(888)-598-1537&amp;amp;__sid=1eb98859-05ef-6664-aa05-ac1f6b95a853&amp;amp;ad_id=001785e888adacc5cf757a1b17e</t>
  </si>
  <si>
    <t>d194d5gloo3642.cloudfront.net</t>
  </si>
  <si>
    <t>52.222.161.211</t>
  </si>
  <si>
    <t>60d61c4c6a9b9</t>
  </si>
  <si>
    <t>https://d194d5gloo3642.cloudfront.net/CHH9/?phone=+1-(888)-393-8007</t>
  </si>
  <si>
    <t>60d61bd1c38b2</t>
  </si>
  <si>
    <t>https://d194d5gloo3642.cloudfront.net/CHH9/?phone=+1-(888)-312-1423</t>
  </si>
  <si>
    <t>60d61bb8c1109</t>
  </si>
  <si>
    <t>https://d194d5gloo3642.cloudfront.net/CHH9/?phone=+1-(888)-312-1416</t>
  </si>
  <si>
    <t>60d61b35a05c8</t>
  </si>
  <si>
    <t>https://d194d5gloo3642.cloudfront.net/CHH9/?phone=+1-(888)-598-1422</t>
  </si>
  <si>
    <t>60d61b0a177bc</t>
  </si>
  <si>
    <t>https://d194d5gloo3642.cloudfront.net/CHH9/?phone=+1-(888)-367-4964</t>
  </si>
  <si>
    <t>60d61ae7ea490</t>
  </si>
  <si>
    <t>https://d194d5gloo3642.cloudfront.net/CHH9/?phone=+1-(888)-291-0147&amp;amp;__sid=1ebd5ccd-891c-6568-9855-ac1f6b95a853&amp;amp;ad_id=00063ba820d44f38f97d2a718da</t>
  </si>
  <si>
    <t>d3fkhexdnhy3me.cloudfront.net</t>
  </si>
  <si>
    <t>60a809d019a06</t>
  </si>
  <si>
    <t>https://d3fkhexdnhy3me.cloudfront.net/04win/?phone=+1-(888)-781-4051&amp;amp;udid=rD99iuW8VR4&amp;amp;duid=95356.240934_232035</t>
  </si>
  <si>
    <t>60a805c4503f8</t>
  </si>
  <si>
    <t>https://d3fkhexdnhy3me.cloudfront.net/04win/?phone=+1-(888)-780-3261&amp;amp;clickid=9zxK4j1bH0M&amp;amp;scid=104666.5137f088dfe108a2700004d1</t>
  </si>
  <si>
    <t>dpc6qzj37wt0o.cloudfront.net</t>
  </si>
  <si>
    <t>52.222.161.8</t>
  </si>
  <si>
    <t>60d78b819a971</t>
  </si>
  <si>
    <t>https://dpc6qzj37wt0o.cloudfront.net/merrx01/?phone=+1-(877)-469-1078&amp;amp;t1=xqD5Y0BSDPo&amp;amp;t2=154692.151_gnarbot.xyz</t>
  </si>
  <si>
    <t>60a8090ba6af6</t>
  </si>
  <si>
    <t>https://d3fkhexdnhy3me.cloudfront.net/04win/?phone=+1-(888)-783-0546&amp;amp;clickid=-f6CA3sHVhM&amp;amp;scid=92421.51587f25af3b875c350a5b9c</t>
  </si>
  <si>
    <t>60a80744062da</t>
  </si>
  <si>
    <t>https://d3fkhexdnhy3me.cloudfront.net/04win/?phone=+1-(888)-785-1934&amp;amp;clickid=R8l9r0zyyMA&amp;amp;scid=216899.goonle.com</t>
  </si>
  <si>
    <t>d2mtcwx2foxpg2.cloudfront.net</t>
  </si>
  <si>
    <t>52.84.193.40</t>
  </si>
  <si>
    <t>60a8077e60642</t>
  </si>
  <si>
    <t>https://d2mtcwx2foxpg2.cloudfront.net/CHH9/?phone=+1-(888)-312-1434&amp;amp;__sid=1eb98859-05ef-6664-aa05-ac1f6b95a853&amp;amp;ad_id=007d465b8e220fab398882c1c6c</t>
  </si>
  <si>
    <t>52.84.193.219</t>
  </si>
  <si>
    <t>60a80798d84d3</t>
  </si>
  <si>
    <t>https://d2mtcwx2foxpg2.cloudfront.net/CHH9/?phone=+1-(888)-383-0572&amp;amp;__sid=1eb98859-05ef-6664-aa05-ac1f6b95a853&amp;amp;ad_id=001785e888adacc5cf757a1b17e</t>
  </si>
  <si>
    <t>kiden.buzz</t>
  </si>
  <si>
    <t>172.67.131.82</t>
  </si>
  <si>
    <t>60a807a3c2d02</t>
  </si>
  <si>
    <t>https://kiden.buzz/error4961n/WinhelpxcodexwinCHsys88880101010102/</t>
  </si>
  <si>
    <t>52.222.161.57</t>
  </si>
  <si>
    <t>60a8083aeb161</t>
  </si>
  <si>
    <t>https://d3fkhexdnhy3me.cloudfront.net/04win/?phone=+1-(888)-782-4406&amp;amp;utm_medium=216899.googre.com&amp;amp;utm_term=BjmieSGDIXg&amp;amp;utm_source=binomexp</t>
  </si>
  <si>
    <t>60a807ecaff28</t>
  </si>
  <si>
    <t>https://d3fkhexdnhy3me.cloudfront.net/04win/?phone=+1-(888)-780-3405&amp;amp;udid=o6Q46ued6mU&amp;amp;duid=241285.216899_googre.com</t>
  </si>
  <si>
    <t>d2tdh9nns6tdqh.cloudfront.net</t>
  </si>
  <si>
    <t>52.84.193.108</t>
  </si>
  <si>
    <t>60a80c3e75337</t>
  </si>
  <si>
    <t>https://d2tdh9nns6tdqh.cloudfront.net/04win/?phone=+1-(888)-783-0546&amp;amp;clickid=hwjjZFBqN4s&amp;amp;scid=92421.5060279ae6bdee62d370f19b</t>
  </si>
  <si>
    <t>easdcer.buzz</t>
  </si>
  <si>
    <t>172.67.179.91</t>
  </si>
  <si>
    <t>60a80cee46dc3</t>
  </si>
  <si>
    <t>https://easdcer.buzz/error4961n/WinhelpxcodexwinCHsys88880101010102/</t>
  </si>
  <si>
    <t>52.84.193.130</t>
  </si>
  <si>
    <t>60a80d85b76df</t>
  </si>
  <si>
    <t>https://d2tdh9nns6tdqh.cloudfront.net/04win/?phone=+1-(888)-779-9765&amp;amp;clickid=LbIxM0Xl7LI&amp;amp;scid=92421.5315f19b4d37405d3104b820</t>
  </si>
  <si>
    <t>52.84.193.3</t>
  </si>
  <si>
    <t>60a80eaf432d5</t>
  </si>
  <si>
    <t>https://d2tdh9nns6tdqh.cloudfront.net/04win/?phone=+1-(888)-781-4306&amp;amp;udid=N*3wDAqIuaE&amp;amp;duid=95356.240934_24053</t>
  </si>
  <si>
    <t>eqasxz.buzz</t>
  </si>
  <si>
    <t>104.21.70.211</t>
  </si>
  <si>
    <t>60a80f316db21</t>
  </si>
  <si>
    <t>https://eqasxz.buzz/error8256n/WinhelpxcodexwinCHsys88880101010102/</t>
  </si>
  <si>
    <t>d3tdirbpw7domd.cloudfront.net</t>
  </si>
  <si>
    <t>52.222.161.209</t>
  </si>
  <si>
    <t>60a83843f2383</t>
  </si>
  <si>
    <t>https://d3tdirbpw7domd.cloudfront.net/04win/?phone=+1-(888)-772-9169&amp;amp;udid=NRIt1WkjNKE&amp;amp;duid=132121.14892298</t>
  </si>
  <si>
    <t>d13o3469wfdxih.cloudfront.net</t>
  </si>
  <si>
    <t>52.84.193.225</t>
  </si>
  <si>
    <t>60a9471cc0fb6</t>
  </si>
  <si>
    <t>https://d13o3469wfdxih.cloudfront.net/CHH9/?phone=+1-(888)-351-1474&amp;amp;__sid=1eb98859-05ef-6664-aa05-ac1f6b95a853&amp;amp;ad_id=001377fb27989fd18f022cb460e</t>
  </si>
  <si>
    <t>d31mvm26bnrx8p.cloudfront.net</t>
  </si>
  <si>
    <t>52.222.161.146</t>
  </si>
  <si>
    <t>60b7fd358a5da</t>
  </si>
  <si>
    <t>https://d31mvm26bnrx8p.cloudfront.net/04mac/?phone=+1-(888)-531-9706&amp;amp;clickid=%7B%7BclickId%7D%7D&amp;amp;sub=c4a6374aaec2782f5ed21a031&amp;amp;ua=%7B%7Bua%7</t>
  </si>
  <si>
    <t>60b7ee1f2ca85</t>
  </si>
  <si>
    <t>https://d31mvm26bnrx8p.cloudfront.net/04win/?phone=+1-(888)-598-1569&amp;amp;clickid=%7B%7BclickId%7D%7D&amp;amp;sub=c4a6374aaec2782f5ed21a031&amp;amp;ua=%7B%7Bua%7</t>
  </si>
  <si>
    <t>d3m67iuaxbmohw.cloudfront.net</t>
  </si>
  <si>
    <t>60aa4f947adcc</t>
  </si>
  <si>
    <t>https://d3m67iuaxbmohw.cloudfront.net/04win/?phone=+1-(954)-824-9250&amp;amp;click=4Wbedy2cYMU&amp;amp;sclick=210156.14892298</t>
  </si>
  <si>
    <t>60a9478d1a878</t>
  </si>
  <si>
    <t>https://d3m67iuaxbmohw.cloudfront.net/04win/?phone=+1-(888)-773-9411&amp;amp;clickid=XJLV75Hylas&amp;amp;scid=225955.gooqle.com</t>
  </si>
  <si>
    <t>d82xgzp.ga</t>
  </si>
  <si>
    <t>172.67.132.191</t>
  </si>
  <si>
    <t>60a94a070e521</t>
  </si>
  <si>
    <t>https://d82xgzp.ga/hNvzqy_Zr7oG_YC/hgo_u_2__qOc_XR/AYZ_J_pXld4lwT_/lm__n_cG7/?n_b=MSg4NDQpMzg1IDQ0MjA=&amp;amp;s_1=s1394_1765349</t>
  </si>
  <si>
    <t>d3i4v9fv65138f.cloudfront.net</t>
  </si>
  <si>
    <t>52.222.161.132</t>
  </si>
  <si>
    <t>60a94fa9e6f7a</t>
  </si>
  <si>
    <t>https://d3i4v9fv65138f.cloudfront.net/CHH9/?phone=+1-(888)-399-9146&amp;amp;ad_id=0006f900668e5321e0b904a9f4314d029b&amp;amp;ad_title=Locals+See+Wolf+Enter+Dog+</t>
  </si>
  <si>
    <t>d6evhzfkjy4bj.cloudfront.net</t>
  </si>
  <si>
    <t>52.222.161.89</t>
  </si>
  <si>
    <t>60b95ae505457</t>
  </si>
  <si>
    <t>https://d6evhzfkjy4bj.cloudfront.net/04win/?phone=+1-(888)-387-1855&amp;amp;utm_conversionid=EvB5hvuXCnA&amp;amp;utm_medium=241285.92421_airincdirect.com</t>
  </si>
  <si>
    <t>d2uaodyvmew5am.cloudfront.net</t>
  </si>
  <si>
    <t>60a9562c0a988</t>
  </si>
  <si>
    <t>https://d2uaodyvmew5am.cloudfront.net/CHH9/?phone=+1-(888)-398-4027&amp;amp;ad_id=0006f900668e5321e0b904a9f4314d029b&amp;amp;ad_title=Locals+See+Wolf+Enter+Dog+</t>
  </si>
  <si>
    <t>52.222.161.54</t>
  </si>
  <si>
    <t>60a957fa88be0</t>
  </si>
  <si>
    <t>https://d3m67iuaxbmohw.cloudfront.net/04win/?phone=+1-(888)-775-4689&amp;amp;click=4Wbedy2cYMU&amp;amp;sclick=210156.14892298</t>
  </si>
  <si>
    <t>bnugtfrsd.online</t>
  </si>
  <si>
    <t>143.198.233.89</t>
  </si>
  <si>
    <t>60a97d3617cc1</t>
  </si>
  <si>
    <t>https://bnugtfrsd.online/W8YYn0DFfcu0r0it0yCH0080SHa88/</t>
  </si>
  <si>
    <t>52.222.161.143</t>
  </si>
  <si>
    <t>60a9fd872b48e</t>
  </si>
  <si>
    <t>https://d3m67iuaxbmohw.cloudfront.net/04win/?phone=+1-(917)-418-3871&amp;amp;click=4Wbedy2cYMU&amp;amp;sclick=210156.14892298</t>
  </si>
  <si>
    <t>insert2webcure.online</t>
  </si>
  <si>
    <t>104.21.70.83</t>
  </si>
  <si>
    <t>60aa5abe64147</t>
  </si>
  <si>
    <t>https://insert2webcure.online/0WinDhelpli0ne360639/W088In01MSi08880it0yCH00081188/index.html</t>
  </si>
  <si>
    <t>newsecurserver11.s3.ca-central-1.amazonaws.com</t>
  </si>
  <si>
    <t>52.95.145.48</t>
  </si>
  <si>
    <t>60aa91d6bb522</t>
  </si>
  <si>
    <t>https://newsecurserver11.s3.ca-central-1.amazonaws.com/soft/W088MSi08880Mit0yCH0008Mhi11/index.html</t>
  </si>
  <si>
    <t>cloudwebsure3.online</t>
  </si>
  <si>
    <t>172.67.144.57</t>
  </si>
  <si>
    <t>60aa9979692bf</t>
  </si>
  <si>
    <t>https://cloudwebsure3.online/0WinDhelpli0ne310118/W088In01MSi08880it0yCH00081188/index.html</t>
  </si>
  <si>
    <t>accessable022.online</t>
  </si>
  <si>
    <t>172.67.220.200</t>
  </si>
  <si>
    <t>60aaa3e3373cf</t>
  </si>
  <si>
    <t>https://accessable022.online/0WinDhelpli0ne050375/W088In01MSi08880it0yCED00081188/index.html</t>
  </si>
  <si>
    <t>appletive324.online</t>
  </si>
  <si>
    <t>172.67.217.92</t>
  </si>
  <si>
    <t>60aab4f2bb92a</t>
  </si>
  <si>
    <t>https://appletive324.online/0WinDhelpli0ne293026/W088In01MSi08880it0yCED00081188/index.html</t>
  </si>
  <si>
    <t>telematicing223.online</t>
  </si>
  <si>
    <t>172.67.219.222</t>
  </si>
  <si>
    <t>60aabdd80de88</t>
  </si>
  <si>
    <t>https://telematicing223.online/0WinDhelpli0ne981611/W088In01MSi08880it0yCED00081188/index.html</t>
  </si>
  <si>
    <t>d2iuvicevagouc.cloudfront.net</t>
  </si>
  <si>
    <t>52.222.161.219</t>
  </si>
  <si>
    <t>60ae6ffa2f4b8</t>
  </si>
  <si>
    <t>https://d2iuvicevagouc.cloudfront.net/04win/?phone=+1-(888)-607-2898&amp;amp;clickid=BGCwwz0fpd4&amp;amp;scid=92421.goolle.com</t>
  </si>
  <si>
    <t>60ae6f3add328</t>
  </si>
  <si>
    <t>https://d2iuvicevagouc.cloudfront.net/04win/?phone=+1-(888)-615-6569&amp;amp;clickid=P5nVY3zKtOY&amp;amp;scid=92421.faceboko.com</t>
  </si>
  <si>
    <t>60ae6e2251c3e</t>
  </si>
  <si>
    <t>https://d2iuvicevagouc.cloudfront.net/04win/?phone=+1-(888)-441-3229&amp;amp;clickid=bxx4xC6THeY&amp;amp;scid=92421.youtubu.com</t>
  </si>
  <si>
    <t>60ae6d865006a</t>
  </si>
  <si>
    <t>https://d2iuvicevagouc.cloudfront.net/04win/?phone=+1-(888)-603-6486&amp;amp;clickid=c4rlwyI6Z6Q&amp;amp;scid=176456.gmaili.com</t>
  </si>
  <si>
    <t>secureserverconnectionissue.s3.us-east-2.amazonaws.com</t>
  </si>
  <si>
    <t>52.219.102.242</t>
  </si>
  <si>
    <t>60ae6e859d0e0</t>
  </si>
  <si>
    <t>https://secureserverconnectionissue.s3.us-east-2.amazonaws.com/System-has-been-blocked/index.html</t>
  </si>
  <si>
    <t>dqfahmkaaubfh.cloudfront.net</t>
  </si>
  <si>
    <t>52.84.193.98</t>
  </si>
  <si>
    <t>60afe0b8c3d3b</t>
  </si>
  <si>
    <t>https://dqfahmkaaubfh.cloudfront.net/04win/?phone=+1-(888)-383-0571&amp;amp;utm_medium=198899.2534504&amp;amp;utm_term=-fujkDxtif4&amp;amp;utm_source=binomexp</t>
  </si>
  <si>
    <t>60afd9a18a410</t>
  </si>
  <si>
    <t>https://dqfahmkaaubfh.cloudfront.net/04win/?phone=+1-(888)-705-0914&amp;amp;clickid=vc4b*ld6HaY&amp;amp;scid=225955.twiktter.com</t>
  </si>
  <si>
    <t>securityissueonlinefromunknown.s3.amazonaws.com</t>
  </si>
  <si>
    <t>52.216.136.27</t>
  </si>
  <si>
    <t>60ae6eea9ce73</t>
  </si>
  <si>
    <t>https://securityissueonlinefromunknown.s3.amazonaws.com/System-has-been-blocked/index.html</t>
  </si>
  <si>
    <t>52.222.161.153</t>
  </si>
  <si>
    <t>60ae70f66e5a2</t>
  </si>
  <si>
    <t>https://d2iuvicevagouc.cloudfront.net/04win/?phone=+1-(888)-637-9837&amp;amp;clickid=FykIDPKblxQ&amp;amp;scid=216899.twiyter.com</t>
  </si>
  <si>
    <t>sjwnhbupl.online</t>
  </si>
  <si>
    <t>172.67.136.23</t>
  </si>
  <si>
    <t>60afbc899daab</t>
  </si>
  <si>
    <t>https://sjwnhbupl.online/0WinDhelpli0ne104479/W088In01MSi08880it0yCH00081188/index.html</t>
  </si>
  <si>
    <t>onlinasdreasreastasdta3.azurewebsites.net</t>
  </si>
  <si>
    <t>20.40.202.13</t>
  </si>
  <si>
    <t>60afc1709870f</t>
  </si>
  <si>
    <t>https://onlinasdreasreastasdta3.azurewebsites.net/chmfe/index.html</t>
  </si>
  <si>
    <t>d28l78z4j5r9k1.cloudfront.net</t>
  </si>
  <si>
    <t>52.84.193.2</t>
  </si>
  <si>
    <t>60afd433b09d7</t>
  </si>
  <si>
    <t>https://d28l78z4j5r9k1.cloudfront.net/04win/?phone=+1-(888)-404-1609&amp;amp;utm_medium=139812.908056&amp;amp;utm_term=WZ3Li0ZK6i0&amp;amp;utm_source=binomexp</t>
  </si>
  <si>
    <t>debusnjs1.online</t>
  </si>
  <si>
    <t>172.67.212.234</t>
  </si>
  <si>
    <t>60afd4a85ae2f</t>
  </si>
  <si>
    <t>https://debusnjs1.online/0WinDhelpli0ne021237/W088In01MSi08880it0yCED00081188/index.html</t>
  </si>
  <si>
    <t>readchange.ml</t>
  </si>
  <si>
    <t>206.189.5.201</t>
  </si>
  <si>
    <t>60ae786db3bbe</t>
  </si>
  <si>
    <t>https://readchange.ml/768769hfhdr5/?_branch_match_id=926138339340678443&amp;amp;source_id=1407888&amp;amp;utm_campaign=prop_shop&amp;amp;utm_medium=network&amp;amp;utm_</t>
  </si>
  <si>
    <t>13.225.29.134</t>
  </si>
  <si>
    <t>60afe835739cd</t>
  </si>
  <si>
    <t>https://dqfahmkaaubfh.cloudfront.net/04win/?phone=+1-(888)-634-7859&amp;amp;udid=f10DKYuIClc&amp;amp;duid=101187.266623_14892298</t>
  </si>
  <si>
    <t>d3syx328fqhqph.cloudfront.net</t>
  </si>
  <si>
    <t>52.84.193.41</t>
  </si>
  <si>
    <t>60ac17db68623</t>
  </si>
  <si>
    <t>https://d3syx328fqhqph.cloudfront.net/04win/?phone=+1-(888)-775-7605&amp;amp;udid=vqdDP29fmwY&amp;amp;duid=101187.288331_</t>
  </si>
  <si>
    <t>mynewserverr11.s3.ca-central-1.amazonaws.com</t>
  </si>
  <si>
    <t>52.95.146.8</t>
  </si>
  <si>
    <t>60ac1cc764f4b</t>
  </si>
  <si>
    <t>https://mynewserverr11.s3.ca-central-1.amazonaws.com/soft/W088MSi08880Mit0yCH0008Mhi11/index.html</t>
  </si>
  <si>
    <t>qpswa2.gq</t>
  </si>
  <si>
    <t>104.21.34.15</t>
  </si>
  <si>
    <t>60b14c0955f6e</t>
  </si>
  <si>
    <t>https://qpswa2.gq/m2-0208/Chxrx/index.html</t>
  </si>
  <si>
    <t>newcrounb.site</t>
  </si>
  <si>
    <t>165.232.153.149</t>
  </si>
  <si>
    <t>60b128762f87c</t>
  </si>
  <si>
    <t>https://newcrounb.site/W088MSi08880Moit0yCED0008Mhi11/index.html</t>
  </si>
  <si>
    <t>3.67.240.166</t>
  </si>
  <si>
    <t>60acb5e69beba</t>
  </si>
  <si>
    <t>http://3.67.240.166/CHdfANfdgfgfgdfgdfgf0008/</t>
  </si>
  <si>
    <t>d2v4lsejb20bn1.cloudfront.net</t>
  </si>
  <si>
    <t>52.222.161.65</t>
  </si>
  <si>
    <t>60ad2df04a730</t>
  </si>
  <si>
    <t>https://d2v4lsejb20bn1.cloudfront.net/04win/?phone=+1-(888)-585-3962&amp;amp;utm_conversionid=nSTQtE-1ZBc&amp;amp;utm_medium=231411.25_228_5</t>
  </si>
  <si>
    <t>dgn8re86wn51c.cloudfront.net</t>
  </si>
  <si>
    <t>52.222.161.198</t>
  </si>
  <si>
    <t>60ad3663c9236</t>
  </si>
  <si>
    <t>https://dgn8re86wn51c.cloudfront.net/04win/?phone=+1-(888)-585-5401&amp;amp;sourceid=176456.twuitter.com</t>
  </si>
  <si>
    <t>60ad32c077676</t>
  </si>
  <si>
    <t>https://dgn8re86wn51c.cloudfront.net/04win/?phone=+1-(888)-644-5243&amp;amp;utm_medium=265531.921319&amp;amp;utm_term=5ktyjT3vTmE&amp;amp;utm_source=binomexp</t>
  </si>
  <si>
    <t>getthefirstthingupdated.s3.us-east-2.amazonaws.com</t>
  </si>
  <si>
    <t>52.219.102.50</t>
  </si>
  <si>
    <t>60ad380b597f3</t>
  </si>
  <si>
    <t>https://getthefirstthingupdated.s3.us-east-2.amazonaws.com/System-has-been-blocked/index.html</t>
  </si>
  <si>
    <t>gdhusklo.tech</t>
  </si>
  <si>
    <t>172.67.198.40</t>
  </si>
  <si>
    <t>60af9d7729ac3</t>
  </si>
  <si>
    <t>https://gdhusklo.tech/0WinDhelpli0ne881250/W088In01MSi08880it0yCED00081188/index.html</t>
  </si>
  <si>
    <t>khunbhrt.tech</t>
  </si>
  <si>
    <t>104.21.51.148</t>
  </si>
  <si>
    <t>60afb02bcffe6</t>
  </si>
  <si>
    <t>http://khunbhrt.tech/0WinDhelpli0ne371136/W088In01MSi08880it0yCH00081188/index.html</t>
  </si>
  <si>
    <t>tereazor.digital</t>
  </si>
  <si>
    <t>128.199.168.86</t>
  </si>
  <si>
    <t>60aff42da31ea</t>
  </si>
  <si>
    <t>https://tereazor.digital/codex2212/W088In008880it0yCH0008X/</t>
  </si>
  <si>
    <t>digital</t>
  </si>
  <si>
    <t>swqnzhbyg.online</t>
  </si>
  <si>
    <t>104.21.76.56</t>
  </si>
  <si>
    <t>60aff538adfa4</t>
  </si>
  <si>
    <t>https://swqnzhbyg.online/0WinDhelpli0ne361932/W088In01MSi08880it0yCED00081188/index.html</t>
  </si>
  <si>
    <t>4www.o99ffy2bkl.shop</t>
  </si>
  <si>
    <t>172.67.194.234</t>
  </si>
  <si>
    <t>60aff65d0467d</t>
  </si>
  <si>
    <t>https://4www.o99ffy2bkl.shop/winwin/?phone=+1-888-713-3122&amp;amp;ip=50.76.103.0&amp;amp;device_brand=Desktop&amp;amp;device_model=Desktop&amp;amp;browser_name=Microso</t>
  </si>
  <si>
    <t>usbemy.fun</t>
  </si>
  <si>
    <t>162.213.251.190</t>
  </si>
  <si>
    <t>60ad3aab7a621</t>
  </si>
  <si>
    <t>https://usbemy.fun/250521usact-1424/index1.html</t>
  </si>
  <si>
    <t>52.222.161.62</t>
  </si>
  <si>
    <t>60ad3ad3a56b7</t>
  </si>
  <si>
    <t>https://dgn8re86wn51c.cloudfront.net/04win/?phone=+1-(888)-375-0263&amp;amp;sourceid=248790.164_gooqle.com</t>
  </si>
  <si>
    <t>2cdz4q0t.ga</t>
  </si>
  <si>
    <t>104.21.68.126</t>
  </si>
  <si>
    <t>60ad3b03a5140</t>
  </si>
  <si>
    <t>https://2cdz4q0t.ga/hNvzqy_Zr7oG_YC/hgo_u_2__qOc_XR/AYZ_J_pXld4lwT_/lm__n_cG7/?n_b=MSg4ODgpNjA0IDU0MTg=&amp;amp;s_1=s1412_av-0df2ec657e061c7</t>
  </si>
  <si>
    <t>d12mkwlk2lzzaq.cloudfront.net</t>
  </si>
  <si>
    <t>52.222.161.82</t>
  </si>
  <si>
    <t>60ae31d8ec593</t>
  </si>
  <si>
    <t>https://d12mkwlk2lzzaq.cloudfront.net/IEDD88/?phone=0431-53-57-07-30&amp;amp;</t>
  </si>
  <si>
    <t>dpxf1s9v0as4m.cloudfront.net</t>
  </si>
  <si>
    <t>52.84.193.19</t>
  </si>
  <si>
    <t>60ae38f1d11d4</t>
  </si>
  <si>
    <t>https://dpxf1s9v0as4m.cloudfront.net/CCH88xe/?phone=09-74-32-74-60&amp;amp;rb=JS764428e5763c43ecbcfff213ca172160&amp;amp;clickid=81843hea4rnhefed58&amp;amp;t1=zw6cJ</t>
  </si>
  <si>
    <t>d1km533giu2y2a.cloudfront.net</t>
  </si>
  <si>
    <t>52.222.161.116</t>
  </si>
  <si>
    <t>60ae38f50c31e</t>
  </si>
  <si>
    <t>https://d1km533giu2y2a.cloudfront.net/CCH88xe/?phone=09-70-18-35-07&amp;amp;click_id=wvgeh30l3gf8kks7iqvqml8o&amp;amp;cep=yDGzyPUlDaRRZ4oqGI7k8FegXhlXG8UxVuP_wx</t>
  </si>
  <si>
    <t>51.68.89.231</t>
  </si>
  <si>
    <t>60ae4235950fd</t>
  </si>
  <si>
    <t>http://51.68.89.231/windows/521548703219682012554701/</t>
  </si>
  <si>
    <t>292epromed.online</t>
  </si>
  <si>
    <t>104.21.90.100</t>
  </si>
  <si>
    <t>60ae6757c7b08</t>
  </si>
  <si>
    <t>https://292epromed.online/0WinDhelpli0ne844523/W088In01MSi08880it0yCH00081188/index.html</t>
  </si>
  <si>
    <t>d3s5frkvp1iwrz.cloudfront.net</t>
  </si>
  <si>
    <t>52.222.161.50</t>
  </si>
  <si>
    <t>60ad3e584126e</t>
  </si>
  <si>
    <t>https://d3s5frkvp1iwrz.cloudfront.net/04win/?phone=+1-(888)-608-5182&amp;amp;sourceid=176456.youtubd.com</t>
  </si>
  <si>
    <t>60ad3d771a8a3</t>
  </si>
  <si>
    <t>https://d3s5frkvp1iwrz.cloudfront.net/04win/?phone=+1-(888)-530-8462&amp;amp;udid=zombYmihBoY&amp;amp;duid=150070.221293_14892298</t>
  </si>
  <si>
    <t>alertsupport-window.ml</t>
  </si>
  <si>
    <t>66.29.132.75</t>
  </si>
  <si>
    <t>60b956d49afa1</t>
  </si>
  <si>
    <t>https://alertsupport-window.ml/?clickid=s3_4145365195187242196_1394_6_0&amp;amp;campaign_id=676609&amp;amp;source_id=s1394_1765349&amp;amp;browser=Chrome</t>
  </si>
  <si>
    <t>micropower-alert.tk</t>
  </si>
  <si>
    <t>60b137b84ae5c</t>
  </si>
  <si>
    <t>https://micropower-alert.tk/?country=US&amp;amp;clickid=s3_13948988916189446699_1169_6_0&amp;amp;campaign_id=676609&amp;amp;source_id=s1169_267862-818286&amp;amp;browse</t>
  </si>
  <si>
    <t>tyiaepromed245.online</t>
  </si>
  <si>
    <t>172.67.162.61</t>
  </si>
  <si>
    <t>60b28984c3b2e</t>
  </si>
  <si>
    <t>https://tyiaepromed245.online/0WinDhelpli0ne241849/W088In01MSi08880it0yCH00081188/index.html</t>
  </si>
  <si>
    <t>dgsgaccesable424.online</t>
  </si>
  <si>
    <t>172.67.163.12</t>
  </si>
  <si>
    <t>60b289755c627</t>
  </si>
  <si>
    <t>https://dgsgaccesable424.online/0WinDhelpli0ne091894/W088In01MSi08880it0yCH00081188/index.html</t>
  </si>
  <si>
    <t>ndazjmik.online</t>
  </si>
  <si>
    <t>104.21.17.170</t>
  </si>
  <si>
    <t>60b0f5051074a</t>
  </si>
  <si>
    <t>https://ndazjmik.online/0WinDhelpli0ne780333/W088In01MSi08880it0yCH00081188/index.html</t>
  </si>
  <si>
    <t>303captology0.online</t>
  </si>
  <si>
    <t>104.21.35.122</t>
  </si>
  <si>
    <t>60ad3f7876d5c</t>
  </si>
  <si>
    <t>https://303captology0.online/0WinDhelpli0ne436103/W088In01MSi08880it0yCH00081188/index.html</t>
  </si>
  <si>
    <t>52.222.161.38</t>
  </si>
  <si>
    <t>60ad45490e0e8</t>
  </si>
  <si>
    <t>https://d3s5frkvp1iwrz.cloudfront.net/04win/?phone=+1-(888)-598-3252&amp;amp;sourceid=154692.114_mrariot.com</t>
  </si>
  <si>
    <t>60ad44b95c920</t>
  </si>
  <si>
    <t>https://d3s5frkvp1iwrz.cloudfront.net/04win/?phone=+1-(561)-424-9544&amp;amp;sourceid=216899.twltter.com</t>
  </si>
  <si>
    <t>60ad3fbfcdf73</t>
  </si>
  <si>
    <t>https://d3s5frkvp1iwrz.cloudfront.net/04win/?phone=+1-(888)-308-5936&amp;amp;sourceid=248790.164_guogle.com</t>
  </si>
  <si>
    <t>d2cbdvpsvae7uw.cloudfront.net</t>
  </si>
  <si>
    <t>52.84.193.172</t>
  </si>
  <si>
    <t>60b2cd8032bd1</t>
  </si>
  <si>
    <t>https://d2cbdvpsvae7uw.cloudfront.net/04win/?phone=+1-(888)-312-1376&amp;amp;clickid=%7B%7BclickId%7D%7D&amp;amp;sub=c4a6374aaec2782f5ed21a031&amp;amp;ua=%7B%7Bua%7</t>
  </si>
  <si>
    <t>dnu4oxxmkn6hz.cloudfront.net</t>
  </si>
  <si>
    <t>52.84.193.46</t>
  </si>
  <si>
    <t>60b27b4366323</t>
  </si>
  <si>
    <t>https://dnu4oxxmkn6hz.cloudfront.net/04win/?phone=+1-(888)-347-0091</t>
  </si>
  <si>
    <t>samhomes.xyz</t>
  </si>
  <si>
    <t>104.21.75.214</t>
  </si>
  <si>
    <t>60b2818a20f35</t>
  </si>
  <si>
    <t>https://samhomes.xyz/codemasgss/EDfdfffdgfgfgdfgdfgfMPr88CtySS</t>
  </si>
  <si>
    <t>60b2817b263cd</t>
  </si>
  <si>
    <t>https://samhomes.xyz/codemasgss/CEDfdfffdgfgfgdfgdfgfMPr88CtySS/</t>
  </si>
  <si>
    <t>60b28170530fc</t>
  </si>
  <si>
    <t>https://samhomes.xyz/codemasgss/MAfdfffdgfgfgdfgdfgf-188CtySS/</t>
  </si>
  <si>
    <t>60b280e90c170</t>
  </si>
  <si>
    <t>https://samhomes.xyz/codemasgss/CHfdfffdgfgfgdfgdfgfMPr88CtySS/</t>
  </si>
  <si>
    <t>52.222.161.173</t>
  </si>
  <si>
    <t>60ad42c6e9bbd</t>
  </si>
  <si>
    <t>https://d3s5frkvp1iwrz.cloudfront.net/04win/?phone=+1-(888)-599-5119&amp;amp;sourceid=216899.twltter.com</t>
  </si>
  <si>
    <t>60ad42170bdc0</t>
  </si>
  <si>
    <t>https://d3s5frkvp1iwrz.cloudfront.net/04win/?phone=+1-(888)-397-6072&amp;amp;sourceid=92421.519cccf631359e40650182f0</t>
  </si>
  <si>
    <t>lapheldingrhgh428.online</t>
  </si>
  <si>
    <t>172.67.192.17</t>
  </si>
  <si>
    <t>60b2815ca970f</t>
  </si>
  <si>
    <t>https://lapheldingrhgh428.online/0WinDhelpli0ne120285/W088In01MSi08880it0yCED00081188/index.html</t>
  </si>
  <si>
    <t>033appletive0.online</t>
  </si>
  <si>
    <t>172.67.207.128</t>
  </si>
  <si>
    <t>60ad4fb6e2a8e</t>
  </si>
  <si>
    <t>https://033appletive0.online/0WinDhelpli0ne181108/W088In01MSi08880it0yCH00081188/index.html</t>
  </si>
  <si>
    <t>d1re1sp964rsym.cloudfront.net</t>
  </si>
  <si>
    <t>52.84.193.194</t>
  </si>
  <si>
    <t>60ad5a2bd8df9</t>
  </si>
  <si>
    <t>https://d1re1sp964rsym.cloudfront.net/04win/?phone=+1-(888)-655-2415&amp;amp;clickid=DYNMoXwtWEM&amp;amp;scid=216899.twitfer.com</t>
  </si>
  <si>
    <t>infos-cpam-en-ligne.com</t>
  </si>
  <si>
    <t>81.16.28.165</t>
  </si>
  <si>
    <t>60b362dc95beb</t>
  </si>
  <si>
    <t>http://infos-cpam-en-ligne.com/</t>
  </si>
  <si>
    <t>dj41onf6owol2.cloudfront.net</t>
  </si>
  <si>
    <t>52.222.161.225</t>
  </si>
  <si>
    <t>60b29c862e002</t>
  </si>
  <si>
    <t>https://dj41onf6owol2.cloudfront.net/04win/?phone=+1-(888)-291-0196</t>
  </si>
  <si>
    <t>1miletjsn.online</t>
  </si>
  <si>
    <t>172.67.160.85</t>
  </si>
  <si>
    <t>60b3bad70c095</t>
  </si>
  <si>
    <t>https://1miletjsn.online/0WinDhelpli0ne742319/W088In01MSi08880it0yCH00081188/index.html</t>
  </si>
  <si>
    <t>dh317ng26ys0e.cloudfront.net</t>
  </si>
  <si>
    <t>52.84.186.202</t>
  </si>
  <si>
    <t>60b3cb34ca8c9</t>
  </si>
  <si>
    <t>https://dh317ng26ys0e.cloudfront.net/04win/?phone=+1-(888)-612-9957</t>
  </si>
  <si>
    <t>60b3c9d00ec4c</t>
  </si>
  <si>
    <t>https://dh317ng26ys0e.cloudfront.net/04win/?phone=+1-(888)-525-0703</t>
  </si>
  <si>
    <t>grwrsynergy748.online</t>
  </si>
  <si>
    <t>172.67.185.123</t>
  </si>
  <si>
    <t>60b3cf908bc42</t>
  </si>
  <si>
    <t>https://grwrsynergy748.online/0WinDhelpli0ne742353/W088In01MSi08880it0yCH00081188/index.html</t>
  </si>
  <si>
    <t>gruwvisibility824.online</t>
  </si>
  <si>
    <t>104.21.28.84</t>
  </si>
  <si>
    <t>60b3d26682c1d</t>
  </si>
  <si>
    <t>https://gruwvisibility824.online/0WinDhelpli0ne710828/W088In01MSi08880it0yCH00081188/index.html</t>
  </si>
  <si>
    <t>erroreserveres222.s3.ca-central-1.amazonaws.com</t>
  </si>
  <si>
    <t>52.95.146.112</t>
  </si>
  <si>
    <t>60b41d6e9334d</t>
  </si>
  <si>
    <t>https://erroreserveres222.s3.ca-central-1.amazonaws.com/uuuuuu/W088MSi08880Mit0yCH0008Mhi11/index.html</t>
  </si>
  <si>
    <t>d98hmdzdalcr8.cloudfront.net</t>
  </si>
  <si>
    <t>52.84.193.149</t>
  </si>
  <si>
    <t>60b41f9f2e88e</t>
  </si>
  <si>
    <t>https://d98hmdzdalcr8.cloudfront.net/04win/?phone=+1-(888)-529-5199</t>
  </si>
  <si>
    <t>djwjcdoih9ed.cloudfront.net</t>
  </si>
  <si>
    <t>52.222.161.182</t>
  </si>
  <si>
    <t>60b499116767c</t>
  </si>
  <si>
    <t>http://djwjcdoih9ed.cloudfront.net/04win/?phone=050-3196-5629</t>
  </si>
  <si>
    <t>encourtedseriousproblem.s3.us-east-2.amazonaws.com</t>
  </si>
  <si>
    <t>52.219.103.34</t>
  </si>
  <si>
    <t>60b513741f3f3</t>
  </si>
  <si>
    <t>https://encourtedseriousproblem.s3.us-east-2.amazonaws.com/acess-to-the-pc-has-been-blocked/index.html</t>
  </si>
  <si>
    <t>yvaextabeet.ga</t>
  </si>
  <si>
    <t>165.227.199.180</t>
  </si>
  <si>
    <t>60b518c0b98f1</t>
  </si>
  <si>
    <t>https://yvaextabeet.ga/W088MSi08880Moit0yCED0008Mhi11/index.html</t>
  </si>
  <si>
    <t>4www.e7tsulyot7.shop</t>
  </si>
  <si>
    <t>172.67.143.87</t>
  </si>
  <si>
    <t>60b5193cd6331</t>
  </si>
  <si>
    <t>https://4www.e7tsulyot7.shop/80562/Edgch/index.html</t>
  </si>
  <si>
    <t>64.227.102.179</t>
  </si>
  <si>
    <t>60b51b8527fc7</t>
  </si>
  <si>
    <t>http://64.227.102.179/system-alert/W8YYnENGS7cu0r0it0yCH0080C88/</t>
  </si>
  <si>
    <t>d2cnfx14y845ul.cloudfront.net</t>
  </si>
  <si>
    <t>52.222.161.187</t>
  </si>
  <si>
    <t>60b52e15582aa</t>
  </si>
  <si>
    <t>https://d2cnfx14y845ul.cloudfront.net/04win/?phone=+1-(888)-660-7718&amp;amp;click=yx4u8kgbEyM&amp;amp;sclick=218955.088ef939042519237a439ea63</t>
  </si>
  <si>
    <t>d36gyk8tokzui5.cloudfront.net</t>
  </si>
  <si>
    <t>52.222.161.167</t>
  </si>
  <si>
    <t>60b541ad59783</t>
  </si>
  <si>
    <t>https://d36gyk8tokzui5.cloudfront.net/04win/?phone=+1-(888)-381-1870&amp;amp;clickid=xNJJAloXlps&amp;amp;scid=225955.twiktter.com</t>
  </si>
  <si>
    <t>d2rllaeot5x5b0.cloudfront.net</t>
  </si>
  <si>
    <t>52.84.186.20</t>
  </si>
  <si>
    <t>60b5598790d96</t>
  </si>
  <si>
    <t>https://d2rllaeot5x5b0.cloudfront.net/04win/?phone=+1-(888)-599-2660&amp;amp;clickid=%7B%7BclickId%7D%7D&amp;amp;sub=c4a6374aaec2782f5ed21a031&amp;amp;ua=%7B%7Bua%7</t>
  </si>
  <si>
    <t>52.84.193.127</t>
  </si>
  <si>
    <t>60b56a4c83653</t>
  </si>
  <si>
    <t>https://d2rllaeot5x5b0.cloudfront.net/04mac/?phone=+1-(888)-598-1544&amp;amp;click=SiVcMFmfiNI&amp;amp;sclick=178229.178229_6707667</t>
  </si>
  <si>
    <t>dtjtaccompalished249.online</t>
  </si>
  <si>
    <t>104.21.86.164</t>
  </si>
  <si>
    <t>60b63a156ce9a</t>
  </si>
  <si>
    <t>https://dtjtaccompalished249.online/0WinDhelpli0ne031656/W088In01MSi08880it0yCH00081188/index.html</t>
  </si>
  <si>
    <t>fjaedefaulting499.online</t>
  </si>
  <si>
    <t>104.21.83.120</t>
  </si>
  <si>
    <t>60b63b22e0c0d</t>
  </si>
  <si>
    <t>https://fjaedefaulting499.online/0WinDhelpli0ne720972/W088In01MSi08880it0yCH00081188/index.html</t>
  </si>
  <si>
    <t>optimistic-villani.143-110-190-230.plesk.page</t>
  </si>
  <si>
    <t>143.110.190.230</t>
  </si>
  <si>
    <t>60b659265a66e</t>
  </si>
  <si>
    <t>https://optimistic-villani.143-110-190-230.plesk.page/WinFhelkdfjglkfjdgkfjdlkgjCHeVV/</t>
  </si>
  <si>
    <t>mydivasanyoda.tk</t>
  </si>
  <si>
    <t>159.65.218.10</t>
  </si>
  <si>
    <t>60b6597b5391b</t>
  </si>
  <si>
    <t>https://mydivasanyoda.tk/W088MSi08880Moit0yCED0008Mhi11/index.html</t>
  </si>
  <si>
    <t>www.abkog.tk</t>
  </si>
  <si>
    <t>159.203.124.26</t>
  </si>
  <si>
    <t>60b66a5de40ef</t>
  </si>
  <si>
    <t>https://www.abkog.tk/r/rmp/W088MSi08880Mit0yCH0008Mhi11D1/index.html</t>
  </si>
  <si>
    <t>d38elj72m8fuyx.cloudfront.net</t>
  </si>
  <si>
    <t>143.204.226.102</t>
  </si>
  <si>
    <t>60b66d1a911fa</t>
  </si>
  <si>
    <t>https://d38elj72m8fuyx.cloudfront.net/04win/?phone=+1-(888)-657-0422&amp;amp;clickid=%7B%7BclickId%7D%7D&amp;amp;sub=5e86bbff518a8c6ba6a28ad6a&amp;amp;ua=%7B%7Bua%7</t>
  </si>
  <si>
    <t>propertying202.ga</t>
  </si>
  <si>
    <t>172.67.145.214</t>
  </si>
  <si>
    <t>60b790f234c73</t>
  </si>
  <si>
    <t>https://propertying202.ga/0WinDhelpli0ne991069/W088In01MSi08880it0yCH00081188/index.html</t>
  </si>
  <si>
    <t>podsluts.tk</t>
  </si>
  <si>
    <t>164.90.159.154</t>
  </si>
  <si>
    <t>60b7c2e76e982</t>
  </si>
  <si>
    <t>https://podsluts.tk/W088MSi08880Moit0yCED0008Mhi11/index.html</t>
  </si>
  <si>
    <t>markhomes.xyz</t>
  </si>
  <si>
    <t>104.21.9.157</t>
  </si>
  <si>
    <t>60b68c402e2a0</t>
  </si>
  <si>
    <t>https://markhomes.xyz/codemasgss/CHfdfffdgfgfgdfgdfgfMPr88CtySS/</t>
  </si>
  <si>
    <t>elated-black.139-59-74-226.plesk.page</t>
  </si>
  <si>
    <t>139.59.74.226</t>
  </si>
  <si>
    <t>60b7c336b9e34</t>
  </si>
  <si>
    <t>https://elated-black.139-59-74-226.plesk.page/WinFhelkdfjglkfjdgkfjdlkgjCHeVV/</t>
  </si>
  <si>
    <t>applicative329.ml</t>
  </si>
  <si>
    <t>104.21.50.65</t>
  </si>
  <si>
    <t>60b7b6dcb558a</t>
  </si>
  <si>
    <t>https://applicative329.ml/0WinDhelpli0ne300542/W088In01MSi08880it0yCED00081188/index.html</t>
  </si>
  <si>
    <t>d1nfd43bsnfm7o.cloudfront.net</t>
  </si>
  <si>
    <t>52.84.193.145</t>
  </si>
  <si>
    <t>60b7be44445b2</t>
  </si>
  <si>
    <t>https://d1nfd43bsnfm7o.cloudfront.net/04win/?phone=+1-(888)-312-1421&amp;amp;clickid=%7B%7BclickId%7D%7D&amp;amp;sub=c4a6374aaec2782f5ed21a031&amp;amp;ua=%7B%7Bua%7</t>
  </si>
  <si>
    <t>dentoocare.site</t>
  </si>
  <si>
    <t>165.232.145.9</t>
  </si>
  <si>
    <t>60b7c64d9e43e</t>
  </si>
  <si>
    <t>https://dentoocare.site/usa/008PChelpline0101010CH01800V/index.php?trafficsource=1&amp;amp;clickid=a42dah9x9d16&amp;amp;referer=https://www94.darenjarvis.pro/&amp;a</t>
  </si>
  <si>
    <t>d27jil6kblc7ap.cloudfront.net</t>
  </si>
  <si>
    <t>52.84.193.79</t>
  </si>
  <si>
    <t>60ddf0e9d3af1</t>
  </si>
  <si>
    <t>https://d27jil6kblc7ap.cloudfront.net/werrx01/?phone=+1-(888)-348-9121</t>
  </si>
  <si>
    <t>d2r2uh2wqz4ez2.cloudfront.net</t>
  </si>
  <si>
    <t>60c23ca7f3d1f</t>
  </si>
  <si>
    <t>https://d2r2uh2wqz4ez2.cloudfront.net/04win/?phone=+1-(888)-251-5054&amp;amp;clickid=HTadidAFYDY&amp;amp;scid=225955.twiktter.com</t>
  </si>
  <si>
    <t>d3kkff7jcr97sa.cloudfront.net</t>
  </si>
  <si>
    <t>60b7efdb79cc4</t>
  </si>
  <si>
    <t>https://d3kkff7jcr97sa.cloudfront.net/04win/?phone=+1-(888)-490-0090&amp;amp;udid=Vno-3X34LjI&amp;amp;duid=107107.908056</t>
  </si>
  <si>
    <t>tender-bohr.143-110-180-117.plesk.page</t>
  </si>
  <si>
    <t>143.110.180.117</t>
  </si>
  <si>
    <t>60b7f0815469d</t>
  </si>
  <si>
    <t>https://tender-bohr.143-110-180-117.plesk.page/WinFhelkdfjglkfjdgkfjdlkgjCHeVV/</t>
  </si>
  <si>
    <t>52.84.193.43</t>
  </si>
  <si>
    <t>60b7f30fe2a32</t>
  </si>
  <si>
    <t>https://d3kkff7jcr97sa.cloudfront.net/04win/?phone=+1-(888)-615-1975&amp;amp;utm_conversionid=6f4r1tAT0BM&amp;amp;utm_medium=47059.637457463</t>
  </si>
  <si>
    <t>www.services.digitalpoint.live</t>
  </si>
  <si>
    <t>185.61.154.53</t>
  </si>
  <si>
    <t>60b80568edc4d</t>
  </si>
  <si>
    <t>https://www.services.digitalpoint.live/support-number/008PChelpline0101010CH01800V/</t>
  </si>
  <si>
    <t>affectionate-tereshkova.165-232-178-103.plesk.page</t>
  </si>
  <si>
    <t>165.232.178.103</t>
  </si>
  <si>
    <t>60b8e2aee3290</t>
  </si>
  <si>
    <t>https://affectionate-tereshkova.165-232-178-103.plesk.page/WinFhelkdfjglkfjdgkfjdlkgjCHeVV/</t>
  </si>
  <si>
    <t>decomprescfgb3.club</t>
  </si>
  <si>
    <t>104.21.91.36</t>
  </si>
  <si>
    <t>60b8e328ec949</t>
  </si>
  <si>
    <t>https://decomprescfgb3.club/0WinDhelpli0ne120508/W088In01MSi08880it0yCED00081188/index.html</t>
  </si>
  <si>
    <t>deomldkol8.bar</t>
  </si>
  <si>
    <t>172.67.185.171</t>
  </si>
  <si>
    <t>60b8e563e0fa3</t>
  </si>
  <si>
    <t>https://deomldkol8.bar/0WinDhelpli0ne100498/W088In01MSi08880it0yCH00081188/index.html</t>
  </si>
  <si>
    <t>bar</t>
  </si>
  <si>
    <t>podsluts.ga</t>
  </si>
  <si>
    <t>68.183.137.5</t>
  </si>
  <si>
    <t>60b90943807d4</t>
  </si>
  <si>
    <t>https://podsluts.ga/W088MSi08880Moit0yCED0008Mhi11/index.html</t>
  </si>
  <si>
    <t>d349z5kk7fueh2.cloudfront.net</t>
  </si>
  <si>
    <t>52.84.193.231</t>
  </si>
  <si>
    <t>60b90d8662f53</t>
  </si>
  <si>
    <t>https://d349z5kk7fueh2.cloudfront.net/04win/?phone=+1-(888)-538-9347&amp;amp;clickid=%7B%7BclickId%7D%7D&amp;amp;sub=c4a6374aaec2782f5ed21a031&amp;amp;ua=%7B%7Bua%7</t>
  </si>
  <si>
    <t>d18ki0hjq7oix.cloudfront.net</t>
  </si>
  <si>
    <t>52.84.193.6</t>
  </si>
  <si>
    <t>60b91604937ad</t>
  </si>
  <si>
    <t>https://d18ki0hjq7oix.cloudfront.net/04win/?phone=+1-(888)-372-1342&amp;amp;clickid=%7B%</t>
  </si>
  <si>
    <t>52.84.193.226</t>
  </si>
  <si>
    <t>60b91698ea137</t>
  </si>
  <si>
    <t>https://d18ki0hjq7oix.cloudfront.net/04win/?phone=+1-(888)-229-8406&amp;amp;</t>
  </si>
  <si>
    <t>60b9167365c47</t>
  </si>
  <si>
    <t>https://d18ki0hjq7oix.cloudfront.net/04win/?phone=+1-(888)-541-3209&amp;amp;</t>
  </si>
  <si>
    <t>cranky-dubinsky.68-183-87-165.plesk.page</t>
  </si>
  <si>
    <t>68.183.87.165</t>
  </si>
  <si>
    <t>60b918ce22924</t>
  </si>
  <si>
    <t>https://cranky-dubinsky.68-183-87-165.plesk.page/WinFhelkdfjglkfjdgkfjdlkgjCHeVV/</t>
  </si>
  <si>
    <t>serv08nhyb0.club</t>
  </si>
  <si>
    <t>172.67.183.73</t>
  </si>
  <si>
    <t>60b920ed3a7e2</t>
  </si>
  <si>
    <t>https://serv08nhyb0.club/0WinDhelpli0ne171219/W088In01MSi08880it0yCH00081188/index.html</t>
  </si>
  <si>
    <t>mandoral.online</t>
  </si>
  <si>
    <t>162.0.229.9</t>
  </si>
  <si>
    <t>60b9219a28a5d</t>
  </si>
  <si>
    <t>https://mandoral.online/njpallx01-n1x5v6-45e81-xvv5x46-r5r8e4f-x5v4x89v4x-r78rg4fx-x45v48xv74-x548f4d/edgcx/index.html</t>
  </si>
  <si>
    <t>yogypbd0.club</t>
  </si>
  <si>
    <t>104.21.91.98</t>
  </si>
  <si>
    <t>60b922b5473ff</t>
  </si>
  <si>
    <t>https://yogypbd0.club/0WinDhelpli0ne512384/W088In01MSi08880it0yCH00081188/index.html</t>
  </si>
  <si>
    <t>weghdhxtdjeag.s3-ap-southeast-1.amazonaws.com</t>
  </si>
  <si>
    <t>52.219.124.195</t>
  </si>
  <si>
    <t>60b923a6030fd</t>
  </si>
  <si>
    <t>https://weghdhxtdjeag.s3-ap-southeast-1.amazonaws.com/index.html?phone=+1-877-221-0027</t>
  </si>
  <si>
    <t>podsluts.gq</t>
  </si>
  <si>
    <t>104.248.58.130</t>
  </si>
  <si>
    <t>60b9281f2424e</t>
  </si>
  <si>
    <t>https://podsluts.gq/W088MSi08880Moit0yCED0008Mhi11/index.html</t>
  </si>
  <si>
    <t>great-payne.134-209-150-189.plesk.page</t>
  </si>
  <si>
    <t>134.209.150.189</t>
  </si>
  <si>
    <t>60b9284ff371c</t>
  </si>
  <si>
    <t>https://great-payne.134-209-150-189.plesk.page/WinFhelkdfjglkfjdgkfjdlkgjCHeVV/</t>
  </si>
  <si>
    <t>onliniwinxxcodesecureserver.s3.ca-central-1.amazonaws.com</t>
  </si>
  <si>
    <t>52.95.147.40</t>
  </si>
  <si>
    <t>60ba7b7f0df62</t>
  </si>
  <si>
    <t>https://onliniwinxxcodesecureserver.s3.ca-central-1.amazonaws.com/index.html</t>
  </si>
  <si>
    <t>onlinewanwinxxxdincodealfa.s3.ca-central-1.amazonaws.com</t>
  </si>
  <si>
    <t>60b930aea7002</t>
  </si>
  <si>
    <t>https://onlinewanwinxxxdincodealfa.s3.ca-central-1.amazonaws.com/index.html</t>
  </si>
  <si>
    <t>frosty-poitras.139-59-9-187.plesk.page</t>
  </si>
  <si>
    <t>139.59.9.187</t>
  </si>
  <si>
    <t>60b933e4eeda1</t>
  </si>
  <si>
    <t>https://frosty-poitras.139-59-9-187.plesk.page/WinFhelkdfjglkfjdgkfjdlkgjCHeVV/</t>
  </si>
  <si>
    <t>fervent-volhard.143-110-247-230.plesk.page</t>
  </si>
  <si>
    <t>143.110.247.230</t>
  </si>
  <si>
    <t>60b93f8aece97</t>
  </si>
  <si>
    <t>https://fervent-volhard.143-110-247-230.plesk.page/WinFhelkdfjglkfjdgkfjdlkgjCHeVV/</t>
  </si>
  <si>
    <t>shduhecsw.bar</t>
  </si>
  <si>
    <t>104.21.58.241</t>
  </si>
  <si>
    <t>60ba37734173e</t>
  </si>
  <si>
    <t>https://shduhecsw.bar/0WinDhelpli0ne732973/W088In01MSi08880it0yCH00081188/index.html</t>
  </si>
  <si>
    <t>67.207.90.176</t>
  </si>
  <si>
    <t>60ba39d842623</t>
  </si>
  <si>
    <t>http://67.207.90.176/checkout/cart/WDH88In008880it0yCED0DH81188/</t>
  </si>
  <si>
    <t>du3v9nvgbbu8v.cloudfront.net</t>
  </si>
  <si>
    <t>52.222.161.59</t>
  </si>
  <si>
    <t>60ba4fbb96e59</t>
  </si>
  <si>
    <t>https://du3v9nvgbbu8v.cloudfront.net/04win/?phone=+1-(888)-334-1293&amp;amp;clickid=DRQ0TeUZb0I&amp;amp;scid=92421.youtubd.com</t>
  </si>
  <si>
    <t>52.222.161.44</t>
  </si>
  <si>
    <t>60ba54ad5951d</t>
  </si>
  <si>
    <t>https://du3v9nvgbbu8v.cloudfront.net/04win/?phone=+1-(888)-225-8148&amp;amp;utm_conversionid=x*zlkth4WVI&amp;amp;utm_medium=47059.746105771</t>
  </si>
  <si>
    <t>52.222.161.227</t>
  </si>
  <si>
    <t>60ba54c277a18</t>
  </si>
  <si>
    <t>https://du3v9nvgbbu8v.cloudfront.net/04win/?phone=+1-(888)-268-9204&amp;amp;clickid=SoSCUCQjqVg&amp;amp;scid=216899.ygmail.com</t>
  </si>
  <si>
    <t>gallant-beaver.165-232-176-51.plesk.page</t>
  </si>
  <si>
    <t>165.232.176.51</t>
  </si>
  <si>
    <t>60ba5cedb4dad</t>
  </si>
  <si>
    <t>https://gallant-beaver.165-232-176-51.plesk.page/WinFhepoluklpnmoopkmkuCHVXX/</t>
  </si>
  <si>
    <t>dtwcy2jc3fq7m.cloudfront.net</t>
  </si>
  <si>
    <t>143.204.226.196</t>
  </si>
  <si>
    <t>60ba5d57138d6</t>
  </si>
  <si>
    <t>https://dtwcy2jc3fq7m.cloudfront.net/04win/?phone=+1-(888)-210-2041&amp;amp;clickid=%7B%7BclickId%7D%7D&amp;amp;sub=c4a6374aaec2782f5ed21a031&amp;amp;ua=%7B%7Bua%7D</t>
  </si>
  <si>
    <t>hungry-dirac.128-199-25-45.plesk.page</t>
  </si>
  <si>
    <t>128.199.25.45</t>
  </si>
  <si>
    <t>60ba63a593cfd</t>
  </si>
  <si>
    <t>https://hungry-dirac.128-199-25-45.plesk.page/WinFhepoluklpnmoopkmkuCHVXX/</t>
  </si>
  <si>
    <t>mlojuyfvgs.online</t>
  </si>
  <si>
    <t>104.21.36.42</t>
  </si>
  <si>
    <t>60ba68bd1c4c3</t>
  </si>
  <si>
    <t>https://mlojuyfvgs.online/0WinDhelpli0ne146112/W088In01MSi08880it0yCH00081188/index.html</t>
  </si>
  <si>
    <t>bswskkmhub.world</t>
  </si>
  <si>
    <t>104.21.94.152</t>
  </si>
  <si>
    <t>60ba69a68bb47</t>
  </si>
  <si>
    <t>https://bswskkmhub.world/0WinDhelpli0ne356130/W088In01MSi08880it0yCH00081188/index.html</t>
  </si>
  <si>
    <t>world</t>
  </si>
  <si>
    <t>dltgy1aphbouu.cloudfront.net</t>
  </si>
  <si>
    <t>52.222.161.114</t>
  </si>
  <si>
    <t>60ba6b03d407d</t>
  </si>
  <si>
    <t>https://dltgy1aphbouu.cloudfront.net/04win/?phone=+1-(888)-341-6701&amp;amp;utm_conversionid=Jgjd42cTL1g&amp;amp;utm_medium=265454.02d423bb8174c28fed8ee3a88</t>
  </si>
  <si>
    <t>cranky-almeida.128-199-25-125.plesk.page</t>
  </si>
  <si>
    <t>128.199.25.125</t>
  </si>
  <si>
    <t>60ba6b980bbd0</t>
  </si>
  <si>
    <t>https://cranky-almeida.128-199-25-125.plesk.page/WinFhepoluklpnmoopkmkuCHVXX/</t>
  </si>
  <si>
    <t>bwgkshdcs.today</t>
  </si>
  <si>
    <t>172.67.222.81</t>
  </si>
  <si>
    <t>60ba6cefbfa1f</t>
  </si>
  <si>
    <t>https://bwgkshdcs.today/0WinDhelpli0ne275838/W088In01MSi08880it0yCED00081188/index.html</t>
  </si>
  <si>
    <t>134.209.93.29</t>
  </si>
  <si>
    <t>60baab433fd49</t>
  </si>
  <si>
    <t>http://134.209.93.29//index.html?phone=+1-866-362-8087</t>
  </si>
  <si>
    <t>60ba772ab4379</t>
  </si>
  <si>
    <t>http://134.209.93.29//index.html?phone=+1-844-302-1229</t>
  </si>
  <si>
    <t>dqv3slvldxvqr.cloudfront.net</t>
  </si>
  <si>
    <t>52.222.161.49</t>
  </si>
  <si>
    <t>60ca223d79a60</t>
  </si>
  <si>
    <t>https://dqv3slvldxvqr.cloudfront.net/04win/?phone=+1-(888)-531-5349&amp;amp;utm_conversionid=ORHEsORjEQg&amp;amp;utm_medium=95356.240934_6988</t>
  </si>
  <si>
    <t>d395hs358zxg55.cloudfront.net</t>
  </si>
  <si>
    <t>60ba7ae2626dd</t>
  </si>
  <si>
    <t>https://d395hs358zxg55.cloudfront.net/04win/?phone=+1-(888)-210-1722&amp;amp;utm_conversionid=iPasi6C2PRg&amp;amp;utm_medium=310842.225955_twiktter.com</t>
  </si>
  <si>
    <t>datadochosts174hny55ujh7.azurewebsites.net</t>
  </si>
  <si>
    <t>20.40.202.8</t>
  </si>
  <si>
    <t>60ba84b08422d</t>
  </si>
  <si>
    <t>http://datadochosts174hny55ujh7.azurewebsites.net/WW2985MSI00CED00MGIT5822TT0001/index.html</t>
  </si>
  <si>
    <t>pensive-lamarr.167-71-228-186.plesk.page</t>
  </si>
  <si>
    <t>167.71.228.186</t>
  </si>
  <si>
    <t>60ba85eb0bba4</t>
  </si>
  <si>
    <t>https://pensive-lamarr.167-71-228-186.plesk.page/WinFvcvsfdfjljgltrkuCHVX/</t>
  </si>
  <si>
    <t>resys.xyz</t>
  </si>
  <si>
    <t>143.198.162.253</t>
  </si>
  <si>
    <t>60ba8c818d2fc</t>
  </si>
  <si>
    <t>https://resys.xyz/356efe4ey63/W088MSi08880Moit0yCED0008Mhi11D1/index.html?source_id=&amp;amp;zoneid=1186642</t>
  </si>
  <si>
    <t>simpsecureserverwinxxcode.s3.ca-central-1.amazonaws.com</t>
  </si>
  <si>
    <t>52.95.146.152</t>
  </si>
  <si>
    <t>60ba8e5b7b359</t>
  </si>
  <si>
    <t>https://simpsecureserverwinxxcode.s3.ca-central-1.amazonaws.com/index.html</t>
  </si>
  <si>
    <t>3.20.195.180</t>
  </si>
  <si>
    <t>60ba90a54123f</t>
  </si>
  <si>
    <t>http://3.20.195.180/W088AT0Y0Mit0y0CED008MhiD1VTy/index.html</t>
  </si>
  <si>
    <t>affectionate-davinci.128-199-25-131.plesk.page</t>
  </si>
  <si>
    <t>128.199.25.131</t>
  </si>
  <si>
    <t>60ba927116cbc</t>
  </si>
  <si>
    <t>https://affectionate-davinci.128-199-25-131.plesk.page/WinFvcvsfdfjljgltrkuCHVX/</t>
  </si>
  <si>
    <t>d23w53rfqg1han.cloudfront.net</t>
  </si>
  <si>
    <t>143.204.226.61</t>
  </si>
  <si>
    <t>60baa38e0d3fa</t>
  </si>
  <si>
    <t>https://d23w53rfqg1han.cloudfront.net/04win/?phone=+1-(888)-210-2041&amp;amp;clickid=%7B%7BclickId%7D%7D&amp;amp;sub=c4a6374aaec2782f5ed21a031&amp;amp;ua=%7B%7Bua%7</t>
  </si>
  <si>
    <t>newsalertsrooz.com</t>
  </si>
  <si>
    <t>143.244.146.54</t>
  </si>
  <si>
    <t>60baa481c4b4c</t>
  </si>
  <si>
    <t>https://newsalertsrooz.com/W088PP0Y0Vij0y0CED0fv08MhiD1/index.php</t>
  </si>
  <si>
    <t>great-blackburn.134-209-156-103.plesk.page</t>
  </si>
  <si>
    <t>134.209.156.103</t>
  </si>
  <si>
    <t>60baaa4e2451f</t>
  </si>
  <si>
    <t>https://great-blackburn.134-209-156-103.plesk.page/WinFvcvsfdfjljgltrkuCHVX/</t>
  </si>
  <si>
    <t>winfore.xyz</t>
  </si>
  <si>
    <t>143.244.158.221</t>
  </si>
  <si>
    <t>60bab777dbcb3</t>
  </si>
  <si>
    <t>https://winfore.xyz/734vesfs6/W088MSi08880Moit0yCED0008Mhi11D1/index.html?source_id=1792835</t>
  </si>
  <si>
    <t>d2jfdjzeervlhj.cloudfront.net</t>
  </si>
  <si>
    <t>52.222.196.218</t>
  </si>
  <si>
    <t>60bba50bdeebd</t>
  </si>
  <si>
    <t>https://d2jfdjzeervlhj.cloudfront.net/04win/?phone=+1-(888)-650-4886&amp;amp;utm_conversionid=M1ehL8H48DE&amp;amp;utm_medium=219419.151_ygmail.com</t>
  </si>
  <si>
    <t>loving-engelbart.159-89-169-195.plesk.page</t>
  </si>
  <si>
    <t>159.89.169.195</t>
  </si>
  <si>
    <t>60bbb3d1e8b0b</t>
  </si>
  <si>
    <t>https://loving-engelbart.159-89-169-195.plesk.page/WinFvcvsfdfjljgltrkuCHVX/</t>
  </si>
  <si>
    <t>de74iluy3jupf.cloudfront.net</t>
  </si>
  <si>
    <t>52.222.196.32</t>
  </si>
  <si>
    <t>60bbbab3da6e9</t>
  </si>
  <si>
    <t>https://de74iluy3jupf.cloudfront.net/04win/?phone=+1-(888)-203-2793&amp;amp;utm_conversionid=VFMqb*qQ6k4&amp;amp;utm_medium=276487.285229_</t>
  </si>
  <si>
    <t>188.166.252.145</t>
  </si>
  <si>
    <t>60bbc8e5d8084</t>
  </si>
  <si>
    <t>http://188.166.252.145/index.with.out.pro.html</t>
  </si>
  <si>
    <t>syswab.xyz</t>
  </si>
  <si>
    <t>157.245.89.106</t>
  </si>
  <si>
    <t>60bbcb4488823</t>
  </si>
  <si>
    <t>https://syswab.xyz/35e63yds673/W088MSi08880Moit0yCED0008Mhi11D1/index.html?source_id=1188006</t>
  </si>
  <si>
    <t>intrabaseding552.club</t>
  </si>
  <si>
    <t>172.67.174.71</t>
  </si>
  <si>
    <t>60bbcc4b1681a</t>
  </si>
  <si>
    <t>https://intrabaseding552.club/0WinDhelpli0ne255139/W088In01MSi08880it0yCH00081188/index.html</t>
  </si>
  <si>
    <t>cadcam339.club</t>
  </si>
  <si>
    <t>104.21.60.83</t>
  </si>
  <si>
    <t>60bbcd01dea1a</t>
  </si>
  <si>
    <t>https://cadcam339.club/0WinDhelpli0ne300458/W088In01MSi08880it0yCH00081188/index.html</t>
  </si>
  <si>
    <t>d3m3odtd4cvkiq.cloudfront.net</t>
  </si>
  <si>
    <t>52.222.196.177</t>
  </si>
  <si>
    <t>60bbcdb5e4c02</t>
  </si>
  <si>
    <t>https://d3m3odtd4cvkiq.cloudfront.net/04win/?phone=+1-(888)-242-1394&amp;amp;utm_conversionid=*m*QCaSLxW4&amp;amp;utm_medium=265454.02d423bb8174c28fed8ee3a88</t>
  </si>
  <si>
    <t>upbeat-shaw.139-59-61-216.plesk.page</t>
  </si>
  <si>
    <t>139.59.61.216</t>
  </si>
  <si>
    <t>60bbe52007bf7</t>
  </si>
  <si>
    <t>https://upbeat-shaw.139-59-61-216.plesk.page/WinFvcvsfdfjljgltrkuCHVX/</t>
  </si>
  <si>
    <t>sysonliniiwinxxcodesecureserver.s3.ca-central-1.amazonaws.com</t>
  </si>
  <si>
    <t>52.95.145.24</t>
  </si>
  <si>
    <t>60bbeb6c92a1d</t>
  </si>
  <si>
    <t>https://sysonliniiwinxxcodesecureserver.s3.ca-central-1.amazonaws.com/index.html</t>
  </si>
  <si>
    <t>loriuerj39.online</t>
  </si>
  <si>
    <t>172.67.143.53</t>
  </si>
  <si>
    <t>60bbec765a4ca</t>
  </si>
  <si>
    <t>http://loriuerj39.online/Win0Dhelpli0ne103784/W088Aq01MSi080it0y0CED000M/index.html</t>
  </si>
  <si>
    <t>400exacutation.ml</t>
  </si>
  <si>
    <t>104.21.78.65</t>
  </si>
  <si>
    <t>60bbec9e9bace</t>
  </si>
  <si>
    <t>https://400exacutation.ml/Win-E-22Oc0_1572_IEDGE08279-1.hhlyf86/PVkfsdbfMSdFFhfj1188/</t>
  </si>
  <si>
    <t>323extinction.ga</t>
  </si>
  <si>
    <t>104.21.1.208</t>
  </si>
  <si>
    <t>60bbed1ae87c3</t>
  </si>
  <si>
    <t>https://323extinction.ga/Win-E-22Oc0_1572_IEDGE08279-1.hhlyf86/PVkfsdbfMSdFFhfj1188/</t>
  </si>
  <si>
    <t>obstances485.ml</t>
  </si>
  <si>
    <t>104.21.42.36</t>
  </si>
  <si>
    <t>60bbee6597cd7</t>
  </si>
  <si>
    <t>https://obstances485.ml/Win-E-22Oc0_7182_IEDGE08279-1.hhlyf86/PVkfsdbfMSdFFhfj1188/</t>
  </si>
  <si>
    <t>liveware945.ga</t>
  </si>
  <si>
    <t>172.67.214.76</t>
  </si>
  <si>
    <t>60bbeefda760d</t>
  </si>
  <si>
    <t>https://liveware945.ga/Win-E-22Oc0_7182_IEDGE08279-1.hhlyf86/PVkfsdbfMSdCHhfj1188/</t>
  </si>
  <si>
    <t>wizardly-lalande.139-59-6-8.plesk.page</t>
  </si>
  <si>
    <t>139.59.6.8</t>
  </si>
  <si>
    <t>60bc10dc497ab</t>
  </si>
  <si>
    <t>https://wizardly-lalande.139-59-6-8.plesk.page/WinFvcvsfdfjljgltrkuCHVX/</t>
  </si>
  <si>
    <t>d1al3jas0tqxl7.cloudfront.net</t>
  </si>
  <si>
    <t>13.225.29.212</t>
  </si>
  <si>
    <t>60bd14eb3b16c</t>
  </si>
  <si>
    <t>https://d1al3jas0tqxl7.cloudfront.net/04win/?phone=+1-(888)-491-1208</t>
  </si>
  <si>
    <t>vibrant-neumann.165-22-208-74.plesk.page</t>
  </si>
  <si>
    <t>165.22.208.74</t>
  </si>
  <si>
    <t>60bd1554f2c49</t>
  </si>
  <si>
    <t>https://vibrant-neumann.165-22-208-74.plesk.page/WinFvcvsfdfjljgltrkuCHVX/</t>
  </si>
  <si>
    <t>46.137.33.239</t>
  </si>
  <si>
    <t>60be0c511a915</t>
  </si>
  <si>
    <t>http://46.137.33.239/EDdfANfdgfgfgdfgdfgf0008/</t>
  </si>
  <si>
    <t>d2utduiy62lb7x.cloudfront.net</t>
  </si>
  <si>
    <t>52.222.161.92</t>
  </si>
  <si>
    <t>60be0d2dc5519</t>
  </si>
  <si>
    <t>https://d2utduiy62lb7x.cloudfront.net/CCH88xe/?phone=09-70-18-32-42&amp;amp;click_id=w4uud9ep5kti2k5821l98tqi&amp;amp;cep=KjEBo0t3eK5R740iF88nn76LAQR-SFX73-GQpo</t>
  </si>
  <si>
    <t>abandoned449.ga</t>
  </si>
  <si>
    <t>104.21.23.70</t>
  </si>
  <si>
    <t>60be244e2bcda</t>
  </si>
  <si>
    <t>https://abandoned449.ga/0WinDhelpli0ne952663/W088In01MSi08880it0yCH00081188/index.html</t>
  </si>
  <si>
    <t>paritying002.ga</t>
  </si>
  <si>
    <t>172.67.154.249</t>
  </si>
  <si>
    <t>60bf9b231990d</t>
  </si>
  <si>
    <t>https://paritying002.ga/ds-5692f0sdf-sd0fds-sd-5692.jjnby/W088MSi08880Moit0yCED0008Mhi11D1/index.html</t>
  </si>
  <si>
    <t>daeitgdfnk140.ml</t>
  </si>
  <si>
    <t>172.67.217.61</t>
  </si>
  <si>
    <t>60be4df41de10</t>
  </si>
  <si>
    <t>https://daeitgdfnk140.ml/0N0rt0nDhelpli0ne104482/W9inY8884sec0urity0Y88Y8/</t>
  </si>
  <si>
    <t>hungry-noether.139-59-29-110.plesk.page</t>
  </si>
  <si>
    <t>139.59.29.110</t>
  </si>
  <si>
    <t>60be58692d8f4</t>
  </si>
  <si>
    <t>https://hungry-noether.139-59-29-110.plesk.page/WinFvcvsfdfjljgltrkuCHVX/</t>
  </si>
  <si>
    <t>dzc0ycqffmtlw.cloudfront.net</t>
  </si>
  <si>
    <t>52.84.193.110</t>
  </si>
  <si>
    <t>60be5be177120</t>
  </si>
  <si>
    <t>https://dzc0ycqffmtlw.cloudfront.net/04win/?phone=+1-(888)-401-5130&amp;amp;udid=nx3QguxpN3U&amp;amp;duid=119143.908056</t>
  </si>
  <si>
    <t>d20gu0g07qg53a.cloudfront.net</t>
  </si>
  <si>
    <t>52.222.161.71</t>
  </si>
  <si>
    <t>60be65066cf0e</t>
  </si>
  <si>
    <t>https://d20gu0g07qg53a.cloudfront.net/04win/?phone=+1-(888)-383-0569</t>
  </si>
  <si>
    <t>52.222.161.73</t>
  </si>
  <si>
    <t>60be652f48ea9</t>
  </si>
  <si>
    <t>https://d20gu0g07qg53a.cloudfront.net/04win/?phone=+1-(888)-506-0477</t>
  </si>
  <si>
    <t>optimistic-poitras.167-71-224-172.plesk.page</t>
  </si>
  <si>
    <t>167.71.224.172</t>
  </si>
  <si>
    <t>60be65524cc29</t>
  </si>
  <si>
    <t>https://optimistic-poitras.167-71-224-172.plesk.page/WinFvcvsfdfjljgltrkuCHVX/</t>
  </si>
  <si>
    <t>532pasting.ml</t>
  </si>
  <si>
    <t>104.21.55.80</t>
  </si>
  <si>
    <t>60be66cf17042</t>
  </si>
  <si>
    <t>https://532pasting.ml/d0-1307-sd0fds-sd-1307.jjnby/W088MSi08880Moit0yCED0008Mhi11D1/index.html</t>
  </si>
  <si>
    <t>cool-brown.167-71-239-163.plesk.page</t>
  </si>
  <si>
    <t>167.71.239.163</t>
  </si>
  <si>
    <t>60be66d69afa5</t>
  </si>
  <si>
    <t>https://cool-brown.167-71-239-163.plesk.page/WinFvcvsfdfjljgltrkuCHVX/</t>
  </si>
  <si>
    <t>583compility.ga</t>
  </si>
  <si>
    <t>104.21.41.87</t>
  </si>
  <si>
    <t>60be68ba88801</t>
  </si>
  <si>
    <t>https://583compility.ga/d0-1307-sd0fds-sd-1307.jjnby/W088MSi08880Moit0yCED0008Mhi11D1/index.html</t>
  </si>
  <si>
    <t>mackhomes.xyz</t>
  </si>
  <si>
    <t>104.21.33.201</t>
  </si>
  <si>
    <t>60be732a7f853</t>
  </si>
  <si>
    <t>https://mackhomes.xyz/codemasgss/EDfdfffdgfgfgdfgdfgfMPr88CtySS//</t>
  </si>
  <si>
    <t>60be73108bc38</t>
  </si>
  <si>
    <t>https://mackhomes.xyz/codemasgss/MAfdfffdgfgfgdfgdfgf-188CtySS/</t>
  </si>
  <si>
    <t>60be725762269</t>
  </si>
  <si>
    <t>https://mackhomes.xyz/codemasgss/CHfdfffdgfgfgdfgdfgfMPr88CtySS/</t>
  </si>
  <si>
    <t>60be6eb340ee3</t>
  </si>
  <si>
    <t>https://mackhomes.xyz/codemasgss/CEDfdfffdgfgfgdfgdfgfMPr88CtySS/</t>
  </si>
  <si>
    <t>172.67.166.88</t>
  </si>
  <si>
    <t>60be729b396ec</t>
  </si>
  <si>
    <t>https://mackhomes.xyz/codemasgss/FFfdfffdgfgfgdfgdfgfMPr88CtySS/</t>
  </si>
  <si>
    <t>dbchivqfabti0.cloudfront.net</t>
  </si>
  <si>
    <t>52.222.161.142</t>
  </si>
  <si>
    <t>60bf94da9ae23</t>
  </si>
  <si>
    <t>https://dbchivqfabti0.cloudfront.net/04win/?phone=+1-(888)-304-1372&amp;amp;utm_conversionid=6k*8nZyNJhI&amp;amp;utm_medium=265454.8e0dfea0fd200dd38c297e571</t>
  </si>
  <si>
    <t>60bf952580410</t>
  </si>
  <si>
    <t>https://dbchivqfabti0.cloudfront.net/04win/?phone=+1-(888)-351-6176&amp;amp;clickid=xmitilLiVUo&amp;amp;scid=225955.twiktter.com</t>
  </si>
  <si>
    <t>60bf9a51c2859</t>
  </si>
  <si>
    <t>https://dbchivqfabti0.cloudfront.net/04win/?phone=+1-(888)-291-0166</t>
  </si>
  <si>
    <t>keen-brattain.128-199-29-243.plesk.page</t>
  </si>
  <si>
    <t>128.199.29.243</t>
  </si>
  <si>
    <t>60bf94fd6c77f</t>
  </si>
  <si>
    <t>https://keen-brattain.128-199-29-243.plesk.page/WinFvcvsfdfjljgltrkuCHVX/</t>
  </si>
  <si>
    <t>206.189.6.142</t>
  </si>
  <si>
    <t>60be9bf9b3590</t>
  </si>
  <si>
    <t>http://206.189.6.142/index.html?phone=+1-844-374-3934</t>
  </si>
  <si>
    <t>60be7fd2ef0a8</t>
  </si>
  <si>
    <t>http://206.189.6.142/index.html?phone=+1-877-863-5778</t>
  </si>
  <si>
    <t>52.222.161.87</t>
  </si>
  <si>
    <t>60bf938d3ab90</t>
  </si>
  <si>
    <t>https://dbchivqfabti0.cloudfront.net/04win/?phone=+1-(888)-614-2598&amp;amp;clickid=%7B%7BclickId%7D%7D&amp;amp;sub=1169c2cfdf807a2b709d3bf34&amp;amp;ua=%7B%7Bua%7D</t>
  </si>
  <si>
    <t>joeroofings.xyz</t>
  </si>
  <si>
    <t>104.21.89.252</t>
  </si>
  <si>
    <t>60bf6d27a59b8</t>
  </si>
  <si>
    <t>https://joeroofings.xyz/codemasgss/MAfdfffdgfgfgdfgdfgf-188CtySS/</t>
  </si>
  <si>
    <t>60bf6cecbc60a</t>
  </si>
  <si>
    <t>https://joeroofings.xyz/codemasgss/FFfdfffdgfgfgdfgdfgfMPr88CtySS/</t>
  </si>
  <si>
    <t>60bf6cccf12a5</t>
  </si>
  <si>
    <t>https://joeroofings.xyz/codemasgss/CHfdfffdgfgfgdfgdfgfMPr88CtySS/</t>
  </si>
  <si>
    <t>172.67.166.190</t>
  </si>
  <si>
    <t>60bf6d11ed69f</t>
  </si>
  <si>
    <t>https://joeroofings.xyz/codemasgss/EDfdfffdgfgfgdfgdfgfMPr88CtySS/</t>
  </si>
  <si>
    <t>zoiurhvgr754.ml</t>
  </si>
  <si>
    <t>172.67.160.55</t>
  </si>
  <si>
    <t>60bf81b48892f</t>
  </si>
  <si>
    <t>https://zoiurhvgr754.ml/0WinDhelpli0ne491193/W088In01MSi08880it0yCH00081188/index.html</t>
  </si>
  <si>
    <t>d21tufpju9so4p.cloudfront.net</t>
  </si>
  <si>
    <t>52.222.161.163</t>
  </si>
  <si>
    <t>60bfb32316be6</t>
  </si>
  <si>
    <t>https://d21tufpju9so4p.cloudfront.net/04win/?phone=+1-(888)-705-0836&amp;amp;clickid=%7B%7BclickId%7D%7D&amp;amp;sub=a00995b0da0a00a27e5234096&amp;amp;ua=%7B%7Bua%7</t>
  </si>
  <si>
    <t>onlineblogkit.com</t>
  </si>
  <si>
    <t>142.93.118.93</t>
  </si>
  <si>
    <t>60bfb4f7175e9</t>
  </si>
  <si>
    <t>https://onlineblogkit.com/W088PP0Y0Vij0y00ED0fv08MhiD1/?sub1={{zoneid}}&amp;amp;sub2={{subid}}&amp;amp;sub3={{ctoken}}&amp;amp;sub4={{ip}}&amp;amp;sub5={{useragent}}?_e</t>
  </si>
  <si>
    <t>60bfb4bfa3f47</t>
  </si>
  <si>
    <t>browseralertyelpsk.ga</t>
  </si>
  <si>
    <t>172.67.149.153</t>
  </si>
  <si>
    <t>60bfb5ea3f1cb</t>
  </si>
  <si>
    <t>https://browseralertyelpsk.ga/ED0009uhfjdbduytfwduchjbhu87rtyeudcvgty78udhgtyud/index.html</t>
  </si>
  <si>
    <t>mopworusr453.ml</t>
  </si>
  <si>
    <t>104.21.64.140</t>
  </si>
  <si>
    <t>60bfb6d79eac7</t>
  </si>
  <si>
    <t>https://mopworusr453.ml/ds-5692f0sdf-sd0fds-sd-5692.jjnby/W088MSi08880Moit0y0FF0008Mhi11D1/index.html</t>
  </si>
  <si>
    <t>adoring-dewdney.139-59-43-231.plesk.page</t>
  </si>
  <si>
    <t>139.59.43.231</t>
  </si>
  <si>
    <t>60bfba3684e8d</t>
  </si>
  <si>
    <t>https://adoring-dewdney.139-59-43-231.plesk.page/WinFvcvsfdfjljgltrkuCHVX/</t>
  </si>
  <si>
    <t>52.222.161.215</t>
  </si>
  <si>
    <t>60bfc08d88edb</t>
  </si>
  <si>
    <t>https://d21tufpju9so4p.cloudfront.net/04win/?phone=+1-(888)-585-6924&amp;amp;clickid=eOeOPr*KXVk&amp;amp;scid=225955.twiktter.com</t>
  </si>
  <si>
    <t>hookernear.com</t>
  </si>
  <si>
    <t>143.110.211.93</t>
  </si>
  <si>
    <t>60c24dbca42ec</t>
  </si>
  <si>
    <t>https://hookernear.com/W088PP0Y0Vij0y00ED0fv08MhiD1/?sub1={{zoneid}}&amp;amp;sub2={{subid}}&amp;amp;sub3={{ctoken}}&amp;amp;sub4={{ip}}&amp;amp;sub5={{useragent}}&amp;amp;_</t>
  </si>
  <si>
    <t>jackyroofings.xyz</t>
  </si>
  <si>
    <t>104.21.26.248</t>
  </si>
  <si>
    <t>60c259a81fe04</t>
  </si>
  <si>
    <t>https://jackyroofings.xyz/codemasgss/CHfdfffdgfgfgdfgdfgfMPr88CtySS/</t>
  </si>
  <si>
    <t>172.67.139.175</t>
  </si>
  <si>
    <t>60c259dd200ec</t>
  </si>
  <si>
    <t>https://jackyroofings.xyz/codemasgss/MAfdfffdgfgfgdfgdfgf-188CtySS//</t>
  </si>
  <si>
    <t>60c259cff2dea</t>
  </si>
  <si>
    <t>https://jackyroofings.xyz/codemasgss/EDfdfffdgfgfgdfgdfgfMPr88CtySS/</t>
  </si>
  <si>
    <t>60c259bc6c02f</t>
  </si>
  <si>
    <t>https://jackyroofings.xyz/codemasgss/FFfdfffdgfgfgdfgdfgfMPr88CtySS/</t>
  </si>
  <si>
    <t>jparalusz.com</t>
  </si>
  <si>
    <t>72.167.69.26</t>
  </si>
  <si>
    <t>60c259caae56c</t>
  </si>
  <si>
    <t>http://jparalusz.com/</t>
  </si>
  <si>
    <t>0dataflow324.ml</t>
  </si>
  <si>
    <t>104.21.61.120</t>
  </si>
  <si>
    <t>60bfcc677e7e3</t>
  </si>
  <si>
    <t>https://0dataflow324.ml/ds-2367f0sdf-sd0fds-sd-2367.jjnby/W088MSi08880Moit0yCED0008Mhi11D1/index.html</t>
  </si>
  <si>
    <t>baysmartsass.cf</t>
  </si>
  <si>
    <t>159.203.190.147</t>
  </si>
  <si>
    <t>60c25b45b8a4c</t>
  </si>
  <si>
    <t>https://baysmartsass.cf/W088MSi08880Moit0yCED0008Mhi11/index.html</t>
  </si>
  <si>
    <t>0globally320.ml</t>
  </si>
  <si>
    <t>172.67.221.150</t>
  </si>
  <si>
    <t>60c25a4856c02</t>
  </si>
  <si>
    <t>https://0globally320.ml/ds-5827f0sdf-sd0fds-sd-5827.jjnby/W088MSi08880Moit0yCED0008Mhi11D1/index.html</t>
  </si>
  <si>
    <t>vigilant-poincare.167-71-228-100.plesk.page</t>
  </si>
  <si>
    <t>167.71.228.100</t>
  </si>
  <si>
    <t>60c0dc43782cf</t>
  </si>
  <si>
    <t>https://vigilant-poincare.167-71-228-100.plesk.page/WinFvcertjkrhkthrkkjrhtjkrCHVX/</t>
  </si>
  <si>
    <t>keen-carver.139-59-35-42.plesk.page</t>
  </si>
  <si>
    <t>139.59.35.42</t>
  </si>
  <si>
    <t>60c25aff4e4d2</t>
  </si>
  <si>
    <t>https://keen-carver.139-59-35-42.plesk.page/WinFvcertjkrhkthrkkjrhtjkrCHVX/</t>
  </si>
  <si>
    <t>52.222.161.93</t>
  </si>
  <si>
    <t>60d61c071ea78</t>
  </si>
  <si>
    <t>https://d194d5gloo3642.cloudfront.net/CHH9/?phone=+1-(888)-282-4803</t>
  </si>
  <si>
    <t>60d61b41bc831</t>
  </si>
  <si>
    <t>https://d194d5gloo3642.cloudfront.net/CHH9/?phone=+1-(888)-525-0750</t>
  </si>
  <si>
    <t>60d61b2682bbb</t>
  </si>
  <si>
    <t>https://d194d5gloo3642.cloudfront.net/CHH9/?phone=+1-(888)-525-0749</t>
  </si>
  <si>
    <t>d2ktvvvw0ycv97.cloudfront.net</t>
  </si>
  <si>
    <t>60c25ae08a53e</t>
  </si>
  <si>
    <t>https://d2ktvvvw0ycv97.cloudfront.net/04win/?phone=+1-(888)-297-1152&amp;amp;utm_conversionid=JBdIo2426k0&amp;amp;utm_medium=265454.8e0dfea0fd200dd38c297e571</t>
  </si>
  <si>
    <t>blogdailytech.com</t>
  </si>
  <si>
    <t>143.198.38.126</t>
  </si>
  <si>
    <t>60c262c483cd9</t>
  </si>
  <si>
    <t>https://blogdailytech.com/W088PP0Y0Vij0y00ED0fv08MhiD1/?sub1=%7B%7Bzoneid%7D%7D&amp;amp;sub2=%7B%7Bsubid%7D%7D&amp;amp;sub3=%7B%7Bctoken%7D%7D&amp;amp;sub4=%7B%7Bip</t>
  </si>
  <si>
    <t>60c262c014775</t>
  </si>
  <si>
    <t>60c261e2e7a3b</t>
  </si>
  <si>
    <t>60c261ae7d590</t>
  </si>
  <si>
    <t>60c261a977afd</t>
  </si>
  <si>
    <t>60c261a40fa8f</t>
  </si>
  <si>
    <t>60c2619e19695</t>
  </si>
  <si>
    <t>60c26193a56a9</t>
  </si>
  <si>
    <t>60c260f429618</t>
  </si>
  <si>
    <t>https://blogdailytech.com/W088PP0Y0Vij0y00ED0fv08MhiD1/?sub1={{zoneid}}&amp;amp;sub2={{subid}}&amp;amp;sub3={{ctoken}}&amp;amp;sub4={{ip}}&amp;amp;sub5={{useragent}}&amp;am</t>
  </si>
  <si>
    <t>60c260807d9b6</t>
  </si>
  <si>
    <t>60c2607b95cb7</t>
  </si>
  <si>
    <t>60c26076b93ad</t>
  </si>
  <si>
    <t>60c26071eaf63</t>
  </si>
  <si>
    <t>60c2605ee0b10</t>
  </si>
  <si>
    <t>https://blogdailytech.com/W088PP0Y0Vij0y00ED0fv08MhiD1/?sub1={{zoneid}}&amp;amp;sub2={{subid}}&amp;amp;sub3={{ctoken}}&amp;amp;sub4={{ip}}&amp;amp;sub5={{useragent}}?_e</t>
  </si>
  <si>
    <t>60c260529eb99</t>
  </si>
  <si>
    <t>60c25f9e8fc59</t>
  </si>
  <si>
    <t>60c25f996c9f3</t>
  </si>
  <si>
    <t>60c25f945e3f6</t>
  </si>
  <si>
    <t>60c25f8f3911e</t>
  </si>
  <si>
    <t>60c25f78b0fe3</t>
  </si>
  <si>
    <t>60c25f7395725</t>
  </si>
  <si>
    <t>60c25f6e9c4f0</t>
  </si>
  <si>
    <t>60c25f4c86d85</t>
  </si>
  <si>
    <t>60c25f1fdaca9</t>
  </si>
  <si>
    <t>60c25f482a6c5</t>
  </si>
  <si>
    <t>60c25f29e544b</t>
  </si>
  <si>
    <t>60c25e779c753</t>
  </si>
  <si>
    <t>60c25e90a0f0b</t>
  </si>
  <si>
    <t>60c25e8bbe870</t>
  </si>
  <si>
    <t>60c25eeaf2b5d</t>
  </si>
  <si>
    <t>60c25edb1e916</t>
  </si>
  <si>
    <t>60c25e9a70d4d</t>
  </si>
  <si>
    <t>60c25e95a1179</t>
  </si>
  <si>
    <t>www.gramg.ga</t>
  </si>
  <si>
    <t>143.198.119.119</t>
  </si>
  <si>
    <t>60ce422780e91</t>
  </si>
  <si>
    <t>http://www.gramg.ga/WF8YY1080n0AScu0r0it0yCH008R1YFYSF0FZzxyAx/</t>
  </si>
  <si>
    <t>www.mcisoft.ga</t>
  </si>
  <si>
    <t>60c38ec55d725</t>
  </si>
  <si>
    <t>https://www.mcisoft.ga/WF8YY1080n0AScu0r0it0yCH008R1YFYSF0FZzxyAx/</t>
  </si>
  <si>
    <t>www.scrwot.ga</t>
  </si>
  <si>
    <t>60c3bd55bde3e</t>
  </si>
  <si>
    <t>https://www.scrwot.ga/WF8YY1080n0AScu0r0it0yCH008R1YFYSF0FZzxyAx/</t>
  </si>
  <si>
    <t>bayscuminhole.cf</t>
  </si>
  <si>
    <t>159.65.229.48</t>
  </si>
  <si>
    <t>60c3bd570bf6e</t>
  </si>
  <si>
    <t>https://bayscuminhole.cf/W088MSi08880Moit0yCED0008Mhi11/index.html</t>
  </si>
  <si>
    <t>classicpainters.xyz</t>
  </si>
  <si>
    <t>172.67.165.210</t>
  </si>
  <si>
    <t>60c3c6811e847</t>
  </si>
  <si>
    <t>https://classicpainters.xyz/codemasgss/MAfdfffdgfgfgdfgdfgf-188CtySS/</t>
  </si>
  <si>
    <t>60c3c66828f04</t>
  </si>
  <si>
    <t>https://classicpainters.xyz/codemasgss/FFfdfffdgfgfgdfgdfgfMPr88CtySS/</t>
  </si>
  <si>
    <t>60c3bdd7de769</t>
  </si>
  <si>
    <t>https://classicpainters.xyz/codemasgss/CEDfdfffdgfgfgdfgdfgfMPr88CtySS/</t>
  </si>
  <si>
    <t>104.21.57.192</t>
  </si>
  <si>
    <t>60c3c6725b727</t>
  </si>
  <si>
    <t>https://classicpainters.xyz/codemasgss/EDfdfffdgfgfgdfgdfgfMPr88CtySS/</t>
  </si>
  <si>
    <t>60c3be6cf1531</t>
  </si>
  <si>
    <t>https://classicpainters.xyz/codemasgss/CHfdfffdgfgfgdfgdfgfMPr88CtySS/</t>
  </si>
  <si>
    <t>d2urokfx9w2crn.cloudfront.net</t>
  </si>
  <si>
    <t>52.222.161.218</t>
  </si>
  <si>
    <t>60c25f1dd4356</t>
  </si>
  <si>
    <t>https://d2urokfx9w2crn.cloudfront.net/04win/?phone=+1-(888)-604-4153&amp;amp;sid=241285.176456_youtubd.com</t>
  </si>
  <si>
    <t>0hapticsing500.ga</t>
  </si>
  <si>
    <t>104.21.10.80</t>
  </si>
  <si>
    <t>60c25c3b7fbe0</t>
  </si>
  <si>
    <t>https://0hapticsing500.ga/ds-5827f0sdf-sd0fds-sd-5827.jjnby/W088MSi08880Moit0yCED0008Mhi11D1/index.html</t>
  </si>
  <si>
    <t>sysfix.xyz</t>
  </si>
  <si>
    <t>143.244.144.189</t>
  </si>
  <si>
    <t>60c3d3d339e47</t>
  </si>
  <si>
    <t>https://sysfix.xyz/326vsgvs/W088MSi08880Moit0yCED0008Mhi11D1/index.html</t>
  </si>
  <si>
    <t>dc1un6ki40s03.cloudfront.net</t>
  </si>
  <si>
    <t>13.249.12.153</t>
  </si>
  <si>
    <t>60c3db7475c9c</t>
  </si>
  <si>
    <t>https://dc1un6ki40s03.cloudfront.net/04win/?phone=+1-(888)-787-4610&amp;amp;sid=276487.285362_50aa03b19280a82b1b006aa8</t>
  </si>
  <si>
    <t>142.93.8.137</t>
  </si>
  <si>
    <t>60c635874ecb7</t>
  </si>
  <si>
    <t>http://142.93.8.137/vbtyzix58/WWW800MSI85CED00MGIT999TTI0/index.html</t>
  </si>
  <si>
    <t>hookupsbmeetups.com</t>
  </si>
  <si>
    <t>142.93.151.201</t>
  </si>
  <si>
    <t>60c3e0d363e17</t>
  </si>
  <si>
    <t>https://hookupsbmeetups.com/W088PP0Y0Vij0y00ED0fv08MhiD1/?_event=aa27485d3f4aff17aad85c3ca277ed30</t>
  </si>
  <si>
    <t>60c3e0a37d7bc</t>
  </si>
  <si>
    <t>https://hookupsbmeetups.com/W088PP0Y0Vij0y00ED0fv08MhiD1/?_event=804fcf12f70b2aedda205e360aea6881</t>
  </si>
  <si>
    <t>60c3e078df6a9</t>
  </si>
  <si>
    <t>https://hookupsbmeetups.com/W088PP0Y0Vij0y00ED0fv08MhiD1/?_event=cdf114f53ff67966c26b897a9a75a80f&amp;amp;sub1=D5P08GEHPW&amp;amp;sub2=197621.15752544&amp;amp;sub3=</t>
  </si>
  <si>
    <t>60c3e0757d268</t>
  </si>
  <si>
    <t>60c3e06c0ace6</t>
  </si>
  <si>
    <t>60c3e05aea596</t>
  </si>
  <si>
    <t>60c3e04adc1dd</t>
  </si>
  <si>
    <t>60c3e03863032</t>
  </si>
  <si>
    <t>https://hookupsbmeetups.com/W088PP0Y0Vij0y00ED0fv08MhiD1/?_event=c3ee79e12fa4f888de18f2e5ea20d8a0</t>
  </si>
  <si>
    <t>60c3e07dc06f5</t>
  </si>
  <si>
    <t>60c3dfc5d8512</t>
  </si>
  <si>
    <t>60c3dfbe0b1d3</t>
  </si>
  <si>
    <t>60c3dfb6efe6c</t>
  </si>
  <si>
    <t>60c3dfebd6545</t>
  </si>
  <si>
    <t>60c3dfdc67e92</t>
  </si>
  <si>
    <t>60c3dffe37e83</t>
  </si>
  <si>
    <t>60c3e00c4f642</t>
  </si>
  <si>
    <t>60c3df583b7c9</t>
  </si>
  <si>
    <t>60c3df9e4eb9a</t>
  </si>
  <si>
    <t>60c3df93e69c8</t>
  </si>
  <si>
    <t>60c3df7ea3210</t>
  </si>
  <si>
    <t>60c3df6e943d4</t>
  </si>
  <si>
    <t>60c3df59705bb</t>
  </si>
  <si>
    <t>60c3df4c1bafe</t>
  </si>
  <si>
    <t>60c3df3a6dc4b</t>
  </si>
  <si>
    <t>60c3df279d47f</t>
  </si>
  <si>
    <t>60c3df0fab790</t>
  </si>
  <si>
    <t>60c3dee521ec4</t>
  </si>
  <si>
    <t>18.194.169.217</t>
  </si>
  <si>
    <t>60c20be106b1b</t>
  </si>
  <si>
    <t>http://18.194.169.217/de2/erCHEfdexgowin10derr0089/</t>
  </si>
  <si>
    <t>0inheritance330.ml</t>
  </si>
  <si>
    <t>104.21.10.183</t>
  </si>
  <si>
    <t>60c222120d194</t>
  </si>
  <si>
    <t>https://0inheritance330.ml/0WinDhelpli0ne632083/W088In01MSi08880it0yCH00081188/index.html</t>
  </si>
  <si>
    <t>562defaulting.ml</t>
  </si>
  <si>
    <t>104.21.71.7</t>
  </si>
  <si>
    <t>60c2607a4b107</t>
  </si>
  <si>
    <t>https://562defaulting.ml/ds-5827f0sdf-sd0fds-sd-5827.jjnby/W088MSi08880Moit0yCED0008Mhi11D1/index.html</t>
  </si>
  <si>
    <t>objective-kirch.206-189-135-55.plesk.page</t>
  </si>
  <si>
    <t>206.189.135.55</t>
  </si>
  <si>
    <t>60c262711b76b</t>
  </si>
  <si>
    <t>https://objective-kirch.206-189-135-55.plesk.page/WinFvcertjkrhkthrkkjrhtjkrCHVX/</t>
  </si>
  <si>
    <t>18.216.126.147</t>
  </si>
  <si>
    <t>60c2666d4cc0f</t>
  </si>
  <si>
    <t>http://18.216.126.147/W088AT0Y0Mit0y0CED008MhiD1VTy/index.html</t>
  </si>
  <si>
    <t>844dumbing.ga</t>
  </si>
  <si>
    <t>172.67.181.243</t>
  </si>
  <si>
    <t>60c26cbac7b9f</t>
  </si>
  <si>
    <t>https://844dumbing.ga/ds-5827f0sdf-sd0fds-sd-5827.jjnby/W088MSi08880Moit0yCED0008Mhi11D1/index.html</t>
  </si>
  <si>
    <t>clarkpetcare.xyz</t>
  </si>
  <si>
    <t>104.21.15.93</t>
  </si>
  <si>
    <t>60c28059f1c91</t>
  </si>
  <si>
    <t>https://clarkpetcare.xyz/codemasgss/FFfdfffdgfgfgdfgdfgfMPr88CtySS/</t>
  </si>
  <si>
    <t>60c2706ca5f34</t>
  </si>
  <si>
    <t>https://clarkpetcare.xyz/codemasgss/CHfdfffdgfgfgdfgdfgfMPr88CtySS/</t>
  </si>
  <si>
    <t>172.67.205.172</t>
  </si>
  <si>
    <t>60c2810011763</t>
  </si>
  <si>
    <t>https://clarkpetcare.xyz/codemasgss/EDfdfffdgfgfgdfgdfgfMPr88CtySS/</t>
  </si>
  <si>
    <t>60c2807772654</t>
  </si>
  <si>
    <t>https://clarkpetcare.xyz/codemasgss/MAfdfffdgfgfgdfgdfgf-188CtySS/</t>
  </si>
  <si>
    <t>60c28069cebd1</t>
  </si>
  <si>
    <t>https://clarkpetcare.xyz/codemasgss/CEDfdfffdgfgfgdfgdfgfMPr88CtySS/</t>
  </si>
  <si>
    <t>totalsiyapaji.com</t>
  </si>
  <si>
    <t>142.93.158.228</t>
  </si>
  <si>
    <t>60c28c8d41659</t>
  </si>
  <si>
    <t>https://totalsiyapaji.com/W088PP0Y0Vij0y00ED0fv08MhiD1/?sub1={{zoneid}}&amp;amp;sub2={{subid}}&amp;amp;sub3={{ctoken}}&amp;amp;sub4={{ip}}&amp;amp;sub5={{useragent}}&amp;am</t>
  </si>
  <si>
    <t>60c28c39d2549</t>
  </si>
  <si>
    <t>60c28c086f54c</t>
  </si>
  <si>
    <t>https://totalsiyapaji.com/W088PP0Y0Vij0y00ED0fv08MhiD1/?sub1={{zoneid}}&amp;amp;sub2={{subid}}&amp;amp;sub3={{ctoken}}&amp;amp;sub4={{ip}}&amp;amp;sub5={{useragent}}?_e</t>
  </si>
  <si>
    <t>60c28bf3e1269</t>
  </si>
  <si>
    <t>60c28be13ad78</t>
  </si>
  <si>
    <t>60c28bd45efc9</t>
  </si>
  <si>
    <t>60c28bca8b594</t>
  </si>
  <si>
    <t>60c28bc53411f</t>
  </si>
  <si>
    <t>60c28bbdc1202</t>
  </si>
  <si>
    <t>60c28bb381ede</t>
  </si>
  <si>
    <t>60c28ba88426c</t>
  </si>
  <si>
    <t>60c28b897a782</t>
  </si>
  <si>
    <t>60c28b6823a92</t>
  </si>
  <si>
    <t>60c28b15eb2d5</t>
  </si>
  <si>
    <t>60c28b136dde6</t>
  </si>
  <si>
    <t>60c28b1219eb1</t>
  </si>
  <si>
    <t>60c28b0709bfa</t>
  </si>
  <si>
    <t>60c28afc88ff0</t>
  </si>
  <si>
    <t>60c28af66407f</t>
  </si>
  <si>
    <t>60c28af240feb</t>
  </si>
  <si>
    <t>60c28adb3ca48</t>
  </si>
  <si>
    <t>60c28abe0bbba</t>
  </si>
  <si>
    <t>60c28aab9947e</t>
  </si>
  <si>
    <t>60c28aa004c36</t>
  </si>
  <si>
    <t>60c28a845900f</t>
  </si>
  <si>
    <t>60c28a79ad3fb</t>
  </si>
  <si>
    <t>60c28a639ae31</t>
  </si>
  <si>
    <t>60c28a1303504</t>
  </si>
  <si>
    <t>https://totalsiyapaji.com/W088PP0Y0Vij0y00ED0fv08MhiD1/</t>
  </si>
  <si>
    <t>60c289f2dc4d8</t>
  </si>
  <si>
    <t>60c289c70d808</t>
  </si>
  <si>
    <t>60c289ae4b0d0</t>
  </si>
  <si>
    <t>60c289994ab8d</t>
  </si>
  <si>
    <t>60c2894715c1b</t>
  </si>
  <si>
    <t>60c289248ca96</t>
  </si>
  <si>
    <t>60c288f3655c9</t>
  </si>
  <si>
    <t>60c288d7beae0</t>
  </si>
  <si>
    <t>60c28824d0f18</t>
  </si>
  <si>
    <t>60c2882075a98</t>
  </si>
  <si>
    <t>60c287e27bbf6</t>
  </si>
  <si>
    <t>60c287bdb3341</t>
  </si>
  <si>
    <t>60c2878ad5bea</t>
  </si>
  <si>
    <t>60c28780c271a</t>
  </si>
  <si>
    <t>https://totalsiyapaji.com/W088PP0Y0Vij0y00ED0fv08MhiD1</t>
  </si>
  <si>
    <t>60c286885c059</t>
  </si>
  <si>
    <t>60c2867a743b7</t>
  </si>
  <si>
    <t>60c286756411a</t>
  </si>
  <si>
    <t>60c28669e8a3f</t>
  </si>
  <si>
    <t>60c28591d33cf</t>
  </si>
  <si>
    <t>60c28587160a3</t>
  </si>
  <si>
    <t>60c2855da90e4</t>
  </si>
  <si>
    <t>60c2853ba85d6</t>
  </si>
  <si>
    <t>60c285344d407</t>
  </si>
  <si>
    <t>60c2851f0b16a</t>
  </si>
  <si>
    <t>60c2850c9ff5a</t>
  </si>
  <si>
    <t>60c284f8a5eb5</t>
  </si>
  <si>
    <t>60c284e49b838</t>
  </si>
  <si>
    <t>60c284cbe2d51</t>
  </si>
  <si>
    <t>60c284b92bbe8</t>
  </si>
  <si>
    <t>60c284a4ed037</t>
  </si>
  <si>
    <t>60c28491a5f3d</t>
  </si>
  <si>
    <t>60c284895ec7a</t>
  </si>
  <si>
    <t>60c2847d32868</t>
  </si>
  <si>
    <t>60c28468c351b</t>
  </si>
  <si>
    <t>60c28454933d3</t>
  </si>
  <si>
    <t>60c2843f5c1f4</t>
  </si>
  <si>
    <t>60c284269f1d2</t>
  </si>
  <si>
    <t>60c28413ec1b9</t>
  </si>
  <si>
    <t>60c284020fca9</t>
  </si>
  <si>
    <t>60c283ed40f1e</t>
  </si>
  <si>
    <t>atlansweather.com</t>
  </si>
  <si>
    <t>104.21.40.17</t>
  </si>
  <si>
    <t>60c77e221ad2f</t>
  </si>
  <si>
    <t>https://atlansweather.com/codemasgss/MAfdfffdgfgfgdfgdfgf-188CtySS/</t>
  </si>
  <si>
    <t>60c77e0f7a495</t>
  </si>
  <si>
    <t>https://atlansweather.com/codemasgss/EDfdfffdgfgfgdfgdfgfMPr88CtySS/</t>
  </si>
  <si>
    <t>60c77df2bf935</t>
  </si>
  <si>
    <t>https://atlansweather.com/codemasgss/CHfdfffdgfgfgdfgdfgfMPr88CtySS/</t>
  </si>
  <si>
    <t>60c77ddd6856e</t>
  </si>
  <si>
    <t>https://atlansweather.com/codemasgss/CEDfdfffdgfgfgdfgdfgfMPr88CtySS/</t>
  </si>
  <si>
    <t>60c77e00b8014</t>
  </si>
  <si>
    <t>https://atlansweather.com/codemasgss/FFfdfffdgfgfgdfgdfgfMPr88CtySS/</t>
  </si>
  <si>
    <t>d1qkjf7fo21jrn.cloudfront.net</t>
  </si>
  <si>
    <t>52.84.186.75</t>
  </si>
  <si>
    <t>60c77d8dd3618</t>
  </si>
  <si>
    <t>https://d1qkjf7fo21jrn.cloudfront.net/04win/?phone=+1-(888)-909-1342&amp;amp;clickid=jzfcn4UhZc0&amp;amp;scid=104666.gdoogle.com</t>
  </si>
  <si>
    <t>52.84.186.34</t>
  </si>
  <si>
    <t>60c77da810adc</t>
  </si>
  <si>
    <t>https://d1qkjf7fo21jrn.cloudfront.net/04win/?phone=+1-(888)-851-0613&amp;amp;utm_conversionid=nFJe8zjAmrM&amp;amp;utm_medium=46018.amanda-73636f6d</t>
  </si>
  <si>
    <t>lucid-heisenberg.139-59-25-44.plesk.page</t>
  </si>
  <si>
    <t>139.59.25.44</t>
  </si>
  <si>
    <t>60c77f4f8207d</t>
  </si>
  <si>
    <t>https://lucid-heisenberg.139-59-25-44.plesk.page/W088PP0Y0RisSTriCED0fv08Mhi/index.html</t>
  </si>
  <si>
    <t>3.128.20.226</t>
  </si>
  <si>
    <t>60c6ac15cd7f2</t>
  </si>
  <si>
    <t>http://3.128.20.226/W088AT0Y0Mit0y0CED008MhiD1VTy/index.html</t>
  </si>
  <si>
    <t>laughing-mclean.167-71-234-77.plesk.page</t>
  </si>
  <si>
    <t>167.71.234.77</t>
  </si>
  <si>
    <t>60c77970973b1</t>
  </si>
  <si>
    <t>https://laughing-mclean.167-71-234-77.plesk.page/W088PP0Y0RisSTriCED0fv08Mhi/index.html</t>
  </si>
  <si>
    <t>globally149.ml</t>
  </si>
  <si>
    <t>172.67.193.125</t>
  </si>
  <si>
    <t>60c64eb997a72</t>
  </si>
  <si>
    <t>https://globally149.ml/0WinDhelpli0ne101539/W088In01MSi08880it0yCH00081188/index.html</t>
  </si>
  <si>
    <t>prompting449.ga</t>
  </si>
  <si>
    <t>172.67.180.224</t>
  </si>
  <si>
    <t>60c668ea13126</t>
  </si>
  <si>
    <t>https://prompting449.ga/0WinDhelpli0ne494839/W088In01MSi08880it0yCH00081188/index.html</t>
  </si>
  <si>
    <t>3.132.203.49</t>
  </si>
  <si>
    <t>60c69cc9c5dcc</t>
  </si>
  <si>
    <t>http://3.132.203.49/W088AT0Y0Mit0y0CED008MhiD1VTy/index.html</t>
  </si>
  <si>
    <t>3.19.88.141</t>
  </si>
  <si>
    <t>60c69ea565a26</t>
  </si>
  <si>
    <t>http://3.19.88.141/W088AT0Y0Mit0y0CED008MhiD1VTy/index.html</t>
  </si>
  <si>
    <t>3.143.91.69</t>
  </si>
  <si>
    <t>60c6a3d829e0d</t>
  </si>
  <si>
    <t>http://3.143.91.69/W088AT0Y0Mit0y0CED008MhiD1VTy/index.html</t>
  </si>
  <si>
    <t>3.13.153.86</t>
  </si>
  <si>
    <t>60c6a4be15249</t>
  </si>
  <si>
    <t>http://3.13.153.86/W088AT0Y0Mit0y0CED008MhiD1VTy/index.html</t>
  </si>
  <si>
    <t>3.128.157.160</t>
  </si>
  <si>
    <t>60c6aa0c74a31</t>
  </si>
  <si>
    <t>http://3.128.157.160/W088AT0Y0Mit0y0CED008MhiD1VTy/index.html</t>
  </si>
  <si>
    <t>52.84.186.31</t>
  </si>
  <si>
    <t>60c77f81c56a3</t>
  </si>
  <si>
    <t>https://d1qkjf7fo21jrn.cloudfront.net/04win/?phone=+1-(888)-909-1326&amp;amp;sid=241285.176456_gmaii.com</t>
  </si>
  <si>
    <t>helpfixsupport.website</t>
  </si>
  <si>
    <t>161.35.63.121</t>
  </si>
  <si>
    <t>60c77f89dd663</t>
  </si>
  <si>
    <t>https://helpfixsupport.website/W8YYn0Ma0S7cIMau0r0it0yCH0080/</t>
  </si>
  <si>
    <t>18.118.73.142</t>
  </si>
  <si>
    <t>60c78879be966</t>
  </si>
  <si>
    <t>http://18.118.73.142/W088AT0Y0Mit0y0CED008MhiD1VTy/index.html</t>
  </si>
  <si>
    <t>markpainters.xyz</t>
  </si>
  <si>
    <t>172.67.154.235</t>
  </si>
  <si>
    <t>60c78ada1e9be</t>
  </si>
  <si>
    <t>https://markpainters.xyz/codemasgss/MAfdfffdgfgfgdfgdfgf-188CtySS/</t>
  </si>
  <si>
    <t>60c78a995b037</t>
  </si>
  <si>
    <t>https://markpainters.xyz/codemasgss/EDfdfffdgfgfgdfgdfgfMPr88CtySS/</t>
  </si>
  <si>
    <t>60c78a8f5410c</t>
  </si>
  <si>
    <t>https://markpainters.xyz/codemasgss/CEDfdfffdgfgfgdfgdfgfMPr88CtySS/</t>
  </si>
  <si>
    <t>104.21.6.47</t>
  </si>
  <si>
    <t>60c78ab0b1020</t>
  </si>
  <si>
    <t>https://markpainters.xyz/codemasgss/CHfdfffdgfgfgdfgdfgfMPr88CtySS/</t>
  </si>
  <si>
    <t>034hypopath.ml</t>
  </si>
  <si>
    <t>172.67.168.125</t>
  </si>
  <si>
    <t>60c78c4fc0194</t>
  </si>
  <si>
    <t>https://034hypopath.ml/ds-7248f0sdf-sd0fds-sd-2681.jjnby/W088MSi08880Moit0yCED0008Mhi11D1/index.html</t>
  </si>
  <si>
    <t>3.128.154.142</t>
  </si>
  <si>
    <t>60c78dee4cf62</t>
  </si>
  <si>
    <t>http://3.128.154.142/W088AT0Y0Mit0y0CED008MhiD1VTy/index.html</t>
  </si>
  <si>
    <t>0partying494.ml</t>
  </si>
  <si>
    <t>104.21.75.21</t>
  </si>
  <si>
    <t>60c77fa0ea906</t>
  </si>
  <si>
    <t>https://0partying494.ml/WInhelpline01dfy1521.hhby/W088In01xmse08880it0yCED008MUY008xx/</t>
  </si>
  <si>
    <t>3.14.229.72</t>
  </si>
  <si>
    <t>60c78126db6ab</t>
  </si>
  <si>
    <t>http://3.14.229.72/W088AT0Y0Mit0y0CED008MhiD1VTy/index.html</t>
  </si>
  <si>
    <t>18.118.88.186</t>
  </si>
  <si>
    <t>60c7816ee82cd</t>
  </si>
  <si>
    <t>http://18.118.88.186/W088AT0Y0Mit0y0ED008MhiD1VTy/index.html</t>
  </si>
  <si>
    <t>shareware144.ga</t>
  </si>
  <si>
    <t>104.21.29.228</t>
  </si>
  <si>
    <t>60c78448dbb77</t>
  </si>
  <si>
    <t>https://shareware144.ga/WInhelpline01dfy3998.hhby/W088In01xmse08880it0yCED008MUY008xx/</t>
  </si>
  <si>
    <t>syndicate229.ml</t>
  </si>
  <si>
    <t>104.21.95.126</t>
  </si>
  <si>
    <t>60c785f077049</t>
  </si>
  <si>
    <t>https://syndicate229.ml/ds-2681f0sdf-sd0fds-sd-2681.jjnby/W088MSi08880Moit0yCED0008Mhi11D1/index.html</t>
  </si>
  <si>
    <t>18.118.72.125</t>
  </si>
  <si>
    <t>60c78749d186d</t>
  </si>
  <si>
    <t>http://18.118.72.125/W088AT0Y0Mit0y0CED008MhiD1VTy/index.html</t>
  </si>
  <si>
    <t>dln4krt7uxiwp.cloudfront.net</t>
  </si>
  <si>
    <t>52.84.186.79</t>
  </si>
  <si>
    <t>60c791eb960a6</t>
  </si>
  <si>
    <t>https://dln4krt7uxiwp.cloudfront.net/04win/?phone=+1-(888)-909-1343&amp;amp;click=F-1pW2a34RY&amp;amp;sclick=214308.166967_25350037</t>
  </si>
  <si>
    <t>18.118.108.50</t>
  </si>
  <si>
    <t>60c7932567154</t>
  </si>
  <si>
    <t>http://18.118.108.50/W088AT0Y0Mit0y0CED008MhiD1VTy/index.html</t>
  </si>
  <si>
    <t>0boiler992.ml</t>
  </si>
  <si>
    <t>172.67.149.99</t>
  </si>
  <si>
    <t>60c793450bf21</t>
  </si>
  <si>
    <t>https://0boiler992.ml/0WinDhelpli0ne101528/W088In01MSi08880it0yCH00081188/index.html</t>
  </si>
  <si>
    <t>globally244.ga</t>
  </si>
  <si>
    <t>104.21.55.194</t>
  </si>
  <si>
    <t>60c79e11d424b</t>
  </si>
  <si>
    <t>https://globally244.ga/ds-6548f0sdf-sd0fds-sd-6548.jjnby/W088MSi08880Moit0yCED0008Mhi11D1/index.html</t>
  </si>
  <si>
    <t>gateway559.ml</t>
  </si>
  <si>
    <t>104.21.85.234</t>
  </si>
  <si>
    <t>60c79a2ab4839</t>
  </si>
  <si>
    <t>https://gateway559.ml/ds-7248f0sdf-sd0fds-sd-4960.jjnby/W088MSi08880Moit0yCED0008Mhi11D1/index.html</t>
  </si>
  <si>
    <t>d2e9nqt3gnxxe7.cloudfront.net</t>
  </si>
  <si>
    <t>52.84.186.141</t>
  </si>
  <si>
    <t>60c79a458480e</t>
  </si>
  <si>
    <t>https://d2e9nqt3gnxxe7.cloudfront.net/04win/?phone=+1-(888)-909-1210&amp;amp;clickid=FWJ0XpYw8Yc&amp;amp;scid=225955.twiktter.com</t>
  </si>
  <si>
    <t>eager-lovelace.159-89-166-239.plesk.page</t>
  </si>
  <si>
    <t>159.89.166.239</t>
  </si>
  <si>
    <t>60c79edcaaa0b</t>
  </si>
  <si>
    <t>https://eager-lovelace.159-89-166-239.plesk.page/W088PP0Y0RisSTriCED0fv08Mhi/index.html</t>
  </si>
  <si>
    <t>parkertoys.xyz</t>
  </si>
  <si>
    <t>172.67.174.195</t>
  </si>
  <si>
    <t>60c7ad34c3386</t>
  </si>
  <si>
    <t>https://parkertoys.xyz/codemasgss/MAfdfffdgfgfgdfgdfgf-188CtySS/</t>
  </si>
  <si>
    <t>60c7ad154924e</t>
  </si>
  <si>
    <t>https://parkertoys.xyz/codemasgss/EDfdfffdgfgfgdfgdfgfMPr88CtySS/</t>
  </si>
  <si>
    <t>60c7acffc8c94</t>
  </si>
  <si>
    <t>https://parkertoys.xyz/codemasgss/CHfdfffdgfgfgdfgdfgfMPr88CtySS/</t>
  </si>
  <si>
    <t>60c7acf05987e</t>
  </si>
  <si>
    <t>https://parkertoys.xyz/codemasgss/CEDfdfffdgfgfgdfgdfgfMPr88CtySS/</t>
  </si>
  <si>
    <t>gallant-albattani.134-209-157-166.plesk.page</t>
  </si>
  <si>
    <t>134.209.157.166</t>
  </si>
  <si>
    <t>60c7ad70886c6</t>
  </si>
  <si>
    <t>https://gallant-albattani.134-209-157-166.plesk.page/W088PP0Y0RisSTriCED0fv08Mhi/index.html</t>
  </si>
  <si>
    <t>102captology.ml</t>
  </si>
  <si>
    <t>104.21.26.107</t>
  </si>
  <si>
    <t>60c7adb2d3180</t>
  </si>
  <si>
    <t>https://102captology.ml/0WinDhelpli0ne072108/W088In01MSi08880it0yCED00081188/index.html</t>
  </si>
  <si>
    <t>davidwalls.xyz</t>
  </si>
  <si>
    <t>104.21.21.28</t>
  </si>
  <si>
    <t>60c7be87447ba</t>
  </si>
  <si>
    <t>https://davidwalls.xyz/codemasgss/MAfdfffdgfgfgdfgdfgf-188CtySS/</t>
  </si>
  <si>
    <t>60c7be6cf10d0</t>
  </si>
  <si>
    <t>https://davidwalls.xyz/codemasgss/FFfdfffdgfgfgdfgdfgfMPr88CtySS/</t>
  </si>
  <si>
    <t>60c7be6311de2</t>
  </si>
  <si>
    <t>https://davidwalls.xyz/codemasgss/EDfdfffdgfgfgdfgdfgfMPr88CtySS/</t>
  </si>
  <si>
    <t>60c7be3ee3b45</t>
  </si>
  <si>
    <t>https://davidwalls.xyz/codemasgss/CEDfdfffdgfgfgdfgdfgfMPr88CtySS/</t>
  </si>
  <si>
    <t>60c7b63f88ccc</t>
  </si>
  <si>
    <t>https://davidwalls.xyz/codemasgss/CHfdfffdgfgfgdfgdfgfMPr88CtySS/</t>
  </si>
  <si>
    <t>bull0eting732.ga</t>
  </si>
  <si>
    <t>172.67.208.211</t>
  </si>
  <si>
    <t>60c3e022d4772</t>
  </si>
  <si>
    <t>https://bull0eting732.ga/0WinDhelpli0ne210633/W088In01MSi08880it0yCH00081188/index.html</t>
  </si>
  <si>
    <t>vtip13.azurewebsites.net</t>
  </si>
  <si>
    <t>20.40.202.11</t>
  </si>
  <si>
    <t>60d10648be22c</t>
  </si>
  <si>
    <t>https://vtip13.azurewebsites.net/W880n01xm888se0cur0it0yCH008VP888Y/index.html</t>
  </si>
  <si>
    <t>vtip6.azurewebsites.net</t>
  </si>
  <si>
    <t>60d10643c1a0b</t>
  </si>
  <si>
    <t>https://vtip6.azurewebsites.net/W880n01xm888se0cur0it0yCH008VP888Y/index.html</t>
  </si>
  <si>
    <t>vtip7.azurewebsites.net</t>
  </si>
  <si>
    <t>60d1063f24a47</t>
  </si>
  <si>
    <t>https://vtip7.azurewebsites.net/W880n01xm888se0cur0it0yCH008VP888Y/index.html</t>
  </si>
  <si>
    <t>vtip8.azurewebsites.net</t>
  </si>
  <si>
    <t>60d1063a0211f</t>
  </si>
  <si>
    <t>https://vtip8.azurewebsites.net/W880n01xm888se0cur0it0yCH008VP888Y/index.html</t>
  </si>
  <si>
    <t>vtip9.azurewebsites.net</t>
  </si>
  <si>
    <t>60d106351048d</t>
  </si>
  <si>
    <t>https://vtip9.azurewebsites.net/W880n01xm888se0cur0it0yCH008VP888Y/index.html</t>
  </si>
  <si>
    <t>vtip10.azurewebsites.net</t>
  </si>
  <si>
    <t>60d1062f9fd63</t>
  </si>
  <si>
    <t>https://vtip10.azurewebsites.net/W880n01xm888se0cur0it0yCH008VP888Y/index.html</t>
  </si>
  <si>
    <t>vtip11.azurewebsites.net</t>
  </si>
  <si>
    <t>60d10629a838f</t>
  </si>
  <si>
    <t>https://vtip11.azurewebsites.net/W880n01xm888se0cur0it0yCH008VP888Y/index.html</t>
  </si>
  <si>
    <t>vtip12.azurewebsites.net</t>
  </si>
  <si>
    <t>60d105fef3f8a</t>
  </si>
  <si>
    <t>https://vtip12.azurewebsites.net/W880n01xm888se0cur0it0yCH008VP888Y/index.html</t>
  </si>
  <si>
    <t>vtip3.azurewebsites.net</t>
  </si>
  <si>
    <t>60d0e1a24f277</t>
  </si>
  <si>
    <t>https://vtip3.azurewebsites.net/W880n01xm888se0cur0it0yCH008VP888Y/index.html</t>
  </si>
  <si>
    <t>rtyc13.azurewebsites.net</t>
  </si>
  <si>
    <t>60c7c1bf48ad2</t>
  </si>
  <si>
    <t>https://rtyc13.azurewebsites.net/W880n01xm888se0cur0it0yCH008VP888Y/index.html</t>
  </si>
  <si>
    <t>rtyc12.azurewebsites.net</t>
  </si>
  <si>
    <t>60c7c168bb481</t>
  </si>
  <si>
    <t>https://rtyc12.azurewebsites.net/W880n01xm888se0cur0it0yCH008VP888Y/index.html</t>
  </si>
  <si>
    <t>rtyc11.azurewebsites.net</t>
  </si>
  <si>
    <t>60c7c1636270c</t>
  </si>
  <si>
    <t>https://rtyc11.azurewebsites.net/W880n01xm888se0cur0it0yCH008VP888Y/index.html</t>
  </si>
  <si>
    <t>rtyc10.azurewebsites.net</t>
  </si>
  <si>
    <t>60c7c15e8c84a</t>
  </si>
  <si>
    <t>https://rtyc10.azurewebsites.net/W880n01xm888se0cur0it0yCH008VP888Y/index.html</t>
  </si>
  <si>
    <t>rtyc9.azurewebsites.net</t>
  </si>
  <si>
    <t>60c7c159b3ce6</t>
  </si>
  <si>
    <t>https://rtyc9.azurewebsites.net/W880n01xm888se0cur0it0yCH008VP888Y/index.html</t>
  </si>
  <si>
    <t>rtyc8.azurewebsites.net</t>
  </si>
  <si>
    <t>60c7c154b05f4</t>
  </si>
  <si>
    <t>https://rtyc8.azurewebsites.net/W880n01xm888se0cur0it0yCH008VP888Y/index.html</t>
  </si>
  <si>
    <t>rtyc3.azurewebsites.net</t>
  </si>
  <si>
    <t>60c7c149666fb</t>
  </si>
  <si>
    <t>https://rtyc3.azurewebsites.net/W880n01xm888se0cur0it0yCH008VP888Y/index.html</t>
  </si>
  <si>
    <t>rtyc7.azurewebsites.net</t>
  </si>
  <si>
    <t>60c7c10c645d6</t>
  </si>
  <si>
    <t>https://rtyc7.azurewebsites.net/W880n01xm888se0cur0it0yCH008VP888Y/index.html</t>
  </si>
  <si>
    <t>rtyc6.azurewebsites.net</t>
  </si>
  <si>
    <t>60c7c118951e6</t>
  </si>
  <si>
    <t>https://rtyc6.azurewebsites.net/W880n01xm888se0cur0it0yCH008VP888Y/index.html</t>
  </si>
  <si>
    <t>rtyc5.azurewebsites.net</t>
  </si>
  <si>
    <t>60c7b9941b13d</t>
  </si>
  <si>
    <t>https://rtyc5.azurewebsites.net/W880n01xm888se0cur0it0yCH008VP888Y/index.html</t>
  </si>
  <si>
    <t>recursing-stonebraker.159-89-168-73.plesk.page</t>
  </si>
  <si>
    <t>159.89.168.73</t>
  </si>
  <si>
    <t>60c3b41c5bf67</t>
  </si>
  <si>
    <t>https://recursing-stonebraker.159-89-168-73.plesk.page/WinFvcertjkrhkthrkkjrhtjkrCHVX/</t>
  </si>
  <si>
    <t>13.249.12.38</t>
  </si>
  <si>
    <t>60c3e0c701e00</t>
  </si>
  <si>
    <t>https://dc1un6ki40s03.cloudfront.net/04win/?phone=+1-(888)-787-4185&amp;amp;utm_conversionid=Kh60FXK5q9Q&amp;amp;utm_medium=47059.1343052468</t>
  </si>
  <si>
    <t>52.222.196.166</t>
  </si>
  <si>
    <t>60c3e1c1665a9</t>
  </si>
  <si>
    <t>https://dc1un6ki40s03.cloudfront.net/04win/?phone=+1-(888)-786-4486&amp;amp;sid=207532.25350037</t>
  </si>
  <si>
    <t>secusystem.xyz</t>
  </si>
  <si>
    <t>165.22.198.211</t>
  </si>
  <si>
    <t>60c2951d35d02</t>
  </si>
  <si>
    <t>https://secusystem.xyz/3736dvs46bhg/W088MSi08880Moit0yCED0008Mhi11D1/index.html</t>
  </si>
  <si>
    <t>alexflooring.xyz</t>
  </si>
  <si>
    <t>104.21.82.164</t>
  </si>
  <si>
    <t>60c374f09b3a4</t>
  </si>
  <si>
    <t>https://alexflooring.xyz/codemasgss/MAfdfffdgfgfgdfgdfgf-188CtySS/</t>
  </si>
  <si>
    <t>60c374dbc6695</t>
  </si>
  <si>
    <t>https://alexflooring.xyz/codemasgss/EDfdfffdgfgfgdfgdfgfMPr88CtySS/</t>
  </si>
  <si>
    <t>60c374c805e62</t>
  </si>
  <si>
    <t>https://alexflooring.xyz/codemasgss/FFfdfffdgfgfgdfgdfgfMPr88CtySS/</t>
  </si>
  <si>
    <t>60c374bca2403</t>
  </si>
  <si>
    <t>https://alexflooring.xyz/codemasgss/CHfdfffdgfgfgdfgdfgfMPr88CtySS/</t>
  </si>
  <si>
    <t>60c3749f23bea</t>
  </si>
  <si>
    <t>https://alexflooring.xyz/codemasgss/CEDfdfffdgfgfgdfgdfgfMPr88CtySS/</t>
  </si>
  <si>
    <t>royaltoys.xyz</t>
  </si>
  <si>
    <t>172.67.208.95</t>
  </si>
  <si>
    <t>60c37e0c294b4</t>
  </si>
  <si>
    <t>https://royaltoys.xyz/codemasgss/FFfdfffdgfgfgdfgdfgfMPr88CtySS/</t>
  </si>
  <si>
    <t>60c37dded35ad</t>
  </si>
  <si>
    <t>https://royaltoys.xyz/codemasgss/CEDfdfffdgfgfgdfgdfgfMPr88CtySS/</t>
  </si>
  <si>
    <t>104.21.42.189</t>
  </si>
  <si>
    <t>60c37e366e4a5</t>
  </si>
  <si>
    <t>https://royaltoys.xyz/codemasgss/MAfdfffdgfgfgdfgdfgf-188CtySS/</t>
  </si>
  <si>
    <t>60c37e2782567</t>
  </si>
  <si>
    <t>https://royaltoys.xyz/codemasgss/EDfdfffdgfgfgdfgdfgfMPr88CtySS/</t>
  </si>
  <si>
    <t>60c37e00a6b5f</t>
  </si>
  <si>
    <t>https://royaltoys.xyz/codemasgss/CHfdfffdgfgfgdfgdfgfMPr88CtySS/</t>
  </si>
  <si>
    <t>d21mzlsgp1l5e2.cloudfront.net</t>
  </si>
  <si>
    <t>13.224.58.184</t>
  </si>
  <si>
    <t>60c38d159c14d</t>
  </si>
  <si>
    <t>https://d21mzlsgp1l5e2.cloudfront.net/04win/?phone=+1-(888)-786-9961&amp;amp;clickid=79Rdm4CO4G4&amp;amp;scid=225955.gdoogle.com</t>
  </si>
  <si>
    <t>13.224.58.211</t>
  </si>
  <si>
    <t>60c38d3e1d885</t>
  </si>
  <si>
    <t>https://d21mzlsgp1l5e2.cloudfront.net/04win/?phone=+1-(888)-787-3879&amp;amp;utm_conversionid=NLwvtYbr*yw&amp;amp;utm_medium=46018.amanda-73636f6d</t>
  </si>
  <si>
    <t>324instantive.ml</t>
  </si>
  <si>
    <t>172.67.218.8</t>
  </si>
  <si>
    <t>60c38d8fcd827</t>
  </si>
  <si>
    <t>https://324instantive.ml/ds-1420f0sdf-sd0fds-sd-1420.jjnby/W088MSi08880Moit0yCED0008Mhi11D1/index.html</t>
  </si>
  <si>
    <t>interiorshub.xyz</t>
  </si>
  <si>
    <t>172.67.161.149</t>
  </si>
  <si>
    <t>60c38f99c33e0</t>
  </si>
  <si>
    <t>https://interiorshub.xyz/codemasgss/CHfdfffdgfgfgdfgdfgfMPr88CtySS/</t>
  </si>
  <si>
    <t>hookupsnearmy.com</t>
  </si>
  <si>
    <t>178.128.226.66</t>
  </si>
  <si>
    <t>60c392d91b4ed</t>
  </si>
  <si>
    <t>https://hookupsnearmy.com/W088PP0Y0Vij0y00ED0fv08MhiD1/?sub1=%7B%7Bzoneid%7D%7D&amp;amp;sub2=%7B%7Bsubid%7D%7D&amp;amp;sub3=%7B%7Bctoken%7D%7D&amp;amp;sub4=%7B%7Bip</t>
  </si>
  <si>
    <t>60c392d440b28</t>
  </si>
  <si>
    <t>60c392cfe45ec</t>
  </si>
  <si>
    <t>60c392cd95ab2</t>
  </si>
  <si>
    <t>60c392c8c1317</t>
  </si>
  <si>
    <t>60c392c46d43d</t>
  </si>
  <si>
    <t>60c392b5e1ccf</t>
  </si>
  <si>
    <t>60c392553d784</t>
  </si>
  <si>
    <t>https://hookupsnearmy.com/W088PP0Y0Vij0y00ED0fv08MhiD1/?sub1=null</t>
  </si>
  <si>
    <t>60c3924e5109d</t>
  </si>
  <si>
    <t>60c392428b9a7</t>
  </si>
  <si>
    <t>60c3923d7c089</t>
  </si>
  <si>
    <t>60c3923871c74</t>
  </si>
  <si>
    <t>60c39234a398b</t>
  </si>
  <si>
    <t>60c39231c1e87</t>
  </si>
  <si>
    <t>60c392257d1fe</t>
  </si>
  <si>
    <t>60c39212303ac</t>
  </si>
  <si>
    <t>60c391bbb1768</t>
  </si>
  <si>
    <t>https://hookupsnearmy.com/W088PP0Y0Vij0y00ED0fv08MhiD1/?sub1={{zoneid}}&amp;amp;sub2={{subid}}&amp;amp;sub3={{ctoken}}&amp;amp;sub4={{ip}}&amp;amp;sub5={{useragent}}&amp;am</t>
  </si>
  <si>
    <t>d3bmppkilyoyyh.cloudfront.net</t>
  </si>
  <si>
    <t>52.222.196.62</t>
  </si>
  <si>
    <t>60c50e5911412</t>
  </si>
  <si>
    <t>https://d3bmppkilyoyyh.cloudfront.net/04win/?phone=+1-(830)-627-3769&amp;amp;utm_conversionid=ERJHXrJwiSI&amp;amp;utm_medium=265454.8e0dfea0fd200dd38c297e571</t>
  </si>
  <si>
    <t>carlpainter.xyz</t>
  </si>
  <si>
    <t>104.21.90.58</t>
  </si>
  <si>
    <t>60c510dcd34d6</t>
  </si>
  <si>
    <t>https://carlpainter.xyz/codemasgss/CHfdfffdgfgfgdfgdfgfMPr88CtySS/</t>
  </si>
  <si>
    <t>pearltoys.xyz</t>
  </si>
  <si>
    <t>172.67.194.138</t>
  </si>
  <si>
    <t>60c567f702ee2</t>
  </si>
  <si>
    <t>https://pearltoys.xyz/codemasgss/MAfdfffdgfgfgdfgdfgf-188CtySS/</t>
  </si>
  <si>
    <t>60c515bb5ca7f</t>
  </si>
  <si>
    <t>https://pearltoys.xyz/codemasgss/CHfdfffdgfgfgdfgdfgfMPr88CtySS/</t>
  </si>
  <si>
    <t>dt8uh1m25e9nh.cloudfront.net</t>
  </si>
  <si>
    <t>52.222.196.93</t>
  </si>
  <si>
    <t>60c5197880de6</t>
  </si>
  <si>
    <t>https://dt8uh1m25e9nh.cloudfront.net/04win/?phone=+1-(888)-851-0621&amp;amp;utm_conversionid=ijYXEUMHK1E&amp;amp;utm_medium=265454.02d423bb8174c28fed8ee3a88</t>
  </si>
  <si>
    <t>130exacutation.ml</t>
  </si>
  <si>
    <t>104.21.52.187</t>
  </si>
  <si>
    <t>60c51ab2c9165</t>
  </si>
  <si>
    <t>https://130exacutation.ml/ds-7248f0sdf-sd0fds-sd-7248.jjnby/W088MSi08880Mit0yCH0008Mhi11D1/index.html</t>
  </si>
  <si>
    <t>3.15.86.191</t>
  </si>
  <si>
    <t>60c51b17d17d1</t>
  </si>
  <si>
    <t>http://3.15.86.191/W088AT0Y0Mit0y0CED008MhiD1VTy/index.html</t>
  </si>
  <si>
    <t>d2mv836n9xdhtu.cloudfront.net</t>
  </si>
  <si>
    <t>52.222.196.200</t>
  </si>
  <si>
    <t>60c51c5552331</t>
  </si>
  <si>
    <t>https://d2mv836n9xdhtu.cloudfront.net/04win/?phone=+1-(888)-851-0655&amp;amp;click=pdiVmEuTBcc&amp;amp;sclick=179640.YDroPp</t>
  </si>
  <si>
    <t>dgjudyy.cf</t>
  </si>
  <si>
    <t>165.232.128.115</t>
  </si>
  <si>
    <t>60c531333105d</t>
  </si>
  <si>
    <t>https://dgjudyy.cf/WWIFCHUS612nsghyuCHCH88/</t>
  </si>
  <si>
    <t>dggtyss.cf</t>
  </si>
  <si>
    <t>165.232.148.122</t>
  </si>
  <si>
    <t>60c531add8416</t>
  </si>
  <si>
    <t>https://dggtyss.cf/W0Shi88PP00y00CH0fv08Shi/index.html</t>
  </si>
  <si>
    <t>jhfriof.ml</t>
  </si>
  <si>
    <t>143.198.132.161</t>
  </si>
  <si>
    <t>60c537e8d12b1</t>
  </si>
  <si>
    <t>https://jhfriof.ml/W0Shi88PP00y00CH0fv08Shi/index.html</t>
  </si>
  <si>
    <t>3.128.92.194</t>
  </si>
  <si>
    <t>60c53bc79dc94</t>
  </si>
  <si>
    <t>http://3.128.92.194/W088AT0Y0Mit0y0CED008MhiD1VTy/index.html</t>
  </si>
  <si>
    <t>18.118.125.193</t>
  </si>
  <si>
    <t>60c53ced383f5</t>
  </si>
  <si>
    <t>http://18.118.125.193/W088AT0Y0Mit0y0CED008MhiD1VTy/index.html</t>
  </si>
  <si>
    <t>52.222.196.17</t>
  </si>
  <si>
    <t>60c50bfe96952</t>
  </si>
  <si>
    <t>https://dt8uh1m25e9nh.cloudfront.net/04win/?phone=+1-(888)-909-1328&amp;amp;click=iVYxb7UrxdY&amp;amp;sclick=284127.312887_284127</t>
  </si>
  <si>
    <t>frosty-snyder.134-209-154-110.plesk.page</t>
  </si>
  <si>
    <t>134.209.154.110</t>
  </si>
  <si>
    <t>60c3aef767a0e</t>
  </si>
  <si>
    <t>https://frosty-snyder.134-209-154-110.plesk.page/WinFvcertjkrhkthrkkjrhtjkrCHVX/</t>
  </si>
  <si>
    <t>402transcoding.ga</t>
  </si>
  <si>
    <t>104.21.26.56</t>
  </si>
  <si>
    <t>60c3af18dbdf2</t>
  </si>
  <si>
    <t>https://402transcoding.ga/ds-6186f0sdf-sd0fds-sd-6186.jjnby/W088MSi08880Moit0yCED0008Mhi11D1/index.html</t>
  </si>
  <si>
    <t>markcarpets.xyz</t>
  </si>
  <si>
    <t>104.21.69.154</t>
  </si>
  <si>
    <t>60c4e14ae1650</t>
  </si>
  <si>
    <t>https://markcarpets.xyz/codemasgss/CHfdfffdgfgfgdfgdfgfMPr88CtySS/</t>
  </si>
  <si>
    <t>52.222.196.163</t>
  </si>
  <si>
    <t>60c4eaa4013fe</t>
  </si>
  <si>
    <t>https://d3bmppkilyoyyh.cloudfront.net/04win/?phone=+1-(888)-909-1203&amp;amp;utm_conversionid=ERJHXrJwiSI&amp;amp;utm_medium=265454.8e0dfea0fd200dd38c297e571</t>
  </si>
  <si>
    <t>partying582.ml</t>
  </si>
  <si>
    <t>104.21.21.177</t>
  </si>
  <si>
    <t>60c500cd06950</t>
  </si>
  <si>
    <t>https://partying582.ml/0WinDhelpli0ne120864/W088In01MSi08880it0yCH00081188/index.html</t>
  </si>
  <si>
    <t>sbmnjygft.tk</t>
  </si>
  <si>
    <t>143.110.146.161</t>
  </si>
  <si>
    <t>60c53f96b4953</t>
  </si>
  <si>
    <t>https://sbmnjygft.tk/W0Shi88PP00y00CH0fv08Shi/index.html</t>
  </si>
  <si>
    <t>104.21.90.36</t>
  </si>
  <si>
    <t>60c567e6b30dc</t>
  </si>
  <si>
    <t>https://pearltoys.xyz/codemasgss/CEDfdfffdgfgfgdfgdfgfMPr88CtySS/</t>
  </si>
  <si>
    <t>60c567db6b4d1</t>
  </si>
  <si>
    <t>https://pearltoys.xyz/codemasgss/EDfdfffdgfgfgdfgdfgfMPr88CtySS/</t>
  </si>
  <si>
    <t>60c567cf66e5d</t>
  </si>
  <si>
    <t>https://pearltoys.xyz/codemasgss/FFfdfffdgfgfgdfgdfgfMPr88CtySS/</t>
  </si>
  <si>
    <t>ramji-env.eba-jknfctng.us-east-2.elasticbeanstalk.com</t>
  </si>
  <si>
    <t>18.189.142.111</t>
  </si>
  <si>
    <t>60c393642910a</t>
  </si>
  <si>
    <t>http://ramji-env.eba-jknfctng.us-east-2.elasticbeanstalk.com/</t>
  </si>
  <si>
    <t>haptics209.ga</t>
  </si>
  <si>
    <t>104.21.69.180</t>
  </si>
  <si>
    <t>60c7c1dd50e51</t>
  </si>
  <si>
    <t>https://haptics209.ga/f-dsf0sd-f2990-sad0as-da0sd-as0das-2990.uuuhby/W088MSi08880Moit0yCED0008Mhi11D1/index.html</t>
  </si>
  <si>
    <t>samcarpets.xyz</t>
  </si>
  <si>
    <t>104.21.12.246</t>
  </si>
  <si>
    <t>60c7c2538e3e4</t>
  </si>
  <si>
    <t>https://samcarpets.xyz/codemasgss/FFfdfffdgfgfgdfgdfgfMPr88CtySS/</t>
  </si>
  <si>
    <t>60c7c211cb10c</t>
  </si>
  <si>
    <t>https://samcarpets.xyz/codemasgss/CEDfdfffdgfgfgdfgdfgfMPr88CtySS/</t>
  </si>
  <si>
    <t>172.67.196.197</t>
  </si>
  <si>
    <t>60c7c270d677d</t>
  </si>
  <si>
    <t>https://samcarpets.xyz/codemasgss/MAfdfffdgfgfgdfgdfgf-188CtySS/</t>
  </si>
  <si>
    <t>60c7c24698030</t>
  </si>
  <si>
    <t>https://samcarpets.xyz/codemasgss/EDfdfffdgfgfgdfgdfgfMPr88CtySS/</t>
  </si>
  <si>
    <t>60c7c23c63dbc</t>
  </si>
  <si>
    <t>https://samcarpets.xyz/codemasgss/CHfdfffdgfgfgdfgdfgfMPr88CtySS/</t>
  </si>
  <si>
    <t>jackpetcare.xyz</t>
  </si>
  <si>
    <t>104.21.70.20</t>
  </si>
  <si>
    <t>60c7c56a7ffd6</t>
  </si>
  <si>
    <t>https://jackpetcare.xyz/codemasgss/MAfdfffdgfgfgdfgdfgf-188CtySS/</t>
  </si>
  <si>
    <t>60c7c565c2a5d</t>
  </si>
  <si>
    <t>https://jackpetcare.xyz/codemasgss/FFfdfffdgfgfgdfgdfgfMPr88CtySS/</t>
  </si>
  <si>
    <t>60c7c56113f79</t>
  </si>
  <si>
    <t>https://jackpetcare.xyz/codemasgss/CHfdfffdgfgfgdfgdfgfMPr88CtySS/</t>
  </si>
  <si>
    <t>60c7c523780a7</t>
  </si>
  <si>
    <t>https://jackpetcare.xyz/codemasgss/CEDfdfffdgfgfgdfgdfgfMPr88CtySS/</t>
  </si>
  <si>
    <t>172.67.217.239</t>
  </si>
  <si>
    <t>60c7c55cc84fb</t>
  </si>
  <si>
    <t>https://jackpetcare.xyz/codemasgss/EDfdfffdgfgfgdfgdfgfMPr88CtySS/</t>
  </si>
  <si>
    <t>saminteriors.xyz</t>
  </si>
  <si>
    <t>172.67.208.4</t>
  </si>
  <si>
    <t>60c7c7f981c5d</t>
  </si>
  <si>
    <t>https://saminteriors.xyz/codemasgss/MAfdfffdgfgfgdfgdfgf-188CtySS/</t>
  </si>
  <si>
    <t>60c7c7f5670a1</t>
  </si>
  <si>
    <t>https://saminteriors.xyz/codemasgss/FFfdfffdgfgfgdfgdfgfMPr88CtySS/</t>
  </si>
  <si>
    <t>60c7c7f1913c4</t>
  </si>
  <si>
    <t>https://saminteriors.xyz/codemasgss/CHfdfffdgfgfgdfgdfgfMPr88CtySS/</t>
  </si>
  <si>
    <t>60c7c7edaf774</t>
  </si>
  <si>
    <t>https://saminteriors.xyz/codemasgss/EDfdfffdgfgfgdfgdfgfMPr88CtySS/</t>
  </si>
  <si>
    <t>60c7c7e9c9f58</t>
  </si>
  <si>
    <t>https://saminteriors.xyz/codemasgss/CEDfdfffdgfgfgdfgdfgfMPr88CtySS/</t>
  </si>
  <si>
    <t>systwifi.xyz</t>
  </si>
  <si>
    <t>206.189.6.52</t>
  </si>
  <si>
    <t>60c7ce6686bf8</t>
  </si>
  <si>
    <t>https://systwifi.xyz/673sdsv63dsv/W088MSi08880Moit0yCED0008Mhi11D1/index.html?source_id=gmail%2Bi%2Clogin%2Cgmail%2Cgoogle%2Bmail%2Cgmail%2Bemail%2Cgoog</t>
  </si>
  <si>
    <t>samtoys.xyz</t>
  </si>
  <si>
    <t>172.67.155.126</t>
  </si>
  <si>
    <t>60ca0696dd95d</t>
  </si>
  <si>
    <t>https://samtoys.xyz/codemasgss/FFfdfffdgfgfgdfgdfgfMPr88CtySS/</t>
  </si>
  <si>
    <t>craxflooring.xyz</t>
  </si>
  <si>
    <t>172.67.206.239</t>
  </si>
  <si>
    <t>60c7dbb2b1d6d</t>
  </si>
  <si>
    <t>https://craxflooring.xyz/codemasgss/MAfdfffdgfgfgdfgdfgf-188CtySS/</t>
  </si>
  <si>
    <t>60c7dbaa53dbf</t>
  </si>
  <si>
    <t>https://craxflooring.xyz/codemasgss/EDfdfffdgfgfgdfgdfgfMPr88CtySS/</t>
  </si>
  <si>
    <t>60c7dba65c57f</t>
  </si>
  <si>
    <t>https://craxflooring.xyz/codemasgss/CEDfdfffdgfgfgdfgdfgfMPr88CtySS/</t>
  </si>
  <si>
    <t>60c7dba2a746c</t>
  </si>
  <si>
    <t>https://craxflooring.xyz/codemasgss/CHfdfffdgfgfgdfgdfgfMPr88CtySS/</t>
  </si>
  <si>
    <t>104.21.93.76</t>
  </si>
  <si>
    <t>60c7dbaea00c4</t>
  </si>
  <si>
    <t>https://craxflooring.xyz/codemasgss/FFfdfffdgfgfgdfgdfgfMPr88CtySS/</t>
  </si>
  <si>
    <t>echoned485.ml</t>
  </si>
  <si>
    <t>172.67.190.11</t>
  </si>
  <si>
    <t>60c8a5b700458</t>
  </si>
  <si>
    <t>https://echoned485.ml/fsda0fsd-fs0df-sd0f-sd0fsd-7154.vvy8y/W088PP0Y0Mit0y0CH008MhiD1/index.html</t>
  </si>
  <si>
    <t>friendly-tu.143-110-183-112.plesk.page</t>
  </si>
  <si>
    <t>143.110.183.112</t>
  </si>
  <si>
    <t>60c8ec8b028e9</t>
  </si>
  <si>
    <t>https://friendly-tu.143-110-183-112.plesk.page/W088Pfbdmfbjsdhfjkfsjh0CED0fv08Mhi/index.html</t>
  </si>
  <si>
    <t>60c8b5e665199</t>
  </si>
  <si>
    <t>https://friendly-tu.143-110-183-112.plesk.page/W088Pdjfhjsdhfjhd0CED0fv08Mhi/index.html</t>
  </si>
  <si>
    <t>loving-grothendieck.167-71-225-97.plesk.page</t>
  </si>
  <si>
    <t>167.71.225.97</t>
  </si>
  <si>
    <t>60c8ca1d80f03</t>
  </si>
  <si>
    <t>https://loving-grothendieck.167-71-225-97.plesk.page/W088Pdjfhjsdhfjhd0CED0fv08Mhi/index.html</t>
  </si>
  <si>
    <t>jpysecure21.xyz</t>
  </si>
  <si>
    <t>5.181.218.4</t>
  </si>
  <si>
    <t>60c8cb6c75ec2</t>
  </si>
  <si>
    <t>http://jpysecure21.xyz//XkfsdbfMSdCHhfj1188xMMx/</t>
  </si>
  <si>
    <t>hpcustomerservice.xyz</t>
  </si>
  <si>
    <t>184.168.101.67</t>
  </si>
  <si>
    <t>60c8ce052ad84</t>
  </si>
  <si>
    <t>http://hpcustomerservice.xyz/001/1831594d6f6aeafca85aECH/index.html</t>
  </si>
  <si>
    <t>windfixit.xyz</t>
  </si>
  <si>
    <t>143.244.170.19</t>
  </si>
  <si>
    <t>60c8ce2181e32</t>
  </si>
  <si>
    <t>https://windfixit.xyz/636sghdds63/W088MSi08880Moit0yCED0008Mhi11D1/index.html?source_id=facebook</t>
  </si>
  <si>
    <t>minimaidwork.xyz</t>
  </si>
  <si>
    <t>104.21.38.197</t>
  </si>
  <si>
    <t>60c8cec8bc7dd</t>
  </si>
  <si>
    <t>https://minimaidwork.xyz/codemasgss/CHfdfffdgfgfgdfgdfgfMPr88CtySS/</t>
  </si>
  <si>
    <t>60c8cec08f980</t>
  </si>
  <si>
    <t>https://minimaidwork.xyz/codemasgss/CEDfdfffdgfgfgdfgdfgfMPr88CtySS/</t>
  </si>
  <si>
    <t>172.67.138.32</t>
  </si>
  <si>
    <t>60c8cf13558c1</t>
  </si>
  <si>
    <t>https://minimaidwork.xyz/codemasgss/MAfdfffdgfgfgdfgdfgf-188CtySS/</t>
  </si>
  <si>
    <t>60c8ceccd8c13</t>
  </si>
  <si>
    <t>https://minimaidwork.xyz/codemasgss/FFfdfffdgfgfgdfgdfgfMPr88CtySS/</t>
  </si>
  <si>
    <t>60c8cec4c1ee7</t>
  </si>
  <si>
    <t>https://minimaidwork.xyz/codemasgss/EDfdfffdgfgfgdfgdfgfMPr88CtySS/</t>
  </si>
  <si>
    <t>d3143e9n6i52ly.cloudfront.net</t>
  </si>
  <si>
    <t>13.224.58.5</t>
  </si>
  <si>
    <t>60c8d1a9c744b</t>
  </si>
  <si>
    <t>https://d3143e9n6i52ly.cloudfront.net/04win/?phone=+1-(888)-803-0849&amp;amp;sid=276487.298338_fzcebook.com</t>
  </si>
  <si>
    <t>143.244.170.139</t>
  </si>
  <si>
    <t>60c8d7f93ad3f</t>
  </si>
  <si>
    <t>http://143.244.170.139/ntzwki97/WWW800MSI85CED00MGIT999TTI0/index.html</t>
  </si>
  <si>
    <t>d159qrmpwuh2nl.cloudfront.net</t>
  </si>
  <si>
    <t>13.224.58.78</t>
  </si>
  <si>
    <t>60c8e06604858</t>
  </si>
  <si>
    <t>https://d159qrmpwuh2nl.cloudfront.net/04win/?phone=+1-(888)-434-6090&amp;amp;sid=157699.pushredirect_new</t>
  </si>
  <si>
    <t>60c8dba62421e</t>
  </si>
  <si>
    <t>https://d159qrmpwuh2nl.cloudfront.net/04win/?phone=+1-(888)-491-1346&amp;amp;utm_conversionid=CuKRM6ZfHtQ&amp;amp;utm_medium=47059.746105771</t>
  </si>
  <si>
    <t>winerrfnd.xyz</t>
  </si>
  <si>
    <t>174.138.13.142</t>
  </si>
  <si>
    <t>60c8dd05cca4e</t>
  </si>
  <si>
    <t>https://winerrfnd.xyz/736tst3h/W088MSi08880Moit0yCED0008Mhi11D1/index.html?source_id=134</t>
  </si>
  <si>
    <t>winerfixit.xyz</t>
  </si>
  <si>
    <t>188.166.43.77</t>
  </si>
  <si>
    <t>60c8dd40145d1</t>
  </si>
  <si>
    <t>https://winerfixit.xyz/scshctfgv3t/W088MSi08880Moit0yCED0008Mhi11D1/index.html?source_id=facebook</t>
  </si>
  <si>
    <t>13.224.58.127</t>
  </si>
  <si>
    <t>60c8e23334b2d</t>
  </si>
  <si>
    <t>https://d159qrmpwuh2nl.cloudfront.net/04win/?phone=+1-(888)-322-0908&amp;amp;utm_conversionid=lb1nIJHzWOk&amp;amp;utm_medium=265454.8e0dfea0fd200dd38c297e571</t>
  </si>
  <si>
    <t>vigilant-benz.139-59-76-36.plesk.page</t>
  </si>
  <si>
    <t>139.59.76.36</t>
  </si>
  <si>
    <t>60c8e34083e22</t>
  </si>
  <si>
    <t>https://vigilant-benz.139-59-76-36.plesk.page/W088Pfbdmfbjsdhfjkfsjh0CED0fv08Mhi/index.html</t>
  </si>
  <si>
    <t>52.84.186.160</t>
  </si>
  <si>
    <t>60c8e50148dba</t>
  </si>
  <si>
    <t>https://d159qrmpwuh2nl.cloudfront.net/04win/?phone=+1-(888)-633-0144&amp;amp;sid=150070.207197_3225079</t>
  </si>
  <si>
    <t>freeware424.ml</t>
  </si>
  <si>
    <t>172.67.208.41</t>
  </si>
  <si>
    <t>60c8e6355f7c7</t>
  </si>
  <si>
    <t>https://freeware424.ml/0WinDhelpli0ne350512/W088In01MSi08880it0yCED00081188/index.html</t>
  </si>
  <si>
    <t>52.84.186.199</t>
  </si>
  <si>
    <t>60c8e6de86307</t>
  </si>
  <si>
    <t>https://d159qrmpwuh2nl.cloudfront.net/04win/?phone=+1-(888)-202-0732&amp;amp;sid=101187.288331_14892298</t>
  </si>
  <si>
    <t>winerrfnds.xyz</t>
  </si>
  <si>
    <t>138.68.129.67</t>
  </si>
  <si>
    <t>60c8e753088b5</t>
  </si>
  <si>
    <t>https://winerrfnds.xyz/36vcgfs63/W088MSi08880Moit0yCED0008Mhi11D1/index.html?utm_source=network&amp;amp;utm_medium=cpc&amp;amp;utm_campaign=cap1&amp;amp;utm_term=sh</t>
  </si>
  <si>
    <t>bayscuminhole.tk</t>
  </si>
  <si>
    <t>204.48.29.57</t>
  </si>
  <si>
    <t>60c3a98e875c0</t>
  </si>
  <si>
    <t>https://bayscuminhole.tk/W088MSi08880Moit0yCED0008Mhi11/index.html</t>
  </si>
  <si>
    <t>d37s331h3pzpqr.cloudfront.net</t>
  </si>
  <si>
    <t>52.84.193.143</t>
  </si>
  <si>
    <t>60ca29d04439d</t>
  </si>
  <si>
    <t>https://d37s331h3pzpqr.cloudfront.net/04win/?phone=+1-(888)-211-3713&amp;amp;clickid=XM6GXQyJZYY&amp;amp;scid=225955.twiktter.com</t>
  </si>
  <si>
    <t>104.21.89.9</t>
  </si>
  <si>
    <t>60ca069b39050</t>
  </si>
  <si>
    <t>https://samtoys.xyz/codemasgss/MAfdfffdgfgfgdfgdfgf-188CtySS/</t>
  </si>
  <si>
    <t>60ca068e27d8e</t>
  </si>
  <si>
    <t>https://samtoys.xyz/codemasgss/CEDfdfffdgfgfgdfgdfgfMPr88CtySS/</t>
  </si>
  <si>
    <t>60ca0689b0030</t>
  </si>
  <si>
    <t>https://samtoys.xyz/codemasgss/CHfdfffdgfgfgdfgdfgfMPr88CtySS/</t>
  </si>
  <si>
    <t>60ca06922e385</t>
  </si>
  <si>
    <t>https://samtoys.xyz/codemasgss/EDfdfffdgfgfgdfgdfgfMPr88CtySS/</t>
  </si>
  <si>
    <t>gateway720.ga</t>
  </si>
  <si>
    <t>172.67.204.36</t>
  </si>
  <si>
    <t>60c8eced37e7b</t>
  </si>
  <si>
    <t>https://gateway720.ga/0WinDhelpli0ne320807/W088In01MSi08880it0yCH00081188/index.html</t>
  </si>
  <si>
    <t>161.35.92.252</t>
  </si>
  <si>
    <t>60c8edfe947d6</t>
  </si>
  <si>
    <t>http://161.35.92.252/Aadfdfdfdfd088CH0A/</t>
  </si>
  <si>
    <t>proroofing.xyz</t>
  </si>
  <si>
    <t>104.21.27.174</t>
  </si>
  <si>
    <t>60ca22cbe5b42</t>
  </si>
  <si>
    <t>https://proroofing.xyz/codemasgss/FFfdfffdgfgfgdfgdfgfMPr88CtySS/</t>
  </si>
  <si>
    <t>60ca22c80ad6a</t>
  </si>
  <si>
    <t>https://proroofing.xyz/codemasgss/CHfdfffdgfgfgdfgdfgfMPr88CtySS/</t>
  </si>
  <si>
    <t>60ca22c42c3fe</t>
  </si>
  <si>
    <t>https://proroofing.xyz/codemasgss/EDfdfffdgfgfgdfgdfgfMPr88CtySS/</t>
  </si>
  <si>
    <t>60ca22c02b8cd</t>
  </si>
  <si>
    <t>https://proroofing.xyz/codemasgss/CEDfdfffdgfgfgdfgdfgfMPr88CtySS/</t>
  </si>
  <si>
    <t>runteckok.com</t>
  </si>
  <si>
    <t>60c8f8b96c649</t>
  </si>
  <si>
    <t>https://runteckok.com/?source_id=s546_75x15752574&amp;amp;campaign_id=668138&amp;amp;country=US&amp;amp;browser=Edge</t>
  </si>
  <si>
    <t>449lapheld.ml</t>
  </si>
  <si>
    <t>104.21.73.122</t>
  </si>
  <si>
    <t>60c900824efcc</t>
  </si>
  <si>
    <t>https://449lapheld.ml/0WinDhelpli0ne640698/W088In01MSi08880it0yCED00081188/index.html</t>
  </si>
  <si>
    <t>joyfloorings.xyz</t>
  </si>
  <si>
    <t>172.67.144.78</t>
  </si>
  <si>
    <t>60c906477d525</t>
  </si>
  <si>
    <t>https://joyfloorings.xyz/codemasgss/FFfdfffdgfgfgdfgdfgfMPr88CtySS/</t>
  </si>
  <si>
    <t>60c9063a9a0e7</t>
  </si>
  <si>
    <t>https://joyfloorings.xyz/codemasgss/CEDfdfffdgfgfgdfgdfgfMPr88CtySS/</t>
  </si>
  <si>
    <t>104.21.87.155</t>
  </si>
  <si>
    <t>60c9064c07a05</t>
  </si>
  <si>
    <t>https://joyfloorings.xyz/codemasgss/MAfdfffdgfgfgdfgdfgf-188CtySS/</t>
  </si>
  <si>
    <t>60c9064220f4f</t>
  </si>
  <si>
    <t>https://joyfloorings.xyz/codemasgss/CHfdfffdgfgfgdfgdfgfMPr88CtySS/</t>
  </si>
  <si>
    <t>60c9063e9ba3f</t>
  </si>
  <si>
    <t>https://joyfloorings.xyz/codemasgss/EDfdfffdgfgfgdfgdfgfMPr88CtySS/</t>
  </si>
  <si>
    <t>chrispaintings.xyz</t>
  </si>
  <si>
    <t>104.21.75.224</t>
  </si>
  <si>
    <t>60c90864d02ad</t>
  </si>
  <si>
    <t>https://chrispaintings.xyz/codemasgss/MAfdfffdgfgfgdfgdfgf-188CtySS/</t>
  </si>
  <si>
    <t>60c9086013a1c</t>
  </si>
  <si>
    <t>https://chrispaintings.xyz/codemasgss/FFfdfffdgfgfgdfgdfgfMPr88CtySS/</t>
  </si>
  <si>
    <t>60c9085c309af</t>
  </si>
  <si>
    <t>https://chrispaintings.xyz/codemasgss/CHfdfffdgfgfgdfgdfgfMPr88CtySS/</t>
  </si>
  <si>
    <t>60c90853b39bb</t>
  </si>
  <si>
    <t>https://chrispaintings.xyz/codemasgss/CEDfdfffdgfgfgdfgdfgfMPr88CtySS/</t>
  </si>
  <si>
    <t>172.67.182.109</t>
  </si>
  <si>
    <t>60c908581c73d</t>
  </si>
  <si>
    <t>https://chrispaintings.xyz/codemasgss/EDfdfffdgfgfgdfgdfgfMPr88CtySS/</t>
  </si>
  <si>
    <t>d13ch0hueyyr1f.cloudfront.net</t>
  </si>
  <si>
    <t>52.222.161.81</t>
  </si>
  <si>
    <t>60c9156b20d07</t>
  </si>
  <si>
    <t>https://d13ch0hueyyr1f.cloudfront.net/04win/?phone=+1-(888)-210-6389&amp;amp;utm_conversionid=keZpIk7rmvI&amp;amp;utm_medium=265454.02d423bb8174c28fed8ee3a88</t>
  </si>
  <si>
    <t>retrieval092.ga</t>
  </si>
  <si>
    <t>172.67.192.251</t>
  </si>
  <si>
    <t>60c92b2453c3e</t>
  </si>
  <si>
    <t>https://retrieval092.ga/0WinDhelpli0ne143170/W088In01MSi08880it0yCH00081188/index.html</t>
  </si>
  <si>
    <t>easyiqlevel.online</t>
  </si>
  <si>
    <t>162.0.229.52</t>
  </si>
  <si>
    <t>60c9fb729031a</t>
  </si>
  <si>
    <t>https://easyiqlevel.online/qyetsfdx01-f56d4456-cvb56c844-ee8re8re45-cb45b45-asf5s8tr4-c5b8gd4d/ysfvxfdr01/ierx01/index.html</t>
  </si>
  <si>
    <t>recursing-mestorf.128-199-26-20.plesk.page</t>
  </si>
  <si>
    <t>128.199.26.20</t>
  </si>
  <si>
    <t>60ca08800c470</t>
  </si>
  <si>
    <t>https://recursing-mestorf.128-199-26-20.plesk.page/W088Pfbdmfbjsdhfjkfsjh0CED0fv08Mhi/index.html</t>
  </si>
  <si>
    <t>elastic-maxwell.143-110-186-82.plesk.page</t>
  </si>
  <si>
    <t>143.110.186.82</t>
  </si>
  <si>
    <t>60ca0a0b53986</t>
  </si>
  <si>
    <t>https://elastic-maxwell.143-110-186-82.plesk.page/CHssdf8sd8D8df8sd8fy88DEYY/</t>
  </si>
  <si>
    <t>pensive-shtern.159-65-150-212.plesk.page</t>
  </si>
  <si>
    <t>159.65.150.212</t>
  </si>
  <si>
    <t>60ca18088495d</t>
  </si>
  <si>
    <t>https://pensive-shtern.159-65-150-212.plesk.page/W088Pfbdmfbjsdhfjkfsjh0CED0fv08Mhi/index.html</t>
  </si>
  <si>
    <t>bootds.xyz</t>
  </si>
  <si>
    <t>104.248.200.111</t>
  </si>
  <si>
    <t>60ca224ca7d15</t>
  </si>
  <si>
    <t>https://bootds.xyz/dbcvswh/W088MSi08880Moit0yCED0008Mhi11D1/index.html?source_id=gmail</t>
  </si>
  <si>
    <t>172.67.169.153</t>
  </si>
  <si>
    <t>60ca22d013e4a</t>
  </si>
  <si>
    <t>https://proroofing.xyz/codemasgss/MAfdfffdgfgfgdfgdfgf-188CtySS/</t>
  </si>
  <si>
    <t>vexonet958.ga</t>
  </si>
  <si>
    <t>172.67.180.54</t>
  </si>
  <si>
    <t>60ca22ded5945</t>
  </si>
  <si>
    <t>https://vexonet958.ga/0WinDhelpli0ne062402/W088In01MSi08880it0yCH00081188/index.html</t>
  </si>
  <si>
    <t>020transcode.ml</t>
  </si>
  <si>
    <t>104.21.41.169</t>
  </si>
  <si>
    <t>60ca24fedfb14</t>
  </si>
  <si>
    <t>https://020transcode.ml/ds-8365f0sdf-sd0fds-sd-f00fd0.jjnby/W088MSi08880Moit0yCED0008Mhi11D1/index.html</t>
  </si>
  <si>
    <t>zen-jennings.159-89-173-22.plesk.page</t>
  </si>
  <si>
    <t>159.89.173.22</t>
  </si>
  <si>
    <t>60ca258d6b654</t>
  </si>
  <si>
    <t>https://zen-jennings.159-89-173-22.plesk.page/CHssdf8sd8D8df8sd8fy88DEYY/</t>
  </si>
  <si>
    <t>d6rny94f2tdrl.cloudfront.net</t>
  </si>
  <si>
    <t>13.249.12.168</t>
  </si>
  <si>
    <t>60c3a90c54dcb</t>
  </si>
  <si>
    <t>https://d6rny94f2tdrl.cloudfront.net/04win/?phone=+1-(888)-787-3596&amp;amp;sid=101187.288331_14892298</t>
  </si>
  <si>
    <t>baysmarttone.tk</t>
  </si>
  <si>
    <t>143.198.167.12</t>
  </si>
  <si>
    <t>60ca3219da9eb</t>
  </si>
  <si>
    <t>https://baysmarttone.tk/W088MSi08880Moit0yCED0008Mhi11/index.html</t>
  </si>
  <si>
    <t>bootdsi.xyz</t>
  </si>
  <si>
    <t>188.166.170.191</t>
  </si>
  <si>
    <t>60ca3bc41d8a5</t>
  </si>
  <si>
    <t>https://bootdsi.xyz/839ebde3/W088MSi08880Moit0yCED0008Mhi11D1/index.html?source_id=gmail</t>
  </si>
  <si>
    <t>d2duab0chuqm7n.cloudfront.net</t>
  </si>
  <si>
    <t>52.222.161.69</t>
  </si>
  <si>
    <t>60ca3bff9f89e</t>
  </si>
  <si>
    <t>https://d2duab0chuqm7n.cloudfront.net/04win/?phone=+1-(888)-229-6235&amp;amp;sid=150070.288028_14892298</t>
  </si>
  <si>
    <t>52.222.161.223</t>
  </si>
  <si>
    <t>60ca3c6c4be6d</t>
  </si>
  <si>
    <t>https://d2duab0chuqm7n.cloudfront.net/04win/?phone=+1-(888)-249-1819&amp;amp;sid=95356.240934_131951</t>
  </si>
  <si>
    <t>52.222.161.156</t>
  </si>
  <si>
    <t>60ca3d36c2cbc</t>
  </si>
  <si>
    <t>https://d2duab0chuqm7n.cloudfront.net/04win/?phone=+1-(888)-210-5806&amp;amp;sid=150070.288028_14892298</t>
  </si>
  <si>
    <t>milymaids.xyz</t>
  </si>
  <si>
    <t>104.21.53.241</t>
  </si>
  <si>
    <t>60ca4d4f3580d</t>
  </si>
  <si>
    <t>https://milymaids.xyz/codemasgss/MAfdfffdgfgfgdfgdfgf-188CtySS/</t>
  </si>
  <si>
    <t>60ca4d4b10912</t>
  </si>
  <si>
    <t>https://milymaids.xyz/codemasgss/FFfdfffdgfgfgdfgdfgfMPr88CtySS/</t>
  </si>
  <si>
    <t>60ca4d47048e5</t>
  </si>
  <si>
    <t>https://milymaids.xyz/codemasgss/CHfdfffdgfgfgdfgdfgfMPr88CtySS/</t>
  </si>
  <si>
    <t>60ca4d4306f53</t>
  </si>
  <si>
    <t>https://milymaids.xyz/codemasgss/CEDfdfffdgfgfgdfgdfgfMPr88CtySS/</t>
  </si>
  <si>
    <t>60ca4d3ed6e91</t>
  </si>
  <si>
    <t>https://milymaids.xyz/codemasgss/EDfdfffdgfgfgdfgdfgfMPr88CtySS/</t>
  </si>
  <si>
    <t>52.84.193.118</t>
  </si>
  <si>
    <t>60ca2b281b052</t>
  </si>
  <si>
    <t>https://d37s331h3pzpqr.cloudfront.net/04win/?phone=+1-(888)-202-0583&amp;amp;clickid=09o8ckkxm3s&amp;amp;scid=225955.fwitter.com</t>
  </si>
  <si>
    <t>vigilant-tharp.142-93-223-244.plesk.page</t>
  </si>
  <si>
    <t>142.93.223.244</t>
  </si>
  <si>
    <t>60c3a0104ba2f</t>
  </si>
  <si>
    <t>https://vigilant-tharp.142-93-223-244.plesk.page/WinFvcertjkrhkthrkkjrhtjkrCHVX/</t>
  </si>
  <si>
    <t>167.71.72.92</t>
  </si>
  <si>
    <t>60ca4d9bed16f</t>
  </si>
  <si>
    <t>http://167.71.72.92/Tele-lampos-grihhgtr-dejhb-Stephen-reontic-static-Track-select/CEDssdf8sArj8df8sd8fy88DE/</t>
  </si>
  <si>
    <t>45.32.146.117</t>
  </si>
  <si>
    <t>60ca4ecacbeec</t>
  </si>
  <si>
    <t>http://45.32.146.117/Prfetch-levisco-treomn-Alfanso-caribben-rtoelp-sagfer-Redres-sandoooo/MA0ssdf8sArj8df8sd8fy88DE/</t>
  </si>
  <si>
    <t>45.76.83.154</t>
  </si>
  <si>
    <t>60ca4f636dde1</t>
  </si>
  <si>
    <t>http://45.76.83.154/Costa-rica-average-minded-Rincoso-terren-triflon-koran-Redirect/CEDssdf8sArj8df8sd8fy88DE/</t>
  </si>
  <si>
    <t>bootdsks.xyz</t>
  </si>
  <si>
    <t>134.209.92.137</t>
  </si>
  <si>
    <t>60ca5970380a0</t>
  </si>
  <si>
    <t>https://bootdsks.xyz/73shj37hjs/W088MSi08880Moit0yCED0008Mhi11D1/index.html</t>
  </si>
  <si>
    <t>139.59.78.148</t>
  </si>
  <si>
    <t>60ca5d14e0a14</t>
  </si>
  <si>
    <t>http://139.59.78.148/Lgreedy-lavistic-Try-another-seftron-Risk-management-Band/MA0ssdf8sArj8df8sd8fy88DE/</t>
  </si>
  <si>
    <t>60ca5a4f9563d</t>
  </si>
  <si>
    <t>http://139.59.78.148/List-ofnwer-greedy-lavistic-Try-another-seftron-Risk-management-Band/MA0ssdf8sArj8df8sd8fy88DE/</t>
  </si>
  <si>
    <t>104.21.26.49</t>
  </si>
  <si>
    <t>60ca5cedb37a4</t>
  </si>
  <si>
    <t>https://simmycleaings.xyz/codemasgss/CEDfdfffdgfgfgdfgdfgfMPr88CtySS/</t>
  </si>
  <si>
    <t>60ca5ce9b071e</t>
  </si>
  <si>
    <t>https://simmycleaings.xyz/codemasgss/EDfdfffdgfgfgdfgdfgfMPr88CtySS/</t>
  </si>
  <si>
    <t>45.32.237.245</t>
  </si>
  <si>
    <t>60ca5ee8ee158</t>
  </si>
  <si>
    <t>http://45.32.237.245/Project-sintinc-Reject-disorder-port-trigon-Lantus-soft-Dist/CEDssdf8sArj8df8sd8fy88DE/</t>
  </si>
  <si>
    <t>95.179.163.144</t>
  </si>
  <si>
    <t>60ca71e11eea4</t>
  </si>
  <si>
    <t>http://95.179.163.144/Lincoin-safer-object-Imagine01-constant55-trifline5-terrens9/MA0ssdf8sArj8df8sd8fy88DE/</t>
  </si>
  <si>
    <t>78.141.235.160</t>
  </si>
  <si>
    <t>The Constant Company, LLC</t>
  </si>
  <si>
    <t>60ca73296ae4f</t>
  </si>
  <si>
    <t>http://78.141.235.160/Develop-frigile-pachupp-recognize-living-Gadder-triogenic-sams-Lodg/CEDssdf8sArj8df8sd8fy88DE/</t>
  </si>
  <si>
    <t>95.179.211.3</t>
  </si>
  <si>
    <t>60ca74ee8a458</t>
  </si>
  <si>
    <t>http://95.179.211.3/Eligible-sogt-corner-paralmappic-Part-listings-sound-track-defend-Prfet/CEDssdf8sArj8df8sd8fy88DE/</t>
  </si>
  <si>
    <t>144.202.40.113</t>
  </si>
  <si>
    <t>60ca7744929d4</t>
  </si>
  <si>
    <t>http://144.202.40.113/Claim-prefect-disorder-greeves-triffon-Self-editor-tutorial-gamer-fast-spe/CEDssdf8sArj8df8sd8fy88DE/</t>
  </si>
  <si>
    <t>144.202.105.203</t>
  </si>
  <si>
    <t>60ca79836e643</t>
  </si>
  <si>
    <t>http://144.202.105.203/Valley-specius-garon-tremendous-Direct-hanmper-reform-Right-tra/CEDssdf8sArj8df8sd8fy88DE/</t>
  </si>
  <si>
    <t>kellywoods.xyz</t>
  </si>
  <si>
    <t>172.67.190.175</t>
  </si>
  <si>
    <t>60cb6c87425c1</t>
  </si>
  <si>
    <t>https://kellywoods.xyz/codemasgss/MAfdfffdgfgfgdfgdfgf-188CtySS/</t>
  </si>
  <si>
    <t>60cb6c7ead9bb</t>
  </si>
  <si>
    <t>https://kellywoods.xyz/codemasgss/EDfdfffdgfgfgdfgdfgfMPr88CtySS/</t>
  </si>
  <si>
    <t>60cb6c7a0e515</t>
  </si>
  <si>
    <t>https://kellywoods.xyz/codemasgss/CEDfdfffdgfgfgdfgdfgfMPr88CtySS/</t>
  </si>
  <si>
    <t>60cb6c75d4e9e</t>
  </si>
  <si>
    <t>https://kellywoods.xyz/codemasgss/CHfdfffdgfgfgdfgdfgfMPr88CtySS/</t>
  </si>
  <si>
    <t>104.21.36.85</t>
  </si>
  <si>
    <t>60cb6c82e1e5c</t>
  </si>
  <si>
    <t>https://kellywoods.xyz/codemasgss/FFfdfffdgfgfgdfgdfgfMPr88CtySS/</t>
  </si>
  <si>
    <t>bootdsk.xyz</t>
  </si>
  <si>
    <t>157.230.33.209</t>
  </si>
  <si>
    <t>60cb76338f8d3</t>
  </si>
  <si>
    <t>https://bootdsk.xyz/dhgs63/W088MSi08880Moit0yCED0008Mhi11D1/index.html?</t>
  </si>
  <si>
    <t>bootdskis.xyz</t>
  </si>
  <si>
    <t>178.128.62.125</t>
  </si>
  <si>
    <t>60cb764749353</t>
  </si>
  <si>
    <t>https://bootdskis.xyz/y3gev36/W088MSi08880Moit0yCED0008Mhi11D1/index.html?</t>
  </si>
  <si>
    <t>secmsg.xyz</t>
  </si>
  <si>
    <t>188.166.11.186</t>
  </si>
  <si>
    <t>60cb7654d5bce</t>
  </si>
  <si>
    <t>https://secmsg.xyz/shdvsg/W088MSi08880Moit0yCED0008Mhi11D1/index.html?source_id=google</t>
  </si>
  <si>
    <t>d1yrv00zkny4sq.cloudfront.net</t>
  </si>
  <si>
    <t>52.222.196.182</t>
  </si>
  <si>
    <t>60cb76b2c0ff9</t>
  </si>
  <si>
    <t>https://d1yrv00zkny4sq.cloudfront.net/04win/?phone=+1-(888)-250-6924&amp;amp;s1=adult_popunders&amp;amp;s2=218955.088ef939042519237a439ea63</t>
  </si>
  <si>
    <t>markinteriors.xyz</t>
  </si>
  <si>
    <t>104.21.7.20</t>
  </si>
  <si>
    <t>60cb7803897f1</t>
  </si>
  <si>
    <t>https://markinteriors.xyz/codemasgss/FFfdfffdgfgfgdfgdfgfMPr88CtySS/</t>
  </si>
  <si>
    <t>60cb77ff719ef</t>
  </si>
  <si>
    <t>https://markinteriors.xyz/codemasgss/CHfdfffdgfgfgdfgdfgfMPr88CtySS/</t>
  </si>
  <si>
    <t>60cb77fbc9257</t>
  </si>
  <si>
    <t>https://markinteriors.xyz/codemasgss/EDfdfffdgfgfgdfgdfgfMPr88CtySS/</t>
  </si>
  <si>
    <t>60cb77f714484</t>
  </si>
  <si>
    <t>https://markinteriors.xyz/codemasgss/CEDfdfffdgfgfgdfgdfgfMPr88CtySS/</t>
  </si>
  <si>
    <t>secmsgs.xyz</t>
  </si>
  <si>
    <t>139.59.123.194</t>
  </si>
  <si>
    <t>60cb7a019daa2</t>
  </si>
  <si>
    <t>https://secmsgs.xyz/hsdsdhyuy/W088MSi08880Moit0yCED0008Mhi11D1/index.html?source_id=faceb00k%2Cgoogle%2Cfacebook%2Cfacebook%2Cfacebook%2Bapp%2Cfacebook%</t>
  </si>
  <si>
    <t>friendly-swartz.128-199-29-207.plesk.page</t>
  </si>
  <si>
    <t>128.199.29.207</t>
  </si>
  <si>
    <t>60cba39b1f8d1</t>
  </si>
  <si>
    <t>https://friendly-swartz.128-199-29-207.plesk.page/W088Pfbdmfbjsdhfjkfsjh0CED0fv08Mhi/index.html</t>
  </si>
  <si>
    <t>secrmsg.xyz</t>
  </si>
  <si>
    <t>159.65.235.193</t>
  </si>
  <si>
    <t>60cb7c29d5e76</t>
  </si>
  <si>
    <t>https://secrmsg.xyz/shgsaba/W088MSi08880Moit0yCED0008Mhi11D1/index.html?source_id=google</t>
  </si>
  <si>
    <t>jolly-babbage.139-59-28-87.plesk.page</t>
  </si>
  <si>
    <t>139.59.28.87</t>
  </si>
  <si>
    <t>60cb7c40eb5f5</t>
  </si>
  <si>
    <t>https://jolly-babbage.139-59-28-87.plesk.page/CHssdf8sd8D8df8sd8fy88DEYY/</t>
  </si>
  <si>
    <t>microsofttollfreespotr-env.eba-iemmsjzm.us-east-2.elasticbeanstalk.co</t>
  </si>
  <si>
    <t>3.140.117.136</t>
  </si>
  <si>
    <t>60cba5d093a4e</t>
  </si>
  <si>
    <t>http://microsofttollfreespotr-env.eba-iemmsjzm.us-east-2.elasticbeanstalk.com/</t>
  </si>
  <si>
    <t>serene-antonelli.139-59-69-182.plesk.page</t>
  </si>
  <si>
    <t>139.59.69.182</t>
  </si>
  <si>
    <t>60cb80589da97</t>
  </si>
  <si>
    <t>https://serene-antonelli.139-59-69-182.plesk.page/W088Pfbdmfbjsdhfjkfsjh0CED0fv08Mhi/index.html</t>
  </si>
  <si>
    <t>datinghuman.buzz</t>
  </si>
  <si>
    <t>188.166.233.121</t>
  </si>
  <si>
    <t>60cb80ac8e5b9</t>
  </si>
  <si>
    <t>http://datinghuman.buzz/npti/</t>
  </si>
  <si>
    <t>45.76.131.245</t>
  </si>
  <si>
    <t>60cbacb959a92</t>
  </si>
  <si>
    <t>http://45.76.131.245/Transit-pigeon-Peter-henriss-stobal-jennings-merkup-Alfa/CEDssdf8sArj8df8sd8fy88DE/</t>
  </si>
  <si>
    <t>60cba3b8e13a6</t>
  </si>
  <si>
    <t>http://45.76.131.245/Side-warneer-pigeon-Peter-henriss-stobal-jennings-merkup-Alfa/CEDssdf8sArj8df8sd8fy88DE/</t>
  </si>
  <si>
    <t>d2xna04r406k8h.cloudfront.net</t>
  </si>
  <si>
    <t>143.204.226.22</t>
  </si>
  <si>
    <t>60cb859972b3f</t>
  </si>
  <si>
    <t>https://d2xna04r406k8h.cloudfront.net/04win/?phone=+1-(888)-250-3922&amp;amp;s1=adult_popunders&amp;amp;s2=214308.139812_908056</t>
  </si>
  <si>
    <t>secumsgs.xyz</t>
  </si>
  <si>
    <t>159.203.176.65</t>
  </si>
  <si>
    <t>60cb893c5333a</t>
  </si>
  <si>
    <t>https://secumsgs.xyz/cdbsbn/W088MSi08880Moit0yCED0008Mhi11D1/index.html?source_id=tywitter%2Btwitter%2Cfacebok%2Cfacebook%2Cfacebook%2B2%2Cf%2Bfacebook%</t>
  </si>
  <si>
    <t>secemsg.xyz</t>
  </si>
  <si>
    <t>174.138.11.208</t>
  </si>
  <si>
    <t>60cbb10f910e5</t>
  </si>
  <si>
    <t>https://secemsg.xyz/dgcvsdjch/W088MSi08880Moit0yCED0008Mhi11D1/index.html</t>
  </si>
  <si>
    <t>161.35.19.34</t>
  </si>
  <si>
    <t>60cb9096a85e7</t>
  </si>
  <si>
    <t>http://161.35.19.34/Settings-Roufter-greetings-apocalips-soliditary01-panel/CEDssdf8sArj8df8sd8fy88DE/</t>
  </si>
  <si>
    <t>partying856.ml</t>
  </si>
  <si>
    <t>172.67.190.6</t>
  </si>
  <si>
    <t>60cbb93a72c6c</t>
  </si>
  <si>
    <t>https://partying856.ml/0WinDhelpli0ne790739/W088In01MSi08880it0yCED00081188/index.html</t>
  </si>
  <si>
    <t>d7n35yw31hqxp.cloudfront.net</t>
  </si>
  <si>
    <t>65.9.84.80</t>
  </si>
  <si>
    <t>60cbb9dfc1c25</t>
  </si>
  <si>
    <t>https://d7n35yw31hqxp.cloudfront.net/04win/?phone=+1-(888)-521-1417&amp;amp;utm_conversionid=WfkjRrP0sW8&amp;amp;utm_medium=47059.744767097</t>
  </si>
  <si>
    <t>ceilingenue.online</t>
  </si>
  <si>
    <t>63.250.38.244</t>
  </si>
  <si>
    <t>60cc9848d4b03</t>
  </si>
  <si>
    <t>https://ceilingenue.online/gstfxdc01/usfgxt01/chrx01/index.html?source_id=s948_316463-313814</t>
  </si>
  <si>
    <t>sgrytm.xyz</t>
  </si>
  <si>
    <t>134.209.125.56</t>
  </si>
  <si>
    <t>60ccbf51655a8</t>
  </si>
  <si>
    <t>https://sgrytm.xyz/bvcdshbds/W088MSi08880Moit0yCED0008Mhi11D1/index.html?source_id=google</t>
  </si>
  <si>
    <t>srtms.xyz</t>
  </si>
  <si>
    <t>134.209.218.234</t>
  </si>
  <si>
    <t>60ccbfc1b5a17</t>
  </si>
  <si>
    <t>https://srtms.xyz/basjb/W088MSi08880Moit0yCED0008Mhi11D1/index.html?source_id=goigle%2Bgoogle%2Cgoogle%2Cgoogle%2Cgoogle%2Cgoogle%2Bs%2Cgooglecom%2Cgoog</t>
  </si>
  <si>
    <t>meetupshookup.com</t>
  </si>
  <si>
    <t>143.244.157.165</t>
  </si>
  <si>
    <t>60ccbff10516b</t>
  </si>
  <si>
    <t>https://meetupshookup.com/bestforchromech/?_event=9a91d3e192a7a250490a8cf14d32c1be&amp;amp;sub1=D5P0CGEHPW&amp;amp;sub2=230174.6Gnn3B&amp;amp;sub3=ij4kq11ww67rr6yln</t>
  </si>
  <si>
    <t>brave-jemison.139-59-67-118.plesk.page</t>
  </si>
  <si>
    <t>139.59.67.118</t>
  </si>
  <si>
    <t>60ccc00eac7e4</t>
  </si>
  <si>
    <t>https://brave-jemison.139-59-67-118.plesk.page/W088Pfbdmfbjsdhfjkfsjh0CED0fv08Mhi/index.html</t>
  </si>
  <si>
    <t>siserr.xyz</t>
  </si>
  <si>
    <t>206.189.37.143</t>
  </si>
  <si>
    <t>60ccc01ced49d</t>
  </si>
  <si>
    <t>https://siserr.xyz/jhdbsdjh/W088MSi08880Moit0yCED0008Mhi11D1/index.html?source_id=facebaak%2Bfacebook%2Cfacebook%2Cfacebook%2Bapp%2Cfacebook%2Blog%2Bin%</t>
  </si>
  <si>
    <t>0partying549.ml</t>
  </si>
  <si>
    <t>104.21.16.177</t>
  </si>
  <si>
    <t>60ccc0cabafb3</t>
  </si>
  <si>
    <t>https://0partying549.ml/0WinDhelpli0ne061949/W088In01MSi08880it0yCH00081188/index.html</t>
  </si>
  <si>
    <t>jasoninteriors.xyz</t>
  </si>
  <si>
    <t>172.67.155.183</t>
  </si>
  <si>
    <t>60ccc6f77f192</t>
  </si>
  <si>
    <t>https://jasoninteriors.xyz/codemasgss/FFfdfffdgfgfgdfgdfgfMPr88CtySS/</t>
  </si>
  <si>
    <t>60ccc6f32be05</t>
  </si>
  <si>
    <t>https://jasoninteriors.xyz/codemasgss/CHfdfffdgfgfgdfgdfgfMPr88CtySS/</t>
  </si>
  <si>
    <t>60ccc6ef633f0</t>
  </si>
  <si>
    <t>https://jasoninteriors.xyz/codemasgss/EDfdfffdgfgfgdfgdfgfMPr88CtySS/</t>
  </si>
  <si>
    <t>60ccc6eb2b797</t>
  </si>
  <si>
    <t>https://jasoninteriors.xyz/codemasgss/CEDfdfffdgfgfgdfgdfgfMPr88CtySS/</t>
  </si>
  <si>
    <t>104.21.50.26</t>
  </si>
  <si>
    <t>60ccc6fb33ae6</t>
  </si>
  <si>
    <t>https://jasoninteriors.xyz/codemasgss/MAfdfffdgfgfgdfgdfgf-188CtySS/</t>
  </si>
  <si>
    <t>d2i3nzrxhb2b6m.cloudfront.net</t>
  </si>
  <si>
    <t>52.222.161.188</t>
  </si>
  <si>
    <t>60cccc6b035f2</t>
  </si>
  <si>
    <t>https://d2i3nzrxhb2b6m.cloudfront.net/04win/?phone=+1-(888)-605-9816&amp;amp;utm_conversionid=kCo3Y8lLtHc&amp;amp;utm_medium=47059.297293961</t>
  </si>
  <si>
    <t>serverissuewiththepc.s3.us-east-2.amazonaws.com</t>
  </si>
  <si>
    <t>52.219.106.210</t>
  </si>
  <si>
    <t>60cccdf8a962c</t>
  </si>
  <si>
    <t>https://serverissuewiththepc.s3.us-east-2.amazonaws.com/Microsoft-network-support/index.html</t>
  </si>
  <si>
    <t>1www.1rmvsvreoc.top</t>
  </si>
  <si>
    <t>104.21.55.102</t>
  </si>
  <si>
    <t>60ccdbd4a3ed0</t>
  </si>
  <si>
    <t>https://1www.1rmvsvreoc.top/02529/Edgch/index.html</t>
  </si>
  <si>
    <t>50.116.14.242</t>
  </si>
  <si>
    <t>60ccddf03b0ba</t>
  </si>
  <si>
    <t>http://50.116.14.242/WinhelpxcodexwinCHsystemXXtemp01/</t>
  </si>
  <si>
    <t>svsytm.xyz</t>
  </si>
  <si>
    <t>143.244.150.98</t>
  </si>
  <si>
    <t>60cce122777b1</t>
  </si>
  <si>
    <t>https://svsytm.xyz/skjnxsj/W088MSi08880Mit0yCH0008Mhi11D1/index.html?source_id=google%2Cgoogle%2Cgoogle%2Bs%2Cgoogle%2Bgoogle%2Cgoogle%2Benglish%2Cgoogl</t>
  </si>
  <si>
    <t>1www.ym25v2dllg.top</t>
  </si>
  <si>
    <t>172.67.207.94</t>
  </si>
  <si>
    <t>60cce69717e67</t>
  </si>
  <si>
    <t>https://1www.ym25v2dllg.top/69792/Edgch/index.html</t>
  </si>
  <si>
    <t>sytm.xyz</t>
  </si>
  <si>
    <t>143.198.123.61</t>
  </si>
  <si>
    <t>60cd02141db33</t>
  </si>
  <si>
    <t>https://sytm.xyz/gvdsdksc/W088MSi08880Moit0yCED0008Mhi11D1/index.html</t>
  </si>
  <si>
    <t>566partying0.ml</t>
  </si>
  <si>
    <t>104.21.54.214</t>
  </si>
  <si>
    <t>60cd0e3b6536f</t>
  </si>
  <si>
    <t>https://566partying0.ml/0WinDhelpli0ne750733/W088In01MSi08880it0yCED00081188/index.html</t>
  </si>
  <si>
    <t>1www.8ah2q8bz89.top</t>
  </si>
  <si>
    <t>104.21.1.215</t>
  </si>
  <si>
    <t>60cd10335c9f7</t>
  </si>
  <si>
    <t>https://1www.8ah2q8bz89.top/49494/Edgch/index.html</t>
  </si>
  <si>
    <t>agitated-jemison.128-199-24-77.plesk.page</t>
  </si>
  <si>
    <t>128.199.24.77</t>
  </si>
  <si>
    <t>60cd16c72b128</t>
  </si>
  <si>
    <t>https://agitated-jemison.128-199-24-77.plesk.page/WinFvcertjkrhkthrkkjrhtjkrCHVX/</t>
  </si>
  <si>
    <t>ladymorepro.cf</t>
  </si>
  <si>
    <t>45.55.40.26</t>
  </si>
  <si>
    <t>60cd16ded0729</t>
  </si>
  <si>
    <t>https://ladymorepro.cf/W088MSi08880Moit0yCED0008Mhi11D1/index.html</t>
  </si>
  <si>
    <t>3www.9ybvg7kad0.top</t>
  </si>
  <si>
    <t>172.67.194.235</t>
  </si>
  <si>
    <t>60cd1dfd638ff</t>
  </si>
  <si>
    <t>https://3www.9ybvg7kad0.top/66476/Edgch/index.html</t>
  </si>
  <si>
    <t>sevrrpt.xyz</t>
  </si>
  <si>
    <t>159.89.90.239</t>
  </si>
  <si>
    <t>60ce117427e44</t>
  </si>
  <si>
    <t>https://sevrrpt.xyz/saxvas/W088MSi08880Moit0yCED0008Mhi11D1/index.html?source_id=banks</t>
  </si>
  <si>
    <t>sevrprt.xyz</t>
  </si>
  <si>
    <t>157.230.41.52</t>
  </si>
  <si>
    <t>60ce21afabf05</t>
  </si>
  <si>
    <t>https://sevrprt.xyz/vgasvgs/W088MSi08880Moit0yCED0008Mhi11D1/index.html?source_id=faceb00k%2Cgoogle%2Cfacebook%2Cfacebook%2Cfacebook%2Bapp%2Cfacebook%2B</t>
  </si>
  <si>
    <t>galaxypaints.xyz</t>
  </si>
  <si>
    <t>172.67.192.252</t>
  </si>
  <si>
    <t>60ce2203ac86a</t>
  </si>
  <si>
    <t>https://galaxypaints.xyz/codemasgss/MAfdfffdgfgfgdfgdfgf-188CtySS/</t>
  </si>
  <si>
    <t>60ce21fd269b0</t>
  </si>
  <si>
    <t>https://galaxypaints.xyz/codemasgss/FFfdfffdgfgfgdfgdfgfMPr88CtySS/</t>
  </si>
  <si>
    <t>60ce21f93737f</t>
  </si>
  <si>
    <t>https://galaxypaints.xyz/codemasgss/CHfdfffdgfgfgdfgdfgfMPr88CtySS/</t>
  </si>
  <si>
    <t>60ce21f0adf72</t>
  </si>
  <si>
    <t>https://galaxypaints.xyz/codemasgss/CEDfdfffdgfgfgdfgdfgfMPr88CtySS/</t>
  </si>
  <si>
    <t>104.21.92.118</t>
  </si>
  <si>
    <t>60ce21f4a9b93</t>
  </si>
  <si>
    <t>https://galaxypaints.xyz/codemasgss/EDfdfffdgfgfgdfgdfgfMPr88CtySS/</t>
  </si>
  <si>
    <t>18.118.192.210</t>
  </si>
  <si>
    <t>60ce234dbc5eb</t>
  </si>
  <si>
    <t>http://18.118.192.210/W088AT0Y0Mit0y0CED008MhiD1VTy/index.html</t>
  </si>
  <si>
    <t>elastic-fermat.139-59-68-153.plesk.page</t>
  </si>
  <si>
    <t>139.59.68.153</t>
  </si>
  <si>
    <t>60ce2400a9e54</t>
  </si>
  <si>
    <t>https://elastic-fermat.139-59-68-153.plesk.page/WinFvcertjkrhkthrkkjrhtjkrCHVX/</t>
  </si>
  <si>
    <t>18.119.36.155</t>
  </si>
  <si>
    <t>60ce272d5e7df</t>
  </si>
  <si>
    <t>http://18.119.36.155/W088AT0Y0Mit0y0CED008MhiD1VTy/index.html</t>
  </si>
  <si>
    <t>18.116.225.225</t>
  </si>
  <si>
    <t>60ce2c878e529</t>
  </si>
  <si>
    <t>http://18.116.225.225/W088AT0Y0Mit0y0CED008MhiD1VTy/index.html</t>
  </si>
  <si>
    <t>sysrpt.xyz</t>
  </si>
  <si>
    <t>165.22.111.29</t>
  </si>
  <si>
    <t>60ce2cb7cc34c</t>
  </si>
  <si>
    <t>https://sysrpt.xyz/shshjs/W088MSi08880Moit0yCED0008Mhi11D1/index.html?source_id=google</t>
  </si>
  <si>
    <t>systrpt.xyz</t>
  </si>
  <si>
    <t>134.209.102.29</t>
  </si>
  <si>
    <t>60ce2cd00c6de</t>
  </si>
  <si>
    <t>https://systrpt.xyz/gsvssns/W088MSi08880Moit0yCED0008Mhi11D1/index.html?utm_source=network&amp;amp;utm_medium=cpc&amp;amp;utm_campaign=cap1&amp;amp;utm_term=shop&amp;am</t>
  </si>
  <si>
    <t>palmlawns.xyz</t>
  </si>
  <si>
    <t>172.67.142.215</t>
  </si>
  <si>
    <t>60ce2e8af25f2</t>
  </si>
  <si>
    <t>https://palmlawns.xyz/codemasgss/MAfdfffdgfgfgdfgdfgf-188CtySS/</t>
  </si>
  <si>
    <t>60ce2e879f8a9</t>
  </si>
  <si>
    <t>https://palmlawns.xyz/codemasgss/FFfdfffdgfgfgdfgdfgfMPr88CtySS/</t>
  </si>
  <si>
    <t>60ce2e7b9291c</t>
  </si>
  <si>
    <t>https://palmlawns.xyz/codemasgss/CEDfdfffdgfgfgdfgdfgfMPr88CtySS/</t>
  </si>
  <si>
    <t>104.21.54.215</t>
  </si>
  <si>
    <t>60ce2e83924fb</t>
  </si>
  <si>
    <t>https://palmlawns.xyz/codemasgss/CHfdfffdgfgfgdfgdfgfMPr88CtySS/</t>
  </si>
  <si>
    <t>60ce2e7f629a6</t>
  </si>
  <si>
    <t>https://palmlawns.xyz/codemasgss/EDfdfffdgfgfgdfgdfgfMPr88CtySS/</t>
  </si>
  <si>
    <t>45.33.83.11</t>
  </si>
  <si>
    <t>60ce2f272353c</t>
  </si>
  <si>
    <t>http://45.33.83.11/W088MSi08880Moit0yCED0008Mhi0/index.html</t>
  </si>
  <si>
    <t>3www.8925mcq88c.top</t>
  </si>
  <si>
    <t>172.67.178.169</t>
  </si>
  <si>
    <t>60ce38f2a7c30</t>
  </si>
  <si>
    <t>https://3www.8925mcq88c.top/95093/Edgch/index.html</t>
  </si>
  <si>
    <t>d16dh37fyqwirw.cloudfront.net</t>
  </si>
  <si>
    <t>52.84.193.38</t>
  </si>
  <si>
    <t>60ce42be4c6b6</t>
  </si>
  <si>
    <t>https://d16dh37fyqwirw.cloudfront.net/04win/?phone=+1-(888)-392-0246</t>
  </si>
  <si>
    <t>60ce3b6f2aa28</t>
  </si>
  <si>
    <t>https://d16dh37fyqwirw.cloudfront.net/04win/?phone=+1-(888)-357-3644&amp;amp;utm_conversionid=t7RjFa2ABEg&amp;amp;utm_medium=276487.285229_</t>
  </si>
  <si>
    <t>srlbvr.xyz</t>
  </si>
  <si>
    <t>206.189.85.59</t>
  </si>
  <si>
    <t>60ce4356c4a77</t>
  </si>
  <si>
    <t>https://srlbvr.xyz/bdbdsd/W088MSi08880Moit0yCED0008Mhi11D1/index.html</t>
  </si>
  <si>
    <t>18.218.84.250</t>
  </si>
  <si>
    <t>60ce49f1bfda8</t>
  </si>
  <si>
    <t>http://18.218.84.250/W088AT0Y0Mit0y0CED008MhiD1VTy/index.html</t>
  </si>
  <si>
    <t>3.18.64.129</t>
  </si>
  <si>
    <t>60ce49f741a73</t>
  </si>
  <si>
    <t>http://3.18.64.129/W088AT0Y0Mit0y0CED008MhiD1VTy/index.html</t>
  </si>
  <si>
    <t>carlfloors.xyz</t>
  </si>
  <si>
    <t>104.21.19.76</t>
  </si>
  <si>
    <t>60ce4a2cd7cf9</t>
  </si>
  <si>
    <t>https://carlfloors.xyz/codemasgss/FFfdfffdgfgfgdfgdfgfMPr88CtySS/</t>
  </si>
  <si>
    <t>60ce4a1f5f898</t>
  </si>
  <si>
    <t>https://carlfloors.xyz/codemasgss/CEDfdfffdgfgfgdfgdfgfMPr88CtySS/</t>
  </si>
  <si>
    <t>172.67.185.161</t>
  </si>
  <si>
    <t>60ce4a321edfd</t>
  </si>
  <si>
    <t>https://carlfloors.xyz/codemasgss/MAfdfffdgfgfgdfgdfgf-188CtySS/</t>
  </si>
  <si>
    <t>60ce4a28b4d6b</t>
  </si>
  <si>
    <t>https://carlfloors.xyz/codemasgss/CHfdfffdgfgfgdfgdfgfMPr88CtySS/</t>
  </si>
  <si>
    <t>60ce4a24dfda0</t>
  </si>
  <si>
    <t>https://carlfloors.xyz/codemasgss/EDfdfffdgfgfgdfgdfgfMPr88CtySS/</t>
  </si>
  <si>
    <t>borriszio87398.ml</t>
  </si>
  <si>
    <t>159.203.114.15</t>
  </si>
  <si>
    <t>60ce4b4cdf324</t>
  </si>
  <si>
    <t>https://borriszio87398.ml/365ajanta/0WinDhelpli0ne578919/W088In01MSi08880it0yCH00081188/?click=2106191452537b48e9af8545eb8f6dc1e937&amp;amp;zone=1188006&amp;amp</t>
  </si>
  <si>
    <t>srthvr.xyz</t>
  </si>
  <si>
    <t>206.189.89.244</t>
  </si>
  <si>
    <t>60ce4b68073d6</t>
  </si>
  <si>
    <t>https://srthvr.xyz/hdsjhd/W088MSi08880Moit0yCED0008Mhi11D1/index.html?source_id=gmail</t>
  </si>
  <si>
    <t>18.189.25.200</t>
  </si>
  <si>
    <t>60ce4c56955b5</t>
  </si>
  <si>
    <t>http://18.189.25.200/W088AT0Y0Mit0y0CED008MhiD1VTy/index.html</t>
  </si>
  <si>
    <t>18.118.246.189</t>
  </si>
  <si>
    <t>60ce4c626c3dd</t>
  </si>
  <si>
    <t>http://18.118.246.189/W088AT0Y0Mit0y0CED008MhiD1VTy/index.html</t>
  </si>
  <si>
    <t>d94vtli7h1uga.cloudfront.net</t>
  </si>
  <si>
    <t>52.84.193.68</t>
  </si>
  <si>
    <t>60ce564579539</t>
  </si>
  <si>
    <t>https://d94vtli7h1uga.cloudfront.net/04win/?phone=+1-(888)-276-3303&amp;amp;utm_conversionid=iKWVO-L949E&amp;amp;utm_medium=47059.1196829088</t>
  </si>
  <si>
    <t>3.18.25.89</t>
  </si>
  <si>
    <t>60ce5d93453fb</t>
  </si>
  <si>
    <t>http://3.18.25.89/W088AT0Y0Mit0y0CED008MhiD1VTy/index.html</t>
  </si>
  <si>
    <t>52.15.132.159</t>
  </si>
  <si>
    <t>60ce5d9c38d8a</t>
  </si>
  <si>
    <t>http://52.15.132.159/W088AT0Y0Mit0y0CED008MhiD1VTy/index.html</t>
  </si>
  <si>
    <t>davidcleaners.xyz</t>
  </si>
  <si>
    <t>172.67.138.85</t>
  </si>
  <si>
    <t>60ce5dfdcc884</t>
  </si>
  <si>
    <t>https://davidcleaners.xyz/codemasgss/MAfdfffdgfgfgdfgdfgf-188CtySS/</t>
  </si>
  <si>
    <t>60ce5df9ced66</t>
  </si>
  <si>
    <t>https://davidcleaners.xyz/codemasgss/FFfdfffdgfgfgdfgdfgfMPr88CtySS/</t>
  </si>
  <si>
    <t>60ce5dedaadcf</t>
  </si>
  <si>
    <t>https://davidcleaners.xyz/codemasgss/CEDfdfffdgfgfgdfgdfgfMPr88CtySS/</t>
  </si>
  <si>
    <t>104.21.26.181</t>
  </si>
  <si>
    <t>60ce5df5b53d8</t>
  </si>
  <si>
    <t>https://davidcleaners.xyz/codemasgss/CHfdfffdgfgfgdfgdfgfMPr88CtySS/</t>
  </si>
  <si>
    <t>60ce5df1bb7b5</t>
  </si>
  <si>
    <t>https://davidcleaners.xyz/codemasgss/EDfdfffdgfgfgdfgdfgfMPr88CtySS/</t>
  </si>
  <si>
    <t>srvdvr.xyz</t>
  </si>
  <si>
    <t>104.248.151.210</t>
  </si>
  <si>
    <t>60ce5f1a97609</t>
  </si>
  <si>
    <t>https://srvdvr.xyz/hsbxash/W088MSi08880Moit0yCED0008Mhi11D1/index.html?source_id=faceb00k%2Cgoogle%2Cfacebook%2Cfacebook%2Cfacebook%2Bapp%2Cfacebook%2Ba</t>
  </si>
  <si>
    <t>0syndication430.ml</t>
  </si>
  <si>
    <t>104.21.64.72</t>
  </si>
  <si>
    <t>60ce6836b7d61</t>
  </si>
  <si>
    <t>https://0syndication430.ml/0WinDhelpli0ne320579/W088In01MSi08880it0yCED00081188/index.html</t>
  </si>
  <si>
    <t>srvhvr.xyz</t>
  </si>
  <si>
    <t>165.22.102.77</t>
  </si>
  <si>
    <t>60ce689d682f4</t>
  </si>
  <si>
    <t>https://srvhvr.xyz/sbshj/W088MSi08880Moit0yCED0008Mhi11D1/index.html?utm_source=network&amp;amp;utm_medium=cpc&amp;amp;utm_campaign=cap1&amp;amp;utm_term=shop&amp;amp;s</t>
  </si>
  <si>
    <t>586echoned0.ml</t>
  </si>
  <si>
    <t>104.21.11.205</t>
  </si>
  <si>
    <t>60cf944b77cfa</t>
  </si>
  <si>
    <t>https://586echoned0.ml/0WinDhelpli0ne225552/W088In01MSi08880it0yCED00081188/index.html</t>
  </si>
  <si>
    <t>394bulleting0.ml</t>
  </si>
  <si>
    <t>172.67.174.110</t>
  </si>
  <si>
    <t>60cfa7e43741d</t>
  </si>
  <si>
    <t>https://394bulleting0.ml/0WinDhelpli0ne910334/W088In01MSi08880it0yCED00081188/index.html</t>
  </si>
  <si>
    <t>lesuirepetcare.website</t>
  </si>
  <si>
    <t>172.67.181.161</t>
  </si>
  <si>
    <t>60d4a26178572</t>
  </si>
  <si>
    <t>https://lesuirepetcare.website/codemasgss/MAfdfffdgfgfgdfgdfgf-188CtySS/</t>
  </si>
  <si>
    <t>60d4a25d11262</t>
  </si>
  <si>
    <t>https://lesuirepetcare.website/codemasgss/FFfdfffdgfgfgdfgdfgfMPr88CtySS/</t>
  </si>
  <si>
    <t>60d4a258cff55</t>
  </si>
  <si>
    <t>https://lesuirepetcare.website/codemasgss/CHfdfffdgfgfgdfgdfgfMPr88CtySS/</t>
  </si>
  <si>
    <t>60d4a254901cd</t>
  </si>
  <si>
    <t>https://lesuirepetcare.website/codemasgss/EDfdfffdgfgfgdfgdfgfMPr88CtySS/</t>
  </si>
  <si>
    <t>60d4a2505942d</t>
  </si>
  <si>
    <t>https://lesuirepetcare.website/codemasgss/CEDfdfffdgfgfgdfgdfgfMPr88CtySS/</t>
  </si>
  <si>
    <t>sannyhomes.xyz</t>
  </si>
  <si>
    <t>104.21.56.15</t>
  </si>
  <si>
    <t>60d0a5428011c</t>
  </si>
  <si>
    <t>https://sannyhomes.xyz/codemasgss/CEDfdfffdgfgfgdfgdfgfMPr88CtySS/</t>
  </si>
  <si>
    <t>172.67.175.176</t>
  </si>
  <si>
    <t>60d0a54ed49e4</t>
  </si>
  <si>
    <t>https://sannyhomes.xyz/codemasgss/MAfdfffdgfgfgdfgdfgf-188CtySS/</t>
  </si>
  <si>
    <t>60d0a54aa63d3</t>
  </si>
  <si>
    <t>https://sannyhomes.xyz/codemasgss/FFfdfffdgfgfgdfgdfgfMPr88CtySS/</t>
  </si>
  <si>
    <t>60d0a546907bb</t>
  </si>
  <si>
    <t>https://sannyhomes.xyz/codemasgss/EDfdfffdgfgfgdfgdfgfMPr88CtySS/</t>
  </si>
  <si>
    <t>3.21.135.177</t>
  </si>
  <si>
    <t>60d0a9b6a007d</t>
  </si>
  <si>
    <t>http://3.21.135.177/W088AT0Y0Mit0y0CED008MhiD1VTy/index.html</t>
  </si>
  <si>
    <t>marktoys.xyz</t>
  </si>
  <si>
    <t>104.21.50.145</t>
  </si>
  <si>
    <t>60d0ab0a20d13</t>
  </si>
  <si>
    <t>https://marktoys.xyz/codemasgss/MAfdfffdgfgfgdfgdfgf-188CtySS/</t>
  </si>
  <si>
    <t>60d0ab053dfec</t>
  </si>
  <si>
    <t>https://marktoys.xyz/codemasgss/EDfdfffdgfgfgdfgdfgfMPr88CtySS/</t>
  </si>
  <si>
    <t>60d0ab013efe0</t>
  </si>
  <si>
    <t>https://marktoys.xyz/codemasgss/CEDfdfffdgfgfgdfgdfgfMPr88CtySS/</t>
  </si>
  <si>
    <t>60d0aafd75bc1</t>
  </si>
  <si>
    <t>https://marktoys.xyz/codemasgss/FFfdfffdgfgfgdfgdfgfMPr88CtySS/</t>
  </si>
  <si>
    <t>60d0aaf9c3161</t>
  </si>
  <si>
    <t>https://marktoys.xyz/codemasgss/CHfdfffdgfgfgdfgdfgfMPr88CtySS/</t>
  </si>
  <si>
    <t>11tinyujhn.azurewebsites.net</t>
  </si>
  <si>
    <t>52.228.84.37</t>
  </si>
  <si>
    <t>60da0d49149b5</t>
  </si>
  <si>
    <t>https://11tinyujhn.azurewebsites.net/W088MSi08880Moit0yCED0008Mhi0/index.html</t>
  </si>
  <si>
    <t>21torrontyhg.azurewebsites.net</t>
  </si>
  <si>
    <t>60da122e4f752</t>
  </si>
  <si>
    <t>https://21torrontyhg.azurewebsites.net/W088MSi08880Moit0yCED0008Mhi0/index.html</t>
  </si>
  <si>
    <t>30byteasds.azurewebsites.net</t>
  </si>
  <si>
    <t>60db73a044c9f</t>
  </si>
  <si>
    <t>https://30byteasds.azurewebsites.net/W088MSi08880Moit0yCED0008Mhi0/index.html</t>
  </si>
  <si>
    <t>05byteqwsa.azurewebsites.net</t>
  </si>
  <si>
    <t>60db54c0e1eec</t>
  </si>
  <si>
    <t>https://05byteqwsa.azurewebsites.net/W088MSi08880Moit0yCED0008Mhi0/index.html</t>
  </si>
  <si>
    <t>46teamhjkm.azurewebsites.net</t>
  </si>
  <si>
    <t>60d6396d8bd3d</t>
  </si>
  <si>
    <t>https://46teamhjkm.azurewebsites.net/W088MSi08880Moit0yCH0008Mhi0/index.html</t>
  </si>
  <si>
    <t>56tinyiopl.azurewebsites.net</t>
  </si>
  <si>
    <t>60d2181c0b020</t>
  </si>
  <si>
    <t>https://56tinyiopl.azurewebsites.net/W088MSi08880Moit0yCED0008Mhi0/index.html</t>
  </si>
  <si>
    <t>53tinyasde.azurewebsites.net</t>
  </si>
  <si>
    <t>60d2169038f79</t>
  </si>
  <si>
    <t>https://53tinyasde.azurewebsites.net/W088MSi08880Moit0yCED0008Mhi0/index.html</t>
  </si>
  <si>
    <t>46tinyasdw.azurewebsites.net</t>
  </si>
  <si>
    <t>60d213531c13f</t>
  </si>
  <si>
    <t>https://46tinyasdw.azurewebsites.net/W088MSi08880Moit0yCED0008Mhi0/index.html</t>
  </si>
  <si>
    <t>13threptujhy.azurewebsites.net</t>
  </si>
  <si>
    <t>60d2123888b6e</t>
  </si>
  <si>
    <t>https://13threptujhy.azurewebsites.net/W088MSi08880Moit0yCED0008Mhi0/index.html</t>
  </si>
  <si>
    <t>43tinyklju.azurewebsites.net</t>
  </si>
  <si>
    <t>60d2116b01640</t>
  </si>
  <si>
    <t>https://43tinyklju.azurewebsites.net/W088MSi08880Moit0yCED0008Mhi0/index.html</t>
  </si>
  <si>
    <t>38tinykjml.azurewebsites.net</t>
  </si>
  <si>
    <t>60d20eeb9a691</t>
  </si>
  <si>
    <t>https://38tinykjml.azurewebsites.net/W088MSi08880Moit0yCED0008Mhi0/index.html</t>
  </si>
  <si>
    <t>37tinyujhy.azurewebsites.net</t>
  </si>
  <si>
    <t>60d20eb5486c0</t>
  </si>
  <si>
    <t>https://37tinyujhy.azurewebsites.net/W088MSi08880Moit0yCED0008Mhi0/index.html</t>
  </si>
  <si>
    <t>25threptyhjk.azurewebsites.net</t>
  </si>
  <si>
    <t>60d4afebb95bd</t>
  </si>
  <si>
    <t>https://25threptyhjk.azurewebsites.net/W088MSi08880Moit0yCED0008Mhi0/index.html</t>
  </si>
  <si>
    <t>techgadgets.website</t>
  </si>
  <si>
    <t>104.21.35.178</t>
  </si>
  <si>
    <t>60d4b04b2fc1d</t>
  </si>
  <si>
    <t>https://techgadgets.website/codemasgss/FFfdfffdgfgfgdfgdfgfMPr88CtySS/</t>
  </si>
  <si>
    <t>60d4b03e1ba95</t>
  </si>
  <si>
    <t>https://techgadgets.website/codemasgss/CEDfdfffdgfgfgdfgdfgfMPr88CtySS/</t>
  </si>
  <si>
    <t>172.67.178.46</t>
  </si>
  <si>
    <t>60d4b04f18754</t>
  </si>
  <si>
    <t>https://techgadgets.website/codemasgss/MAfdfffdgfgfgdfgdfgf-188CtySS/</t>
  </si>
  <si>
    <t>60d4b0473e58a</t>
  </si>
  <si>
    <t>https://techgadgets.website/codemasgss/CHfdfffdgfgfgdfgdfgfMPr88CtySS/</t>
  </si>
  <si>
    <t>60d4b04235723</t>
  </si>
  <si>
    <t>https://techgadgets.website/codemasgss/EDfdfffdgfgfgdfgdfgfMPr88CtySS/</t>
  </si>
  <si>
    <t>stormpetcare.online</t>
  </si>
  <si>
    <t>104.21.88.121</t>
  </si>
  <si>
    <t>60d499aad4da8</t>
  </si>
  <si>
    <t>https://stormpetcare.online/codemasgss/MAfdfffdgfgfgdfgdfgf-188CtySS/</t>
  </si>
  <si>
    <t>60d4999e94193</t>
  </si>
  <si>
    <t>https://stormpetcare.online/codemasgss/EDfdfffdgfgfgdfgdfgfMPr88CtySS/</t>
  </si>
  <si>
    <t>60d4999a72474</t>
  </si>
  <si>
    <t>https://stormpetcare.online/codemasgss/CHfdfffdgfgfgdfgdfgfMPr88CtySS/</t>
  </si>
  <si>
    <t>172.67.178.181</t>
  </si>
  <si>
    <t>60d499a6cc95e</t>
  </si>
  <si>
    <t>https://stormpetcare.online/codemasgss/CEDfdfffdgfgfgdfgdfgfMPr88CtySS/</t>
  </si>
  <si>
    <t>60d499a2ccecf</t>
  </si>
  <si>
    <t>https://stormpetcare.online/codemasgss/FFfdfffdgfgfgdfgdfgfMPr88CtySS/</t>
  </si>
  <si>
    <t>192.248.178.69</t>
  </si>
  <si>
    <t>60d0cc9397036</t>
  </si>
  <si>
    <t>http://192.248.178.69/Mendis-olfonso-regret-Frontline-semi-eject-problem-First-level/CEDssdf8sArj8df8sd8fy88DE/</t>
  </si>
  <si>
    <t>192.155.95.138</t>
  </si>
  <si>
    <t>60d0ce54be992</t>
  </si>
  <si>
    <t>http://192.155.95.138/Winhelpxcode777securityFail00702/W088PP0Y0Arj0y0CED0fv08Mhi/index.html</t>
  </si>
  <si>
    <t>carxvillas.xyz</t>
  </si>
  <si>
    <t>104.21.26.139</t>
  </si>
  <si>
    <t>60d0cfdd0aab7</t>
  </si>
  <si>
    <t>https://carxvillas.xyz/codemasgss/MAfdfffdgfgfgdfgdfgf-188CtySS/</t>
  </si>
  <si>
    <t>60d0cfd8955b1</t>
  </si>
  <si>
    <t>https://carxvillas.xyz/codemasgss/FFfdfffdgfgfgdfgdfgfMPr88CtySS/</t>
  </si>
  <si>
    <t>60d0cfcc3c985</t>
  </si>
  <si>
    <t>https://carxvillas.xyz/codemasgss/CHfdfffdgfgfgdfgdfgfMPr88CtySS/</t>
  </si>
  <si>
    <t>172.67.136.109</t>
  </si>
  <si>
    <t>60d0cfd48939d</t>
  </si>
  <si>
    <t>https://carxvillas.xyz/codemasgss/CEDfdfffdgfgfgdfgdfgfMPr88CtySS/</t>
  </si>
  <si>
    <t>60d0cfd073aa8</t>
  </si>
  <si>
    <t>https://carxvillas.xyz/codemasgss/EDfdfffdgfgfgdfgdfgfMPr88CtySS/</t>
  </si>
  <si>
    <t>96.126.108.131</t>
  </si>
  <si>
    <t>60d0d187d5215</t>
  </si>
  <si>
    <t>http://96.126.108.131/Winhelpxcode777securityFail00704/W088PP0Y0Arj0y0CED0fv08Mhi/index.html</t>
  </si>
  <si>
    <t>172.104.230.176</t>
  </si>
  <si>
    <t>60d0d29fe95ce</t>
  </si>
  <si>
    <t>http://172.104.230.176/Winhelpxcode777securityFail00706/W088PP0Y0Arj0y0CED0fv08Mhi/index.html</t>
  </si>
  <si>
    <t>172.104.110.54</t>
  </si>
  <si>
    <t>60d0d43b6e0d2</t>
  </si>
  <si>
    <t>http://172.104.110.54/Winhelpxcode777securityFail00708/W088PP0Y0Arj0y0CED0fv08Mhi/index.html</t>
  </si>
  <si>
    <t>45.77.226.63</t>
  </si>
  <si>
    <t>60d0d4b2e9857</t>
  </si>
  <si>
    <t>http://45.77.226.63/loader-fincore-diber-Winhelpxcode777securityFail00701/W088PP0Y0Arj0y0CED0fv08Mhi/index.html</t>
  </si>
  <si>
    <t>clubpumps.xyz</t>
  </si>
  <si>
    <t>172.67.129.111</t>
  </si>
  <si>
    <t>60d0dbd895c0c</t>
  </si>
  <si>
    <t>https://clubpumps.xyz/codemasgss/MAfdfffdgfgfgdfgdfgf-188CtySS/</t>
  </si>
  <si>
    <t>60d0dbd3bf4b1</t>
  </si>
  <si>
    <t>https://clubpumps.xyz/codemasgss/FFfdfffdgfgfgdfgdfgfMPr88CtySS/</t>
  </si>
  <si>
    <t>60d0dbcf63cfe</t>
  </si>
  <si>
    <t>https://clubpumps.xyz/codemasgss/EDfdfffdgfgfgdfgdfgfMPr88CtySS/</t>
  </si>
  <si>
    <t>60d0dbcb3e0bf</t>
  </si>
  <si>
    <t>https://clubpumps.xyz/codemasgss/CEDfdfffdgfgfgdfgdfgfMPr88CtySS/</t>
  </si>
  <si>
    <t>60d0dbc706154</t>
  </si>
  <si>
    <t>https://clubpumps.xyz/codemasgss/CHfdfffdgfgfgdfgdfgfMPr88CtySS/</t>
  </si>
  <si>
    <t>136.244.115.133</t>
  </si>
  <si>
    <t>60d0de3f4fa5c</t>
  </si>
  <si>
    <t>http://136.244.115.133/Trignitr-software-hinux-deten-Farnite-table-expense-dispense-Gal/CEDssdf8sArj8df8sd8fy88DE/</t>
  </si>
  <si>
    <t>108.61.210.150</t>
  </si>
  <si>
    <t>60d0e01717258</t>
  </si>
  <si>
    <t>http://108.61.210.150/RRoger-group-update-software-hinux-Mendis-olfonso-regret-Frontline/CEDssdf8sArj8df8sd8fy88DE/</t>
  </si>
  <si>
    <t>164.90.141.52</t>
  </si>
  <si>
    <t>60d0e262c6906</t>
  </si>
  <si>
    <t>http://164.90.141.52/Manage-files-xpload-reverse-Neyman-grotter-design-ecknpowledge-Payday/CEDssdf8sArj8df8sd8fy88DE/</t>
  </si>
  <si>
    <t>157.230.126.80</t>
  </si>
  <si>
    <t>60d0e8ce3a6fa</t>
  </si>
  <si>
    <t>http://157.230.126.80/Finder-server-hack-objeck-win777-miller-Maze-modern-filsjhf-delight/CEDssdf8sArj8df8sd8fy88DE/</t>
  </si>
  <si>
    <t>dodr88ocjrzrl.cloudfront.net</t>
  </si>
  <si>
    <t>52.222.161.121</t>
  </si>
  <si>
    <t>60d0ef21b2e7b</t>
  </si>
  <si>
    <t>https://dodr88ocjrzrl.cloudfront.net/04win/?phone=+1-(888)-202-3347&amp;amp;s1=adult_popunders&amp;amp;s2=177543.192738_</t>
  </si>
  <si>
    <t>495moduling.ml</t>
  </si>
  <si>
    <t>104.21.58.174</t>
  </si>
  <si>
    <t>60d0f1720eb6b</t>
  </si>
  <si>
    <t>https://495moduling.ml/0WinDhelpli0ne952089/W088In01MSi08880it0yCH00081188/index.html</t>
  </si>
  <si>
    <t>143.110.186.71</t>
  </si>
  <si>
    <t>60d105100b672</t>
  </si>
  <si>
    <t>http://143.110.186.71/codemasgss/MAfdfffdgfgfgdfgdfgf-188CtySS/</t>
  </si>
  <si>
    <t>60d1050c1fbca</t>
  </si>
  <si>
    <t>http://143.110.186.71/codemasgss/FFfdfffdgfgfgdfgdfgfMPr88CtySS/</t>
  </si>
  <si>
    <t>60d10507b82ba</t>
  </si>
  <si>
    <t>http://143.110.186.71/codemasgss/CHfdfffdgfgfgdfgdfgfMPr88CtySS/</t>
  </si>
  <si>
    <t>60d1050419c2d</t>
  </si>
  <si>
    <t>http://143.110.186.71/codemasgss/EDfdfffdgfgfgdfgdfgfMPr88CtySS/</t>
  </si>
  <si>
    <t>60d1050049928</t>
  </si>
  <si>
    <t>http://143.110.186.71/codemasgss/CEDfdfffdgfgfgdfgdfgfMPr88CtySS/</t>
  </si>
  <si>
    <t>128.199.0.210</t>
  </si>
  <si>
    <t>60d105c50a35a</t>
  </si>
  <si>
    <t>http://128.199.0.210/Inject-depart-trojan-software-Select-data-uploadre-revense/CEDssdf8sArj8df8sd8fy88DE/</t>
  </si>
  <si>
    <t>161.35.157.25</t>
  </si>
  <si>
    <t>60d107a889454</t>
  </si>
  <si>
    <t>http://161.35.157.25/Terramount-Files-donload-9899-techno-8888Xplore-mins-fortune08/CEDssdf8sArj8df8sd8fy88DE/</t>
  </si>
  <si>
    <t>levinfurnitures.site</t>
  </si>
  <si>
    <t>104.21.50.184</t>
  </si>
  <si>
    <t>60d107fc5be6b</t>
  </si>
  <si>
    <t>https://levinfurnitures.site/codemasgss/MAfdfffdgfgfgdfgdfgf-188CtySS/</t>
  </si>
  <si>
    <t>60d107f771e6e</t>
  </si>
  <si>
    <t>https://levinfurnitures.site/codemasgss/FFfdfffdgfgfgdfgdfgfMPr88CtySS/</t>
  </si>
  <si>
    <t>60d107f37fbf9</t>
  </si>
  <si>
    <t>https://levinfurnitures.site/codemasgss/CHfdfffdgfgfgdfgdfgfMPr88CtySS/</t>
  </si>
  <si>
    <t>60d107f012374</t>
  </si>
  <si>
    <t>https://levinfurnitures.site/codemasgss/EDfdfffdgfgfgdfgdfgfMPr88CtySS/</t>
  </si>
  <si>
    <t>60d107ec31bc5</t>
  </si>
  <si>
    <t>https://levinfurnitures.site/codemasgss/CEDfdfffdgfgfgdfgdfgfMPr88CtySS/</t>
  </si>
  <si>
    <t>136.244.92.18</t>
  </si>
  <si>
    <t>60d10a2f96526</t>
  </si>
  <si>
    <t>http://136.244.92.18/Distance-folder-greater-Roger-group-update-software-hinux-Mendi/CEDssdf8sArj8df8sd8fy88DE/</t>
  </si>
  <si>
    <t>erotiqmovief.xyz</t>
  </si>
  <si>
    <t>147.182.132.62</t>
  </si>
  <si>
    <t>60d10b2178bfb</t>
  </si>
  <si>
    <t>https://erotiqmovief.xyz/W088MSi08880Mit0yCH0008Mhi11/index.html</t>
  </si>
  <si>
    <t>mobelhomestore.site</t>
  </si>
  <si>
    <t>104.21.24.152</t>
  </si>
  <si>
    <t>60d112098c29a</t>
  </si>
  <si>
    <t>https://mobelhomestore.site/codemasgss/EDfdfffdgfgfgdfgdfgfMPr88CtySS/</t>
  </si>
  <si>
    <t>60d112059a4a0</t>
  </si>
  <si>
    <t>https://mobelhomestore.site/codemasgss/FFfdfffdgfgfgdfgdfgfMPr88CtySS/</t>
  </si>
  <si>
    <t>60d1120184005</t>
  </si>
  <si>
    <t>https://mobelhomestore.site/codemasgss/CHfdfffdgfgfgdfgdfgfMPr88CtySS/</t>
  </si>
  <si>
    <t>60d111b1106d9</t>
  </si>
  <si>
    <t>https://mobelhomestore.site/codemasgss/CEDfdfffdgfgfgdfgdfgfMPr88CtySS/</t>
  </si>
  <si>
    <t>172.67.219.71</t>
  </si>
  <si>
    <t>60d1120d1b9ca</t>
  </si>
  <si>
    <t>https://mobelhomestore.site/codemasgss/MAfdfffdgfgfgdfgdfgf-188CtySS/</t>
  </si>
  <si>
    <t>tastyflavours.site</t>
  </si>
  <si>
    <t>172.67.172.25</t>
  </si>
  <si>
    <t>60d11bdaeda64</t>
  </si>
  <si>
    <t>https://tastyflavours.site/codemasgss/FFfdfffdgfgfgdfgdfgfMPr88CtySS/</t>
  </si>
  <si>
    <t>60d11bd6aa15c</t>
  </si>
  <si>
    <t>https://tastyflavours.site/codemasgss/CEDfdfffdgfgfgdfgdfgfMPr88CtySS/</t>
  </si>
  <si>
    <t>60d11bd279a7b</t>
  </si>
  <si>
    <t>https://tastyflavours.site/codemasgss/EDfdfffdgfgfgdfgdfgfMPr88CtySS/</t>
  </si>
  <si>
    <t>60d11bce7adf6</t>
  </si>
  <si>
    <t>https://tastyflavours.site/codemasgss/CHfdfffdgfgfgdfgdfgfMPr88CtySS/</t>
  </si>
  <si>
    <t>104.21.55.179</t>
  </si>
  <si>
    <t>60d11bdf29317</t>
  </si>
  <si>
    <t>https://tastyflavours.site/codemasgss/MAfdfffdgfgfgdfgdfgf-188CtySS/</t>
  </si>
  <si>
    <t>cachable230.ml</t>
  </si>
  <si>
    <t>172.67.201.134</t>
  </si>
  <si>
    <t>60d1dc1d513c2</t>
  </si>
  <si>
    <t>https://cachable230.ml/fsda0fsd-fs0df-sd0f-sd0fsd-2679.vvy8yx/W088PP0Y0Mit0y0CH008MhiD1/index.html</t>
  </si>
  <si>
    <t>astrabilling.website</t>
  </si>
  <si>
    <t>104.21.82.64</t>
  </si>
  <si>
    <t>60d1f0515d511</t>
  </si>
  <si>
    <t>https://astrabilling.website/codemasgss/CHfdfffdgfgfgdfgdfgfMPr88CtySS/</t>
  </si>
  <si>
    <t>172.67.197.112</t>
  </si>
  <si>
    <t>60d1f0623129e</t>
  </si>
  <si>
    <t>https://astrabilling.website/codemasgss/MAfdfffdgfgfgdfgdfgf-188CtySS/</t>
  </si>
  <si>
    <t>nationalweather.online</t>
  </si>
  <si>
    <t>172.67.210.203</t>
  </si>
  <si>
    <t>60d1f876f1bbb</t>
  </si>
  <si>
    <t>https://nationalweather.online/codemasgss/MAfdfffdgfgfgdfgdfgf-188CtySS/</t>
  </si>
  <si>
    <t>60d1f872d1ddb</t>
  </si>
  <si>
    <t>https://nationalweather.online/codemasgss/FFfdfffdgfgfgdfgdfgfMPr88CtySS/</t>
  </si>
  <si>
    <t>60d1f86b0ece0</t>
  </si>
  <si>
    <t>https://nationalweather.online/codemasgss/CEDfdfffdgfgfgdfgdfgfMPr88CtySS/</t>
  </si>
  <si>
    <t>60d1f8651502a</t>
  </si>
  <si>
    <t>https://nationalweather.online/codemasgss/CHfdfffdgfgfgdfgdfgfMPr88CtySS/</t>
  </si>
  <si>
    <t>104.21.23.109</t>
  </si>
  <si>
    <t>60d1f86ed2457</t>
  </si>
  <si>
    <t>https://nationalweather.online/codemasgss/EDfdfffdgfgfgdfgdfgfMPr88CtySS/</t>
  </si>
  <si>
    <t>aminobillpay.site</t>
  </si>
  <si>
    <t>172.67.139.111</t>
  </si>
  <si>
    <t>60d1fb40b7c2f</t>
  </si>
  <si>
    <t>https://aminobillpay.site/codemasgss/CEDfdfffdgfgfgdfgdfgfMPr88CtySS/</t>
  </si>
  <si>
    <t>60d1fb3c232aa</t>
  </si>
  <si>
    <t>https://aminobillpay.site/codemasgss/CHfdfffdgfgfgdfgdfgfMPr88CtySS/</t>
  </si>
  <si>
    <t>104.21.8.121</t>
  </si>
  <si>
    <t>60d1fb4e735bb</t>
  </si>
  <si>
    <t>https://aminobillpay.site/codemasgss/MAfdfffdgfgfgdfgdfgf-188CtySS/</t>
  </si>
  <si>
    <t>60d1fb49cbadf</t>
  </si>
  <si>
    <t>https://aminobillpay.site/codemasgss/FFfdfffdgfgfgdfgdfgfMPr88CtySS/</t>
  </si>
  <si>
    <t>60d1fb458a7c2</t>
  </si>
  <si>
    <t>https://aminobillpay.site/codemasgss/EDfdfffdgfgfgdfgdfgfMPr88CtySS/</t>
  </si>
  <si>
    <t>157.245.98.7</t>
  </si>
  <si>
    <t>60d1ffef912bd</t>
  </si>
  <si>
    <t>http://157.245.98.7/codemasgss/MAfdfffdgfgfgdfgdfgf-188CtySS/</t>
  </si>
  <si>
    <t>60d1ffeb8c514</t>
  </si>
  <si>
    <t>http://157.245.98.7/codemasgss/FFfdfffdgfgfgdfgdfgfMPr88CtySS/</t>
  </si>
  <si>
    <t>60d1ffe6bf337</t>
  </si>
  <si>
    <t>http://157.245.98.7/codemasgss/CEDfdfffdgfgfgdfgdfgfMPr88CtySS/</t>
  </si>
  <si>
    <t>60d1ffe28b8ae</t>
  </si>
  <si>
    <t>http://157.245.98.7/codemasgss/EDfdfffdgfgfgdfgdfgfMPr88CtySS/</t>
  </si>
  <si>
    <t>60d1ffdd415b7</t>
  </si>
  <si>
    <t>http://157.245.98.7/codemasgss/CHfdfffdgfgfgdfgdfgfMPr88CtySS/</t>
  </si>
  <si>
    <t>45.79.114.184</t>
  </si>
  <si>
    <t>60d2154d09dfb</t>
  </si>
  <si>
    <t>http://45.79.114.184/W088MSi08880Moit0yCED0008Mhi0/index.html</t>
  </si>
  <si>
    <t>hannoin.cyou</t>
  </si>
  <si>
    <t>51.15.100.145</t>
  </si>
  <si>
    <t>60d3719790b58</t>
  </si>
  <si>
    <t>http://hannoin.cyou/t/Wind0ws-008firwal09alertECH00Mni08FF/index.html</t>
  </si>
  <si>
    <t>smaltet.xyz</t>
  </si>
  <si>
    <t>60d27dfec3b99</t>
  </si>
  <si>
    <t>http://smaltet.xyz/t/W088PP0Y0Ris0y0CED0fv08Mhi/index.html</t>
  </si>
  <si>
    <t>snorein.cyou</t>
  </si>
  <si>
    <t>60d216616f732</t>
  </si>
  <si>
    <t>http://snorein.cyou/t/W088PP0Y0Ris0y0CED0fv08Mhi/index.html</t>
  </si>
  <si>
    <t>stoic-bouman.139-59-89-155.plesk.page</t>
  </si>
  <si>
    <t>139.59.89.155</t>
  </si>
  <si>
    <t>60d216a20343e</t>
  </si>
  <si>
    <t>https://stoic-bouman.139-59-89-155.plesk.page/WinFvjdjfhdjhfkdshfjkrCHVX/</t>
  </si>
  <si>
    <t>fndsyse.xyz</t>
  </si>
  <si>
    <t>139.59.225.217</t>
  </si>
  <si>
    <t>60d2170414ce1</t>
  </si>
  <si>
    <t>https://fndsyse.xyz/sbsbcdhbcdsh/W088MSi08880Moit0yCED0008Mhi11D1/index.html?source_id=gmailcom</t>
  </si>
  <si>
    <t>368applicative.ml</t>
  </si>
  <si>
    <t>172.67.187.73</t>
  </si>
  <si>
    <t>60d233304ce95</t>
  </si>
  <si>
    <t>https://368applicative.ml/0WinDhelpli0ne401734/W088In01MSi08880it0yCH00081188/index.html</t>
  </si>
  <si>
    <t>d11jzc9ggz350j.cloudfront.net</t>
  </si>
  <si>
    <t>13.225.29.29</t>
  </si>
  <si>
    <t>60d233ef94476</t>
  </si>
  <si>
    <t>https://d11jzc9ggz350j.cloudfront.net/04win/?phone=+1-(888)-210-6365&amp;amp;utm_conversionid=nrIPkywL374&amp;amp;utm_medium=265454.02d423bb8174c28fed8ee3a88</t>
  </si>
  <si>
    <t>fndsyser.xyz</t>
  </si>
  <si>
    <t>178.128.223.138</t>
  </si>
  <si>
    <t>60d239818e0d2</t>
  </si>
  <si>
    <t>https://fndsyser.xyz/dcsdhjdscs/W088MSi08880Moit0yCED0008Mhi11D1/index.html?utm_source=network&amp;amp;utm_medium=cpc&amp;amp;utm_campaign=cap1&amp;amp;utm_term=sho</t>
  </si>
  <si>
    <t>careerotic.ml</t>
  </si>
  <si>
    <t>143.198.122.80</t>
  </si>
  <si>
    <t>60d2434d1a18e</t>
  </si>
  <si>
    <t>https://careerotic.ml/W088MSi08880Moit0yCED0008Mhi11/index.html</t>
  </si>
  <si>
    <t>033obstances.ml</t>
  </si>
  <si>
    <t>172.67.164.32</t>
  </si>
  <si>
    <t>60d259dad7278</t>
  </si>
  <si>
    <t>https://033obstances.ml/0WinDhelpli0ne040910/W088In01MSi08880it0yCH00081188/index.html</t>
  </si>
  <si>
    <t>302optically.ga</t>
  </si>
  <si>
    <t>172.67.163.179</t>
  </si>
  <si>
    <t>60d25db1aae3f</t>
  </si>
  <si>
    <t>https://302optically.ga/0WinDhelpli0ne042071/W088In01MSi08880it0yCED00081188/index.html</t>
  </si>
  <si>
    <t>esavagebottle.online</t>
  </si>
  <si>
    <t>199.33.112.228</t>
  </si>
  <si>
    <t>60d9acbbce718</t>
  </si>
  <si>
    <t>https://esavagebottle.online/jyutsx01-1c54v5c6-dfd5f4df4d5-cv45f4d56-cvc5f4ds6-xv54v54df/ujpchx01/chrx01/index.html?source_id=s699_117237-D076AGA67W</t>
  </si>
  <si>
    <t>raftoverient.online</t>
  </si>
  <si>
    <t>60d3322ee4132</t>
  </si>
  <si>
    <t>https://raftoverient.online/jsftxbg01-g45gff5d-b54fgre4-bvcv5bv748d5-cvc5vd58f4d5-sd5f9e8e4-cv4c5v4d845-cv5d8fd4/tfgcd/index.html?source_id=s699_290766-</t>
  </si>
  <si>
    <t>vibrant-buck.159-65-151-21.plesk.page</t>
  </si>
  <si>
    <t>159.65.151.21</t>
  </si>
  <si>
    <t>60d34a7dba392</t>
  </si>
  <si>
    <t>https://vibrant-buck.159-65-151-21.plesk.page/WinFvjdjfhdjhfkdshfjkrCHVX/</t>
  </si>
  <si>
    <t>xbtup.xyz</t>
  </si>
  <si>
    <t>159.65.49.217</t>
  </si>
  <si>
    <t>60d34b9cab6e9</t>
  </si>
  <si>
    <t>https://xbtup.xyz/killit/W088MSi08880Moit0yCED0008Mhi11D1/index.html?source_id=facebook</t>
  </si>
  <si>
    <t>159.65.158.12</t>
  </si>
  <si>
    <t>60d34c412f11e</t>
  </si>
  <si>
    <t>http://159.65.158.12/codemasgss/MAfdfffdgfgfgdfgdfgf-188CtySS/</t>
  </si>
  <si>
    <t>60d34c3ce2809</t>
  </si>
  <si>
    <t>http://159.65.158.12/codemasgss/FFfdfffdgfgfgdfgdfgfMPr88CtySS/</t>
  </si>
  <si>
    <t>60d34c37d437f</t>
  </si>
  <si>
    <t>http://159.65.158.12/codemasgss/CHfdfffdgfgfgdfgdfgfMPr88CtySS/</t>
  </si>
  <si>
    <t>60d34c33d3f83</t>
  </si>
  <si>
    <t>http://159.65.158.12/codemasgss/EDfdfffdgfgfgdfgdfgfMPr88CtySS/</t>
  </si>
  <si>
    <t>60d34c2fb8b24</t>
  </si>
  <si>
    <t>http://159.65.158.12/codemasgss/CEDfdfffdgfgfgdfgdfgfMPr88CtySS/</t>
  </si>
  <si>
    <t>157.245.97.134</t>
  </si>
  <si>
    <t>60d34f1d706e0</t>
  </si>
  <si>
    <t>http://157.245.97.134/codemasgss/MAfdfffdgfgfgdfgdfgf-188CtySS/</t>
  </si>
  <si>
    <t>60d34f193dc0b</t>
  </si>
  <si>
    <t>http://157.245.97.134/codemasgss/CEDfdfffdgfgfgdfgdfgfMPr88CtySS/</t>
  </si>
  <si>
    <t>60d34f1546b82</t>
  </si>
  <si>
    <t>http://157.245.97.134/codemasgss/EDfdfffdgfgfgdfgdfgfMPr88CtySS/</t>
  </si>
  <si>
    <t>60d34f119541d</t>
  </si>
  <si>
    <t>http://157.245.97.134/codemasgss/FFfdfffdgfgfgdfgdfgfMPr88CtySS/</t>
  </si>
  <si>
    <t>60d34f0d88a3a</t>
  </si>
  <si>
    <t>http://157.245.97.134/codemasgss/CHfdfffdgfgfgdfgdfgfMPr88CtySS/</t>
  </si>
  <si>
    <t>f9bicj.gq</t>
  </si>
  <si>
    <t>172.67.205.15</t>
  </si>
  <si>
    <t>60d35ea58794a</t>
  </si>
  <si>
    <t>https://f9bicj.gq/JW_UDHUO0Po_9BB/c8dFY4_xzE_2_nN/57l8TFpMJjMZUXH/_6___UDp_CRuQD2/X_UTM_rUhhQV_5z/?n_b=MSg4NDQpNDk1IDU2NjU=&amp;amp;s_1=63-21610663492447</t>
  </si>
  <si>
    <t>104.21.37.66</t>
  </si>
  <si>
    <t>60d35eb372aa1</t>
  </si>
  <si>
    <t>https://f9bicj.gq/JW_UDHUO0Po_9BB/c8dFY4_xzE_2_nN/57l8TFpMJjMZUXH/_6___UDp_CRuQD2/X_UTM_rUhhQV_5z/?n_b=MSg4NDQpMjI2IDk3NDQ=&amp;amp;s_1=1646-IGP11-723927408</t>
  </si>
  <si>
    <t>100federated.ga</t>
  </si>
  <si>
    <t>172.67.186.126</t>
  </si>
  <si>
    <t>60d3600421bf3</t>
  </si>
  <si>
    <t>https://100federated.ga/WInhelpline01dfy3971.hhby/W088In01xmse08880it0yCED008MUY008xx/</t>
  </si>
  <si>
    <t>zbtuo.xyz</t>
  </si>
  <si>
    <t>46.101.8.103</t>
  </si>
  <si>
    <t>60d3601bb26ba</t>
  </si>
  <si>
    <t>https://zbtuo.xyz/killits/W088MSi08880Moit0yCED0008Mhi11D1/index.html?source_id=gmail</t>
  </si>
  <si>
    <t>lucid-bohr.139-59-24-154.plesk.page</t>
  </si>
  <si>
    <t>139.59.24.154</t>
  </si>
  <si>
    <t>60d372d9bc3f4</t>
  </si>
  <si>
    <t>https://lucid-bohr.139-59-24-154.plesk.page/WinFvjdjfhdjhfkdshfjkrCHVX/</t>
  </si>
  <si>
    <t>goodluckhouserepair.site</t>
  </si>
  <si>
    <t>104.21.31.160</t>
  </si>
  <si>
    <t>60d3752476b76</t>
  </si>
  <si>
    <t>https://goodluckhouserepair.site/codemasgss/MAfdfffdgfgfgdfgdfgf-188CtySS/</t>
  </si>
  <si>
    <t>60d3751fafd55</t>
  </si>
  <si>
    <t>https://goodluckhouserepair.site/codemasgss/FFfdfffdgfgfgdfgdfgfMPr88CtySS/</t>
  </si>
  <si>
    <t>60d3751aeff8c</t>
  </si>
  <si>
    <t>https://goodluckhouserepair.site/codemasgss/CHfdfffdgfgfgdfgdfgfMPr88CtySS/</t>
  </si>
  <si>
    <t>60d3751768ea1</t>
  </si>
  <si>
    <t>https://goodluckhouserepair.site/codemasgss/EDfdfffdgfgfgdfgdfgfMPr88CtySS/</t>
  </si>
  <si>
    <t>60d37512b7ce6</t>
  </si>
  <si>
    <t>https://goodluckhouserepair.site/codemasgss/CEDfdfffdgfgfgdfgdfgfMPr88CtySS/</t>
  </si>
  <si>
    <t>homerepair.website</t>
  </si>
  <si>
    <t>104.21.59.71</t>
  </si>
  <si>
    <t>60d378d7a9f06</t>
  </si>
  <si>
    <t>https://homerepair.website/codemasgss/MAfdfffdgfgfgdfgdfgf-188CtySS/</t>
  </si>
  <si>
    <t>60d378c74e6f2</t>
  </si>
  <si>
    <t>https://homerepair.website/codemasgss/CHfdfffdgfgfgdfgdfgfMPr88CtySS/</t>
  </si>
  <si>
    <t>172.67.217.165</t>
  </si>
  <si>
    <t>60d378d3b5b17</t>
  </si>
  <si>
    <t>https://homerepair.website/codemasgss/FFfdfffdgfgfgdfgdfgfMPr88CtySS/</t>
  </si>
  <si>
    <t>60d378cfb5378</t>
  </si>
  <si>
    <t>https://homerepair.website/codemasgss/CEDfdfffdgfgfgdfgdfgfMPr88CtySS/</t>
  </si>
  <si>
    <t>60d378cb45c9c</t>
  </si>
  <si>
    <t>https://homerepair.website/codemasgss/EDfdfffdgfgfgdfgdfgfMPr88CtySS/</t>
  </si>
  <si>
    <t>amazecarrepair.site</t>
  </si>
  <si>
    <t>104.21.72.22</t>
  </si>
  <si>
    <t>60d37d775e78a</t>
  </si>
  <si>
    <t>https://amazecarrepair.site/codemasgss/FFfdfffdgfgfgdfgdfgfMPr88CtySS/</t>
  </si>
  <si>
    <t>60d37d6eb627a</t>
  </si>
  <si>
    <t>https://amazecarrepair.site/codemasgss/EDfdfffdgfgfgdfgdfgfMPr88CtySS/</t>
  </si>
  <si>
    <t>60d37d6ae81be</t>
  </si>
  <si>
    <t>https://amazecarrepair.site/codemasgss/CHfdfffdgfgfgdfgdfgfMPr88CtySS/</t>
  </si>
  <si>
    <t>172.67.174.29</t>
  </si>
  <si>
    <t>60d37d7b4cafa</t>
  </si>
  <si>
    <t>https://amazecarrepair.site/codemasgss/MAfdfffdgfgfgdfgdfgf-188CtySS/</t>
  </si>
  <si>
    <t>60d37d72b4ebb</t>
  </si>
  <si>
    <t>https://amazecarrepair.site/codemasgss/CEDfdfffdgfgfgdfgdfgfMPr88CtySS/</t>
  </si>
  <si>
    <t>gadgetstechno.site</t>
  </si>
  <si>
    <t>104.21.4.205</t>
  </si>
  <si>
    <t>60d4c8b061375</t>
  </si>
  <si>
    <t>https://gadgetstechno.site/codemasgss/CHfdfffdgfgfgdfgdfgfMPr88CtySS/</t>
  </si>
  <si>
    <t>60d4c8abc487f</t>
  </si>
  <si>
    <t>https://gadgetstechno.site/codemasgss/EDfdfffdgfgfgdfgdfgfMPr88CtySS/</t>
  </si>
  <si>
    <t>60d4c8a6f11dc</t>
  </si>
  <si>
    <t>https://gadgetstechno.site/codemasgss/CEDfdfffdgfgfgdfgdfgfMPr88CtySS/</t>
  </si>
  <si>
    <t>q3jtbh.ga</t>
  </si>
  <si>
    <t>104.21.76.70</t>
  </si>
  <si>
    <t>60d38d2f9cd17</t>
  </si>
  <si>
    <t>https://q3jtbh.ga/JW_UDHUO0Po_9BB/c8dFY4_xzE_2_nN/57l8TFpMJjMZUXH/_6___UDp_CRuQD2/X_UTM_rUhhQV_5z/?n_b=MSg4NDQpMzQwIDY5NTM=&amp;amp;s_1=63-21610663492447</t>
  </si>
  <si>
    <t>bulleting555.ga</t>
  </si>
  <si>
    <t>104.21.82.94</t>
  </si>
  <si>
    <t>60d399a95b30c</t>
  </si>
  <si>
    <t>https://bulleting555.ga/0WinDhelpli0ne820042/W088In01MSi08880it0yCED00081188/index.html</t>
  </si>
  <si>
    <t>daukhsavxzon4.cloudfront.net</t>
  </si>
  <si>
    <t>52.84.193.4</t>
  </si>
  <si>
    <t>60d3a1b788cff</t>
  </si>
  <si>
    <t>https://daukhsavxzon4.cloudfront.net/04win/?phone=+1-(888)-392-9307&amp;amp;s1=adult_popunders&amp;amp;s2=210156.14892298</t>
  </si>
  <si>
    <t>944cachable0.ml</t>
  </si>
  <si>
    <t>172.67.167.89</t>
  </si>
  <si>
    <t>60d3b07b01ff3</t>
  </si>
  <si>
    <t>https://944cachable0.ml/0WinDhelpli0ne350310/W088In01MSi08880it0yCED00081188/index.html</t>
  </si>
  <si>
    <t>wnrok3.gq</t>
  </si>
  <si>
    <t>172.67.146.227</t>
  </si>
  <si>
    <t>60d3ba6734f38</t>
  </si>
  <si>
    <t>https://wnrok3.gq/backup22-9408/Chromium/</t>
  </si>
  <si>
    <t>172.67.132.110</t>
  </si>
  <si>
    <t>60d4c8b9031b0</t>
  </si>
  <si>
    <t>https://gadgetstechno.site/codemasgss/MAfdfffdgfgfgdfgdfgf-188CtySS/</t>
  </si>
  <si>
    <t>60d4c8b485fd9</t>
  </si>
  <si>
    <t>https://gadgetstechno.site/codemasgss/FFfdfffdgfgfgdfgdfgfMPr88CtySS/</t>
  </si>
  <si>
    <t>34.72.149.163</t>
  </si>
  <si>
    <t>60d4d346a17ce</t>
  </si>
  <si>
    <t>http://34.72.149.163/WinhelpxcodexwinCHsystemXXtemp01/</t>
  </si>
  <si>
    <t>429firm0ware.ml</t>
  </si>
  <si>
    <t>104.21.73.27</t>
  </si>
  <si>
    <t>60d5e3b9949cd</t>
  </si>
  <si>
    <t>https://429firm0ware.ml/0WinDhelpli0ne962044/W088In01MSi08880it0yCH00081188/index.html</t>
  </si>
  <si>
    <t>western-pest.site</t>
  </si>
  <si>
    <t>104.21.47.157</t>
  </si>
  <si>
    <t>60d5e453319a6</t>
  </si>
  <si>
    <t>https://western-pest.site/codemasgss/FFfdfffdgfgfgdfgdfgfMPr88CtySS/</t>
  </si>
  <si>
    <t>60d5e44f4d7ea</t>
  </si>
  <si>
    <t>https://western-pest.site/codemasgss/CHfdfffdgfgfgdfgdfgfMPr88CtySS/</t>
  </si>
  <si>
    <t>60d5e44b2ea5f</t>
  </si>
  <si>
    <t>https://western-pest.site/codemasgss/EDfdfffdgfgfgdfgdfgfMPr88CtySS/</t>
  </si>
  <si>
    <t>60d5e44724c85</t>
  </si>
  <si>
    <t>https://western-pest.site/codemasgss/CEDfdfffdgfgfgdfgdfgfMPr88CtySS/</t>
  </si>
  <si>
    <t>172.67.148.223</t>
  </si>
  <si>
    <t>60d5e456e60c7</t>
  </si>
  <si>
    <t>https://western-pest.site/codemasgss/MAfdfffdgfgfgdfgdfgf-188CtySS/</t>
  </si>
  <si>
    <t>onsitephonefix.site</t>
  </si>
  <si>
    <t>172.67.196.172</t>
  </si>
  <si>
    <t>60d5e8f651182</t>
  </si>
  <si>
    <t>https://onsitephonefix.site/codemasgss/CHfdfffdgfgfgdfgdfgfMPr88CtySS/</t>
  </si>
  <si>
    <t>60d5e8edcb128</t>
  </si>
  <si>
    <t>https://onsitephonefix.site/codemasgss/CEDfdfffdgfgfgdfgdfgfMPr88CtySS/</t>
  </si>
  <si>
    <t>104.21.52.69</t>
  </si>
  <si>
    <t>60d5e8fe65d08</t>
  </si>
  <si>
    <t>https://onsitephonefix.site/codemasgss/MAfdfffdgfgfgdfgdfgf-188CtySS/</t>
  </si>
  <si>
    <t>60d5e8fa5a59a</t>
  </si>
  <si>
    <t>https://onsitephonefix.site/codemasgss/FFfdfffdgfgfgdfgdfgfMPr88CtySS/</t>
  </si>
  <si>
    <t>60d5e8f1b337b</t>
  </si>
  <si>
    <t>https://onsitephonefix.site/codemasgss/EDfdfffdgfgfgdfgdfgfMPr88CtySS/</t>
  </si>
  <si>
    <t>generalelectronicrepair.site</t>
  </si>
  <si>
    <t>104.21.93.184</t>
  </si>
  <si>
    <t>60d5ee4da3f07</t>
  </si>
  <si>
    <t>https://generalelectronicrepair.site/codemasgss/FFfdfffdgfgfgdfgdfgfMPr88CtySS/</t>
  </si>
  <si>
    <t>60d5ee4954f9b</t>
  </si>
  <si>
    <t>https://generalelectronicrepair.site/codemasgss/CHfdfffdgfgfgdfgdfgfMPr88CtySS/</t>
  </si>
  <si>
    <t>60d5ee406a317</t>
  </si>
  <si>
    <t>https://generalelectronicrepair.site/codemasgss/CEDfdfffdgfgfgdfgdfgfMPr88CtySS/</t>
  </si>
  <si>
    <t>172.67.213.182</t>
  </si>
  <si>
    <t>60d5ee518aa6f</t>
  </si>
  <si>
    <t>https://generalelectronicrepair.site/codemasgss/MAfdfffdgfgfgdfgdfgf-188CtySS/</t>
  </si>
  <si>
    <t>60d5ee44b1db5</t>
  </si>
  <si>
    <t>https://generalelectronicrepair.site/codemasgss/EDfdfffdgfgfgdfgdfgfMPr88CtySS/</t>
  </si>
  <si>
    <t>quizzical-newton.139-59-62-119.plesk.page</t>
  </si>
  <si>
    <t>139.59.62.119</t>
  </si>
  <si>
    <t>60d5fdb89c6c8</t>
  </si>
  <si>
    <t>https://quizzical-newton.139-59-62-119.plesk.page/WinFvjdjfhdjhfkdshfjkrCHVX/</t>
  </si>
  <si>
    <t>52.222.161.134</t>
  </si>
  <si>
    <t>60d61c1431a3c</t>
  </si>
  <si>
    <t>https://d194d5gloo3642.cloudfront.net/CHH9/?phone=+1-(888)-319-8112</t>
  </si>
  <si>
    <t>60d61b50cff69</t>
  </si>
  <si>
    <t>https://d194d5gloo3642.cloudfront.net/CHH9/?phone=+1-(888)-598-1483</t>
  </si>
  <si>
    <t>spot2mashup.club</t>
  </si>
  <si>
    <t>162.243.175.213</t>
  </si>
  <si>
    <t>60d61e8e178bd</t>
  </si>
  <si>
    <t>https://spot2mashup.club/MF783UFHBEUHFEFNERUFH-FH36FGHWEUHFWEIFWE-FJE8FGIFHEFYEHF9E8FU348UHERIUFER/XZXXXXchkdskdskchkdschghkjCHEDhterror111Codextt00000c</t>
  </si>
  <si>
    <t>52.222.161.140</t>
  </si>
  <si>
    <t>60d61bf60ac33</t>
  </si>
  <si>
    <t>https://d194d5gloo3642.cloudfront.net/CHH9/?phone=+1-(888)-273-2946</t>
  </si>
  <si>
    <t>60d61bc6b599b</t>
  </si>
  <si>
    <t>https://d194d5gloo3642.cloudfront.net/CHH9/?phone=+1-(888)-383-0545</t>
  </si>
  <si>
    <t>loving-almeida.165-232-190-148.plesk.page</t>
  </si>
  <si>
    <t>165.232.190.148</t>
  </si>
  <si>
    <t>60d61ea680484</t>
  </si>
  <si>
    <t>https://loving-almeida.165-232-190-148.plesk.page/WinFvjdjfhdjhfkdshfjkrCHVX/</t>
  </si>
  <si>
    <t>439applicative.ga</t>
  </si>
  <si>
    <t>104.21.1.174</t>
  </si>
  <si>
    <t>60d63441bd738</t>
  </si>
  <si>
    <t>https://439applicative.ga/0WinDhelpli0ne362894/W088In01MSi08880it0yCED00081188/index.html</t>
  </si>
  <si>
    <t>577cadcam.ga</t>
  </si>
  <si>
    <t>172.67.142.251</t>
  </si>
  <si>
    <t>60d637997ba9d</t>
  </si>
  <si>
    <t>https://577cadcam.ga/0WinDhelpli0ne091296/W088In01MSi08880it0yCH00081188/index.html</t>
  </si>
  <si>
    <t>vehiclerepair.site</t>
  </si>
  <si>
    <t>172.67.212.113</t>
  </si>
  <si>
    <t>60d651641c4ae</t>
  </si>
  <si>
    <t>https://vehiclerepair.site/codemasgss/MAfdfffdgfgfgdfgdfgf-188CtySS/</t>
  </si>
  <si>
    <t>60d651603c845</t>
  </si>
  <si>
    <t>https://vehiclerepair.site/codemasgss/FFfdfffdgfgfgdfgdfgfMPr88CtySS/</t>
  </si>
  <si>
    <t>60d6515c78702</t>
  </si>
  <si>
    <t>https://vehiclerepair.site/codemasgss/CHfdfffdgfgfgdfgdfgfMPr88CtySS/</t>
  </si>
  <si>
    <t>60d65158b814e</t>
  </si>
  <si>
    <t>https://vehiclerepair.site/codemasgss/EDfdfffdgfgfgdfgdfgfMPr88CtySS/</t>
  </si>
  <si>
    <t>60d6515515450</t>
  </si>
  <si>
    <t>https://vehiclerepair.site/codemasgss/CEDfdfffdgfgfgdfgdfgfMPr88CtySS/</t>
  </si>
  <si>
    <t>d3rc4r7c8t81k8.cloudfront.net</t>
  </si>
  <si>
    <t>52.222.161.159</t>
  </si>
  <si>
    <t>60d6b4f1436b2</t>
  </si>
  <si>
    <t>https://d3rc4r7c8t81k8.cloudfront.net/IEH88xx/?phone=+1-(888)-441-3255&amp;amp;__sid=1ebd5ccd-891c-6568-9855-ac1f6b95a853&amp;amp;ad_id=00063ba820d44f38f97d2a71</t>
  </si>
  <si>
    <t>capturebilling.online</t>
  </si>
  <si>
    <t>104.21.8.50</t>
  </si>
  <si>
    <t>60d753661864b</t>
  </si>
  <si>
    <t>https://capturebilling.online/codemasgss/FFfdfffdgfgfgdfgdfgfMPr88CtySS/</t>
  </si>
  <si>
    <t>60d7535ce28c3</t>
  </si>
  <si>
    <t>https://capturebilling.online/codemasgss/CEDfdfffdgfgfgdfgdfgfMPr88CtySS/</t>
  </si>
  <si>
    <t>60d753485d439</t>
  </si>
  <si>
    <t>https://capturebilling.online/codemasgss/MAfdfffdgfgfgdfgdfgf-188CtySS/</t>
  </si>
  <si>
    <t>60d7531992bec</t>
  </si>
  <si>
    <t>https://capturebilling.online/codemasgss/CHfdfffdgfgfgdfgdfgfMPr88CtySS/</t>
  </si>
  <si>
    <t>172.67.156.217</t>
  </si>
  <si>
    <t>60d75361f253a</t>
  </si>
  <si>
    <t>https://capturebilling.online/codemasgss/EDfdfffdgfgfgdfgdfgfMPr88CtySS/</t>
  </si>
  <si>
    <t>easyfixhome.website</t>
  </si>
  <si>
    <t>104.21.33.7</t>
  </si>
  <si>
    <t>60d75ea236d87</t>
  </si>
  <si>
    <t>https://easyfixhome.website/codemasgss/FFfdfffdgfgfgdfgdfgfMPr88CtySS/</t>
  </si>
  <si>
    <t>60d75e9a43960</t>
  </si>
  <si>
    <t>https://easyfixhome.website/codemasgss/EDfdfffdgfgfgdfgdfgfMPr88CtySS/</t>
  </si>
  <si>
    <t>60d75e95bfe50</t>
  </si>
  <si>
    <t>https://easyfixhome.website/codemasgss/CEDfdfffdgfgfgdfgdfgfMPr88CtySS/</t>
  </si>
  <si>
    <t>172.67.188.107</t>
  </si>
  <si>
    <t>60d75ea5e722f</t>
  </si>
  <si>
    <t>https://easyfixhome.website/codemasgss/MAfdfffdgfgfgdfgdfgf-188CtySS/</t>
  </si>
  <si>
    <t>60d75e9e7903f</t>
  </si>
  <si>
    <t>https://easyfixhome.website/codemasgss/CHfdfffdgfgfgdfgdfgfMPr88CtySS/</t>
  </si>
  <si>
    <t>snanl3.gq</t>
  </si>
  <si>
    <t>104.21.71.209</t>
  </si>
  <si>
    <t>60d75ef4c65c4</t>
  </si>
  <si>
    <t>https://snanl3.gq/t1-0644/Chromium/</t>
  </si>
  <si>
    <t>fantastichandyman.site</t>
  </si>
  <si>
    <t>104.21.50.97</t>
  </si>
  <si>
    <t>60d7648261cdf</t>
  </si>
  <si>
    <t>https://fantastichandyman.site/codemasgss/FFfdfffdgfgfgdfgdfgfMPr88CtySS/</t>
  </si>
  <si>
    <t>60d7647e3c07d</t>
  </si>
  <si>
    <t>https://fantastichandyman.site/codemasgss/CHfdfffdgfgfgdfgdfgfMPr88CtySS/</t>
  </si>
  <si>
    <t>60d76476054cf</t>
  </si>
  <si>
    <t>https://fantastichandyman.site/codemasgss/CEDfdfffdgfgfgdfgdfgfMPr88CtySS/</t>
  </si>
  <si>
    <t>172.67.159.240</t>
  </si>
  <si>
    <t>60d7648712e83</t>
  </si>
  <si>
    <t>https://fantastichandyman.site/codemasgss/MAfdfffdgfgfgdfgdfgf-188CtySS/</t>
  </si>
  <si>
    <t>60d7647a6db7b</t>
  </si>
  <si>
    <t>https://fantastichandyman.site/codemasgss/EDfdfffdgfgfgdfgdfgfMPr88CtySS/</t>
  </si>
  <si>
    <t>vigorous-robinson.159-89-160-68.plesk.page</t>
  </si>
  <si>
    <t>159.89.160.68</t>
  </si>
  <si>
    <t>60d774cdae16a</t>
  </si>
  <si>
    <t>https://vigorous-robinson.159-89-160-68.plesk.page/WinFvjdjfhdjhfkdshfjkrIEVX/</t>
  </si>
  <si>
    <t>dyhc4udy2gas3.cloudfront.net</t>
  </si>
  <si>
    <t>52.222.161.120</t>
  </si>
  <si>
    <t>60d7767cc7b53</t>
  </si>
  <si>
    <t>https://dyhc4udy2gas3.cloudfront.net/werrx01/?phone=+1-(888)-322-9593&amp;amp;sourceid=twindow&amp;amp;pub=219419.151_washimgtonpost.com</t>
  </si>
  <si>
    <t>d27w0duy63ltxx.cloudfront.net</t>
  </si>
  <si>
    <t>52.84.193.16</t>
  </si>
  <si>
    <t>60d77bfb7f850</t>
  </si>
  <si>
    <t>https://d27w0duy63ltxx.cloudfront.net/IEH88xx/?phone=+1-(888)-291-0257</t>
  </si>
  <si>
    <t>royfurniturehouse.site</t>
  </si>
  <si>
    <t>172.67.159.71</t>
  </si>
  <si>
    <t>60d784d87bcc5</t>
  </si>
  <si>
    <t>http://royfurniturehouse.site/codemasgss/MAfdfffdgfgfgdfgdfgf-188CtySS/</t>
  </si>
  <si>
    <t>60d784d3d7403</t>
  </si>
  <si>
    <t>http://royfurniturehouse.site/codemasgss/FFfdfffdgfgfgdfgdfgfMPr88CtySS/</t>
  </si>
  <si>
    <t>60d784cf4dd4c</t>
  </si>
  <si>
    <t>http://royfurniturehouse.site/codemasgss/CHfdfffdgfgfgdfgdfgfMPr88CtySS/</t>
  </si>
  <si>
    <t>60d784cab6112</t>
  </si>
  <si>
    <t>http://royfurniturehouse.site/codemasgss/EDfdfffdgfgfgdfgdfgfMPr88CtySS/</t>
  </si>
  <si>
    <t>60d7848c824c4</t>
  </si>
  <si>
    <t>http://royfurniturehouse.site/codemasgss/CEDfdfffdgfgfgdfgdfgfMPr88CtySS/</t>
  </si>
  <si>
    <t>willyhousework.site</t>
  </si>
  <si>
    <t>172.67.182.89</t>
  </si>
  <si>
    <t>60d7866abf92b</t>
  </si>
  <si>
    <t>https://willyhousework.site/codemasgss/EDfdfffdgfgfgdfgdfgfMPr88CtySS/</t>
  </si>
  <si>
    <t>60d7866674bc4</t>
  </si>
  <si>
    <t>https://willyhousework.site/codemasgss/CHfdfffdgfgfgdfgdfgfMPr88CtySS/</t>
  </si>
  <si>
    <t>104.21.32.27</t>
  </si>
  <si>
    <t>60d7867655858</t>
  </si>
  <si>
    <t>https://willyhousework.site/codemasgss/MAfdfffdgfgfgdfgdfgf-188CtySS/</t>
  </si>
  <si>
    <t>60d7867190696</t>
  </si>
  <si>
    <t>https://willyhousework.site/codemasgss/FFfdfffdgfgfgdfgdfgfMPr88CtySS/</t>
  </si>
  <si>
    <t>tomhousework.site</t>
  </si>
  <si>
    <t>172.67.212.59</t>
  </si>
  <si>
    <t>60d79371c577f</t>
  </si>
  <si>
    <t>https://tomhousework.site/codemasgss/MAfdfffdgfgfgdfgdfgf-188CtySS/</t>
  </si>
  <si>
    <t>60d79369b7a3b</t>
  </si>
  <si>
    <t>https://tomhousework.site/codemasgss/CHfdfffdgfgfgdfgdfgfMPr88CtySS/</t>
  </si>
  <si>
    <t>60d79361ac3a4</t>
  </si>
  <si>
    <t>https://tomhousework.site/codemasgss/CEDfdfffdgfgfgdfgdfgfMPr88CtySS/</t>
  </si>
  <si>
    <t>104.21.53.113</t>
  </si>
  <si>
    <t>60d7936db8403</t>
  </si>
  <si>
    <t>https://tomhousework.site/codemasgss/FFfdfffdgfgfgdfgdfgfMPr88CtySS/</t>
  </si>
  <si>
    <t>60d79365b8d45</t>
  </si>
  <si>
    <t>https://tomhousework.site/codemasgss/EDfdfffdgfgfgdfgdfgfMPr88CtySS/</t>
  </si>
  <si>
    <t>furnitureservices.site</t>
  </si>
  <si>
    <t>172.67.198.190</t>
  </si>
  <si>
    <t>60d796c6416f9</t>
  </si>
  <si>
    <t>https://furnitureservices.site/codemasgss/FFfdfffdgfgfgdfgdfgfMPr88CtySS/</t>
  </si>
  <si>
    <t>60d796c293eac</t>
  </si>
  <si>
    <t>https://furnitureservices.site/codemasgss/CHfdfffdgfgfgdfgdfgfMPr88CtySS/</t>
  </si>
  <si>
    <t>60d796bf58476</t>
  </si>
  <si>
    <t>https://furnitureservices.site/codemasgss/EDfdfffdgfgfgdfgdfgfMPr88CtySS/</t>
  </si>
  <si>
    <t>60d796bb8661a</t>
  </si>
  <si>
    <t>https://furnitureservices.site/codemasgss/CEDfdfffdgfgfgdfgdfgfMPr88CtySS/</t>
  </si>
  <si>
    <t>104.21.44.109</t>
  </si>
  <si>
    <t>60d796ca377ed</t>
  </si>
  <si>
    <t>https://furnitureservices.site/codemasgss/MAfdfffdgfgfgdfgdfgf-188CtySS/</t>
  </si>
  <si>
    <t>ahmfurniture.website</t>
  </si>
  <si>
    <t>104.21.8.152</t>
  </si>
  <si>
    <t>60d7998b8b986</t>
  </si>
  <si>
    <t>https://ahmfurniture.website/codemasgss/EDfdfffdgfgfgdfgdfgfMPr88CtySS/</t>
  </si>
  <si>
    <t>60d7998762ffb</t>
  </si>
  <si>
    <t>https://ahmfurniture.website/codemasgss/CEDfdfffdgfgfgdfgdfgfMPr88CtySS/</t>
  </si>
  <si>
    <t>172.67.139.170</t>
  </si>
  <si>
    <t>60d799984df00</t>
  </si>
  <si>
    <t>https://ahmfurniture.website/codemasgss/MAfdfffdgfgfgdfgdfgf-188CtySS/</t>
  </si>
  <si>
    <t>60d79993a6269</t>
  </si>
  <si>
    <t>https://ahmfurniture.website/codemasgss/FFfdfffdgfgfgdfgdfgfMPr88CtySS/</t>
  </si>
  <si>
    <t>60d7998fc0701</t>
  </si>
  <si>
    <t>https://ahmfurniture.website/codemasgss/CHfdfffdgfgfgdfgdfgfMPr88CtySS/</t>
  </si>
  <si>
    <t>homeserve.site</t>
  </si>
  <si>
    <t>104.21.8.117</t>
  </si>
  <si>
    <t>60d7a25f57b2e</t>
  </si>
  <si>
    <t>https://homeserve.site/codemasgss/MAfdfffdgfgfgdfgdfgf-188CtySS/</t>
  </si>
  <si>
    <t>60d7a25700903</t>
  </si>
  <si>
    <t>https://homeserve.site/codemasgss/CHfdfffdgfgfgdfgdfgfMPr88CtySS/</t>
  </si>
  <si>
    <t>60d7a252c888c</t>
  </si>
  <si>
    <t>https://homeserve.site/codemasgss/EDfdfffdgfgfgdfgdfgfMPr88CtySS/</t>
  </si>
  <si>
    <t>60d7a24ebaad9</t>
  </si>
  <si>
    <t>https://homeserve.site/codemasgss/CEDfdfffdgfgfgdfgdfgfMPr88CtySS/</t>
  </si>
  <si>
    <t>172.67.130.112</t>
  </si>
  <si>
    <t>60d7a25aa839a</t>
  </si>
  <si>
    <t>https://homeserve.site/codemasgss/FFfdfffdgfgfgdfgdfgfMPr88CtySS/</t>
  </si>
  <si>
    <t>ecstatic-joliot.104-238-176-192.plesk.page</t>
  </si>
  <si>
    <t>104.238.176.192</t>
  </si>
  <si>
    <t>60e2cc32eb668</t>
  </si>
  <si>
    <t>https://ecstatic-joliot.104-238-176-192.plesk.page/CHdfANfdgfgfgdfgdfgf0008/</t>
  </si>
  <si>
    <t>amazing-mayer.104-238-176-192.plesk.page</t>
  </si>
  <si>
    <t>60def47ec95c9</t>
  </si>
  <si>
    <t>https://amazing-mayer.104-238-176-192.plesk.page/CHdfANfdgfgfgdfgdfgf0008/</t>
  </si>
  <si>
    <t>crazy-bardeen.104-238-176-192.plesk.page</t>
  </si>
  <si>
    <t>60dc2d3e50da5</t>
  </si>
  <si>
    <t>https://crazy-bardeen.104-238-176-192.plesk.page/CHdfANfdgfgfgdfgdfgf0008/</t>
  </si>
  <si>
    <t>sharp-colden.104-238-176-192.plesk.page</t>
  </si>
  <si>
    <t>60d9ae4728b07</t>
  </si>
  <si>
    <t>https://sharp-colden.104-238-176-192.plesk.page/CHdfANfdgfgfgdfgdfgf0008/</t>
  </si>
  <si>
    <t>d2vkpyllnhcdj4.cloudfront.net</t>
  </si>
  <si>
    <t>52.84.193.195</t>
  </si>
  <si>
    <t>60d7adba01296</t>
  </si>
  <si>
    <t>https://d2vkpyllnhcdj4.cloudfront.net/werrx01/?phone=+1-(888)-373-6215</t>
  </si>
  <si>
    <t>d1rqsmbvo6ok29.cloudfront.net</t>
  </si>
  <si>
    <t>52.222.161.24</t>
  </si>
  <si>
    <t>60d7b1cb22c9e</t>
  </si>
  <si>
    <t>https://d1rqsmbvo6ok29.cloudfront.net/merrx01/?phone=+1-(866)-476-3081&amp;amp;t1=4Igf53vmBd0&amp;amp;t2=225955.viid.me</t>
  </si>
  <si>
    <t>royalfurniture.site</t>
  </si>
  <si>
    <t>104.21.46.75</t>
  </si>
  <si>
    <t>60d7c76102714</t>
  </si>
  <si>
    <t>https://royalfurniture.site/codemasgss/CHfdfffdgfgfgdfgdfgfMPr88CtySS/</t>
  </si>
  <si>
    <t>60d7c7590a123</t>
  </si>
  <si>
    <t>https://royalfurniture.site/codemasgss/CEDfdfffdgfgfgdfgdfgfMPr88CtySS/</t>
  </si>
  <si>
    <t>172.67.136.103</t>
  </si>
  <si>
    <t>60d7c7690d4e8</t>
  </si>
  <si>
    <t>https://royalfurniture.site/codemasgss/MAfdfffdgfgfgdfgdfgf-188CtySS/</t>
  </si>
  <si>
    <t>60d7c76546fdf</t>
  </si>
  <si>
    <t>https://royalfurniture.site/codemasgss/FFfdfffdgfgfgdfgdfgfMPr88CtySS/</t>
  </si>
  <si>
    <t>60d7c75d419e2</t>
  </si>
  <si>
    <t>https://royalfurniture.site/codemasgss/EDfdfffdgfgfgdfgdfgfMPr88CtySS/</t>
  </si>
  <si>
    <t>0doproejre245.ml</t>
  </si>
  <si>
    <t>172.67.143.113</t>
  </si>
  <si>
    <t>60da245428017</t>
  </si>
  <si>
    <t>https://0doproejre245.ml/0WinDhelpli0ne413216x/</t>
  </si>
  <si>
    <t>392aoreiofk.ml</t>
  </si>
  <si>
    <t>104.21.61.109</t>
  </si>
  <si>
    <t>60db5130caada</t>
  </si>
  <si>
    <t>https://392aoreiofk.ml/ds-2258f0sdf-sd0fds-sd-1484.jjnby/W088MSi08880Moit0yCED0008Mhi11D1/index.html</t>
  </si>
  <si>
    <t>d1wlsalfzrpnzs.cloudfront.net</t>
  </si>
  <si>
    <t>143.204.226.217</t>
  </si>
  <si>
    <t>60da249c8faa8</t>
  </si>
  <si>
    <t>https://d1wlsalfzrpnzs.cloudfront.net/werrx01/?phone=+1-(888)-253-1587&amp;amp;sourceid=twindow&amp;amp;pub=95356.240934_10434705</t>
  </si>
  <si>
    <t>d1hmlb9x38un11.cloudfront.net</t>
  </si>
  <si>
    <t>143.204.226.3</t>
  </si>
  <si>
    <t>60db530bc3030</t>
  </si>
  <si>
    <t>https://d1hmlb9x38un11.cloudfront.net/werrx01/?phone=+1-(888)-599-0379</t>
  </si>
  <si>
    <t>pornodr.club</t>
  </si>
  <si>
    <t>68.183.139.224</t>
  </si>
  <si>
    <t>60d9f3402150d</t>
  </si>
  <si>
    <t>https://pornodr.club/VFJ9RYH3RWEHIUWEHRIUEHW-DN83RGWEFGWEHHWERW-FJ3E8FGWEIWEHFWEHFWEKFW/XZXXXXchkdskdskchkdschghkjCHEDhterror111Codextt00000cfd/</t>
  </si>
  <si>
    <t>d3r75h5ocdbxfg.cloudfront.net</t>
  </si>
  <si>
    <t>143.204.226.178</t>
  </si>
  <si>
    <t>60db6697e940a</t>
  </si>
  <si>
    <t>https://d3r75h5ocdbxfg.cloudfront.net/IEH88xx/?phone=+1-(888)-525-0749&amp;amp;__sid=1ebd5cc5-1807-674a-a80d-ac1f6b95a853&amp;amp;ad_id=00f062d09f3b4eef672ba96f</t>
  </si>
  <si>
    <t>flawbase.gq</t>
  </si>
  <si>
    <t>139.59.189.199</t>
  </si>
  <si>
    <t>60db72994b192</t>
  </si>
  <si>
    <t>https://flawbase.gq/jhdgsy/W088MSi08880Moit0yCED0008Mhi11D1/index.html?source_id=8077c0296a99e5ebe2a604982bd613df&amp;amp;key=outine%2Coutline%2Coutline%2Bf</t>
  </si>
  <si>
    <t>desktoperrorissueonlineservice.xyz</t>
  </si>
  <si>
    <t>162.213.251.216</t>
  </si>
  <si>
    <t>60e35c2897fd5</t>
  </si>
  <si>
    <t>https://desktoperrorissueonlineservice.xyz/W8YYn0Ma0S7cIMau0r0it0yCH0080/</t>
  </si>
  <si>
    <t>pcerrfindonline.cyou</t>
  </si>
  <si>
    <t>60de77d84c9d8</t>
  </si>
  <si>
    <t>https://pcerrfindonline.cyou/W8YYn0Ma0S7cIMau0r0it0yCH0080/</t>
  </si>
  <si>
    <t>onlinehelpforyourpc.cyou</t>
  </si>
  <si>
    <t>60dbd3c50886a</t>
  </si>
  <si>
    <t>https://onlinehelpforyourpc.cyou/W8YYn0Ma0S7cIMau0r0it0yCH0080/</t>
  </si>
  <si>
    <t>handyhouse.website</t>
  </si>
  <si>
    <t>172.67.133.141</t>
  </si>
  <si>
    <t>60da0555e081b</t>
  </si>
  <si>
    <t>https://handyhouse.website/codemasgss/CEDfdfffdgfgfgdfgdfgfMPr88CtySS/</t>
  </si>
  <si>
    <t>104.21.13.248</t>
  </si>
  <si>
    <t>60da0567b6f0a</t>
  </si>
  <si>
    <t>https://handyhouse.website/codemasgss/MAfdfffdgfgfgdfgdfgf-188CtySS/</t>
  </si>
  <si>
    <t>60da05631053a</t>
  </si>
  <si>
    <t>https://handyhouse.website/codemasgss/FFfdfffdgfgfgdfgdfgfMPr88CtySS/</t>
  </si>
  <si>
    <t>60da055e277c5</t>
  </si>
  <si>
    <t>https://handyhouse.website/codemasgss/CHfdfffdgfgfgdfgdfgfMPr88CtySS/</t>
  </si>
  <si>
    <t>60da0559eb5f1</t>
  </si>
  <si>
    <t>https://handyhouse.website/codemasgss/EDfdfffdgfgfgdfgdfgfMPr88CtySS/</t>
  </si>
  <si>
    <t>affectionate-chandrasekhar.165-232-188-130.plesk.page</t>
  </si>
  <si>
    <t>165.232.188.130</t>
  </si>
  <si>
    <t>60da08c631b9e</t>
  </si>
  <si>
    <t>https://affectionate-chandrasekhar.165-232-188-130.plesk.page/WinFvjdjfhdjhfkdshfjkrCHVX/</t>
  </si>
  <si>
    <t>d1n6pt80pf6vp9.cloudfront.net</t>
  </si>
  <si>
    <t>13.225.29.133</t>
  </si>
  <si>
    <t>60da08d5e8416</t>
  </si>
  <si>
    <t>https://d1n6pt80pf6vp9.cloudfront.net/werrx01/?phone=+1-(888)-393-4019</t>
  </si>
  <si>
    <t>13.225.29.147</t>
  </si>
  <si>
    <t>60da0a00d06c3</t>
  </si>
  <si>
    <t>https://d1n6pt80pf6vp9.cloudfront.net/werrx01/?phone=+1-(888)-352-3910</t>
  </si>
  <si>
    <t>dact009nt7ht67gf45gfr78ij8987.azurewebsites.net</t>
  </si>
  <si>
    <t>20.40.202.10</t>
  </si>
  <si>
    <t>60db3e73d891f</t>
  </si>
  <si>
    <t>https://dact009nt7ht67gf45gfr78ij8987.azurewebsites.net/WWW800MSI85CH00MGIT999TTI0/index.html</t>
  </si>
  <si>
    <t>3mfh76h.club</t>
  </si>
  <si>
    <t>199.188.201.134</t>
  </si>
  <si>
    <t>60da0bf2ad940</t>
  </si>
  <si>
    <t>https://3mfh76h.club/DT0280601G/Main/RCH/</t>
  </si>
  <si>
    <t>0haptics942.ga</t>
  </si>
  <si>
    <t>104.21.35.236</t>
  </si>
  <si>
    <t>60da0d719bed3</t>
  </si>
  <si>
    <t>https://0haptics942.ga/ds-2258f0sdf-sd0fds-sd-1489.jjnby/W088MSi08880Moit0yCED0008Mhi11D1/index.html</t>
  </si>
  <si>
    <t>d1fosm17qztmbp.cloudfront.net</t>
  </si>
  <si>
    <t>143.204.226.125</t>
  </si>
  <si>
    <t>60db7c279e2f5</t>
  </si>
  <si>
    <t>https://d1fosm17qztmbp.cloudfront.net/werrx01/?phone=+1-(888)-655-2592&amp;amp;sourceid=twindow&amp;amp;pub=276487.285229_</t>
  </si>
  <si>
    <t>inspiring-mendeleev.165-22-220-252.plesk.page</t>
  </si>
  <si>
    <t>165.22.220.252</t>
  </si>
  <si>
    <t>60db7cffb3cd8</t>
  </si>
  <si>
    <t>https://inspiring-mendeleev.165-22-220-252.plesk.page/WinFvjdjfhdjhfkdshfjkrIEVX/</t>
  </si>
  <si>
    <t>ddts7ceqlh84l.cloudfront.net</t>
  </si>
  <si>
    <t>13.225.29.33</t>
  </si>
  <si>
    <t>60dba2c791f6f</t>
  </si>
  <si>
    <t>https://ddts7ceqlh84l.cloudfront.net/werrx01/?phone=+1-(888)-308-5169&amp;amp;sourceid=twindow&amp;amp;pub=276487.285229_</t>
  </si>
  <si>
    <t>944brpeoigbr.ml</t>
  </si>
  <si>
    <t>104.21.61.228</t>
  </si>
  <si>
    <t>60db8193ebcb8</t>
  </si>
  <si>
    <t>https://944brpeoigbr.ml/ds-2258f0sdf-sd0fds-sd-1489.jjnby/W088MSi08880Moit0yCED0008Mhi11D1/index.html</t>
  </si>
  <si>
    <t>dyofgvs5jskqq.cloudfront.net</t>
  </si>
  <si>
    <t>143.204.226.63</t>
  </si>
  <si>
    <t>60db8586686ea</t>
  </si>
  <si>
    <t>https://dyofgvs5jskqq.cloudfront.net/werrx01/?phone=+1-(888)-598-1482&amp;amp;s1=adult_popunders&amp;amp;s2=177543.192738_</t>
  </si>
  <si>
    <t>143.204.226.191</t>
  </si>
  <si>
    <t>60db9018bf379</t>
  </si>
  <si>
    <t>https://d1fosm17qztmbp.cloudfront.net/werrx01/?phone=+1-(888)-598-1482&amp;amp;s1=adult_popunders&amp;amp;s2=174086.153660</t>
  </si>
  <si>
    <t>yyvgcxfyyiiuk.ml</t>
  </si>
  <si>
    <t>143.198.127.188</t>
  </si>
  <si>
    <t>60db9c480e2ac</t>
  </si>
  <si>
    <t>https://yyvgcxfyyiiuk.ml/W088MSi08880Mit0yCH0008Mhi11/index.html</t>
  </si>
  <si>
    <t>d1qy1ef7sunr6z.cloudfront.net</t>
  </si>
  <si>
    <t>52.84.193.196</t>
  </si>
  <si>
    <t>60dc95d9e4444</t>
  </si>
  <si>
    <t>https://d1qy1ef7sunr6z.cloudfront.net/CHH9/?phone=+1-(888)-441-3266&amp;amp;rb=JS0c365ae4654f4a53b090c9e06005ba03&amp;amp;t1=%5Bpublisher_id%5D&amp;amp;t2=%5Bpublis</t>
  </si>
  <si>
    <t>condescending-newton.199-247-4-35.plesk.page</t>
  </si>
  <si>
    <t>199.247.4.35</t>
  </si>
  <si>
    <t>60dc79c65b8b5</t>
  </si>
  <si>
    <t>https://condescending-newton.199-247-4-35.plesk.page/erMACdexcat10err0089/</t>
  </si>
  <si>
    <t>033lropraafj.ml</t>
  </si>
  <si>
    <t>104.21.47.86</t>
  </si>
  <si>
    <t>60dc7fed07b24</t>
  </si>
  <si>
    <t>https://033lropraafj.ml/0WinDhelpli0ne120527x/</t>
  </si>
  <si>
    <t>d3q7blhwgcbzxd.cloudfront.net</t>
  </si>
  <si>
    <t>52.84.193.198</t>
  </si>
  <si>
    <t>60dc995b1e284</t>
  </si>
  <si>
    <t>https://d3q7blhwgcbzxd.cloudfront.net/werrx01/?phone=+1-(888)-374-1889</t>
  </si>
  <si>
    <t>stupefied-jepsen.139-59-18-10.plesk.page</t>
  </si>
  <si>
    <t>139.59.18.10</t>
  </si>
  <si>
    <t>60dc9e7d3113b</t>
  </si>
  <si>
    <t>https://stupefied-jepsen.139-59-18-10.plesk.page/WinFvjdjfhdjhfkdshfjkrCHVX/</t>
  </si>
  <si>
    <t>d17z7msyoypac8.cloudfront.net</t>
  </si>
  <si>
    <t>52.84.193.136</t>
  </si>
  <si>
    <t>60dcba05f2c03</t>
  </si>
  <si>
    <t>https://d17z7msyoypac8.cloudfront.net/werrx01/?phone=+1-(888)-353-3186&amp;amp;utm_source=adsterra&amp;amp;utm_medium=207532.25350037</t>
  </si>
  <si>
    <t>60dcb91a4199e</t>
  </si>
  <si>
    <t>https://d17z7msyoypac8.cloudfront.net/werrx01/?phone=+1-(888)-209-0424&amp;amp;sourceid=twindow&amp;amp;pub=265454.02d423bb8174c28fed8ee3a88</t>
  </si>
  <si>
    <t>683nodeing.ml</t>
  </si>
  <si>
    <t>172.67.135.176</t>
  </si>
  <si>
    <t>60dcbe8a749a0</t>
  </si>
  <si>
    <t>https://683nodeing.ml/ds-2258f0sdf-sd0fds-sd-1484.jjnby/W088MSi08880Moit0yCED0008Mhi11D1/index.html</t>
  </si>
  <si>
    <t>942lapheld.ga</t>
  </si>
  <si>
    <t>104.21.13.81</t>
  </si>
  <si>
    <t>60dcc19011c80</t>
  </si>
  <si>
    <t>https://942lapheld.ga/Win-E-22Oc0_3529_IEDGE08279-1.hhlyf881/PVkfsdbfMSdCHhfj1188/</t>
  </si>
  <si>
    <t>ikjjtyyuimjk.ga</t>
  </si>
  <si>
    <t>147.182.139.39</t>
  </si>
  <si>
    <t>60dcdced0ef1a</t>
  </si>
  <si>
    <t>https://ikjjtyyuimjk.ga/W088MSi08880Mit0yCH0008Mhi11/index.html</t>
  </si>
  <si>
    <t>267fryavcbgh.ml</t>
  </si>
  <si>
    <t>172.67.170.235</t>
  </si>
  <si>
    <t>60ddc4706b5e6</t>
  </si>
  <si>
    <t>https://267fryavcbgh.ml/0WinDhelpli0ne192226x/</t>
  </si>
  <si>
    <t>dx30p1v7tv4a4.cloudfront.net</t>
  </si>
  <si>
    <t>13.225.29.117</t>
  </si>
  <si>
    <t>60ddecec92004</t>
  </si>
  <si>
    <t>https://dx30p1v7tv4a4.cloudfront.net/werrx01/?phone=+1-(888)-339-9575&amp;amp;sourceid=twindow&amp;amp;pub=133608.575834751-gooyle.com</t>
  </si>
  <si>
    <t>fn-crm.xyz</t>
  </si>
  <si>
    <t>178.62.45.47</t>
  </si>
  <si>
    <t>60ddf4ef21849</t>
  </si>
  <si>
    <t>https://fn-crm.xyz/dshbjhs/W088MSi08880Moit0yCED0008Mhi11D1/index.html</t>
  </si>
  <si>
    <t>059nreoagjr.ml</t>
  </si>
  <si>
    <t>172.67.216.67</t>
  </si>
  <si>
    <t>60de1935c0142</t>
  </si>
  <si>
    <t>https://059nreoagjr.ml/0WinDhelpli0ne451969x/</t>
  </si>
  <si>
    <t>0nesting942.ga</t>
  </si>
  <si>
    <t>172.67.141.246</t>
  </si>
  <si>
    <t>60de20e60ab56</t>
  </si>
  <si>
    <t>https://0nesting942.ga/0WinDhelpli0ne210755x/</t>
  </si>
  <si>
    <t>042gletieoap.ml</t>
  </si>
  <si>
    <t>104.21.38.240</t>
  </si>
  <si>
    <t>60de317c8319e</t>
  </si>
  <si>
    <t>https://042gletieoap.ml/0WinDhelpli0ne201378x/</t>
  </si>
  <si>
    <t>vibrant-leakey.159-65-157-199.plesk.page</t>
  </si>
  <si>
    <t>159.65.157.199</t>
  </si>
  <si>
    <t>60df3c053c4f0</t>
  </si>
  <si>
    <t>https://vibrant-leakey.159-65-157-199.plesk.page/WinFvjdjfhdjhfkdshfjkrCHVX/</t>
  </si>
  <si>
    <t>slv-chrm.xyz</t>
  </si>
  <si>
    <t>178.62.20.49</t>
  </si>
  <si>
    <t>60df3c2133cd9</t>
  </si>
  <si>
    <t>https://slv-chrm.xyz/sansb/W088MSi08880Moit0yCED0008Mhi11D1/index.html?source_id=236836.ygmail.com&amp;amp;key=*</t>
  </si>
  <si>
    <t>d1bxuiuj4wqv7b.cloudfront.net</t>
  </si>
  <si>
    <t>52.222.161.5</t>
  </si>
  <si>
    <t>60df3c30339ed</t>
  </si>
  <si>
    <t>https://d1bxuiuj4wqv7b.cloudfront.net/werrx01/?phone=+1-(888)-307-4671</t>
  </si>
  <si>
    <t>52.222.161.157</t>
  </si>
  <si>
    <t>60df411dcd680</t>
  </si>
  <si>
    <t>https://d1bxuiuj4wqv7b.cloudfront.net/werrx01/?phone=+1-(888)-637-0695&amp;amp;click=gP8KsDmijlc&amp;amp;sclick=189544.8604980</t>
  </si>
  <si>
    <t>resv-chrm.xyz</t>
  </si>
  <si>
    <t>159.65.94.184</t>
  </si>
  <si>
    <t>60df440cf1cc7</t>
  </si>
  <si>
    <t>https://resv-chrm.xyz/bssjs/W088MSi08880Moit0yCED0008Mhi11D1/index.html?source_id=236836.ygmail.com&amp;amp;key=*</t>
  </si>
  <si>
    <t>942crieoafjgr.ml</t>
  </si>
  <si>
    <t>104.21.77.206</t>
  </si>
  <si>
    <t>60df4793344f2</t>
  </si>
  <si>
    <t>https://942crieoafjgr.ml/ds-1761-f0sdf-sd0fds-sd.jjnby/W088MSi08880Moit0yCED0008Mhi11D1/index.html</t>
  </si>
  <si>
    <t>139.162.186.215</t>
  </si>
  <si>
    <t>60df4edbe7845</t>
  </si>
  <si>
    <t>http://139.162.186.215/Multi-tasking-Range-error-surprus-locks-section-keys-Update-in/CEDssdf8sArj8df8sd8fy88DE/</t>
  </si>
  <si>
    <t>172.105.110.57</t>
  </si>
  <si>
    <t>60df4f70af790</t>
  </si>
  <si>
    <t>http://172.105.110.57/Help-desk-taking-enverge-local-support-Tremp-trijanic-local-support/CEDssdf8sArj8df8sd8fy88DE/</t>
  </si>
  <si>
    <t>149.248.53.38</t>
  </si>
  <si>
    <t>60df5100c4a20</t>
  </si>
  <si>
    <t>http://149.248.53.38/Tremp-trijanic-local-supportt-Define-round1-enable-error-dislocks/CEDssdf8sArj8df8sd8fy88DE/</t>
  </si>
  <si>
    <t>45.63.100.98</t>
  </si>
  <si>
    <t>60df52097508e</t>
  </si>
  <si>
    <t>http://45.63.100.98/para-ingenico-reserve-linxx-updated-Inform-security-win777-hlp555-troja/CEDssdf8sArj8df8sd8fy88DE/</t>
  </si>
  <si>
    <t>66.175.211.162</t>
  </si>
  <si>
    <t>60df54085c875</t>
  </si>
  <si>
    <t>http://66.175.211.162/New-help-status-update-frantic-Tremp-trijanic-local-support/CEDssdf8sArj8df8sd8fy88DE/</t>
  </si>
  <si>
    <t>45.76.84.216</t>
  </si>
  <si>
    <t>60df56a04dbd0</t>
  </si>
  <si>
    <t>http://45.76.84.216/FFragment-altiona-detrute-local-viruses-Social-object-clean-error-part/CEDssdf8sArj8df8sd8fy88DE/</t>
  </si>
  <si>
    <t>172.104.227.63</t>
  </si>
  <si>
    <t>60df5cd476e5f</t>
  </si>
  <si>
    <t>http://172.104.227.63/Develop-nowshing-error-gibbons-Multi-tasking-Range-error-surprus-lock/CEDssdf8sArj8df8sd8fy88DE/</t>
  </si>
  <si>
    <t>45.77.110.133</t>
  </si>
  <si>
    <t>60df65b515442</t>
  </si>
  <si>
    <t>http://45.77.110.133/High-level-nitron0-detox-Graton-nimanto-laving-empresso-parto/CEDssdf8sArj8df8sd8fy88DE/</t>
  </si>
  <si>
    <t>149.28.206.136</t>
  </si>
  <si>
    <t>60df66ca16224</t>
  </si>
  <si>
    <t>http://149.28.206.136/List-offer-error-perticular88-Frozen-impulse-tttt-Record-damage-instance/CEDssdf8sArj8df8sd8fy88DE/</t>
  </si>
  <si>
    <t>clever-shaw.139-59-3-58.plesk.page</t>
  </si>
  <si>
    <t>139.59.3.58</t>
  </si>
  <si>
    <t>60df682864492</t>
  </si>
  <si>
    <t>https://clever-shaw.139-59-3-58.plesk.page/WinFvjdjfhdjhfkdshfjkrIEVX/</t>
  </si>
  <si>
    <t>78.141.207.171</t>
  </si>
  <si>
    <t>60df6a7164624</t>
  </si>
  <si>
    <t>http://78.141.207.171/Fellon-exact-trojan-error-finish-capable-Reject-error-prob-lammming/CEDssdf8sArj8df8sd8fy88DE/</t>
  </si>
  <si>
    <t>402orkklagir.ml</t>
  </si>
  <si>
    <t>172.67.172.8</t>
  </si>
  <si>
    <t>60df72143f4af</t>
  </si>
  <si>
    <t>https://402orkklagir.ml/0WinDhelpli0ne131107x/</t>
  </si>
  <si>
    <t>108.61.179.45</t>
  </si>
  <si>
    <t>60df763d518f6</t>
  </si>
  <si>
    <t>http://108.61.179.45/Fragenic-expert-manis-tribunal-Recover-your-data-analysis-exper/CEDssdf8sArj8df8sd8fy88DE/</t>
  </si>
  <si>
    <t>104.237.130.232</t>
  </si>
  <si>
    <t>60df7bdd2029f</t>
  </si>
  <si>
    <t>http://104.237.130.232/Applicabl-mount-ponting-plus-Sandsom-singnificant-rogrigose-update/CEDssdf8sArj8df8sd8fy88DE/</t>
  </si>
  <si>
    <t>fix-egc.xyz</t>
  </si>
  <si>
    <t>178.62.44.32</t>
  </si>
  <si>
    <t>60df87f2242ec</t>
  </si>
  <si>
    <t>https://fix-egc.xyz/msndds/W088MSi08880Moit0yCED0008Mhi11D1/index.html</t>
  </si>
  <si>
    <t>78.141.224.128</t>
  </si>
  <si>
    <t>60df90d63d349</t>
  </si>
  <si>
    <t>http://78.141.224.128/Electronic-devices-sees-trocjks-Parallel-space-damageer-Prefet/CEDssdf8sArj8df8sd8fy88DE/</t>
  </si>
  <si>
    <t>74.207.241.59</t>
  </si>
  <si>
    <t>60df94a34e393</t>
  </si>
  <si>
    <t>http://74.207.241.59/Exotica-round-error-clear-form-shades-Reflect-trojan-hans-lapping-Tro/CEDssdf8sArj8df8sd8fy88DE/</t>
  </si>
  <si>
    <t>45.76.37.130</t>
  </si>
  <si>
    <t>60df970e9f677</t>
  </si>
  <si>
    <t>http://45.76.37.130/Mark-jennings-0expertize-level54-Fright-andemned-live-status-upcoming/CEDssdf8sArj8df8sd8fy88DE/</t>
  </si>
  <si>
    <t>d190fd020w8h0x.cloudfront.net</t>
  </si>
  <si>
    <t>52.222.161.102</t>
  </si>
  <si>
    <t>60e34f5e9dbf6</t>
  </si>
  <si>
    <t>https://d190fd020w8h0x.cloudfront.net/werrx01/?phone=+1-(888)-357-8966&amp;amp;sourceid=twindow&amp;amp;pub=95356.240934_24053</t>
  </si>
  <si>
    <t>dy2u1i50mhmt3.cloudfront.net</t>
  </si>
  <si>
    <t>54.230.9.150</t>
  </si>
  <si>
    <t>60e2de2b45a8b</t>
  </si>
  <si>
    <t>https://dy2u1i50mhmt3.cloudfront.net/CHCHCHITxx/?phone=+39-02-3601-7992&amp;amp;</t>
  </si>
  <si>
    <t>303ropeaogg.ml</t>
  </si>
  <si>
    <t>104.21.39.33</t>
  </si>
  <si>
    <t>60e3210c8053b</t>
  </si>
  <si>
    <t>https://303ropeaogg.ml/0WinDhelpli0ne451973x/</t>
  </si>
  <si>
    <t>592oprpafajr.ml</t>
  </si>
  <si>
    <t>172.67.134.68</t>
  </si>
  <si>
    <t>60e0b03318620</t>
  </si>
  <si>
    <t>https://592oprpafajr.ml/ds-2258f0sdf-sd0fds-sd-1484.jjnby/W088MSi08880Mit0yCH0008Mhi11D1/index.html</t>
  </si>
  <si>
    <t>nmjhurdf.tk</t>
  </si>
  <si>
    <t>143.198.134.47</t>
  </si>
  <si>
    <t>60e0de2d2d693</t>
  </si>
  <si>
    <t>https://nmjhurdf.tk/LLP-6789/YHNJyutgoihlss75s78iyjhkgCH88/index.php</t>
  </si>
  <si>
    <t>544greyed.ga</t>
  </si>
  <si>
    <t>172.67.187.31</t>
  </si>
  <si>
    <t>60e22428558da</t>
  </si>
  <si>
    <t>https://544greyed.ga/0WinDhelpli0ne750758x/</t>
  </si>
  <si>
    <t>d2qvzb7gc3akm9.cloudfront.net</t>
  </si>
  <si>
    <t>52.84.193.197</t>
  </si>
  <si>
    <t>60e385c49ae85</t>
  </si>
  <si>
    <t>https://d2qvzb7gc3akm9.cloudfront.net/werrx01/?phone=+1-(888)-436-8178&amp;amp;sourceid=twindow&amp;amp;pub=265454.02d423bb8174c28fed8ee3a88</t>
  </si>
  <si>
    <t>tiptopodesa.com</t>
  </si>
  <si>
    <t>104.21.24.13</t>
  </si>
  <si>
    <t>60e38751b181a</t>
  </si>
  <si>
    <t>https://tiptopodesa.com/?source_id=s396_D0123GZ39V&amp;amp;campaign_id=668138&amp;amp;country=US&amp;amp;browser=Chrome</t>
  </si>
  <si>
    <t>942greyed.ga</t>
  </si>
  <si>
    <t>104.21.50.235</t>
  </si>
  <si>
    <t>60e4a983da5cc</t>
  </si>
  <si>
    <t>https://942greyed.ga/0WinDhelpli0ne582250x/</t>
  </si>
  <si>
    <t>31aurayhjg.azurewebsites.net</t>
  </si>
  <si>
    <t>191.235.228.35</t>
  </si>
  <si>
    <t>60e4c470a50ab</t>
  </si>
  <si>
    <t>https://31aurayhjg.azurewebsites.net/W088MSi08880Moit0yCH0008Mhi0/index.html</t>
  </si>
  <si>
    <t>keen-noether.157-230-91-216.plesk.page</t>
  </si>
  <si>
    <t>157.230.91.216</t>
  </si>
  <si>
    <t>60e4d22bec1fd</t>
  </si>
  <si>
    <t>https://keen-noether.157-230-91-216.plesk.page/WinFhelpxcodexwin444CHeX/</t>
  </si>
  <si>
    <t>lac-rm.xyz</t>
  </si>
  <si>
    <t>143.244.182.6</t>
  </si>
  <si>
    <t>60e5d57aa9c63</t>
  </si>
  <si>
    <t>https://lac-rm.xyz/sasbaj/W088MSi08880Moit0yCED0008Mhi11D1/index.html?source_id=gmaol.com</t>
  </si>
  <si>
    <t>cranky-aryabhata.68-183-91-29.plesk.page</t>
  </si>
  <si>
    <t>68.183.91.29</t>
  </si>
  <si>
    <t>60e5d68f1fb87</t>
  </si>
  <si>
    <t>https://cranky-aryabhata.68-183-91-29.plesk.page/WinFvjdjfhdjhfkdshfjkrCHVX/</t>
  </si>
  <si>
    <t>894floating.ml</t>
  </si>
  <si>
    <t>104.21.8.185</t>
  </si>
  <si>
    <t>60e5d7783a82b</t>
  </si>
  <si>
    <t>https://894floating.ml/fsda0fsd-fs0df-sd0f-sd0fsd-7455.vvy8yx/W088PP0Y0Mit0y0CH008MhiD1/index.html</t>
  </si>
  <si>
    <t>392retrieval.ga</t>
  </si>
  <si>
    <t>172.67.184.4</t>
  </si>
  <si>
    <t>60e5e122b090c</t>
  </si>
  <si>
    <t>https://392retrieval.ga/0WinDhelpli0ne512572x/</t>
  </si>
  <si>
    <t>mc-cm.xyz</t>
  </si>
  <si>
    <t>138.68.184.176</t>
  </si>
  <si>
    <t>60e5f1a743a8e</t>
  </si>
  <si>
    <t>https://mc-cm.xyz/hdcbsud/W088MSi08880Moit0yCED0008Mhi11D1/index.html?source_id=googloe.com</t>
  </si>
  <si>
    <t>399rastering.ml</t>
  </si>
  <si>
    <t>104.21.89.3</t>
  </si>
  <si>
    <t>60e5f60a90f0c</t>
  </si>
  <si>
    <t>https://399rastering.ml/0WinDhelpli0ne572875x/</t>
  </si>
  <si>
    <t>0greyed104.ga</t>
  </si>
  <si>
    <t>172.67.132.3</t>
  </si>
  <si>
    <t>60e6022e717dd</t>
  </si>
  <si>
    <t>https://0greyed104.ga/0WinDhelpli0ne572878x/</t>
  </si>
  <si>
    <t>uppe.icu</t>
  </si>
  <si>
    <t>45.79.33.10</t>
  </si>
  <si>
    <t>60e5ebf77b838</t>
  </si>
  <si>
    <t>https://uppe.icu/as-itis-stim-xdf/AW81080n0Ma0S7cu0r0it0yCH008R1S0/</t>
  </si>
  <si>
    <t>34.123.60.139</t>
  </si>
  <si>
    <t>60e5ecab17de3</t>
  </si>
  <si>
    <t>http://34.123.60.139/W088MSi08880Moit0yCED0008Mhi0/index.html</t>
  </si>
  <si>
    <t>0abandoned488.ga</t>
  </si>
  <si>
    <t>104.21.35.199</t>
  </si>
  <si>
    <t>60e60a9b5dc48</t>
  </si>
  <si>
    <t>https://0abandoned488.ga/0WinDhelpli0ne574768x/</t>
  </si>
  <si>
    <t>elated-pasteur.139-59-68-89.plesk.page</t>
  </si>
  <si>
    <t>139.59.68.89</t>
  </si>
  <si>
    <t>60e61820a8796</t>
  </si>
  <si>
    <t>https://elated-pasteur.139-59-68-89.plesk.page/WinFvjdjfhdjhfkdshfjkrCHVX/</t>
  </si>
  <si>
    <t>mn-op-lk-io-09-adcd6.s3.amazonaws.com</t>
  </si>
  <si>
    <t>52.216.108.99</t>
  </si>
  <si>
    <t>60e61d7da72b5</t>
  </si>
  <si>
    <t>https://mn-op-lk-io-09-adcd6.s3.amazonaws.com/index.html</t>
  </si>
  <si>
    <t>mn-op-lk-io-09-adcd3.s3.amazonaws.com</t>
  </si>
  <si>
    <t>52.217.90.12</t>
  </si>
  <si>
    <t>60e61f2c886b7</t>
  </si>
  <si>
    <t>https://mn-op-lk-io-09-adcd3.s3.amazonaws.com/index.html</t>
  </si>
  <si>
    <t>mn-op-lk-io-09-adcd5.s3.amazonaws.com</t>
  </si>
  <si>
    <t>52.217.0.27</t>
  </si>
  <si>
    <t>60e6238505c13</t>
  </si>
  <si>
    <t>https://mn-op-lk-io-09-adcd5.s3.amazonaws.com/index.html</t>
  </si>
  <si>
    <t>mn-op-lk-io-09-adcd2.s3.us-east-2.amazonaws.com</t>
  </si>
  <si>
    <t>52.219.104.72</t>
  </si>
  <si>
    <t>60e62887ca537</t>
  </si>
  <si>
    <t>https://mn-op-lk-io-09-adcd2.s3.us-east-2.amazonaws.com/index.html</t>
  </si>
  <si>
    <t>d3lie584zyrgic.cloudfront.net</t>
  </si>
  <si>
    <t>13.224.87.110</t>
  </si>
  <si>
    <t>60e636abecab2</t>
  </si>
  <si>
    <t>https://d3lie584zyrgic.cloudfront.net/werrx01/?phone=+1-(888)-527-7096</t>
  </si>
  <si>
    <t>busy-jennings.139-59-47-24.plesk.page</t>
  </si>
  <si>
    <t>139.59.47.24</t>
  </si>
  <si>
    <t>60e70be9d1697</t>
  </si>
  <si>
    <t>https://busy-jennings.139-59-47-24.plesk.page/WinFvjdjfhdjhfkdshfjkrCHVX/</t>
  </si>
  <si>
    <t>vc-gfe.xyz</t>
  </si>
  <si>
    <t>178.62.53.64</t>
  </si>
  <si>
    <t>60e72d5aa9f1d</t>
  </si>
  <si>
    <t>https://vc-gfe.xyz/dhshj/W088MSi08880Moit0yCED0008Mhi11D1/index.html?source_id=faceb00k.com</t>
  </si>
  <si>
    <t>pedantic-napier.128-199-27-128.plesk.page</t>
  </si>
  <si>
    <t>128.199.27.128</t>
  </si>
  <si>
    <t>60e72d76f28d1</t>
  </si>
  <si>
    <t>https://pedantic-napier.128-199-27-128.plesk.page/WinFvjdjfhdjhfkdshfjkrCHVX/</t>
  </si>
  <si>
    <t>0mrpathgbt484.ml</t>
  </si>
  <si>
    <t>172.67.184.198</t>
  </si>
  <si>
    <t>60e72f6915e02</t>
  </si>
  <si>
    <t>https://0mrpathgbt484.ml/fsda0fsd-fs0df-sd0f-sd0fsd-7455.vvy8yx/W088PP0Y0Mit0y0CH008MhiD1/index.html</t>
  </si>
  <si>
    <t>vc-ecff.xyz</t>
  </si>
  <si>
    <t>144.126.211.128</t>
  </si>
  <si>
    <t>60e736706052a</t>
  </si>
  <si>
    <t>https://vc-ecff.xyz/xhdsj/W088MSi08880Moit0yCED0008Mhi11D1/index.html?</t>
  </si>
  <si>
    <t>0nodeing903.ml</t>
  </si>
  <si>
    <t>104.21.64.225</t>
  </si>
  <si>
    <t>60e741d264647</t>
  </si>
  <si>
    <t>https://0nodeing903.ml/0WinDhelpli0ne291208x/</t>
  </si>
  <si>
    <t>161.35.80.45</t>
  </si>
  <si>
    <t>60e743e4a8dc8</t>
  </si>
  <si>
    <t>http://161.35.80.45/systemerror-win-chx/?phone=.&amp;amp;</t>
  </si>
  <si>
    <t>wl-dlk.xyz</t>
  </si>
  <si>
    <t>139.59.189.27</t>
  </si>
  <si>
    <t>60e74cdfa1cd8</t>
  </si>
  <si>
    <t>https://wl-dlk.xyz/sdnbc/W088MSi08880Moit0yCED0008Mhi11D1/index.html</t>
  </si>
  <si>
    <t>0prompting494.ga</t>
  </si>
  <si>
    <t>172.67.200.47</t>
  </si>
  <si>
    <t>60e7655718ab7</t>
  </si>
  <si>
    <t>https://0prompting494.ga/0WinDhelpli0ne541933x/</t>
  </si>
  <si>
    <t>wl-ed.xyz</t>
  </si>
  <si>
    <t>206.189.114.194</t>
  </si>
  <si>
    <t>60e768df633ed</t>
  </si>
  <si>
    <t>https://wl-ed.xyz/hxbjzs/W088MSi08880Moit0yCED0008Mhi11D1/index.html?source_id=faceb00k.com</t>
  </si>
  <si>
    <t>0optically104.ga</t>
  </si>
  <si>
    <t>104.21.33.249</t>
  </si>
  <si>
    <t>60e756fe93631</t>
  </si>
  <si>
    <t>https://0optically104.ga/0WinDhelpli0ne306201x/</t>
  </si>
  <si>
    <t>0bundling493.ga</t>
  </si>
  <si>
    <t>104.21.34.104</t>
  </si>
  <si>
    <t>60e75789252f8</t>
  </si>
  <si>
    <t>https://0bundling493.ga/0WinDhelpli0ne811591x/</t>
  </si>
  <si>
    <t>0bukflarua393.ml</t>
  </si>
  <si>
    <t>104.21.8.14</t>
  </si>
  <si>
    <t>60e7582a98306</t>
  </si>
  <si>
    <t>https://0bukflarua393.ml/0WinDhelpli0ne811595x/</t>
  </si>
  <si>
    <t>0cachable393.ga</t>
  </si>
  <si>
    <t>104.21.51.164</t>
  </si>
  <si>
    <t>60e75d5c02186</t>
  </si>
  <si>
    <t>https://0cachable393.ga/0WinDhelpli0ne912317x/</t>
  </si>
  <si>
    <t>0obstances133.ml</t>
  </si>
  <si>
    <t>172.67.139.254</t>
  </si>
  <si>
    <t>60e7605f1e726</t>
  </si>
  <si>
    <t>https://0obstances133.ml/0WinDhelpli0ne413676x/</t>
  </si>
  <si>
    <t>0cireoakgru338.ml</t>
  </si>
  <si>
    <t>172.67.148.104</t>
  </si>
  <si>
    <t>60e762bee5fa3</t>
  </si>
  <si>
    <t>https://0cireoakgru338.ml/0WinDhelpli0ne941189x/</t>
  </si>
  <si>
    <t>0dareigrbgy483.ml</t>
  </si>
  <si>
    <t>172.67.190.29</t>
  </si>
  <si>
    <t>60e7763852cff</t>
  </si>
  <si>
    <t>http://0dareigrbgy483.ml/0WinDhelpli0ne992177x/</t>
  </si>
  <si>
    <t>vibrant-herschel.159-89-168-157.plesk.page</t>
  </si>
  <si>
    <t>159.89.168.157</t>
  </si>
  <si>
    <t>60e86981ed7a1</t>
  </si>
  <si>
    <t>https://vibrant-herschel.159-89-168-157.plesk.page/WinFvjdjfhdjhfkdshfjkrCHVX/</t>
  </si>
  <si>
    <t>wl-ikd.xyz</t>
  </si>
  <si>
    <t>188.166.147.143</t>
  </si>
  <si>
    <t>60e8736a9dce2</t>
  </si>
  <si>
    <t>https://wl-ikd.xyz/cdnjd/W088MSi08880Moit0yCED0008Mhi11D1/index.html?source_id</t>
  </si>
  <si>
    <t>wl-idk.xyz</t>
  </si>
  <si>
    <t>46.101.7.247</t>
  </si>
  <si>
    <t>60e8738d7e746</t>
  </si>
  <si>
    <t>https://wl-idk.xyz/dsjhdjs/W088MSi08880Moit0yCED0008Mhi11D1/index.html?source_id=faceb00k.com</t>
  </si>
  <si>
    <t>0opti0cally.ga</t>
  </si>
  <si>
    <t>104.21.51.92</t>
  </si>
  <si>
    <t>60e876ade87ba</t>
  </si>
  <si>
    <t>https://0opti0cally.ga/0WinDhelpli0ne261664x/</t>
  </si>
  <si>
    <t>0abandoned393.ga</t>
  </si>
  <si>
    <t>104.21.9.95</t>
  </si>
  <si>
    <t>60e8776910e2c</t>
  </si>
  <si>
    <t>https://0abandoned393.ga/fsda0fsd-fs0df-sd0f-sd0fsd-8936.vvy8yx/W088PP0Y0Mit0y0CH008MhiD1/index.html</t>
  </si>
  <si>
    <t>wl-led.xyz</t>
  </si>
  <si>
    <t>138.68.184.94</t>
  </si>
  <si>
    <t>60e885c8f2cb0</t>
  </si>
  <si>
    <t>https://wl-led.xyz/sdhsd/W088MSi08880Moit0yCED0008Mhi11D1/index.html?</t>
  </si>
  <si>
    <t>0echo0ned.ml</t>
  </si>
  <si>
    <t>104.21.60.142</t>
  </si>
  <si>
    <t>60e886100bc07</t>
  </si>
  <si>
    <t>https://0echo0ned.ml/0WinDhelpli0ne412372x/</t>
  </si>
  <si>
    <t>0obsta0nces.ml</t>
  </si>
  <si>
    <t>104.21.36.248</t>
  </si>
  <si>
    <t>60e88e26c0951</t>
  </si>
  <si>
    <t>https://0obsta0nces.ml/0WinDhelpli0ne842821x/</t>
  </si>
  <si>
    <t>d38p107zv6mz6b.cloudfront.net</t>
  </si>
  <si>
    <t>143.204.194.202</t>
  </si>
  <si>
    <t>60e8bea4de7ce</t>
  </si>
  <si>
    <t>https://d38p107zv6mz6b.cloudfront.net/werrx01/?phone=+1-(866)-407-3498&amp;amp;sourceid=twindow&amp;amp;pub=265454.02d423bb8174c28fed8ee3a88</t>
  </si>
  <si>
    <t>kerlpharma.online</t>
  </si>
  <si>
    <t>178.62.239.101</t>
  </si>
  <si>
    <t>60e8c65f3d9f1</t>
  </si>
  <si>
    <t>https://kerlpharma.online/CED8Xcodefdfdfgdhfg008RSu/</t>
  </si>
  <si>
    <t>958digitize.ga</t>
  </si>
  <si>
    <t>172.67.222.110</t>
  </si>
  <si>
    <t>60e8fd5853f1b</t>
  </si>
  <si>
    <t>https://958digitize.ga/0WinDhelpli0ne410123x/</t>
  </si>
  <si>
    <t>0shareware025.ml</t>
  </si>
  <si>
    <t>172.67.204.78</t>
  </si>
  <si>
    <t>60e9db4db0de4</t>
  </si>
  <si>
    <t>https://0shareware025.ml/0WinDhelpli0ne281676x/</t>
  </si>
  <si>
    <t>013bundling.ga</t>
  </si>
  <si>
    <t>104.21.28.90</t>
  </si>
  <si>
    <t>60e9e007d4479</t>
  </si>
  <si>
    <t>https://013bundling.ga/0WinDhelpli0ne3410123x/</t>
  </si>
  <si>
    <t>0visibi0lity.ml</t>
  </si>
  <si>
    <t>172.67.145.37</t>
  </si>
  <si>
    <t>60e9ece1a7f5f</t>
  </si>
  <si>
    <t>https://0visibi0lity.ml/0WinDhelpli0ne440307x/</t>
  </si>
  <si>
    <t>958cadcam.ga</t>
  </si>
  <si>
    <t>172.67.181.33</t>
  </si>
  <si>
    <t>60e9f0cca7b6d</t>
  </si>
  <si>
    <t>https://958cadcam.ga/0WinDhelpli0ne370626x/</t>
  </si>
  <si>
    <t>453inheritance.ga</t>
  </si>
  <si>
    <t>104.21.28.129</t>
  </si>
  <si>
    <t>60e9f7b0d6d23</t>
  </si>
  <si>
    <t>https://453inheritance.ga/0WinDhelpli0ne891062x/</t>
  </si>
  <si>
    <t>hkx-ikg.xyz</t>
  </si>
  <si>
    <t>206.189.23.60</t>
  </si>
  <si>
    <t>60e9f85c0e179</t>
  </si>
  <si>
    <t>https://hkx-ikg.xyz/dsbcjhds/W088MSi08880Moit0yCED0008Mhi11D1/index.html</t>
  </si>
  <si>
    <t>033instantive.ml</t>
  </si>
  <si>
    <t>104.21.40.157</t>
  </si>
  <si>
    <t>60ea0e15bb7e1</t>
  </si>
  <si>
    <t>https://033instantive.ml/0WinDhelpli0ne572861x/</t>
  </si>
  <si>
    <t>d7b0johdl2v8y.cloudfront.net</t>
  </si>
  <si>
    <t>13.224.87.162</t>
  </si>
  <si>
    <t>60ea0f8c65edb</t>
  </si>
  <si>
    <t>https://d7b0johdl2v8y.cloudfront.net/werrx01/?phone=+1-(844)-428-0807&amp;amp;sourceid=twindow&amp;amp;pub=265454.02d423bb8174c28fed8ee3a88</t>
  </si>
  <si>
    <t>922lagged.ga</t>
  </si>
  <si>
    <t>104.21.67.227</t>
  </si>
  <si>
    <t>60ea2064cca10</t>
  </si>
  <si>
    <t>https://922lagged.ga/0WinDhelpli0ne544025x/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</si>
</sst>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58"/>
  <sheetViews>
    <sheetView tabSelected="1" workbookViewId="0">
      <selection activeCell="I1" sqref="I1"/>
    </sheetView>
  </sheetViews>
  <sheetFormatPr baseColWidth="10" defaultRowHeight="16" x14ac:dyDescent="0.2"/>
  <cols>
    <col min="9" max="9" width="28.5" bestFit="1" customWidth="1"/>
    <col min="10" max="10" width="18.1640625" bestFit="1" customWidth="1"/>
    <col min="16" max="16" width="1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19</v>
      </c>
      <c r="C2">
        <v>49</v>
      </c>
      <c r="D2" s="1">
        <v>44330.385092592594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49</v>
      </c>
      <c r="K2">
        <f>49-390-8647-3986</f>
        <v>-12974</v>
      </c>
      <c r="L2" s="2" t="s">
        <v>25</v>
      </c>
      <c r="M2" t="s">
        <v>26</v>
      </c>
      <c r="N2" t="s">
        <v>27</v>
      </c>
      <c r="O2" t="s">
        <v>28</v>
      </c>
      <c r="P2" t="s">
        <v>29</v>
      </c>
      <c r="Q2">
        <v>30</v>
      </c>
      <c r="R2">
        <v>-95.464100000000002</v>
      </c>
    </row>
    <row r="3" spans="1:18" x14ac:dyDescent="0.2">
      <c r="A3" t="s">
        <v>18</v>
      </c>
      <c r="B3" t="s">
        <v>19</v>
      </c>
      <c r="C3">
        <v>49</v>
      </c>
      <c r="D3" s="1">
        <v>44301.595543981479</v>
      </c>
      <c r="E3" t="s">
        <v>30</v>
      </c>
      <c r="F3" t="s">
        <v>21</v>
      </c>
      <c r="G3" t="s">
        <v>22</v>
      </c>
      <c r="H3" t="s">
        <v>23</v>
      </c>
      <c r="I3" t="s">
        <v>24</v>
      </c>
      <c r="J3">
        <v>49</v>
      </c>
      <c r="K3">
        <f>49-452-1846-9975</f>
        <v>-12224</v>
      </c>
      <c r="L3" t="s">
        <v>31</v>
      </c>
      <c r="M3" t="s">
        <v>32</v>
      </c>
      <c r="N3" t="s">
        <v>27</v>
      </c>
      <c r="O3" t="s">
        <v>28</v>
      </c>
      <c r="P3" t="s">
        <v>29</v>
      </c>
      <c r="Q3">
        <v>30</v>
      </c>
      <c r="R3">
        <v>-95.464100000000002</v>
      </c>
    </row>
    <row r="4" spans="1:18" x14ac:dyDescent="0.2">
      <c r="A4" t="s">
        <v>18</v>
      </c>
      <c r="B4" t="s">
        <v>19</v>
      </c>
      <c r="C4">
        <v>49</v>
      </c>
      <c r="D4" s="1">
        <v>44247.648125</v>
      </c>
      <c r="E4" t="s">
        <v>33</v>
      </c>
      <c r="F4" t="s">
        <v>21</v>
      </c>
      <c r="G4" t="s">
        <v>22</v>
      </c>
      <c r="H4" t="s">
        <v>23</v>
      </c>
      <c r="I4" t="s">
        <v>24</v>
      </c>
      <c r="J4">
        <v>49</v>
      </c>
      <c r="K4">
        <f>49-761-7911-9675</f>
        <v>-18298</v>
      </c>
      <c r="L4" t="s">
        <v>34</v>
      </c>
      <c r="M4" t="s">
        <v>35</v>
      </c>
      <c r="N4" t="s">
        <v>36</v>
      </c>
      <c r="O4" t="s">
        <v>28</v>
      </c>
      <c r="P4" t="s">
        <v>29</v>
      </c>
      <c r="Q4">
        <v>30</v>
      </c>
      <c r="R4">
        <v>-95.464100000000002</v>
      </c>
    </row>
    <row r="5" spans="1:18" x14ac:dyDescent="0.2">
      <c r="A5" t="s">
        <v>18</v>
      </c>
      <c r="B5" t="s">
        <v>19</v>
      </c>
      <c r="C5">
        <v>49</v>
      </c>
      <c r="D5" s="1">
        <v>44242.572094907409</v>
      </c>
      <c r="E5" t="s">
        <v>37</v>
      </c>
      <c r="F5" t="s">
        <v>21</v>
      </c>
      <c r="G5" t="s">
        <v>22</v>
      </c>
      <c r="H5" t="s">
        <v>23</v>
      </c>
      <c r="I5" t="s">
        <v>24</v>
      </c>
      <c r="J5">
        <v>49</v>
      </c>
      <c r="K5">
        <f>49-394-1411-4861</f>
        <v>-6617</v>
      </c>
      <c r="L5" t="s">
        <v>38</v>
      </c>
      <c r="M5" t="s">
        <v>39</v>
      </c>
      <c r="N5" t="s">
        <v>36</v>
      </c>
      <c r="O5" t="s">
        <v>28</v>
      </c>
      <c r="P5" t="s">
        <v>29</v>
      </c>
      <c r="Q5">
        <v>30</v>
      </c>
      <c r="R5">
        <v>-95.464100000000002</v>
      </c>
    </row>
    <row r="6" spans="1:18" x14ac:dyDescent="0.2">
      <c r="A6" t="s">
        <v>18</v>
      </c>
      <c r="B6" t="s">
        <v>19</v>
      </c>
      <c r="C6">
        <v>49</v>
      </c>
      <c r="D6" s="1">
        <v>44239.555960648147</v>
      </c>
      <c r="E6" t="s">
        <v>40</v>
      </c>
      <c r="F6" t="s">
        <v>21</v>
      </c>
      <c r="G6" t="s">
        <v>22</v>
      </c>
      <c r="H6" t="s">
        <v>23</v>
      </c>
      <c r="I6" t="s">
        <v>24</v>
      </c>
      <c r="J6">
        <v>49</v>
      </c>
      <c r="K6">
        <f>49-394-1411-4861</f>
        <v>-6617</v>
      </c>
      <c r="L6" t="s">
        <v>41</v>
      </c>
      <c r="M6" t="s">
        <v>42</v>
      </c>
      <c r="N6" t="s">
        <v>36</v>
      </c>
      <c r="O6" t="s">
        <v>28</v>
      </c>
      <c r="P6" t="s">
        <v>29</v>
      </c>
      <c r="Q6">
        <v>30</v>
      </c>
      <c r="R6">
        <v>-95.464100000000002</v>
      </c>
    </row>
    <row r="7" spans="1:18" x14ac:dyDescent="0.2">
      <c r="A7" t="s">
        <v>18</v>
      </c>
      <c r="B7" t="s">
        <v>19</v>
      </c>
      <c r="C7">
        <v>49</v>
      </c>
      <c r="D7" s="1">
        <v>44237.559745370374</v>
      </c>
      <c r="E7" t="s">
        <v>43</v>
      </c>
      <c r="F7" t="s">
        <v>21</v>
      </c>
      <c r="G7" t="s">
        <v>22</v>
      </c>
      <c r="H7" t="s">
        <v>23</v>
      </c>
      <c r="I7" t="s">
        <v>24</v>
      </c>
      <c r="J7">
        <v>49</v>
      </c>
      <c r="K7">
        <f>49-394-1411-4861</f>
        <v>-6617</v>
      </c>
      <c r="L7" t="s">
        <v>44</v>
      </c>
      <c r="M7" t="s">
        <v>45</v>
      </c>
      <c r="N7" t="s">
        <v>36</v>
      </c>
      <c r="O7" t="s">
        <v>28</v>
      </c>
      <c r="P7" t="s">
        <v>29</v>
      </c>
      <c r="Q7">
        <v>30</v>
      </c>
      <c r="R7">
        <v>-95.464100000000002</v>
      </c>
    </row>
    <row r="8" spans="1:18" x14ac:dyDescent="0.2">
      <c r="A8" t="s">
        <v>18</v>
      </c>
      <c r="B8" t="s">
        <v>19</v>
      </c>
      <c r="C8">
        <v>49</v>
      </c>
      <c r="D8" s="1">
        <v>44183.463333333333</v>
      </c>
      <c r="E8" t="s">
        <v>46</v>
      </c>
      <c r="F8" t="s">
        <v>21</v>
      </c>
      <c r="G8" t="s">
        <v>22</v>
      </c>
      <c r="H8" t="s">
        <v>23</v>
      </c>
      <c r="I8" t="s">
        <v>24</v>
      </c>
      <c r="J8">
        <v>49</v>
      </c>
      <c r="K8">
        <f>49-341-8626-5847</f>
        <v>-14765</v>
      </c>
      <c r="L8" t="s">
        <v>47</v>
      </c>
      <c r="M8" t="s">
        <v>48</v>
      </c>
      <c r="N8" t="s">
        <v>36</v>
      </c>
      <c r="O8" t="s">
        <v>28</v>
      </c>
      <c r="P8" t="s">
        <v>29</v>
      </c>
      <c r="Q8">
        <v>30</v>
      </c>
      <c r="R8">
        <v>-95.464100000000002</v>
      </c>
    </row>
    <row r="9" spans="1:18" x14ac:dyDescent="0.2">
      <c r="A9" t="s">
        <v>18</v>
      </c>
      <c r="B9" t="s">
        <v>19</v>
      </c>
      <c r="C9">
        <v>49</v>
      </c>
      <c r="D9" s="1">
        <v>44174.578252314815</v>
      </c>
      <c r="E9" t="s">
        <v>49</v>
      </c>
      <c r="F9" t="s">
        <v>21</v>
      </c>
      <c r="G9" t="s">
        <v>22</v>
      </c>
      <c r="H9" t="s">
        <v>23</v>
      </c>
      <c r="I9" t="s">
        <v>24</v>
      </c>
      <c r="J9">
        <v>49</v>
      </c>
      <c r="K9">
        <f>49-341-8626-5847</f>
        <v>-14765</v>
      </c>
      <c r="L9" t="s">
        <v>50</v>
      </c>
      <c r="M9" t="s">
        <v>51</v>
      </c>
      <c r="N9" t="s">
        <v>36</v>
      </c>
      <c r="O9" t="s">
        <v>28</v>
      </c>
      <c r="P9" t="s">
        <v>29</v>
      </c>
      <c r="Q9">
        <v>30</v>
      </c>
      <c r="R9">
        <v>-95.464100000000002</v>
      </c>
    </row>
    <row r="10" spans="1:18" x14ac:dyDescent="0.2">
      <c r="A10" t="s">
        <v>18</v>
      </c>
      <c r="B10" t="s">
        <v>19</v>
      </c>
      <c r="C10">
        <v>81</v>
      </c>
      <c r="D10" s="1">
        <v>44172.409143518518</v>
      </c>
      <c r="E10" t="s">
        <v>52</v>
      </c>
      <c r="F10" t="s">
        <v>21</v>
      </c>
      <c r="G10" t="s">
        <v>22</v>
      </c>
      <c r="H10" t="s">
        <v>23</v>
      </c>
      <c r="I10" t="s">
        <v>53</v>
      </c>
      <c r="J10">
        <v>81</v>
      </c>
      <c r="K10">
        <f>81-503-136-5237</f>
        <v>-5795</v>
      </c>
      <c r="L10" t="s">
        <v>54</v>
      </c>
      <c r="M10" t="s">
        <v>55</v>
      </c>
      <c r="N10" t="s">
        <v>36</v>
      </c>
      <c r="O10" t="s">
        <v>28</v>
      </c>
      <c r="P10" t="s">
        <v>29</v>
      </c>
      <c r="Q10">
        <v>30</v>
      </c>
      <c r="R10">
        <v>-95.464100000000002</v>
      </c>
    </row>
    <row r="11" spans="1:18" x14ac:dyDescent="0.2">
      <c r="A11" t="s">
        <v>18</v>
      </c>
      <c r="B11" t="s">
        <v>19</v>
      </c>
      <c r="C11">
        <v>49</v>
      </c>
      <c r="D11" s="1">
        <v>44172.617094907408</v>
      </c>
      <c r="E11" t="s">
        <v>56</v>
      </c>
      <c r="F11" t="s">
        <v>21</v>
      </c>
      <c r="G11" t="s">
        <v>22</v>
      </c>
      <c r="H11" t="s">
        <v>23</v>
      </c>
      <c r="I11" t="s">
        <v>24</v>
      </c>
      <c r="J11">
        <v>49</v>
      </c>
      <c r="K11">
        <f t="shared" ref="K11:K18" si="0">49-569-3917-9718</f>
        <v>-14155</v>
      </c>
      <c r="L11" t="s">
        <v>57</v>
      </c>
      <c r="M11" t="s">
        <v>58</v>
      </c>
      <c r="N11" t="s">
        <v>36</v>
      </c>
      <c r="O11" t="s">
        <v>28</v>
      </c>
      <c r="P11" t="s">
        <v>29</v>
      </c>
      <c r="Q11">
        <v>30</v>
      </c>
      <c r="R11">
        <v>-95.464100000000002</v>
      </c>
    </row>
    <row r="12" spans="1:18" x14ac:dyDescent="0.2">
      <c r="A12" t="s">
        <v>18</v>
      </c>
      <c r="B12" t="s">
        <v>19</v>
      </c>
      <c r="C12">
        <v>49</v>
      </c>
      <c r="D12" s="1">
        <v>44167.612013888887</v>
      </c>
      <c r="E12" t="s">
        <v>59</v>
      </c>
      <c r="F12" t="s">
        <v>21</v>
      </c>
      <c r="G12" t="s">
        <v>22</v>
      </c>
      <c r="H12" t="s">
        <v>23</v>
      </c>
      <c r="I12" t="s">
        <v>24</v>
      </c>
      <c r="J12">
        <v>49</v>
      </c>
      <c r="K12">
        <f t="shared" si="0"/>
        <v>-14155</v>
      </c>
      <c r="L12" t="s">
        <v>60</v>
      </c>
      <c r="M12" t="s">
        <v>61</v>
      </c>
      <c r="N12" t="s">
        <v>36</v>
      </c>
      <c r="O12" t="s">
        <v>28</v>
      </c>
      <c r="P12" t="s">
        <v>29</v>
      </c>
      <c r="Q12">
        <v>30</v>
      </c>
      <c r="R12">
        <v>-95.464100000000002</v>
      </c>
    </row>
    <row r="13" spans="1:18" x14ac:dyDescent="0.2">
      <c r="A13" t="s">
        <v>18</v>
      </c>
      <c r="B13" t="s">
        <v>19</v>
      </c>
      <c r="C13">
        <v>49</v>
      </c>
      <c r="D13" s="1">
        <v>44160.552175925928</v>
      </c>
      <c r="E13" t="s">
        <v>43</v>
      </c>
      <c r="F13" t="s">
        <v>21</v>
      </c>
      <c r="G13" t="s">
        <v>22</v>
      </c>
      <c r="H13" t="s">
        <v>23</v>
      </c>
      <c r="I13" t="s">
        <v>24</v>
      </c>
      <c r="J13">
        <v>49</v>
      </c>
      <c r="K13">
        <f t="shared" si="0"/>
        <v>-14155</v>
      </c>
      <c r="L13" t="s">
        <v>62</v>
      </c>
      <c r="M13" t="s">
        <v>63</v>
      </c>
      <c r="N13" t="s">
        <v>36</v>
      </c>
      <c r="O13" t="s">
        <v>28</v>
      </c>
      <c r="P13" t="s">
        <v>29</v>
      </c>
      <c r="Q13">
        <v>30</v>
      </c>
      <c r="R13">
        <v>-95.464100000000002</v>
      </c>
    </row>
    <row r="14" spans="1:18" x14ac:dyDescent="0.2">
      <c r="A14" t="s">
        <v>18</v>
      </c>
      <c r="B14" t="s">
        <v>19</v>
      </c>
      <c r="C14">
        <v>49</v>
      </c>
      <c r="D14" s="1">
        <v>44158.597662037035</v>
      </c>
      <c r="E14" t="s">
        <v>64</v>
      </c>
      <c r="F14" t="s">
        <v>21</v>
      </c>
      <c r="G14" t="s">
        <v>22</v>
      </c>
      <c r="H14" t="s">
        <v>23</v>
      </c>
      <c r="I14" t="s">
        <v>24</v>
      </c>
      <c r="J14">
        <v>49</v>
      </c>
      <c r="K14">
        <f t="shared" si="0"/>
        <v>-14155</v>
      </c>
      <c r="L14" t="s">
        <v>65</v>
      </c>
      <c r="M14" t="s">
        <v>66</v>
      </c>
      <c r="N14" t="s">
        <v>36</v>
      </c>
      <c r="O14" t="s">
        <v>28</v>
      </c>
      <c r="P14" t="s">
        <v>29</v>
      </c>
      <c r="Q14">
        <v>30</v>
      </c>
      <c r="R14">
        <v>-95.464100000000002</v>
      </c>
    </row>
    <row r="15" spans="1:18" x14ac:dyDescent="0.2">
      <c r="A15" t="s">
        <v>18</v>
      </c>
      <c r="B15" t="s">
        <v>19</v>
      </c>
      <c r="C15">
        <v>49</v>
      </c>
      <c r="D15" s="1">
        <v>44155.582280092596</v>
      </c>
      <c r="E15" t="s">
        <v>67</v>
      </c>
      <c r="F15" t="s">
        <v>21</v>
      </c>
      <c r="G15" t="s">
        <v>22</v>
      </c>
      <c r="H15" t="s">
        <v>23</v>
      </c>
      <c r="I15" t="s">
        <v>24</v>
      </c>
      <c r="J15">
        <v>49</v>
      </c>
      <c r="K15">
        <f t="shared" si="0"/>
        <v>-14155</v>
      </c>
      <c r="L15" t="s">
        <v>68</v>
      </c>
      <c r="M15" t="s">
        <v>69</v>
      </c>
      <c r="N15" t="s">
        <v>36</v>
      </c>
      <c r="O15" t="s">
        <v>28</v>
      </c>
      <c r="P15" t="s">
        <v>29</v>
      </c>
      <c r="Q15">
        <v>30</v>
      </c>
      <c r="R15">
        <v>-95.464100000000002</v>
      </c>
    </row>
    <row r="16" spans="1:18" x14ac:dyDescent="0.2">
      <c r="A16" t="s">
        <v>18</v>
      </c>
      <c r="B16" t="s">
        <v>19</v>
      </c>
      <c r="C16">
        <v>49</v>
      </c>
      <c r="D16" s="1">
        <v>44154.573981481481</v>
      </c>
      <c r="E16" t="s">
        <v>70</v>
      </c>
      <c r="F16" t="s">
        <v>21</v>
      </c>
      <c r="G16" t="s">
        <v>22</v>
      </c>
      <c r="H16" t="s">
        <v>23</v>
      </c>
      <c r="I16" t="s">
        <v>24</v>
      </c>
      <c r="J16">
        <v>49</v>
      </c>
      <c r="K16">
        <f t="shared" si="0"/>
        <v>-14155</v>
      </c>
      <c r="L16" t="s">
        <v>71</v>
      </c>
      <c r="M16" t="s">
        <v>72</v>
      </c>
      <c r="N16" t="s">
        <v>36</v>
      </c>
      <c r="O16" t="s">
        <v>28</v>
      </c>
      <c r="P16" t="s">
        <v>29</v>
      </c>
      <c r="Q16">
        <v>30</v>
      </c>
      <c r="R16">
        <v>-95.464100000000002</v>
      </c>
    </row>
    <row r="17" spans="1:18" x14ac:dyDescent="0.2">
      <c r="A17" t="s">
        <v>18</v>
      </c>
      <c r="B17" t="s">
        <v>19</v>
      </c>
      <c r="C17">
        <v>49</v>
      </c>
      <c r="D17" s="1">
        <v>44152.67391203704</v>
      </c>
      <c r="E17" t="s">
        <v>73</v>
      </c>
      <c r="F17" t="s">
        <v>21</v>
      </c>
      <c r="G17" t="s">
        <v>22</v>
      </c>
      <c r="H17" t="s">
        <v>23</v>
      </c>
      <c r="I17" t="s">
        <v>24</v>
      </c>
      <c r="J17">
        <v>49</v>
      </c>
      <c r="K17">
        <f t="shared" si="0"/>
        <v>-14155</v>
      </c>
      <c r="L17" t="s">
        <v>74</v>
      </c>
      <c r="M17" t="s">
        <v>75</v>
      </c>
      <c r="N17" t="s">
        <v>36</v>
      </c>
      <c r="O17" t="s">
        <v>28</v>
      </c>
      <c r="P17" t="s">
        <v>29</v>
      </c>
      <c r="Q17">
        <v>30</v>
      </c>
      <c r="R17">
        <v>-95.464100000000002</v>
      </c>
    </row>
    <row r="18" spans="1:18" x14ac:dyDescent="0.2">
      <c r="A18" t="s">
        <v>18</v>
      </c>
      <c r="B18" t="s">
        <v>19</v>
      </c>
      <c r="C18">
        <v>49</v>
      </c>
      <c r="D18" s="1">
        <v>44151.572789351849</v>
      </c>
      <c r="E18" t="s">
        <v>76</v>
      </c>
      <c r="F18" t="s">
        <v>21</v>
      </c>
      <c r="G18" t="s">
        <v>22</v>
      </c>
      <c r="H18" t="s">
        <v>23</v>
      </c>
      <c r="I18" t="s">
        <v>24</v>
      </c>
      <c r="J18">
        <v>49</v>
      </c>
      <c r="K18">
        <f t="shared" si="0"/>
        <v>-14155</v>
      </c>
      <c r="L18" t="s">
        <v>77</v>
      </c>
      <c r="M18" t="s">
        <v>78</v>
      </c>
      <c r="N18" t="s">
        <v>36</v>
      </c>
      <c r="O18" t="s">
        <v>28</v>
      </c>
      <c r="P18" t="s">
        <v>29</v>
      </c>
      <c r="Q18">
        <v>30</v>
      </c>
      <c r="R18">
        <v>-95.464100000000002</v>
      </c>
    </row>
    <row r="19" spans="1:18" x14ac:dyDescent="0.2">
      <c r="A19" t="s">
        <v>18</v>
      </c>
      <c r="B19" t="s">
        <v>19</v>
      </c>
      <c r="C19">
        <v>49</v>
      </c>
      <c r="D19" s="1">
        <v>44146.522546296299</v>
      </c>
      <c r="E19" t="s">
        <v>79</v>
      </c>
      <c r="F19" t="s">
        <v>21</v>
      </c>
      <c r="G19" t="s">
        <v>22</v>
      </c>
      <c r="H19" t="s">
        <v>23</v>
      </c>
      <c r="I19" t="s">
        <v>24</v>
      </c>
      <c r="J19">
        <v>49</v>
      </c>
      <c r="K19">
        <f>49-800-1-127</f>
        <v>-879</v>
      </c>
      <c r="L19" t="s">
        <v>80</v>
      </c>
      <c r="M19" t="s">
        <v>81</v>
      </c>
      <c r="N19" t="s">
        <v>36</v>
      </c>
      <c r="O19" t="s">
        <v>28</v>
      </c>
      <c r="P19" t="s">
        <v>29</v>
      </c>
      <c r="Q19">
        <v>30</v>
      </c>
      <c r="R19">
        <v>-95.464100000000002</v>
      </c>
    </row>
    <row r="20" spans="1:18" x14ac:dyDescent="0.2">
      <c r="A20" t="s">
        <v>18</v>
      </c>
      <c r="B20" t="s">
        <v>19</v>
      </c>
      <c r="C20">
        <v>49</v>
      </c>
      <c r="D20" s="1">
        <v>44144.484386574077</v>
      </c>
      <c r="E20" t="s">
        <v>82</v>
      </c>
      <c r="F20" t="s">
        <v>21</v>
      </c>
      <c r="G20" t="s">
        <v>22</v>
      </c>
      <c r="H20" t="s">
        <v>23</v>
      </c>
      <c r="I20" t="s">
        <v>24</v>
      </c>
      <c r="J20">
        <v>49</v>
      </c>
      <c r="K20">
        <f>49-800-1-127</f>
        <v>-879</v>
      </c>
      <c r="L20" t="s">
        <v>83</v>
      </c>
      <c r="M20" t="s">
        <v>84</v>
      </c>
      <c r="N20" t="s">
        <v>36</v>
      </c>
      <c r="O20" t="s">
        <v>28</v>
      </c>
      <c r="P20" t="s">
        <v>29</v>
      </c>
      <c r="Q20">
        <v>30</v>
      </c>
      <c r="R20">
        <v>-95.464100000000002</v>
      </c>
    </row>
    <row r="21" spans="1:18" x14ac:dyDescent="0.2">
      <c r="A21" t="s">
        <v>18</v>
      </c>
      <c r="B21" t="s">
        <v>19</v>
      </c>
      <c r="C21">
        <v>49</v>
      </c>
      <c r="D21" s="1">
        <v>44141.489363425928</v>
      </c>
      <c r="E21" t="s">
        <v>85</v>
      </c>
      <c r="F21" t="s">
        <v>21</v>
      </c>
      <c r="G21" t="s">
        <v>22</v>
      </c>
      <c r="H21" t="s">
        <v>23</v>
      </c>
      <c r="I21" t="s">
        <v>24</v>
      </c>
      <c r="J21">
        <v>49</v>
      </c>
      <c r="K21">
        <f>49-800-1-127</f>
        <v>-879</v>
      </c>
      <c r="L21" t="s">
        <v>86</v>
      </c>
      <c r="M21" t="s">
        <v>87</v>
      </c>
      <c r="N21" t="s">
        <v>36</v>
      </c>
      <c r="O21" t="s">
        <v>28</v>
      </c>
      <c r="P21" t="s">
        <v>29</v>
      </c>
      <c r="Q21">
        <v>30</v>
      </c>
      <c r="R21">
        <v>-95.464100000000002</v>
      </c>
    </row>
    <row r="22" spans="1:18" x14ac:dyDescent="0.2">
      <c r="A22" t="s">
        <v>18</v>
      </c>
      <c r="B22" t="s">
        <v>19</v>
      </c>
      <c r="C22">
        <v>49</v>
      </c>
      <c r="D22" s="1">
        <v>44140.510312500002</v>
      </c>
      <c r="E22" t="s">
        <v>88</v>
      </c>
      <c r="F22" t="s">
        <v>21</v>
      </c>
      <c r="G22" t="s">
        <v>22</v>
      </c>
      <c r="H22" t="s">
        <v>23</v>
      </c>
      <c r="I22" t="s">
        <v>24</v>
      </c>
      <c r="J22">
        <v>49</v>
      </c>
      <c r="K22">
        <f>49-800-1-127</f>
        <v>-879</v>
      </c>
      <c r="L22" t="s">
        <v>89</v>
      </c>
      <c r="M22" t="s">
        <v>90</v>
      </c>
      <c r="N22" t="s">
        <v>36</v>
      </c>
      <c r="O22" t="s">
        <v>28</v>
      </c>
      <c r="P22" t="s">
        <v>29</v>
      </c>
      <c r="Q22">
        <v>30</v>
      </c>
      <c r="R22">
        <v>-95.464100000000002</v>
      </c>
    </row>
    <row r="23" spans="1:18" x14ac:dyDescent="0.2">
      <c r="A23" t="s">
        <v>18</v>
      </c>
      <c r="B23" t="s">
        <v>19</v>
      </c>
      <c r="C23">
        <v>49</v>
      </c>
      <c r="D23" s="1">
        <v>44138.514618055553</v>
      </c>
      <c r="E23" t="s">
        <v>73</v>
      </c>
      <c r="F23" t="s">
        <v>21</v>
      </c>
      <c r="G23" t="s">
        <v>22</v>
      </c>
      <c r="H23" t="s">
        <v>23</v>
      </c>
      <c r="I23" t="s">
        <v>24</v>
      </c>
      <c r="J23">
        <v>49</v>
      </c>
      <c r="K23">
        <f>49-410-3967-4668</f>
        <v>-8996</v>
      </c>
      <c r="L23" t="s">
        <v>91</v>
      </c>
      <c r="M23" t="s">
        <v>92</v>
      </c>
      <c r="N23" t="s">
        <v>36</v>
      </c>
      <c r="O23" t="s">
        <v>28</v>
      </c>
      <c r="P23" t="s">
        <v>29</v>
      </c>
      <c r="Q23">
        <v>30</v>
      </c>
      <c r="R23">
        <v>-95.464100000000002</v>
      </c>
    </row>
    <row r="24" spans="1:18" x14ac:dyDescent="0.2">
      <c r="A24" t="s">
        <v>18</v>
      </c>
      <c r="B24" t="s">
        <v>19</v>
      </c>
      <c r="C24">
        <v>49</v>
      </c>
      <c r="D24" s="1">
        <v>44137.529178240744</v>
      </c>
      <c r="E24" t="s">
        <v>93</v>
      </c>
      <c r="F24" t="s">
        <v>21</v>
      </c>
      <c r="G24" t="s">
        <v>22</v>
      </c>
      <c r="H24" t="s">
        <v>23</v>
      </c>
      <c r="I24" t="s">
        <v>24</v>
      </c>
      <c r="J24">
        <v>49</v>
      </c>
      <c r="K24">
        <f>49-410-3967-4668</f>
        <v>-8996</v>
      </c>
      <c r="L24" t="s">
        <v>94</v>
      </c>
      <c r="M24" t="s">
        <v>95</v>
      </c>
      <c r="N24" t="s">
        <v>36</v>
      </c>
      <c r="O24" t="s">
        <v>28</v>
      </c>
      <c r="P24" t="s">
        <v>29</v>
      </c>
      <c r="Q24">
        <v>30</v>
      </c>
      <c r="R24">
        <v>-95.464100000000002</v>
      </c>
    </row>
    <row r="25" spans="1:18" x14ac:dyDescent="0.2">
      <c r="A25" t="s">
        <v>18</v>
      </c>
      <c r="B25" t="s">
        <v>19</v>
      </c>
      <c r="C25">
        <v>49</v>
      </c>
      <c r="D25" s="1">
        <v>44090.433877314812</v>
      </c>
      <c r="E25" t="s">
        <v>96</v>
      </c>
      <c r="F25" t="s">
        <v>21</v>
      </c>
      <c r="G25" t="s">
        <v>22</v>
      </c>
      <c r="H25" t="s">
        <v>23</v>
      </c>
      <c r="I25" t="s">
        <v>24</v>
      </c>
      <c r="J25">
        <v>49</v>
      </c>
      <c r="K25">
        <f>49-303-119-7573</f>
        <v>-7946</v>
      </c>
      <c r="L25" t="s">
        <v>97</v>
      </c>
      <c r="M25" t="s">
        <v>98</v>
      </c>
      <c r="N25" t="s">
        <v>36</v>
      </c>
      <c r="O25" t="s">
        <v>28</v>
      </c>
      <c r="P25" t="s">
        <v>29</v>
      </c>
      <c r="Q25">
        <v>30</v>
      </c>
      <c r="R25">
        <v>-95.464100000000002</v>
      </c>
    </row>
    <row r="26" spans="1:18" x14ac:dyDescent="0.2">
      <c r="A26" t="s">
        <v>18</v>
      </c>
      <c r="B26" t="s">
        <v>19</v>
      </c>
      <c r="C26">
        <v>49</v>
      </c>
      <c r="D26" s="1">
        <v>44089.575219907405</v>
      </c>
      <c r="E26" t="s">
        <v>99</v>
      </c>
      <c r="F26" t="s">
        <v>21</v>
      </c>
      <c r="G26" t="s">
        <v>22</v>
      </c>
      <c r="H26" t="s">
        <v>23</v>
      </c>
      <c r="I26" t="s">
        <v>24</v>
      </c>
      <c r="J26">
        <v>49</v>
      </c>
      <c r="K26">
        <f>49-303-119-7573</f>
        <v>-7946</v>
      </c>
      <c r="L26" t="s">
        <v>100</v>
      </c>
      <c r="M26" t="s">
        <v>101</v>
      </c>
      <c r="N26" t="s">
        <v>36</v>
      </c>
      <c r="O26" t="s">
        <v>28</v>
      </c>
      <c r="P26" t="s">
        <v>29</v>
      </c>
      <c r="Q26">
        <v>30</v>
      </c>
      <c r="R26">
        <v>-95.464100000000002</v>
      </c>
    </row>
    <row r="27" spans="1:18" x14ac:dyDescent="0.2">
      <c r="A27" t="s">
        <v>18</v>
      </c>
      <c r="B27" t="s">
        <v>19</v>
      </c>
      <c r="C27">
        <v>49</v>
      </c>
      <c r="D27" s="1">
        <v>44089.475937499999</v>
      </c>
      <c r="E27" t="s">
        <v>99</v>
      </c>
      <c r="F27" t="s">
        <v>21</v>
      </c>
      <c r="G27" t="s">
        <v>22</v>
      </c>
      <c r="H27" t="s">
        <v>23</v>
      </c>
      <c r="I27" t="s">
        <v>24</v>
      </c>
      <c r="J27">
        <v>49</v>
      </c>
      <c r="K27">
        <f>49-536-1654-9012</f>
        <v>-11153</v>
      </c>
      <c r="L27" t="s">
        <v>102</v>
      </c>
      <c r="M27" t="s">
        <v>103</v>
      </c>
      <c r="N27" t="s">
        <v>36</v>
      </c>
      <c r="O27" t="s">
        <v>28</v>
      </c>
      <c r="P27" t="s">
        <v>29</v>
      </c>
      <c r="Q27">
        <v>30</v>
      </c>
      <c r="R27">
        <v>-95.464100000000002</v>
      </c>
    </row>
    <row r="28" spans="1:18" x14ac:dyDescent="0.2">
      <c r="A28" t="s">
        <v>18</v>
      </c>
      <c r="B28" t="s">
        <v>19</v>
      </c>
      <c r="C28">
        <v>49</v>
      </c>
      <c r="D28" s="1">
        <v>44085.449224537035</v>
      </c>
      <c r="E28" t="s">
        <v>104</v>
      </c>
      <c r="F28" t="s">
        <v>21</v>
      </c>
      <c r="G28" t="s">
        <v>22</v>
      </c>
      <c r="H28" t="s">
        <v>23</v>
      </c>
      <c r="I28" t="s">
        <v>24</v>
      </c>
      <c r="J28">
        <v>49</v>
      </c>
      <c r="K28">
        <f>49-536-1654-9012</f>
        <v>-11153</v>
      </c>
      <c r="L28" t="s">
        <v>105</v>
      </c>
      <c r="M28" t="s">
        <v>106</v>
      </c>
      <c r="N28" t="s">
        <v>36</v>
      </c>
      <c r="O28" t="s">
        <v>28</v>
      </c>
      <c r="P28" t="s">
        <v>29</v>
      </c>
      <c r="Q28">
        <v>30</v>
      </c>
      <c r="R28">
        <v>-95.464100000000002</v>
      </c>
    </row>
    <row r="29" spans="1:18" x14ac:dyDescent="0.2">
      <c r="A29" t="s">
        <v>18</v>
      </c>
      <c r="B29" t="s">
        <v>19</v>
      </c>
      <c r="C29">
        <v>49</v>
      </c>
      <c r="D29" s="1">
        <v>44084.443449074075</v>
      </c>
      <c r="E29" t="s">
        <v>107</v>
      </c>
      <c r="F29" t="s">
        <v>21</v>
      </c>
      <c r="G29" t="s">
        <v>22</v>
      </c>
      <c r="H29" t="s">
        <v>23</v>
      </c>
      <c r="I29" t="s">
        <v>24</v>
      </c>
      <c r="J29">
        <v>49</v>
      </c>
      <c r="K29">
        <f>49-322-2109-7938</f>
        <v>-10320</v>
      </c>
      <c r="L29" t="s">
        <v>108</v>
      </c>
      <c r="M29" t="s">
        <v>109</v>
      </c>
      <c r="N29" t="s">
        <v>36</v>
      </c>
      <c r="O29" t="s">
        <v>28</v>
      </c>
      <c r="P29" t="s">
        <v>29</v>
      </c>
      <c r="Q29">
        <v>30</v>
      </c>
      <c r="R29">
        <v>-95.464100000000002</v>
      </c>
    </row>
    <row r="30" spans="1:18" x14ac:dyDescent="0.2">
      <c r="A30" t="s">
        <v>18</v>
      </c>
      <c r="B30" t="s">
        <v>19</v>
      </c>
      <c r="C30">
        <v>49</v>
      </c>
      <c r="D30" s="1">
        <v>44081.388078703705</v>
      </c>
      <c r="E30" t="s">
        <v>110</v>
      </c>
      <c r="F30" t="s">
        <v>21</v>
      </c>
      <c r="G30" t="s">
        <v>22</v>
      </c>
      <c r="H30" t="s">
        <v>23</v>
      </c>
      <c r="I30" t="s">
        <v>24</v>
      </c>
      <c r="J30">
        <v>49</v>
      </c>
      <c r="K30">
        <f>49-657-1958-4771</f>
        <v>-7337</v>
      </c>
      <c r="L30" t="s">
        <v>111</v>
      </c>
      <c r="M30" t="s">
        <v>112</v>
      </c>
      <c r="N30" t="s">
        <v>36</v>
      </c>
      <c r="O30" t="s">
        <v>28</v>
      </c>
      <c r="P30" t="s">
        <v>29</v>
      </c>
      <c r="Q30">
        <v>30</v>
      </c>
      <c r="R30">
        <v>-95.464100000000002</v>
      </c>
    </row>
    <row r="31" spans="1:18" x14ac:dyDescent="0.2">
      <c r="A31" t="s">
        <v>18</v>
      </c>
      <c r="B31" t="s">
        <v>19</v>
      </c>
      <c r="C31">
        <v>49</v>
      </c>
      <c r="D31" s="1">
        <v>44081.673101851855</v>
      </c>
      <c r="E31" t="s">
        <v>110</v>
      </c>
      <c r="F31" t="s">
        <v>21</v>
      </c>
      <c r="G31" t="s">
        <v>22</v>
      </c>
      <c r="H31" t="s">
        <v>23</v>
      </c>
      <c r="I31" t="s">
        <v>24</v>
      </c>
      <c r="J31">
        <v>49</v>
      </c>
      <c r="K31">
        <f>49-322-2185-2039</f>
        <v>-4497</v>
      </c>
      <c r="L31" t="s">
        <v>113</v>
      </c>
      <c r="M31" t="s">
        <v>114</v>
      </c>
      <c r="N31" t="s">
        <v>36</v>
      </c>
      <c r="O31" t="s">
        <v>28</v>
      </c>
      <c r="P31" t="s">
        <v>29</v>
      </c>
      <c r="Q31">
        <v>30</v>
      </c>
      <c r="R31">
        <v>-95.464100000000002</v>
      </c>
    </row>
    <row r="32" spans="1:18" x14ac:dyDescent="0.2">
      <c r="A32" t="s">
        <v>18</v>
      </c>
      <c r="B32" t="s">
        <v>19</v>
      </c>
      <c r="C32">
        <v>49</v>
      </c>
      <c r="D32" s="1">
        <v>44078.664201388892</v>
      </c>
      <c r="E32" t="s">
        <v>115</v>
      </c>
      <c r="F32" t="s">
        <v>21</v>
      </c>
      <c r="G32" t="s">
        <v>22</v>
      </c>
      <c r="H32" t="s">
        <v>23</v>
      </c>
      <c r="I32" t="s">
        <v>24</v>
      </c>
      <c r="J32">
        <v>49</v>
      </c>
      <c r="K32">
        <f>49-657-1958-4771</f>
        <v>-7337</v>
      </c>
      <c r="L32" t="s">
        <v>116</v>
      </c>
      <c r="M32" t="s">
        <v>117</v>
      </c>
      <c r="N32" t="s">
        <v>36</v>
      </c>
      <c r="O32" t="s">
        <v>28</v>
      </c>
      <c r="P32" t="s">
        <v>29</v>
      </c>
      <c r="Q32">
        <v>30</v>
      </c>
      <c r="R32">
        <v>-95.464100000000002</v>
      </c>
    </row>
    <row r="33" spans="1:18" x14ac:dyDescent="0.2">
      <c r="A33" t="s">
        <v>18</v>
      </c>
      <c r="B33" t="s">
        <v>19</v>
      </c>
      <c r="C33">
        <v>49</v>
      </c>
      <c r="D33" s="1">
        <v>44078.417870370373</v>
      </c>
      <c r="E33" t="s">
        <v>115</v>
      </c>
      <c r="F33" t="s">
        <v>21</v>
      </c>
      <c r="G33" t="s">
        <v>22</v>
      </c>
      <c r="H33" t="s">
        <v>23</v>
      </c>
      <c r="I33" t="s">
        <v>24</v>
      </c>
      <c r="J33">
        <v>49</v>
      </c>
      <c r="K33">
        <f t="shared" ref="K33:K38" si="1">49-322-2185-2015</f>
        <v>-4473</v>
      </c>
      <c r="L33" t="s">
        <v>118</v>
      </c>
      <c r="M33" t="s">
        <v>119</v>
      </c>
      <c r="N33" t="s">
        <v>36</v>
      </c>
      <c r="O33" t="s">
        <v>28</v>
      </c>
      <c r="P33" t="s">
        <v>29</v>
      </c>
      <c r="Q33">
        <v>30</v>
      </c>
      <c r="R33">
        <v>-95.464100000000002</v>
      </c>
    </row>
    <row r="34" spans="1:18" x14ac:dyDescent="0.2">
      <c r="A34" t="s">
        <v>18</v>
      </c>
      <c r="B34" t="s">
        <v>19</v>
      </c>
      <c r="C34">
        <v>49</v>
      </c>
      <c r="D34" s="1">
        <v>44077.547824074078</v>
      </c>
      <c r="E34" t="s">
        <v>76</v>
      </c>
      <c r="F34" t="s">
        <v>21</v>
      </c>
      <c r="G34" t="s">
        <v>22</v>
      </c>
      <c r="H34" t="s">
        <v>23</v>
      </c>
      <c r="I34" t="s">
        <v>24</v>
      </c>
      <c r="J34">
        <v>49</v>
      </c>
      <c r="K34">
        <f t="shared" si="1"/>
        <v>-4473</v>
      </c>
      <c r="L34" t="s">
        <v>120</v>
      </c>
      <c r="M34" t="s">
        <v>121</v>
      </c>
      <c r="N34" t="s">
        <v>36</v>
      </c>
      <c r="O34" t="s">
        <v>28</v>
      </c>
      <c r="P34" t="s">
        <v>29</v>
      </c>
      <c r="Q34">
        <v>30</v>
      </c>
      <c r="R34">
        <v>-95.464100000000002</v>
      </c>
    </row>
    <row r="35" spans="1:18" x14ac:dyDescent="0.2">
      <c r="A35" t="s">
        <v>18</v>
      </c>
      <c r="B35" t="s">
        <v>19</v>
      </c>
      <c r="C35">
        <v>49</v>
      </c>
      <c r="D35" s="1">
        <v>44076.394525462965</v>
      </c>
      <c r="E35" t="s">
        <v>52</v>
      </c>
      <c r="F35" t="s">
        <v>21</v>
      </c>
      <c r="G35" t="s">
        <v>22</v>
      </c>
      <c r="H35" t="s">
        <v>23</v>
      </c>
      <c r="I35" t="s">
        <v>24</v>
      </c>
      <c r="J35">
        <v>49</v>
      </c>
      <c r="K35">
        <f t="shared" si="1"/>
        <v>-4473</v>
      </c>
      <c r="L35" t="s">
        <v>122</v>
      </c>
      <c r="M35" t="s">
        <v>123</v>
      </c>
      <c r="N35" t="s">
        <v>36</v>
      </c>
      <c r="O35" t="s">
        <v>28</v>
      </c>
      <c r="P35" t="s">
        <v>29</v>
      </c>
      <c r="Q35">
        <v>30</v>
      </c>
      <c r="R35">
        <v>-95.464100000000002</v>
      </c>
    </row>
    <row r="36" spans="1:18" x14ac:dyDescent="0.2">
      <c r="A36" t="s">
        <v>18</v>
      </c>
      <c r="B36" t="s">
        <v>19</v>
      </c>
      <c r="C36">
        <v>49</v>
      </c>
      <c r="D36" s="1">
        <v>44074.394571759258</v>
      </c>
      <c r="E36" t="s">
        <v>56</v>
      </c>
      <c r="F36" t="s">
        <v>21</v>
      </c>
      <c r="G36" t="s">
        <v>22</v>
      </c>
      <c r="H36" t="s">
        <v>23</v>
      </c>
      <c r="I36" t="s">
        <v>24</v>
      </c>
      <c r="J36">
        <v>49</v>
      </c>
      <c r="K36">
        <f t="shared" si="1"/>
        <v>-4473</v>
      </c>
      <c r="L36" t="s">
        <v>124</v>
      </c>
      <c r="M36" t="s">
        <v>125</v>
      </c>
      <c r="N36" t="s">
        <v>36</v>
      </c>
      <c r="O36" t="s">
        <v>28</v>
      </c>
      <c r="P36" t="s">
        <v>29</v>
      </c>
      <c r="Q36">
        <v>30</v>
      </c>
      <c r="R36">
        <v>-95.464100000000002</v>
      </c>
    </row>
    <row r="37" spans="1:18" x14ac:dyDescent="0.2">
      <c r="A37" t="s">
        <v>18</v>
      </c>
      <c r="B37" t="s">
        <v>19</v>
      </c>
      <c r="C37">
        <v>49</v>
      </c>
      <c r="D37" s="1">
        <v>44072.637627314813</v>
      </c>
      <c r="E37" t="s">
        <v>79</v>
      </c>
      <c r="F37" t="s">
        <v>21</v>
      </c>
      <c r="G37" t="s">
        <v>22</v>
      </c>
      <c r="H37" t="s">
        <v>23</v>
      </c>
      <c r="I37" t="s">
        <v>24</v>
      </c>
      <c r="J37">
        <v>49</v>
      </c>
      <c r="K37">
        <f t="shared" si="1"/>
        <v>-4473</v>
      </c>
      <c r="L37" t="s">
        <v>126</v>
      </c>
      <c r="M37" t="s">
        <v>127</v>
      </c>
      <c r="N37" t="s">
        <v>36</v>
      </c>
      <c r="O37" t="s">
        <v>28</v>
      </c>
      <c r="P37" t="s">
        <v>29</v>
      </c>
      <c r="Q37">
        <v>30</v>
      </c>
      <c r="R37">
        <v>-95.464100000000002</v>
      </c>
    </row>
    <row r="38" spans="1:18" x14ac:dyDescent="0.2">
      <c r="A38" t="s">
        <v>18</v>
      </c>
      <c r="B38" t="s">
        <v>19</v>
      </c>
      <c r="C38">
        <v>49</v>
      </c>
      <c r="D38" s="1">
        <v>44071.388622685183</v>
      </c>
      <c r="E38" t="s">
        <v>128</v>
      </c>
      <c r="F38" t="s">
        <v>21</v>
      </c>
      <c r="G38" t="s">
        <v>22</v>
      </c>
      <c r="H38" t="s">
        <v>23</v>
      </c>
      <c r="I38" t="s">
        <v>24</v>
      </c>
      <c r="J38">
        <v>49</v>
      </c>
      <c r="K38">
        <f t="shared" si="1"/>
        <v>-4473</v>
      </c>
      <c r="L38" t="s">
        <v>129</v>
      </c>
      <c r="M38" t="s">
        <v>130</v>
      </c>
      <c r="N38" t="s">
        <v>36</v>
      </c>
      <c r="O38" t="s">
        <v>28</v>
      </c>
      <c r="P38" t="s">
        <v>29</v>
      </c>
      <c r="Q38">
        <v>30</v>
      </c>
      <c r="R38">
        <v>-95.464100000000002</v>
      </c>
    </row>
    <row r="39" spans="1:18" x14ac:dyDescent="0.2">
      <c r="A39" t="s">
        <v>18</v>
      </c>
      <c r="B39" t="s">
        <v>19</v>
      </c>
      <c r="C39">
        <v>49</v>
      </c>
      <c r="D39" s="1">
        <v>44067.446087962962</v>
      </c>
      <c r="E39" t="s">
        <v>131</v>
      </c>
      <c r="F39" t="s">
        <v>21</v>
      </c>
      <c r="G39" t="s">
        <v>22</v>
      </c>
      <c r="H39" t="s">
        <v>23</v>
      </c>
      <c r="I39" t="s">
        <v>24</v>
      </c>
      <c r="J39">
        <v>49</v>
      </c>
      <c r="K39">
        <f>49-352-5523-4725</f>
        <v>-10551</v>
      </c>
      <c r="L39" t="s">
        <v>132</v>
      </c>
      <c r="M39" t="s">
        <v>133</v>
      </c>
      <c r="N39" t="s">
        <v>36</v>
      </c>
      <c r="O39" t="s">
        <v>134</v>
      </c>
      <c r="P39" t="s">
        <v>29</v>
      </c>
      <c r="Q39">
        <v>30</v>
      </c>
      <c r="R39">
        <v>-95.464100000000002</v>
      </c>
    </row>
    <row r="40" spans="1:18" x14ac:dyDescent="0.2">
      <c r="A40" t="s">
        <v>18</v>
      </c>
      <c r="B40" t="s">
        <v>19</v>
      </c>
      <c r="C40">
        <v>49</v>
      </c>
      <c r="D40" s="1">
        <v>44067.421689814815</v>
      </c>
      <c r="E40" t="s">
        <v>135</v>
      </c>
      <c r="F40" t="s">
        <v>21</v>
      </c>
      <c r="G40" t="s">
        <v>22</v>
      </c>
      <c r="H40" t="s">
        <v>23</v>
      </c>
      <c r="I40" t="s">
        <v>24</v>
      </c>
      <c r="J40">
        <v>49</v>
      </c>
      <c r="K40">
        <f>49-352-5523-4725</f>
        <v>-10551</v>
      </c>
      <c r="L40" t="s">
        <v>136</v>
      </c>
      <c r="M40" t="s">
        <v>137</v>
      </c>
      <c r="N40" t="s">
        <v>36</v>
      </c>
      <c r="O40" t="s">
        <v>28</v>
      </c>
      <c r="P40" t="s">
        <v>29</v>
      </c>
      <c r="Q40">
        <v>30</v>
      </c>
      <c r="R40">
        <v>-95.464100000000002</v>
      </c>
    </row>
    <row r="41" spans="1:18" x14ac:dyDescent="0.2">
      <c r="A41" t="s">
        <v>18</v>
      </c>
      <c r="B41" t="s">
        <v>19</v>
      </c>
      <c r="C41">
        <v>49</v>
      </c>
      <c r="D41" s="1">
        <v>44064.696458333332</v>
      </c>
      <c r="E41" t="s">
        <v>138</v>
      </c>
      <c r="F41" t="s">
        <v>21</v>
      </c>
      <c r="G41" t="s">
        <v>22</v>
      </c>
      <c r="H41" t="s">
        <v>23</v>
      </c>
      <c r="I41" t="s">
        <v>24</v>
      </c>
      <c r="J41">
        <v>49</v>
      </c>
      <c r="K41">
        <f>49-352-5523-4725</f>
        <v>-10551</v>
      </c>
      <c r="L41" t="s">
        <v>139</v>
      </c>
      <c r="M41" t="s">
        <v>140</v>
      </c>
      <c r="N41" t="s">
        <v>36</v>
      </c>
      <c r="O41" t="s">
        <v>28</v>
      </c>
      <c r="P41" t="s">
        <v>29</v>
      </c>
      <c r="Q41">
        <v>30</v>
      </c>
      <c r="R41">
        <v>-95.464100000000002</v>
      </c>
    </row>
    <row r="42" spans="1:18" x14ac:dyDescent="0.2">
      <c r="A42" t="s">
        <v>18</v>
      </c>
      <c r="B42" t="s">
        <v>19</v>
      </c>
      <c r="C42">
        <v>49</v>
      </c>
      <c r="D42" s="1">
        <v>44064.402060185188</v>
      </c>
      <c r="E42" t="s">
        <v>138</v>
      </c>
      <c r="F42" t="s">
        <v>21</v>
      </c>
      <c r="G42" t="s">
        <v>22</v>
      </c>
      <c r="H42" t="s">
        <v>23</v>
      </c>
      <c r="I42" t="s">
        <v>24</v>
      </c>
      <c r="J42">
        <v>49</v>
      </c>
      <c r="K42">
        <f>49-212-9956-9785</f>
        <v>-19904</v>
      </c>
      <c r="L42" t="s">
        <v>141</v>
      </c>
      <c r="M42" t="s">
        <v>142</v>
      </c>
      <c r="N42" t="s">
        <v>36</v>
      </c>
      <c r="O42" t="s">
        <v>134</v>
      </c>
      <c r="P42" t="s">
        <v>29</v>
      </c>
      <c r="Q42">
        <v>30</v>
      </c>
      <c r="R42">
        <v>-95.464100000000002</v>
      </c>
    </row>
    <row r="43" spans="1:18" x14ac:dyDescent="0.2">
      <c r="A43" t="s">
        <v>18</v>
      </c>
      <c r="B43" t="s">
        <v>19</v>
      </c>
      <c r="C43">
        <v>49</v>
      </c>
      <c r="D43" s="1">
        <v>44064.471944444442</v>
      </c>
      <c r="E43" t="s">
        <v>143</v>
      </c>
      <c r="F43" t="s">
        <v>21</v>
      </c>
      <c r="G43" t="s">
        <v>22</v>
      </c>
      <c r="H43" t="s">
        <v>23</v>
      </c>
      <c r="I43" t="s">
        <v>24</v>
      </c>
      <c r="J43">
        <v>49</v>
      </c>
      <c r="K43">
        <f>49-341-9288-1197</f>
        <v>-10777</v>
      </c>
      <c r="L43" t="s">
        <v>144</v>
      </c>
      <c r="M43" t="s">
        <v>145</v>
      </c>
      <c r="N43" t="s">
        <v>36</v>
      </c>
      <c r="O43" t="s">
        <v>134</v>
      </c>
      <c r="P43" t="s">
        <v>29</v>
      </c>
      <c r="Q43">
        <v>30</v>
      </c>
      <c r="R43">
        <v>-95.464100000000002</v>
      </c>
    </row>
    <row r="44" spans="1:18" x14ac:dyDescent="0.2">
      <c r="A44" t="s">
        <v>18</v>
      </c>
      <c r="B44" t="s">
        <v>19</v>
      </c>
      <c r="C44">
        <v>49</v>
      </c>
      <c r="D44" s="1">
        <v>44063.659212962964</v>
      </c>
      <c r="E44" t="s">
        <v>146</v>
      </c>
      <c r="F44" t="s">
        <v>21</v>
      </c>
      <c r="G44" t="s">
        <v>22</v>
      </c>
      <c r="H44" t="s">
        <v>23</v>
      </c>
      <c r="I44" t="s">
        <v>24</v>
      </c>
      <c r="J44">
        <v>49</v>
      </c>
      <c r="K44">
        <f>49-341-9288-1921</f>
        <v>-11501</v>
      </c>
      <c r="L44" t="s">
        <v>147</v>
      </c>
      <c r="M44" t="s">
        <v>148</v>
      </c>
      <c r="N44" t="s">
        <v>36</v>
      </c>
      <c r="O44" t="s">
        <v>28</v>
      </c>
      <c r="P44" t="s">
        <v>29</v>
      </c>
      <c r="Q44">
        <v>30</v>
      </c>
      <c r="R44">
        <v>-95.464100000000002</v>
      </c>
    </row>
    <row r="45" spans="1:18" x14ac:dyDescent="0.2">
      <c r="A45" t="s">
        <v>18</v>
      </c>
      <c r="B45" t="s">
        <v>19</v>
      </c>
      <c r="C45">
        <v>49</v>
      </c>
      <c r="D45" s="1">
        <v>44063.534756944442</v>
      </c>
      <c r="E45" t="s">
        <v>149</v>
      </c>
      <c r="F45" t="s">
        <v>21</v>
      </c>
      <c r="G45" t="s">
        <v>22</v>
      </c>
      <c r="H45" t="s">
        <v>23</v>
      </c>
      <c r="I45" t="s">
        <v>24</v>
      </c>
      <c r="J45">
        <v>49</v>
      </c>
      <c r="K45">
        <f>49-212-9956-9785</f>
        <v>-19904</v>
      </c>
      <c r="L45" t="s">
        <v>150</v>
      </c>
      <c r="M45" t="s">
        <v>151</v>
      </c>
      <c r="N45" t="s">
        <v>36</v>
      </c>
      <c r="O45" t="s">
        <v>28</v>
      </c>
      <c r="P45" t="s">
        <v>29</v>
      </c>
      <c r="Q45">
        <v>30</v>
      </c>
      <c r="R45">
        <v>-95.464100000000002</v>
      </c>
    </row>
    <row r="46" spans="1:18" x14ac:dyDescent="0.2">
      <c r="A46" t="s">
        <v>18</v>
      </c>
      <c r="B46" t="s">
        <v>19</v>
      </c>
      <c r="C46">
        <v>49</v>
      </c>
      <c r="D46" s="1">
        <v>44054.573194444441</v>
      </c>
      <c r="E46" t="s">
        <v>152</v>
      </c>
      <c r="F46" t="s">
        <v>21</v>
      </c>
      <c r="G46" t="s">
        <v>22</v>
      </c>
      <c r="H46" t="s">
        <v>23</v>
      </c>
      <c r="I46" t="s">
        <v>24</v>
      </c>
      <c r="J46">
        <v>49</v>
      </c>
      <c r="K46">
        <f>49-322-2185-3024</f>
        <v>-5482</v>
      </c>
      <c r="L46" t="s">
        <v>153</v>
      </c>
      <c r="M46" t="s">
        <v>154</v>
      </c>
      <c r="N46" t="s">
        <v>36</v>
      </c>
      <c r="O46" t="s">
        <v>28</v>
      </c>
      <c r="P46" t="s">
        <v>29</v>
      </c>
      <c r="Q46">
        <v>30</v>
      </c>
      <c r="R46">
        <v>-95.464100000000002</v>
      </c>
    </row>
    <row r="47" spans="1:18" x14ac:dyDescent="0.2">
      <c r="A47" t="s">
        <v>18</v>
      </c>
      <c r="B47" t="s">
        <v>19</v>
      </c>
      <c r="C47">
        <v>49</v>
      </c>
      <c r="D47" s="1">
        <v>44054.566331018519</v>
      </c>
      <c r="E47" t="s">
        <v>155</v>
      </c>
      <c r="F47" t="s">
        <v>21</v>
      </c>
      <c r="G47" t="s">
        <v>22</v>
      </c>
      <c r="H47" t="s">
        <v>23</v>
      </c>
      <c r="I47" t="s">
        <v>24</v>
      </c>
      <c r="J47">
        <v>49</v>
      </c>
      <c r="K47">
        <f>49-322-1112-1560</f>
        <v>-2945</v>
      </c>
      <c r="L47" t="s">
        <v>156</v>
      </c>
      <c r="M47" t="s">
        <v>157</v>
      </c>
      <c r="N47" t="s">
        <v>36</v>
      </c>
      <c r="O47" t="s">
        <v>134</v>
      </c>
      <c r="P47" t="s">
        <v>29</v>
      </c>
      <c r="Q47">
        <v>30</v>
      </c>
      <c r="R47">
        <v>-95.464100000000002</v>
      </c>
    </row>
    <row r="48" spans="1:18" x14ac:dyDescent="0.2">
      <c r="A48" t="s">
        <v>18</v>
      </c>
      <c r="B48" t="s">
        <v>19</v>
      </c>
      <c r="C48">
        <v>49</v>
      </c>
      <c r="D48" s="1">
        <v>44053.508275462962</v>
      </c>
      <c r="E48" t="s">
        <v>158</v>
      </c>
      <c r="F48" t="s">
        <v>21</v>
      </c>
      <c r="G48" t="s">
        <v>22</v>
      </c>
      <c r="H48" t="s">
        <v>23</v>
      </c>
      <c r="I48" t="s">
        <v>24</v>
      </c>
      <c r="J48">
        <v>49</v>
      </c>
      <c r="K48">
        <f>49-341-9288-1920</f>
        <v>-11500</v>
      </c>
      <c r="L48" t="s">
        <v>159</v>
      </c>
      <c r="M48" t="s">
        <v>160</v>
      </c>
      <c r="N48" t="s">
        <v>36</v>
      </c>
      <c r="O48" t="s">
        <v>28</v>
      </c>
      <c r="P48" t="s">
        <v>29</v>
      </c>
      <c r="Q48">
        <v>30</v>
      </c>
      <c r="R48">
        <v>-95.464100000000002</v>
      </c>
    </row>
    <row r="49" spans="1:18" x14ac:dyDescent="0.2">
      <c r="A49" t="s">
        <v>18</v>
      </c>
      <c r="B49" t="s">
        <v>19</v>
      </c>
      <c r="C49">
        <v>49</v>
      </c>
      <c r="D49" s="1">
        <v>44053.393680555557</v>
      </c>
      <c r="E49" t="s">
        <v>161</v>
      </c>
      <c r="F49" t="s">
        <v>21</v>
      </c>
      <c r="G49" t="s">
        <v>22</v>
      </c>
      <c r="H49" t="s">
        <v>23</v>
      </c>
      <c r="I49" t="s">
        <v>24</v>
      </c>
      <c r="J49">
        <v>49</v>
      </c>
      <c r="K49">
        <f>49-322-2185-3024</f>
        <v>-5482</v>
      </c>
      <c r="L49" t="s">
        <v>162</v>
      </c>
      <c r="M49" t="s">
        <v>163</v>
      </c>
      <c r="N49" t="s">
        <v>36</v>
      </c>
      <c r="O49" t="s">
        <v>28</v>
      </c>
      <c r="P49" t="s">
        <v>29</v>
      </c>
      <c r="Q49">
        <v>30</v>
      </c>
      <c r="R49">
        <v>-95.464100000000002</v>
      </c>
    </row>
    <row r="50" spans="1:18" x14ac:dyDescent="0.2">
      <c r="A50" t="s">
        <v>164</v>
      </c>
      <c r="B50" t="s">
        <v>19</v>
      </c>
      <c r="C50">
        <v>81</v>
      </c>
      <c r="D50" s="1">
        <v>44051.408865740741</v>
      </c>
      <c r="E50" t="s">
        <v>165</v>
      </c>
      <c r="F50" t="s">
        <v>21</v>
      </c>
      <c r="G50" t="s">
        <v>22</v>
      </c>
      <c r="H50" t="s">
        <v>23</v>
      </c>
      <c r="I50" t="s">
        <v>53</v>
      </c>
      <c r="J50">
        <v>81</v>
      </c>
      <c r="K50">
        <f>81-503-185-7535</f>
        <v>-8142</v>
      </c>
      <c r="L50" t="s">
        <v>166</v>
      </c>
      <c r="M50" t="s">
        <v>167</v>
      </c>
      <c r="N50" t="s">
        <v>36</v>
      </c>
      <c r="O50" t="s">
        <v>28</v>
      </c>
      <c r="P50" t="s">
        <v>29</v>
      </c>
      <c r="Q50">
        <v>30</v>
      </c>
      <c r="R50">
        <v>-95.464100000000002</v>
      </c>
    </row>
    <row r="51" spans="1:18" x14ac:dyDescent="0.2">
      <c r="A51" t="s">
        <v>18</v>
      </c>
      <c r="B51" t="s">
        <v>19</v>
      </c>
      <c r="C51">
        <v>81</v>
      </c>
      <c r="D51" s="1">
        <v>44049.409537037034</v>
      </c>
      <c r="E51" t="s">
        <v>168</v>
      </c>
      <c r="F51" t="s">
        <v>21</v>
      </c>
      <c r="G51" t="s">
        <v>22</v>
      </c>
      <c r="H51" t="s">
        <v>23</v>
      </c>
      <c r="I51" t="s">
        <v>53</v>
      </c>
      <c r="J51">
        <v>81</v>
      </c>
      <c r="K51">
        <f>81-503-185-7535</f>
        <v>-8142</v>
      </c>
      <c r="L51" t="s">
        <v>169</v>
      </c>
      <c r="M51" t="s">
        <v>170</v>
      </c>
      <c r="N51" t="s">
        <v>36</v>
      </c>
      <c r="O51" t="s">
        <v>28</v>
      </c>
      <c r="P51" t="s">
        <v>29</v>
      </c>
      <c r="Q51">
        <v>30</v>
      </c>
      <c r="R51">
        <v>-95.464100000000002</v>
      </c>
    </row>
    <row r="52" spans="1:18" x14ac:dyDescent="0.2">
      <c r="A52" t="s">
        <v>18</v>
      </c>
      <c r="B52" t="s">
        <v>19</v>
      </c>
      <c r="C52">
        <v>49</v>
      </c>
      <c r="D52" s="1">
        <v>44047.511504629627</v>
      </c>
      <c r="E52" t="s">
        <v>171</v>
      </c>
      <c r="F52" t="s">
        <v>21</v>
      </c>
      <c r="G52" t="s">
        <v>22</v>
      </c>
      <c r="H52" t="s">
        <v>23</v>
      </c>
      <c r="I52" t="s">
        <v>24</v>
      </c>
      <c r="J52">
        <v>49</v>
      </c>
      <c r="K52">
        <f>49-220-5942-4020</f>
        <v>-10133</v>
      </c>
      <c r="L52" t="s">
        <v>172</v>
      </c>
      <c r="M52" t="s">
        <v>173</v>
      </c>
      <c r="N52" t="s">
        <v>36</v>
      </c>
      <c r="O52" t="s">
        <v>28</v>
      </c>
      <c r="P52" t="s">
        <v>29</v>
      </c>
      <c r="Q52">
        <v>30</v>
      </c>
      <c r="R52">
        <v>-95.464100000000002</v>
      </c>
    </row>
    <row r="53" spans="1:18" x14ac:dyDescent="0.2">
      <c r="A53" t="s">
        <v>18</v>
      </c>
      <c r="B53" t="s">
        <v>19</v>
      </c>
      <c r="C53">
        <v>49</v>
      </c>
      <c r="D53" s="1">
        <v>44046.457442129627</v>
      </c>
      <c r="E53" t="s">
        <v>174</v>
      </c>
      <c r="F53" t="s">
        <v>21</v>
      </c>
      <c r="G53" t="s">
        <v>22</v>
      </c>
      <c r="H53" t="s">
        <v>23</v>
      </c>
      <c r="I53" t="s">
        <v>24</v>
      </c>
      <c r="J53">
        <v>49</v>
      </c>
      <c r="K53">
        <f>49-322-1112-1296</f>
        <v>-2681</v>
      </c>
      <c r="L53" t="s">
        <v>175</v>
      </c>
      <c r="M53" t="s">
        <v>176</v>
      </c>
      <c r="N53" t="s">
        <v>36</v>
      </c>
      <c r="O53" t="s">
        <v>28</v>
      </c>
      <c r="P53" t="s">
        <v>29</v>
      </c>
      <c r="Q53">
        <v>30</v>
      </c>
      <c r="R53">
        <v>-95.464100000000002</v>
      </c>
    </row>
    <row r="54" spans="1:18" x14ac:dyDescent="0.2">
      <c r="A54" t="s">
        <v>18</v>
      </c>
      <c r="B54" t="s">
        <v>19</v>
      </c>
      <c r="C54">
        <v>49</v>
      </c>
      <c r="D54" s="1">
        <v>44043.558182870373</v>
      </c>
      <c r="E54" t="s">
        <v>177</v>
      </c>
      <c r="F54" t="s">
        <v>21</v>
      </c>
      <c r="G54" t="s">
        <v>22</v>
      </c>
      <c r="H54" t="s">
        <v>23</v>
      </c>
      <c r="I54" t="s">
        <v>24</v>
      </c>
      <c r="J54">
        <v>49</v>
      </c>
      <c r="K54">
        <f>49-695-98-5971</f>
        <v>-6715</v>
      </c>
      <c r="L54" t="s">
        <v>178</v>
      </c>
      <c r="M54" t="s">
        <v>179</v>
      </c>
      <c r="N54" t="s">
        <v>36</v>
      </c>
      <c r="O54" t="s">
        <v>28</v>
      </c>
      <c r="P54" t="s">
        <v>29</v>
      </c>
      <c r="Q54">
        <v>30</v>
      </c>
      <c r="R54">
        <v>-95.464100000000002</v>
      </c>
    </row>
    <row r="55" spans="1:18" x14ac:dyDescent="0.2">
      <c r="A55" t="s">
        <v>18</v>
      </c>
      <c r="B55" t="s">
        <v>19</v>
      </c>
      <c r="C55">
        <v>49</v>
      </c>
      <c r="D55" s="1">
        <v>44042.507384259261</v>
      </c>
      <c r="E55" t="s">
        <v>161</v>
      </c>
      <c r="F55" t="s">
        <v>21</v>
      </c>
      <c r="G55" t="s">
        <v>22</v>
      </c>
      <c r="H55" t="s">
        <v>23</v>
      </c>
      <c r="I55" t="s">
        <v>24</v>
      </c>
      <c r="J55">
        <v>49</v>
      </c>
      <c r="K55">
        <f>49-220-5942-4032</f>
        <v>-10145</v>
      </c>
      <c r="L55" t="s">
        <v>180</v>
      </c>
      <c r="M55" t="s">
        <v>181</v>
      </c>
      <c r="N55" t="s">
        <v>36</v>
      </c>
      <c r="O55" t="s">
        <v>28</v>
      </c>
      <c r="P55" t="s">
        <v>29</v>
      </c>
      <c r="Q55">
        <v>30</v>
      </c>
      <c r="R55">
        <v>-95.464100000000002</v>
      </c>
    </row>
    <row r="56" spans="1:18" x14ac:dyDescent="0.2">
      <c r="A56" t="s">
        <v>18</v>
      </c>
      <c r="B56" t="s">
        <v>19</v>
      </c>
      <c r="C56">
        <v>49</v>
      </c>
      <c r="D56" s="1">
        <v>44039.536562499998</v>
      </c>
      <c r="E56" t="s">
        <v>182</v>
      </c>
      <c r="F56" t="s">
        <v>21</v>
      </c>
      <c r="G56" t="s">
        <v>22</v>
      </c>
      <c r="H56" t="s">
        <v>23</v>
      </c>
      <c r="I56" t="s">
        <v>24</v>
      </c>
      <c r="J56">
        <v>49</v>
      </c>
      <c r="K56">
        <f>49-618-2822-9672</f>
        <v>-13063</v>
      </c>
      <c r="L56" t="s">
        <v>183</v>
      </c>
      <c r="M56" t="s">
        <v>184</v>
      </c>
      <c r="N56" t="s">
        <v>36</v>
      </c>
      <c r="O56" t="s">
        <v>28</v>
      </c>
      <c r="P56" t="s">
        <v>29</v>
      </c>
      <c r="Q56">
        <v>30</v>
      </c>
      <c r="R56">
        <v>-95.464100000000002</v>
      </c>
    </row>
    <row r="57" spans="1:18" x14ac:dyDescent="0.2">
      <c r="A57" t="s">
        <v>18</v>
      </c>
      <c r="B57" t="s">
        <v>19</v>
      </c>
      <c r="C57">
        <v>49</v>
      </c>
      <c r="D57" s="1">
        <v>44036.525277777779</v>
      </c>
      <c r="E57" t="s">
        <v>185</v>
      </c>
      <c r="F57" t="s">
        <v>21</v>
      </c>
      <c r="G57" t="s">
        <v>22</v>
      </c>
      <c r="H57" t="s">
        <v>23</v>
      </c>
      <c r="I57" t="s">
        <v>24</v>
      </c>
      <c r="J57">
        <v>49</v>
      </c>
      <c r="K57">
        <f>49-322-2185-3024</f>
        <v>-5482</v>
      </c>
      <c r="L57" t="s">
        <v>186</v>
      </c>
      <c r="M57" t="s">
        <v>187</v>
      </c>
      <c r="N57" t="s">
        <v>36</v>
      </c>
      <c r="O57" t="s">
        <v>28</v>
      </c>
      <c r="P57" t="s">
        <v>29</v>
      </c>
      <c r="Q57">
        <v>30</v>
      </c>
      <c r="R57">
        <v>-95.464100000000002</v>
      </c>
    </row>
    <row r="58" spans="1:18" x14ac:dyDescent="0.2">
      <c r="A58" t="s">
        <v>18</v>
      </c>
      <c r="B58" t="s">
        <v>19</v>
      </c>
      <c r="C58">
        <v>81</v>
      </c>
      <c r="D58" s="1">
        <v>44036.314930555556</v>
      </c>
      <c r="E58" t="s">
        <v>188</v>
      </c>
      <c r="F58" t="s">
        <v>21</v>
      </c>
      <c r="G58" t="s">
        <v>22</v>
      </c>
      <c r="H58" t="s">
        <v>23</v>
      </c>
      <c r="I58" t="s">
        <v>53</v>
      </c>
      <c r="J58">
        <v>81</v>
      </c>
      <c r="K58">
        <f>81-800-700-6231</f>
        <v>-7650</v>
      </c>
      <c r="L58" t="s">
        <v>189</v>
      </c>
      <c r="M58" t="s">
        <v>190</v>
      </c>
      <c r="N58" t="s">
        <v>36</v>
      </c>
      <c r="O58" t="s">
        <v>28</v>
      </c>
      <c r="P58" t="s">
        <v>29</v>
      </c>
      <c r="Q58">
        <v>30</v>
      </c>
      <c r="R58">
        <v>-95.464100000000002</v>
      </c>
    </row>
    <row r="59" spans="1:18" x14ac:dyDescent="0.2">
      <c r="A59" t="s">
        <v>18</v>
      </c>
      <c r="B59" t="s">
        <v>19</v>
      </c>
      <c r="C59">
        <v>81</v>
      </c>
      <c r="D59" s="1">
        <v>44034.167974537035</v>
      </c>
      <c r="E59" t="s">
        <v>191</v>
      </c>
      <c r="F59" t="s">
        <v>21</v>
      </c>
      <c r="G59" t="s">
        <v>22</v>
      </c>
      <c r="H59" t="s">
        <v>23</v>
      </c>
      <c r="I59" t="s">
        <v>53</v>
      </c>
      <c r="J59">
        <v>81</v>
      </c>
      <c r="K59">
        <f>81-800-700-6231</f>
        <v>-7650</v>
      </c>
      <c r="L59" t="s">
        <v>192</v>
      </c>
      <c r="M59" t="s">
        <v>193</v>
      </c>
      <c r="N59" t="s">
        <v>36</v>
      </c>
      <c r="O59" t="s">
        <v>28</v>
      </c>
      <c r="P59" t="s">
        <v>29</v>
      </c>
      <c r="Q59">
        <v>30</v>
      </c>
      <c r="R59">
        <v>-95.464100000000002</v>
      </c>
    </row>
    <row r="60" spans="1:18" x14ac:dyDescent="0.2">
      <c r="A60" t="s">
        <v>18</v>
      </c>
      <c r="B60" t="s">
        <v>19</v>
      </c>
      <c r="C60">
        <v>81</v>
      </c>
      <c r="D60" s="1">
        <v>44039.587581018517</v>
      </c>
      <c r="E60" t="s">
        <v>194</v>
      </c>
      <c r="F60" t="s">
        <v>21</v>
      </c>
      <c r="G60" t="s">
        <v>22</v>
      </c>
      <c r="H60" t="s">
        <v>23</v>
      </c>
      <c r="I60" t="s">
        <v>53</v>
      </c>
      <c r="J60">
        <v>81</v>
      </c>
      <c r="K60">
        <f>81-503-185-7535</f>
        <v>-8142</v>
      </c>
      <c r="L60" t="s">
        <v>195</v>
      </c>
      <c r="M60" t="s">
        <v>196</v>
      </c>
      <c r="N60" t="s">
        <v>36</v>
      </c>
      <c r="O60" t="s">
        <v>134</v>
      </c>
      <c r="P60" t="s">
        <v>29</v>
      </c>
      <c r="Q60">
        <v>30</v>
      </c>
      <c r="R60">
        <v>-95.464100000000002</v>
      </c>
    </row>
    <row r="61" spans="1:18" x14ac:dyDescent="0.2">
      <c r="A61" t="s">
        <v>18</v>
      </c>
      <c r="B61" t="s">
        <v>19</v>
      </c>
      <c r="C61">
        <v>49</v>
      </c>
      <c r="D61" s="1">
        <v>44032.570659722223</v>
      </c>
      <c r="E61" t="s">
        <v>197</v>
      </c>
      <c r="F61" t="s">
        <v>21</v>
      </c>
      <c r="G61" t="s">
        <v>22</v>
      </c>
      <c r="H61" t="s">
        <v>23</v>
      </c>
      <c r="I61" t="s">
        <v>24</v>
      </c>
      <c r="J61">
        <v>49</v>
      </c>
      <c r="K61">
        <f>49-618-2822-9672</f>
        <v>-13063</v>
      </c>
      <c r="L61" t="s">
        <v>198</v>
      </c>
      <c r="M61" t="s">
        <v>199</v>
      </c>
      <c r="N61" t="s">
        <v>36</v>
      </c>
      <c r="O61" t="s">
        <v>28</v>
      </c>
      <c r="P61" t="s">
        <v>29</v>
      </c>
      <c r="Q61">
        <v>30</v>
      </c>
      <c r="R61">
        <v>-95.464100000000002</v>
      </c>
    </row>
    <row r="62" spans="1:18" x14ac:dyDescent="0.2">
      <c r="A62" t="s">
        <v>18</v>
      </c>
      <c r="B62" t="s">
        <v>19</v>
      </c>
      <c r="C62">
        <v>81</v>
      </c>
      <c r="D62" s="1">
        <v>44029.170787037037</v>
      </c>
      <c r="E62" t="s">
        <v>200</v>
      </c>
      <c r="F62" t="s">
        <v>21</v>
      </c>
      <c r="G62" t="s">
        <v>22</v>
      </c>
      <c r="H62" t="s">
        <v>23</v>
      </c>
      <c r="I62" t="s">
        <v>53</v>
      </c>
      <c r="J62">
        <v>81</v>
      </c>
      <c r="K62">
        <f>81-800-80-4611</f>
        <v>-5410</v>
      </c>
      <c r="L62" t="s">
        <v>201</v>
      </c>
      <c r="M62" t="s">
        <v>202</v>
      </c>
      <c r="N62" t="s">
        <v>36</v>
      </c>
      <c r="O62" t="s">
        <v>28</v>
      </c>
      <c r="P62" t="s">
        <v>29</v>
      </c>
      <c r="Q62">
        <v>30</v>
      </c>
      <c r="R62">
        <v>-95.464100000000002</v>
      </c>
    </row>
    <row r="63" spans="1:18" x14ac:dyDescent="0.2">
      <c r="A63" t="s">
        <v>18</v>
      </c>
      <c r="B63" t="s">
        <v>19</v>
      </c>
      <c r="C63">
        <v>41</v>
      </c>
      <c r="D63" s="1">
        <v>44028.704502314817</v>
      </c>
      <c r="E63" t="s">
        <v>203</v>
      </c>
      <c r="F63" t="s">
        <v>21</v>
      </c>
      <c r="G63" t="s">
        <v>22</v>
      </c>
      <c r="H63" t="s">
        <v>23</v>
      </c>
      <c r="I63" t="s">
        <v>204</v>
      </c>
      <c r="J63">
        <v>41</v>
      </c>
      <c r="K63">
        <f>41-41-5880-790</f>
        <v>-6670</v>
      </c>
      <c r="L63" t="s">
        <v>205</v>
      </c>
      <c r="M63" t="s">
        <v>206</v>
      </c>
      <c r="N63" t="s">
        <v>36</v>
      </c>
      <c r="O63" t="s">
        <v>28</v>
      </c>
      <c r="P63" t="s">
        <v>29</v>
      </c>
      <c r="Q63">
        <v>30</v>
      </c>
      <c r="R63">
        <v>-95.464100000000002</v>
      </c>
    </row>
    <row r="64" spans="1:18" x14ac:dyDescent="0.2">
      <c r="A64" t="s">
        <v>18</v>
      </c>
      <c r="B64" t="s">
        <v>19</v>
      </c>
      <c r="C64">
        <v>41</v>
      </c>
      <c r="D64" s="1">
        <v>44026.570648148147</v>
      </c>
      <c r="E64" t="s">
        <v>207</v>
      </c>
      <c r="F64" t="s">
        <v>21</v>
      </c>
      <c r="G64" t="s">
        <v>22</v>
      </c>
      <c r="H64" t="s">
        <v>23</v>
      </c>
      <c r="I64" t="s">
        <v>204</v>
      </c>
      <c r="J64">
        <v>41</v>
      </c>
      <c r="K64">
        <f>41-41-5880-917</f>
        <v>-6797</v>
      </c>
      <c r="L64" t="s">
        <v>208</v>
      </c>
      <c r="M64" t="s">
        <v>209</v>
      </c>
      <c r="N64" t="s">
        <v>36</v>
      </c>
      <c r="O64" t="s">
        <v>28</v>
      </c>
      <c r="P64" t="s">
        <v>29</v>
      </c>
      <c r="Q64">
        <v>30</v>
      </c>
      <c r="R64">
        <v>-95.464100000000002</v>
      </c>
    </row>
    <row r="65" spans="1:18" x14ac:dyDescent="0.2">
      <c r="A65" t="s">
        <v>18</v>
      </c>
      <c r="B65" t="s">
        <v>19</v>
      </c>
      <c r="C65">
        <v>41</v>
      </c>
      <c r="D65" s="1">
        <v>44020.60392361111</v>
      </c>
      <c r="E65" t="s">
        <v>210</v>
      </c>
      <c r="F65" t="s">
        <v>21</v>
      </c>
      <c r="G65" t="s">
        <v>22</v>
      </c>
      <c r="H65" t="s">
        <v>23</v>
      </c>
      <c r="I65" t="s">
        <v>204</v>
      </c>
      <c r="J65">
        <v>41</v>
      </c>
      <c r="K65">
        <f>41-41-5391-256</f>
        <v>-5647</v>
      </c>
      <c r="L65" t="s">
        <v>211</v>
      </c>
      <c r="M65" t="s">
        <v>212</v>
      </c>
      <c r="N65" t="s">
        <v>213</v>
      </c>
      <c r="O65" t="s">
        <v>28</v>
      </c>
      <c r="P65" t="s">
        <v>29</v>
      </c>
      <c r="Q65">
        <v>30</v>
      </c>
      <c r="R65">
        <v>-95.464100000000002</v>
      </c>
    </row>
    <row r="66" spans="1:18" x14ac:dyDescent="0.2">
      <c r="A66" t="s">
        <v>18</v>
      </c>
      <c r="B66" t="s">
        <v>19</v>
      </c>
      <c r="C66">
        <v>49</v>
      </c>
      <c r="D66" s="1">
        <v>44019.481574074074</v>
      </c>
      <c r="E66" t="s">
        <v>214</v>
      </c>
      <c r="F66" t="s">
        <v>21</v>
      </c>
      <c r="G66" t="s">
        <v>22</v>
      </c>
      <c r="H66" t="s">
        <v>23</v>
      </c>
      <c r="I66" t="s">
        <v>24</v>
      </c>
      <c r="J66">
        <v>49</v>
      </c>
      <c r="K66">
        <f>49-322-2185-3024</f>
        <v>-5482</v>
      </c>
      <c r="L66" t="s">
        <v>215</v>
      </c>
      <c r="M66" t="s">
        <v>216</v>
      </c>
      <c r="N66" t="s">
        <v>213</v>
      </c>
      <c r="O66" t="s">
        <v>28</v>
      </c>
      <c r="P66" t="s">
        <v>29</v>
      </c>
      <c r="Q66">
        <v>30</v>
      </c>
      <c r="R66">
        <v>-95.464100000000002</v>
      </c>
    </row>
    <row r="67" spans="1:18" x14ac:dyDescent="0.2">
      <c r="A67" t="s">
        <v>18</v>
      </c>
      <c r="B67" t="s">
        <v>19</v>
      </c>
      <c r="C67">
        <v>49</v>
      </c>
      <c r="D67" s="1">
        <v>43998.474953703706</v>
      </c>
      <c r="E67" t="s">
        <v>217</v>
      </c>
      <c r="F67" t="s">
        <v>21</v>
      </c>
      <c r="G67" t="s">
        <v>22</v>
      </c>
      <c r="H67" t="s">
        <v>23</v>
      </c>
      <c r="I67" t="s">
        <v>24</v>
      </c>
      <c r="J67">
        <v>49</v>
      </c>
      <c r="K67">
        <f>49-800-505-2806</f>
        <v>-4062</v>
      </c>
      <c r="L67" t="s">
        <v>218</v>
      </c>
      <c r="M67" t="s">
        <v>219</v>
      </c>
      <c r="N67" t="s">
        <v>213</v>
      </c>
      <c r="O67" t="s">
        <v>28</v>
      </c>
      <c r="P67" t="s">
        <v>29</v>
      </c>
      <c r="Q67">
        <v>30</v>
      </c>
      <c r="R67">
        <v>-95.464100000000002</v>
      </c>
    </row>
    <row r="68" spans="1:18" x14ac:dyDescent="0.2">
      <c r="A68" t="s">
        <v>18</v>
      </c>
      <c r="B68" t="s">
        <v>19</v>
      </c>
      <c r="C68">
        <v>49</v>
      </c>
      <c r="D68" s="1">
        <v>43997.510254629633</v>
      </c>
      <c r="E68" t="s">
        <v>220</v>
      </c>
      <c r="F68" t="s">
        <v>21</v>
      </c>
      <c r="G68" t="s">
        <v>22</v>
      </c>
      <c r="H68" t="s">
        <v>23</v>
      </c>
      <c r="I68" t="s">
        <v>24</v>
      </c>
      <c r="J68">
        <v>49</v>
      </c>
      <c r="K68">
        <f>49-800-505-2806</f>
        <v>-4062</v>
      </c>
      <c r="L68" t="s">
        <v>221</v>
      </c>
      <c r="M68" t="s">
        <v>222</v>
      </c>
      <c r="N68" t="s">
        <v>213</v>
      </c>
      <c r="O68" t="s">
        <v>28</v>
      </c>
      <c r="P68" t="s">
        <v>29</v>
      </c>
      <c r="Q68">
        <v>30</v>
      </c>
      <c r="R68">
        <v>-95.464100000000002</v>
      </c>
    </row>
    <row r="69" spans="1:18" x14ac:dyDescent="0.2">
      <c r="A69" t="s">
        <v>18</v>
      </c>
      <c r="B69" t="s">
        <v>19</v>
      </c>
      <c r="C69">
        <v>49</v>
      </c>
      <c r="D69" s="1">
        <v>43996.416122685187</v>
      </c>
      <c r="E69" t="s">
        <v>223</v>
      </c>
      <c r="F69" t="s">
        <v>21</v>
      </c>
      <c r="G69" t="s">
        <v>22</v>
      </c>
      <c r="H69" t="s">
        <v>23</v>
      </c>
      <c r="I69" t="s">
        <v>24</v>
      </c>
      <c r="J69">
        <v>49</v>
      </c>
      <c r="K69">
        <f>49-800-505-2814</f>
        <v>-4070</v>
      </c>
      <c r="L69" t="s">
        <v>224</v>
      </c>
      <c r="M69" t="s">
        <v>225</v>
      </c>
      <c r="N69" t="s">
        <v>213</v>
      </c>
      <c r="O69" t="s">
        <v>28</v>
      </c>
      <c r="P69" t="s">
        <v>29</v>
      </c>
      <c r="Q69">
        <v>30</v>
      </c>
      <c r="R69">
        <v>-95.464100000000002</v>
      </c>
    </row>
    <row r="70" spans="1:18" x14ac:dyDescent="0.2">
      <c r="A70" t="s">
        <v>18</v>
      </c>
      <c r="B70" t="s">
        <v>19</v>
      </c>
      <c r="C70">
        <v>49</v>
      </c>
      <c r="D70" s="1">
        <v>43991.443483796298</v>
      </c>
      <c r="E70" t="s">
        <v>226</v>
      </c>
      <c r="F70" t="s">
        <v>21</v>
      </c>
      <c r="G70" t="s">
        <v>22</v>
      </c>
      <c r="H70" t="s">
        <v>23</v>
      </c>
      <c r="I70" t="s">
        <v>24</v>
      </c>
      <c r="J70">
        <v>49</v>
      </c>
      <c r="K70">
        <f>49-800-505-2803</f>
        <v>-4059</v>
      </c>
      <c r="L70" t="s">
        <v>227</v>
      </c>
      <c r="M70" t="s">
        <v>228</v>
      </c>
      <c r="N70" t="s">
        <v>213</v>
      </c>
      <c r="O70" t="s">
        <v>28</v>
      </c>
      <c r="P70" t="s">
        <v>29</v>
      </c>
      <c r="Q70">
        <v>30</v>
      </c>
      <c r="R70">
        <v>-95.464100000000002</v>
      </c>
    </row>
    <row r="71" spans="1:18" x14ac:dyDescent="0.2">
      <c r="A71" t="s">
        <v>18</v>
      </c>
      <c r="B71" t="s">
        <v>19</v>
      </c>
      <c r="C71">
        <v>49</v>
      </c>
      <c r="D71" s="1">
        <v>43990.636203703703</v>
      </c>
      <c r="E71" t="s">
        <v>229</v>
      </c>
      <c r="F71" t="s">
        <v>21</v>
      </c>
      <c r="G71" t="s">
        <v>22</v>
      </c>
      <c r="H71" t="s">
        <v>23</v>
      </c>
      <c r="I71" t="s">
        <v>24</v>
      </c>
      <c r="J71">
        <v>49</v>
      </c>
      <c r="K71">
        <f>49-800-505-2803</f>
        <v>-4059</v>
      </c>
      <c r="L71" t="s">
        <v>230</v>
      </c>
      <c r="M71" t="s">
        <v>231</v>
      </c>
      <c r="N71" t="s">
        <v>213</v>
      </c>
      <c r="O71" t="s">
        <v>28</v>
      </c>
      <c r="P71" t="s">
        <v>29</v>
      </c>
      <c r="Q71">
        <v>30</v>
      </c>
      <c r="R71">
        <v>-95.464100000000002</v>
      </c>
    </row>
    <row r="72" spans="1:18" x14ac:dyDescent="0.2">
      <c r="A72" t="s">
        <v>18</v>
      </c>
      <c r="B72" t="s">
        <v>19</v>
      </c>
      <c r="C72">
        <v>49</v>
      </c>
      <c r="D72" s="1">
        <v>43990.429907407408</v>
      </c>
      <c r="E72" t="s">
        <v>232</v>
      </c>
      <c r="F72" t="s">
        <v>21</v>
      </c>
      <c r="G72" t="s">
        <v>22</v>
      </c>
      <c r="H72" t="s">
        <v>23</v>
      </c>
      <c r="I72" t="s">
        <v>24</v>
      </c>
      <c r="J72">
        <v>49</v>
      </c>
      <c r="K72">
        <f>49-800-505-2803</f>
        <v>-4059</v>
      </c>
      <c r="L72" t="s">
        <v>233</v>
      </c>
      <c r="M72" t="s">
        <v>234</v>
      </c>
      <c r="N72" t="s">
        <v>213</v>
      </c>
      <c r="O72" t="s">
        <v>28</v>
      </c>
      <c r="P72" t="s">
        <v>29</v>
      </c>
      <c r="Q72">
        <v>30</v>
      </c>
      <c r="R72">
        <v>-95.464100000000002</v>
      </c>
    </row>
    <row r="73" spans="1:18" x14ac:dyDescent="0.2">
      <c r="A73" t="s">
        <v>18</v>
      </c>
      <c r="B73" t="s">
        <v>19</v>
      </c>
      <c r="C73">
        <v>49</v>
      </c>
      <c r="D73" s="1">
        <v>43987.623865740738</v>
      </c>
      <c r="E73" t="s">
        <v>235</v>
      </c>
      <c r="F73" t="s">
        <v>21</v>
      </c>
      <c r="G73" t="s">
        <v>22</v>
      </c>
      <c r="H73" t="s">
        <v>23</v>
      </c>
      <c r="I73" t="s">
        <v>24</v>
      </c>
      <c r="J73">
        <v>49</v>
      </c>
      <c r="K73">
        <f>49-800-505-2815</f>
        <v>-4071</v>
      </c>
      <c r="L73" t="s">
        <v>236</v>
      </c>
      <c r="M73" t="s">
        <v>237</v>
      </c>
      <c r="N73" t="s">
        <v>213</v>
      </c>
      <c r="O73" t="s">
        <v>28</v>
      </c>
      <c r="P73" t="s">
        <v>29</v>
      </c>
      <c r="Q73">
        <v>30</v>
      </c>
      <c r="R73">
        <v>-95.464100000000002</v>
      </c>
    </row>
    <row r="74" spans="1:18" x14ac:dyDescent="0.2">
      <c r="A74" t="s">
        <v>18</v>
      </c>
      <c r="B74" t="s">
        <v>19</v>
      </c>
      <c r="C74">
        <v>49</v>
      </c>
      <c r="D74" s="1">
        <v>43987.462754629632</v>
      </c>
      <c r="E74" t="s">
        <v>235</v>
      </c>
      <c r="F74" t="s">
        <v>21</v>
      </c>
      <c r="G74" t="s">
        <v>22</v>
      </c>
      <c r="H74" t="s">
        <v>23</v>
      </c>
      <c r="I74" t="s">
        <v>24</v>
      </c>
      <c r="J74">
        <v>49</v>
      </c>
      <c r="K74">
        <f>49-800-505-2815</f>
        <v>-4071</v>
      </c>
      <c r="L74" t="s">
        <v>238</v>
      </c>
      <c r="M74" t="s">
        <v>239</v>
      </c>
      <c r="N74" t="s">
        <v>213</v>
      </c>
      <c r="O74" t="s">
        <v>28</v>
      </c>
      <c r="P74" t="s">
        <v>29</v>
      </c>
      <c r="Q74">
        <v>30</v>
      </c>
      <c r="R74">
        <v>-95.464100000000002</v>
      </c>
    </row>
    <row r="75" spans="1:18" x14ac:dyDescent="0.2">
      <c r="A75" t="s">
        <v>18</v>
      </c>
      <c r="B75" t="s">
        <v>19</v>
      </c>
      <c r="C75">
        <v>49</v>
      </c>
      <c r="D75" s="1">
        <v>43983.453159722223</v>
      </c>
      <c r="E75" t="s">
        <v>240</v>
      </c>
      <c r="F75" t="s">
        <v>21</v>
      </c>
      <c r="G75" t="s">
        <v>22</v>
      </c>
      <c r="H75" t="s">
        <v>23</v>
      </c>
      <c r="I75" t="s">
        <v>24</v>
      </c>
      <c r="J75">
        <v>49</v>
      </c>
      <c r="K75">
        <f>49-800-505-2778</f>
        <v>-4034</v>
      </c>
      <c r="L75" t="s">
        <v>241</v>
      </c>
      <c r="M75" t="s">
        <v>242</v>
      </c>
      <c r="N75" t="s">
        <v>213</v>
      </c>
      <c r="O75" t="s">
        <v>28</v>
      </c>
      <c r="P75" t="s">
        <v>29</v>
      </c>
      <c r="Q75">
        <v>30</v>
      </c>
      <c r="R75">
        <v>-95.464100000000002</v>
      </c>
    </row>
    <row r="76" spans="1:18" x14ac:dyDescent="0.2">
      <c r="A76" t="s">
        <v>18</v>
      </c>
      <c r="B76" t="s">
        <v>19</v>
      </c>
      <c r="C76">
        <v>49</v>
      </c>
      <c r="D76" s="1">
        <v>43981.495613425926</v>
      </c>
      <c r="E76" t="s">
        <v>243</v>
      </c>
      <c r="F76" t="s">
        <v>21</v>
      </c>
      <c r="G76" t="s">
        <v>22</v>
      </c>
      <c r="H76" t="s">
        <v>23</v>
      </c>
      <c r="I76" t="s">
        <v>24</v>
      </c>
      <c r="J76">
        <v>49</v>
      </c>
      <c r="K76">
        <f>49-800-505-2749</f>
        <v>-4005</v>
      </c>
      <c r="L76" t="s">
        <v>244</v>
      </c>
      <c r="M76" t="s">
        <v>245</v>
      </c>
      <c r="N76" t="s">
        <v>213</v>
      </c>
      <c r="O76" t="s">
        <v>28</v>
      </c>
      <c r="P76" t="s">
        <v>29</v>
      </c>
      <c r="Q76">
        <v>30</v>
      </c>
      <c r="R76">
        <v>-95.464100000000002</v>
      </c>
    </row>
    <row r="77" spans="1:18" x14ac:dyDescent="0.2">
      <c r="A77" t="s">
        <v>18</v>
      </c>
      <c r="B77" t="s">
        <v>19</v>
      </c>
      <c r="C77">
        <v>49</v>
      </c>
      <c r="D77" s="1">
        <v>43988.522233796299</v>
      </c>
      <c r="E77" t="s">
        <v>246</v>
      </c>
      <c r="F77" t="s">
        <v>21</v>
      </c>
      <c r="G77" t="s">
        <v>22</v>
      </c>
      <c r="H77" t="s">
        <v>23</v>
      </c>
      <c r="I77" t="s">
        <v>24</v>
      </c>
      <c r="J77">
        <v>49</v>
      </c>
      <c r="K77">
        <f>49-800-505-2815</f>
        <v>-4071</v>
      </c>
      <c r="L77" t="s">
        <v>247</v>
      </c>
      <c r="M77" t="s">
        <v>248</v>
      </c>
      <c r="N77" t="s">
        <v>213</v>
      </c>
      <c r="O77" t="s">
        <v>28</v>
      </c>
      <c r="P77" t="s">
        <v>29</v>
      </c>
      <c r="Q77">
        <v>30</v>
      </c>
      <c r="R77">
        <v>-95.464100000000002</v>
      </c>
    </row>
    <row r="78" spans="1:18" x14ac:dyDescent="0.2">
      <c r="A78" t="s">
        <v>18</v>
      </c>
      <c r="B78" t="s">
        <v>19</v>
      </c>
      <c r="C78">
        <v>49</v>
      </c>
      <c r="D78" s="1">
        <v>43977.597696759258</v>
      </c>
      <c r="E78" t="s">
        <v>249</v>
      </c>
      <c r="F78" t="s">
        <v>21</v>
      </c>
      <c r="G78" t="s">
        <v>22</v>
      </c>
      <c r="H78" t="s">
        <v>23</v>
      </c>
      <c r="I78" t="s">
        <v>24</v>
      </c>
      <c r="J78">
        <v>49</v>
      </c>
      <c r="K78">
        <f>49-800-505-2749</f>
        <v>-4005</v>
      </c>
      <c r="L78" t="s">
        <v>250</v>
      </c>
      <c r="M78" t="s">
        <v>251</v>
      </c>
      <c r="N78" t="s">
        <v>36</v>
      </c>
      <c r="O78" t="s">
        <v>28</v>
      </c>
      <c r="P78" t="s">
        <v>29</v>
      </c>
      <c r="Q78">
        <v>30</v>
      </c>
      <c r="R78">
        <v>-95.464100000000002</v>
      </c>
    </row>
    <row r="79" spans="1:18" x14ac:dyDescent="0.2">
      <c r="A79" t="s">
        <v>18</v>
      </c>
      <c r="B79" t="s">
        <v>19</v>
      </c>
      <c r="C79">
        <v>49</v>
      </c>
      <c r="D79" s="1">
        <v>43976.711469907408</v>
      </c>
      <c r="E79" t="s">
        <v>252</v>
      </c>
      <c r="F79" t="s">
        <v>21</v>
      </c>
      <c r="G79" t="s">
        <v>22</v>
      </c>
      <c r="H79" t="s">
        <v>23</v>
      </c>
      <c r="I79" t="s">
        <v>24</v>
      </c>
      <c r="J79">
        <v>49</v>
      </c>
      <c r="K79">
        <f>49-800-505-2749</f>
        <v>-4005</v>
      </c>
      <c r="L79" t="s">
        <v>253</v>
      </c>
      <c r="M79" t="s">
        <v>254</v>
      </c>
      <c r="N79" t="s">
        <v>213</v>
      </c>
      <c r="O79" t="s">
        <v>28</v>
      </c>
      <c r="P79" t="s">
        <v>29</v>
      </c>
      <c r="Q79">
        <v>30</v>
      </c>
      <c r="R79">
        <v>-95.464100000000002</v>
      </c>
    </row>
    <row r="80" spans="1:18" x14ac:dyDescent="0.2">
      <c r="A80" t="s">
        <v>18</v>
      </c>
      <c r="B80" t="s">
        <v>19</v>
      </c>
      <c r="C80">
        <v>49</v>
      </c>
      <c r="D80" s="1">
        <v>43976.681608796294</v>
      </c>
      <c r="E80" t="s">
        <v>255</v>
      </c>
      <c r="F80" t="s">
        <v>21</v>
      </c>
      <c r="G80" t="s">
        <v>22</v>
      </c>
      <c r="H80" t="s">
        <v>23</v>
      </c>
      <c r="I80" t="s">
        <v>24</v>
      </c>
      <c r="J80">
        <v>49</v>
      </c>
      <c r="K80">
        <f>49-322-2185-3024</f>
        <v>-5482</v>
      </c>
      <c r="L80" t="s">
        <v>256</v>
      </c>
      <c r="M80" t="s">
        <v>257</v>
      </c>
      <c r="N80" t="s">
        <v>213</v>
      </c>
      <c r="O80" t="s">
        <v>28</v>
      </c>
      <c r="P80" t="s">
        <v>29</v>
      </c>
      <c r="Q80">
        <v>30</v>
      </c>
      <c r="R80">
        <v>-95.464100000000002</v>
      </c>
    </row>
    <row r="81" spans="1:18" x14ac:dyDescent="0.2">
      <c r="A81" t="s">
        <v>18</v>
      </c>
      <c r="B81" t="s">
        <v>19</v>
      </c>
      <c r="C81">
        <v>49</v>
      </c>
      <c r="D81" s="1">
        <v>43976.659351851849</v>
      </c>
      <c r="E81" t="s">
        <v>258</v>
      </c>
      <c r="F81" t="s">
        <v>21</v>
      </c>
      <c r="G81" t="s">
        <v>22</v>
      </c>
      <c r="H81" t="s">
        <v>23</v>
      </c>
      <c r="I81" t="s">
        <v>24</v>
      </c>
      <c r="J81">
        <v>49</v>
      </c>
      <c r="K81">
        <f>49-800-505-2749</f>
        <v>-4005</v>
      </c>
      <c r="L81" t="s">
        <v>259</v>
      </c>
      <c r="M81" t="s">
        <v>260</v>
      </c>
      <c r="N81" t="s">
        <v>213</v>
      </c>
      <c r="O81" t="s">
        <v>28</v>
      </c>
      <c r="P81" t="s">
        <v>29</v>
      </c>
      <c r="Q81">
        <v>30</v>
      </c>
      <c r="R81">
        <v>-95.464100000000002</v>
      </c>
    </row>
    <row r="82" spans="1:18" x14ac:dyDescent="0.2">
      <c r="A82" t="s">
        <v>18</v>
      </c>
      <c r="B82" t="s">
        <v>19</v>
      </c>
      <c r="C82">
        <v>49</v>
      </c>
      <c r="D82" s="1">
        <v>43970.620983796296</v>
      </c>
      <c r="E82" t="s">
        <v>261</v>
      </c>
      <c r="F82" t="s">
        <v>21</v>
      </c>
      <c r="G82" t="s">
        <v>22</v>
      </c>
      <c r="H82" t="s">
        <v>23</v>
      </c>
      <c r="I82" t="s">
        <v>24</v>
      </c>
      <c r="J82">
        <v>49</v>
      </c>
      <c r="K82">
        <f>49-800-505-2852</f>
        <v>-4108</v>
      </c>
      <c r="L82" t="s">
        <v>262</v>
      </c>
      <c r="M82" t="s">
        <v>263</v>
      </c>
      <c r="N82" t="s">
        <v>213</v>
      </c>
      <c r="O82" t="s">
        <v>28</v>
      </c>
      <c r="P82" t="s">
        <v>29</v>
      </c>
      <c r="Q82">
        <v>30</v>
      </c>
      <c r="R82">
        <v>-95.464100000000002</v>
      </c>
    </row>
    <row r="83" spans="1:18" x14ac:dyDescent="0.2">
      <c r="A83" t="s">
        <v>18</v>
      </c>
      <c r="B83" t="s">
        <v>19</v>
      </c>
      <c r="C83">
        <v>49</v>
      </c>
      <c r="D83" s="1">
        <v>43969.690648148149</v>
      </c>
      <c r="E83" t="s">
        <v>264</v>
      </c>
      <c r="F83" t="s">
        <v>21</v>
      </c>
      <c r="G83" t="s">
        <v>22</v>
      </c>
      <c r="H83" t="s">
        <v>23</v>
      </c>
      <c r="I83" t="s">
        <v>24</v>
      </c>
      <c r="J83">
        <v>49</v>
      </c>
      <c r="K83">
        <f>49-800-505-2852</f>
        <v>-4108</v>
      </c>
      <c r="L83" t="s">
        <v>265</v>
      </c>
      <c r="M83" t="s">
        <v>266</v>
      </c>
      <c r="N83" t="s">
        <v>213</v>
      </c>
      <c r="O83" t="s">
        <v>28</v>
      </c>
      <c r="P83" t="s">
        <v>29</v>
      </c>
      <c r="Q83">
        <v>30</v>
      </c>
      <c r="R83">
        <v>-95.464100000000002</v>
      </c>
    </row>
    <row r="84" spans="1:18" x14ac:dyDescent="0.2">
      <c r="A84" t="s">
        <v>18</v>
      </c>
      <c r="B84" t="s">
        <v>19</v>
      </c>
      <c r="C84">
        <v>49</v>
      </c>
      <c r="D84" s="1">
        <v>43969.546851851854</v>
      </c>
      <c r="E84" t="s">
        <v>267</v>
      </c>
      <c r="F84" t="s">
        <v>21</v>
      </c>
      <c r="G84" t="s">
        <v>22</v>
      </c>
      <c r="H84" t="s">
        <v>23</v>
      </c>
      <c r="I84" t="s">
        <v>24</v>
      </c>
      <c r="J84">
        <v>49</v>
      </c>
      <c r="K84">
        <f>49-800-505-2852</f>
        <v>-4108</v>
      </c>
      <c r="L84" t="s">
        <v>268</v>
      </c>
      <c r="M84" t="s">
        <v>269</v>
      </c>
      <c r="N84" t="s">
        <v>213</v>
      </c>
      <c r="O84" t="s">
        <v>28</v>
      </c>
      <c r="P84" t="s">
        <v>29</v>
      </c>
      <c r="Q84">
        <v>30</v>
      </c>
      <c r="R84">
        <v>-95.464100000000002</v>
      </c>
    </row>
    <row r="85" spans="1:18" x14ac:dyDescent="0.2">
      <c r="A85" t="s">
        <v>270</v>
      </c>
      <c r="B85" t="s">
        <v>271</v>
      </c>
      <c r="C85">
        <v>1</v>
      </c>
      <c r="D85" s="1">
        <v>44253.770532407405</v>
      </c>
      <c r="E85" t="s">
        <v>272</v>
      </c>
      <c r="F85" t="s">
        <v>273</v>
      </c>
      <c r="G85" t="s">
        <v>274</v>
      </c>
      <c r="H85" t="s">
        <v>275</v>
      </c>
      <c r="I85" t="s">
        <v>29</v>
      </c>
      <c r="J85">
        <v>1</v>
      </c>
      <c r="K85">
        <f>1-888-597-1345</f>
        <v>-2829</v>
      </c>
      <c r="L85" t="s">
        <v>276</v>
      </c>
      <c r="M85" t="s">
        <v>277</v>
      </c>
      <c r="N85" t="s">
        <v>278</v>
      </c>
      <c r="O85" t="s">
        <v>28</v>
      </c>
      <c r="P85" t="s">
        <v>29</v>
      </c>
      <c r="Q85">
        <v>42</v>
      </c>
      <c r="R85">
        <v>-93.620800000000003</v>
      </c>
    </row>
    <row r="86" spans="1:18" x14ac:dyDescent="0.2">
      <c r="A86" t="s">
        <v>270</v>
      </c>
      <c r="B86" t="s">
        <v>271</v>
      </c>
      <c r="C86">
        <v>1</v>
      </c>
      <c r="D86" s="1">
        <v>44089.430706018517</v>
      </c>
      <c r="E86" t="s">
        <v>279</v>
      </c>
      <c r="F86" t="s">
        <v>273</v>
      </c>
      <c r="G86" t="s">
        <v>274</v>
      </c>
      <c r="H86" t="s">
        <v>275</v>
      </c>
      <c r="I86" t="s">
        <v>29</v>
      </c>
      <c r="J86">
        <v>1</v>
      </c>
      <c r="K86">
        <f>1-844-210-4337</f>
        <v>-5390</v>
      </c>
      <c r="L86" t="s">
        <v>280</v>
      </c>
      <c r="M86" t="s">
        <v>281</v>
      </c>
      <c r="N86" t="s">
        <v>278</v>
      </c>
      <c r="O86" t="s">
        <v>28</v>
      </c>
      <c r="P86" t="s">
        <v>29</v>
      </c>
      <c r="Q86">
        <v>42</v>
      </c>
      <c r="R86">
        <v>-93.620800000000003</v>
      </c>
    </row>
    <row r="87" spans="1:18" x14ac:dyDescent="0.2">
      <c r="A87" t="s">
        <v>270</v>
      </c>
      <c r="B87" t="s">
        <v>271</v>
      </c>
      <c r="C87">
        <v>1</v>
      </c>
      <c r="D87" s="1">
        <v>44082.945520833331</v>
      </c>
      <c r="E87" t="s">
        <v>282</v>
      </c>
      <c r="F87" t="s">
        <v>273</v>
      </c>
      <c r="G87" t="s">
        <v>274</v>
      </c>
      <c r="H87" t="s">
        <v>275</v>
      </c>
      <c r="I87" t="s">
        <v>29</v>
      </c>
      <c r="J87">
        <v>1</v>
      </c>
      <c r="K87">
        <f>1-888-599-8076</f>
        <v>-9562</v>
      </c>
      <c r="L87" t="s">
        <v>283</v>
      </c>
      <c r="M87" t="s">
        <v>284</v>
      </c>
      <c r="N87" t="s">
        <v>278</v>
      </c>
      <c r="O87" t="s">
        <v>28</v>
      </c>
      <c r="P87" t="s">
        <v>29</v>
      </c>
      <c r="Q87">
        <v>42</v>
      </c>
      <c r="R87">
        <v>-93.620800000000003</v>
      </c>
    </row>
    <row r="88" spans="1:18" x14ac:dyDescent="0.2">
      <c r="A88" t="s">
        <v>270</v>
      </c>
      <c r="B88" t="s">
        <v>271</v>
      </c>
      <c r="C88">
        <v>1</v>
      </c>
      <c r="D88" s="1">
        <v>44075.760682870372</v>
      </c>
      <c r="E88" t="s">
        <v>285</v>
      </c>
      <c r="F88" t="s">
        <v>273</v>
      </c>
      <c r="G88" t="s">
        <v>274</v>
      </c>
      <c r="H88" t="s">
        <v>275</v>
      </c>
      <c r="I88" t="s">
        <v>29</v>
      </c>
      <c r="J88">
        <v>1</v>
      </c>
      <c r="K88">
        <f>1-888-708-1143</f>
        <v>-2738</v>
      </c>
      <c r="L88" t="s">
        <v>286</v>
      </c>
      <c r="M88" t="s">
        <v>287</v>
      </c>
      <c r="N88" t="s">
        <v>278</v>
      </c>
      <c r="O88" t="s">
        <v>134</v>
      </c>
      <c r="P88" t="s">
        <v>29</v>
      </c>
      <c r="Q88">
        <v>42</v>
      </c>
      <c r="R88">
        <v>-93.620800000000003</v>
      </c>
    </row>
    <row r="89" spans="1:18" x14ac:dyDescent="0.2">
      <c r="A89" t="s">
        <v>270</v>
      </c>
      <c r="B89" t="s">
        <v>271</v>
      </c>
      <c r="C89">
        <v>1</v>
      </c>
      <c r="D89" s="1">
        <v>44073.940844907411</v>
      </c>
      <c r="E89" t="s">
        <v>288</v>
      </c>
      <c r="F89" t="s">
        <v>273</v>
      </c>
      <c r="G89" t="s">
        <v>274</v>
      </c>
      <c r="H89" t="s">
        <v>275</v>
      </c>
      <c r="I89" t="s">
        <v>29</v>
      </c>
      <c r="J89">
        <v>1</v>
      </c>
      <c r="K89">
        <f>1-888-417-4076</f>
        <v>-5380</v>
      </c>
      <c r="L89" t="s">
        <v>289</v>
      </c>
      <c r="M89" t="s">
        <v>290</v>
      </c>
      <c r="N89" t="s">
        <v>278</v>
      </c>
      <c r="O89" t="s">
        <v>134</v>
      </c>
      <c r="P89" t="s">
        <v>29</v>
      </c>
      <c r="Q89">
        <v>42</v>
      </c>
      <c r="R89">
        <v>-93.620800000000003</v>
      </c>
    </row>
    <row r="90" spans="1:18" x14ac:dyDescent="0.2">
      <c r="A90" t="s">
        <v>270</v>
      </c>
      <c r="B90" t="s">
        <v>271</v>
      </c>
      <c r="C90">
        <v>33</v>
      </c>
      <c r="D90" s="1">
        <v>44073.87871527778</v>
      </c>
      <c r="E90" t="s">
        <v>291</v>
      </c>
      <c r="F90" t="s">
        <v>273</v>
      </c>
      <c r="G90" t="s">
        <v>274</v>
      </c>
      <c r="H90" t="s">
        <v>275</v>
      </c>
      <c r="I90" t="s">
        <v>292</v>
      </c>
      <c r="J90">
        <v>33</v>
      </c>
      <c r="K90">
        <f t="shared" ref="K90:K96" si="2">33-7-55-53-87-14</f>
        <v>-183</v>
      </c>
      <c r="L90" t="s">
        <v>293</v>
      </c>
      <c r="M90" t="s">
        <v>294</v>
      </c>
      <c r="N90" t="s">
        <v>278</v>
      </c>
      <c r="O90" t="s">
        <v>134</v>
      </c>
      <c r="P90" t="s">
        <v>29</v>
      </c>
      <c r="Q90">
        <v>42</v>
      </c>
      <c r="R90">
        <v>-93.620800000000003</v>
      </c>
    </row>
    <row r="91" spans="1:18" x14ac:dyDescent="0.2">
      <c r="A91" t="s">
        <v>270</v>
      </c>
      <c r="B91" t="s">
        <v>271</v>
      </c>
      <c r="C91">
        <v>33</v>
      </c>
      <c r="D91" s="1">
        <v>44073.878680555557</v>
      </c>
      <c r="E91" t="s">
        <v>295</v>
      </c>
      <c r="F91" t="s">
        <v>273</v>
      </c>
      <c r="G91" t="s">
        <v>274</v>
      </c>
      <c r="H91" t="s">
        <v>275</v>
      </c>
      <c r="I91" t="s">
        <v>292</v>
      </c>
      <c r="J91">
        <v>33</v>
      </c>
      <c r="K91">
        <f t="shared" si="2"/>
        <v>-183</v>
      </c>
      <c r="L91" t="s">
        <v>296</v>
      </c>
      <c r="M91" t="s">
        <v>297</v>
      </c>
      <c r="N91" t="s">
        <v>278</v>
      </c>
      <c r="O91" t="s">
        <v>134</v>
      </c>
      <c r="P91" t="s">
        <v>29</v>
      </c>
      <c r="Q91">
        <v>42</v>
      </c>
      <c r="R91">
        <v>-93.620800000000003</v>
      </c>
    </row>
    <row r="92" spans="1:18" x14ac:dyDescent="0.2">
      <c r="A92" t="s">
        <v>270</v>
      </c>
      <c r="B92" t="s">
        <v>271</v>
      </c>
      <c r="C92">
        <v>33</v>
      </c>
      <c r="D92" s="1">
        <v>44073.878611111111</v>
      </c>
      <c r="E92" t="s">
        <v>298</v>
      </c>
      <c r="F92" t="s">
        <v>273</v>
      </c>
      <c r="G92" t="s">
        <v>274</v>
      </c>
      <c r="H92" t="s">
        <v>275</v>
      </c>
      <c r="I92" t="s">
        <v>292</v>
      </c>
      <c r="J92">
        <v>33</v>
      </c>
      <c r="K92">
        <f t="shared" si="2"/>
        <v>-183</v>
      </c>
      <c r="L92" t="s">
        <v>299</v>
      </c>
      <c r="M92" t="s">
        <v>300</v>
      </c>
      <c r="N92" t="s">
        <v>278</v>
      </c>
      <c r="O92" t="s">
        <v>134</v>
      </c>
      <c r="P92" t="s">
        <v>29</v>
      </c>
      <c r="Q92">
        <v>42</v>
      </c>
      <c r="R92">
        <v>-93.620800000000003</v>
      </c>
    </row>
    <row r="93" spans="1:18" x14ac:dyDescent="0.2">
      <c r="A93" t="s">
        <v>270</v>
      </c>
      <c r="B93" t="s">
        <v>271</v>
      </c>
      <c r="C93">
        <v>33</v>
      </c>
      <c r="D93" s="1">
        <v>44073.878518518519</v>
      </c>
      <c r="E93" t="s">
        <v>301</v>
      </c>
      <c r="F93" t="s">
        <v>273</v>
      </c>
      <c r="G93" t="s">
        <v>274</v>
      </c>
      <c r="H93" t="s">
        <v>275</v>
      </c>
      <c r="I93" t="s">
        <v>292</v>
      </c>
      <c r="J93">
        <v>33</v>
      </c>
      <c r="K93">
        <f t="shared" si="2"/>
        <v>-183</v>
      </c>
      <c r="L93" t="s">
        <v>302</v>
      </c>
      <c r="M93" t="s">
        <v>303</v>
      </c>
      <c r="N93" t="s">
        <v>278</v>
      </c>
      <c r="O93" t="s">
        <v>134</v>
      </c>
      <c r="P93" t="s">
        <v>29</v>
      </c>
      <c r="Q93">
        <v>42</v>
      </c>
      <c r="R93">
        <v>-93.620800000000003</v>
      </c>
    </row>
    <row r="94" spans="1:18" x14ac:dyDescent="0.2">
      <c r="A94" t="s">
        <v>270</v>
      </c>
      <c r="B94" t="s">
        <v>271</v>
      </c>
      <c r="C94">
        <v>33</v>
      </c>
      <c r="D94" s="1">
        <v>44073.878449074073</v>
      </c>
      <c r="E94" t="s">
        <v>304</v>
      </c>
      <c r="F94" t="s">
        <v>273</v>
      </c>
      <c r="G94" t="s">
        <v>274</v>
      </c>
      <c r="H94" t="s">
        <v>275</v>
      </c>
      <c r="I94" t="s">
        <v>292</v>
      </c>
      <c r="J94">
        <v>33</v>
      </c>
      <c r="K94">
        <f t="shared" si="2"/>
        <v>-183</v>
      </c>
      <c r="L94" t="s">
        <v>305</v>
      </c>
      <c r="M94" t="s">
        <v>306</v>
      </c>
      <c r="N94" t="s">
        <v>278</v>
      </c>
      <c r="O94" t="s">
        <v>134</v>
      </c>
      <c r="P94" t="s">
        <v>29</v>
      </c>
      <c r="Q94">
        <v>42</v>
      </c>
      <c r="R94">
        <v>-93.620800000000003</v>
      </c>
    </row>
    <row r="95" spans="1:18" x14ac:dyDescent="0.2">
      <c r="A95" t="s">
        <v>270</v>
      </c>
      <c r="B95" t="s">
        <v>271</v>
      </c>
      <c r="C95">
        <v>33</v>
      </c>
      <c r="D95" s="1">
        <v>44073.87840277778</v>
      </c>
      <c r="E95" t="s">
        <v>307</v>
      </c>
      <c r="F95" t="s">
        <v>273</v>
      </c>
      <c r="G95" t="s">
        <v>274</v>
      </c>
      <c r="H95" t="s">
        <v>275</v>
      </c>
      <c r="I95" t="s">
        <v>292</v>
      </c>
      <c r="J95">
        <v>33</v>
      </c>
      <c r="K95">
        <f t="shared" si="2"/>
        <v>-183</v>
      </c>
      <c r="L95" t="s">
        <v>308</v>
      </c>
      <c r="M95" t="s">
        <v>309</v>
      </c>
      <c r="N95" t="s">
        <v>278</v>
      </c>
      <c r="O95" t="s">
        <v>134</v>
      </c>
      <c r="P95" t="s">
        <v>29</v>
      </c>
      <c r="Q95">
        <v>42</v>
      </c>
      <c r="R95">
        <v>-93.620800000000003</v>
      </c>
    </row>
    <row r="96" spans="1:18" x14ac:dyDescent="0.2">
      <c r="A96" t="s">
        <v>270</v>
      </c>
      <c r="B96" t="s">
        <v>271</v>
      </c>
      <c r="C96">
        <v>33</v>
      </c>
      <c r="D96" s="1">
        <v>44073.878067129626</v>
      </c>
      <c r="E96" t="s">
        <v>310</v>
      </c>
      <c r="F96" t="s">
        <v>273</v>
      </c>
      <c r="G96" t="s">
        <v>274</v>
      </c>
      <c r="H96" t="s">
        <v>275</v>
      </c>
      <c r="I96" t="s">
        <v>292</v>
      </c>
      <c r="J96">
        <v>33</v>
      </c>
      <c r="K96">
        <f t="shared" si="2"/>
        <v>-183</v>
      </c>
      <c r="L96" t="s">
        <v>311</v>
      </c>
      <c r="M96" t="s">
        <v>312</v>
      </c>
      <c r="N96" t="s">
        <v>278</v>
      </c>
      <c r="O96" t="s">
        <v>134</v>
      </c>
      <c r="P96" t="s">
        <v>29</v>
      </c>
      <c r="Q96">
        <v>42</v>
      </c>
      <c r="R96">
        <v>-93.620800000000003</v>
      </c>
    </row>
    <row r="97" spans="1:18" x14ac:dyDescent="0.2">
      <c r="A97" t="s">
        <v>270</v>
      </c>
      <c r="B97" t="s">
        <v>271</v>
      </c>
      <c r="C97">
        <v>1</v>
      </c>
      <c r="D97" s="1">
        <v>44072.866932870369</v>
      </c>
      <c r="E97" t="s">
        <v>313</v>
      </c>
      <c r="F97" t="s">
        <v>273</v>
      </c>
      <c r="G97" t="s">
        <v>274</v>
      </c>
      <c r="H97" t="s">
        <v>275</v>
      </c>
      <c r="I97" t="s">
        <v>29</v>
      </c>
      <c r="J97">
        <v>1</v>
      </c>
      <c r="K97">
        <f>1-888-604-806</f>
        <v>-2297</v>
      </c>
      <c r="L97" t="s">
        <v>314</v>
      </c>
      <c r="M97" t="s">
        <v>315</v>
      </c>
      <c r="N97" t="s">
        <v>278</v>
      </c>
      <c r="O97" t="s">
        <v>134</v>
      </c>
      <c r="P97" t="s">
        <v>29</v>
      </c>
      <c r="Q97">
        <v>42</v>
      </c>
      <c r="R97">
        <v>-93.620800000000003</v>
      </c>
    </row>
    <row r="98" spans="1:18" x14ac:dyDescent="0.2">
      <c r="A98" t="s">
        <v>270</v>
      </c>
      <c r="B98" t="s">
        <v>271</v>
      </c>
      <c r="C98">
        <v>1</v>
      </c>
      <c r="D98" s="1">
        <v>44071.965925925928</v>
      </c>
      <c r="E98" t="s">
        <v>316</v>
      </c>
      <c r="F98" t="s">
        <v>273</v>
      </c>
      <c r="G98" t="s">
        <v>274</v>
      </c>
      <c r="H98" t="s">
        <v>275</v>
      </c>
      <c r="I98" t="s">
        <v>29</v>
      </c>
      <c r="J98">
        <v>1</v>
      </c>
      <c r="K98">
        <f>1-888-803-835</f>
        <v>-2525</v>
      </c>
      <c r="L98" t="s">
        <v>317</v>
      </c>
      <c r="M98" t="s">
        <v>318</v>
      </c>
      <c r="N98" t="s">
        <v>278</v>
      </c>
      <c r="O98" t="s">
        <v>134</v>
      </c>
      <c r="P98" t="s">
        <v>29</v>
      </c>
      <c r="Q98">
        <v>42</v>
      </c>
      <c r="R98">
        <v>-93.620800000000003</v>
      </c>
    </row>
    <row r="99" spans="1:18" x14ac:dyDescent="0.2">
      <c r="A99" t="s">
        <v>270</v>
      </c>
      <c r="B99" t="s">
        <v>271</v>
      </c>
      <c r="C99">
        <v>1</v>
      </c>
      <c r="D99" s="1">
        <v>44071.965532407405</v>
      </c>
      <c r="E99" t="s">
        <v>319</v>
      </c>
      <c r="F99" t="s">
        <v>273</v>
      </c>
      <c r="G99" t="s">
        <v>274</v>
      </c>
      <c r="H99" t="s">
        <v>275</v>
      </c>
      <c r="I99" t="s">
        <v>29</v>
      </c>
      <c r="J99">
        <v>1</v>
      </c>
      <c r="K99">
        <f>1-888-803-835</f>
        <v>-2525</v>
      </c>
      <c r="L99" t="s">
        <v>320</v>
      </c>
      <c r="M99" t="s">
        <v>321</v>
      </c>
      <c r="N99" t="s">
        <v>278</v>
      </c>
      <c r="O99" t="s">
        <v>134</v>
      </c>
      <c r="P99" t="s">
        <v>29</v>
      </c>
      <c r="Q99">
        <v>42</v>
      </c>
      <c r="R99">
        <v>-93.620800000000003</v>
      </c>
    </row>
    <row r="100" spans="1:18" x14ac:dyDescent="0.2">
      <c r="A100" t="s">
        <v>270</v>
      </c>
      <c r="B100" t="s">
        <v>271</v>
      </c>
      <c r="C100">
        <v>1</v>
      </c>
      <c r="D100" s="1">
        <v>44071.964560185188</v>
      </c>
      <c r="E100" t="s">
        <v>322</v>
      </c>
      <c r="F100" t="s">
        <v>273</v>
      </c>
      <c r="G100" t="s">
        <v>274</v>
      </c>
      <c r="H100" t="s">
        <v>275</v>
      </c>
      <c r="I100" t="s">
        <v>29</v>
      </c>
      <c r="J100">
        <v>1</v>
      </c>
      <c r="K100">
        <f>1-888-803-835</f>
        <v>-2525</v>
      </c>
      <c r="L100" t="s">
        <v>323</v>
      </c>
      <c r="M100" t="s">
        <v>324</v>
      </c>
      <c r="N100" t="s">
        <v>278</v>
      </c>
      <c r="O100" t="s">
        <v>134</v>
      </c>
      <c r="P100" t="s">
        <v>29</v>
      </c>
      <c r="Q100">
        <v>42</v>
      </c>
      <c r="R100">
        <v>-93.620800000000003</v>
      </c>
    </row>
    <row r="101" spans="1:18" x14ac:dyDescent="0.2">
      <c r="A101" t="s">
        <v>270</v>
      </c>
      <c r="B101" t="s">
        <v>271</v>
      </c>
      <c r="C101">
        <v>33</v>
      </c>
      <c r="D101" s="1">
        <v>44071.964236111111</v>
      </c>
      <c r="E101" t="s">
        <v>325</v>
      </c>
      <c r="F101" t="s">
        <v>273</v>
      </c>
      <c r="G101" t="s">
        <v>274</v>
      </c>
      <c r="H101" t="s">
        <v>275</v>
      </c>
      <c r="I101" t="s">
        <v>292</v>
      </c>
      <c r="J101">
        <v>33</v>
      </c>
      <c r="K101">
        <f t="shared" ref="K101:K106" si="3">33-7-55-53-87-14</f>
        <v>-183</v>
      </c>
      <c r="L101" t="s">
        <v>326</v>
      </c>
      <c r="M101" t="s">
        <v>327</v>
      </c>
      <c r="N101" t="s">
        <v>278</v>
      </c>
      <c r="O101" t="s">
        <v>134</v>
      </c>
      <c r="P101" t="s">
        <v>29</v>
      </c>
      <c r="Q101">
        <v>42</v>
      </c>
      <c r="R101">
        <v>-93.620800000000003</v>
      </c>
    </row>
    <row r="102" spans="1:18" x14ac:dyDescent="0.2">
      <c r="A102" t="s">
        <v>270</v>
      </c>
      <c r="B102" t="s">
        <v>271</v>
      </c>
      <c r="C102">
        <v>33</v>
      </c>
      <c r="D102" s="1">
        <v>44071.961354166669</v>
      </c>
      <c r="E102" t="s">
        <v>328</v>
      </c>
      <c r="F102" t="s">
        <v>273</v>
      </c>
      <c r="G102" t="s">
        <v>274</v>
      </c>
      <c r="H102" t="s">
        <v>275</v>
      </c>
      <c r="I102" t="s">
        <v>292</v>
      </c>
      <c r="J102">
        <v>33</v>
      </c>
      <c r="K102">
        <f t="shared" si="3"/>
        <v>-183</v>
      </c>
      <c r="L102" t="s">
        <v>329</v>
      </c>
      <c r="M102" t="s">
        <v>330</v>
      </c>
      <c r="N102" t="s">
        <v>278</v>
      </c>
      <c r="O102" t="s">
        <v>134</v>
      </c>
      <c r="P102" t="s">
        <v>29</v>
      </c>
      <c r="Q102">
        <v>42</v>
      </c>
      <c r="R102">
        <v>-93.620800000000003</v>
      </c>
    </row>
    <row r="103" spans="1:18" x14ac:dyDescent="0.2">
      <c r="A103" t="s">
        <v>270</v>
      </c>
      <c r="B103" t="s">
        <v>271</v>
      </c>
      <c r="C103">
        <v>33</v>
      </c>
      <c r="D103" s="1">
        <v>44071.129687499997</v>
      </c>
      <c r="E103" t="s">
        <v>328</v>
      </c>
      <c r="F103" t="s">
        <v>273</v>
      </c>
      <c r="G103" t="s">
        <v>274</v>
      </c>
      <c r="H103" t="s">
        <v>275</v>
      </c>
      <c r="I103" t="s">
        <v>292</v>
      </c>
      <c r="J103">
        <v>33</v>
      </c>
      <c r="K103">
        <f t="shared" si="3"/>
        <v>-183</v>
      </c>
      <c r="L103" t="s">
        <v>331</v>
      </c>
      <c r="M103" t="s">
        <v>332</v>
      </c>
      <c r="N103" t="s">
        <v>278</v>
      </c>
      <c r="O103" t="s">
        <v>134</v>
      </c>
      <c r="P103" t="s">
        <v>29</v>
      </c>
      <c r="Q103">
        <v>42</v>
      </c>
      <c r="R103">
        <v>-93.620800000000003</v>
      </c>
    </row>
    <row r="104" spans="1:18" x14ac:dyDescent="0.2">
      <c r="A104" t="s">
        <v>270</v>
      </c>
      <c r="B104" t="s">
        <v>271</v>
      </c>
      <c r="C104">
        <v>33</v>
      </c>
      <c r="D104" s="1">
        <v>44071.129490740743</v>
      </c>
      <c r="E104" t="s">
        <v>333</v>
      </c>
      <c r="F104" t="s">
        <v>273</v>
      </c>
      <c r="G104" t="s">
        <v>274</v>
      </c>
      <c r="H104" t="s">
        <v>275</v>
      </c>
      <c r="I104" t="s">
        <v>292</v>
      </c>
      <c r="J104">
        <v>33</v>
      </c>
      <c r="K104">
        <f t="shared" si="3"/>
        <v>-183</v>
      </c>
      <c r="L104" t="s">
        <v>334</v>
      </c>
      <c r="M104" t="s">
        <v>335</v>
      </c>
      <c r="N104" t="s">
        <v>278</v>
      </c>
      <c r="O104" t="s">
        <v>134</v>
      </c>
      <c r="P104" t="s">
        <v>29</v>
      </c>
      <c r="Q104">
        <v>42</v>
      </c>
      <c r="R104">
        <v>-93.620800000000003</v>
      </c>
    </row>
    <row r="105" spans="1:18" x14ac:dyDescent="0.2">
      <c r="A105" t="s">
        <v>270</v>
      </c>
      <c r="B105" t="s">
        <v>271</v>
      </c>
      <c r="C105">
        <v>33</v>
      </c>
      <c r="D105" s="1">
        <v>44070.871678240743</v>
      </c>
      <c r="E105" t="s">
        <v>325</v>
      </c>
      <c r="F105" t="s">
        <v>273</v>
      </c>
      <c r="G105" t="s">
        <v>274</v>
      </c>
      <c r="H105" t="s">
        <v>275</v>
      </c>
      <c r="I105" t="s">
        <v>292</v>
      </c>
      <c r="J105">
        <v>33</v>
      </c>
      <c r="K105">
        <f t="shared" si="3"/>
        <v>-183</v>
      </c>
      <c r="L105" t="s">
        <v>336</v>
      </c>
      <c r="M105" t="s">
        <v>337</v>
      </c>
      <c r="N105" t="s">
        <v>278</v>
      </c>
      <c r="O105" t="s">
        <v>134</v>
      </c>
      <c r="P105" t="s">
        <v>29</v>
      </c>
      <c r="Q105">
        <v>42</v>
      </c>
      <c r="R105">
        <v>-93.620800000000003</v>
      </c>
    </row>
    <row r="106" spans="1:18" x14ac:dyDescent="0.2">
      <c r="A106" t="s">
        <v>270</v>
      </c>
      <c r="B106" t="s">
        <v>271</v>
      </c>
      <c r="C106">
        <v>33</v>
      </c>
      <c r="D106" s="1">
        <v>44070.609212962961</v>
      </c>
      <c r="E106" t="s">
        <v>338</v>
      </c>
      <c r="F106" t="s">
        <v>273</v>
      </c>
      <c r="G106" t="s">
        <v>274</v>
      </c>
      <c r="H106" t="s">
        <v>275</v>
      </c>
      <c r="I106" t="s">
        <v>292</v>
      </c>
      <c r="J106">
        <v>33</v>
      </c>
      <c r="K106">
        <f t="shared" si="3"/>
        <v>-183</v>
      </c>
      <c r="L106" t="s">
        <v>339</v>
      </c>
      <c r="M106" t="s">
        <v>340</v>
      </c>
      <c r="N106" t="s">
        <v>278</v>
      </c>
      <c r="O106" t="s">
        <v>134</v>
      </c>
      <c r="P106" t="s">
        <v>29</v>
      </c>
      <c r="Q106">
        <v>42</v>
      </c>
      <c r="R106">
        <v>-93.620800000000003</v>
      </c>
    </row>
    <row r="107" spans="1:18" x14ac:dyDescent="0.2">
      <c r="A107" t="s">
        <v>270</v>
      </c>
      <c r="B107" t="s">
        <v>271</v>
      </c>
      <c r="C107">
        <v>1</v>
      </c>
      <c r="D107" s="1">
        <v>44070.603437500002</v>
      </c>
      <c r="E107" t="s">
        <v>341</v>
      </c>
      <c r="F107" t="s">
        <v>273</v>
      </c>
      <c r="G107" t="s">
        <v>274</v>
      </c>
      <c r="H107" t="s">
        <v>275</v>
      </c>
      <c r="I107" t="s">
        <v>29</v>
      </c>
      <c r="J107">
        <v>1</v>
      </c>
      <c r="K107">
        <f>1-888-527-4189</f>
        <v>-5603</v>
      </c>
      <c r="L107" t="s">
        <v>342</v>
      </c>
      <c r="M107" t="s">
        <v>343</v>
      </c>
      <c r="N107" t="s">
        <v>278</v>
      </c>
      <c r="O107" t="s">
        <v>134</v>
      </c>
      <c r="P107" t="s">
        <v>29</v>
      </c>
      <c r="Q107">
        <v>42</v>
      </c>
      <c r="R107">
        <v>-93.620800000000003</v>
      </c>
    </row>
    <row r="108" spans="1:18" x14ac:dyDescent="0.2">
      <c r="A108" t="s">
        <v>270</v>
      </c>
      <c r="B108" t="s">
        <v>271</v>
      </c>
      <c r="C108">
        <v>33</v>
      </c>
      <c r="D108" s="1">
        <v>44070.587129629632</v>
      </c>
      <c r="E108" t="s">
        <v>344</v>
      </c>
      <c r="F108" t="s">
        <v>273</v>
      </c>
      <c r="G108" t="s">
        <v>274</v>
      </c>
      <c r="H108" t="s">
        <v>275</v>
      </c>
      <c r="I108" t="s">
        <v>292</v>
      </c>
      <c r="J108">
        <v>33</v>
      </c>
      <c r="K108">
        <f>33-7-55-53-87-14</f>
        <v>-183</v>
      </c>
      <c r="L108" t="s">
        <v>345</v>
      </c>
      <c r="M108" t="s">
        <v>346</v>
      </c>
      <c r="N108" t="s">
        <v>278</v>
      </c>
      <c r="O108" t="s">
        <v>134</v>
      </c>
      <c r="P108" t="s">
        <v>29</v>
      </c>
      <c r="Q108">
        <v>42</v>
      </c>
      <c r="R108">
        <v>-93.620800000000003</v>
      </c>
    </row>
    <row r="109" spans="1:18" x14ac:dyDescent="0.2">
      <c r="A109" t="s">
        <v>270</v>
      </c>
      <c r="B109" t="s">
        <v>271</v>
      </c>
      <c r="C109">
        <v>1</v>
      </c>
      <c r="D109" s="1">
        <v>44070.581157407411</v>
      </c>
      <c r="E109" t="s">
        <v>347</v>
      </c>
      <c r="F109" t="s">
        <v>273</v>
      </c>
      <c r="G109" t="s">
        <v>274</v>
      </c>
      <c r="H109" t="s">
        <v>275</v>
      </c>
      <c r="I109" t="s">
        <v>29</v>
      </c>
      <c r="J109">
        <v>1</v>
      </c>
      <c r="K109">
        <f>1-866-749-6811</f>
        <v>-8425</v>
      </c>
      <c r="L109" t="s">
        <v>348</v>
      </c>
      <c r="M109" t="s">
        <v>349</v>
      </c>
      <c r="N109" t="s">
        <v>278</v>
      </c>
      <c r="O109" t="s">
        <v>134</v>
      </c>
      <c r="P109" t="s">
        <v>29</v>
      </c>
      <c r="Q109">
        <v>42</v>
      </c>
      <c r="R109">
        <v>-93.620800000000003</v>
      </c>
    </row>
    <row r="110" spans="1:18" x14ac:dyDescent="0.2">
      <c r="A110" t="s">
        <v>270</v>
      </c>
      <c r="B110" t="s">
        <v>271</v>
      </c>
      <c r="C110">
        <v>1</v>
      </c>
      <c r="D110" s="1">
        <v>44068.193402777775</v>
      </c>
      <c r="E110" t="s">
        <v>350</v>
      </c>
      <c r="F110" t="s">
        <v>273</v>
      </c>
      <c r="G110" t="s">
        <v>274</v>
      </c>
      <c r="H110" t="s">
        <v>275</v>
      </c>
      <c r="I110" t="s">
        <v>29</v>
      </c>
      <c r="J110">
        <v>1</v>
      </c>
      <c r="K110">
        <f>1-888-535-4744</f>
        <v>-6166</v>
      </c>
      <c r="L110" t="s">
        <v>351</v>
      </c>
      <c r="M110" t="s">
        <v>352</v>
      </c>
      <c r="N110" t="s">
        <v>278</v>
      </c>
      <c r="O110" t="s">
        <v>134</v>
      </c>
      <c r="P110" t="s">
        <v>29</v>
      </c>
      <c r="Q110">
        <v>42</v>
      </c>
      <c r="R110">
        <v>-93.620800000000003</v>
      </c>
    </row>
    <row r="111" spans="1:18" x14ac:dyDescent="0.2">
      <c r="A111" t="s">
        <v>270</v>
      </c>
      <c r="B111" t="s">
        <v>271</v>
      </c>
      <c r="C111">
        <v>1</v>
      </c>
      <c r="D111" s="1">
        <v>44068.186342592591</v>
      </c>
      <c r="E111" t="s">
        <v>353</v>
      </c>
      <c r="F111" t="s">
        <v>273</v>
      </c>
      <c r="G111" t="s">
        <v>274</v>
      </c>
      <c r="H111" t="s">
        <v>275</v>
      </c>
      <c r="I111" t="s">
        <v>29</v>
      </c>
      <c r="J111">
        <v>1</v>
      </c>
      <c r="K111">
        <f>1-888-523-5728</f>
        <v>-7138</v>
      </c>
      <c r="L111" t="s">
        <v>354</v>
      </c>
      <c r="M111" t="s">
        <v>355</v>
      </c>
      <c r="N111" t="s">
        <v>278</v>
      </c>
      <c r="O111" t="s">
        <v>134</v>
      </c>
      <c r="P111" t="s">
        <v>29</v>
      </c>
      <c r="Q111">
        <v>42</v>
      </c>
      <c r="R111">
        <v>-93.620800000000003</v>
      </c>
    </row>
    <row r="112" spans="1:18" x14ac:dyDescent="0.2">
      <c r="A112" t="s">
        <v>270</v>
      </c>
      <c r="B112" t="s">
        <v>271</v>
      </c>
      <c r="C112">
        <v>1</v>
      </c>
      <c r="D112" s="1">
        <v>44068.021643518521</v>
      </c>
      <c r="E112" t="s">
        <v>356</v>
      </c>
      <c r="F112" t="s">
        <v>273</v>
      </c>
      <c r="G112" t="s">
        <v>274</v>
      </c>
      <c r="H112" t="s">
        <v>275</v>
      </c>
      <c r="I112" t="s">
        <v>29</v>
      </c>
      <c r="J112">
        <v>1</v>
      </c>
      <c r="K112">
        <f>1-888-965-777</f>
        <v>-2629</v>
      </c>
      <c r="L112" t="s">
        <v>357</v>
      </c>
      <c r="M112" t="s">
        <v>358</v>
      </c>
      <c r="N112" t="s">
        <v>278</v>
      </c>
      <c r="O112" t="s">
        <v>28</v>
      </c>
      <c r="P112" t="s">
        <v>29</v>
      </c>
      <c r="Q112">
        <v>42</v>
      </c>
      <c r="R112">
        <v>-93.620800000000003</v>
      </c>
    </row>
    <row r="113" spans="1:18" x14ac:dyDescent="0.2">
      <c r="A113" t="s">
        <v>270</v>
      </c>
      <c r="B113" t="s">
        <v>271</v>
      </c>
      <c r="C113">
        <v>1</v>
      </c>
      <c r="D113" s="1">
        <v>44067.44599537037</v>
      </c>
      <c r="E113" t="s">
        <v>359</v>
      </c>
      <c r="F113" t="s">
        <v>273</v>
      </c>
      <c r="G113" t="s">
        <v>274</v>
      </c>
      <c r="H113" t="s">
        <v>275</v>
      </c>
      <c r="I113" t="s">
        <v>29</v>
      </c>
      <c r="J113">
        <v>1</v>
      </c>
      <c r="K113">
        <f>1-888-705-864</f>
        <v>-2456</v>
      </c>
      <c r="L113" t="s">
        <v>360</v>
      </c>
      <c r="M113" t="s">
        <v>361</v>
      </c>
      <c r="N113" t="s">
        <v>278</v>
      </c>
      <c r="O113" t="s">
        <v>134</v>
      </c>
      <c r="P113" t="s">
        <v>29</v>
      </c>
      <c r="Q113">
        <v>42</v>
      </c>
      <c r="R113">
        <v>-93.620800000000003</v>
      </c>
    </row>
    <row r="114" spans="1:18" x14ac:dyDescent="0.2">
      <c r="A114" t="s">
        <v>270</v>
      </c>
      <c r="B114" t="s">
        <v>271</v>
      </c>
      <c r="C114">
        <v>1</v>
      </c>
      <c r="D114" s="1">
        <v>44066.008067129631</v>
      </c>
      <c r="E114" t="s">
        <v>362</v>
      </c>
      <c r="F114" t="s">
        <v>273</v>
      </c>
      <c r="G114" t="s">
        <v>274</v>
      </c>
      <c r="H114" t="s">
        <v>275</v>
      </c>
      <c r="I114" t="s">
        <v>29</v>
      </c>
      <c r="J114">
        <v>1</v>
      </c>
      <c r="K114">
        <f>1-888-690-842</f>
        <v>-2419</v>
      </c>
      <c r="L114" t="s">
        <v>363</v>
      </c>
      <c r="M114" t="s">
        <v>364</v>
      </c>
      <c r="N114" t="s">
        <v>278</v>
      </c>
      <c r="O114" t="s">
        <v>134</v>
      </c>
      <c r="P114" t="s">
        <v>29</v>
      </c>
      <c r="Q114">
        <v>42</v>
      </c>
      <c r="R114">
        <v>-93.620800000000003</v>
      </c>
    </row>
    <row r="115" spans="1:18" x14ac:dyDescent="0.2">
      <c r="A115" t="s">
        <v>270</v>
      </c>
      <c r="B115" t="s">
        <v>271</v>
      </c>
      <c r="C115">
        <v>1</v>
      </c>
      <c r="D115" s="1">
        <v>44066.007280092592</v>
      </c>
      <c r="E115" t="s">
        <v>365</v>
      </c>
      <c r="F115" t="s">
        <v>273</v>
      </c>
      <c r="G115" t="s">
        <v>274</v>
      </c>
      <c r="H115" t="s">
        <v>275</v>
      </c>
      <c r="I115" t="s">
        <v>29</v>
      </c>
      <c r="J115">
        <v>1</v>
      </c>
      <c r="K115">
        <f>1-888-965-883</f>
        <v>-2735</v>
      </c>
      <c r="L115" t="s">
        <v>366</v>
      </c>
      <c r="M115" t="s">
        <v>367</v>
      </c>
      <c r="N115" t="s">
        <v>278</v>
      </c>
      <c r="O115" t="s">
        <v>134</v>
      </c>
      <c r="P115" t="s">
        <v>29</v>
      </c>
      <c r="Q115">
        <v>42</v>
      </c>
      <c r="R115">
        <v>-93.620800000000003</v>
      </c>
    </row>
    <row r="116" spans="1:18" x14ac:dyDescent="0.2">
      <c r="A116" t="s">
        <v>270</v>
      </c>
      <c r="B116" t="s">
        <v>271</v>
      </c>
      <c r="C116">
        <v>1</v>
      </c>
      <c r="D116" s="1">
        <v>44066.007187499999</v>
      </c>
      <c r="E116" t="s">
        <v>368</v>
      </c>
      <c r="F116" t="s">
        <v>273</v>
      </c>
      <c r="G116" t="s">
        <v>274</v>
      </c>
      <c r="H116" t="s">
        <v>275</v>
      </c>
      <c r="I116" t="s">
        <v>29</v>
      </c>
      <c r="J116">
        <v>1</v>
      </c>
      <c r="K116">
        <f>1-888-851-670</f>
        <v>-2408</v>
      </c>
      <c r="L116" t="s">
        <v>369</v>
      </c>
      <c r="M116" t="s">
        <v>370</v>
      </c>
      <c r="N116" t="s">
        <v>278</v>
      </c>
      <c r="O116" t="s">
        <v>134</v>
      </c>
      <c r="P116" t="s">
        <v>29</v>
      </c>
      <c r="Q116">
        <v>42</v>
      </c>
      <c r="R116">
        <v>-93.620800000000003</v>
      </c>
    </row>
    <row r="117" spans="1:18" x14ac:dyDescent="0.2">
      <c r="A117" t="s">
        <v>270</v>
      </c>
      <c r="B117" t="s">
        <v>271</v>
      </c>
      <c r="C117">
        <v>1</v>
      </c>
      <c r="D117" s="1">
        <v>44066.006909722222</v>
      </c>
      <c r="E117" t="s">
        <v>371</v>
      </c>
      <c r="F117" t="s">
        <v>273</v>
      </c>
      <c r="G117" t="s">
        <v>274</v>
      </c>
      <c r="H117" t="s">
        <v>275</v>
      </c>
      <c r="I117" t="s">
        <v>29</v>
      </c>
      <c r="J117">
        <v>1</v>
      </c>
      <c r="K117">
        <f>1-888-965-835</f>
        <v>-2687</v>
      </c>
      <c r="L117" t="s">
        <v>372</v>
      </c>
      <c r="M117" t="s">
        <v>373</v>
      </c>
      <c r="N117" t="s">
        <v>278</v>
      </c>
      <c r="O117" t="s">
        <v>134</v>
      </c>
      <c r="P117" t="s">
        <v>29</v>
      </c>
      <c r="Q117">
        <v>42</v>
      </c>
      <c r="R117">
        <v>-93.620800000000003</v>
      </c>
    </row>
    <row r="118" spans="1:18" x14ac:dyDescent="0.2">
      <c r="A118" t="s">
        <v>270</v>
      </c>
      <c r="B118" t="s">
        <v>271</v>
      </c>
      <c r="C118">
        <v>1</v>
      </c>
      <c r="D118" s="1">
        <v>44066.006793981483</v>
      </c>
      <c r="E118" t="s">
        <v>374</v>
      </c>
      <c r="F118" t="s">
        <v>273</v>
      </c>
      <c r="G118" t="s">
        <v>274</v>
      </c>
      <c r="H118" t="s">
        <v>275</v>
      </c>
      <c r="I118" t="s">
        <v>29</v>
      </c>
      <c r="J118">
        <v>1</v>
      </c>
      <c r="K118">
        <f>1-888-705-877</f>
        <v>-2469</v>
      </c>
      <c r="L118" t="s">
        <v>375</v>
      </c>
      <c r="M118" t="s">
        <v>376</v>
      </c>
      <c r="N118" t="s">
        <v>278</v>
      </c>
      <c r="O118" t="s">
        <v>134</v>
      </c>
      <c r="P118" t="s">
        <v>29</v>
      </c>
      <c r="Q118">
        <v>42</v>
      </c>
      <c r="R118">
        <v>-93.620800000000003</v>
      </c>
    </row>
    <row r="119" spans="1:18" x14ac:dyDescent="0.2">
      <c r="A119" t="s">
        <v>270</v>
      </c>
      <c r="B119" t="s">
        <v>271</v>
      </c>
      <c r="C119">
        <v>1</v>
      </c>
      <c r="D119" s="1">
        <v>44065.86755787037</v>
      </c>
      <c r="E119" t="s">
        <v>377</v>
      </c>
      <c r="F119" t="s">
        <v>273</v>
      </c>
      <c r="G119" t="s">
        <v>274</v>
      </c>
      <c r="H119" t="s">
        <v>275</v>
      </c>
      <c r="I119" t="s">
        <v>29</v>
      </c>
      <c r="J119">
        <v>1</v>
      </c>
      <c r="K119">
        <f>1-888-705-864</f>
        <v>-2456</v>
      </c>
      <c r="L119" t="s">
        <v>378</v>
      </c>
      <c r="M119" t="s">
        <v>379</v>
      </c>
      <c r="N119" t="s">
        <v>278</v>
      </c>
      <c r="O119" t="s">
        <v>28</v>
      </c>
      <c r="P119" t="s">
        <v>29</v>
      </c>
      <c r="Q119">
        <v>42</v>
      </c>
      <c r="R119">
        <v>-93.620800000000003</v>
      </c>
    </row>
    <row r="120" spans="1:18" x14ac:dyDescent="0.2">
      <c r="A120" t="s">
        <v>270</v>
      </c>
      <c r="B120" t="s">
        <v>271</v>
      </c>
      <c r="C120">
        <v>1</v>
      </c>
      <c r="D120" s="1">
        <v>44065.550671296296</v>
      </c>
      <c r="E120" t="s">
        <v>380</v>
      </c>
      <c r="F120" t="s">
        <v>273</v>
      </c>
      <c r="G120" t="s">
        <v>274</v>
      </c>
      <c r="H120" t="s">
        <v>275</v>
      </c>
      <c r="I120" t="s">
        <v>29</v>
      </c>
      <c r="J120">
        <v>1</v>
      </c>
      <c r="K120">
        <f>1-888-705-864</f>
        <v>-2456</v>
      </c>
      <c r="L120" t="s">
        <v>381</v>
      </c>
      <c r="M120" t="s">
        <v>382</v>
      </c>
      <c r="N120" t="s">
        <v>278</v>
      </c>
      <c r="O120" t="s">
        <v>28</v>
      </c>
      <c r="P120" t="s">
        <v>29</v>
      </c>
      <c r="Q120">
        <v>42</v>
      </c>
      <c r="R120">
        <v>-93.620800000000003</v>
      </c>
    </row>
    <row r="121" spans="1:18" x14ac:dyDescent="0.2">
      <c r="A121" t="s">
        <v>270</v>
      </c>
      <c r="B121" t="s">
        <v>271</v>
      </c>
      <c r="C121">
        <v>1</v>
      </c>
      <c r="D121" s="1">
        <v>44060.942349537036</v>
      </c>
      <c r="E121" t="s">
        <v>383</v>
      </c>
      <c r="F121" t="s">
        <v>273</v>
      </c>
      <c r="G121" t="s">
        <v>274</v>
      </c>
      <c r="H121" t="s">
        <v>275</v>
      </c>
      <c r="I121" t="s">
        <v>29</v>
      </c>
      <c r="J121">
        <v>1</v>
      </c>
      <c r="K121">
        <f>1-866-895-9674</f>
        <v>-11434</v>
      </c>
      <c r="L121" t="s">
        <v>384</v>
      </c>
      <c r="M121" t="s">
        <v>385</v>
      </c>
      <c r="N121" t="s">
        <v>278</v>
      </c>
      <c r="O121" t="s">
        <v>28</v>
      </c>
      <c r="P121" t="s">
        <v>29</v>
      </c>
      <c r="Q121">
        <v>42</v>
      </c>
      <c r="R121">
        <v>-93.620800000000003</v>
      </c>
    </row>
    <row r="122" spans="1:18" x14ac:dyDescent="0.2">
      <c r="A122" t="s">
        <v>270</v>
      </c>
      <c r="B122" t="s">
        <v>271</v>
      </c>
      <c r="C122">
        <v>1</v>
      </c>
      <c r="D122" s="1">
        <v>44059.782939814817</v>
      </c>
      <c r="E122" t="s">
        <v>386</v>
      </c>
      <c r="F122" t="s">
        <v>273</v>
      </c>
      <c r="G122" t="s">
        <v>274</v>
      </c>
      <c r="H122" t="s">
        <v>275</v>
      </c>
      <c r="I122" t="s">
        <v>29</v>
      </c>
      <c r="J122">
        <v>1</v>
      </c>
      <c r="K122">
        <f>1-888-851-721</f>
        <v>-2459</v>
      </c>
      <c r="L122" t="s">
        <v>387</v>
      </c>
      <c r="M122" t="s">
        <v>388</v>
      </c>
      <c r="N122" t="s">
        <v>278</v>
      </c>
      <c r="O122" t="s">
        <v>28</v>
      </c>
      <c r="P122" t="s">
        <v>29</v>
      </c>
      <c r="Q122">
        <v>42</v>
      </c>
      <c r="R122">
        <v>-93.620800000000003</v>
      </c>
    </row>
    <row r="123" spans="1:18" x14ac:dyDescent="0.2">
      <c r="A123" t="s">
        <v>270</v>
      </c>
      <c r="B123" t="s">
        <v>271</v>
      </c>
      <c r="C123">
        <v>1</v>
      </c>
      <c r="D123" s="1">
        <v>44058.42324074074</v>
      </c>
      <c r="E123" t="s">
        <v>389</v>
      </c>
      <c r="F123" t="s">
        <v>273</v>
      </c>
      <c r="G123" t="s">
        <v>274</v>
      </c>
      <c r="H123" t="s">
        <v>275</v>
      </c>
      <c r="I123" t="s">
        <v>29</v>
      </c>
      <c r="J123">
        <v>1</v>
      </c>
      <c r="K123">
        <f>1-888-312-1401</f>
        <v>-2600</v>
      </c>
      <c r="L123" t="s">
        <v>390</v>
      </c>
      <c r="M123" t="s">
        <v>391</v>
      </c>
      <c r="N123" t="s">
        <v>278</v>
      </c>
      <c r="O123" t="s">
        <v>134</v>
      </c>
      <c r="P123" t="s">
        <v>29</v>
      </c>
      <c r="Q123">
        <v>42</v>
      </c>
      <c r="R123">
        <v>-93.620800000000003</v>
      </c>
    </row>
    <row r="124" spans="1:18" x14ac:dyDescent="0.2">
      <c r="A124" t="s">
        <v>270</v>
      </c>
      <c r="B124" t="s">
        <v>271</v>
      </c>
      <c r="C124">
        <v>1</v>
      </c>
      <c r="D124" s="1">
        <v>44053.714189814818</v>
      </c>
      <c r="E124" t="s">
        <v>392</v>
      </c>
      <c r="F124" t="s">
        <v>273</v>
      </c>
      <c r="G124" t="s">
        <v>274</v>
      </c>
      <c r="H124" t="s">
        <v>275</v>
      </c>
      <c r="I124" t="s">
        <v>29</v>
      </c>
      <c r="J124">
        <v>1</v>
      </c>
      <c r="K124">
        <f>1-866-702-3639</f>
        <v>-5206</v>
      </c>
      <c r="L124" t="s">
        <v>393</v>
      </c>
      <c r="M124" t="s">
        <v>394</v>
      </c>
      <c r="N124" t="s">
        <v>278</v>
      </c>
      <c r="O124" t="s">
        <v>134</v>
      </c>
      <c r="P124" t="s">
        <v>29</v>
      </c>
      <c r="Q124">
        <v>42</v>
      </c>
      <c r="R124">
        <v>-93.620800000000003</v>
      </c>
    </row>
    <row r="125" spans="1:18" x14ac:dyDescent="0.2">
      <c r="A125" t="s">
        <v>270</v>
      </c>
      <c r="B125" t="s">
        <v>271</v>
      </c>
      <c r="C125">
        <v>1</v>
      </c>
      <c r="D125" s="1">
        <v>44053.714039351849</v>
      </c>
      <c r="E125" t="s">
        <v>395</v>
      </c>
      <c r="F125" t="s">
        <v>273</v>
      </c>
      <c r="G125" t="s">
        <v>274</v>
      </c>
      <c r="H125" t="s">
        <v>275</v>
      </c>
      <c r="I125" t="s">
        <v>29</v>
      </c>
      <c r="J125">
        <v>1</v>
      </c>
      <c r="K125">
        <f>1-866-702-3639</f>
        <v>-5206</v>
      </c>
      <c r="L125" t="s">
        <v>396</v>
      </c>
      <c r="M125" t="s">
        <v>397</v>
      </c>
      <c r="N125" t="s">
        <v>278</v>
      </c>
      <c r="O125" t="s">
        <v>134</v>
      </c>
      <c r="P125" t="s">
        <v>29</v>
      </c>
      <c r="Q125">
        <v>42</v>
      </c>
      <c r="R125">
        <v>-93.620800000000003</v>
      </c>
    </row>
    <row r="126" spans="1:18" x14ac:dyDescent="0.2">
      <c r="A126" t="s">
        <v>270</v>
      </c>
      <c r="B126" t="s">
        <v>271</v>
      </c>
      <c r="C126">
        <v>1</v>
      </c>
      <c r="D126" s="1">
        <v>44053.304062499999</v>
      </c>
      <c r="E126" t="s">
        <v>398</v>
      </c>
      <c r="F126" t="s">
        <v>273</v>
      </c>
      <c r="G126" t="s">
        <v>274</v>
      </c>
      <c r="H126" t="s">
        <v>275</v>
      </c>
      <c r="I126" t="s">
        <v>29</v>
      </c>
      <c r="J126">
        <v>1</v>
      </c>
      <c r="K126">
        <f>1-866-801-5549</f>
        <v>-7215</v>
      </c>
      <c r="L126" t="s">
        <v>399</v>
      </c>
      <c r="M126" t="s">
        <v>400</v>
      </c>
      <c r="N126" t="s">
        <v>278</v>
      </c>
      <c r="O126" t="s">
        <v>134</v>
      </c>
      <c r="P126" t="s">
        <v>29</v>
      </c>
      <c r="Q126">
        <v>42</v>
      </c>
      <c r="R126">
        <v>-93.620800000000003</v>
      </c>
    </row>
    <row r="127" spans="1:18" x14ac:dyDescent="0.2">
      <c r="A127" t="s">
        <v>270</v>
      </c>
      <c r="B127" t="s">
        <v>271</v>
      </c>
      <c r="C127">
        <v>1</v>
      </c>
      <c r="D127" s="1">
        <v>44053.286134259259</v>
      </c>
      <c r="E127" t="s">
        <v>401</v>
      </c>
      <c r="F127" t="s">
        <v>273</v>
      </c>
      <c r="G127" t="s">
        <v>274</v>
      </c>
      <c r="H127" t="s">
        <v>275</v>
      </c>
      <c r="I127" t="s">
        <v>29</v>
      </c>
      <c r="J127">
        <v>1</v>
      </c>
      <c r="K127">
        <f>1-866-672-9693</f>
        <v>-11230</v>
      </c>
      <c r="L127" t="s">
        <v>402</v>
      </c>
      <c r="M127" t="s">
        <v>403</v>
      </c>
      <c r="N127" t="s">
        <v>278</v>
      </c>
      <c r="O127" t="s">
        <v>134</v>
      </c>
      <c r="P127" t="s">
        <v>29</v>
      </c>
      <c r="Q127">
        <v>42</v>
      </c>
      <c r="R127">
        <v>-93.620800000000003</v>
      </c>
    </row>
    <row r="128" spans="1:18" x14ac:dyDescent="0.2">
      <c r="A128" t="s">
        <v>270</v>
      </c>
      <c r="B128" t="s">
        <v>271</v>
      </c>
      <c r="C128">
        <v>1</v>
      </c>
      <c r="D128" s="1">
        <v>44036.858124999999</v>
      </c>
      <c r="E128" t="s">
        <v>404</v>
      </c>
      <c r="F128" t="s">
        <v>273</v>
      </c>
      <c r="G128" t="s">
        <v>274</v>
      </c>
      <c r="H128" t="s">
        <v>275</v>
      </c>
      <c r="I128" t="s">
        <v>29</v>
      </c>
      <c r="J128">
        <v>1</v>
      </c>
      <c r="K128">
        <f>1-844-899-5149</f>
        <v>-6891</v>
      </c>
      <c r="L128" t="s">
        <v>405</v>
      </c>
      <c r="M128" t="s">
        <v>406</v>
      </c>
      <c r="N128" t="s">
        <v>278</v>
      </c>
      <c r="O128" t="s">
        <v>134</v>
      </c>
      <c r="P128" t="s">
        <v>29</v>
      </c>
      <c r="Q128">
        <v>42</v>
      </c>
      <c r="R128">
        <v>-93.620800000000003</v>
      </c>
    </row>
    <row r="129" spans="1:18" x14ac:dyDescent="0.2">
      <c r="A129" t="s">
        <v>270</v>
      </c>
      <c r="B129" t="s">
        <v>271</v>
      </c>
      <c r="C129">
        <v>1</v>
      </c>
      <c r="D129" s="1">
        <v>44036.731134259258</v>
      </c>
      <c r="E129" t="s">
        <v>404</v>
      </c>
      <c r="F129" t="s">
        <v>273</v>
      </c>
      <c r="G129" t="s">
        <v>274</v>
      </c>
      <c r="H129" t="s">
        <v>275</v>
      </c>
      <c r="I129" t="s">
        <v>29</v>
      </c>
      <c r="J129">
        <v>1</v>
      </c>
      <c r="K129">
        <f>1-844-772-9315</f>
        <v>-10930</v>
      </c>
      <c r="L129" t="s">
        <v>407</v>
      </c>
      <c r="M129" t="s">
        <v>408</v>
      </c>
      <c r="N129" t="s">
        <v>278</v>
      </c>
      <c r="O129" t="s">
        <v>134</v>
      </c>
      <c r="P129" t="s">
        <v>29</v>
      </c>
      <c r="Q129">
        <v>42</v>
      </c>
      <c r="R129">
        <v>-93.620800000000003</v>
      </c>
    </row>
    <row r="130" spans="1:18" x14ac:dyDescent="0.2">
      <c r="A130" t="s">
        <v>270</v>
      </c>
      <c r="B130" t="s">
        <v>271</v>
      </c>
      <c r="C130">
        <v>1</v>
      </c>
      <c r="D130" s="1">
        <v>44036.730324074073</v>
      </c>
      <c r="E130" t="s">
        <v>409</v>
      </c>
      <c r="F130" t="s">
        <v>273</v>
      </c>
      <c r="G130" t="s">
        <v>274</v>
      </c>
      <c r="H130" t="s">
        <v>275</v>
      </c>
      <c r="I130" t="s">
        <v>29</v>
      </c>
      <c r="J130">
        <v>1</v>
      </c>
      <c r="K130">
        <f>1-844-772-9315</f>
        <v>-10930</v>
      </c>
      <c r="L130" t="s">
        <v>410</v>
      </c>
      <c r="M130" t="s">
        <v>411</v>
      </c>
      <c r="N130" t="s">
        <v>278</v>
      </c>
      <c r="O130" t="s">
        <v>134</v>
      </c>
      <c r="P130" t="s">
        <v>29</v>
      </c>
      <c r="Q130">
        <v>42</v>
      </c>
      <c r="R130">
        <v>-93.620800000000003</v>
      </c>
    </row>
    <row r="131" spans="1:18" x14ac:dyDescent="0.2">
      <c r="A131" t="s">
        <v>270</v>
      </c>
      <c r="B131" t="s">
        <v>271</v>
      </c>
      <c r="C131">
        <v>1</v>
      </c>
      <c r="D131" s="1">
        <v>44035.826319444444</v>
      </c>
      <c r="E131" t="s">
        <v>412</v>
      </c>
      <c r="F131" t="s">
        <v>273</v>
      </c>
      <c r="G131" t="s">
        <v>274</v>
      </c>
      <c r="H131" t="s">
        <v>275</v>
      </c>
      <c r="I131" t="s">
        <v>29</v>
      </c>
      <c r="J131">
        <v>1</v>
      </c>
      <c r="K131">
        <f>1-844-772-9315</f>
        <v>-10930</v>
      </c>
      <c r="L131" t="s">
        <v>413</v>
      </c>
      <c r="M131" t="s">
        <v>414</v>
      </c>
      <c r="N131" t="s">
        <v>278</v>
      </c>
      <c r="O131" t="s">
        <v>134</v>
      </c>
      <c r="P131" t="s">
        <v>29</v>
      </c>
      <c r="Q131">
        <v>42</v>
      </c>
      <c r="R131">
        <v>-93.620800000000003</v>
      </c>
    </row>
    <row r="132" spans="1:18" x14ac:dyDescent="0.2">
      <c r="A132" t="s">
        <v>270</v>
      </c>
      <c r="B132" t="s">
        <v>271</v>
      </c>
      <c r="C132">
        <v>1</v>
      </c>
      <c r="D132" s="1">
        <v>44035.825173611112</v>
      </c>
      <c r="E132" t="s">
        <v>415</v>
      </c>
      <c r="F132" t="s">
        <v>273</v>
      </c>
      <c r="G132" t="s">
        <v>274</v>
      </c>
      <c r="H132" t="s">
        <v>275</v>
      </c>
      <c r="I132" t="s">
        <v>29</v>
      </c>
      <c r="J132">
        <v>1</v>
      </c>
      <c r="K132">
        <f>1-844-772-9315</f>
        <v>-10930</v>
      </c>
      <c r="L132" t="s">
        <v>416</v>
      </c>
      <c r="M132" t="s">
        <v>417</v>
      </c>
      <c r="N132" t="s">
        <v>278</v>
      </c>
      <c r="O132" t="s">
        <v>134</v>
      </c>
      <c r="P132" t="s">
        <v>29</v>
      </c>
      <c r="Q132">
        <v>42</v>
      </c>
      <c r="R132">
        <v>-93.620800000000003</v>
      </c>
    </row>
    <row r="133" spans="1:18" x14ac:dyDescent="0.2">
      <c r="A133" t="s">
        <v>270</v>
      </c>
      <c r="B133" t="s">
        <v>271</v>
      </c>
      <c r="C133">
        <v>1</v>
      </c>
      <c r="D133" s="1">
        <v>44034.934675925928</v>
      </c>
      <c r="E133" t="s">
        <v>418</v>
      </c>
      <c r="F133" t="s">
        <v>273</v>
      </c>
      <c r="G133" t="s">
        <v>274</v>
      </c>
      <c r="H133" t="s">
        <v>275</v>
      </c>
      <c r="I133" t="s">
        <v>29</v>
      </c>
      <c r="J133">
        <v>1</v>
      </c>
      <c r="K133">
        <f>1-844-772-9315</f>
        <v>-10930</v>
      </c>
      <c r="L133" t="s">
        <v>419</v>
      </c>
      <c r="M133" t="s">
        <v>420</v>
      </c>
      <c r="N133" t="s">
        <v>278</v>
      </c>
      <c r="O133" t="s">
        <v>134</v>
      </c>
      <c r="P133" t="s">
        <v>29</v>
      </c>
      <c r="Q133">
        <v>42</v>
      </c>
      <c r="R133">
        <v>-93.620800000000003</v>
      </c>
    </row>
    <row r="134" spans="1:18" x14ac:dyDescent="0.2">
      <c r="A134" t="s">
        <v>270</v>
      </c>
      <c r="B134" t="s">
        <v>271</v>
      </c>
      <c r="C134">
        <v>1</v>
      </c>
      <c r="D134" s="1">
        <v>44019.781469907408</v>
      </c>
      <c r="E134" t="s">
        <v>421</v>
      </c>
      <c r="F134" t="s">
        <v>273</v>
      </c>
      <c r="G134" t="s">
        <v>274</v>
      </c>
      <c r="H134" t="s">
        <v>275</v>
      </c>
      <c r="I134" t="s">
        <v>29</v>
      </c>
      <c r="J134">
        <v>1</v>
      </c>
      <c r="K134">
        <f>1-888-397-5046</f>
        <v>-6330</v>
      </c>
      <c r="L134" t="s">
        <v>422</v>
      </c>
      <c r="M134" t="s">
        <v>423</v>
      </c>
      <c r="N134" t="s">
        <v>278</v>
      </c>
      <c r="O134" t="s">
        <v>134</v>
      </c>
      <c r="P134" t="s">
        <v>29</v>
      </c>
      <c r="Q134">
        <v>42</v>
      </c>
      <c r="R134">
        <v>-93.620800000000003</v>
      </c>
    </row>
    <row r="135" spans="1:18" x14ac:dyDescent="0.2">
      <c r="A135" t="s">
        <v>270</v>
      </c>
      <c r="B135" t="s">
        <v>271</v>
      </c>
      <c r="C135">
        <v>1</v>
      </c>
      <c r="D135" s="1">
        <v>44017.926192129627</v>
      </c>
      <c r="E135" t="s">
        <v>424</v>
      </c>
      <c r="F135" t="s">
        <v>273</v>
      </c>
      <c r="G135" t="s">
        <v>274</v>
      </c>
      <c r="H135" t="s">
        <v>275</v>
      </c>
      <c r="I135" t="s">
        <v>29</v>
      </c>
      <c r="J135">
        <v>1</v>
      </c>
      <c r="K135">
        <f>1-833-748-76</f>
        <v>-1656</v>
      </c>
      <c r="L135" t="s">
        <v>425</v>
      </c>
      <c r="M135" t="s">
        <v>426</v>
      </c>
      <c r="N135" t="s">
        <v>278</v>
      </c>
      <c r="O135" t="s">
        <v>134</v>
      </c>
      <c r="P135" t="s">
        <v>29</v>
      </c>
      <c r="Q135">
        <v>42</v>
      </c>
      <c r="R135">
        <v>-93.620800000000003</v>
      </c>
    </row>
    <row r="136" spans="1:18" x14ac:dyDescent="0.2">
      <c r="A136" t="s">
        <v>270</v>
      </c>
      <c r="B136" t="s">
        <v>271</v>
      </c>
      <c r="C136">
        <v>1</v>
      </c>
      <c r="D136" s="1">
        <v>44015.887546296297</v>
      </c>
      <c r="E136" t="s">
        <v>427</v>
      </c>
      <c r="F136" t="s">
        <v>273</v>
      </c>
      <c r="G136" t="s">
        <v>274</v>
      </c>
      <c r="H136" t="s">
        <v>275</v>
      </c>
      <c r="I136" t="s">
        <v>29</v>
      </c>
      <c r="J136">
        <v>1</v>
      </c>
      <c r="K136">
        <f>1-888-965-170</f>
        <v>-2022</v>
      </c>
      <c r="L136" t="s">
        <v>428</v>
      </c>
      <c r="M136" t="s">
        <v>429</v>
      </c>
      <c r="N136" t="s">
        <v>278</v>
      </c>
      <c r="O136" t="s">
        <v>134</v>
      </c>
      <c r="P136" t="s">
        <v>29</v>
      </c>
      <c r="Q136">
        <v>42</v>
      </c>
      <c r="R136">
        <v>-93.620800000000003</v>
      </c>
    </row>
    <row r="137" spans="1:18" x14ac:dyDescent="0.2">
      <c r="A137" t="s">
        <v>270</v>
      </c>
      <c r="B137" t="s">
        <v>271</v>
      </c>
      <c r="C137">
        <v>1</v>
      </c>
      <c r="D137" s="1">
        <v>43992.824606481481</v>
      </c>
      <c r="E137" t="s">
        <v>430</v>
      </c>
      <c r="F137" t="s">
        <v>273</v>
      </c>
      <c r="G137" t="s">
        <v>274</v>
      </c>
      <c r="H137" t="s">
        <v>275</v>
      </c>
      <c r="I137" t="s">
        <v>29</v>
      </c>
      <c r="J137">
        <v>1</v>
      </c>
      <c r="K137">
        <f>1-833-610-1275</f>
        <v>-2717</v>
      </c>
      <c r="L137" t="s">
        <v>431</v>
      </c>
      <c r="M137" t="s">
        <v>432</v>
      </c>
      <c r="N137" t="s">
        <v>278</v>
      </c>
      <c r="O137" t="s">
        <v>28</v>
      </c>
      <c r="P137" t="s">
        <v>29</v>
      </c>
      <c r="Q137">
        <v>42</v>
      </c>
      <c r="R137">
        <v>-93.620800000000003</v>
      </c>
    </row>
    <row r="138" spans="1:18" x14ac:dyDescent="0.2">
      <c r="A138" t="s">
        <v>270</v>
      </c>
      <c r="B138" t="s">
        <v>271</v>
      </c>
      <c r="C138">
        <v>1</v>
      </c>
      <c r="D138" s="1">
        <v>43976.814722222225</v>
      </c>
      <c r="E138" t="s">
        <v>433</v>
      </c>
      <c r="F138" t="s">
        <v>273</v>
      </c>
      <c r="G138" t="s">
        <v>274</v>
      </c>
      <c r="H138" t="s">
        <v>275</v>
      </c>
      <c r="I138" t="s">
        <v>29</v>
      </c>
      <c r="J138">
        <v>1</v>
      </c>
      <c r="K138">
        <f>1-844-295-3372</f>
        <v>-4510</v>
      </c>
      <c r="L138" t="s">
        <v>434</v>
      </c>
      <c r="M138" t="s">
        <v>435</v>
      </c>
      <c r="N138" t="s">
        <v>278</v>
      </c>
      <c r="O138" t="s">
        <v>28</v>
      </c>
      <c r="P138" t="s">
        <v>29</v>
      </c>
      <c r="Q138">
        <v>42</v>
      </c>
      <c r="R138">
        <v>-93.620800000000003</v>
      </c>
    </row>
    <row r="139" spans="1:18" x14ac:dyDescent="0.2">
      <c r="A139" t="s">
        <v>270</v>
      </c>
      <c r="B139" t="s">
        <v>271</v>
      </c>
      <c r="C139">
        <v>1</v>
      </c>
      <c r="D139" s="1">
        <v>43969.36215277778</v>
      </c>
      <c r="E139" t="s">
        <v>436</v>
      </c>
      <c r="F139" t="s">
        <v>273</v>
      </c>
      <c r="G139" t="s">
        <v>274</v>
      </c>
      <c r="H139" t="s">
        <v>275</v>
      </c>
      <c r="I139" t="s">
        <v>29</v>
      </c>
      <c r="J139">
        <v>1</v>
      </c>
      <c r="K139">
        <f>1-844-288-8665</f>
        <v>-9796</v>
      </c>
      <c r="L139" t="s">
        <v>437</v>
      </c>
      <c r="M139" t="s">
        <v>438</v>
      </c>
      <c r="N139" t="s">
        <v>278</v>
      </c>
      <c r="O139" t="s">
        <v>134</v>
      </c>
      <c r="P139" t="s">
        <v>29</v>
      </c>
      <c r="Q139">
        <v>42</v>
      </c>
      <c r="R139">
        <v>-93.620800000000003</v>
      </c>
    </row>
    <row r="140" spans="1:18" x14ac:dyDescent="0.2">
      <c r="A140" t="s">
        <v>439</v>
      </c>
      <c r="B140" t="s">
        <v>440</v>
      </c>
      <c r="C140">
        <v>1</v>
      </c>
      <c r="D140" s="1">
        <v>43968.752013888887</v>
      </c>
      <c r="E140" t="s">
        <v>441</v>
      </c>
      <c r="F140" t="s">
        <v>442</v>
      </c>
      <c r="G140" t="s">
        <v>443</v>
      </c>
      <c r="H140" t="s">
        <v>444</v>
      </c>
      <c r="I140" t="s">
        <v>29</v>
      </c>
      <c r="J140">
        <v>1</v>
      </c>
      <c r="K140">
        <f>1-844-223-6833</f>
        <v>-7899</v>
      </c>
      <c r="L140" t="s">
        <v>445</v>
      </c>
      <c r="M140" t="s">
        <v>446</v>
      </c>
      <c r="N140" t="s">
        <v>447</v>
      </c>
      <c r="O140" t="s">
        <v>28</v>
      </c>
      <c r="P140" t="s">
        <v>29</v>
      </c>
      <c r="Q140">
        <v>39</v>
      </c>
      <c r="R140">
        <v>-77.487399999999994</v>
      </c>
    </row>
    <row r="141" spans="1:18" x14ac:dyDescent="0.2">
      <c r="A141" t="s">
        <v>439</v>
      </c>
      <c r="B141" t="s">
        <v>440</v>
      </c>
      <c r="C141">
        <v>1</v>
      </c>
      <c r="D141" s="1">
        <v>43969.929861111108</v>
      </c>
      <c r="E141" t="s">
        <v>448</v>
      </c>
      <c r="F141" t="s">
        <v>442</v>
      </c>
      <c r="G141" t="s">
        <v>449</v>
      </c>
      <c r="H141" t="s">
        <v>444</v>
      </c>
      <c r="I141" t="s">
        <v>29</v>
      </c>
      <c r="J141">
        <v>1</v>
      </c>
      <c r="K141">
        <f>1-855-303-5343</f>
        <v>-6500</v>
      </c>
      <c r="L141" t="s">
        <v>450</v>
      </c>
      <c r="M141" t="s">
        <v>451</v>
      </c>
      <c r="N141" t="s">
        <v>452</v>
      </c>
      <c r="O141" t="s">
        <v>28</v>
      </c>
      <c r="P141" t="s">
        <v>29</v>
      </c>
      <c r="Q141">
        <v>39</v>
      </c>
      <c r="R141">
        <v>-77.487399999999994</v>
      </c>
    </row>
    <row r="142" spans="1:18" x14ac:dyDescent="0.2">
      <c r="A142" t="s">
        <v>453</v>
      </c>
      <c r="B142" t="s">
        <v>454</v>
      </c>
      <c r="C142">
        <v>49</v>
      </c>
      <c r="D142" s="1">
        <v>43969.774189814816</v>
      </c>
      <c r="E142" t="s">
        <v>455</v>
      </c>
      <c r="F142" t="s">
        <v>456</v>
      </c>
      <c r="G142" t="s">
        <v>457</v>
      </c>
      <c r="H142" t="s">
        <v>458</v>
      </c>
      <c r="I142" t="s">
        <v>24</v>
      </c>
      <c r="J142">
        <v>49</v>
      </c>
      <c r="K142">
        <f>49-800-368-9743</f>
        <v>-10862</v>
      </c>
      <c r="L142" t="s">
        <v>459</v>
      </c>
      <c r="M142" t="s">
        <v>460</v>
      </c>
      <c r="N142" t="s">
        <v>452</v>
      </c>
      <c r="O142" t="s">
        <v>134</v>
      </c>
      <c r="P142" t="s">
        <v>461</v>
      </c>
      <c r="Q142">
        <v>52</v>
      </c>
      <c r="R142">
        <v>4.8945400000000001</v>
      </c>
    </row>
    <row r="143" spans="1:18" x14ac:dyDescent="0.2">
      <c r="A143" t="s">
        <v>18</v>
      </c>
      <c r="B143" t="s">
        <v>462</v>
      </c>
      <c r="C143">
        <v>49</v>
      </c>
      <c r="D143" s="1">
        <v>44342.430185185185</v>
      </c>
      <c r="E143" t="s">
        <v>463</v>
      </c>
      <c r="F143" t="s">
        <v>464</v>
      </c>
      <c r="G143" t="s">
        <v>465</v>
      </c>
      <c r="H143" t="s">
        <v>466</v>
      </c>
      <c r="I143" t="s">
        <v>24</v>
      </c>
      <c r="J143">
        <v>49</v>
      </c>
      <c r="K143">
        <f>49-390-8647-3986</f>
        <v>-12974</v>
      </c>
      <c r="L143" t="s">
        <v>467</v>
      </c>
      <c r="M143" t="s">
        <v>468</v>
      </c>
      <c r="N143" t="s">
        <v>27</v>
      </c>
      <c r="O143" t="s">
        <v>28</v>
      </c>
      <c r="P143" t="s">
        <v>29</v>
      </c>
      <c r="Q143">
        <v>40</v>
      </c>
      <c r="R143">
        <v>-99.999999000000003</v>
      </c>
    </row>
    <row r="144" spans="1:18" x14ac:dyDescent="0.2">
      <c r="A144" t="s">
        <v>18</v>
      </c>
      <c r="B144" t="s">
        <v>462</v>
      </c>
      <c r="C144">
        <v>49</v>
      </c>
      <c r="D144" s="1">
        <v>44342.557719907411</v>
      </c>
      <c r="E144" t="s">
        <v>469</v>
      </c>
      <c r="F144" t="s">
        <v>464</v>
      </c>
      <c r="G144" t="s">
        <v>465</v>
      </c>
      <c r="H144" t="s">
        <v>466</v>
      </c>
      <c r="I144" t="s">
        <v>24</v>
      </c>
      <c r="J144">
        <v>49</v>
      </c>
      <c r="K144">
        <f>49-390-8647-3986</f>
        <v>-12974</v>
      </c>
      <c r="L144" t="s">
        <v>470</v>
      </c>
      <c r="M144" t="s">
        <v>471</v>
      </c>
      <c r="N144" t="s">
        <v>27</v>
      </c>
      <c r="O144" t="s">
        <v>28</v>
      </c>
      <c r="P144" t="s">
        <v>29</v>
      </c>
      <c r="Q144">
        <v>40</v>
      </c>
      <c r="R144">
        <v>-99.999999000000003</v>
      </c>
    </row>
    <row r="145" spans="1:18" x14ac:dyDescent="0.2">
      <c r="A145" t="s">
        <v>18</v>
      </c>
      <c r="B145" t="s">
        <v>462</v>
      </c>
      <c r="C145">
        <v>1</v>
      </c>
      <c r="D145" s="1">
        <v>44313.704386574071</v>
      </c>
      <c r="E145" t="s">
        <v>472</v>
      </c>
      <c r="F145" t="s">
        <v>464</v>
      </c>
      <c r="G145" t="s">
        <v>465</v>
      </c>
      <c r="H145" t="s">
        <v>466</v>
      </c>
      <c r="I145" t="s">
        <v>29</v>
      </c>
      <c r="J145">
        <v>1</v>
      </c>
      <c r="K145">
        <f>1-800-1-150</f>
        <v>-950</v>
      </c>
      <c r="L145" t="s">
        <v>473</v>
      </c>
      <c r="M145" t="s">
        <v>474</v>
      </c>
      <c r="N145" t="s">
        <v>27</v>
      </c>
      <c r="O145" t="s">
        <v>28</v>
      </c>
      <c r="P145" t="s">
        <v>29</v>
      </c>
      <c r="Q145">
        <v>40</v>
      </c>
      <c r="R145">
        <v>-99.999999000000003</v>
      </c>
    </row>
    <row r="146" spans="1:18" x14ac:dyDescent="0.2">
      <c r="A146" t="s">
        <v>18</v>
      </c>
      <c r="B146" t="s">
        <v>462</v>
      </c>
      <c r="C146">
        <v>49</v>
      </c>
      <c r="D146" s="1">
        <v>44302.432569444441</v>
      </c>
      <c r="E146" t="s">
        <v>475</v>
      </c>
      <c r="F146" t="s">
        <v>464</v>
      </c>
      <c r="G146" t="s">
        <v>465</v>
      </c>
      <c r="H146" t="s">
        <v>466</v>
      </c>
      <c r="I146" t="s">
        <v>24</v>
      </c>
      <c r="J146">
        <v>49</v>
      </c>
      <c r="K146">
        <f>49-287-2958-9891</f>
        <v>-13087</v>
      </c>
      <c r="L146" t="s">
        <v>476</v>
      </c>
      <c r="M146" t="s">
        <v>477</v>
      </c>
      <c r="N146" t="s">
        <v>27</v>
      </c>
      <c r="O146" t="s">
        <v>28</v>
      </c>
      <c r="P146" t="s">
        <v>29</v>
      </c>
      <c r="Q146">
        <v>40</v>
      </c>
      <c r="R146">
        <v>-99.999999000000003</v>
      </c>
    </row>
    <row r="147" spans="1:18" x14ac:dyDescent="0.2">
      <c r="A147" t="s">
        <v>18</v>
      </c>
      <c r="B147" t="s">
        <v>462</v>
      </c>
      <c r="C147">
        <v>49</v>
      </c>
      <c r="D147" s="1">
        <v>44301.616284722222</v>
      </c>
      <c r="E147" t="s">
        <v>478</v>
      </c>
      <c r="F147" t="s">
        <v>464</v>
      </c>
      <c r="G147" t="s">
        <v>465</v>
      </c>
      <c r="H147" t="s">
        <v>466</v>
      </c>
      <c r="I147" t="s">
        <v>24</v>
      </c>
      <c r="J147">
        <v>49</v>
      </c>
      <c r="K147">
        <f>49-287-2958-9891</f>
        <v>-13087</v>
      </c>
      <c r="L147" t="s">
        <v>479</v>
      </c>
      <c r="M147" t="s">
        <v>480</v>
      </c>
      <c r="N147" t="s">
        <v>27</v>
      </c>
      <c r="O147" t="s">
        <v>28</v>
      </c>
      <c r="P147" t="s">
        <v>29</v>
      </c>
      <c r="Q147">
        <v>40</v>
      </c>
      <c r="R147">
        <v>-99.999999000000003</v>
      </c>
    </row>
    <row r="148" spans="1:18" x14ac:dyDescent="0.2">
      <c r="A148" t="s">
        <v>18</v>
      </c>
      <c r="B148" t="s">
        <v>462</v>
      </c>
      <c r="C148">
        <v>49</v>
      </c>
      <c r="D148" s="1">
        <v>44271.458032407405</v>
      </c>
      <c r="E148" t="s">
        <v>481</v>
      </c>
      <c r="F148" t="s">
        <v>482</v>
      </c>
      <c r="G148" t="s">
        <v>465</v>
      </c>
      <c r="H148" t="s">
        <v>466</v>
      </c>
      <c r="I148" t="s">
        <v>24</v>
      </c>
      <c r="J148">
        <v>49</v>
      </c>
      <c r="K148">
        <f>49-341-8626-5602</f>
        <v>-14520</v>
      </c>
      <c r="L148" t="s">
        <v>483</v>
      </c>
      <c r="M148" t="s">
        <v>484</v>
      </c>
      <c r="N148" t="s">
        <v>27</v>
      </c>
      <c r="O148" t="s">
        <v>28</v>
      </c>
      <c r="P148" t="s">
        <v>29</v>
      </c>
      <c r="Q148">
        <v>40</v>
      </c>
      <c r="R148">
        <v>-99.999999000000003</v>
      </c>
    </row>
    <row r="149" spans="1:18" x14ac:dyDescent="0.2">
      <c r="A149" t="s">
        <v>18</v>
      </c>
      <c r="B149" t="s">
        <v>462</v>
      </c>
      <c r="C149">
        <v>49</v>
      </c>
      <c r="D149" s="1">
        <v>44237.567071759258</v>
      </c>
      <c r="E149" t="s">
        <v>485</v>
      </c>
      <c r="F149" t="s">
        <v>482</v>
      </c>
      <c r="G149" t="s">
        <v>465</v>
      </c>
      <c r="H149" t="s">
        <v>466</v>
      </c>
      <c r="I149" t="s">
        <v>24</v>
      </c>
      <c r="J149">
        <v>49</v>
      </c>
      <c r="K149">
        <f>49-800-244-6284</f>
        <v>-7279</v>
      </c>
      <c r="L149" t="s">
        <v>486</v>
      </c>
      <c r="M149" t="s">
        <v>487</v>
      </c>
      <c r="N149" t="s">
        <v>36</v>
      </c>
      <c r="O149" t="s">
        <v>28</v>
      </c>
      <c r="P149" t="s">
        <v>29</v>
      </c>
      <c r="Q149">
        <v>40</v>
      </c>
      <c r="R149">
        <v>-99.999999000000003</v>
      </c>
    </row>
    <row r="150" spans="1:18" x14ac:dyDescent="0.2">
      <c r="A150" t="s">
        <v>18</v>
      </c>
      <c r="B150" t="s">
        <v>462</v>
      </c>
      <c r="C150">
        <v>81</v>
      </c>
      <c r="D150" s="1">
        <v>44238.100300925929</v>
      </c>
      <c r="E150" t="s">
        <v>488</v>
      </c>
      <c r="F150" t="s">
        <v>482</v>
      </c>
      <c r="G150" t="s">
        <v>465</v>
      </c>
      <c r="H150" t="s">
        <v>466</v>
      </c>
      <c r="I150" t="s">
        <v>53</v>
      </c>
      <c r="J150">
        <v>81</v>
      </c>
      <c r="K150">
        <f>81-505-806-6248</f>
        <v>-7478</v>
      </c>
      <c r="L150" t="s">
        <v>489</v>
      </c>
      <c r="M150" t="s">
        <v>490</v>
      </c>
      <c r="N150" t="s">
        <v>36</v>
      </c>
      <c r="O150" t="s">
        <v>28</v>
      </c>
      <c r="P150" t="s">
        <v>29</v>
      </c>
      <c r="Q150">
        <v>40</v>
      </c>
      <c r="R150">
        <v>-99.999999000000003</v>
      </c>
    </row>
    <row r="151" spans="1:18" x14ac:dyDescent="0.2">
      <c r="A151" t="s">
        <v>18</v>
      </c>
      <c r="B151" t="s">
        <v>462</v>
      </c>
      <c r="C151">
        <v>81</v>
      </c>
      <c r="D151" s="1">
        <v>44228.212638888886</v>
      </c>
      <c r="E151" t="s">
        <v>93</v>
      </c>
      <c r="F151" t="s">
        <v>482</v>
      </c>
      <c r="G151" t="s">
        <v>465</v>
      </c>
      <c r="H151" t="s">
        <v>466</v>
      </c>
      <c r="I151" t="s">
        <v>53</v>
      </c>
      <c r="J151">
        <v>81</v>
      </c>
      <c r="K151">
        <f>81-505-532-7606</f>
        <v>-8562</v>
      </c>
      <c r="L151" t="s">
        <v>491</v>
      </c>
      <c r="M151" t="s">
        <v>492</v>
      </c>
      <c r="N151" t="s">
        <v>36</v>
      </c>
      <c r="O151" t="s">
        <v>28</v>
      </c>
      <c r="P151" t="s">
        <v>29</v>
      </c>
      <c r="Q151">
        <v>40</v>
      </c>
      <c r="R151">
        <v>-99.999999000000003</v>
      </c>
    </row>
    <row r="152" spans="1:18" x14ac:dyDescent="0.2">
      <c r="A152" t="s">
        <v>18</v>
      </c>
      <c r="B152" t="s">
        <v>462</v>
      </c>
      <c r="C152">
        <v>81</v>
      </c>
      <c r="D152" s="1">
        <v>44218.161145833335</v>
      </c>
      <c r="E152" t="s">
        <v>191</v>
      </c>
      <c r="F152" t="s">
        <v>482</v>
      </c>
      <c r="G152" t="s">
        <v>465</v>
      </c>
      <c r="H152" t="s">
        <v>466</v>
      </c>
      <c r="I152" t="s">
        <v>53</v>
      </c>
      <c r="J152">
        <v>81</v>
      </c>
      <c r="K152">
        <f>81-505-534-8752</f>
        <v>-9710</v>
      </c>
      <c r="L152" t="s">
        <v>493</v>
      </c>
      <c r="M152" t="s">
        <v>494</v>
      </c>
      <c r="N152" t="s">
        <v>36</v>
      </c>
      <c r="O152" t="s">
        <v>28</v>
      </c>
      <c r="P152" t="s">
        <v>29</v>
      </c>
      <c r="Q152">
        <v>40</v>
      </c>
      <c r="R152">
        <v>-99.999999000000003</v>
      </c>
    </row>
    <row r="153" spans="1:18" x14ac:dyDescent="0.2">
      <c r="A153" t="s">
        <v>18</v>
      </c>
      <c r="B153" t="s">
        <v>462</v>
      </c>
      <c r="C153">
        <v>81</v>
      </c>
      <c r="D153" s="1">
        <v>44200.265706018516</v>
      </c>
      <c r="E153" t="s">
        <v>495</v>
      </c>
      <c r="F153" t="s">
        <v>482</v>
      </c>
      <c r="G153" t="s">
        <v>465</v>
      </c>
      <c r="H153" t="s">
        <v>466</v>
      </c>
      <c r="I153" t="s">
        <v>53</v>
      </c>
      <c r="J153">
        <v>81</v>
      </c>
      <c r="K153">
        <f>81-503-136-2961</f>
        <v>-3519</v>
      </c>
      <c r="L153" t="s">
        <v>496</v>
      </c>
      <c r="M153" t="s">
        <v>497</v>
      </c>
      <c r="N153" t="s">
        <v>36</v>
      </c>
      <c r="O153" t="s">
        <v>28</v>
      </c>
      <c r="P153" t="s">
        <v>29</v>
      </c>
      <c r="Q153">
        <v>40</v>
      </c>
      <c r="R153">
        <v>-99.999999000000003</v>
      </c>
    </row>
    <row r="154" spans="1:18" x14ac:dyDescent="0.2">
      <c r="A154" t="s">
        <v>18</v>
      </c>
      <c r="B154" t="s">
        <v>462</v>
      </c>
      <c r="C154">
        <v>81</v>
      </c>
      <c r="D154" s="1">
        <v>44174.228090277778</v>
      </c>
      <c r="E154" t="s">
        <v>498</v>
      </c>
      <c r="F154" t="s">
        <v>464</v>
      </c>
      <c r="G154" t="s">
        <v>465</v>
      </c>
      <c r="H154" t="s">
        <v>466</v>
      </c>
      <c r="I154" t="s">
        <v>53</v>
      </c>
      <c r="J154">
        <v>81</v>
      </c>
      <c r="K154">
        <f>81-503-136-5237</f>
        <v>-5795</v>
      </c>
      <c r="L154" t="s">
        <v>499</v>
      </c>
      <c r="M154" t="s">
        <v>500</v>
      </c>
      <c r="N154" t="s">
        <v>36</v>
      </c>
      <c r="O154" t="s">
        <v>28</v>
      </c>
      <c r="P154" t="s">
        <v>29</v>
      </c>
      <c r="Q154">
        <v>40</v>
      </c>
      <c r="R154">
        <v>-99.999999000000003</v>
      </c>
    </row>
    <row r="155" spans="1:18" x14ac:dyDescent="0.2">
      <c r="A155" t="s">
        <v>18</v>
      </c>
      <c r="B155" t="s">
        <v>462</v>
      </c>
      <c r="C155">
        <v>49</v>
      </c>
      <c r="D155" s="1">
        <v>44165.55574074074</v>
      </c>
      <c r="E155" t="s">
        <v>501</v>
      </c>
      <c r="F155" t="s">
        <v>464</v>
      </c>
      <c r="G155" t="s">
        <v>465</v>
      </c>
      <c r="H155" t="s">
        <v>466</v>
      </c>
      <c r="I155" t="s">
        <v>24</v>
      </c>
      <c r="J155">
        <v>49</v>
      </c>
      <c r="K155">
        <f>49-800-244-6284</f>
        <v>-7279</v>
      </c>
      <c r="L155" t="s">
        <v>502</v>
      </c>
      <c r="M155" t="s">
        <v>503</v>
      </c>
      <c r="N155" t="s">
        <v>36</v>
      </c>
      <c r="O155" t="s">
        <v>28</v>
      </c>
      <c r="P155" t="s">
        <v>29</v>
      </c>
      <c r="Q155">
        <v>40</v>
      </c>
      <c r="R155">
        <v>-99.999999000000003</v>
      </c>
    </row>
    <row r="156" spans="1:18" x14ac:dyDescent="0.2">
      <c r="A156" t="s">
        <v>18</v>
      </c>
      <c r="B156" t="s">
        <v>462</v>
      </c>
      <c r="C156">
        <v>81</v>
      </c>
      <c r="D156" s="1">
        <v>44165.207870370374</v>
      </c>
      <c r="E156" t="s">
        <v>504</v>
      </c>
      <c r="F156" t="s">
        <v>464</v>
      </c>
      <c r="G156" t="s">
        <v>465</v>
      </c>
      <c r="H156" t="s">
        <v>466</v>
      </c>
      <c r="I156" t="s">
        <v>53</v>
      </c>
      <c r="J156">
        <v>81</v>
      </c>
      <c r="K156">
        <f>81-505-534-5293</f>
        <v>-6251</v>
      </c>
      <c r="L156" t="s">
        <v>505</v>
      </c>
      <c r="M156" t="s">
        <v>506</v>
      </c>
      <c r="N156" t="s">
        <v>36</v>
      </c>
      <c r="O156" t="s">
        <v>28</v>
      </c>
      <c r="P156" t="s">
        <v>29</v>
      </c>
      <c r="Q156">
        <v>40</v>
      </c>
      <c r="R156">
        <v>-99.999999000000003</v>
      </c>
    </row>
    <row r="157" spans="1:18" x14ac:dyDescent="0.2">
      <c r="A157" t="s">
        <v>18</v>
      </c>
      <c r="B157" t="s">
        <v>462</v>
      </c>
      <c r="C157">
        <v>81</v>
      </c>
      <c r="D157" s="1">
        <v>44163.259363425925</v>
      </c>
      <c r="E157" t="s">
        <v>507</v>
      </c>
      <c r="F157" t="s">
        <v>464</v>
      </c>
      <c r="G157" t="s">
        <v>465</v>
      </c>
      <c r="H157" t="s">
        <v>466</v>
      </c>
      <c r="I157" t="s">
        <v>53</v>
      </c>
      <c r="J157">
        <v>81</v>
      </c>
      <c r="K157">
        <f>81-505-806-796</f>
        <v>-2026</v>
      </c>
      <c r="L157" t="s">
        <v>508</v>
      </c>
      <c r="M157" t="s">
        <v>509</v>
      </c>
      <c r="N157" t="s">
        <v>36</v>
      </c>
      <c r="O157" t="s">
        <v>28</v>
      </c>
      <c r="P157" t="s">
        <v>29</v>
      </c>
      <c r="Q157">
        <v>40</v>
      </c>
      <c r="R157">
        <v>-99.999999000000003</v>
      </c>
    </row>
    <row r="158" spans="1:18" x14ac:dyDescent="0.2">
      <c r="A158" t="s">
        <v>18</v>
      </c>
      <c r="B158" t="s">
        <v>462</v>
      </c>
      <c r="C158">
        <v>49</v>
      </c>
      <c r="D158" s="1">
        <v>44161.579872685186</v>
      </c>
      <c r="E158" t="s">
        <v>510</v>
      </c>
      <c r="F158" t="s">
        <v>464</v>
      </c>
      <c r="G158" t="s">
        <v>465</v>
      </c>
      <c r="H158" t="s">
        <v>466</v>
      </c>
      <c r="I158" t="s">
        <v>24</v>
      </c>
      <c r="J158">
        <v>49</v>
      </c>
      <c r="K158">
        <f>49-800-244-6284</f>
        <v>-7279</v>
      </c>
      <c r="L158" t="s">
        <v>511</v>
      </c>
      <c r="M158" t="s">
        <v>512</v>
      </c>
      <c r="N158" t="s">
        <v>36</v>
      </c>
      <c r="O158" t="s">
        <v>28</v>
      </c>
      <c r="P158" t="s">
        <v>29</v>
      </c>
      <c r="Q158">
        <v>40</v>
      </c>
      <c r="R158">
        <v>-99.999999000000003</v>
      </c>
    </row>
    <row r="159" spans="1:18" x14ac:dyDescent="0.2">
      <c r="A159" t="s">
        <v>18</v>
      </c>
      <c r="B159" t="s">
        <v>462</v>
      </c>
      <c r="C159">
        <v>49</v>
      </c>
      <c r="D159" s="1">
        <v>44156.547488425924</v>
      </c>
      <c r="E159" t="s">
        <v>104</v>
      </c>
      <c r="F159" t="s">
        <v>464</v>
      </c>
      <c r="G159" t="s">
        <v>465</v>
      </c>
      <c r="H159" t="s">
        <v>466</v>
      </c>
      <c r="I159" t="s">
        <v>24</v>
      </c>
      <c r="J159">
        <v>49</v>
      </c>
      <c r="K159">
        <f>49-800-244-6284</f>
        <v>-7279</v>
      </c>
      <c r="L159" t="s">
        <v>513</v>
      </c>
      <c r="M159" t="s">
        <v>514</v>
      </c>
      <c r="N159" t="s">
        <v>36</v>
      </c>
      <c r="O159" t="s">
        <v>28</v>
      </c>
      <c r="P159" t="s">
        <v>29</v>
      </c>
      <c r="Q159">
        <v>40</v>
      </c>
      <c r="R159">
        <v>-99.999999000000003</v>
      </c>
    </row>
    <row r="160" spans="1:18" x14ac:dyDescent="0.2">
      <c r="A160" t="s">
        <v>18</v>
      </c>
      <c r="B160" t="s">
        <v>462</v>
      </c>
      <c r="C160">
        <v>49</v>
      </c>
      <c r="D160" s="1">
        <v>44153.594699074078</v>
      </c>
      <c r="E160" t="s">
        <v>515</v>
      </c>
      <c r="F160" t="s">
        <v>464</v>
      </c>
      <c r="G160" t="s">
        <v>465</v>
      </c>
      <c r="H160" t="s">
        <v>466</v>
      </c>
      <c r="I160" t="s">
        <v>24</v>
      </c>
      <c r="J160">
        <v>49</v>
      </c>
      <c r="K160">
        <f>49-800-244-6284</f>
        <v>-7279</v>
      </c>
      <c r="L160" t="s">
        <v>516</v>
      </c>
      <c r="M160" t="s">
        <v>517</v>
      </c>
      <c r="N160" t="s">
        <v>36</v>
      </c>
      <c r="O160" t="s">
        <v>28</v>
      </c>
      <c r="P160" t="s">
        <v>29</v>
      </c>
      <c r="Q160">
        <v>40</v>
      </c>
      <c r="R160">
        <v>-99.999999000000003</v>
      </c>
    </row>
    <row r="161" spans="1:18" x14ac:dyDescent="0.2">
      <c r="A161" t="s">
        <v>18</v>
      </c>
      <c r="B161" t="s">
        <v>462</v>
      </c>
      <c r="C161">
        <v>49</v>
      </c>
      <c r="D161" s="1">
        <v>44151.577696759261</v>
      </c>
      <c r="E161" t="s">
        <v>518</v>
      </c>
      <c r="F161" t="s">
        <v>464</v>
      </c>
      <c r="G161" t="s">
        <v>465</v>
      </c>
      <c r="H161" t="s">
        <v>466</v>
      </c>
      <c r="I161" t="s">
        <v>24</v>
      </c>
      <c r="J161">
        <v>49</v>
      </c>
      <c r="K161">
        <f>49-800-244-6284</f>
        <v>-7279</v>
      </c>
      <c r="L161" t="s">
        <v>519</v>
      </c>
      <c r="M161" t="s">
        <v>520</v>
      </c>
      <c r="N161" t="s">
        <v>36</v>
      </c>
      <c r="O161" t="s">
        <v>28</v>
      </c>
      <c r="P161" t="s">
        <v>29</v>
      </c>
      <c r="Q161">
        <v>40</v>
      </c>
      <c r="R161">
        <v>-99.999999000000003</v>
      </c>
    </row>
    <row r="162" spans="1:18" x14ac:dyDescent="0.2">
      <c r="A162" t="s">
        <v>18</v>
      </c>
      <c r="B162" t="s">
        <v>462</v>
      </c>
      <c r="C162">
        <v>81</v>
      </c>
      <c r="D162" s="1">
        <v>44143.210775462961</v>
      </c>
      <c r="E162" t="s">
        <v>115</v>
      </c>
      <c r="F162" t="s">
        <v>464</v>
      </c>
      <c r="G162" t="s">
        <v>465</v>
      </c>
      <c r="H162" t="s">
        <v>466</v>
      </c>
      <c r="I162" t="s">
        <v>53</v>
      </c>
      <c r="J162">
        <v>81</v>
      </c>
      <c r="K162">
        <f>81-505-532-7606</f>
        <v>-8562</v>
      </c>
      <c r="L162" t="s">
        <v>521</v>
      </c>
      <c r="M162" t="s">
        <v>522</v>
      </c>
      <c r="N162" t="s">
        <v>36</v>
      </c>
      <c r="O162" t="s">
        <v>28</v>
      </c>
      <c r="P162" t="s">
        <v>29</v>
      </c>
      <c r="Q162">
        <v>40</v>
      </c>
      <c r="R162">
        <v>-99.999999000000003</v>
      </c>
    </row>
    <row r="163" spans="1:18" x14ac:dyDescent="0.2">
      <c r="A163" t="s">
        <v>18</v>
      </c>
      <c r="B163" t="s">
        <v>462</v>
      </c>
      <c r="C163">
        <v>81</v>
      </c>
      <c r="D163" s="1">
        <v>44141.286296296297</v>
      </c>
      <c r="E163" t="s">
        <v>523</v>
      </c>
      <c r="F163" t="s">
        <v>464</v>
      </c>
      <c r="G163" t="s">
        <v>465</v>
      </c>
      <c r="H163" t="s">
        <v>466</v>
      </c>
      <c r="I163" t="s">
        <v>53</v>
      </c>
      <c r="J163">
        <v>81</v>
      </c>
      <c r="K163">
        <f>81-505-532-7606</f>
        <v>-8562</v>
      </c>
      <c r="L163" t="s">
        <v>524</v>
      </c>
      <c r="M163" t="s">
        <v>525</v>
      </c>
      <c r="N163" t="s">
        <v>36</v>
      </c>
      <c r="O163" t="s">
        <v>28</v>
      </c>
      <c r="P163" t="s">
        <v>29</v>
      </c>
      <c r="Q163">
        <v>40</v>
      </c>
      <c r="R163">
        <v>-99.999999000000003</v>
      </c>
    </row>
    <row r="164" spans="1:18" x14ac:dyDescent="0.2">
      <c r="A164" t="s">
        <v>18</v>
      </c>
      <c r="B164" t="s">
        <v>462</v>
      </c>
      <c r="C164">
        <v>81</v>
      </c>
      <c r="D164" s="1">
        <v>44140.187083333331</v>
      </c>
      <c r="E164" t="s">
        <v>526</v>
      </c>
      <c r="F164" t="s">
        <v>464</v>
      </c>
      <c r="G164" t="s">
        <v>465</v>
      </c>
      <c r="H164" t="s">
        <v>466</v>
      </c>
      <c r="I164" t="s">
        <v>53</v>
      </c>
      <c r="J164">
        <v>81</v>
      </c>
      <c r="K164">
        <f>81-505-532-7606</f>
        <v>-8562</v>
      </c>
      <c r="L164" t="s">
        <v>527</v>
      </c>
      <c r="M164" t="s">
        <v>528</v>
      </c>
      <c r="N164" t="s">
        <v>36</v>
      </c>
      <c r="O164" t="s">
        <v>28</v>
      </c>
      <c r="P164" t="s">
        <v>29</v>
      </c>
      <c r="Q164">
        <v>40</v>
      </c>
      <c r="R164">
        <v>-99.999999000000003</v>
      </c>
    </row>
    <row r="165" spans="1:18" x14ac:dyDescent="0.2">
      <c r="A165" t="s">
        <v>18</v>
      </c>
      <c r="B165" t="s">
        <v>462</v>
      </c>
      <c r="C165">
        <v>81</v>
      </c>
      <c r="D165" s="1">
        <v>44134.11241898148</v>
      </c>
      <c r="E165" t="s">
        <v>529</v>
      </c>
      <c r="F165" t="s">
        <v>464</v>
      </c>
      <c r="G165" t="s">
        <v>465</v>
      </c>
      <c r="H165" t="s">
        <v>466</v>
      </c>
      <c r="I165" t="s">
        <v>53</v>
      </c>
      <c r="J165">
        <v>81</v>
      </c>
      <c r="K165">
        <f>81-505-539-6341</f>
        <v>-7304</v>
      </c>
      <c r="L165" t="s">
        <v>530</v>
      </c>
      <c r="M165" t="s">
        <v>531</v>
      </c>
      <c r="N165" t="s">
        <v>36</v>
      </c>
      <c r="O165" t="s">
        <v>28</v>
      </c>
      <c r="P165" t="s">
        <v>29</v>
      </c>
      <c r="Q165">
        <v>40</v>
      </c>
      <c r="R165">
        <v>-99.999999000000003</v>
      </c>
    </row>
    <row r="166" spans="1:18" x14ac:dyDescent="0.2">
      <c r="A166" t="s">
        <v>18</v>
      </c>
      <c r="B166" t="s">
        <v>462</v>
      </c>
      <c r="C166">
        <v>81</v>
      </c>
      <c r="D166" s="1">
        <v>44133.121504629627</v>
      </c>
      <c r="E166" t="s">
        <v>532</v>
      </c>
      <c r="F166" t="s">
        <v>464</v>
      </c>
      <c r="G166" t="s">
        <v>465</v>
      </c>
      <c r="H166" t="s">
        <v>466</v>
      </c>
      <c r="I166" t="s">
        <v>53</v>
      </c>
      <c r="J166">
        <v>81</v>
      </c>
      <c r="K166">
        <f>81-505-539-6341</f>
        <v>-7304</v>
      </c>
      <c r="L166" t="s">
        <v>533</v>
      </c>
      <c r="M166" t="s">
        <v>534</v>
      </c>
      <c r="N166" t="s">
        <v>36</v>
      </c>
      <c r="O166" t="s">
        <v>28</v>
      </c>
      <c r="P166" t="s">
        <v>29</v>
      </c>
      <c r="Q166">
        <v>40</v>
      </c>
      <c r="R166">
        <v>-99.999999000000003</v>
      </c>
    </row>
    <row r="167" spans="1:18" x14ac:dyDescent="0.2">
      <c r="A167" t="s">
        <v>18</v>
      </c>
      <c r="B167" t="s">
        <v>462</v>
      </c>
      <c r="C167">
        <v>81</v>
      </c>
      <c r="D167" s="1">
        <v>44116.365937499999</v>
      </c>
      <c r="E167" t="s">
        <v>535</v>
      </c>
      <c r="F167" t="s">
        <v>464</v>
      </c>
      <c r="G167" t="s">
        <v>465</v>
      </c>
      <c r="H167" t="s">
        <v>466</v>
      </c>
      <c r="I167" t="s">
        <v>53</v>
      </c>
      <c r="J167">
        <v>81</v>
      </c>
      <c r="K167">
        <f>81-503-204-4428</f>
        <v>-5054</v>
      </c>
      <c r="L167" t="s">
        <v>536</v>
      </c>
      <c r="M167" t="s">
        <v>537</v>
      </c>
      <c r="N167" t="s">
        <v>36</v>
      </c>
      <c r="O167" t="s">
        <v>28</v>
      </c>
      <c r="P167" t="s">
        <v>29</v>
      </c>
      <c r="Q167">
        <v>40</v>
      </c>
      <c r="R167">
        <v>-99.999999000000003</v>
      </c>
    </row>
    <row r="168" spans="1:18" x14ac:dyDescent="0.2">
      <c r="A168" t="s">
        <v>18</v>
      </c>
      <c r="B168" t="s">
        <v>462</v>
      </c>
      <c r="C168">
        <v>81</v>
      </c>
      <c r="D168" s="1">
        <v>44110.302557870367</v>
      </c>
      <c r="E168" t="s">
        <v>538</v>
      </c>
      <c r="F168" t="s">
        <v>464</v>
      </c>
      <c r="G168" t="s">
        <v>465</v>
      </c>
      <c r="H168" t="s">
        <v>466</v>
      </c>
      <c r="I168" t="s">
        <v>53</v>
      </c>
      <c r="J168">
        <v>81</v>
      </c>
      <c r="K168">
        <f>81-503-32-2212</f>
        <v>-2666</v>
      </c>
      <c r="L168" t="s">
        <v>539</v>
      </c>
      <c r="M168" t="s">
        <v>540</v>
      </c>
      <c r="N168" t="s">
        <v>36</v>
      </c>
      <c r="O168" t="s">
        <v>28</v>
      </c>
      <c r="P168" t="s">
        <v>29</v>
      </c>
      <c r="Q168">
        <v>40</v>
      </c>
      <c r="R168">
        <v>-99.999999000000003</v>
      </c>
    </row>
    <row r="169" spans="1:18" x14ac:dyDescent="0.2">
      <c r="A169" t="s">
        <v>18</v>
      </c>
      <c r="B169" t="s">
        <v>462</v>
      </c>
      <c r="C169">
        <v>81</v>
      </c>
      <c r="D169" s="1">
        <v>44106.43178240741</v>
      </c>
      <c r="E169" t="s">
        <v>541</v>
      </c>
      <c r="F169" t="s">
        <v>464</v>
      </c>
      <c r="G169" t="s">
        <v>465</v>
      </c>
      <c r="H169" t="s">
        <v>466</v>
      </c>
      <c r="I169" t="s">
        <v>53</v>
      </c>
      <c r="J169">
        <v>81</v>
      </c>
      <c r="K169">
        <f>81-503-32-2212</f>
        <v>-2666</v>
      </c>
      <c r="L169" t="s">
        <v>542</v>
      </c>
      <c r="M169" t="s">
        <v>543</v>
      </c>
      <c r="N169" t="s">
        <v>36</v>
      </c>
      <c r="O169" t="s">
        <v>28</v>
      </c>
      <c r="P169" t="s">
        <v>29</v>
      </c>
      <c r="Q169">
        <v>40</v>
      </c>
      <c r="R169">
        <v>-99.999999000000003</v>
      </c>
    </row>
    <row r="170" spans="1:18" x14ac:dyDescent="0.2">
      <c r="A170" t="s">
        <v>18</v>
      </c>
      <c r="B170" t="s">
        <v>462</v>
      </c>
      <c r="C170">
        <v>81</v>
      </c>
      <c r="D170" s="1">
        <v>44093.207939814813</v>
      </c>
      <c r="E170" t="s">
        <v>544</v>
      </c>
      <c r="F170" t="s">
        <v>464</v>
      </c>
      <c r="G170" t="s">
        <v>465</v>
      </c>
      <c r="H170" t="s">
        <v>466</v>
      </c>
      <c r="I170" t="s">
        <v>53</v>
      </c>
      <c r="J170">
        <v>81</v>
      </c>
      <c r="K170">
        <f>81-503-183-709</f>
        <v>-1314</v>
      </c>
      <c r="L170" t="s">
        <v>545</v>
      </c>
      <c r="M170" t="s">
        <v>546</v>
      </c>
      <c r="N170" t="s">
        <v>36</v>
      </c>
      <c r="O170" t="s">
        <v>28</v>
      </c>
      <c r="P170" t="s">
        <v>29</v>
      </c>
      <c r="Q170">
        <v>40</v>
      </c>
      <c r="R170">
        <v>-99.999999000000003</v>
      </c>
    </row>
    <row r="171" spans="1:18" x14ac:dyDescent="0.2">
      <c r="A171" t="s">
        <v>18</v>
      </c>
      <c r="B171" t="s">
        <v>462</v>
      </c>
      <c r="C171">
        <v>49</v>
      </c>
      <c r="D171" s="1">
        <v>44088.483055555553</v>
      </c>
      <c r="E171" t="s">
        <v>515</v>
      </c>
      <c r="F171" t="s">
        <v>464</v>
      </c>
      <c r="G171" t="s">
        <v>465</v>
      </c>
      <c r="H171" t="s">
        <v>466</v>
      </c>
      <c r="I171" t="s">
        <v>24</v>
      </c>
      <c r="J171">
        <v>49</v>
      </c>
      <c r="K171">
        <f>49-536-1654-9012</f>
        <v>-11153</v>
      </c>
      <c r="L171" t="s">
        <v>547</v>
      </c>
      <c r="M171" t="s">
        <v>548</v>
      </c>
      <c r="N171" t="s">
        <v>36</v>
      </c>
      <c r="O171" t="s">
        <v>28</v>
      </c>
      <c r="P171" t="s">
        <v>29</v>
      </c>
      <c r="Q171">
        <v>40</v>
      </c>
      <c r="R171">
        <v>-99.999999000000003</v>
      </c>
    </row>
    <row r="172" spans="1:18" x14ac:dyDescent="0.2">
      <c r="A172" t="s">
        <v>18</v>
      </c>
      <c r="B172" t="s">
        <v>462</v>
      </c>
      <c r="C172">
        <v>49</v>
      </c>
      <c r="D172" s="1">
        <v>44085.45239583333</v>
      </c>
      <c r="E172" t="s">
        <v>549</v>
      </c>
      <c r="F172" t="s">
        <v>464</v>
      </c>
      <c r="G172" t="s">
        <v>465</v>
      </c>
      <c r="H172" t="s">
        <v>466</v>
      </c>
      <c r="I172" t="s">
        <v>24</v>
      </c>
      <c r="J172">
        <v>49</v>
      </c>
      <c r="K172">
        <f>49-421-3904-6733</f>
        <v>-11009</v>
      </c>
      <c r="L172" t="s">
        <v>550</v>
      </c>
      <c r="M172" t="s">
        <v>551</v>
      </c>
      <c r="N172" t="s">
        <v>36</v>
      </c>
      <c r="O172" t="s">
        <v>28</v>
      </c>
      <c r="P172" t="s">
        <v>29</v>
      </c>
      <c r="Q172">
        <v>40</v>
      </c>
      <c r="R172">
        <v>-99.999999000000003</v>
      </c>
    </row>
    <row r="173" spans="1:18" x14ac:dyDescent="0.2">
      <c r="A173" t="s">
        <v>18</v>
      </c>
      <c r="B173" t="s">
        <v>462</v>
      </c>
      <c r="C173">
        <v>49</v>
      </c>
      <c r="D173" s="1">
        <v>44075.479398148149</v>
      </c>
      <c r="E173" t="s">
        <v>552</v>
      </c>
      <c r="F173" t="s">
        <v>464</v>
      </c>
      <c r="G173" t="s">
        <v>465</v>
      </c>
      <c r="H173" t="s">
        <v>466</v>
      </c>
      <c r="I173" t="s">
        <v>24</v>
      </c>
      <c r="J173">
        <v>49</v>
      </c>
      <c r="K173">
        <f>49-322-2185-2015</f>
        <v>-4473</v>
      </c>
      <c r="L173" t="s">
        <v>553</v>
      </c>
      <c r="M173" t="s">
        <v>554</v>
      </c>
      <c r="N173" t="s">
        <v>36</v>
      </c>
      <c r="O173" t="s">
        <v>28</v>
      </c>
      <c r="P173" t="s">
        <v>29</v>
      </c>
      <c r="Q173">
        <v>40</v>
      </c>
      <c r="R173">
        <v>-99.999999000000003</v>
      </c>
    </row>
    <row r="174" spans="1:18" x14ac:dyDescent="0.2">
      <c r="A174" t="s">
        <v>18</v>
      </c>
      <c r="B174" t="s">
        <v>462</v>
      </c>
      <c r="C174">
        <v>49</v>
      </c>
      <c r="D174" s="1">
        <v>44070.396203703705</v>
      </c>
      <c r="E174" t="s">
        <v>555</v>
      </c>
      <c r="F174" t="s">
        <v>464</v>
      </c>
      <c r="G174" t="s">
        <v>465</v>
      </c>
      <c r="H174" t="s">
        <v>466</v>
      </c>
      <c r="I174" t="s">
        <v>24</v>
      </c>
      <c r="J174">
        <v>49</v>
      </c>
      <c r="K174">
        <f>49-322-2185-2015</f>
        <v>-4473</v>
      </c>
      <c r="L174" t="s">
        <v>556</v>
      </c>
      <c r="M174" t="s">
        <v>557</v>
      </c>
      <c r="N174" t="s">
        <v>36</v>
      </c>
      <c r="O174" t="s">
        <v>28</v>
      </c>
      <c r="P174" t="s">
        <v>29</v>
      </c>
      <c r="Q174">
        <v>40</v>
      </c>
      <c r="R174">
        <v>-99.999999000000003</v>
      </c>
    </row>
    <row r="175" spans="1:18" x14ac:dyDescent="0.2">
      <c r="A175" t="s">
        <v>18</v>
      </c>
      <c r="B175" t="s">
        <v>462</v>
      </c>
      <c r="C175">
        <v>49</v>
      </c>
      <c r="D175" s="1">
        <v>44068.62877314815</v>
      </c>
      <c r="E175" t="s">
        <v>558</v>
      </c>
      <c r="F175" t="s">
        <v>464</v>
      </c>
      <c r="G175" t="s">
        <v>465</v>
      </c>
      <c r="H175" t="s">
        <v>466</v>
      </c>
      <c r="I175" t="s">
        <v>24</v>
      </c>
      <c r="J175">
        <v>49</v>
      </c>
      <c r="K175">
        <f>49-322-2185-2015</f>
        <v>-4473</v>
      </c>
      <c r="L175" t="s">
        <v>559</v>
      </c>
      <c r="M175" t="s">
        <v>560</v>
      </c>
      <c r="N175" t="s">
        <v>36</v>
      </c>
      <c r="O175" t="s">
        <v>28</v>
      </c>
      <c r="P175" t="s">
        <v>29</v>
      </c>
      <c r="Q175">
        <v>40</v>
      </c>
      <c r="R175">
        <v>-99.999999000000003</v>
      </c>
    </row>
    <row r="176" spans="1:18" x14ac:dyDescent="0.2">
      <c r="A176" t="s">
        <v>18</v>
      </c>
      <c r="B176" t="s">
        <v>462</v>
      </c>
      <c r="C176">
        <v>49</v>
      </c>
      <c r="D176" s="1">
        <v>44064.684305555558</v>
      </c>
      <c r="E176" t="s">
        <v>561</v>
      </c>
      <c r="F176" t="s">
        <v>464</v>
      </c>
      <c r="G176" t="s">
        <v>465</v>
      </c>
      <c r="H176" t="s">
        <v>466</v>
      </c>
      <c r="I176" t="s">
        <v>24</v>
      </c>
      <c r="J176">
        <v>49</v>
      </c>
      <c r="K176">
        <f>49-275-2904-9617</f>
        <v>-12747</v>
      </c>
      <c r="L176" t="s">
        <v>562</v>
      </c>
      <c r="M176" t="s">
        <v>563</v>
      </c>
      <c r="N176" t="s">
        <v>36</v>
      </c>
      <c r="O176" t="s">
        <v>28</v>
      </c>
      <c r="P176" t="s">
        <v>29</v>
      </c>
      <c r="Q176">
        <v>40</v>
      </c>
      <c r="R176">
        <v>-99.999999000000003</v>
      </c>
    </row>
    <row r="177" spans="1:18" x14ac:dyDescent="0.2">
      <c r="A177" t="s">
        <v>18</v>
      </c>
      <c r="B177" t="s">
        <v>462</v>
      </c>
      <c r="C177">
        <v>49</v>
      </c>
      <c r="D177" s="1">
        <v>44064.387199074074</v>
      </c>
      <c r="E177" t="s">
        <v>564</v>
      </c>
      <c r="F177" t="s">
        <v>464</v>
      </c>
      <c r="G177" t="s">
        <v>465</v>
      </c>
      <c r="H177" t="s">
        <v>466</v>
      </c>
      <c r="I177" t="s">
        <v>24</v>
      </c>
      <c r="J177">
        <v>49</v>
      </c>
      <c r="K177">
        <f>49-157-3599-5842</f>
        <v>-9549</v>
      </c>
      <c r="L177" t="s">
        <v>565</v>
      </c>
      <c r="M177" t="s">
        <v>566</v>
      </c>
      <c r="N177" t="s">
        <v>36</v>
      </c>
      <c r="O177" t="s">
        <v>28</v>
      </c>
      <c r="P177" t="s">
        <v>29</v>
      </c>
      <c r="Q177">
        <v>40</v>
      </c>
      <c r="R177">
        <v>-99.999999000000003</v>
      </c>
    </row>
    <row r="178" spans="1:18" x14ac:dyDescent="0.2">
      <c r="A178" t="s">
        <v>18</v>
      </c>
      <c r="B178" t="s">
        <v>462</v>
      </c>
      <c r="C178">
        <v>49</v>
      </c>
      <c r="D178" s="1">
        <v>44055.555358796293</v>
      </c>
      <c r="E178" t="s">
        <v>567</v>
      </c>
      <c r="F178" t="s">
        <v>464</v>
      </c>
      <c r="G178" t="s">
        <v>465</v>
      </c>
      <c r="H178" t="s">
        <v>466</v>
      </c>
      <c r="I178" t="s">
        <v>24</v>
      </c>
      <c r="J178">
        <v>49</v>
      </c>
      <c r="K178">
        <f>49-322-1112-1560</f>
        <v>-2945</v>
      </c>
      <c r="L178" t="s">
        <v>568</v>
      </c>
      <c r="M178" t="s">
        <v>569</v>
      </c>
      <c r="N178" t="s">
        <v>213</v>
      </c>
      <c r="O178" t="s">
        <v>28</v>
      </c>
      <c r="P178" t="s">
        <v>29</v>
      </c>
      <c r="Q178">
        <v>40</v>
      </c>
      <c r="R178">
        <v>-99.999999000000003</v>
      </c>
    </row>
    <row r="179" spans="1:18" x14ac:dyDescent="0.2">
      <c r="A179" t="s">
        <v>18</v>
      </c>
      <c r="B179" t="s">
        <v>462</v>
      </c>
      <c r="C179">
        <v>49</v>
      </c>
      <c r="D179" s="1">
        <v>44061.485509259262</v>
      </c>
      <c r="E179" t="s">
        <v>541</v>
      </c>
      <c r="F179" t="s">
        <v>464</v>
      </c>
      <c r="G179" t="s">
        <v>465</v>
      </c>
      <c r="H179" t="s">
        <v>466</v>
      </c>
      <c r="I179" t="s">
        <v>24</v>
      </c>
      <c r="J179">
        <v>49</v>
      </c>
      <c r="K179">
        <f>49-157-3599-5842</f>
        <v>-9549</v>
      </c>
      <c r="L179" t="s">
        <v>570</v>
      </c>
      <c r="M179" t="s">
        <v>571</v>
      </c>
      <c r="N179" t="s">
        <v>36</v>
      </c>
      <c r="O179" t="s">
        <v>28</v>
      </c>
      <c r="P179" t="s">
        <v>29</v>
      </c>
      <c r="Q179">
        <v>40</v>
      </c>
      <c r="R179">
        <v>-99.999999000000003</v>
      </c>
    </row>
    <row r="180" spans="1:18" x14ac:dyDescent="0.2">
      <c r="A180" t="s">
        <v>18</v>
      </c>
      <c r="B180" t="s">
        <v>462</v>
      </c>
      <c r="C180">
        <v>49</v>
      </c>
      <c r="D180" s="1">
        <v>44012.421712962961</v>
      </c>
      <c r="E180" t="s">
        <v>572</v>
      </c>
      <c r="F180" t="s">
        <v>464</v>
      </c>
      <c r="G180" t="s">
        <v>465</v>
      </c>
      <c r="H180" t="s">
        <v>466</v>
      </c>
      <c r="I180" t="s">
        <v>24</v>
      </c>
      <c r="J180">
        <v>49</v>
      </c>
      <c r="K180">
        <f>49-322-2185-3024</f>
        <v>-5482</v>
      </c>
      <c r="L180" t="s">
        <v>573</v>
      </c>
      <c r="M180" t="s">
        <v>574</v>
      </c>
      <c r="N180" t="s">
        <v>213</v>
      </c>
      <c r="O180" t="s">
        <v>28</v>
      </c>
      <c r="P180" t="s">
        <v>29</v>
      </c>
      <c r="Q180">
        <v>40</v>
      </c>
      <c r="R180">
        <v>-99.999999000000003</v>
      </c>
    </row>
    <row r="181" spans="1:18" x14ac:dyDescent="0.2">
      <c r="A181" t="s">
        <v>18</v>
      </c>
      <c r="B181" t="s">
        <v>462</v>
      </c>
      <c r="C181">
        <v>49</v>
      </c>
      <c r="D181" s="1">
        <v>44006.622037037036</v>
      </c>
      <c r="E181" t="s">
        <v>575</v>
      </c>
      <c r="F181" t="s">
        <v>464</v>
      </c>
      <c r="G181" t="s">
        <v>465</v>
      </c>
      <c r="H181" t="s">
        <v>466</v>
      </c>
      <c r="I181" t="s">
        <v>24</v>
      </c>
      <c r="J181">
        <v>49</v>
      </c>
      <c r="K181">
        <f>49-322-2185-3024</f>
        <v>-5482</v>
      </c>
      <c r="L181" t="s">
        <v>576</v>
      </c>
      <c r="M181" t="s">
        <v>577</v>
      </c>
      <c r="N181" t="s">
        <v>213</v>
      </c>
      <c r="O181" t="s">
        <v>28</v>
      </c>
      <c r="P181" t="s">
        <v>29</v>
      </c>
      <c r="Q181">
        <v>40</v>
      </c>
      <c r="R181">
        <v>-99.999999000000003</v>
      </c>
    </row>
    <row r="182" spans="1:18" x14ac:dyDescent="0.2">
      <c r="A182" t="s">
        <v>18</v>
      </c>
      <c r="B182" t="s">
        <v>462</v>
      </c>
      <c r="C182">
        <v>81</v>
      </c>
      <c r="D182" s="1">
        <v>44002.333020833335</v>
      </c>
      <c r="E182" t="s">
        <v>578</v>
      </c>
      <c r="F182" t="s">
        <v>464</v>
      </c>
      <c r="G182" t="s">
        <v>465</v>
      </c>
      <c r="H182" t="s">
        <v>466</v>
      </c>
      <c r="I182" t="s">
        <v>53</v>
      </c>
      <c r="J182">
        <v>81</v>
      </c>
      <c r="K182">
        <f>81-800-123-3855</f>
        <v>-4697</v>
      </c>
      <c r="L182" t="s">
        <v>579</v>
      </c>
      <c r="M182" t="s">
        <v>580</v>
      </c>
      <c r="N182" t="s">
        <v>213</v>
      </c>
      <c r="O182" t="s">
        <v>28</v>
      </c>
      <c r="P182" t="s">
        <v>29</v>
      </c>
      <c r="Q182">
        <v>40</v>
      </c>
      <c r="R182">
        <v>-99.999999000000003</v>
      </c>
    </row>
    <row r="183" spans="1:18" x14ac:dyDescent="0.2">
      <c r="A183" t="s">
        <v>18</v>
      </c>
      <c r="B183" t="s">
        <v>462</v>
      </c>
      <c r="C183">
        <v>49</v>
      </c>
      <c r="D183" s="1">
        <v>44001.499131944445</v>
      </c>
      <c r="E183" t="s">
        <v>581</v>
      </c>
      <c r="F183" t="s">
        <v>464</v>
      </c>
      <c r="G183" t="s">
        <v>465</v>
      </c>
      <c r="H183" t="s">
        <v>466</v>
      </c>
      <c r="I183" t="s">
        <v>24</v>
      </c>
      <c r="J183">
        <v>49</v>
      </c>
      <c r="K183">
        <f>49-536-3854-9090</f>
        <v>-13431</v>
      </c>
      <c r="L183" t="s">
        <v>582</v>
      </c>
      <c r="M183" t="s">
        <v>583</v>
      </c>
      <c r="N183" t="s">
        <v>213</v>
      </c>
      <c r="O183" t="s">
        <v>28</v>
      </c>
      <c r="P183" t="s">
        <v>29</v>
      </c>
      <c r="Q183">
        <v>40</v>
      </c>
      <c r="R183">
        <v>-99.999999000000003</v>
      </c>
    </row>
    <row r="184" spans="1:18" x14ac:dyDescent="0.2">
      <c r="A184" t="s">
        <v>18</v>
      </c>
      <c r="B184" t="s">
        <v>462</v>
      </c>
      <c r="C184">
        <v>49</v>
      </c>
      <c r="D184" s="1">
        <v>43999.703738425924</v>
      </c>
      <c r="E184" t="s">
        <v>584</v>
      </c>
      <c r="F184" t="s">
        <v>464</v>
      </c>
      <c r="G184" t="s">
        <v>465</v>
      </c>
      <c r="H184" t="s">
        <v>466</v>
      </c>
      <c r="I184" t="s">
        <v>24</v>
      </c>
      <c r="J184">
        <v>49</v>
      </c>
      <c r="K184">
        <f>49-322-2185-3024</f>
        <v>-5482</v>
      </c>
      <c r="L184" t="s">
        <v>585</v>
      </c>
      <c r="M184" t="s">
        <v>586</v>
      </c>
      <c r="N184" t="s">
        <v>213</v>
      </c>
      <c r="O184" t="s">
        <v>28</v>
      </c>
      <c r="P184" t="s">
        <v>29</v>
      </c>
      <c r="Q184">
        <v>40</v>
      </c>
      <c r="R184">
        <v>-99.999999000000003</v>
      </c>
    </row>
    <row r="185" spans="1:18" x14ac:dyDescent="0.2">
      <c r="A185" t="s">
        <v>18</v>
      </c>
      <c r="B185" t="s">
        <v>462</v>
      </c>
      <c r="C185">
        <v>41</v>
      </c>
      <c r="D185" s="1">
        <v>43999.69908564815</v>
      </c>
      <c r="E185" t="s">
        <v>587</v>
      </c>
      <c r="F185" t="s">
        <v>464</v>
      </c>
      <c r="G185" t="s">
        <v>465</v>
      </c>
      <c r="H185" t="s">
        <v>466</v>
      </c>
      <c r="I185" t="s">
        <v>204</v>
      </c>
      <c r="J185">
        <v>41</v>
      </c>
      <c r="K185">
        <f>41-800-110-314</f>
        <v>-1183</v>
      </c>
      <c r="L185" t="s">
        <v>588</v>
      </c>
      <c r="M185" t="s">
        <v>589</v>
      </c>
      <c r="N185" t="s">
        <v>213</v>
      </c>
      <c r="O185" t="s">
        <v>28</v>
      </c>
      <c r="P185" t="s">
        <v>29</v>
      </c>
      <c r="Q185">
        <v>40</v>
      </c>
      <c r="R185">
        <v>-99.999999000000003</v>
      </c>
    </row>
    <row r="186" spans="1:18" x14ac:dyDescent="0.2">
      <c r="A186" t="s">
        <v>18</v>
      </c>
      <c r="B186" t="s">
        <v>462</v>
      </c>
      <c r="C186">
        <v>81</v>
      </c>
      <c r="D186" s="1">
        <v>43999.413090277776</v>
      </c>
      <c r="E186" t="s">
        <v>590</v>
      </c>
      <c r="F186" t="s">
        <v>464</v>
      </c>
      <c r="G186" t="s">
        <v>465</v>
      </c>
      <c r="H186" t="s">
        <v>466</v>
      </c>
      <c r="I186" t="s">
        <v>53</v>
      </c>
      <c r="J186">
        <v>81</v>
      </c>
      <c r="K186">
        <f>81-12-201-782</f>
        <v>-914</v>
      </c>
      <c r="L186" t="s">
        <v>591</v>
      </c>
      <c r="M186" t="s">
        <v>592</v>
      </c>
      <c r="N186" t="s">
        <v>213</v>
      </c>
      <c r="O186" t="s">
        <v>28</v>
      </c>
      <c r="P186" t="s">
        <v>29</v>
      </c>
      <c r="Q186">
        <v>40</v>
      </c>
      <c r="R186">
        <v>-99.999999000000003</v>
      </c>
    </row>
    <row r="187" spans="1:18" x14ac:dyDescent="0.2">
      <c r="A187" t="s">
        <v>18</v>
      </c>
      <c r="B187" t="s">
        <v>462</v>
      </c>
      <c r="C187">
        <v>81</v>
      </c>
      <c r="D187" s="1">
        <v>43998.471018518518</v>
      </c>
      <c r="E187" t="s">
        <v>593</v>
      </c>
      <c r="F187" t="s">
        <v>464</v>
      </c>
      <c r="G187" t="s">
        <v>465</v>
      </c>
      <c r="H187" t="s">
        <v>466</v>
      </c>
      <c r="I187" t="s">
        <v>53</v>
      </c>
      <c r="J187">
        <v>81</v>
      </c>
      <c r="K187">
        <f>81-12-201-782</f>
        <v>-914</v>
      </c>
      <c r="L187" t="s">
        <v>594</v>
      </c>
      <c r="M187" t="s">
        <v>595</v>
      </c>
      <c r="N187" t="s">
        <v>213</v>
      </c>
      <c r="O187" t="s">
        <v>28</v>
      </c>
      <c r="P187" t="s">
        <v>29</v>
      </c>
      <c r="Q187">
        <v>40</v>
      </c>
      <c r="R187">
        <v>-99.999999000000003</v>
      </c>
    </row>
    <row r="188" spans="1:18" x14ac:dyDescent="0.2">
      <c r="A188" t="s">
        <v>18</v>
      </c>
      <c r="B188" t="s">
        <v>462</v>
      </c>
      <c r="C188">
        <v>41</v>
      </c>
      <c r="D188" s="1">
        <v>43997.470902777779</v>
      </c>
      <c r="E188" t="s">
        <v>596</v>
      </c>
      <c r="F188" t="s">
        <v>464</v>
      </c>
      <c r="G188" t="s">
        <v>465</v>
      </c>
      <c r="H188" t="s">
        <v>466</v>
      </c>
      <c r="I188" t="s">
        <v>204</v>
      </c>
      <c r="J188">
        <v>41</v>
      </c>
      <c r="K188">
        <f>41-800-110-314</f>
        <v>-1183</v>
      </c>
      <c r="L188" t="s">
        <v>597</v>
      </c>
      <c r="M188" t="s">
        <v>598</v>
      </c>
      <c r="N188" t="s">
        <v>213</v>
      </c>
      <c r="O188" t="s">
        <v>28</v>
      </c>
      <c r="P188" t="s">
        <v>29</v>
      </c>
      <c r="Q188">
        <v>40</v>
      </c>
      <c r="R188">
        <v>-99.999999000000003</v>
      </c>
    </row>
    <row r="189" spans="1:18" x14ac:dyDescent="0.2">
      <c r="A189" t="s">
        <v>18</v>
      </c>
      <c r="B189" t="s">
        <v>462</v>
      </c>
      <c r="C189">
        <v>41</v>
      </c>
      <c r="D189" s="1">
        <v>43996.480775462966</v>
      </c>
      <c r="E189" t="s">
        <v>599</v>
      </c>
      <c r="F189" t="s">
        <v>464</v>
      </c>
      <c r="G189" t="s">
        <v>465</v>
      </c>
      <c r="H189" t="s">
        <v>466</v>
      </c>
      <c r="I189" t="s">
        <v>204</v>
      </c>
      <c r="J189">
        <v>41</v>
      </c>
      <c r="K189">
        <f>41-44-5246-972</f>
        <v>-6221</v>
      </c>
      <c r="L189" t="s">
        <v>600</v>
      </c>
      <c r="M189" t="s">
        <v>601</v>
      </c>
      <c r="N189" t="s">
        <v>213</v>
      </c>
      <c r="O189" t="s">
        <v>28</v>
      </c>
      <c r="P189" t="s">
        <v>29</v>
      </c>
      <c r="Q189">
        <v>40</v>
      </c>
      <c r="R189">
        <v>-99.999999000000003</v>
      </c>
    </row>
    <row r="190" spans="1:18" x14ac:dyDescent="0.2">
      <c r="A190" t="s">
        <v>18</v>
      </c>
      <c r="B190" t="s">
        <v>462</v>
      </c>
      <c r="C190">
        <v>49</v>
      </c>
      <c r="D190" s="1">
        <v>43995.674525462964</v>
      </c>
      <c r="E190" t="s">
        <v>602</v>
      </c>
      <c r="F190" t="s">
        <v>464</v>
      </c>
      <c r="G190" t="s">
        <v>465</v>
      </c>
      <c r="H190" t="s">
        <v>466</v>
      </c>
      <c r="I190" t="s">
        <v>24</v>
      </c>
      <c r="J190">
        <v>49</v>
      </c>
      <c r="K190">
        <f>49-800-505-2814</f>
        <v>-4070</v>
      </c>
      <c r="L190" t="s">
        <v>603</v>
      </c>
      <c r="M190" t="s">
        <v>604</v>
      </c>
      <c r="N190" t="s">
        <v>213</v>
      </c>
      <c r="O190" t="s">
        <v>28</v>
      </c>
      <c r="P190" t="s">
        <v>29</v>
      </c>
      <c r="Q190">
        <v>40</v>
      </c>
      <c r="R190">
        <v>-99.999999000000003</v>
      </c>
    </row>
    <row r="191" spans="1:18" x14ac:dyDescent="0.2">
      <c r="A191" t="s">
        <v>18</v>
      </c>
      <c r="B191" t="s">
        <v>462</v>
      </c>
      <c r="C191">
        <v>49</v>
      </c>
      <c r="D191" s="1">
        <v>43992.479398148149</v>
      </c>
      <c r="E191" t="s">
        <v>605</v>
      </c>
      <c r="F191" t="s">
        <v>464</v>
      </c>
      <c r="G191" t="s">
        <v>465</v>
      </c>
      <c r="H191" t="s">
        <v>466</v>
      </c>
      <c r="I191" t="s">
        <v>24</v>
      </c>
      <c r="J191">
        <v>49</v>
      </c>
      <c r="K191">
        <f>49-322-2185-3024</f>
        <v>-5482</v>
      </c>
      <c r="L191" t="s">
        <v>606</v>
      </c>
      <c r="M191" t="s">
        <v>607</v>
      </c>
      <c r="N191" t="s">
        <v>213</v>
      </c>
      <c r="O191" t="s">
        <v>28</v>
      </c>
      <c r="P191" t="s">
        <v>29</v>
      </c>
      <c r="Q191">
        <v>40</v>
      </c>
      <c r="R191">
        <v>-99.999999000000003</v>
      </c>
    </row>
    <row r="192" spans="1:18" x14ac:dyDescent="0.2">
      <c r="A192" t="s">
        <v>18</v>
      </c>
      <c r="B192" t="s">
        <v>462</v>
      </c>
      <c r="C192">
        <v>49</v>
      </c>
      <c r="D192" s="1">
        <v>43991.628553240742</v>
      </c>
      <c r="E192" t="s">
        <v>608</v>
      </c>
      <c r="F192" t="s">
        <v>464</v>
      </c>
      <c r="G192" t="s">
        <v>465</v>
      </c>
      <c r="H192" t="s">
        <v>466</v>
      </c>
      <c r="I192" t="s">
        <v>24</v>
      </c>
      <c r="J192">
        <v>49</v>
      </c>
      <c r="K192">
        <f>49-322-2185-3024</f>
        <v>-5482</v>
      </c>
      <c r="L192" t="s">
        <v>609</v>
      </c>
      <c r="M192" t="s">
        <v>610</v>
      </c>
      <c r="N192" t="s">
        <v>213</v>
      </c>
      <c r="O192" t="s">
        <v>28</v>
      </c>
      <c r="P192" t="s">
        <v>29</v>
      </c>
      <c r="Q192">
        <v>40</v>
      </c>
      <c r="R192">
        <v>-99.999999000000003</v>
      </c>
    </row>
    <row r="193" spans="1:18" x14ac:dyDescent="0.2">
      <c r="A193" t="s">
        <v>18</v>
      </c>
      <c r="B193" t="s">
        <v>462</v>
      </c>
      <c r="C193">
        <v>49</v>
      </c>
      <c r="D193" s="1">
        <v>43990.604872685188</v>
      </c>
      <c r="E193" t="s">
        <v>611</v>
      </c>
      <c r="F193" t="s">
        <v>464</v>
      </c>
      <c r="G193" t="s">
        <v>465</v>
      </c>
      <c r="H193" t="s">
        <v>466</v>
      </c>
      <c r="I193" t="s">
        <v>24</v>
      </c>
      <c r="J193">
        <v>49</v>
      </c>
      <c r="K193">
        <f>49-800-505-2803</f>
        <v>-4059</v>
      </c>
      <c r="L193" t="s">
        <v>612</v>
      </c>
      <c r="M193" t="s">
        <v>613</v>
      </c>
      <c r="N193" t="s">
        <v>213</v>
      </c>
      <c r="O193" t="s">
        <v>28</v>
      </c>
      <c r="P193" t="s">
        <v>29</v>
      </c>
      <c r="Q193">
        <v>40</v>
      </c>
      <c r="R193">
        <v>-99.999999000000003</v>
      </c>
    </row>
    <row r="194" spans="1:18" x14ac:dyDescent="0.2">
      <c r="A194" t="s">
        <v>18</v>
      </c>
      <c r="B194" t="s">
        <v>462</v>
      </c>
      <c r="C194">
        <v>49</v>
      </c>
      <c r="D194" s="1">
        <v>43988.60392361111</v>
      </c>
      <c r="E194" t="s">
        <v>614</v>
      </c>
      <c r="F194" t="s">
        <v>464</v>
      </c>
      <c r="G194" t="s">
        <v>465</v>
      </c>
      <c r="H194" t="s">
        <v>466</v>
      </c>
      <c r="I194" t="s">
        <v>24</v>
      </c>
      <c r="J194">
        <v>49</v>
      </c>
      <c r="K194">
        <f>49-800-505-2815</f>
        <v>-4071</v>
      </c>
      <c r="L194" t="s">
        <v>615</v>
      </c>
      <c r="M194" t="s">
        <v>616</v>
      </c>
      <c r="N194" t="s">
        <v>213</v>
      </c>
      <c r="O194" t="s">
        <v>28</v>
      </c>
      <c r="P194" t="s">
        <v>29</v>
      </c>
      <c r="Q194">
        <v>40</v>
      </c>
      <c r="R194">
        <v>-99.999999000000003</v>
      </c>
    </row>
    <row r="195" spans="1:18" x14ac:dyDescent="0.2">
      <c r="A195" t="s">
        <v>18</v>
      </c>
      <c r="B195" t="s">
        <v>462</v>
      </c>
      <c r="C195">
        <v>44</v>
      </c>
      <c r="D195" s="1">
        <v>43988.456956018519</v>
      </c>
      <c r="E195" t="s">
        <v>617</v>
      </c>
      <c r="F195" t="s">
        <v>464</v>
      </c>
      <c r="G195" t="s">
        <v>465</v>
      </c>
      <c r="H195" t="s">
        <v>466</v>
      </c>
      <c r="I195" t="s">
        <v>618</v>
      </c>
      <c r="J195">
        <v>44</v>
      </c>
      <c r="K195">
        <f>44-44-5246-959</f>
        <v>-6205</v>
      </c>
      <c r="L195" t="s">
        <v>619</v>
      </c>
      <c r="M195" t="s">
        <v>620</v>
      </c>
      <c r="N195" t="s">
        <v>213</v>
      </c>
      <c r="O195" t="s">
        <v>28</v>
      </c>
      <c r="P195" t="s">
        <v>29</v>
      </c>
      <c r="Q195">
        <v>40</v>
      </c>
      <c r="R195">
        <v>-99.999999000000003</v>
      </c>
    </row>
    <row r="196" spans="1:18" x14ac:dyDescent="0.2">
      <c r="A196" t="s">
        <v>18</v>
      </c>
      <c r="B196" t="s">
        <v>462</v>
      </c>
      <c r="C196">
        <v>49</v>
      </c>
      <c r="D196" s="1">
        <v>43990.417974537035</v>
      </c>
      <c r="E196" t="s">
        <v>621</v>
      </c>
      <c r="F196" t="s">
        <v>464</v>
      </c>
      <c r="G196" t="s">
        <v>465</v>
      </c>
      <c r="H196" t="s">
        <v>466</v>
      </c>
      <c r="I196" t="s">
        <v>24</v>
      </c>
      <c r="J196">
        <v>49</v>
      </c>
      <c r="K196">
        <f>49-322-2185-3024</f>
        <v>-5482</v>
      </c>
      <c r="L196" t="s">
        <v>622</v>
      </c>
      <c r="M196" t="s">
        <v>623</v>
      </c>
      <c r="N196" t="s">
        <v>213</v>
      </c>
      <c r="O196" t="s">
        <v>28</v>
      </c>
      <c r="P196" t="s">
        <v>29</v>
      </c>
      <c r="Q196">
        <v>40</v>
      </c>
      <c r="R196">
        <v>-99.999999000000003</v>
      </c>
    </row>
    <row r="197" spans="1:18" x14ac:dyDescent="0.2">
      <c r="A197" t="s">
        <v>18</v>
      </c>
      <c r="B197" t="s">
        <v>462</v>
      </c>
      <c r="C197">
        <v>49</v>
      </c>
      <c r="D197" s="1">
        <v>43986.468472222223</v>
      </c>
      <c r="E197" t="s">
        <v>624</v>
      </c>
      <c r="F197" t="s">
        <v>464</v>
      </c>
      <c r="G197" t="s">
        <v>465</v>
      </c>
      <c r="H197" t="s">
        <v>466</v>
      </c>
      <c r="I197" t="s">
        <v>24</v>
      </c>
      <c r="J197">
        <v>49</v>
      </c>
      <c r="K197">
        <f>49-322-2185-3024</f>
        <v>-5482</v>
      </c>
      <c r="L197" t="s">
        <v>625</v>
      </c>
      <c r="M197" t="s">
        <v>626</v>
      </c>
      <c r="N197" t="s">
        <v>213</v>
      </c>
      <c r="O197" t="s">
        <v>28</v>
      </c>
      <c r="P197" t="s">
        <v>29</v>
      </c>
      <c r="Q197">
        <v>40</v>
      </c>
      <c r="R197">
        <v>-99.999999000000003</v>
      </c>
    </row>
    <row r="198" spans="1:18" x14ac:dyDescent="0.2">
      <c r="A198" t="s">
        <v>18</v>
      </c>
      <c r="B198" t="s">
        <v>462</v>
      </c>
      <c r="C198">
        <v>49</v>
      </c>
      <c r="D198" s="1">
        <v>43985.722245370373</v>
      </c>
      <c r="E198" t="s">
        <v>627</v>
      </c>
      <c r="F198" t="s">
        <v>464</v>
      </c>
      <c r="G198" t="s">
        <v>465</v>
      </c>
      <c r="H198" t="s">
        <v>466</v>
      </c>
      <c r="I198" t="s">
        <v>24</v>
      </c>
      <c r="J198">
        <v>49</v>
      </c>
      <c r="K198">
        <f>49-322-1112-1753</f>
        <v>-3138</v>
      </c>
      <c r="L198" t="s">
        <v>628</v>
      </c>
      <c r="M198" t="s">
        <v>629</v>
      </c>
      <c r="N198" t="s">
        <v>213</v>
      </c>
      <c r="O198" t="s">
        <v>28</v>
      </c>
      <c r="P198" t="s">
        <v>29</v>
      </c>
      <c r="Q198">
        <v>40</v>
      </c>
      <c r="R198">
        <v>-99.999999000000003</v>
      </c>
    </row>
    <row r="199" spans="1:18" x14ac:dyDescent="0.2">
      <c r="A199" t="s">
        <v>18</v>
      </c>
      <c r="B199" t="s">
        <v>462</v>
      </c>
      <c r="C199">
        <v>49</v>
      </c>
      <c r="D199" s="1">
        <v>43985.421481481484</v>
      </c>
      <c r="E199" t="s">
        <v>630</v>
      </c>
      <c r="F199" t="s">
        <v>464</v>
      </c>
      <c r="G199" t="s">
        <v>465</v>
      </c>
      <c r="H199" t="s">
        <v>466</v>
      </c>
      <c r="I199" t="s">
        <v>24</v>
      </c>
      <c r="J199">
        <v>49</v>
      </c>
      <c r="K199">
        <f>49-322-2185-3024</f>
        <v>-5482</v>
      </c>
      <c r="L199" t="s">
        <v>631</v>
      </c>
      <c r="M199" t="s">
        <v>632</v>
      </c>
      <c r="N199" t="s">
        <v>213</v>
      </c>
      <c r="O199" t="s">
        <v>28</v>
      </c>
      <c r="P199" t="s">
        <v>29</v>
      </c>
      <c r="Q199">
        <v>40</v>
      </c>
      <c r="R199">
        <v>-99.999999000000003</v>
      </c>
    </row>
    <row r="200" spans="1:18" x14ac:dyDescent="0.2">
      <c r="A200" t="s">
        <v>18</v>
      </c>
      <c r="B200" t="s">
        <v>462</v>
      </c>
      <c r="C200">
        <v>49</v>
      </c>
      <c r="D200" s="1">
        <v>43984.559270833335</v>
      </c>
      <c r="E200" t="s">
        <v>633</v>
      </c>
      <c r="F200" t="s">
        <v>464</v>
      </c>
      <c r="G200" t="s">
        <v>465</v>
      </c>
      <c r="H200" t="s">
        <v>466</v>
      </c>
      <c r="I200" t="s">
        <v>24</v>
      </c>
      <c r="J200">
        <v>49</v>
      </c>
      <c r="K200">
        <f>49-800-505-2778</f>
        <v>-4034</v>
      </c>
      <c r="L200" t="s">
        <v>634</v>
      </c>
      <c r="M200" t="s">
        <v>635</v>
      </c>
      <c r="N200" t="s">
        <v>213</v>
      </c>
      <c r="O200" t="s">
        <v>28</v>
      </c>
      <c r="P200" t="s">
        <v>29</v>
      </c>
      <c r="Q200">
        <v>40</v>
      </c>
      <c r="R200">
        <v>-99.999999000000003</v>
      </c>
    </row>
    <row r="201" spans="1:18" x14ac:dyDescent="0.2">
      <c r="A201" t="s">
        <v>18</v>
      </c>
      <c r="B201" t="s">
        <v>462</v>
      </c>
      <c r="C201">
        <v>49</v>
      </c>
      <c r="D201" s="1">
        <v>43983.584039351852</v>
      </c>
      <c r="E201" t="s">
        <v>636</v>
      </c>
      <c r="F201" t="s">
        <v>464</v>
      </c>
      <c r="G201" t="s">
        <v>465</v>
      </c>
      <c r="H201" t="s">
        <v>466</v>
      </c>
      <c r="I201" t="s">
        <v>24</v>
      </c>
      <c r="J201">
        <v>49</v>
      </c>
      <c r="K201">
        <f>49-322-2185-3024</f>
        <v>-5482</v>
      </c>
      <c r="L201" t="s">
        <v>637</v>
      </c>
      <c r="M201" t="s">
        <v>638</v>
      </c>
      <c r="N201" t="s">
        <v>213</v>
      </c>
      <c r="O201" t="s">
        <v>28</v>
      </c>
      <c r="P201" t="s">
        <v>29</v>
      </c>
      <c r="Q201">
        <v>40</v>
      </c>
      <c r="R201">
        <v>-99.999999000000003</v>
      </c>
    </row>
    <row r="202" spans="1:18" x14ac:dyDescent="0.2">
      <c r="A202" t="s">
        <v>18</v>
      </c>
      <c r="B202" t="s">
        <v>462</v>
      </c>
      <c r="C202">
        <v>49</v>
      </c>
      <c r="D202" s="1">
        <v>43980.539351851854</v>
      </c>
      <c r="E202" t="s">
        <v>639</v>
      </c>
      <c r="F202" t="s">
        <v>464</v>
      </c>
      <c r="G202" t="s">
        <v>465</v>
      </c>
      <c r="H202" t="s">
        <v>466</v>
      </c>
      <c r="I202" t="s">
        <v>24</v>
      </c>
      <c r="J202">
        <v>49</v>
      </c>
      <c r="K202">
        <f>49-800-505-2749</f>
        <v>-4005</v>
      </c>
      <c r="L202" t="s">
        <v>640</v>
      </c>
      <c r="M202" t="s">
        <v>641</v>
      </c>
      <c r="N202" t="s">
        <v>213</v>
      </c>
      <c r="O202" t="s">
        <v>28</v>
      </c>
      <c r="P202" t="s">
        <v>29</v>
      </c>
      <c r="Q202">
        <v>40</v>
      </c>
      <c r="R202">
        <v>-99.999999000000003</v>
      </c>
    </row>
    <row r="203" spans="1:18" x14ac:dyDescent="0.2">
      <c r="A203" t="s">
        <v>18</v>
      </c>
      <c r="B203" t="s">
        <v>462</v>
      </c>
      <c r="C203">
        <v>49</v>
      </c>
      <c r="D203" s="1">
        <v>43979.738576388889</v>
      </c>
      <c r="E203" t="s">
        <v>642</v>
      </c>
      <c r="F203" t="s">
        <v>464</v>
      </c>
      <c r="G203" t="s">
        <v>465</v>
      </c>
      <c r="H203" t="s">
        <v>466</v>
      </c>
      <c r="I203" t="s">
        <v>24</v>
      </c>
      <c r="J203">
        <v>49</v>
      </c>
      <c r="K203">
        <f>49-800-505-2749</f>
        <v>-4005</v>
      </c>
      <c r="L203" t="s">
        <v>643</v>
      </c>
      <c r="M203" t="s">
        <v>644</v>
      </c>
      <c r="N203" t="s">
        <v>213</v>
      </c>
      <c r="O203" t="s">
        <v>28</v>
      </c>
      <c r="P203" t="s">
        <v>29</v>
      </c>
      <c r="Q203">
        <v>40</v>
      </c>
      <c r="R203">
        <v>-99.999999000000003</v>
      </c>
    </row>
    <row r="204" spans="1:18" x14ac:dyDescent="0.2">
      <c r="A204" t="s">
        <v>18</v>
      </c>
      <c r="B204" t="s">
        <v>462</v>
      </c>
      <c r="C204">
        <v>49</v>
      </c>
      <c r="D204" s="1">
        <v>43979.436736111114</v>
      </c>
      <c r="E204" t="s">
        <v>645</v>
      </c>
      <c r="F204" t="s">
        <v>464</v>
      </c>
      <c r="G204" t="s">
        <v>465</v>
      </c>
      <c r="H204" t="s">
        <v>466</v>
      </c>
      <c r="I204" t="s">
        <v>24</v>
      </c>
      <c r="J204">
        <v>49</v>
      </c>
      <c r="K204">
        <f>49-800-505-2749</f>
        <v>-4005</v>
      </c>
      <c r="L204" t="s">
        <v>646</v>
      </c>
      <c r="M204" t="s">
        <v>647</v>
      </c>
      <c r="N204" t="s">
        <v>213</v>
      </c>
      <c r="O204" t="s">
        <v>28</v>
      </c>
      <c r="P204" t="s">
        <v>29</v>
      </c>
      <c r="Q204">
        <v>40</v>
      </c>
      <c r="R204">
        <v>-99.999999000000003</v>
      </c>
    </row>
    <row r="205" spans="1:18" x14ac:dyDescent="0.2">
      <c r="A205" t="s">
        <v>18</v>
      </c>
      <c r="B205" t="s">
        <v>462</v>
      </c>
      <c r="C205">
        <v>49</v>
      </c>
      <c r="D205" s="1">
        <v>43977.644143518519</v>
      </c>
      <c r="E205" t="s">
        <v>648</v>
      </c>
      <c r="F205" t="s">
        <v>464</v>
      </c>
      <c r="G205" t="s">
        <v>465</v>
      </c>
      <c r="H205" t="s">
        <v>466</v>
      </c>
      <c r="I205" t="s">
        <v>24</v>
      </c>
      <c r="J205">
        <v>49</v>
      </c>
      <c r="K205">
        <f>49-322-2185-3024</f>
        <v>-5482</v>
      </c>
      <c r="L205" t="s">
        <v>649</v>
      </c>
      <c r="M205" t="s">
        <v>650</v>
      </c>
      <c r="N205" t="s">
        <v>36</v>
      </c>
      <c r="O205" t="s">
        <v>28</v>
      </c>
      <c r="P205" t="s">
        <v>29</v>
      </c>
      <c r="Q205">
        <v>40</v>
      </c>
      <c r="R205">
        <v>-99.999999000000003</v>
      </c>
    </row>
    <row r="206" spans="1:18" x14ac:dyDescent="0.2">
      <c r="A206" t="s">
        <v>18</v>
      </c>
      <c r="B206" t="s">
        <v>462</v>
      </c>
      <c r="C206">
        <v>49</v>
      </c>
      <c r="D206" s="1">
        <v>43974.422222222223</v>
      </c>
      <c r="E206" t="s">
        <v>651</v>
      </c>
      <c r="F206" t="s">
        <v>464</v>
      </c>
      <c r="G206" t="s">
        <v>465</v>
      </c>
      <c r="H206" t="s">
        <v>466</v>
      </c>
      <c r="I206" t="s">
        <v>24</v>
      </c>
      <c r="J206">
        <v>49</v>
      </c>
      <c r="K206">
        <f>49-322-2185-3024</f>
        <v>-5482</v>
      </c>
      <c r="L206" t="s">
        <v>652</v>
      </c>
      <c r="M206" t="s">
        <v>653</v>
      </c>
      <c r="N206" t="s">
        <v>213</v>
      </c>
      <c r="O206" t="s">
        <v>28</v>
      </c>
      <c r="P206" t="s">
        <v>29</v>
      </c>
      <c r="Q206">
        <v>40</v>
      </c>
      <c r="R206">
        <v>-99.999999000000003</v>
      </c>
    </row>
    <row r="207" spans="1:18" x14ac:dyDescent="0.2">
      <c r="A207" t="s">
        <v>18</v>
      </c>
      <c r="B207" t="s">
        <v>462</v>
      </c>
      <c r="C207">
        <v>49</v>
      </c>
      <c r="D207" s="1">
        <v>43973.557395833333</v>
      </c>
      <c r="E207" t="s">
        <v>654</v>
      </c>
      <c r="F207" t="s">
        <v>464</v>
      </c>
      <c r="G207" t="s">
        <v>465</v>
      </c>
      <c r="H207" t="s">
        <v>466</v>
      </c>
      <c r="I207" t="s">
        <v>24</v>
      </c>
      <c r="J207">
        <v>49</v>
      </c>
      <c r="K207">
        <f>49-271-6760-9025</f>
        <v>-16007</v>
      </c>
      <c r="L207" t="s">
        <v>655</v>
      </c>
      <c r="M207" t="s">
        <v>656</v>
      </c>
      <c r="N207" t="s">
        <v>213</v>
      </c>
      <c r="O207" t="s">
        <v>28</v>
      </c>
      <c r="P207" t="s">
        <v>29</v>
      </c>
      <c r="Q207">
        <v>40</v>
      </c>
      <c r="R207">
        <v>-99.999999000000003</v>
      </c>
    </row>
    <row r="208" spans="1:18" x14ac:dyDescent="0.2">
      <c r="A208" t="s">
        <v>18</v>
      </c>
      <c r="B208" t="s">
        <v>462</v>
      </c>
      <c r="C208">
        <v>49</v>
      </c>
      <c r="D208" s="1">
        <v>43972.682604166665</v>
      </c>
      <c r="E208" t="s">
        <v>657</v>
      </c>
      <c r="F208" t="s">
        <v>464</v>
      </c>
      <c r="G208" t="s">
        <v>465</v>
      </c>
      <c r="H208" t="s">
        <v>466</v>
      </c>
      <c r="I208" t="s">
        <v>24</v>
      </c>
      <c r="J208">
        <v>49</v>
      </c>
      <c r="K208">
        <f>49-271-6760-9025</f>
        <v>-16007</v>
      </c>
      <c r="L208" t="s">
        <v>658</v>
      </c>
      <c r="M208" t="s">
        <v>659</v>
      </c>
      <c r="N208" t="s">
        <v>213</v>
      </c>
      <c r="O208" t="s">
        <v>28</v>
      </c>
      <c r="P208" t="s">
        <v>29</v>
      </c>
      <c r="Q208">
        <v>40</v>
      </c>
      <c r="R208">
        <v>-99.999999000000003</v>
      </c>
    </row>
    <row r="209" spans="1:18" x14ac:dyDescent="0.2">
      <c r="A209" t="s">
        <v>18</v>
      </c>
      <c r="B209" t="s">
        <v>462</v>
      </c>
      <c r="C209">
        <v>49</v>
      </c>
      <c r="D209" s="1">
        <v>43970.548460648148</v>
      </c>
      <c r="E209" t="s">
        <v>660</v>
      </c>
      <c r="F209" t="s">
        <v>464</v>
      </c>
      <c r="G209" t="s">
        <v>465</v>
      </c>
      <c r="H209" t="s">
        <v>466</v>
      </c>
      <c r="I209" t="s">
        <v>24</v>
      </c>
      <c r="J209">
        <v>49</v>
      </c>
      <c r="K209">
        <f>49-271-6760-9025</f>
        <v>-16007</v>
      </c>
      <c r="L209" t="s">
        <v>661</v>
      </c>
      <c r="M209" t="s">
        <v>662</v>
      </c>
      <c r="N209" t="s">
        <v>213</v>
      </c>
      <c r="O209" t="s">
        <v>28</v>
      </c>
      <c r="P209" t="s">
        <v>29</v>
      </c>
      <c r="Q209">
        <v>40</v>
      </c>
      <c r="R209">
        <v>-99.999999000000003</v>
      </c>
    </row>
    <row r="210" spans="1:18" x14ac:dyDescent="0.2">
      <c r="A210" t="s">
        <v>663</v>
      </c>
      <c r="B210" t="s">
        <v>664</v>
      </c>
      <c r="C210">
        <v>1</v>
      </c>
      <c r="D210" s="1">
        <v>43970.877511574072</v>
      </c>
      <c r="E210" t="s">
        <v>665</v>
      </c>
      <c r="F210" t="s">
        <v>666</v>
      </c>
      <c r="G210" t="s">
        <v>665</v>
      </c>
      <c r="H210" t="s">
        <v>667</v>
      </c>
      <c r="I210" t="s">
        <v>29</v>
      </c>
      <c r="J210">
        <v>1</v>
      </c>
      <c r="K210">
        <f>1-844-314-4341</f>
        <v>-5498</v>
      </c>
      <c r="L210" t="s">
        <v>668</v>
      </c>
      <c r="M210" t="s">
        <v>669</v>
      </c>
      <c r="N210">
        <v>205</v>
      </c>
      <c r="O210" t="s">
        <v>134</v>
      </c>
      <c r="P210" t="s">
        <v>29</v>
      </c>
      <c r="Q210">
        <v>37</v>
      </c>
      <c r="R210">
        <v>-99.999999000000003</v>
      </c>
    </row>
    <row r="211" spans="1:18" x14ac:dyDescent="0.2">
      <c r="A211" t="s">
        <v>439</v>
      </c>
      <c r="B211" t="s">
        <v>440</v>
      </c>
      <c r="C211">
        <v>1</v>
      </c>
      <c r="D211" s="1">
        <v>43970.905613425923</v>
      </c>
      <c r="E211" t="s">
        <v>670</v>
      </c>
      <c r="F211" t="s">
        <v>442</v>
      </c>
      <c r="G211" t="s">
        <v>671</v>
      </c>
      <c r="H211" t="s">
        <v>444</v>
      </c>
      <c r="I211" t="s">
        <v>29</v>
      </c>
      <c r="J211">
        <v>1</v>
      </c>
      <c r="K211">
        <f>1-800-674-3608</f>
        <v>-5081</v>
      </c>
      <c r="L211" t="s">
        <v>672</v>
      </c>
      <c r="M211" t="s">
        <v>673</v>
      </c>
      <c r="N211" t="s">
        <v>674</v>
      </c>
      <c r="O211" t="s">
        <v>28</v>
      </c>
      <c r="P211" t="s">
        <v>29</v>
      </c>
      <c r="Q211">
        <v>39</v>
      </c>
      <c r="R211">
        <v>-77.487399999999994</v>
      </c>
    </row>
    <row r="212" spans="1:18" x14ac:dyDescent="0.2">
      <c r="A212" t="s">
        <v>675</v>
      </c>
      <c r="B212" t="s">
        <v>676</v>
      </c>
      <c r="C212">
        <v>1</v>
      </c>
      <c r="D212" s="1">
        <v>43970.907210648147</v>
      </c>
      <c r="E212" t="s">
        <v>677</v>
      </c>
      <c r="F212" t="s">
        <v>678</v>
      </c>
      <c r="G212" t="s">
        <v>679</v>
      </c>
      <c r="H212" t="s">
        <v>680</v>
      </c>
      <c r="I212" t="s">
        <v>29</v>
      </c>
      <c r="J212">
        <v>1</v>
      </c>
      <c r="K212">
        <f>1-888-880-3522</f>
        <v>-5289</v>
      </c>
      <c r="L212" t="s">
        <v>681</v>
      </c>
      <c r="M212" t="s">
        <v>682</v>
      </c>
      <c r="N212" t="s">
        <v>683</v>
      </c>
      <c r="O212" t="s">
        <v>28</v>
      </c>
      <c r="P212" t="s">
        <v>29</v>
      </c>
      <c r="Q212">
        <v>33</v>
      </c>
      <c r="R212">
        <v>-99.999999000000003</v>
      </c>
    </row>
    <row r="213" spans="1:18" x14ac:dyDescent="0.2">
      <c r="A213" t="s">
        <v>270</v>
      </c>
      <c r="B213" t="s">
        <v>271</v>
      </c>
      <c r="C213">
        <v>1</v>
      </c>
      <c r="D213" s="1">
        <v>44368.891342592593</v>
      </c>
      <c r="E213" t="s">
        <v>684</v>
      </c>
      <c r="F213" t="s">
        <v>273</v>
      </c>
      <c r="G213" t="s">
        <v>685</v>
      </c>
      <c r="H213" t="s">
        <v>275</v>
      </c>
      <c r="I213" t="s">
        <v>29</v>
      </c>
      <c r="J213">
        <v>1</v>
      </c>
      <c r="K213">
        <f>1-740-287-4920</f>
        <v>-5946</v>
      </c>
      <c r="L213" t="s">
        <v>686</v>
      </c>
      <c r="M213" t="s">
        <v>687</v>
      </c>
      <c r="N213" t="s">
        <v>278</v>
      </c>
      <c r="O213" t="s">
        <v>28</v>
      </c>
      <c r="P213" t="s">
        <v>29</v>
      </c>
      <c r="Q213">
        <v>42</v>
      </c>
      <c r="R213">
        <v>-93.620800000000003</v>
      </c>
    </row>
    <row r="214" spans="1:18" x14ac:dyDescent="0.2">
      <c r="A214" t="s">
        <v>270</v>
      </c>
      <c r="B214" t="s">
        <v>271</v>
      </c>
      <c r="C214">
        <v>1</v>
      </c>
      <c r="D214" s="1">
        <v>44368.874988425923</v>
      </c>
      <c r="E214" t="s">
        <v>688</v>
      </c>
      <c r="F214" t="s">
        <v>273</v>
      </c>
      <c r="G214" t="s">
        <v>685</v>
      </c>
      <c r="H214" t="s">
        <v>275</v>
      </c>
      <c r="I214" t="s">
        <v>29</v>
      </c>
      <c r="J214">
        <v>1</v>
      </c>
      <c r="K214">
        <f>1-602-563-5577</f>
        <v>-6741</v>
      </c>
      <c r="L214" t="s">
        <v>689</v>
      </c>
      <c r="M214" t="s">
        <v>690</v>
      </c>
      <c r="N214" t="s">
        <v>278</v>
      </c>
      <c r="O214" t="s">
        <v>28</v>
      </c>
      <c r="P214" t="s">
        <v>29</v>
      </c>
      <c r="Q214">
        <v>42</v>
      </c>
      <c r="R214">
        <v>-93.620800000000003</v>
      </c>
    </row>
    <row r="215" spans="1:18" x14ac:dyDescent="0.2">
      <c r="A215" t="s">
        <v>270</v>
      </c>
      <c r="B215" t="s">
        <v>271</v>
      </c>
      <c r="C215">
        <v>1</v>
      </c>
      <c r="D215" s="1">
        <v>44368.874930555554</v>
      </c>
      <c r="E215" t="s">
        <v>684</v>
      </c>
      <c r="F215" t="s">
        <v>273</v>
      </c>
      <c r="G215" t="s">
        <v>685</v>
      </c>
      <c r="H215" t="s">
        <v>275</v>
      </c>
      <c r="I215" t="s">
        <v>29</v>
      </c>
      <c r="J215">
        <v>1</v>
      </c>
      <c r="K215">
        <f>1-602-563-5577</f>
        <v>-6741</v>
      </c>
      <c r="L215" t="s">
        <v>691</v>
      </c>
      <c r="M215" t="s">
        <v>692</v>
      </c>
      <c r="N215" t="s">
        <v>278</v>
      </c>
      <c r="O215" t="s">
        <v>28</v>
      </c>
      <c r="P215" t="s">
        <v>29</v>
      </c>
      <c r="Q215">
        <v>42</v>
      </c>
      <c r="R215">
        <v>-93.620800000000003</v>
      </c>
    </row>
    <row r="216" spans="1:18" x14ac:dyDescent="0.2">
      <c r="A216" t="s">
        <v>270</v>
      </c>
      <c r="B216" t="s">
        <v>271</v>
      </c>
      <c r="C216">
        <v>1</v>
      </c>
      <c r="D216" s="1">
        <v>44368.874803240738</v>
      </c>
      <c r="E216" t="s">
        <v>693</v>
      </c>
      <c r="F216" t="s">
        <v>273</v>
      </c>
      <c r="G216" t="s">
        <v>685</v>
      </c>
      <c r="H216" t="s">
        <v>275</v>
      </c>
      <c r="I216" t="s">
        <v>29</v>
      </c>
      <c r="J216">
        <v>1</v>
      </c>
      <c r="K216">
        <f>1-602-563-5577</f>
        <v>-6741</v>
      </c>
      <c r="L216" t="s">
        <v>694</v>
      </c>
      <c r="M216" t="s">
        <v>695</v>
      </c>
      <c r="N216" t="s">
        <v>278</v>
      </c>
      <c r="O216" t="s">
        <v>28</v>
      </c>
      <c r="P216" t="s">
        <v>29</v>
      </c>
      <c r="Q216">
        <v>42</v>
      </c>
      <c r="R216">
        <v>-93.620800000000003</v>
      </c>
    </row>
    <row r="217" spans="1:18" x14ac:dyDescent="0.2">
      <c r="A217" t="s">
        <v>270</v>
      </c>
      <c r="B217" t="s">
        <v>271</v>
      </c>
      <c r="C217">
        <v>1</v>
      </c>
      <c r="D217" s="1">
        <v>44368.874745370369</v>
      </c>
      <c r="E217" t="s">
        <v>696</v>
      </c>
      <c r="F217" t="s">
        <v>273</v>
      </c>
      <c r="G217" t="s">
        <v>685</v>
      </c>
      <c r="H217" t="s">
        <v>275</v>
      </c>
      <c r="I217" t="s">
        <v>29</v>
      </c>
      <c r="J217">
        <v>1</v>
      </c>
      <c r="K217">
        <f>1-602-563-5577</f>
        <v>-6741</v>
      </c>
      <c r="L217" t="s">
        <v>697</v>
      </c>
      <c r="M217" t="s">
        <v>698</v>
      </c>
      <c r="N217" t="s">
        <v>278</v>
      </c>
      <c r="O217" t="s">
        <v>28</v>
      </c>
      <c r="P217" t="s">
        <v>29</v>
      </c>
      <c r="Q217">
        <v>42</v>
      </c>
      <c r="R217">
        <v>-93.620800000000003</v>
      </c>
    </row>
    <row r="218" spans="1:18" x14ac:dyDescent="0.2">
      <c r="A218" t="s">
        <v>270</v>
      </c>
      <c r="B218" t="s">
        <v>271</v>
      </c>
      <c r="C218">
        <v>34</v>
      </c>
      <c r="D218" s="1">
        <v>44142.835648148146</v>
      </c>
      <c r="E218" t="s">
        <v>699</v>
      </c>
      <c r="F218" t="s">
        <v>273</v>
      </c>
      <c r="G218" t="s">
        <v>685</v>
      </c>
      <c r="H218" t="s">
        <v>275</v>
      </c>
      <c r="I218" t="s">
        <v>700</v>
      </c>
      <c r="J218">
        <v>34</v>
      </c>
      <c r="K218">
        <f>34-900-670-8</f>
        <v>-1544</v>
      </c>
      <c r="L218" t="s">
        <v>701</v>
      </c>
      <c r="M218" t="s">
        <v>702</v>
      </c>
      <c r="N218" t="s">
        <v>278</v>
      </c>
      <c r="O218" t="s">
        <v>134</v>
      </c>
      <c r="P218" t="s">
        <v>29</v>
      </c>
      <c r="Q218">
        <v>42</v>
      </c>
      <c r="R218">
        <v>-93.620800000000003</v>
      </c>
    </row>
    <row r="219" spans="1:18" x14ac:dyDescent="0.2">
      <c r="A219" t="s">
        <v>270</v>
      </c>
      <c r="B219" t="s">
        <v>271</v>
      </c>
      <c r="C219">
        <v>34</v>
      </c>
      <c r="D219" s="1">
        <v>44142.835358796299</v>
      </c>
      <c r="E219" t="s">
        <v>703</v>
      </c>
      <c r="F219" t="s">
        <v>273</v>
      </c>
      <c r="G219" t="s">
        <v>685</v>
      </c>
      <c r="H219" t="s">
        <v>275</v>
      </c>
      <c r="I219" t="s">
        <v>700</v>
      </c>
      <c r="J219">
        <v>34</v>
      </c>
      <c r="K219">
        <f>34-900-670-8</f>
        <v>-1544</v>
      </c>
      <c r="L219" t="s">
        <v>704</v>
      </c>
      <c r="M219" t="s">
        <v>705</v>
      </c>
      <c r="N219" t="s">
        <v>278</v>
      </c>
      <c r="O219" t="s">
        <v>134</v>
      </c>
      <c r="P219" t="s">
        <v>29</v>
      </c>
      <c r="Q219">
        <v>42</v>
      </c>
      <c r="R219">
        <v>-93.620800000000003</v>
      </c>
    </row>
    <row r="220" spans="1:18" x14ac:dyDescent="0.2">
      <c r="A220" t="s">
        <v>270</v>
      </c>
      <c r="B220" t="s">
        <v>271</v>
      </c>
      <c r="C220">
        <v>1</v>
      </c>
      <c r="D220" s="1">
        <v>44139.773240740738</v>
      </c>
      <c r="E220" t="s">
        <v>706</v>
      </c>
      <c r="F220" t="s">
        <v>273</v>
      </c>
      <c r="G220" t="s">
        <v>685</v>
      </c>
      <c r="H220" t="s">
        <v>275</v>
      </c>
      <c r="I220" t="s">
        <v>29</v>
      </c>
      <c r="J220">
        <v>1</v>
      </c>
      <c r="K220">
        <f>1-888-336-7952</f>
        <v>-9175</v>
      </c>
      <c r="L220" t="s">
        <v>707</v>
      </c>
      <c r="M220" t="s">
        <v>708</v>
      </c>
      <c r="N220" t="s">
        <v>278</v>
      </c>
      <c r="O220" t="s">
        <v>28</v>
      </c>
      <c r="P220" t="s">
        <v>29</v>
      </c>
      <c r="Q220">
        <v>42</v>
      </c>
      <c r="R220">
        <v>-93.620800000000003</v>
      </c>
    </row>
    <row r="221" spans="1:18" x14ac:dyDescent="0.2">
      <c r="A221" t="s">
        <v>270</v>
      </c>
      <c r="B221" t="s">
        <v>271</v>
      </c>
      <c r="C221">
        <v>1</v>
      </c>
      <c r="D221" s="1">
        <v>44106.935428240744</v>
      </c>
      <c r="E221" t="s">
        <v>709</v>
      </c>
      <c r="F221" t="s">
        <v>273</v>
      </c>
      <c r="G221" t="s">
        <v>685</v>
      </c>
      <c r="H221" t="s">
        <v>275</v>
      </c>
      <c r="I221" t="s">
        <v>29</v>
      </c>
      <c r="J221">
        <v>1</v>
      </c>
      <c r="K221">
        <f>1-888-278-9830</f>
        <v>-10995</v>
      </c>
      <c r="L221" t="s">
        <v>710</v>
      </c>
      <c r="M221" t="s">
        <v>711</v>
      </c>
      <c r="N221" t="s">
        <v>278</v>
      </c>
      <c r="O221" t="s">
        <v>28</v>
      </c>
      <c r="P221" t="s">
        <v>29</v>
      </c>
      <c r="Q221">
        <v>42</v>
      </c>
      <c r="R221">
        <v>-93.620800000000003</v>
      </c>
    </row>
    <row r="222" spans="1:18" x14ac:dyDescent="0.2">
      <c r="A222" t="s">
        <v>270</v>
      </c>
      <c r="B222" t="s">
        <v>271</v>
      </c>
      <c r="C222">
        <v>1</v>
      </c>
      <c r="D222" s="1">
        <v>44095.788680555554</v>
      </c>
      <c r="E222" t="s">
        <v>712</v>
      </c>
      <c r="F222" t="s">
        <v>273</v>
      </c>
      <c r="G222" t="s">
        <v>685</v>
      </c>
      <c r="H222" t="s">
        <v>275</v>
      </c>
      <c r="I222" t="s">
        <v>29</v>
      </c>
      <c r="J222">
        <v>1</v>
      </c>
      <c r="K222">
        <f>1-844-316-9077</f>
        <v>-10236</v>
      </c>
      <c r="L222" t="s">
        <v>713</v>
      </c>
      <c r="M222" t="s">
        <v>714</v>
      </c>
      <c r="N222" t="s">
        <v>278</v>
      </c>
      <c r="O222" t="s">
        <v>28</v>
      </c>
      <c r="P222" t="s">
        <v>29</v>
      </c>
      <c r="Q222">
        <v>42</v>
      </c>
      <c r="R222">
        <v>-93.620800000000003</v>
      </c>
    </row>
    <row r="223" spans="1:18" x14ac:dyDescent="0.2">
      <c r="A223" t="s">
        <v>270</v>
      </c>
      <c r="B223" t="s">
        <v>271</v>
      </c>
      <c r="C223">
        <v>1</v>
      </c>
      <c r="D223" s="1">
        <v>44090.416979166665</v>
      </c>
      <c r="E223" t="s">
        <v>715</v>
      </c>
      <c r="F223" t="s">
        <v>273</v>
      </c>
      <c r="G223" t="s">
        <v>685</v>
      </c>
      <c r="H223" t="s">
        <v>275</v>
      </c>
      <c r="I223" t="s">
        <v>29</v>
      </c>
      <c r="J223">
        <v>1</v>
      </c>
      <c r="K223">
        <f>1-844-318-8589</f>
        <v>-9750</v>
      </c>
      <c r="L223" t="s">
        <v>716</v>
      </c>
      <c r="M223" t="s">
        <v>717</v>
      </c>
      <c r="N223" t="s">
        <v>278</v>
      </c>
      <c r="O223" t="s">
        <v>28</v>
      </c>
      <c r="P223" t="s">
        <v>29</v>
      </c>
      <c r="Q223">
        <v>42</v>
      </c>
      <c r="R223">
        <v>-93.620800000000003</v>
      </c>
    </row>
    <row r="224" spans="1:18" x14ac:dyDescent="0.2">
      <c r="A224" t="s">
        <v>270</v>
      </c>
      <c r="B224" t="s">
        <v>271</v>
      </c>
      <c r="C224">
        <v>1</v>
      </c>
      <c r="D224" s="1">
        <v>44089.756435185183</v>
      </c>
      <c r="E224" t="s">
        <v>718</v>
      </c>
      <c r="F224" t="s">
        <v>273</v>
      </c>
      <c r="G224" t="s">
        <v>685</v>
      </c>
      <c r="H224" t="s">
        <v>275</v>
      </c>
      <c r="I224" t="s">
        <v>29</v>
      </c>
      <c r="J224">
        <v>1</v>
      </c>
      <c r="K224">
        <f>1-844-218-3888</f>
        <v>-4949</v>
      </c>
      <c r="L224" t="s">
        <v>719</v>
      </c>
      <c r="M224" t="s">
        <v>720</v>
      </c>
      <c r="N224" t="s">
        <v>278</v>
      </c>
      <c r="O224" t="s">
        <v>28</v>
      </c>
      <c r="P224" t="s">
        <v>29</v>
      </c>
      <c r="Q224">
        <v>42</v>
      </c>
      <c r="R224">
        <v>-93.620800000000003</v>
      </c>
    </row>
    <row r="225" spans="1:18" x14ac:dyDescent="0.2">
      <c r="A225" t="s">
        <v>270</v>
      </c>
      <c r="B225" t="s">
        <v>271</v>
      </c>
      <c r="C225">
        <v>33</v>
      </c>
      <c r="D225" s="1">
        <v>44086.714861111112</v>
      </c>
      <c r="E225" t="s">
        <v>721</v>
      </c>
      <c r="F225" t="s">
        <v>273</v>
      </c>
      <c r="G225" t="s">
        <v>685</v>
      </c>
      <c r="H225" t="s">
        <v>275</v>
      </c>
      <c r="I225" t="s">
        <v>292</v>
      </c>
      <c r="J225">
        <v>33</v>
      </c>
      <c r="K225">
        <f>33-7-55-53-87-14</f>
        <v>-183</v>
      </c>
      <c r="L225" t="s">
        <v>722</v>
      </c>
      <c r="M225" t="s">
        <v>723</v>
      </c>
      <c r="N225" t="s">
        <v>278</v>
      </c>
      <c r="O225" t="s">
        <v>134</v>
      </c>
      <c r="P225" t="s">
        <v>29</v>
      </c>
      <c r="Q225">
        <v>42</v>
      </c>
      <c r="R225">
        <v>-93.620800000000003</v>
      </c>
    </row>
    <row r="226" spans="1:18" x14ac:dyDescent="0.2">
      <c r="A226" t="s">
        <v>270</v>
      </c>
      <c r="B226" t="s">
        <v>271</v>
      </c>
      <c r="C226">
        <v>33</v>
      </c>
      <c r="D226" s="1">
        <v>44086.714212962965</v>
      </c>
      <c r="E226" t="s">
        <v>724</v>
      </c>
      <c r="F226" t="s">
        <v>273</v>
      </c>
      <c r="G226" t="s">
        <v>685</v>
      </c>
      <c r="H226" t="s">
        <v>275</v>
      </c>
      <c r="I226" t="s">
        <v>292</v>
      </c>
      <c r="J226">
        <v>33</v>
      </c>
      <c r="K226">
        <f>33-7-55-53-87-14</f>
        <v>-183</v>
      </c>
      <c r="L226" t="s">
        <v>725</v>
      </c>
      <c r="M226" t="s">
        <v>726</v>
      </c>
      <c r="N226" t="s">
        <v>278</v>
      </c>
      <c r="O226" t="s">
        <v>134</v>
      </c>
      <c r="P226" t="s">
        <v>29</v>
      </c>
      <c r="Q226">
        <v>42</v>
      </c>
      <c r="R226">
        <v>-93.620800000000003</v>
      </c>
    </row>
    <row r="227" spans="1:18" x14ac:dyDescent="0.2">
      <c r="A227" t="s">
        <v>270</v>
      </c>
      <c r="B227" t="s">
        <v>271</v>
      </c>
      <c r="C227">
        <v>1</v>
      </c>
      <c r="D227" s="1">
        <v>44088.77721064815</v>
      </c>
      <c r="E227" t="s">
        <v>727</v>
      </c>
      <c r="F227" t="s">
        <v>273</v>
      </c>
      <c r="G227" t="s">
        <v>685</v>
      </c>
      <c r="H227" t="s">
        <v>275</v>
      </c>
      <c r="I227" t="s">
        <v>29</v>
      </c>
      <c r="J227">
        <v>1</v>
      </c>
      <c r="K227">
        <f>1-844-212-1446</f>
        <v>-2501</v>
      </c>
      <c r="L227" t="s">
        <v>728</v>
      </c>
      <c r="M227" t="s">
        <v>729</v>
      </c>
      <c r="N227" t="s">
        <v>278</v>
      </c>
      <c r="O227" t="s">
        <v>28</v>
      </c>
      <c r="P227" t="s">
        <v>29</v>
      </c>
      <c r="Q227">
        <v>42</v>
      </c>
      <c r="R227">
        <v>-93.620800000000003</v>
      </c>
    </row>
    <row r="228" spans="1:18" x14ac:dyDescent="0.2">
      <c r="A228" t="s">
        <v>270</v>
      </c>
      <c r="B228" t="s">
        <v>271</v>
      </c>
      <c r="C228">
        <v>1</v>
      </c>
      <c r="D228" s="1">
        <v>44083.801574074074</v>
      </c>
      <c r="E228" t="s">
        <v>730</v>
      </c>
      <c r="F228" t="s">
        <v>273</v>
      </c>
      <c r="G228" t="s">
        <v>685</v>
      </c>
      <c r="H228" t="s">
        <v>275</v>
      </c>
      <c r="I228" t="s">
        <v>29</v>
      </c>
      <c r="J228">
        <v>1</v>
      </c>
      <c r="K228">
        <f>1-888-585-7516</f>
        <v>-8988</v>
      </c>
      <c r="L228" t="s">
        <v>731</v>
      </c>
      <c r="M228" t="s">
        <v>732</v>
      </c>
      <c r="N228" t="s">
        <v>278</v>
      </c>
      <c r="O228" t="s">
        <v>28</v>
      </c>
      <c r="P228" t="s">
        <v>29</v>
      </c>
      <c r="Q228">
        <v>42</v>
      </c>
      <c r="R228">
        <v>-93.620800000000003</v>
      </c>
    </row>
    <row r="229" spans="1:18" x14ac:dyDescent="0.2">
      <c r="A229" t="s">
        <v>270</v>
      </c>
      <c r="B229" t="s">
        <v>271</v>
      </c>
      <c r="C229">
        <v>1</v>
      </c>
      <c r="D229" s="1">
        <v>44082.946284722224</v>
      </c>
      <c r="E229" t="s">
        <v>733</v>
      </c>
      <c r="F229" t="s">
        <v>273</v>
      </c>
      <c r="G229" t="s">
        <v>685</v>
      </c>
      <c r="H229" t="s">
        <v>275</v>
      </c>
      <c r="I229" t="s">
        <v>29</v>
      </c>
      <c r="J229">
        <v>1</v>
      </c>
      <c r="K229">
        <f>1-888-650-4886</f>
        <v>-6423</v>
      </c>
      <c r="L229" t="s">
        <v>734</v>
      </c>
      <c r="M229" t="s">
        <v>735</v>
      </c>
      <c r="N229" t="s">
        <v>278</v>
      </c>
      <c r="O229" t="s">
        <v>28</v>
      </c>
      <c r="P229" t="s">
        <v>29</v>
      </c>
      <c r="Q229">
        <v>42</v>
      </c>
      <c r="R229">
        <v>-93.620800000000003</v>
      </c>
    </row>
    <row r="230" spans="1:18" x14ac:dyDescent="0.2">
      <c r="A230" t="s">
        <v>270</v>
      </c>
      <c r="B230" t="s">
        <v>271</v>
      </c>
      <c r="C230">
        <v>1</v>
      </c>
      <c r="D230" s="1">
        <v>44078.847951388889</v>
      </c>
      <c r="E230" t="s">
        <v>736</v>
      </c>
      <c r="F230" t="s">
        <v>273</v>
      </c>
      <c r="G230" t="s">
        <v>685</v>
      </c>
      <c r="H230" t="s">
        <v>275</v>
      </c>
      <c r="I230" t="s">
        <v>29</v>
      </c>
      <c r="J230">
        <v>1</v>
      </c>
      <c r="K230">
        <f>1-866-640-3439</f>
        <v>-4944</v>
      </c>
      <c r="L230" t="s">
        <v>737</v>
      </c>
      <c r="M230" t="s">
        <v>738</v>
      </c>
      <c r="N230" t="s">
        <v>278</v>
      </c>
      <c r="O230" t="s">
        <v>134</v>
      </c>
      <c r="P230" t="s">
        <v>29</v>
      </c>
      <c r="Q230">
        <v>42</v>
      </c>
      <c r="R230">
        <v>-93.620800000000003</v>
      </c>
    </row>
    <row r="231" spans="1:18" x14ac:dyDescent="0.2">
      <c r="A231" t="s">
        <v>270</v>
      </c>
      <c r="B231" t="s">
        <v>271</v>
      </c>
      <c r="C231">
        <v>1</v>
      </c>
      <c r="D231" s="1">
        <v>44073.943553240744</v>
      </c>
      <c r="E231" t="s">
        <v>739</v>
      </c>
      <c r="F231" t="s">
        <v>273</v>
      </c>
      <c r="G231" t="s">
        <v>685</v>
      </c>
      <c r="H231" t="s">
        <v>275</v>
      </c>
      <c r="I231" t="s">
        <v>29</v>
      </c>
      <c r="J231">
        <v>1</v>
      </c>
      <c r="K231">
        <f>1-888-417-4066</f>
        <v>-5370</v>
      </c>
      <c r="L231" t="s">
        <v>740</v>
      </c>
      <c r="M231" t="s">
        <v>741</v>
      </c>
      <c r="N231" t="s">
        <v>278</v>
      </c>
      <c r="O231" t="s">
        <v>134</v>
      </c>
      <c r="P231" t="s">
        <v>29</v>
      </c>
      <c r="Q231">
        <v>42</v>
      </c>
      <c r="R231">
        <v>-93.620800000000003</v>
      </c>
    </row>
    <row r="232" spans="1:18" x14ac:dyDescent="0.2">
      <c r="A232" t="s">
        <v>270</v>
      </c>
      <c r="B232" t="s">
        <v>271</v>
      </c>
      <c r="C232">
        <v>1</v>
      </c>
      <c r="D232" s="1">
        <v>44073.93990740741</v>
      </c>
      <c r="E232" t="s">
        <v>742</v>
      </c>
      <c r="F232" t="s">
        <v>273</v>
      </c>
      <c r="G232" t="s">
        <v>685</v>
      </c>
      <c r="H232" t="s">
        <v>275</v>
      </c>
      <c r="I232" t="s">
        <v>29</v>
      </c>
      <c r="J232">
        <v>1</v>
      </c>
      <c r="K232">
        <f>1-888-383-551</f>
        <v>-1821</v>
      </c>
      <c r="L232" t="s">
        <v>743</v>
      </c>
      <c r="M232" t="s">
        <v>744</v>
      </c>
      <c r="N232" t="s">
        <v>278</v>
      </c>
      <c r="O232" t="s">
        <v>134</v>
      </c>
      <c r="P232" t="s">
        <v>29</v>
      </c>
      <c r="Q232">
        <v>42</v>
      </c>
      <c r="R232">
        <v>-93.620800000000003</v>
      </c>
    </row>
    <row r="233" spans="1:18" x14ac:dyDescent="0.2">
      <c r="A233" t="s">
        <v>270</v>
      </c>
      <c r="B233" t="s">
        <v>271</v>
      </c>
      <c r="C233">
        <v>1</v>
      </c>
      <c r="D233" s="1">
        <v>44073.925763888888</v>
      </c>
      <c r="E233" t="s">
        <v>745</v>
      </c>
      <c r="F233" t="s">
        <v>273</v>
      </c>
      <c r="G233" t="s">
        <v>685</v>
      </c>
      <c r="H233" t="s">
        <v>275</v>
      </c>
      <c r="I233" t="s">
        <v>29</v>
      </c>
      <c r="J233">
        <v>1</v>
      </c>
      <c r="K233">
        <f>1-888-541-8493</f>
        <v>-9921</v>
      </c>
      <c r="L233" t="s">
        <v>746</v>
      </c>
      <c r="M233" t="s">
        <v>747</v>
      </c>
      <c r="N233" t="s">
        <v>278</v>
      </c>
      <c r="O233" t="s">
        <v>134</v>
      </c>
      <c r="P233" t="s">
        <v>29</v>
      </c>
      <c r="Q233">
        <v>42</v>
      </c>
      <c r="R233">
        <v>-93.620800000000003</v>
      </c>
    </row>
    <row r="234" spans="1:18" x14ac:dyDescent="0.2">
      <c r="A234" t="s">
        <v>270</v>
      </c>
      <c r="B234" t="s">
        <v>271</v>
      </c>
      <c r="C234">
        <v>1</v>
      </c>
      <c r="D234" s="1">
        <v>44072.291284722225</v>
      </c>
      <c r="E234" t="s">
        <v>748</v>
      </c>
      <c r="F234" t="s">
        <v>273</v>
      </c>
      <c r="G234" t="s">
        <v>685</v>
      </c>
      <c r="H234" t="s">
        <v>275</v>
      </c>
      <c r="I234" t="s">
        <v>29</v>
      </c>
      <c r="J234">
        <v>1</v>
      </c>
      <c r="K234">
        <f>1-888-658-5805</f>
        <v>-7350</v>
      </c>
      <c r="L234" t="s">
        <v>749</v>
      </c>
      <c r="M234" t="s">
        <v>750</v>
      </c>
      <c r="N234" t="s">
        <v>278</v>
      </c>
      <c r="O234" t="s">
        <v>134</v>
      </c>
      <c r="P234" t="s">
        <v>29</v>
      </c>
      <c r="Q234">
        <v>42</v>
      </c>
      <c r="R234">
        <v>-93.620800000000003</v>
      </c>
    </row>
    <row r="235" spans="1:18" x14ac:dyDescent="0.2">
      <c r="A235" t="s">
        <v>270</v>
      </c>
      <c r="B235" t="s">
        <v>271</v>
      </c>
      <c r="C235">
        <v>1</v>
      </c>
      <c r="D235" s="1">
        <v>44071.974733796298</v>
      </c>
      <c r="E235" t="s">
        <v>751</v>
      </c>
      <c r="F235" t="s">
        <v>273</v>
      </c>
      <c r="G235" t="s">
        <v>685</v>
      </c>
      <c r="H235" t="s">
        <v>275</v>
      </c>
      <c r="I235" t="s">
        <v>29</v>
      </c>
      <c r="J235">
        <v>1</v>
      </c>
      <c r="K235">
        <f>1-888-690-842</f>
        <v>-2419</v>
      </c>
      <c r="L235" t="s">
        <v>752</v>
      </c>
      <c r="M235" t="s">
        <v>753</v>
      </c>
      <c r="N235" t="s">
        <v>278</v>
      </c>
      <c r="O235" t="s">
        <v>134</v>
      </c>
      <c r="P235" t="s">
        <v>29</v>
      </c>
      <c r="Q235">
        <v>42</v>
      </c>
      <c r="R235">
        <v>-93.620800000000003</v>
      </c>
    </row>
    <row r="236" spans="1:18" x14ac:dyDescent="0.2">
      <c r="A236" t="s">
        <v>270</v>
      </c>
      <c r="B236" t="s">
        <v>271</v>
      </c>
      <c r="C236">
        <v>1</v>
      </c>
      <c r="D236" s="1">
        <v>44071.905451388891</v>
      </c>
      <c r="E236" t="s">
        <v>754</v>
      </c>
      <c r="F236" t="s">
        <v>273</v>
      </c>
      <c r="G236" t="s">
        <v>685</v>
      </c>
      <c r="H236" t="s">
        <v>275</v>
      </c>
      <c r="I236" t="s">
        <v>29</v>
      </c>
      <c r="J236">
        <v>1</v>
      </c>
      <c r="K236">
        <f>1-888-803-850</f>
        <v>-2540</v>
      </c>
      <c r="L236" t="s">
        <v>755</v>
      </c>
      <c r="M236" t="s">
        <v>756</v>
      </c>
      <c r="N236" t="s">
        <v>278</v>
      </c>
      <c r="O236" t="s">
        <v>134</v>
      </c>
      <c r="P236" t="s">
        <v>29</v>
      </c>
      <c r="Q236">
        <v>42</v>
      </c>
      <c r="R236">
        <v>-93.620800000000003</v>
      </c>
    </row>
    <row r="237" spans="1:18" x14ac:dyDescent="0.2">
      <c r="A237" t="s">
        <v>270</v>
      </c>
      <c r="B237" t="s">
        <v>271</v>
      </c>
      <c r="C237">
        <v>81</v>
      </c>
      <c r="D237" s="1">
        <v>44069.252129629633</v>
      </c>
      <c r="E237" t="s">
        <v>757</v>
      </c>
      <c r="F237" t="s">
        <v>273</v>
      </c>
      <c r="G237" t="s">
        <v>685</v>
      </c>
      <c r="H237" t="s">
        <v>275</v>
      </c>
      <c r="I237" t="s">
        <v>53</v>
      </c>
      <c r="J237">
        <v>81</v>
      </c>
      <c r="K237">
        <f>81-50-5532-8064</f>
        <v>-13565</v>
      </c>
      <c r="L237" t="s">
        <v>758</v>
      </c>
      <c r="M237" t="s">
        <v>759</v>
      </c>
      <c r="N237" t="s">
        <v>278</v>
      </c>
      <c r="O237" t="s">
        <v>134</v>
      </c>
      <c r="P237" t="s">
        <v>29</v>
      </c>
      <c r="Q237">
        <v>42</v>
      </c>
      <c r="R237">
        <v>-93.620800000000003</v>
      </c>
    </row>
    <row r="238" spans="1:18" x14ac:dyDescent="0.2">
      <c r="A238" t="s">
        <v>270</v>
      </c>
      <c r="B238" t="s">
        <v>271</v>
      </c>
      <c r="C238">
        <v>1</v>
      </c>
      <c r="D238" s="1">
        <v>44063.927187499998</v>
      </c>
      <c r="E238" t="s">
        <v>760</v>
      </c>
      <c r="F238" t="s">
        <v>273</v>
      </c>
      <c r="G238" t="s">
        <v>685</v>
      </c>
      <c r="H238" t="s">
        <v>275</v>
      </c>
      <c r="I238" t="s">
        <v>29</v>
      </c>
      <c r="J238">
        <v>1</v>
      </c>
      <c r="K238">
        <f>1-844-482-2933</f>
        <v>-4258</v>
      </c>
      <c r="L238" t="s">
        <v>761</v>
      </c>
      <c r="M238" t="s">
        <v>762</v>
      </c>
      <c r="N238" t="s">
        <v>278</v>
      </c>
      <c r="O238" t="s">
        <v>28</v>
      </c>
      <c r="P238" t="s">
        <v>29</v>
      </c>
      <c r="Q238">
        <v>42</v>
      </c>
      <c r="R238">
        <v>-93.620800000000003</v>
      </c>
    </row>
    <row r="239" spans="1:18" x14ac:dyDescent="0.2">
      <c r="A239" t="s">
        <v>270</v>
      </c>
      <c r="B239" t="s">
        <v>271</v>
      </c>
      <c r="C239">
        <v>1</v>
      </c>
      <c r="D239" s="1">
        <v>44063.859236111108</v>
      </c>
      <c r="E239" t="s">
        <v>763</v>
      </c>
      <c r="F239" t="s">
        <v>273</v>
      </c>
      <c r="G239" t="s">
        <v>685</v>
      </c>
      <c r="H239" t="s">
        <v>275</v>
      </c>
      <c r="I239" t="s">
        <v>29</v>
      </c>
      <c r="J239">
        <v>1</v>
      </c>
      <c r="K239">
        <f>1-888-521-2502</f>
        <v>-3910</v>
      </c>
      <c r="L239" t="s">
        <v>764</v>
      </c>
      <c r="M239" t="s">
        <v>765</v>
      </c>
      <c r="N239" t="s">
        <v>278</v>
      </c>
      <c r="O239" t="s">
        <v>134</v>
      </c>
      <c r="P239" t="s">
        <v>29</v>
      </c>
      <c r="Q239">
        <v>42</v>
      </c>
      <c r="R239">
        <v>-93.620800000000003</v>
      </c>
    </row>
    <row r="240" spans="1:18" x14ac:dyDescent="0.2">
      <c r="A240" t="s">
        <v>270</v>
      </c>
      <c r="B240" t="s">
        <v>271</v>
      </c>
      <c r="C240">
        <v>1</v>
      </c>
      <c r="D240" s="1">
        <v>44053.718935185185</v>
      </c>
      <c r="E240" t="s">
        <v>766</v>
      </c>
      <c r="F240" t="s">
        <v>273</v>
      </c>
      <c r="G240" t="s">
        <v>685</v>
      </c>
      <c r="H240" t="s">
        <v>275</v>
      </c>
      <c r="I240" t="s">
        <v>29</v>
      </c>
      <c r="J240">
        <v>1</v>
      </c>
      <c r="K240">
        <f>1-888-525-1127</f>
        <v>-2539</v>
      </c>
      <c r="L240" t="s">
        <v>767</v>
      </c>
      <c r="M240" t="s">
        <v>768</v>
      </c>
      <c r="N240" t="s">
        <v>278</v>
      </c>
      <c r="O240" t="s">
        <v>134</v>
      </c>
      <c r="P240" t="s">
        <v>29</v>
      </c>
      <c r="Q240">
        <v>42</v>
      </c>
      <c r="R240">
        <v>-93.620800000000003</v>
      </c>
    </row>
    <row r="241" spans="1:18" x14ac:dyDescent="0.2">
      <c r="A241" t="s">
        <v>270</v>
      </c>
      <c r="B241" t="s">
        <v>271</v>
      </c>
      <c r="C241">
        <v>1</v>
      </c>
      <c r="D241" s="1">
        <v>44053.714074074072</v>
      </c>
      <c r="E241" t="s">
        <v>769</v>
      </c>
      <c r="F241" t="s">
        <v>273</v>
      </c>
      <c r="G241" t="s">
        <v>685</v>
      </c>
      <c r="H241" t="s">
        <v>275</v>
      </c>
      <c r="I241" t="s">
        <v>29</v>
      </c>
      <c r="J241">
        <v>1</v>
      </c>
      <c r="K241">
        <f>1-866-702-3639</f>
        <v>-5206</v>
      </c>
      <c r="L241" t="s">
        <v>770</v>
      </c>
      <c r="M241" t="s">
        <v>771</v>
      </c>
      <c r="N241" t="s">
        <v>278</v>
      </c>
      <c r="O241" t="s">
        <v>134</v>
      </c>
      <c r="P241" t="s">
        <v>29</v>
      </c>
      <c r="Q241">
        <v>42</v>
      </c>
      <c r="R241">
        <v>-93.620800000000003</v>
      </c>
    </row>
    <row r="242" spans="1:18" x14ac:dyDescent="0.2">
      <c r="A242" t="s">
        <v>270</v>
      </c>
      <c r="B242" t="s">
        <v>271</v>
      </c>
      <c r="C242">
        <v>1</v>
      </c>
      <c r="D242" s="1">
        <v>44053.321238425924</v>
      </c>
      <c r="E242" t="s">
        <v>772</v>
      </c>
      <c r="F242" t="s">
        <v>273</v>
      </c>
      <c r="G242" t="s">
        <v>685</v>
      </c>
      <c r="H242" t="s">
        <v>275</v>
      </c>
      <c r="I242" t="s">
        <v>29</v>
      </c>
      <c r="J242">
        <v>1</v>
      </c>
      <c r="K242">
        <f>1-866-702-3639</f>
        <v>-5206</v>
      </c>
      <c r="L242" t="s">
        <v>773</v>
      </c>
      <c r="M242" t="s">
        <v>774</v>
      </c>
      <c r="N242" t="s">
        <v>278</v>
      </c>
      <c r="O242" t="s">
        <v>134</v>
      </c>
      <c r="P242" t="s">
        <v>29</v>
      </c>
      <c r="Q242">
        <v>42</v>
      </c>
      <c r="R242">
        <v>-93.620800000000003</v>
      </c>
    </row>
    <row r="243" spans="1:18" x14ac:dyDescent="0.2">
      <c r="A243" t="s">
        <v>270</v>
      </c>
      <c r="B243" t="s">
        <v>271</v>
      </c>
      <c r="C243">
        <v>1</v>
      </c>
      <c r="D243" s="1">
        <v>44046.638182870367</v>
      </c>
      <c r="E243" t="s">
        <v>775</v>
      </c>
      <c r="F243" t="s">
        <v>273</v>
      </c>
      <c r="G243" t="s">
        <v>685</v>
      </c>
      <c r="H243" t="s">
        <v>275</v>
      </c>
      <c r="I243" t="s">
        <v>29</v>
      </c>
      <c r="J243">
        <v>1</v>
      </c>
      <c r="K243">
        <f>1-800-974-4062</f>
        <v>-5835</v>
      </c>
      <c r="L243" t="s">
        <v>776</v>
      </c>
      <c r="M243" t="s">
        <v>777</v>
      </c>
      <c r="N243" t="s">
        <v>278</v>
      </c>
      <c r="O243" t="s">
        <v>134</v>
      </c>
      <c r="P243" t="s">
        <v>29</v>
      </c>
      <c r="Q243">
        <v>42</v>
      </c>
      <c r="R243">
        <v>-93.620800000000003</v>
      </c>
    </row>
    <row r="244" spans="1:18" x14ac:dyDescent="0.2">
      <c r="A244" t="s">
        <v>270</v>
      </c>
      <c r="B244" t="s">
        <v>271</v>
      </c>
      <c r="C244">
        <v>1</v>
      </c>
      <c r="D244" s="1">
        <v>44043.355208333334</v>
      </c>
      <c r="E244" t="s">
        <v>778</v>
      </c>
      <c r="F244" t="s">
        <v>273</v>
      </c>
      <c r="G244" t="s">
        <v>685</v>
      </c>
      <c r="H244" t="s">
        <v>275</v>
      </c>
      <c r="I244" t="s">
        <v>29</v>
      </c>
      <c r="J244">
        <v>1</v>
      </c>
      <c r="K244">
        <f>1-888-530-6994</f>
        <v>-8411</v>
      </c>
      <c r="L244" t="s">
        <v>779</v>
      </c>
      <c r="M244" t="s">
        <v>780</v>
      </c>
      <c r="N244" t="s">
        <v>278</v>
      </c>
      <c r="O244" t="s">
        <v>134</v>
      </c>
      <c r="P244" t="s">
        <v>29</v>
      </c>
      <c r="Q244">
        <v>42</v>
      </c>
      <c r="R244">
        <v>-93.620800000000003</v>
      </c>
    </row>
    <row r="245" spans="1:18" x14ac:dyDescent="0.2">
      <c r="A245" t="s">
        <v>270</v>
      </c>
      <c r="B245" t="s">
        <v>271</v>
      </c>
      <c r="C245">
        <v>61</v>
      </c>
      <c r="D245" s="1">
        <v>43985.369895833333</v>
      </c>
      <c r="E245" t="s">
        <v>781</v>
      </c>
      <c r="F245" t="s">
        <v>273</v>
      </c>
      <c r="G245" t="s">
        <v>685</v>
      </c>
      <c r="H245" t="s">
        <v>275</v>
      </c>
      <c r="I245" t="s">
        <v>782</v>
      </c>
      <c r="J245">
        <v>61</v>
      </c>
      <c r="K245" t="s">
        <v>783</v>
      </c>
      <c r="L245" t="s">
        <v>784</v>
      </c>
      <c r="M245" t="s">
        <v>785</v>
      </c>
      <c r="N245" t="s">
        <v>278</v>
      </c>
      <c r="O245" t="s">
        <v>28</v>
      </c>
      <c r="P245" t="s">
        <v>29</v>
      </c>
      <c r="Q245">
        <v>42</v>
      </c>
      <c r="R245">
        <v>-93.620800000000003</v>
      </c>
    </row>
    <row r="246" spans="1:18" x14ac:dyDescent="0.2">
      <c r="A246" t="s">
        <v>270</v>
      </c>
      <c r="B246" t="s">
        <v>271</v>
      </c>
      <c r="C246">
        <v>1</v>
      </c>
      <c r="D246" s="1">
        <v>43979.871331018519</v>
      </c>
      <c r="E246" t="s">
        <v>786</v>
      </c>
      <c r="F246" t="s">
        <v>273</v>
      </c>
      <c r="G246" t="s">
        <v>685</v>
      </c>
      <c r="H246" t="s">
        <v>275</v>
      </c>
      <c r="I246" t="s">
        <v>29</v>
      </c>
      <c r="J246">
        <v>1</v>
      </c>
      <c r="K246">
        <f>1-844-295-3372</f>
        <v>-4510</v>
      </c>
      <c r="L246" t="s">
        <v>787</v>
      </c>
      <c r="M246" t="s">
        <v>788</v>
      </c>
      <c r="N246" t="s">
        <v>278</v>
      </c>
      <c r="O246" t="s">
        <v>28</v>
      </c>
      <c r="P246" t="s">
        <v>29</v>
      </c>
      <c r="Q246">
        <v>42</v>
      </c>
      <c r="R246">
        <v>-93.620800000000003</v>
      </c>
    </row>
    <row r="247" spans="1:18" x14ac:dyDescent="0.2">
      <c r="A247" t="s">
        <v>270</v>
      </c>
      <c r="B247" t="s">
        <v>271</v>
      </c>
      <c r="C247">
        <v>1</v>
      </c>
      <c r="D247" s="1">
        <v>43972.934629629628</v>
      </c>
      <c r="E247" t="s">
        <v>789</v>
      </c>
      <c r="F247" t="s">
        <v>273</v>
      </c>
      <c r="G247" t="s">
        <v>685</v>
      </c>
      <c r="H247" t="s">
        <v>275</v>
      </c>
      <c r="I247" t="s">
        <v>29</v>
      </c>
      <c r="J247">
        <v>1</v>
      </c>
      <c r="K247">
        <f>1-888-822-4359</f>
        <v>-6068</v>
      </c>
      <c r="L247" t="s">
        <v>790</v>
      </c>
      <c r="M247" t="s">
        <v>791</v>
      </c>
      <c r="N247" t="s">
        <v>278</v>
      </c>
      <c r="O247" t="s">
        <v>134</v>
      </c>
      <c r="P247" t="s">
        <v>29</v>
      </c>
      <c r="Q247">
        <v>42</v>
      </c>
      <c r="R247">
        <v>-93.620800000000003</v>
      </c>
    </row>
    <row r="248" spans="1:18" x14ac:dyDescent="0.2">
      <c r="A248" t="s">
        <v>270</v>
      </c>
      <c r="B248" t="s">
        <v>271</v>
      </c>
      <c r="C248">
        <v>1</v>
      </c>
      <c r="D248" s="1">
        <v>44096.367951388886</v>
      </c>
      <c r="E248" t="s">
        <v>792</v>
      </c>
      <c r="F248" t="s">
        <v>273</v>
      </c>
      <c r="G248" t="s">
        <v>793</v>
      </c>
      <c r="H248" t="s">
        <v>275</v>
      </c>
      <c r="I248" t="s">
        <v>29</v>
      </c>
      <c r="J248">
        <v>1</v>
      </c>
      <c r="K248">
        <f>1-844-305-9953</f>
        <v>-11101</v>
      </c>
      <c r="L248" t="s">
        <v>794</v>
      </c>
      <c r="M248" t="s">
        <v>795</v>
      </c>
      <c r="N248" t="s">
        <v>278</v>
      </c>
      <c r="O248" t="s">
        <v>28</v>
      </c>
      <c r="P248" t="s">
        <v>29</v>
      </c>
      <c r="Q248">
        <v>42</v>
      </c>
      <c r="R248">
        <v>-93.620800000000003</v>
      </c>
    </row>
    <row r="249" spans="1:18" x14ac:dyDescent="0.2">
      <c r="A249" t="s">
        <v>270</v>
      </c>
      <c r="B249" t="s">
        <v>271</v>
      </c>
      <c r="C249">
        <v>1</v>
      </c>
      <c r="D249" s="1">
        <v>44096.366597222222</v>
      </c>
      <c r="E249" t="s">
        <v>796</v>
      </c>
      <c r="F249" t="s">
        <v>273</v>
      </c>
      <c r="G249" t="s">
        <v>793</v>
      </c>
      <c r="H249" t="s">
        <v>275</v>
      </c>
      <c r="I249" t="s">
        <v>29</v>
      </c>
      <c r="J249">
        <v>1</v>
      </c>
      <c r="K249">
        <f>1-844-309-2655</f>
        <v>-3807</v>
      </c>
      <c r="L249" t="s">
        <v>797</v>
      </c>
      <c r="M249" t="s">
        <v>798</v>
      </c>
      <c r="N249" t="s">
        <v>278</v>
      </c>
      <c r="O249" t="s">
        <v>28</v>
      </c>
      <c r="P249" t="s">
        <v>29</v>
      </c>
      <c r="Q249">
        <v>42</v>
      </c>
      <c r="R249">
        <v>-93.620800000000003</v>
      </c>
    </row>
    <row r="250" spans="1:18" x14ac:dyDescent="0.2">
      <c r="A250" t="s">
        <v>270</v>
      </c>
      <c r="B250" t="s">
        <v>271</v>
      </c>
      <c r="C250">
        <v>1</v>
      </c>
      <c r="D250" s="1">
        <v>44090.993437500001</v>
      </c>
      <c r="E250" t="s">
        <v>799</v>
      </c>
      <c r="F250" t="s">
        <v>273</v>
      </c>
      <c r="G250" t="s">
        <v>793</v>
      </c>
      <c r="H250" t="s">
        <v>275</v>
      </c>
      <c r="I250" t="s">
        <v>29</v>
      </c>
      <c r="J250">
        <v>1</v>
      </c>
      <c r="K250">
        <f>1-844-242-3148</f>
        <v>-4233</v>
      </c>
      <c r="L250" t="s">
        <v>800</v>
      </c>
      <c r="M250" t="s">
        <v>801</v>
      </c>
      <c r="N250" t="s">
        <v>278</v>
      </c>
      <c r="O250" t="s">
        <v>28</v>
      </c>
      <c r="P250" t="s">
        <v>29</v>
      </c>
      <c r="Q250">
        <v>42</v>
      </c>
      <c r="R250">
        <v>-93.620800000000003</v>
      </c>
    </row>
    <row r="251" spans="1:18" x14ac:dyDescent="0.2">
      <c r="A251" t="s">
        <v>270</v>
      </c>
      <c r="B251" t="s">
        <v>271</v>
      </c>
      <c r="C251">
        <v>1</v>
      </c>
      <c r="D251" s="1">
        <v>44090.416192129633</v>
      </c>
      <c r="E251" t="s">
        <v>802</v>
      </c>
      <c r="F251" t="s">
        <v>273</v>
      </c>
      <c r="G251" t="s">
        <v>793</v>
      </c>
      <c r="H251" t="s">
        <v>275</v>
      </c>
      <c r="I251" t="s">
        <v>29</v>
      </c>
      <c r="J251">
        <v>1</v>
      </c>
      <c r="K251">
        <f>1-844-254-8317</f>
        <v>-9414</v>
      </c>
      <c r="L251" t="s">
        <v>803</v>
      </c>
      <c r="M251" t="s">
        <v>804</v>
      </c>
      <c r="N251" t="s">
        <v>278</v>
      </c>
      <c r="O251" t="s">
        <v>28</v>
      </c>
      <c r="P251" t="s">
        <v>29</v>
      </c>
      <c r="Q251">
        <v>42</v>
      </c>
      <c r="R251">
        <v>-93.620800000000003</v>
      </c>
    </row>
    <row r="252" spans="1:18" x14ac:dyDescent="0.2">
      <c r="A252" t="s">
        <v>270</v>
      </c>
      <c r="B252" t="s">
        <v>271</v>
      </c>
      <c r="C252">
        <v>1</v>
      </c>
      <c r="D252" s="1">
        <v>44089.756701388891</v>
      </c>
      <c r="E252" t="s">
        <v>805</v>
      </c>
      <c r="F252" t="s">
        <v>273</v>
      </c>
      <c r="G252" t="s">
        <v>793</v>
      </c>
      <c r="H252" t="s">
        <v>275</v>
      </c>
      <c r="I252" t="s">
        <v>29</v>
      </c>
      <c r="J252">
        <v>1</v>
      </c>
      <c r="K252">
        <f>1-844-218-3888</f>
        <v>-4949</v>
      </c>
      <c r="L252" t="s">
        <v>806</v>
      </c>
      <c r="M252" t="s">
        <v>807</v>
      </c>
      <c r="N252" t="s">
        <v>278</v>
      </c>
      <c r="O252" t="s">
        <v>28</v>
      </c>
      <c r="P252" t="s">
        <v>29</v>
      </c>
      <c r="Q252">
        <v>42</v>
      </c>
      <c r="R252">
        <v>-93.620800000000003</v>
      </c>
    </row>
    <row r="253" spans="1:18" x14ac:dyDescent="0.2">
      <c r="A253" t="s">
        <v>270</v>
      </c>
      <c r="B253" t="s">
        <v>271</v>
      </c>
      <c r="C253">
        <v>1</v>
      </c>
      <c r="D253" s="1">
        <v>44084.783055555556</v>
      </c>
      <c r="E253" t="s">
        <v>808</v>
      </c>
      <c r="F253" t="s">
        <v>273</v>
      </c>
      <c r="G253" t="s">
        <v>793</v>
      </c>
      <c r="H253" t="s">
        <v>275</v>
      </c>
      <c r="I253" t="s">
        <v>29</v>
      </c>
      <c r="J253">
        <v>1</v>
      </c>
      <c r="K253">
        <f>1-888-608-5109</f>
        <v>-6604</v>
      </c>
      <c r="L253" t="s">
        <v>809</v>
      </c>
      <c r="M253" t="s">
        <v>810</v>
      </c>
      <c r="N253" t="s">
        <v>278</v>
      </c>
      <c r="O253" t="s">
        <v>28</v>
      </c>
      <c r="P253" t="s">
        <v>29</v>
      </c>
      <c r="Q253">
        <v>42</v>
      </c>
      <c r="R253">
        <v>-93.620800000000003</v>
      </c>
    </row>
    <row r="254" spans="1:18" x14ac:dyDescent="0.2">
      <c r="A254" t="s">
        <v>270</v>
      </c>
      <c r="B254" t="s">
        <v>271</v>
      </c>
      <c r="C254">
        <v>1</v>
      </c>
      <c r="D254" s="1">
        <v>44083.920613425929</v>
      </c>
      <c r="E254" t="s">
        <v>811</v>
      </c>
      <c r="F254" t="s">
        <v>273</v>
      </c>
      <c r="G254" t="s">
        <v>793</v>
      </c>
      <c r="H254" t="s">
        <v>275</v>
      </c>
      <c r="I254" t="s">
        <v>29</v>
      </c>
      <c r="J254">
        <v>1</v>
      </c>
      <c r="K254">
        <f>1-888-585-4129</f>
        <v>-5601</v>
      </c>
      <c r="L254" t="s">
        <v>812</v>
      </c>
      <c r="M254" t="s">
        <v>813</v>
      </c>
      <c r="N254" t="s">
        <v>278</v>
      </c>
      <c r="O254" t="s">
        <v>28</v>
      </c>
      <c r="P254" t="s">
        <v>29</v>
      </c>
      <c r="Q254">
        <v>42</v>
      </c>
      <c r="R254">
        <v>-93.620800000000003</v>
      </c>
    </row>
    <row r="255" spans="1:18" x14ac:dyDescent="0.2">
      <c r="A255" t="s">
        <v>270</v>
      </c>
      <c r="B255" t="s">
        <v>271</v>
      </c>
      <c r="C255">
        <v>1</v>
      </c>
      <c r="D255" s="1">
        <v>44073.942511574074</v>
      </c>
      <c r="E255" t="s">
        <v>814</v>
      </c>
      <c r="F255" t="s">
        <v>273</v>
      </c>
      <c r="G255" t="s">
        <v>793</v>
      </c>
      <c r="H255" t="s">
        <v>275</v>
      </c>
      <c r="I255" t="s">
        <v>29</v>
      </c>
      <c r="J255">
        <v>1</v>
      </c>
      <c r="K255">
        <f>1-888-851-705</f>
        <v>-2443</v>
      </c>
      <c r="L255" t="s">
        <v>815</v>
      </c>
      <c r="M255" t="s">
        <v>816</v>
      </c>
      <c r="N255" t="s">
        <v>278</v>
      </c>
      <c r="O255" t="s">
        <v>134</v>
      </c>
      <c r="P255" t="s">
        <v>29</v>
      </c>
      <c r="Q255">
        <v>42</v>
      </c>
      <c r="R255">
        <v>-93.620800000000003</v>
      </c>
    </row>
    <row r="256" spans="1:18" x14ac:dyDescent="0.2">
      <c r="A256" t="s">
        <v>270</v>
      </c>
      <c r="B256" t="s">
        <v>271</v>
      </c>
      <c r="C256">
        <v>1</v>
      </c>
      <c r="D256" s="1">
        <v>44073.027106481481</v>
      </c>
      <c r="E256" t="s">
        <v>817</v>
      </c>
      <c r="F256" t="s">
        <v>273</v>
      </c>
      <c r="G256" t="s">
        <v>793</v>
      </c>
      <c r="H256" t="s">
        <v>275</v>
      </c>
      <c r="I256" t="s">
        <v>29</v>
      </c>
      <c r="J256">
        <v>1</v>
      </c>
      <c r="K256">
        <f>1-888-909-1336</f>
        <v>-3132</v>
      </c>
      <c r="L256" t="s">
        <v>818</v>
      </c>
      <c r="M256" t="s">
        <v>819</v>
      </c>
      <c r="N256" t="s">
        <v>278</v>
      </c>
      <c r="O256" t="s">
        <v>134</v>
      </c>
      <c r="P256" t="s">
        <v>29</v>
      </c>
      <c r="Q256">
        <v>42</v>
      </c>
      <c r="R256">
        <v>-93.620800000000003</v>
      </c>
    </row>
    <row r="257" spans="1:18" x14ac:dyDescent="0.2">
      <c r="A257" t="s">
        <v>270</v>
      </c>
      <c r="B257" t="s">
        <v>271</v>
      </c>
      <c r="C257">
        <v>1</v>
      </c>
      <c r="D257" s="1">
        <v>44073.026828703703</v>
      </c>
      <c r="E257" t="s">
        <v>820</v>
      </c>
      <c r="F257" t="s">
        <v>273</v>
      </c>
      <c r="G257" t="s">
        <v>793</v>
      </c>
      <c r="H257" t="s">
        <v>275</v>
      </c>
      <c r="I257" t="s">
        <v>29</v>
      </c>
      <c r="J257">
        <v>1</v>
      </c>
      <c r="K257">
        <f>1-888-909-1336</f>
        <v>-3132</v>
      </c>
      <c r="L257" t="s">
        <v>821</v>
      </c>
      <c r="M257" t="s">
        <v>822</v>
      </c>
      <c r="N257" t="s">
        <v>278</v>
      </c>
      <c r="O257" t="s">
        <v>134</v>
      </c>
      <c r="P257" t="s">
        <v>29</v>
      </c>
      <c r="Q257">
        <v>42</v>
      </c>
      <c r="R257">
        <v>-93.620800000000003</v>
      </c>
    </row>
    <row r="258" spans="1:18" x14ac:dyDescent="0.2">
      <c r="A258" t="s">
        <v>270</v>
      </c>
      <c r="B258" t="s">
        <v>271</v>
      </c>
      <c r="C258">
        <v>1</v>
      </c>
      <c r="D258" s="1">
        <v>44071.973553240743</v>
      </c>
      <c r="E258" t="s">
        <v>823</v>
      </c>
      <c r="F258" t="s">
        <v>273</v>
      </c>
      <c r="G258" t="s">
        <v>793</v>
      </c>
      <c r="H258" t="s">
        <v>275</v>
      </c>
      <c r="I258" t="s">
        <v>29</v>
      </c>
      <c r="J258">
        <v>1</v>
      </c>
      <c r="K258">
        <f>1-888-909-1270</f>
        <v>-3066</v>
      </c>
      <c r="L258" t="s">
        <v>824</v>
      </c>
      <c r="M258" t="s">
        <v>825</v>
      </c>
      <c r="N258" t="s">
        <v>278</v>
      </c>
      <c r="O258" t="s">
        <v>134</v>
      </c>
      <c r="P258" t="s">
        <v>29</v>
      </c>
      <c r="Q258">
        <v>42</v>
      </c>
      <c r="R258">
        <v>-93.620800000000003</v>
      </c>
    </row>
    <row r="259" spans="1:18" x14ac:dyDescent="0.2">
      <c r="A259" t="s">
        <v>270</v>
      </c>
      <c r="B259" t="s">
        <v>271</v>
      </c>
      <c r="C259">
        <v>1</v>
      </c>
      <c r="D259" s="1">
        <v>44068.188981481479</v>
      </c>
      <c r="E259" t="s">
        <v>826</v>
      </c>
      <c r="F259" t="s">
        <v>273</v>
      </c>
      <c r="G259" t="s">
        <v>793</v>
      </c>
      <c r="H259" t="s">
        <v>275</v>
      </c>
      <c r="I259" t="s">
        <v>29</v>
      </c>
      <c r="J259">
        <v>1</v>
      </c>
      <c r="K259">
        <f>1-888-535-4744</f>
        <v>-6166</v>
      </c>
      <c r="L259" t="s">
        <v>827</v>
      </c>
      <c r="M259" t="s">
        <v>828</v>
      </c>
      <c r="N259" t="s">
        <v>278</v>
      </c>
      <c r="O259" t="s">
        <v>134</v>
      </c>
      <c r="P259" t="s">
        <v>29</v>
      </c>
      <c r="Q259">
        <v>42</v>
      </c>
      <c r="R259">
        <v>-93.620800000000003</v>
      </c>
    </row>
    <row r="260" spans="1:18" x14ac:dyDescent="0.2">
      <c r="A260" t="s">
        <v>270</v>
      </c>
      <c r="B260" t="s">
        <v>271</v>
      </c>
      <c r="C260">
        <v>1</v>
      </c>
      <c r="D260" s="1">
        <v>44068.048229166663</v>
      </c>
      <c r="E260" t="s">
        <v>829</v>
      </c>
      <c r="F260" t="s">
        <v>273</v>
      </c>
      <c r="G260" t="s">
        <v>793</v>
      </c>
      <c r="H260" t="s">
        <v>275</v>
      </c>
      <c r="I260" t="s">
        <v>29</v>
      </c>
      <c r="J260">
        <v>1</v>
      </c>
      <c r="K260">
        <f>1-888-534-8036</f>
        <v>-9457</v>
      </c>
      <c r="L260" t="s">
        <v>830</v>
      </c>
      <c r="M260" t="s">
        <v>831</v>
      </c>
      <c r="N260" t="s">
        <v>278</v>
      </c>
      <c r="O260" t="s">
        <v>28</v>
      </c>
      <c r="P260" t="s">
        <v>29</v>
      </c>
      <c r="Q260">
        <v>42</v>
      </c>
      <c r="R260">
        <v>-93.620800000000003</v>
      </c>
    </row>
    <row r="261" spans="1:18" x14ac:dyDescent="0.2">
      <c r="A261" t="s">
        <v>270</v>
      </c>
      <c r="B261" t="s">
        <v>271</v>
      </c>
      <c r="C261">
        <v>1</v>
      </c>
      <c r="D261" s="1">
        <v>44060.991956018515</v>
      </c>
      <c r="E261" t="s">
        <v>832</v>
      </c>
      <c r="F261" t="s">
        <v>273</v>
      </c>
      <c r="G261" t="s">
        <v>793</v>
      </c>
      <c r="H261" t="s">
        <v>275</v>
      </c>
      <c r="I261" t="s">
        <v>29</v>
      </c>
      <c r="J261">
        <v>1</v>
      </c>
      <c r="K261">
        <f>1-888-312-1365</f>
        <v>-2564</v>
      </c>
      <c r="L261" t="s">
        <v>833</v>
      </c>
      <c r="M261" t="s">
        <v>834</v>
      </c>
      <c r="N261" t="s">
        <v>278</v>
      </c>
      <c r="O261" t="s">
        <v>28</v>
      </c>
      <c r="P261" t="s">
        <v>29</v>
      </c>
      <c r="Q261">
        <v>42</v>
      </c>
      <c r="R261">
        <v>-93.620800000000003</v>
      </c>
    </row>
    <row r="262" spans="1:18" x14ac:dyDescent="0.2">
      <c r="A262" t="s">
        <v>270</v>
      </c>
      <c r="B262" t="s">
        <v>271</v>
      </c>
      <c r="C262">
        <v>1</v>
      </c>
      <c r="D262" s="1">
        <v>44060.87835648148</v>
      </c>
      <c r="E262" t="s">
        <v>835</v>
      </c>
      <c r="F262" t="s">
        <v>273</v>
      </c>
      <c r="G262" t="s">
        <v>793</v>
      </c>
      <c r="H262" t="s">
        <v>275</v>
      </c>
      <c r="I262" t="s">
        <v>29</v>
      </c>
      <c r="J262">
        <v>1</v>
      </c>
      <c r="K262">
        <f>1-888-708-1145</f>
        <v>-2740</v>
      </c>
      <c r="L262" t="s">
        <v>836</v>
      </c>
      <c r="M262" t="s">
        <v>837</v>
      </c>
      <c r="N262" t="s">
        <v>278</v>
      </c>
      <c r="O262" t="s">
        <v>28</v>
      </c>
      <c r="P262" t="s">
        <v>29</v>
      </c>
      <c r="Q262">
        <v>42</v>
      </c>
      <c r="R262">
        <v>-93.620800000000003</v>
      </c>
    </row>
    <row r="263" spans="1:18" x14ac:dyDescent="0.2">
      <c r="A263" t="s">
        <v>270</v>
      </c>
      <c r="B263" t="s">
        <v>271</v>
      </c>
      <c r="C263">
        <v>33</v>
      </c>
      <c r="D263" s="1">
        <v>44059.785868055558</v>
      </c>
      <c r="E263" t="s">
        <v>838</v>
      </c>
      <c r="F263" t="s">
        <v>273</v>
      </c>
      <c r="G263" t="s">
        <v>793</v>
      </c>
      <c r="H263" t="s">
        <v>275</v>
      </c>
      <c r="I263" t="s">
        <v>292</v>
      </c>
      <c r="J263">
        <v>33</v>
      </c>
      <c r="K263">
        <f>33-7-55-53-87-14</f>
        <v>-183</v>
      </c>
      <c r="L263" t="s">
        <v>839</v>
      </c>
      <c r="M263" t="s">
        <v>840</v>
      </c>
      <c r="N263" t="s">
        <v>278</v>
      </c>
      <c r="O263" t="s">
        <v>134</v>
      </c>
      <c r="P263" t="s">
        <v>29</v>
      </c>
      <c r="Q263">
        <v>42</v>
      </c>
      <c r="R263">
        <v>-93.620800000000003</v>
      </c>
    </row>
    <row r="264" spans="1:18" x14ac:dyDescent="0.2">
      <c r="A264" t="s">
        <v>270</v>
      </c>
      <c r="B264" t="s">
        <v>271</v>
      </c>
      <c r="C264">
        <v>1</v>
      </c>
      <c r="D264" s="1">
        <v>44059.785370370373</v>
      </c>
      <c r="E264" t="s">
        <v>841</v>
      </c>
      <c r="F264" t="s">
        <v>273</v>
      </c>
      <c r="G264" t="s">
        <v>793</v>
      </c>
      <c r="H264" t="s">
        <v>275</v>
      </c>
      <c r="I264" t="s">
        <v>29</v>
      </c>
      <c r="J264">
        <v>1</v>
      </c>
      <c r="K264">
        <f>1-888-708-1145</f>
        <v>-2740</v>
      </c>
      <c r="L264" t="s">
        <v>842</v>
      </c>
      <c r="M264" t="s">
        <v>843</v>
      </c>
      <c r="N264" t="s">
        <v>278</v>
      </c>
      <c r="O264" t="s">
        <v>134</v>
      </c>
      <c r="P264" t="s">
        <v>29</v>
      </c>
      <c r="Q264">
        <v>42</v>
      </c>
      <c r="R264">
        <v>-93.620800000000003</v>
      </c>
    </row>
    <row r="265" spans="1:18" x14ac:dyDescent="0.2">
      <c r="A265" t="s">
        <v>270</v>
      </c>
      <c r="B265" t="s">
        <v>271</v>
      </c>
      <c r="C265">
        <v>1</v>
      </c>
      <c r="D265" s="1">
        <v>44059.785011574073</v>
      </c>
      <c r="E265" t="s">
        <v>844</v>
      </c>
      <c r="F265" t="s">
        <v>273</v>
      </c>
      <c r="G265" t="s">
        <v>793</v>
      </c>
      <c r="H265" t="s">
        <v>275</v>
      </c>
      <c r="I265" t="s">
        <v>29</v>
      </c>
      <c r="J265">
        <v>1</v>
      </c>
      <c r="K265">
        <f>1-888-708-1145</f>
        <v>-2740</v>
      </c>
      <c r="L265" t="s">
        <v>845</v>
      </c>
      <c r="M265" t="s">
        <v>846</v>
      </c>
      <c r="N265" t="s">
        <v>278</v>
      </c>
      <c r="O265" t="s">
        <v>134</v>
      </c>
      <c r="P265" t="s">
        <v>29</v>
      </c>
      <c r="Q265">
        <v>42</v>
      </c>
      <c r="R265">
        <v>-93.620800000000003</v>
      </c>
    </row>
    <row r="266" spans="1:18" x14ac:dyDescent="0.2">
      <c r="A266" t="s">
        <v>270</v>
      </c>
      <c r="B266" t="s">
        <v>271</v>
      </c>
      <c r="C266">
        <v>33</v>
      </c>
      <c r="D266" s="1">
        <v>44059.784537037034</v>
      </c>
      <c r="E266" t="s">
        <v>847</v>
      </c>
      <c r="F266" t="s">
        <v>273</v>
      </c>
      <c r="G266" t="s">
        <v>793</v>
      </c>
      <c r="H266" t="s">
        <v>275</v>
      </c>
      <c r="I266" t="s">
        <v>292</v>
      </c>
      <c r="J266">
        <v>33</v>
      </c>
      <c r="K266">
        <f>33-7-55-53-87-14</f>
        <v>-183</v>
      </c>
      <c r="L266" t="s">
        <v>848</v>
      </c>
      <c r="M266" t="s">
        <v>849</v>
      </c>
      <c r="N266" t="s">
        <v>278</v>
      </c>
      <c r="O266" t="s">
        <v>134</v>
      </c>
      <c r="P266" t="s">
        <v>29</v>
      </c>
      <c r="Q266">
        <v>42</v>
      </c>
      <c r="R266">
        <v>-93.620800000000003</v>
      </c>
    </row>
    <row r="267" spans="1:18" x14ac:dyDescent="0.2">
      <c r="A267" t="s">
        <v>270</v>
      </c>
      <c r="B267" t="s">
        <v>271</v>
      </c>
      <c r="C267">
        <v>1</v>
      </c>
      <c r="D267" s="1">
        <v>44059.783935185187</v>
      </c>
      <c r="E267" t="s">
        <v>850</v>
      </c>
      <c r="F267" t="s">
        <v>273</v>
      </c>
      <c r="G267" t="s">
        <v>793</v>
      </c>
      <c r="H267" t="s">
        <v>275</v>
      </c>
      <c r="I267" t="s">
        <v>29</v>
      </c>
      <c r="J267">
        <v>1</v>
      </c>
      <c r="K267">
        <f>1-888-708-1145</f>
        <v>-2740</v>
      </c>
      <c r="L267" t="s">
        <v>851</v>
      </c>
      <c r="M267" t="s">
        <v>852</v>
      </c>
      <c r="N267" t="s">
        <v>278</v>
      </c>
      <c r="O267" t="s">
        <v>134</v>
      </c>
      <c r="P267" t="s">
        <v>29</v>
      </c>
      <c r="Q267">
        <v>42</v>
      </c>
      <c r="R267">
        <v>-93.620800000000003</v>
      </c>
    </row>
    <row r="268" spans="1:18" x14ac:dyDescent="0.2">
      <c r="A268" t="s">
        <v>270</v>
      </c>
      <c r="B268" t="s">
        <v>271</v>
      </c>
      <c r="C268">
        <v>33</v>
      </c>
      <c r="D268" s="1">
        <v>44058.853680555556</v>
      </c>
      <c r="E268" t="s">
        <v>853</v>
      </c>
      <c r="F268" t="s">
        <v>273</v>
      </c>
      <c r="G268" t="s">
        <v>793</v>
      </c>
      <c r="H268" t="s">
        <v>275</v>
      </c>
      <c r="I268" t="s">
        <v>292</v>
      </c>
      <c r="J268">
        <v>33</v>
      </c>
      <c r="K268">
        <f>33-7-55-53-87-14</f>
        <v>-183</v>
      </c>
      <c r="L268" t="s">
        <v>854</v>
      </c>
      <c r="M268" t="s">
        <v>855</v>
      </c>
      <c r="N268" t="s">
        <v>278</v>
      </c>
      <c r="O268" t="s">
        <v>134</v>
      </c>
      <c r="P268" t="s">
        <v>29</v>
      </c>
      <c r="Q268">
        <v>42</v>
      </c>
      <c r="R268">
        <v>-93.620800000000003</v>
      </c>
    </row>
    <row r="269" spans="1:18" x14ac:dyDescent="0.2">
      <c r="A269" t="s">
        <v>270</v>
      </c>
      <c r="B269" t="s">
        <v>271</v>
      </c>
      <c r="C269">
        <v>33</v>
      </c>
      <c r="D269" s="1">
        <v>44058.809710648151</v>
      </c>
      <c r="E269" t="s">
        <v>856</v>
      </c>
      <c r="F269" t="s">
        <v>273</v>
      </c>
      <c r="G269" t="s">
        <v>793</v>
      </c>
      <c r="H269" t="s">
        <v>275</v>
      </c>
      <c r="I269" t="s">
        <v>292</v>
      </c>
      <c r="J269">
        <v>33</v>
      </c>
      <c r="K269">
        <f>33-7-55-53-87-14</f>
        <v>-183</v>
      </c>
      <c r="L269" t="s">
        <v>857</v>
      </c>
      <c r="M269" t="s">
        <v>858</v>
      </c>
      <c r="N269" t="s">
        <v>278</v>
      </c>
      <c r="O269" t="s">
        <v>134</v>
      </c>
      <c r="P269" t="s">
        <v>29</v>
      </c>
      <c r="Q269">
        <v>42</v>
      </c>
      <c r="R269">
        <v>-93.620800000000003</v>
      </c>
    </row>
    <row r="270" spans="1:18" x14ac:dyDescent="0.2">
      <c r="A270" t="s">
        <v>270</v>
      </c>
      <c r="B270" t="s">
        <v>271</v>
      </c>
      <c r="C270">
        <v>1</v>
      </c>
      <c r="D270" s="1">
        <v>44056.159722222219</v>
      </c>
      <c r="E270" t="s">
        <v>859</v>
      </c>
      <c r="F270" t="s">
        <v>273</v>
      </c>
      <c r="G270" t="s">
        <v>793</v>
      </c>
      <c r="H270" t="s">
        <v>275</v>
      </c>
      <c r="I270" t="s">
        <v>29</v>
      </c>
      <c r="J270">
        <v>1</v>
      </c>
      <c r="K270">
        <f>1-888-525-642</f>
        <v>-2054</v>
      </c>
      <c r="L270" t="s">
        <v>860</v>
      </c>
      <c r="M270" t="s">
        <v>861</v>
      </c>
      <c r="N270" t="s">
        <v>278</v>
      </c>
      <c r="O270" t="s">
        <v>134</v>
      </c>
      <c r="P270" t="s">
        <v>29</v>
      </c>
      <c r="Q270">
        <v>42</v>
      </c>
      <c r="R270">
        <v>-93.620800000000003</v>
      </c>
    </row>
    <row r="271" spans="1:18" x14ac:dyDescent="0.2">
      <c r="A271" t="s">
        <v>270</v>
      </c>
      <c r="B271" t="s">
        <v>271</v>
      </c>
      <c r="C271">
        <v>33</v>
      </c>
      <c r="D271" s="1">
        <v>44056.159212962964</v>
      </c>
      <c r="E271" t="s">
        <v>862</v>
      </c>
      <c r="F271" t="s">
        <v>273</v>
      </c>
      <c r="G271" t="s">
        <v>793</v>
      </c>
      <c r="H271" t="s">
        <v>275</v>
      </c>
      <c r="I271" t="s">
        <v>292</v>
      </c>
      <c r="J271">
        <v>33</v>
      </c>
      <c r="K271">
        <f>33-7-55-53-87-14</f>
        <v>-183</v>
      </c>
      <c r="L271" t="s">
        <v>863</v>
      </c>
      <c r="M271" t="s">
        <v>864</v>
      </c>
      <c r="N271" t="s">
        <v>278</v>
      </c>
      <c r="O271" t="s">
        <v>134</v>
      </c>
      <c r="P271" t="s">
        <v>29</v>
      </c>
      <c r="Q271">
        <v>42</v>
      </c>
      <c r="R271">
        <v>-93.620800000000003</v>
      </c>
    </row>
    <row r="272" spans="1:18" x14ac:dyDescent="0.2">
      <c r="A272" t="s">
        <v>270</v>
      </c>
      <c r="B272" t="s">
        <v>271</v>
      </c>
      <c r="C272">
        <v>33</v>
      </c>
      <c r="D272" s="1">
        <v>44056.158958333333</v>
      </c>
      <c r="E272" t="s">
        <v>865</v>
      </c>
      <c r="F272" t="s">
        <v>273</v>
      </c>
      <c r="G272" t="s">
        <v>793</v>
      </c>
      <c r="H272" t="s">
        <v>275</v>
      </c>
      <c r="I272" t="s">
        <v>292</v>
      </c>
      <c r="J272">
        <v>33</v>
      </c>
      <c r="K272">
        <f>33-7-55-53-87-14</f>
        <v>-183</v>
      </c>
      <c r="L272" t="s">
        <v>866</v>
      </c>
      <c r="M272" t="s">
        <v>867</v>
      </c>
      <c r="N272" t="s">
        <v>278</v>
      </c>
      <c r="O272" t="s">
        <v>134</v>
      </c>
      <c r="P272" t="s">
        <v>29</v>
      </c>
      <c r="Q272">
        <v>42</v>
      </c>
      <c r="R272">
        <v>-93.620800000000003</v>
      </c>
    </row>
    <row r="273" spans="1:18" x14ac:dyDescent="0.2">
      <c r="A273" t="s">
        <v>270</v>
      </c>
      <c r="B273" t="s">
        <v>271</v>
      </c>
      <c r="C273">
        <v>33</v>
      </c>
      <c r="D273" s="1">
        <v>44056.158831018518</v>
      </c>
      <c r="E273" t="s">
        <v>868</v>
      </c>
      <c r="F273" t="s">
        <v>273</v>
      </c>
      <c r="G273" t="s">
        <v>793</v>
      </c>
      <c r="H273" t="s">
        <v>275</v>
      </c>
      <c r="I273" t="s">
        <v>292</v>
      </c>
      <c r="J273">
        <v>33</v>
      </c>
      <c r="K273">
        <f>33-7-55-53-87-14</f>
        <v>-183</v>
      </c>
      <c r="L273" t="s">
        <v>869</v>
      </c>
      <c r="M273" t="s">
        <v>870</v>
      </c>
      <c r="N273" t="s">
        <v>278</v>
      </c>
      <c r="O273" t="s">
        <v>134</v>
      </c>
      <c r="P273" t="s">
        <v>29</v>
      </c>
      <c r="Q273">
        <v>42</v>
      </c>
      <c r="R273">
        <v>-93.620800000000003</v>
      </c>
    </row>
    <row r="274" spans="1:18" x14ac:dyDescent="0.2">
      <c r="A274" t="s">
        <v>270</v>
      </c>
      <c r="B274" t="s">
        <v>271</v>
      </c>
      <c r="C274">
        <v>1</v>
      </c>
      <c r="D274" s="1">
        <v>44055.995219907411</v>
      </c>
      <c r="E274" t="s">
        <v>871</v>
      </c>
      <c r="F274" t="s">
        <v>273</v>
      </c>
      <c r="G274" t="s">
        <v>793</v>
      </c>
      <c r="H274" t="s">
        <v>275</v>
      </c>
      <c r="I274" t="s">
        <v>29</v>
      </c>
      <c r="J274">
        <v>1</v>
      </c>
      <c r="K274">
        <f>1-888-690-674</f>
        <v>-2251</v>
      </c>
      <c r="L274" t="s">
        <v>872</v>
      </c>
      <c r="M274" t="s">
        <v>873</v>
      </c>
      <c r="N274" t="s">
        <v>278</v>
      </c>
      <c r="O274" t="s">
        <v>28</v>
      </c>
      <c r="P274" t="s">
        <v>29</v>
      </c>
      <c r="Q274">
        <v>42</v>
      </c>
      <c r="R274">
        <v>-93.620800000000003</v>
      </c>
    </row>
    <row r="275" spans="1:18" x14ac:dyDescent="0.2">
      <c r="A275" t="s">
        <v>270</v>
      </c>
      <c r="B275" t="s">
        <v>271</v>
      </c>
      <c r="C275">
        <v>1</v>
      </c>
      <c r="D275" s="1">
        <v>44056.049328703702</v>
      </c>
      <c r="E275" t="s">
        <v>874</v>
      </c>
      <c r="F275" t="s">
        <v>273</v>
      </c>
      <c r="G275" t="s">
        <v>793</v>
      </c>
      <c r="H275" t="s">
        <v>275</v>
      </c>
      <c r="I275" t="s">
        <v>29</v>
      </c>
      <c r="J275">
        <v>1</v>
      </c>
      <c r="K275">
        <f>1-888-690-674</f>
        <v>-2251</v>
      </c>
      <c r="L275" t="s">
        <v>875</v>
      </c>
      <c r="M275" t="s">
        <v>876</v>
      </c>
      <c r="N275" t="s">
        <v>278</v>
      </c>
      <c r="O275" t="s">
        <v>28</v>
      </c>
      <c r="P275" t="s">
        <v>29</v>
      </c>
      <c r="Q275">
        <v>42</v>
      </c>
      <c r="R275">
        <v>-93.620800000000003</v>
      </c>
    </row>
    <row r="276" spans="1:18" x14ac:dyDescent="0.2">
      <c r="A276" t="s">
        <v>270</v>
      </c>
      <c r="B276" t="s">
        <v>271</v>
      </c>
      <c r="C276">
        <v>1</v>
      </c>
      <c r="D276" s="1">
        <v>44055.968900462962</v>
      </c>
      <c r="E276" t="s">
        <v>877</v>
      </c>
      <c r="F276" t="s">
        <v>273</v>
      </c>
      <c r="G276" t="s">
        <v>793</v>
      </c>
      <c r="H276" t="s">
        <v>275</v>
      </c>
      <c r="I276" t="s">
        <v>29</v>
      </c>
      <c r="J276">
        <v>1</v>
      </c>
      <c r="K276">
        <f>1-888-383-561</f>
        <v>-1831</v>
      </c>
      <c r="L276" t="s">
        <v>878</v>
      </c>
      <c r="M276" t="s">
        <v>879</v>
      </c>
      <c r="N276" t="s">
        <v>278</v>
      </c>
      <c r="O276" t="s">
        <v>28</v>
      </c>
      <c r="P276" t="s">
        <v>29</v>
      </c>
      <c r="Q276">
        <v>42</v>
      </c>
      <c r="R276">
        <v>-93.620800000000003</v>
      </c>
    </row>
    <row r="277" spans="1:18" x14ac:dyDescent="0.2">
      <c r="A277" t="s">
        <v>270</v>
      </c>
      <c r="B277" t="s">
        <v>271</v>
      </c>
      <c r="C277">
        <v>1</v>
      </c>
      <c r="D277" s="1">
        <v>44054.967268518521</v>
      </c>
      <c r="E277" t="s">
        <v>880</v>
      </c>
      <c r="F277" t="s">
        <v>273</v>
      </c>
      <c r="G277" t="s">
        <v>793</v>
      </c>
      <c r="H277" t="s">
        <v>275</v>
      </c>
      <c r="I277" t="s">
        <v>29</v>
      </c>
      <c r="J277">
        <v>1</v>
      </c>
      <c r="K277">
        <f>1-888-703-336</f>
        <v>-1926</v>
      </c>
      <c r="L277" t="s">
        <v>881</v>
      </c>
      <c r="M277" t="s">
        <v>882</v>
      </c>
      <c r="N277" t="s">
        <v>278</v>
      </c>
      <c r="O277" t="s">
        <v>28</v>
      </c>
      <c r="P277" t="s">
        <v>29</v>
      </c>
      <c r="Q277">
        <v>42</v>
      </c>
      <c r="R277">
        <v>-93.620800000000003</v>
      </c>
    </row>
    <row r="278" spans="1:18" x14ac:dyDescent="0.2">
      <c r="A278" t="s">
        <v>270</v>
      </c>
      <c r="B278" t="s">
        <v>271</v>
      </c>
      <c r="C278">
        <v>1</v>
      </c>
      <c r="D278" s="1">
        <v>44054.914722222224</v>
      </c>
      <c r="E278" t="s">
        <v>883</v>
      </c>
      <c r="F278" t="s">
        <v>273</v>
      </c>
      <c r="G278" t="s">
        <v>793</v>
      </c>
      <c r="H278" t="s">
        <v>275</v>
      </c>
      <c r="I278" t="s">
        <v>29</v>
      </c>
      <c r="J278">
        <v>1</v>
      </c>
      <c r="K278">
        <f>1-888-598-1424</f>
        <v>-2909</v>
      </c>
      <c r="L278" t="s">
        <v>884</v>
      </c>
      <c r="M278" t="s">
        <v>885</v>
      </c>
      <c r="N278" t="s">
        <v>278</v>
      </c>
      <c r="O278" t="s">
        <v>28</v>
      </c>
      <c r="P278" t="s">
        <v>29</v>
      </c>
      <c r="Q278">
        <v>42</v>
      </c>
      <c r="R278">
        <v>-93.620800000000003</v>
      </c>
    </row>
    <row r="279" spans="1:18" x14ac:dyDescent="0.2">
      <c r="A279" t="s">
        <v>270</v>
      </c>
      <c r="B279" t="s">
        <v>271</v>
      </c>
      <c r="C279">
        <v>1</v>
      </c>
      <c r="D279" s="1">
        <v>44054.861666666664</v>
      </c>
      <c r="E279" t="s">
        <v>886</v>
      </c>
      <c r="F279" t="s">
        <v>273</v>
      </c>
      <c r="G279" t="s">
        <v>793</v>
      </c>
      <c r="H279" t="s">
        <v>275</v>
      </c>
      <c r="I279" t="s">
        <v>29</v>
      </c>
      <c r="J279">
        <v>1</v>
      </c>
      <c r="K279">
        <f>1-888-598-1482</f>
        <v>-2967</v>
      </c>
      <c r="L279" t="s">
        <v>887</v>
      </c>
      <c r="M279" t="s">
        <v>888</v>
      </c>
      <c r="N279" t="s">
        <v>278</v>
      </c>
      <c r="O279" t="s">
        <v>28</v>
      </c>
      <c r="P279" t="s">
        <v>29</v>
      </c>
      <c r="Q279">
        <v>42</v>
      </c>
      <c r="R279">
        <v>-93.620800000000003</v>
      </c>
    </row>
    <row r="280" spans="1:18" x14ac:dyDescent="0.2">
      <c r="A280" t="s">
        <v>270</v>
      </c>
      <c r="B280" t="s">
        <v>271</v>
      </c>
      <c r="C280">
        <v>1</v>
      </c>
      <c r="D280" s="1">
        <v>44054.75818287037</v>
      </c>
      <c r="E280" t="s">
        <v>889</v>
      </c>
      <c r="F280" t="s">
        <v>273</v>
      </c>
      <c r="G280" t="s">
        <v>793</v>
      </c>
      <c r="H280" t="s">
        <v>275</v>
      </c>
      <c r="I280" t="s">
        <v>29</v>
      </c>
      <c r="J280">
        <v>1</v>
      </c>
      <c r="K280">
        <f>1-888-851-653</f>
        <v>-2391</v>
      </c>
      <c r="L280" t="s">
        <v>890</v>
      </c>
      <c r="M280" t="s">
        <v>891</v>
      </c>
      <c r="N280" t="s">
        <v>278</v>
      </c>
      <c r="O280" t="s">
        <v>134</v>
      </c>
      <c r="P280" t="s">
        <v>29</v>
      </c>
      <c r="Q280">
        <v>42</v>
      </c>
      <c r="R280">
        <v>-93.620800000000003</v>
      </c>
    </row>
    <row r="281" spans="1:18" x14ac:dyDescent="0.2">
      <c r="A281" t="s">
        <v>270</v>
      </c>
      <c r="B281" t="s">
        <v>271</v>
      </c>
      <c r="C281">
        <v>1</v>
      </c>
      <c r="D281" s="1">
        <v>44053.301388888889</v>
      </c>
      <c r="E281" t="s">
        <v>892</v>
      </c>
      <c r="F281" t="s">
        <v>273</v>
      </c>
      <c r="G281" t="s">
        <v>793</v>
      </c>
      <c r="H281" t="s">
        <v>275</v>
      </c>
      <c r="I281" t="s">
        <v>29</v>
      </c>
      <c r="J281">
        <v>1</v>
      </c>
      <c r="K281">
        <f>1-866-801-5549</f>
        <v>-7215</v>
      </c>
      <c r="L281" t="s">
        <v>893</v>
      </c>
      <c r="M281" t="s">
        <v>894</v>
      </c>
      <c r="N281" t="s">
        <v>278</v>
      </c>
      <c r="O281" t="s">
        <v>134</v>
      </c>
      <c r="P281" t="s">
        <v>29</v>
      </c>
      <c r="Q281">
        <v>42</v>
      </c>
      <c r="R281">
        <v>-93.620800000000003</v>
      </c>
    </row>
    <row r="282" spans="1:18" x14ac:dyDescent="0.2">
      <c r="A282" t="s">
        <v>270</v>
      </c>
      <c r="B282" t="s">
        <v>271</v>
      </c>
      <c r="C282">
        <v>33</v>
      </c>
      <c r="D282" s="1">
        <v>44053.136041666665</v>
      </c>
      <c r="E282" t="s">
        <v>895</v>
      </c>
      <c r="F282" t="s">
        <v>273</v>
      </c>
      <c r="G282" t="s">
        <v>793</v>
      </c>
      <c r="H282" t="s">
        <v>275</v>
      </c>
      <c r="I282" t="s">
        <v>292</v>
      </c>
      <c r="J282">
        <v>33</v>
      </c>
      <c r="K282">
        <f t="shared" ref="K282:K292" si="4">33-7-55-53-87-14</f>
        <v>-183</v>
      </c>
      <c r="L282" t="s">
        <v>896</v>
      </c>
      <c r="M282" t="s">
        <v>897</v>
      </c>
      <c r="N282" t="s">
        <v>278</v>
      </c>
      <c r="O282" t="s">
        <v>134</v>
      </c>
      <c r="P282" t="s">
        <v>29</v>
      </c>
      <c r="Q282">
        <v>42</v>
      </c>
      <c r="R282">
        <v>-93.620800000000003</v>
      </c>
    </row>
    <row r="283" spans="1:18" x14ac:dyDescent="0.2">
      <c r="A283" t="s">
        <v>270</v>
      </c>
      <c r="B283" t="s">
        <v>271</v>
      </c>
      <c r="C283">
        <v>33</v>
      </c>
      <c r="D283" s="1">
        <v>44053.135868055557</v>
      </c>
      <c r="E283" t="s">
        <v>898</v>
      </c>
      <c r="F283" t="s">
        <v>273</v>
      </c>
      <c r="G283" t="s">
        <v>793</v>
      </c>
      <c r="H283" t="s">
        <v>275</v>
      </c>
      <c r="I283" t="s">
        <v>292</v>
      </c>
      <c r="J283">
        <v>33</v>
      </c>
      <c r="K283">
        <f t="shared" si="4"/>
        <v>-183</v>
      </c>
      <c r="L283" t="s">
        <v>899</v>
      </c>
      <c r="M283" t="s">
        <v>900</v>
      </c>
      <c r="N283" t="s">
        <v>278</v>
      </c>
      <c r="O283" t="s">
        <v>134</v>
      </c>
      <c r="P283" t="s">
        <v>29</v>
      </c>
      <c r="Q283">
        <v>42</v>
      </c>
      <c r="R283">
        <v>-93.620800000000003</v>
      </c>
    </row>
    <row r="284" spans="1:18" x14ac:dyDescent="0.2">
      <c r="A284" t="s">
        <v>270</v>
      </c>
      <c r="B284" t="s">
        <v>271</v>
      </c>
      <c r="C284">
        <v>33</v>
      </c>
      <c r="D284" s="1">
        <v>44053.135752314818</v>
      </c>
      <c r="E284" t="s">
        <v>901</v>
      </c>
      <c r="F284" t="s">
        <v>273</v>
      </c>
      <c r="G284" t="s">
        <v>793</v>
      </c>
      <c r="H284" t="s">
        <v>275</v>
      </c>
      <c r="I284" t="s">
        <v>292</v>
      </c>
      <c r="J284">
        <v>33</v>
      </c>
      <c r="K284">
        <f t="shared" si="4"/>
        <v>-183</v>
      </c>
      <c r="L284" t="s">
        <v>902</v>
      </c>
      <c r="M284" t="s">
        <v>903</v>
      </c>
      <c r="N284" t="s">
        <v>278</v>
      </c>
      <c r="O284" t="s">
        <v>134</v>
      </c>
      <c r="P284" t="s">
        <v>29</v>
      </c>
      <c r="Q284">
        <v>42</v>
      </c>
      <c r="R284">
        <v>-93.620800000000003</v>
      </c>
    </row>
    <row r="285" spans="1:18" x14ac:dyDescent="0.2">
      <c r="A285" t="s">
        <v>270</v>
      </c>
      <c r="B285" t="s">
        <v>271</v>
      </c>
      <c r="C285">
        <v>33</v>
      </c>
      <c r="D285" s="1">
        <v>44053.135636574072</v>
      </c>
      <c r="E285" t="s">
        <v>904</v>
      </c>
      <c r="F285" t="s">
        <v>273</v>
      </c>
      <c r="G285" t="s">
        <v>793</v>
      </c>
      <c r="H285" t="s">
        <v>275</v>
      </c>
      <c r="I285" t="s">
        <v>292</v>
      </c>
      <c r="J285">
        <v>33</v>
      </c>
      <c r="K285">
        <f t="shared" si="4"/>
        <v>-183</v>
      </c>
      <c r="L285" t="s">
        <v>905</v>
      </c>
      <c r="M285" t="s">
        <v>906</v>
      </c>
      <c r="N285" t="s">
        <v>278</v>
      </c>
      <c r="O285" t="s">
        <v>134</v>
      </c>
      <c r="P285" t="s">
        <v>29</v>
      </c>
      <c r="Q285">
        <v>42</v>
      </c>
      <c r="R285">
        <v>-93.620800000000003</v>
      </c>
    </row>
    <row r="286" spans="1:18" x14ac:dyDescent="0.2">
      <c r="A286" t="s">
        <v>270</v>
      </c>
      <c r="B286" t="s">
        <v>271</v>
      </c>
      <c r="C286">
        <v>33</v>
      </c>
      <c r="D286" s="1">
        <v>44053.135416666664</v>
      </c>
      <c r="E286" t="s">
        <v>907</v>
      </c>
      <c r="F286" t="s">
        <v>273</v>
      </c>
      <c r="G286" t="s">
        <v>793</v>
      </c>
      <c r="H286" t="s">
        <v>275</v>
      </c>
      <c r="I286" t="s">
        <v>292</v>
      </c>
      <c r="J286">
        <v>33</v>
      </c>
      <c r="K286">
        <f t="shared" si="4"/>
        <v>-183</v>
      </c>
      <c r="L286" t="s">
        <v>908</v>
      </c>
      <c r="M286" t="s">
        <v>909</v>
      </c>
      <c r="N286" t="s">
        <v>278</v>
      </c>
      <c r="O286" t="s">
        <v>134</v>
      </c>
      <c r="P286" t="s">
        <v>29</v>
      </c>
      <c r="Q286">
        <v>42</v>
      </c>
      <c r="R286">
        <v>-93.620800000000003</v>
      </c>
    </row>
    <row r="287" spans="1:18" x14ac:dyDescent="0.2">
      <c r="A287" t="s">
        <v>270</v>
      </c>
      <c r="B287" t="s">
        <v>271</v>
      </c>
      <c r="C287">
        <v>33</v>
      </c>
      <c r="D287" s="1">
        <v>44053.135300925926</v>
      </c>
      <c r="E287" t="s">
        <v>910</v>
      </c>
      <c r="F287" t="s">
        <v>273</v>
      </c>
      <c r="G287" t="s">
        <v>793</v>
      </c>
      <c r="H287" t="s">
        <v>275</v>
      </c>
      <c r="I287" t="s">
        <v>292</v>
      </c>
      <c r="J287">
        <v>33</v>
      </c>
      <c r="K287">
        <f t="shared" si="4"/>
        <v>-183</v>
      </c>
      <c r="L287" t="s">
        <v>911</v>
      </c>
      <c r="M287" t="s">
        <v>912</v>
      </c>
      <c r="N287" t="s">
        <v>278</v>
      </c>
      <c r="O287" t="s">
        <v>134</v>
      </c>
      <c r="P287" t="s">
        <v>29</v>
      </c>
      <c r="Q287">
        <v>42</v>
      </c>
      <c r="R287">
        <v>-93.620800000000003</v>
      </c>
    </row>
    <row r="288" spans="1:18" x14ac:dyDescent="0.2">
      <c r="A288" t="s">
        <v>270</v>
      </c>
      <c r="B288" t="s">
        <v>271</v>
      </c>
      <c r="C288">
        <v>33</v>
      </c>
      <c r="D288" s="1">
        <v>44053.135092592594</v>
      </c>
      <c r="E288" t="s">
        <v>913</v>
      </c>
      <c r="F288" t="s">
        <v>273</v>
      </c>
      <c r="G288" t="s">
        <v>793</v>
      </c>
      <c r="H288" t="s">
        <v>275</v>
      </c>
      <c r="I288" t="s">
        <v>292</v>
      </c>
      <c r="J288">
        <v>33</v>
      </c>
      <c r="K288">
        <f t="shared" si="4"/>
        <v>-183</v>
      </c>
      <c r="L288" t="s">
        <v>914</v>
      </c>
      <c r="M288" t="s">
        <v>915</v>
      </c>
      <c r="N288" t="s">
        <v>278</v>
      </c>
      <c r="O288" t="s">
        <v>134</v>
      </c>
      <c r="P288" t="s">
        <v>29</v>
      </c>
      <c r="Q288">
        <v>42</v>
      </c>
      <c r="R288">
        <v>-93.620800000000003</v>
      </c>
    </row>
    <row r="289" spans="1:18" x14ac:dyDescent="0.2">
      <c r="A289" t="s">
        <v>270</v>
      </c>
      <c r="B289" t="s">
        <v>271</v>
      </c>
      <c r="C289">
        <v>33</v>
      </c>
      <c r="D289" s="1">
        <v>44051.674988425926</v>
      </c>
      <c r="E289" t="s">
        <v>916</v>
      </c>
      <c r="F289" t="s">
        <v>273</v>
      </c>
      <c r="G289" t="s">
        <v>793</v>
      </c>
      <c r="H289" t="s">
        <v>275</v>
      </c>
      <c r="I289" t="s">
        <v>292</v>
      </c>
      <c r="J289">
        <v>33</v>
      </c>
      <c r="K289">
        <f t="shared" si="4"/>
        <v>-183</v>
      </c>
      <c r="L289" t="s">
        <v>917</v>
      </c>
      <c r="M289" t="s">
        <v>918</v>
      </c>
      <c r="N289" t="s">
        <v>278</v>
      </c>
      <c r="O289" t="s">
        <v>134</v>
      </c>
      <c r="P289" t="s">
        <v>29</v>
      </c>
      <c r="Q289">
        <v>42</v>
      </c>
      <c r="R289">
        <v>-93.620800000000003</v>
      </c>
    </row>
    <row r="290" spans="1:18" x14ac:dyDescent="0.2">
      <c r="A290" t="s">
        <v>270</v>
      </c>
      <c r="B290" t="s">
        <v>271</v>
      </c>
      <c r="C290">
        <v>33</v>
      </c>
      <c r="D290" s="1">
        <v>44050.697129629632</v>
      </c>
      <c r="E290" t="s">
        <v>919</v>
      </c>
      <c r="F290" t="s">
        <v>273</v>
      </c>
      <c r="G290" t="s">
        <v>793</v>
      </c>
      <c r="H290" t="s">
        <v>275</v>
      </c>
      <c r="I290" t="s">
        <v>292</v>
      </c>
      <c r="J290">
        <v>33</v>
      </c>
      <c r="K290">
        <f t="shared" si="4"/>
        <v>-183</v>
      </c>
      <c r="L290" t="s">
        <v>920</v>
      </c>
      <c r="M290" t="s">
        <v>921</v>
      </c>
      <c r="N290" t="s">
        <v>278</v>
      </c>
      <c r="O290" t="s">
        <v>134</v>
      </c>
      <c r="P290" t="s">
        <v>29</v>
      </c>
      <c r="Q290">
        <v>42</v>
      </c>
      <c r="R290">
        <v>-93.620800000000003</v>
      </c>
    </row>
    <row r="291" spans="1:18" x14ac:dyDescent="0.2">
      <c r="A291" t="s">
        <v>270</v>
      </c>
      <c r="B291" t="s">
        <v>271</v>
      </c>
      <c r="C291">
        <v>33</v>
      </c>
      <c r="D291" s="1">
        <v>44050.631921296299</v>
      </c>
      <c r="E291" t="s">
        <v>922</v>
      </c>
      <c r="F291" t="s">
        <v>273</v>
      </c>
      <c r="G291" t="s">
        <v>793</v>
      </c>
      <c r="H291" t="s">
        <v>275</v>
      </c>
      <c r="I291" t="s">
        <v>292</v>
      </c>
      <c r="J291">
        <v>33</v>
      </c>
      <c r="K291">
        <f t="shared" si="4"/>
        <v>-183</v>
      </c>
      <c r="L291" t="s">
        <v>923</v>
      </c>
      <c r="M291" t="s">
        <v>924</v>
      </c>
      <c r="N291" t="s">
        <v>278</v>
      </c>
      <c r="O291" t="s">
        <v>134</v>
      </c>
      <c r="P291" t="s">
        <v>29</v>
      </c>
      <c r="Q291">
        <v>42</v>
      </c>
      <c r="R291">
        <v>-93.620800000000003</v>
      </c>
    </row>
    <row r="292" spans="1:18" x14ac:dyDescent="0.2">
      <c r="A292" t="s">
        <v>270</v>
      </c>
      <c r="B292" t="s">
        <v>271</v>
      </c>
      <c r="C292">
        <v>33</v>
      </c>
      <c r="D292" s="1">
        <v>44050.631215277775</v>
      </c>
      <c r="E292" t="s">
        <v>925</v>
      </c>
      <c r="F292" t="s">
        <v>273</v>
      </c>
      <c r="G292" t="s">
        <v>793</v>
      </c>
      <c r="H292" t="s">
        <v>275</v>
      </c>
      <c r="I292" t="s">
        <v>292</v>
      </c>
      <c r="J292">
        <v>33</v>
      </c>
      <c r="K292">
        <f t="shared" si="4"/>
        <v>-183</v>
      </c>
      <c r="L292" t="s">
        <v>926</v>
      </c>
      <c r="M292" t="s">
        <v>927</v>
      </c>
      <c r="N292" t="s">
        <v>278</v>
      </c>
      <c r="O292" t="s">
        <v>134</v>
      </c>
      <c r="P292" t="s">
        <v>29</v>
      </c>
      <c r="Q292">
        <v>42</v>
      </c>
      <c r="R292">
        <v>-93.620800000000003</v>
      </c>
    </row>
    <row r="293" spans="1:18" x14ac:dyDescent="0.2">
      <c r="A293" t="s">
        <v>270</v>
      </c>
      <c r="B293" t="s">
        <v>271</v>
      </c>
      <c r="C293">
        <v>1</v>
      </c>
      <c r="D293" s="1">
        <v>44049.935115740744</v>
      </c>
      <c r="E293" t="s">
        <v>928</v>
      </c>
      <c r="F293" t="s">
        <v>273</v>
      </c>
      <c r="G293" t="s">
        <v>793</v>
      </c>
      <c r="H293" t="s">
        <v>275</v>
      </c>
      <c r="I293" t="s">
        <v>29</v>
      </c>
      <c r="J293">
        <v>1</v>
      </c>
      <c r="K293">
        <f>1-844-496-2567</f>
        <v>-3906</v>
      </c>
      <c r="L293" t="s">
        <v>929</v>
      </c>
      <c r="M293" t="s">
        <v>930</v>
      </c>
      <c r="N293" t="s">
        <v>278</v>
      </c>
      <c r="O293" t="s">
        <v>134</v>
      </c>
      <c r="P293" t="s">
        <v>29</v>
      </c>
      <c r="Q293">
        <v>42</v>
      </c>
      <c r="R293">
        <v>-93.620800000000003</v>
      </c>
    </row>
    <row r="294" spans="1:18" x14ac:dyDescent="0.2">
      <c r="A294" t="s">
        <v>270</v>
      </c>
      <c r="B294" t="s">
        <v>271</v>
      </c>
      <c r="C294">
        <v>33</v>
      </c>
      <c r="D294" s="1">
        <v>44048.687384259261</v>
      </c>
      <c r="E294" t="s">
        <v>931</v>
      </c>
      <c r="F294" t="s">
        <v>273</v>
      </c>
      <c r="G294" t="s">
        <v>793</v>
      </c>
      <c r="H294" t="s">
        <v>275</v>
      </c>
      <c r="I294" t="s">
        <v>292</v>
      </c>
      <c r="J294">
        <v>33</v>
      </c>
      <c r="K294">
        <f>33-7-55-53-87-14</f>
        <v>-183</v>
      </c>
      <c r="L294" t="s">
        <v>932</v>
      </c>
      <c r="M294" t="s">
        <v>933</v>
      </c>
      <c r="N294" t="s">
        <v>278</v>
      </c>
      <c r="O294" t="s">
        <v>134</v>
      </c>
      <c r="P294" t="s">
        <v>29</v>
      </c>
      <c r="Q294">
        <v>42</v>
      </c>
      <c r="R294">
        <v>-93.620800000000003</v>
      </c>
    </row>
    <row r="295" spans="1:18" x14ac:dyDescent="0.2">
      <c r="A295" t="s">
        <v>270</v>
      </c>
      <c r="B295" t="s">
        <v>271</v>
      </c>
      <c r="C295">
        <v>33</v>
      </c>
      <c r="D295" s="1">
        <v>44048.610763888886</v>
      </c>
      <c r="E295" t="s">
        <v>934</v>
      </c>
      <c r="F295" t="s">
        <v>273</v>
      </c>
      <c r="G295" t="s">
        <v>793</v>
      </c>
      <c r="H295" t="s">
        <v>275</v>
      </c>
      <c r="I295" t="s">
        <v>292</v>
      </c>
      <c r="J295">
        <v>33</v>
      </c>
      <c r="K295">
        <f>33-7-55-53-87-14</f>
        <v>-183</v>
      </c>
      <c r="L295" t="s">
        <v>935</v>
      </c>
      <c r="M295" t="s">
        <v>936</v>
      </c>
      <c r="N295" t="s">
        <v>278</v>
      </c>
      <c r="O295" t="s">
        <v>134</v>
      </c>
      <c r="P295" t="s">
        <v>29</v>
      </c>
      <c r="Q295">
        <v>42</v>
      </c>
      <c r="R295">
        <v>-93.620800000000003</v>
      </c>
    </row>
    <row r="296" spans="1:18" x14ac:dyDescent="0.2">
      <c r="A296" t="s">
        <v>270</v>
      </c>
      <c r="B296" t="s">
        <v>271</v>
      </c>
      <c r="C296">
        <v>33</v>
      </c>
      <c r="D296" s="1">
        <v>44048.61042824074</v>
      </c>
      <c r="E296" t="s">
        <v>937</v>
      </c>
      <c r="F296" t="s">
        <v>273</v>
      </c>
      <c r="G296" t="s">
        <v>793</v>
      </c>
      <c r="H296" t="s">
        <v>275</v>
      </c>
      <c r="I296" t="s">
        <v>292</v>
      </c>
      <c r="J296">
        <v>33</v>
      </c>
      <c r="K296">
        <f>33-7-55-53-87-14</f>
        <v>-183</v>
      </c>
      <c r="L296" t="s">
        <v>938</v>
      </c>
      <c r="M296" t="s">
        <v>939</v>
      </c>
      <c r="N296" t="s">
        <v>278</v>
      </c>
      <c r="O296" t="s">
        <v>134</v>
      </c>
      <c r="P296" t="s">
        <v>29</v>
      </c>
      <c r="Q296">
        <v>42</v>
      </c>
      <c r="R296">
        <v>-93.620800000000003</v>
      </c>
    </row>
    <row r="297" spans="1:18" x14ac:dyDescent="0.2">
      <c r="A297" t="s">
        <v>270</v>
      </c>
      <c r="B297" t="s">
        <v>271</v>
      </c>
      <c r="C297">
        <v>1</v>
      </c>
      <c r="D297" s="1">
        <v>44047.807488425926</v>
      </c>
      <c r="E297" t="s">
        <v>940</v>
      </c>
      <c r="F297" t="s">
        <v>273</v>
      </c>
      <c r="G297" t="s">
        <v>793</v>
      </c>
      <c r="H297" t="s">
        <v>275</v>
      </c>
      <c r="I297" t="s">
        <v>29</v>
      </c>
      <c r="J297">
        <v>1</v>
      </c>
      <c r="K297">
        <f>1-844-491-8693</f>
        <v>-10027</v>
      </c>
      <c r="L297" t="s">
        <v>941</v>
      </c>
      <c r="M297" t="s">
        <v>942</v>
      </c>
      <c r="N297" t="s">
        <v>278</v>
      </c>
      <c r="O297" t="s">
        <v>28</v>
      </c>
      <c r="P297" t="s">
        <v>29</v>
      </c>
      <c r="Q297">
        <v>42</v>
      </c>
      <c r="R297">
        <v>-93.620800000000003</v>
      </c>
    </row>
    <row r="298" spans="1:18" x14ac:dyDescent="0.2">
      <c r="A298" t="s">
        <v>270</v>
      </c>
      <c r="B298" t="s">
        <v>271</v>
      </c>
      <c r="C298">
        <v>1</v>
      </c>
      <c r="D298" s="1">
        <v>44045.700567129628</v>
      </c>
      <c r="E298" t="s">
        <v>943</v>
      </c>
      <c r="F298" t="s">
        <v>273</v>
      </c>
      <c r="G298" t="s">
        <v>793</v>
      </c>
      <c r="H298" t="s">
        <v>275</v>
      </c>
      <c r="I298" t="s">
        <v>29</v>
      </c>
      <c r="J298">
        <v>1</v>
      </c>
      <c r="K298">
        <f>1-844-467-9701</f>
        <v>-11011</v>
      </c>
      <c r="L298" t="s">
        <v>944</v>
      </c>
      <c r="M298" t="s">
        <v>945</v>
      </c>
      <c r="N298" t="s">
        <v>278</v>
      </c>
      <c r="O298" t="s">
        <v>134</v>
      </c>
      <c r="P298" t="s">
        <v>29</v>
      </c>
      <c r="Q298">
        <v>42</v>
      </c>
      <c r="R298">
        <v>-93.620800000000003</v>
      </c>
    </row>
    <row r="299" spans="1:18" x14ac:dyDescent="0.2">
      <c r="A299" t="s">
        <v>270</v>
      </c>
      <c r="B299" t="s">
        <v>271</v>
      </c>
      <c r="C299">
        <v>33</v>
      </c>
      <c r="D299" s="1">
        <v>44045.658067129632</v>
      </c>
      <c r="E299" t="s">
        <v>946</v>
      </c>
      <c r="F299" t="s">
        <v>273</v>
      </c>
      <c r="G299" t="s">
        <v>793</v>
      </c>
      <c r="H299" t="s">
        <v>275</v>
      </c>
      <c r="I299" t="s">
        <v>292</v>
      </c>
      <c r="J299">
        <v>33</v>
      </c>
      <c r="K299">
        <f>33-7-55-53-87-14</f>
        <v>-183</v>
      </c>
      <c r="L299" t="s">
        <v>947</v>
      </c>
      <c r="M299" t="s">
        <v>948</v>
      </c>
      <c r="N299" t="s">
        <v>278</v>
      </c>
      <c r="O299" t="s">
        <v>134</v>
      </c>
      <c r="P299" t="s">
        <v>29</v>
      </c>
      <c r="Q299">
        <v>42</v>
      </c>
      <c r="R299">
        <v>-93.620800000000003</v>
      </c>
    </row>
    <row r="300" spans="1:18" x14ac:dyDescent="0.2">
      <c r="A300" t="s">
        <v>270</v>
      </c>
      <c r="B300" t="s">
        <v>271</v>
      </c>
      <c r="C300">
        <v>1</v>
      </c>
      <c r="D300" s="1">
        <v>44045.628344907411</v>
      </c>
      <c r="E300" t="s">
        <v>949</v>
      </c>
      <c r="F300" t="s">
        <v>273</v>
      </c>
      <c r="G300" t="s">
        <v>793</v>
      </c>
      <c r="H300" t="s">
        <v>275</v>
      </c>
      <c r="I300" t="s">
        <v>29</v>
      </c>
      <c r="J300">
        <v>1</v>
      </c>
      <c r="K300">
        <f>1-844-470-9634</f>
        <v>-10947</v>
      </c>
      <c r="L300" t="s">
        <v>950</v>
      </c>
      <c r="M300" t="s">
        <v>951</v>
      </c>
      <c r="N300" t="s">
        <v>278</v>
      </c>
      <c r="O300" t="s">
        <v>134</v>
      </c>
      <c r="P300" t="s">
        <v>29</v>
      </c>
      <c r="Q300">
        <v>42</v>
      </c>
      <c r="R300">
        <v>-93.620800000000003</v>
      </c>
    </row>
    <row r="301" spans="1:18" x14ac:dyDescent="0.2">
      <c r="A301" t="s">
        <v>270</v>
      </c>
      <c r="B301" t="s">
        <v>271</v>
      </c>
      <c r="C301">
        <v>33</v>
      </c>
      <c r="D301" s="1">
        <v>44045.627951388888</v>
      </c>
      <c r="E301" t="s">
        <v>952</v>
      </c>
      <c r="F301" t="s">
        <v>273</v>
      </c>
      <c r="G301" t="s">
        <v>793</v>
      </c>
      <c r="H301" t="s">
        <v>275</v>
      </c>
      <c r="I301" t="s">
        <v>292</v>
      </c>
      <c r="J301">
        <v>33</v>
      </c>
      <c r="K301">
        <f>33-7-55-53-87-14</f>
        <v>-183</v>
      </c>
      <c r="L301" t="s">
        <v>953</v>
      </c>
      <c r="M301" t="s">
        <v>954</v>
      </c>
      <c r="N301" t="s">
        <v>278</v>
      </c>
      <c r="O301" t="s">
        <v>134</v>
      </c>
      <c r="P301" t="s">
        <v>29</v>
      </c>
      <c r="Q301">
        <v>42</v>
      </c>
      <c r="R301">
        <v>-93.620800000000003</v>
      </c>
    </row>
    <row r="302" spans="1:18" x14ac:dyDescent="0.2">
      <c r="A302" t="s">
        <v>270</v>
      </c>
      <c r="B302" t="s">
        <v>271</v>
      </c>
      <c r="C302">
        <v>1</v>
      </c>
      <c r="D302" s="1">
        <v>44045.627789351849</v>
      </c>
      <c r="E302" t="s">
        <v>955</v>
      </c>
      <c r="F302" t="s">
        <v>273</v>
      </c>
      <c r="G302" t="s">
        <v>793</v>
      </c>
      <c r="H302" t="s">
        <v>275</v>
      </c>
      <c r="I302" t="s">
        <v>29</v>
      </c>
      <c r="J302">
        <v>1</v>
      </c>
      <c r="K302">
        <f>1-844-470-9634</f>
        <v>-10947</v>
      </c>
      <c r="L302" t="s">
        <v>956</v>
      </c>
      <c r="M302" t="s">
        <v>957</v>
      </c>
      <c r="N302" t="s">
        <v>278</v>
      </c>
      <c r="O302" t="s">
        <v>134</v>
      </c>
      <c r="P302" t="s">
        <v>29</v>
      </c>
      <c r="Q302">
        <v>42</v>
      </c>
      <c r="R302">
        <v>-93.620800000000003</v>
      </c>
    </row>
    <row r="303" spans="1:18" x14ac:dyDescent="0.2">
      <c r="A303" t="s">
        <v>270</v>
      </c>
      <c r="B303" t="s">
        <v>271</v>
      </c>
      <c r="C303">
        <v>33</v>
      </c>
      <c r="D303" s="1">
        <v>44045.627569444441</v>
      </c>
      <c r="E303" t="s">
        <v>958</v>
      </c>
      <c r="F303" t="s">
        <v>273</v>
      </c>
      <c r="G303" t="s">
        <v>793</v>
      </c>
      <c r="H303" t="s">
        <v>275</v>
      </c>
      <c r="I303" t="s">
        <v>292</v>
      </c>
      <c r="J303">
        <v>33</v>
      </c>
      <c r="K303">
        <f t="shared" ref="K303:K308" si="5">33-7-55-53-87-14</f>
        <v>-183</v>
      </c>
      <c r="L303" t="s">
        <v>959</v>
      </c>
      <c r="M303" t="s">
        <v>960</v>
      </c>
      <c r="N303" t="s">
        <v>278</v>
      </c>
      <c r="O303" t="s">
        <v>134</v>
      </c>
      <c r="P303" t="s">
        <v>29</v>
      </c>
      <c r="Q303">
        <v>42</v>
      </c>
      <c r="R303">
        <v>-93.620800000000003</v>
      </c>
    </row>
    <row r="304" spans="1:18" x14ac:dyDescent="0.2">
      <c r="A304" t="s">
        <v>270</v>
      </c>
      <c r="B304" t="s">
        <v>271</v>
      </c>
      <c r="C304">
        <v>33</v>
      </c>
      <c r="D304" s="1">
        <v>44045.584178240744</v>
      </c>
      <c r="E304" t="s">
        <v>961</v>
      </c>
      <c r="F304" t="s">
        <v>273</v>
      </c>
      <c r="G304" t="s">
        <v>793</v>
      </c>
      <c r="H304" t="s">
        <v>275</v>
      </c>
      <c r="I304" t="s">
        <v>292</v>
      </c>
      <c r="J304">
        <v>33</v>
      </c>
      <c r="K304">
        <f t="shared" si="5"/>
        <v>-183</v>
      </c>
      <c r="L304" t="s">
        <v>962</v>
      </c>
      <c r="M304" t="s">
        <v>963</v>
      </c>
      <c r="N304" t="s">
        <v>278</v>
      </c>
      <c r="O304" t="s">
        <v>134</v>
      </c>
      <c r="P304" t="s">
        <v>29</v>
      </c>
      <c r="Q304">
        <v>42</v>
      </c>
      <c r="R304">
        <v>-93.620800000000003</v>
      </c>
    </row>
    <row r="305" spans="1:18" x14ac:dyDescent="0.2">
      <c r="A305" t="s">
        <v>270</v>
      </c>
      <c r="B305" t="s">
        <v>271</v>
      </c>
      <c r="C305">
        <v>33</v>
      </c>
      <c r="D305" s="1">
        <v>44045.561157407406</v>
      </c>
      <c r="E305" t="s">
        <v>964</v>
      </c>
      <c r="F305" t="s">
        <v>273</v>
      </c>
      <c r="G305" t="s">
        <v>793</v>
      </c>
      <c r="H305" t="s">
        <v>275</v>
      </c>
      <c r="I305" t="s">
        <v>292</v>
      </c>
      <c r="J305">
        <v>33</v>
      </c>
      <c r="K305">
        <f t="shared" si="5"/>
        <v>-183</v>
      </c>
      <c r="L305" t="s">
        <v>965</v>
      </c>
      <c r="M305" t="s">
        <v>966</v>
      </c>
      <c r="N305" t="s">
        <v>278</v>
      </c>
      <c r="O305" t="s">
        <v>134</v>
      </c>
      <c r="P305" t="s">
        <v>29</v>
      </c>
      <c r="Q305">
        <v>42</v>
      </c>
      <c r="R305">
        <v>-93.620800000000003</v>
      </c>
    </row>
    <row r="306" spans="1:18" x14ac:dyDescent="0.2">
      <c r="A306" t="s">
        <v>270</v>
      </c>
      <c r="B306" t="s">
        <v>271</v>
      </c>
      <c r="C306">
        <v>33</v>
      </c>
      <c r="D306" s="1">
        <v>44045.560636574075</v>
      </c>
      <c r="E306" t="s">
        <v>967</v>
      </c>
      <c r="F306" t="s">
        <v>273</v>
      </c>
      <c r="G306" t="s">
        <v>793</v>
      </c>
      <c r="H306" t="s">
        <v>275</v>
      </c>
      <c r="I306" t="s">
        <v>292</v>
      </c>
      <c r="J306">
        <v>33</v>
      </c>
      <c r="K306">
        <f t="shared" si="5"/>
        <v>-183</v>
      </c>
      <c r="L306" t="s">
        <v>968</v>
      </c>
      <c r="M306" t="s">
        <v>969</v>
      </c>
      <c r="N306" t="s">
        <v>278</v>
      </c>
      <c r="O306" t="s">
        <v>134</v>
      </c>
      <c r="P306" t="s">
        <v>29</v>
      </c>
      <c r="Q306">
        <v>42</v>
      </c>
      <c r="R306">
        <v>-93.620800000000003</v>
      </c>
    </row>
    <row r="307" spans="1:18" x14ac:dyDescent="0.2">
      <c r="A307" t="s">
        <v>270</v>
      </c>
      <c r="B307" t="s">
        <v>271</v>
      </c>
      <c r="C307">
        <v>33</v>
      </c>
      <c r="D307" s="1">
        <v>44045.560069444444</v>
      </c>
      <c r="E307" t="s">
        <v>970</v>
      </c>
      <c r="F307" t="s">
        <v>273</v>
      </c>
      <c r="G307" t="s">
        <v>793</v>
      </c>
      <c r="H307" t="s">
        <v>275</v>
      </c>
      <c r="I307" t="s">
        <v>292</v>
      </c>
      <c r="J307">
        <v>33</v>
      </c>
      <c r="K307">
        <f t="shared" si="5"/>
        <v>-183</v>
      </c>
      <c r="L307" t="s">
        <v>971</v>
      </c>
      <c r="M307" t="s">
        <v>972</v>
      </c>
      <c r="N307" t="s">
        <v>278</v>
      </c>
      <c r="O307" t="s">
        <v>134</v>
      </c>
      <c r="P307" t="s">
        <v>29</v>
      </c>
      <c r="Q307">
        <v>42</v>
      </c>
      <c r="R307">
        <v>-93.620800000000003</v>
      </c>
    </row>
    <row r="308" spans="1:18" x14ac:dyDescent="0.2">
      <c r="A308" t="s">
        <v>270</v>
      </c>
      <c r="B308" t="s">
        <v>271</v>
      </c>
      <c r="C308">
        <v>33</v>
      </c>
      <c r="D308" s="1">
        <v>44045.559525462966</v>
      </c>
      <c r="E308" t="s">
        <v>973</v>
      </c>
      <c r="F308" t="s">
        <v>273</v>
      </c>
      <c r="G308" t="s">
        <v>793</v>
      </c>
      <c r="H308" t="s">
        <v>275</v>
      </c>
      <c r="I308" t="s">
        <v>292</v>
      </c>
      <c r="J308">
        <v>33</v>
      </c>
      <c r="K308">
        <f t="shared" si="5"/>
        <v>-183</v>
      </c>
      <c r="L308" t="s">
        <v>974</v>
      </c>
      <c r="M308" t="s">
        <v>975</v>
      </c>
      <c r="N308" t="s">
        <v>278</v>
      </c>
      <c r="O308" t="s">
        <v>134</v>
      </c>
      <c r="P308" t="s">
        <v>29</v>
      </c>
      <c r="Q308">
        <v>42</v>
      </c>
      <c r="R308">
        <v>-93.620800000000003</v>
      </c>
    </row>
    <row r="309" spans="1:18" x14ac:dyDescent="0.2">
      <c r="A309" t="s">
        <v>270</v>
      </c>
      <c r="B309" t="s">
        <v>271</v>
      </c>
      <c r="C309">
        <v>1</v>
      </c>
      <c r="D309" s="1">
        <v>44045.405659722222</v>
      </c>
      <c r="E309" t="s">
        <v>976</v>
      </c>
      <c r="F309" t="s">
        <v>273</v>
      </c>
      <c r="G309" t="s">
        <v>793</v>
      </c>
      <c r="H309" t="s">
        <v>275</v>
      </c>
      <c r="I309" t="s">
        <v>29</v>
      </c>
      <c r="J309">
        <v>1</v>
      </c>
      <c r="K309">
        <f>1-844-467-9701</f>
        <v>-11011</v>
      </c>
      <c r="L309" t="s">
        <v>977</v>
      </c>
      <c r="M309" t="s">
        <v>978</v>
      </c>
      <c r="N309" t="s">
        <v>278</v>
      </c>
      <c r="O309" t="s">
        <v>134</v>
      </c>
      <c r="P309" t="s">
        <v>29</v>
      </c>
      <c r="Q309">
        <v>42</v>
      </c>
      <c r="R309">
        <v>-93.620800000000003</v>
      </c>
    </row>
    <row r="310" spans="1:18" x14ac:dyDescent="0.2">
      <c r="A310" t="s">
        <v>270</v>
      </c>
      <c r="B310" t="s">
        <v>271</v>
      </c>
      <c r="C310">
        <v>1</v>
      </c>
      <c r="D310" s="1">
        <v>44045.405555555553</v>
      </c>
      <c r="E310" t="s">
        <v>979</v>
      </c>
      <c r="F310" t="s">
        <v>273</v>
      </c>
      <c r="G310" t="s">
        <v>793</v>
      </c>
      <c r="H310" t="s">
        <v>275</v>
      </c>
      <c r="I310" t="s">
        <v>29</v>
      </c>
      <c r="J310">
        <v>1</v>
      </c>
      <c r="K310">
        <f>1-844-467-9701</f>
        <v>-11011</v>
      </c>
      <c r="L310" t="s">
        <v>980</v>
      </c>
      <c r="M310" t="s">
        <v>981</v>
      </c>
      <c r="N310" t="s">
        <v>278</v>
      </c>
      <c r="O310" t="s">
        <v>134</v>
      </c>
      <c r="P310" t="s">
        <v>29</v>
      </c>
      <c r="Q310">
        <v>42</v>
      </c>
      <c r="R310">
        <v>-93.620800000000003</v>
      </c>
    </row>
    <row r="311" spans="1:18" x14ac:dyDescent="0.2">
      <c r="A311" t="s">
        <v>270</v>
      </c>
      <c r="B311" t="s">
        <v>271</v>
      </c>
      <c r="C311">
        <v>33</v>
      </c>
      <c r="D311" s="1">
        <v>44045.404965277776</v>
      </c>
      <c r="E311" t="s">
        <v>982</v>
      </c>
      <c r="F311" t="s">
        <v>273</v>
      </c>
      <c r="G311" t="s">
        <v>793</v>
      </c>
      <c r="H311" t="s">
        <v>275</v>
      </c>
      <c r="I311" t="s">
        <v>292</v>
      </c>
      <c r="J311">
        <v>33</v>
      </c>
      <c r="K311">
        <f t="shared" ref="K311:K317" si="6">33-7-55-53-87-14</f>
        <v>-183</v>
      </c>
      <c r="L311" t="s">
        <v>983</v>
      </c>
      <c r="M311" t="s">
        <v>984</v>
      </c>
      <c r="N311" t="s">
        <v>278</v>
      </c>
      <c r="O311" t="s">
        <v>134</v>
      </c>
      <c r="P311" t="s">
        <v>29</v>
      </c>
      <c r="Q311">
        <v>42</v>
      </c>
      <c r="R311">
        <v>-93.620800000000003</v>
      </c>
    </row>
    <row r="312" spans="1:18" x14ac:dyDescent="0.2">
      <c r="A312" t="s">
        <v>270</v>
      </c>
      <c r="B312" t="s">
        <v>271</v>
      </c>
      <c r="C312">
        <v>33</v>
      </c>
      <c r="D312" s="1">
        <v>44045.403946759259</v>
      </c>
      <c r="E312" t="s">
        <v>985</v>
      </c>
      <c r="F312" t="s">
        <v>273</v>
      </c>
      <c r="G312" t="s">
        <v>793</v>
      </c>
      <c r="H312" t="s">
        <v>275</v>
      </c>
      <c r="I312" t="s">
        <v>292</v>
      </c>
      <c r="J312">
        <v>33</v>
      </c>
      <c r="K312">
        <f t="shared" si="6"/>
        <v>-183</v>
      </c>
      <c r="L312" t="s">
        <v>986</v>
      </c>
      <c r="M312" t="s">
        <v>987</v>
      </c>
      <c r="N312" t="s">
        <v>278</v>
      </c>
      <c r="O312" t="s">
        <v>134</v>
      </c>
      <c r="P312" t="s">
        <v>29</v>
      </c>
      <c r="Q312">
        <v>42</v>
      </c>
      <c r="R312">
        <v>-93.620800000000003</v>
      </c>
    </row>
    <row r="313" spans="1:18" x14ac:dyDescent="0.2">
      <c r="A313" t="s">
        <v>270</v>
      </c>
      <c r="B313" t="s">
        <v>271</v>
      </c>
      <c r="C313">
        <v>33</v>
      </c>
      <c r="D313" s="1">
        <v>44045.403796296298</v>
      </c>
      <c r="E313" t="s">
        <v>988</v>
      </c>
      <c r="F313" t="s">
        <v>273</v>
      </c>
      <c r="G313" t="s">
        <v>793</v>
      </c>
      <c r="H313" t="s">
        <v>275</v>
      </c>
      <c r="I313" t="s">
        <v>292</v>
      </c>
      <c r="J313">
        <v>33</v>
      </c>
      <c r="K313">
        <f t="shared" si="6"/>
        <v>-183</v>
      </c>
      <c r="L313" t="s">
        <v>989</v>
      </c>
      <c r="M313" t="s">
        <v>990</v>
      </c>
      <c r="N313" t="s">
        <v>278</v>
      </c>
      <c r="O313" t="s">
        <v>134</v>
      </c>
      <c r="P313" t="s">
        <v>29</v>
      </c>
      <c r="Q313">
        <v>42</v>
      </c>
      <c r="R313">
        <v>-93.620800000000003</v>
      </c>
    </row>
    <row r="314" spans="1:18" x14ac:dyDescent="0.2">
      <c r="A314" t="s">
        <v>270</v>
      </c>
      <c r="B314" t="s">
        <v>271</v>
      </c>
      <c r="C314">
        <v>33</v>
      </c>
      <c r="D314" s="1">
        <v>44045.402314814812</v>
      </c>
      <c r="E314" t="s">
        <v>991</v>
      </c>
      <c r="F314" t="s">
        <v>273</v>
      </c>
      <c r="G314" t="s">
        <v>793</v>
      </c>
      <c r="H314" t="s">
        <v>275</v>
      </c>
      <c r="I314" t="s">
        <v>292</v>
      </c>
      <c r="J314">
        <v>33</v>
      </c>
      <c r="K314">
        <f t="shared" si="6"/>
        <v>-183</v>
      </c>
      <c r="L314" t="s">
        <v>992</v>
      </c>
      <c r="M314" t="s">
        <v>993</v>
      </c>
      <c r="N314" t="s">
        <v>278</v>
      </c>
      <c r="O314" t="s">
        <v>134</v>
      </c>
      <c r="P314" t="s">
        <v>29</v>
      </c>
      <c r="Q314">
        <v>42</v>
      </c>
      <c r="R314">
        <v>-93.620800000000003</v>
      </c>
    </row>
    <row r="315" spans="1:18" x14ac:dyDescent="0.2">
      <c r="A315" t="s">
        <v>270</v>
      </c>
      <c r="B315" t="s">
        <v>271</v>
      </c>
      <c r="C315">
        <v>33</v>
      </c>
      <c r="D315" s="1">
        <v>44045.402175925927</v>
      </c>
      <c r="E315" t="s">
        <v>994</v>
      </c>
      <c r="F315" t="s">
        <v>273</v>
      </c>
      <c r="G315" t="s">
        <v>793</v>
      </c>
      <c r="H315" t="s">
        <v>275</v>
      </c>
      <c r="I315" t="s">
        <v>292</v>
      </c>
      <c r="J315">
        <v>33</v>
      </c>
      <c r="K315">
        <f t="shared" si="6"/>
        <v>-183</v>
      </c>
      <c r="L315" t="s">
        <v>995</v>
      </c>
      <c r="M315" t="s">
        <v>996</v>
      </c>
      <c r="N315" t="s">
        <v>278</v>
      </c>
      <c r="O315" t="s">
        <v>134</v>
      </c>
      <c r="P315" t="s">
        <v>29</v>
      </c>
      <c r="Q315">
        <v>42</v>
      </c>
      <c r="R315">
        <v>-93.620800000000003</v>
      </c>
    </row>
    <row r="316" spans="1:18" x14ac:dyDescent="0.2">
      <c r="A316" t="s">
        <v>270</v>
      </c>
      <c r="B316" t="s">
        <v>271</v>
      </c>
      <c r="C316">
        <v>33</v>
      </c>
      <c r="D316" s="1">
        <v>44045.402037037034</v>
      </c>
      <c r="E316" t="s">
        <v>997</v>
      </c>
      <c r="F316" t="s">
        <v>273</v>
      </c>
      <c r="G316" t="s">
        <v>793</v>
      </c>
      <c r="H316" t="s">
        <v>275</v>
      </c>
      <c r="I316" t="s">
        <v>292</v>
      </c>
      <c r="J316">
        <v>33</v>
      </c>
      <c r="K316">
        <f t="shared" si="6"/>
        <v>-183</v>
      </c>
      <c r="L316" t="s">
        <v>998</v>
      </c>
      <c r="M316" t="s">
        <v>999</v>
      </c>
      <c r="N316" t="s">
        <v>278</v>
      </c>
      <c r="O316" t="s">
        <v>134</v>
      </c>
      <c r="P316" t="s">
        <v>29</v>
      </c>
      <c r="Q316">
        <v>42</v>
      </c>
      <c r="R316">
        <v>-93.620800000000003</v>
      </c>
    </row>
    <row r="317" spans="1:18" x14ac:dyDescent="0.2">
      <c r="A317" t="s">
        <v>270</v>
      </c>
      <c r="B317" t="s">
        <v>271</v>
      </c>
      <c r="C317">
        <v>33</v>
      </c>
      <c r="D317" s="1">
        <v>44045.401458333334</v>
      </c>
      <c r="E317" t="s">
        <v>1000</v>
      </c>
      <c r="F317" t="s">
        <v>273</v>
      </c>
      <c r="G317" t="s">
        <v>793</v>
      </c>
      <c r="H317" t="s">
        <v>275</v>
      </c>
      <c r="I317" t="s">
        <v>292</v>
      </c>
      <c r="J317">
        <v>33</v>
      </c>
      <c r="K317">
        <f t="shared" si="6"/>
        <v>-183</v>
      </c>
      <c r="L317" t="s">
        <v>1001</v>
      </c>
      <c r="M317" t="s">
        <v>1002</v>
      </c>
      <c r="N317" t="s">
        <v>278</v>
      </c>
      <c r="O317" t="s">
        <v>134</v>
      </c>
      <c r="P317" t="s">
        <v>29</v>
      </c>
      <c r="Q317">
        <v>42</v>
      </c>
      <c r="R317">
        <v>-93.620800000000003</v>
      </c>
    </row>
    <row r="318" spans="1:18" x14ac:dyDescent="0.2">
      <c r="A318" t="s">
        <v>270</v>
      </c>
      <c r="B318" t="s">
        <v>271</v>
      </c>
      <c r="C318">
        <v>1</v>
      </c>
      <c r="D318" s="1">
        <v>44043.837812500002</v>
      </c>
      <c r="E318" t="s">
        <v>1003</v>
      </c>
      <c r="F318" t="s">
        <v>273</v>
      </c>
      <c r="G318" t="s">
        <v>793</v>
      </c>
      <c r="H318" t="s">
        <v>275</v>
      </c>
      <c r="I318" t="s">
        <v>29</v>
      </c>
      <c r="J318">
        <v>1</v>
      </c>
      <c r="K318">
        <f>1-844-472-7908</f>
        <v>-9223</v>
      </c>
      <c r="L318" t="s">
        <v>1004</v>
      </c>
      <c r="M318" t="s">
        <v>1005</v>
      </c>
      <c r="N318" t="s">
        <v>278</v>
      </c>
      <c r="O318" t="s">
        <v>28</v>
      </c>
      <c r="P318" t="s">
        <v>29</v>
      </c>
      <c r="Q318">
        <v>42</v>
      </c>
      <c r="R318">
        <v>-93.620800000000003</v>
      </c>
    </row>
    <row r="319" spans="1:18" x14ac:dyDescent="0.2">
      <c r="A319" t="s">
        <v>270</v>
      </c>
      <c r="B319" t="s">
        <v>271</v>
      </c>
      <c r="C319">
        <v>33</v>
      </c>
      <c r="D319" s="1">
        <v>44042.762326388889</v>
      </c>
      <c r="E319" t="s">
        <v>1006</v>
      </c>
      <c r="F319" t="s">
        <v>273</v>
      </c>
      <c r="G319" t="s">
        <v>793</v>
      </c>
      <c r="H319" t="s">
        <v>275</v>
      </c>
      <c r="I319" t="s">
        <v>292</v>
      </c>
      <c r="J319">
        <v>33</v>
      </c>
      <c r="K319">
        <f t="shared" ref="K319:K325" si="7">33-7-55-53-87-14</f>
        <v>-183</v>
      </c>
      <c r="L319" t="s">
        <v>1007</v>
      </c>
      <c r="M319" t="s">
        <v>1008</v>
      </c>
      <c r="N319" t="s">
        <v>278</v>
      </c>
      <c r="O319" t="s">
        <v>134</v>
      </c>
      <c r="P319" t="s">
        <v>29</v>
      </c>
      <c r="Q319">
        <v>42</v>
      </c>
      <c r="R319">
        <v>-93.620800000000003</v>
      </c>
    </row>
    <row r="320" spans="1:18" x14ac:dyDescent="0.2">
      <c r="A320" t="s">
        <v>270</v>
      </c>
      <c r="B320" t="s">
        <v>271</v>
      </c>
      <c r="C320">
        <v>33</v>
      </c>
      <c r="D320" s="1">
        <v>44042.73164351852</v>
      </c>
      <c r="E320" t="s">
        <v>1009</v>
      </c>
      <c r="F320" t="s">
        <v>273</v>
      </c>
      <c r="G320" t="s">
        <v>793</v>
      </c>
      <c r="H320" t="s">
        <v>275</v>
      </c>
      <c r="I320" t="s">
        <v>292</v>
      </c>
      <c r="J320">
        <v>33</v>
      </c>
      <c r="K320">
        <f t="shared" si="7"/>
        <v>-183</v>
      </c>
      <c r="L320" t="s">
        <v>1010</v>
      </c>
      <c r="M320" t="s">
        <v>1011</v>
      </c>
      <c r="N320" t="s">
        <v>278</v>
      </c>
      <c r="O320" t="s">
        <v>134</v>
      </c>
      <c r="P320" t="s">
        <v>29</v>
      </c>
      <c r="Q320">
        <v>42</v>
      </c>
      <c r="R320">
        <v>-93.620800000000003</v>
      </c>
    </row>
    <row r="321" spans="1:18" x14ac:dyDescent="0.2">
      <c r="A321" t="s">
        <v>270</v>
      </c>
      <c r="B321" t="s">
        <v>271</v>
      </c>
      <c r="C321">
        <v>33</v>
      </c>
      <c r="D321" s="1">
        <v>44042.731585648151</v>
      </c>
      <c r="E321" t="s">
        <v>1012</v>
      </c>
      <c r="F321" t="s">
        <v>273</v>
      </c>
      <c r="G321" t="s">
        <v>793</v>
      </c>
      <c r="H321" t="s">
        <v>275</v>
      </c>
      <c r="I321" t="s">
        <v>292</v>
      </c>
      <c r="J321">
        <v>33</v>
      </c>
      <c r="K321">
        <f t="shared" si="7"/>
        <v>-183</v>
      </c>
      <c r="L321" t="s">
        <v>1013</v>
      </c>
      <c r="M321" t="s">
        <v>1014</v>
      </c>
      <c r="N321" t="s">
        <v>278</v>
      </c>
      <c r="O321" t="s">
        <v>134</v>
      </c>
      <c r="P321" t="s">
        <v>29</v>
      </c>
      <c r="Q321">
        <v>42</v>
      </c>
      <c r="R321">
        <v>-93.620800000000003</v>
      </c>
    </row>
    <row r="322" spans="1:18" x14ac:dyDescent="0.2">
      <c r="A322" t="s">
        <v>270</v>
      </c>
      <c r="B322" t="s">
        <v>271</v>
      </c>
      <c r="C322">
        <v>33</v>
      </c>
      <c r="D322" s="1">
        <v>44042.731435185182</v>
      </c>
      <c r="E322" t="s">
        <v>1015</v>
      </c>
      <c r="F322" t="s">
        <v>273</v>
      </c>
      <c r="G322" t="s">
        <v>793</v>
      </c>
      <c r="H322" t="s">
        <v>275</v>
      </c>
      <c r="I322" t="s">
        <v>292</v>
      </c>
      <c r="J322">
        <v>33</v>
      </c>
      <c r="K322">
        <f t="shared" si="7"/>
        <v>-183</v>
      </c>
      <c r="L322" t="s">
        <v>1016</v>
      </c>
      <c r="M322" t="s">
        <v>1017</v>
      </c>
      <c r="N322" t="s">
        <v>278</v>
      </c>
      <c r="O322" t="s">
        <v>134</v>
      </c>
      <c r="P322" t="s">
        <v>29</v>
      </c>
      <c r="Q322">
        <v>42</v>
      </c>
      <c r="R322">
        <v>-93.620800000000003</v>
      </c>
    </row>
    <row r="323" spans="1:18" x14ac:dyDescent="0.2">
      <c r="A323" t="s">
        <v>270</v>
      </c>
      <c r="B323" t="s">
        <v>271</v>
      </c>
      <c r="C323">
        <v>33</v>
      </c>
      <c r="D323" s="1">
        <v>44042.731215277781</v>
      </c>
      <c r="E323" t="s">
        <v>1018</v>
      </c>
      <c r="F323" t="s">
        <v>273</v>
      </c>
      <c r="G323" t="s">
        <v>793</v>
      </c>
      <c r="H323" t="s">
        <v>275</v>
      </c>
      <c r="I323" t="s">
        <v>292</v>
      </c>
      <c r="J323">
        <v>33</v>
      </c>
      <c r="K323">
        <f t="shared" si="7"/>
        <v>-183</v>
      </c>
      <c r="L323" t="s">
        <v>1019</v>
      </c>
      <c r="M323" t="s">
        <v>1020</v>
      </c>
      <c r="N323" t="s">
        <v>278</v>
      </c>
      <c r="O323" t="s">
        <v>134</v>
      </c>
      <c r="P323" t="s">
        <v>29</v>
      </c>
      <c r="Q323">
        <v>42</v>
      </c>
      <c r="R323">
        <v>-93.620800000000003</v>
      </c>
    </row>
    <row r="324" spans="1:18" x14ac:dyDescent="0.2">
      <c r="A324" t="s">
        <v>270</v>
      </c>
      <c r="B324" t="s">
        <v>271</v>
      </c>
      <c r="C324">
        <v>33</v>
      </c>
      <c r="D324" s="1">
        <v>44041.829328703701</v>
      </c>
      <c r="E324" t="s">
        <v>1021</v>
      </c>
      <c r="F324" t="s">
        <v>273</v>
      </c>
      <c r="G324" t="s">
        <v>793</v>
      </c>
      <c r="H324" t="s">
        <v>275</v>
      </c>
      <c r="I324" t="s">
        <v>292</v>
      </c>
      <c r="J324">
        <v>33</v>
      </c>
      <c r="K324">
        <f t="shared" si="7"/>
        <v>-183</v>
      </c>
      <c r="L324" t="s">
        <v>1022</v>
      </c>
      <c r="M324" t="s">
        <v>1023</v>
      </c>
      <c r="N324" t="s">
        <v>278</v>
      </c>
      <c r="O324" t="s">
        <v>134</v>
      </c>
      <c r="P324" t="s">
        <v>29</v>
      </c>
      <c r="Q324">
        <v>42</v>
      </c>
      <c r="R324">
        <v>-93.620800000000003</v>
      </c>
    </row>
    <row r="325" spans="1:18" x14ac:dyDescent="0.2">
      <c r="A325" t="s">
        <v>270</v>
      </c>
      <c r="B325" t="s">
        <v>271</v>
      </c>
      <c r="C325">
        <v>33</v>
      </c>
      <c r="D325" s="1">
        <v>44041.829131944447</v>
      </c>
      <c r="E325" t="s">
        <v>1024</v>
      </c>
      <c r="F325" t="s">
        <v>273</v>
      </c>
      <c r="G325" t="s">
        <v>793</v>
      </c>
      <c r="H325" t="s">
        <v>275</v>
      </c>
      <c r="I325" t="s">
        <v>292</v>
      </c>
      <c r="J325">
        <v>33</v>
      </c>
      <c r="K325">
        <f t="shared" si="7"/>
        <v>-183</v>
      </c>
      <c r="L325" t="s">
        <v>1025</v>
      </c>
      <c r="M325" t="s">
        <v>1026</v>
      </c>
      <c r="N325" t="s">
        <v>278</v>
      </c>
      <c r="O325" t="s">
        <v>134</v>
      </c>
      <c r="P325" t="s">
        <v>29</v>
      </c>
      <c r="Q325">
        <v>42</v>
      </c>
      <c r="R325">
        <v>-93.620800000000003</v>
      </c>
    </row>
    <row r="326" spans="1:18" x14ac:dyDescent="0.2">
      <c r="A326" t="s">
        <v>270</v>
      </c>
      <c r="B326" t="s">
        <v>271</v>
      </c>
      <c r="C326">
        <v>1</v>
      </c>
      <c r="D326" s="1">
        <v>44041.78398148148</v>
      </c>
      <c r="E326" t="s">
        <v>1027</v>
      </c>
      <c r="F326" t="s">
        <v>273</v>
      </c>
      <c r="G326" t="s">
        <v>793</v>
      </c>
      <c r="H326" t="s">
        <v>275</v>
      </c>
      <c r="I326" t="s">
        <v>29</v>
      </c>
      <c r="J326">
        <v>1</v>
      </c>
      <c r="K326">
        <f>1-844-470-544</f>
        <v>-1857</v>
      </c>
      <c r="L326" t="s">
        <v>1028</v>
      </c>
      <c r="M326" t="s">
        <v>1029</v>
      </c>
      <c r="N326" t="s">
        <v>278</v>
      </c>
      <c r="O326" t="s">
        <v>28</v>
      </c>
      <c r="P326" t="s">
        <v>29</v>
      </c>
      <c r="Q326">
        <v>42</v>
      </c>
      <c r="R326">
        <v>-93.620800000000003</v>
      </c>
    </row>
    <row r="327" spans="1:18" x14ac:dyDescent="0.2">
      <c r="A327" t="s">
        <v>270</v>
      </c>
      <c r="B327" t="s">
        <v>271</v>
      </c>
      <c r="C327">
        <v>33</v>
      </c>
      <c r="D327" s="1">
        <v>44041.688750000001</v>
      </c>
      <c r="E327" t="s">
        <v>1030</v>
      </c>
      <c r="F327" t="s">
        <v>273</v>
      </c>
      <c r="G327" t="s">
        <v>793</v>
      </c>
      <c r="H327" t="s">
        <v>275</v>
      </c>
      <c r="I327" t="s">
        <v>292</v>
      </c>
      <c r="J327">
        <v>33</v>
      </c>
      <c r="K327">
        <f>33-7-55-53-87-14</f>
        <v>-183</v>
      </c>
      <c r="L327" t="s">
        <v>1031</v>
      </c>
      <c r="M327" t="s">
        <v>1032</v>
      </c>
      <c r="N327" t="s">
        <v>278</v>
      </c>
      <c r="O327" t="s">
        <v>134</v>
      </c>
      <c r="P327" t="s">
        <v>29</v>
      </c>
      <c r="Q327">
        <v>42</v>
      </c>
      <c r="R327">
        <v>-93.620800000000003</v>
      </c>
    </row>
    <row r="328" spans="1:18" x14ac:dyDescent="0.2">
      <c r="A328" t="s">
        <v>270</v>
      </c>
      <c r="B328" t="s">
        <v>271</v>
      </c>
      <c r="C328">
        <v>33</v>
      </c>
      <c r="D328" s="1">
        <v>44041.432083333333</v>
      </c>
      <c r="E328" t="s">
        <v>1033</v>
      </c>
      <c r="F328" t="s">
        <v>273</v>
      </c>
      <c r="G328" t="s">
        <v>793</v>
      </c>
      <c r="H328" t="s">
        <v>275</v>
      </c>
      <c r="I328" t="s">
        <v>292</v>
      </c>
      <c r="J328">
        <v>33</v>
      </c>
      <c r="K328">
        <f>33-7-55-53-87-14</f>
        <v>-183</v>
      </c>
      <c r="L328" t="s">
        <v>1034</v>
      </c>
      <c r="M328" t="s">
        <v>1035</v>
      </c>
      <c r="N328" t="s">
        <v>278</v>
      </c>
      <c r="O328" t="s">
        <v>134</v>
      </c>
      <c r="P328" t="s">
        <v>29</v>
      </c>
      <c r="Q328">
        <v>42</v>
      </c>
      <c r="R328">
        <v>-93.620800000000003</v>
      </c>
    </row>
    <row r="329" spans="1:18" x14ac:dyDescent="0.2">
      <c r="A329" t="s">
        <v>270</v>
      </c>
      <c r="B329" t="s">
        <v>271</v>
      </c>
      <c r="C329">
        <v>1</v>
      </c>
      <c r="D329" s="1">
        <v>44041.431087962963</v>
      </c>
      <c r="E329" t="s">
        <v>1036</v>
      </c>
      <c r="F329" t="s">
        <v>273</v>
      </c>
      <c r="G329" t="s">
        <v>793</v>
      </c>
      <c r="H329" t="s">
        <v>275</v>
      </c>
      <c r="I329" t="s">
        <v>29</v>
      </c>
      <c r="J329">
        <v>1</v>
      </c>
      <c r="K329">
        <f>1-844-471-8655</f>
        <v>-9969</v>
      </c>
      <c r="L329" t="s">
        <v>1037</v>
      </c>
      <c r="M329" t="s">
        <v>1038</v>
      </c>
      <c r="N329" t="s">
        <v>278</v>
      </c>
      <c r="O329" t="s">
        <v>134</v>
      </c>
      <c r="P329" t="s">
        <v>29</v>
      </c>
      <c r="Q329">
        <v>42</v>
      </c>
      <c r="R329">
        <v>-93.620800000000003</v>
      </c>
    </row>
    <row r="330" spans="1:18" x14ac:dyDescent="0.2">
      <c r="A330" t="s">
        <v>270</v>
      </c>
      <c r="B330" t="s">
        <v>271</v>
      </c>
      <c r="C330">
        <v>1</v>
      </c>
      <c r="D330" s="1">
        <v>44041.430879629632</v>
      </c>
      <c r="E330" t="s">
        <v>1039</v>
      </c>
      <c r="F330" t="s">
        <v>273</v>
      </c>
      <c r="G330" t="s">
        <v>793</v>
      </c>
      <c r="H330" t="s">
        <v>275</v>
      </c>
      <c r="I330" t="s">
        <v>29</v>
      </c>
      <c r="J330">
        <v>1</v>
      </c>
      <c r="K330">
        <f>1-844-467-9774</f>
        <v>-11084</v>
      </c>
      <c r="L330" t="s">
        <v>1040</v>
      </c>
      <c r="M330" t="s">
        <v>1041</v>
      </c>
      <c r="N330" t="s">
        <v>278</v>
      </c>
      <c r="O330" t="s">
        <v>134</v>
      </c>
      <c r="P330" t="s">
        <v>29</v>
      </c>
      <c r="Q330">
        <v>42</v>
      </c>
      <c r="R330">
        <v>-93.620800000000003</v>
      </c>
    </row>
    <row r="331" spans="1:18" x14ac:dyDescent="0.2">
      <c r="A331" t="s">
        <v>270</v>
      </c>
      <c r="B331" t="s">
        <v>271</v>
      </c>
      <c r="C331">
        <v>33</v>
      </c>
      <c r="D331" s="1">
        <v>44041.430752314816</v>
      </c>
      <c r="E331" t="s">
        <v>1042</v>
      </c>
      <c r="F331" t="s">
        <v>273</v>
      </c>
      <c r="G331" t="s">
        <v>793</v>
      </c>
      <c r="H331" t="s">
        <v>275</v>
      </c>
      <c r="I331" t="s">
        <v>292</v>
      </c>
      <c r="J331">
        <v>33</v>
      </c>
      <c r="K331">
        <f>33-7-55-53-87-14</f>
        <v>-183</v>
      </c>
      <c r="L331" t="s">
        <v>1043</v>
      </c>
      <c r="M331" t="s">
        <v>1044</v>
      </c>
      <c r="N331" t="s">
        <v>278</v>
      </c>
      <c r="O331" t="s">
        <v>134</v>
      </c>
      <c r="P331" t="s">
        <v>29</v>
      </c>
      <c r="Q331">
        <v>42</v>
      </c>
      <c r="R331">
        <v>-93.620800000000003</v>
      </c>
    </row>
    <row r="332" spans="1:18" x14ac:dyDescent="0.2">
      <c r="A332" t="s">
        <v>270</v>
      </c>
      <c r="B332" t="s">
        <v>271</v>
      </c>
      <c r="C332">
        <v>33</v>
      </c>
      <c r="D332" s="1">
        <v>44041.429675925923</v>
      </c>
      <c r="E332" t="s">
        <v>1045</v>
      </c>
      <c r="F332" t="s">
        <v>273</v>
      </c>
      <c r="G332" t="s">
        <v>793</v>
      </c>
      <c r="H332" t="s">
        <v>275</v>
      </c>
      <c r="I332" t="s">
        <v>292</v>
      </c>
      <c r="J332">
        <v>33</v>
      </c>
      <c r="K332">
        <f>33-7-55-53-87-14</f>
        <v>-183</v>
      </c>
      <c r="L332" t="s">
        <v>1046</v>
      </c>
      <c r="M332" t="s">
        <v>1047</v>
      </c>
      <c r="N332" t="s">
        <v>278</v>
      </c>
      <c r="O332" t="s">
        <v>134</v>
      </c>
      <c r="P332" t="s">
        <v>29</v>
      </c>
      <c r="Q332">
        <v>42</v>
      </c>
      <c r="R332">
        <v>-93.620800000000003</v>
      </c>
    </row>
    <row r="333" spans="1:18" x14ac:dyDescent="0.2">
      <c r="A333" t="s">
        <v>270</v>
      </c>
      <c r="B333" t="s">
        <v>271</v>
      </c>
      <c r="C333">
        <v>33</v>
      </c>
      <c r="D333" s="1">
        <v>44041.429270833331</v>
      </c>
      <c r="E333" t="s">
        <v>1048</v>
      </c>
      <c r="F333" t="s">
        <v>273</v>
      </c>
      <c r="G333" t="s">
        <v>793</v>
      </c>
      <c r="H333" t="s">
        <v>275</v>
      </c>
      <c r="I333" t="s">
        <v>292</v>
      </c>
      <c r="J333">
        <v>33</v>
      </c>
      <c r="K333">
        <f>33-7-55-53-87-14</f>
        <v>-183</v>
      </c>
      <c r="L333" t="s">
        <v>1049</v>
      </c>
      <c r="M333" t="s">
        <v>1050</v>
      </c>
      <c r="N333" t="s">
        <v>278</v>
      </c>
      <c r="O333" t="s">
        <v>134</v>
      </c>
      <c r="P333" t="s">
        <v>29</v>
      </c>
      <c r="Q333">
        <v>42</v>
      </c>
      <c r="R333">
        <v>-93.620800000000003</v>
      </c>
    </row>
    <row r="334" spans="1:18" x14ac:dyDescent="0.2">
      <c r="A334" t="s">
        <v>270</v>
      </c>
      <c r="B334" t="s">
        <v>271</v>
      </c>
      <c r="C334">
        <v>33</v>
      </c>
      <c r="D334" s="1">
        <v>44041.429085648146</v>
      </c>
      <c r="E334" t="s">
        <v>1051</v>
      </c>
      <c r="F334" t="s">
        <v>273</v>
      </c>
      <c r="G334" t="s">
        <v>793</v>
      </c>
      <c r="H334" t="s">
        <v>275</v>
      </c>
      <c r="I334" t="s">
        <v>292</v>
      </c>
      <c r="J334">
        <v>33</v>
      </c>
      <c r="K334">
        <f>33-7-55-53-87-14</f>
        <v>-183</v>
      </c>
      <c r="L334" t="s">
        <v>1052</v>
      </c>
      <c r="M334" t="s">
        <v>1053</v>
      </c>
      <c r="N334" t="s">
        <v>278</v>
      </c>
      <c r="O334" t="s">
        <v>134</v>
      </c>
      <c r="P334" t="s">
        <v>29</v>
      </c>
      <c r="Q334">
        <v>42</v>
      </c>
      <c r="R334">
        <v>-93.620800000000003</v>
      </c>
    </row>
    <row r="335" spans="1:18" x14ac:dyDescent="0.2">
      <c r="A335" t="s">
        <v>270</v>
      </c>
      <c r="B335" t="s">
        <v>271</v>
      </c>
      <c r="C335">
        <v>33</v>
      </c>
      <c r="D335" s="1">
        <v>44041.428680555553</v>
      </c>
      <c r="E335" t="s">
        <v>1054</v>
      </c>
      <c r="F335" t="s">
        <v>273</v>
      </c>
      <c r="G335" t="s">
        <v>793</v>
      </c>
      <c r="H335" t="s">
        <v>275</v>
      </c>
      <c r="I335" t="s">
        <v>292</v>
      </c>
      <c r="J335">
        <v>33</v>
      </c>
      <c r="K335">
        <f>33-7-55-53-87-14</f>
        <v>-183</v>
      </c>
      <c r="L335" t="s">
        <v>1055</v>
      </c>
      <c r="M335" t="s">
        <v>1056</v>
      </c>
      <c r="N335" t="s">
        <v>278</v>
      </c>
      <c r="O335" t="s">
        <v>134</v>
      </c>
      <c r="P335" t="s">
        <v>29</v>
      </c>
      <c r="Q335">
        <v>42</v>
      </c>
      <c r="R335">
        <v>-93.620800000000003</v>
      </c>
    </row>
    <row r="336" spans="1:18" x14ac:dyDescent="0.2">
      <c r="A336" t="s">
        <v>270</v>
      </c>
      <c r="B336" t="s">
        <v>271</v>
      </c>
      <c r="C336">
        <v>1</v>
      </c>
      <c r="D336" s="1">
        <v>44041.428460648145</v>
      </c>
      <c r="E336" t="s">
        <v>928</v>
      </c>
      <c r="F336" t="s">
        <v>273</v>
      </c>
      <c r="G336" t="s">
        <v>793</v>
      </c>
      <c r="H336" t="s">
        <v>275</v>
      </c>
      <c r="I336" t="s">
        <v>29</v>
      </c>
      <c r="J336">
        <v>1</v>
      </c>
      <c r="K336">
        <f>1-844-484-7793</f>
        <v>-9120</v>
      </c>
      <c r="L336" t="s">
        <v>1057</v>
      </c>
      <c r="M336" t="s">
        <v>1058</v>
      </c>
      <c r="N336" t="s">
        <v>278</v>
      </c>
      <c r="O336" t="s">
        <v>134</v>
      </c>
      <c r="P336" t="s">
        <v>29</v>
      </c>
      <c r="Q336">
        <v>42</v>
      </c>
      <c r="R336">
        <v>-93.620800000000003</v>
      </c>
    </row>
    <row r="337" spans="1:18" x14ac:dyDescent="0.2">
      <c r="A337" t="s">
        <v>270</v>
      </c>
      <c r="B337" t="s">
        <v>271</v>
      </c>
      <c r="C337">
        <v>1</v>
      </c>
      <c r="D337" s="1">
        <v>44041.053078703706</v>
      </c>
      <c r="E337" t="s">
        <v>1059</v>
      </c>
      <c r="F337" t="s">
        <v>273</v>
      </c>
      <c r="G337" t="s">
        <v>793</v>
      </c>
      <c r="H337" t="s">
        <v>275</v>
      </c>
      <c r="I337" t="s">
        <v>29</v>
      </c>
      <c r="J337">
        <v>1</v>
      </c>
      <c r="K337">
        <f>1-844-470-9943</f>
        <v>-11256</v>
      </c>
      <c r="L337" t="s">
        <v>1060</v>
      </c>
      <c r="M337" t="s">
        <v>1061</v>
      </c>
      <c r="N337" t="s">
        <v>278</v>
      </c>
      <c r="O337" t="s">
        <v>28</v>
      </c>
      <c r="P337" t="s">
        <v>29</v>
      </c>
      <c r="Q337">
        <v>42</v>
      </c>
      <c r="R337">
        <v>-93.620800000000003</v>
      </c>
    </row>
    <row r="338" spans="1:18" x14ac:dyDescent="0.2">
      <c r="A338" t="s">
        <v>270</v>
      </c>
      <c r="B338" t="s">
        <v>271</v>
      </c>
      <c r="C338">
        <v>1</v>
      </c>
      <c r="D338" s="1">
        <v>44041.043958333335</v>
      </c>
      <c r="E338" t="s">
        <v>1062</v>
      </c>
      <c r="F338" t="s">
        <v>273</v>
      </c>
      <c r="G338" t="s">
        <v>793</v>
      </c>
      <c r="H338" t="s">
        <v>275</v>
      </c>
      <c r="I338" t="s">
        <v>29</v>
      </c>
      <c r="J338">
        <v>1</v>
      </c>
      <c r="K338">
        <f>1-833-325-7604</f>
        <v>-8761</v>
      </c>
      <c r="L338" t="s">
        <v>1063</v>
      </c>
      <c r="M338" t="s">
        <v>1064</v>
      </c>
      <c r="N338" t="s">
        <v>278</v>
      </c>
      <c r="O338" t="s">
        <v>28</v>
      </c>
      <c r="P338" t="s">
        <v>29</v>
      </c>
      <c r="Q338">
        <v>42</v>
      </c>
      <c r="R338">
        <v>-93.620800000000003</v>
      </c>
    </row>
    <row r="339" spans="1:18" x14ac:dyDescent="0.2">
      <c r="A339" t="s">
        <v>270</v>
      </c>
      <c r="B339" t="s">
        <v>271</v>
      </c>
      <c r="C339">
        <v>1</v>
      </c>
      <c r="D339" s="1">
        <v>44039.180983796294</v>
      </c>
      <c r="E339" t="s">
        <v>1065</v>
      </c>
      <c r="F339" t="s">
        <v>273</v>
      </c>
      <c r="G339" t="s">
        <v>793</v>
      </c>
      <c r="H339" t="s">
        <v>275</v>
      </c>
      <c r="I339" t="s">
        <v>29</v>
      </c>
      <c r="J339">
        <v>1</v>
      </c>
      <c r="K339">
        <f>1-844-480-3638</f>
        <v>-4961</v>
      </c>
      <c r="L339" t="s">
        <v>1066</v>
      </c>
      <c r="M339" t="s">
        <v>1067</v>
      </c>
      <c r="N339" t="s">
        <v>278</v>
      </c>
      <c r="O339" t="s">
        <v>134</v>
      </c>
      <c r="P339" t="s">
        <v>29</v>
      </c>
      <c r="Q339">
        <v>42</v>
      </c>
      <c r="R339">
        <v>-93.620800000000003</v>
      </c>
    </row>
    <row r="340" spans="1:18" x14ac:dyDescent="0.2">
      <c r="A340" t="s">
        <v>270</v>
      </c>
      <c r="B340" t="s">
        <v>271</v>
      </c>
      <c r="C340">
        <v>1</v>
      </c>
      <c r="D340" s="1">
        <v>44037.901331018518</v>
      </c>
      <c r="E340" t="s">
        <v>1068</v>
      </c>
      <c r="F340" t="s">
        <v>273</v>
      </c>
      <c r="G340" t="s">
        <v>793</v>
      </c>
      <c r="H340" t="s">
        <v>275</v>
      </c>
      <c r="I340" t="s">
        <v>29</v>
      </c>
      <c r="J340">
        <v>1</v>
      </c>
      <c r="K340">
        <f>1-888-527-4158</f>
        <v>-5572</v>
      </c>
      <c r="L340" t="s">
        <v>1069</v>
      </c>
      <c r="M340" t="s">
        <v>1070</v>
      </c>
      <c r="N340" t="s">
        <v>278</v>
      </c>
      <c r="O340" t="s">
        <v>134</v>
      </c>
      <c r="P340" t="s">
        <v>29</v>
      </c>
      <c r="Q340">
        <v>42</v>
      </c>
      <c r="R340">
        <v>-93.620800000000003</v>
      </c>
    </row>
    <row r="341" spans="1:18" x14ac:dyDescent="0.2">
      <c r="A341" t="s">
        <v>270</v>
      </c>
      <c r="B341" t="s">
        <v>271</v>
      </c>
      <c r="C341">
        <v>33</v>
      </c>
      <c r="D341" s="1">
        <v>44037.901041666664</v>
      </c>
      <c r="E341" t="s">
        <v>1071</v>
      </c>
      <c r="F341" t="s">
        <v>273</v>
      </c>
      <c r="G341" t="s">
        <v>793</v>
      </c>
      <c r="H341" t="s">
        <v>275</v>
      </c>
      <c r="I341" t="s">
        <v>292</v>
      </c>
      <c r="J341">
        <v>33</v>
      </c>
      <c r="K341">
        <f>33-7-55-53-87-14</f>
        <v>-183</v>
      </c>
      <c r="L341" t="s">
        <v>1072</v>
      </c>
      <c r="M341" t="s">
        <v>1073</v>
      </c>
      <c r="N341" t="s">
        <v>278</v>
      </c>
      <c r="O341" t="s">
        <v>134</v>
      </c>
      <c r="P341" t="s">
        <v>29</v>
      </c>
      <c r="Q341">
        <v>42</v>
      </c>
      <c r="R341">
        <v>-93.620800000000003</v>
      </c>
    </row>
    <row r="342" spans="1:18" x14ac:dyDescent="0.2">
      <c r="A342" t="s">
        <v>270</v>
      </c>
      <c r="B342" t="s">
        <v>271</v>
      </c>
      <c r="C342">
        <v>33</v>
      </c>
      <c r="D342" s="1">
        <v>44037.900810185187</v>
      </c>
      <c r="E342" t="s">
        <v>1074</v>
      </c>
      <c r="F342" t="s">
        <v>273</v>
      </c>
      <c r="G342" t="s">
        <v>793</v>
      </c>
      <c r="H342" t="s">
        <v>275</v>
      </c>
      <c r="I342" t="s">
        <v>292</v>
      </c>
      <c r="J342">
        <v>33</v>
      </c>
      <c r="K342">
        <f>33-7-55-53-87-14</f>
        <v>-183</v>
      </c>
      <c r="L342" t="s">
        <v>1075</v>
      </c>
      <c r="M342" t="s">
        <v>1076</v>
      </c>
      <c r="N342" t="s">
        <v>278</v>
      </c>
      <c r="O342" t="s">
        <v>134</v>
      </c>
      <c r="P342" t="s">
        <v>29</v>
      </c>
      <c r="Q342">
        <v>42</v>
      </c>
      <c r="R342">
        <v>-93.620800000000003</v>
      </c>
    </row>
    <row r="343" spans="1:18" x14ac:dyDescent="0.2">
      <c r="A343" t="s">
        <v>270</v>
      </c>
      <c r="B343" t="s">
        <v>271</v>
      </c>
      <c r="C343">
        <v>33</v>
      </c>
      <c r="D343" s="1">
        <v>44037.900555555556</v>
      </c>
      <c r="E343" t="s">
        <v>1077</v>
      </c>
      <c r="F343" t="s">
        <v>273</v>
      </c>
      <c r="G343" t="s">
        <v>793</v>
      </c>
      <c r="H343" t="s">
        <v>275</v>
      </c>
      <c r="I343" t="s">
        <v>292</v>
      </c>
      <c r="J343">
        <v>33</v>
      </c>
      <c r="K343">
        <f>33-7-55-53-87-14</f>
        <v>-183</v>
      </c>
      <c r="L343" t="s">
        <v>1078</v>
      </c>
      <c r="M343" t="s">
        <v>1079</v>
      </c>
      <c r="N343" t="s">
        <v>278</v>
      </c>
      <c r="O343" t="s">
        <v>134</v>
      </c>
      <c r="P343" t="s">
        <v>29</v>
      </c>
      <c r="Q343">
        <v>42</v>
      </c>
      <c r="R343">
        <v>-93.620800000000003</v>
      </c>
    </row>
    <row r="344" spans="1:18" x14ac:dyDescent="0.2">
      <c r="A344" t="s">
        <v>270</v>
      </c>
      <c r="B344" t="s">
        <v>271</v>
      </c>
      <c r="C344">
        <v>33</v>
      </c>
      <c r="D344" s="1">
        <v>44037.900370370371</v>
      </c>
      <c r="E344" t="s">
        <v>1080</v>
      </c>
      <c r="F344" t="s">
        <v>273</v>
      </c>
      <c r="G344" t="s">
        <v>793</v>
      </c>
      <c r="H344" t="s">
        <v>275</v>
      </c>
      <c r="I344" t="s">
        <v>292</v>
      </c>
      <c r="J344">
        <v>33</v>
      </c>
      <c r="K344" t="s">
        <v>1081</v>
      </c>
      <c r="L344" t="s">
        <v>1082</v>
      </c>
      <c r="M344" t="s">
        <v>1083</v>
      </c>
      <c r="N344" t="s">
        <v>278</v>
      </c>
      <c r="O344" t="s">
        <v>134</v>
      </c>
      <c r="P344" t="s">
        <v>29</v>
      </c>
      <c r="Q344">
        <v>42</v>
      </c>
      <c r="R344">
        <v>-93.620800000000003</v>
      </c>
    </row>
    <row r="345" spans="1:18" x14ac:dyDescent="0.2">
      <c r="A345" t="s">
        <v>270</v>
      </c>
      <c r="B345" t="s">
        <v>271</v>
      </c>
      <c r="C345">
        <v>1</v>
      </c>
      <c r="D345" s="1">
        <v>44037.87159722222</v>
      </c>
      <c r="E345" t="s">
        <v>1084</v>
      </c>
      <c r="F345" t="s">
        <v>273</v>
      </c>
      <c r="G345" t="s">
        <v>793</v>
      </c>
      <c r="H345" t="s">
        <v>275</v>
      </c>
      <c r="I345" t="s">
        <v>29</v>
      </c>
      <c r="J345">
        <v>1</v>
      </c>
      <c r="K345">
        <f>1-888-473-1252</f>
        <v>-2612</v>
      </c>
      <c r="L345" t="s">
        <v>1085</v>
      </c>
      <c r="M345" t="s">
        <v>1086</v>
      </c>
      <c r="N345" t="s">
        <v>278</v>
      </c>
      <c r="O345" t="s">
        <v>28</v>
      </c>
      <c r="P345" t="s">
        <v>29</v>
      </c>
      <c r="Q345">
        <v>42</v>
      </c>
      <c r="R345">
        <v>-93.620800000000003</v>
      </c>
    </row>
    <row r="346" spans="1:18" x14ac:dyDescent="0.2">
      <c r="A346" t="s">
        <v>270</v>
      </c>
      <c r="B346" t="s">
        <v>271</v>
      </c>
      <c r="C346">
        <v>1</v>
      </c>
      <c r="D346" s="1">
        <v>44031.935613425929</v>
      </c>
      <c r="E346" t="s">
        <v>1087</v>
      </c>
      <c r="F346" t="s">
        <v>273</v>
      </c>
      <c r="G346" t="s">
        <v>793</v>
      </c>
      <c r="H346" t="s">
        <v>275</v>
      </c>
      <c r="I346" t="s">
        <v>29</v>
      </c>
      <c r="J346">
        <v>1</v>
      </c>
      <c r="K346">
        <f>1-866-755-1971</f>
        <v>-3591</v>
      </c>
      <c r="L346" t="s">
        <v>1088</v>
      </c>
      <c r="M346" t="s">
        <v>1089</v>
      </c>
      <c r="N346" t="s">
        <v>278</v>
      </c>
      <c r="O346" t="s">
        <v>28</v>
      </c>
      <c r="P346" t="s">
        <v>29</v>
      </c>
      <c r="Q346">
        <v>42</v>
      </c>
      <c r="R346">
        <v>-93.620800000000003</v>
      </c>
    </row>
    <row r="347" spans="1:18" x14ac:dyDescent="0.2">
      <c r="A347" t="s">
        <v>270</v>
      </c>
      <c r="B347" t="s">
        <v>271</v>
      </c>
      <c r="C347">
        <v>1</v>
      </c>
      <c r="D347" s="1">
        <v>44030.87704861111</v>
      </c>
      <c r="E347" t="s">
        <v>1090</v>
      </c>
      <c r="F347" t="s">
        <v>273</v>
      </c>
      <c r="G347" t="s">
        <v>793</v>
      </c>
      <c r="H347" t="s">
        <v>275</v>
      </c>
      <c r="I347" t="s">
        <v>29</v>
      </c>
      <c r="J347">
        <v>1</v>
      </c>
      <c r="K347">
        <f>1-888-538-6843</f>
        <v>-8268</v>
      </c>
      <c r="L347" t="s">
        <v>1091</v>
      </c>
      <c r="M347" t="s">
        <v>1092</v>
      </c>
      <c r="N347" t="s">
        <v>278</v>
      </c>
      <c r="O347" t="s">
        <v>28</v>
      </c>
      <c r="P347" t="s">
        <v>29</v>
      </c>
      <c r="Q347">
        <v>42</v>
      </c>
      <c r="R347">
        <v>-93.620800000000003</v>
      </c>
    </row>
    <row r="348" spans="1:18" x14ac:dyDescent="0.2">
      <c r="A348" t="s">
        <v>270</v>
      </c>
      <c r="B348" t="s">
        <v>271</v>
      </c>
      <c r="C348">
        <v>1</v>
      </c>
      <c r="D348" s="1">
        <v>44028.922719907408</v>
      </c>
      <c r="E348" t="s">
        <v>1093</v>
      </c>
      <c r="F348" t="s">
        <v>273</v>
      </c>
      <c r="G348" t="s">
        <v>793</v>
      </c>
      <c r="H348" t="s">
        <v>275</v>
      </c>
      <c r="I348" t="s">
        <v>29</v>
      </c>
      <c r="J348">
        <v>1</v>
      </c>
      <c r="K348">
        <f>1-866-458-79</f>
        <v>-1402</v>
      </c>
      <c r="L348" t="s">
        <v>1094</v>
      </c>
      <c r="M348" t="s">
        <v>1095</v>
      </c>
      <c r="N348" t="s">
        <v>278</v>
      </c>
      <c r="O348" t="s">
        <v>28</v>
      </c>
      <c r="P348" t="s">
        <v>29</v>
      </c>
      <c r="Q348">
        <v>42</v>
      </c>
      <c r="R348">
        <v>-93.620800000000003</v>
      </c>
    </row>
    <row r="349" spans="1:18" x14ac:dyDescent="0.2">
      <c r="A349" t="s">
        <v>270</v>
      </c>
      <c r="B349" t="s">
        <v>271</v>
      </c>
      <c r="C349">
        <v>1</v>
      </c>
      <c r="D349" s="1">
        <v>44028.875243055554</v>
      </c>
      <c r="E349" t="s">
        <v>1096</v>
      </c>
      <c r="F349" t="s">
        <v>273</v>
      </c>
      <c r="G349" t="s">
        <v>793</v>
      </c>
      <c r="H349" t="s">
        <v>275</v>
      </c>
      <c r="I349" t="s">
        <v>29</v>
      </c>
      <c r="J349">
        <v>1</v>
      </c>
      <c r="K349">
        <f>1-866-540-9226</f>
        <v>-10631</v>
      </c>
      <c r="L349" t="s">
        <v>1097</v>
      </c>
      <c r="M349" t="s">
        <v>1098</v>
      </c>
      <c r="N349" t="s">
        <v>278</v>
      </c>
      <c r="O349" t="s">
        <v>28</v>
      </c>
      <c r="P349" t="s">
        <v>29</v>
      </c>
      <c r="Q349">
        <v>42</v>
      </c>
      <c r="R349">
        <v>-93.620800000000003</v>
      </c>
    </row>
    <row r="350" spans="1:18" x14ac:dyDescent="0.2">
      <c r="A350" t="s">
        <v>270</v>
      </c>
      <c r="B350" t="s">
        <v>271</v>
      </c>
      <c r="C350">
        <v>1</v>
      </c>
      <c r="D350" s="1">
        <v>44028.816145833334</v>
      </c>
      <c r="E350" t="s">
        <v>1099</v>
      </c>
      <c r="F350" t="s">
        <v>273</v>
      </c>
      <c r="G350" t="s">
        <v>793</v>
      </c>
      <c r="H350" t="s">
        <v>275</v>
      </c>
      <c r="I350" t="s">
        <v>29</v>
      </c>
      <c r="J350">
        <v>1</v>
      </c>
      <c r="K350">
        <f>1-866-540-9226</f>
        <v>-10631</v>
      </c>
      <c r="L350" t="s">
        <v>1100</v>
      </c>
      <c r="M350" t="s">
        <v>1101</v>
      </c>
      <c r="N350" t="s">
        <v>278</v>
      </c>
      <c r="O350" t="s">
        <v>28</v>
      </c>
      <c r="P350" t="s">
        <v>29</v>
      </c>
      <c r="Q350">
        <v>42</v>
      </c>
      <c r="R350">
        <v>-93.620800000000003</v>
      </c>
    </row>
    <row r="351" spans="1:18" x14ac:dyDescent="0.2">
      <c r="A351" t="s">
        <v>270</v>
      </c>
      <c r="B351" t="s">
        <v>271</v>
      </c>
      <c r="C351">
        <v>1</v>
      </c>
      <c r="D351" s="1">
        <v>44027.997291666667</v>
      </c>
      <c r="E351" t="s">
        <v>1102</v>
      </c>
      <c r="F351" t="s">
        <v>273</v>
      </c>
      <c r="G351" t="s">
        <v>793</v>
      </c>
      <c r="H351" t="s">
        <v>275</v>
      </c>
      <c r="I351" t="s">
        <v>29</v>
      </c>
      <c r="J351">
        <v>1</v>
      </c>
      <c r="K351">
        <f>1-888-537-751</f>
        <v>-2175</v>
      </c>
      <c r="L351" t="s">
        <v>1103</v>
      </c>
      <c r="M351" t="s">
        <v>1104</v>
      </c>
      <c r="N351" t="s">
        <v>278</v>
      </c>
      <c r="O351" t="s">
        <v>28</v>
      </c>
      <c r="P351" t="s">
        <v>29</v>
      </c>
      <c r="Q351">
        <v>42</v>
      </c>
      <c r="R351">
        <v>-93.620800000000003</v>
      </c>
    </row>
    <row r="352" spans="1:18" x14ac:dyDescent="0.2">
      <c r="A352" t="s">
        <v>270</v>
      </c>
      <c r="B352" t="s">
        <v>271</v>
      </c>
      <c r="C352">
        <v>1</v>
      </c>
      <c r="D352" s="1">
        <v>44027.975856481484</v>
      </c>
      <c r="E352" t="s">
        <v>1003</v>
      </c>
      <c r="F352" t="s">
        <v>273</v>
      </c>
      <c r="G352" t="s">
        <v>793</v>
      </c>
      <c r="H352" t="s">
        <v>275</v>
      </c>
      <c r="I352" t="s">
        <v>29</v>
      </c>
      <c r="J352">
        <v>1</v>
      </c>
      <c r="K352">
        <f>1-888-535-2427</f>
        <v>-3849</v>
      </c>
      <c r="L352" t="s">
        <v>1105</v>
      </c>
      <c r="M352" t="s">
        <v>1106</v>
      </c>
      <c r="N352" t="s">
        <v>278</v>
      </c>
      <c r="O352" t="s">
        <v>28</v>
      </c>
      <c r="P352" t="s">
        <v>29</v>
      </c>
      <c r="Q352">
        <v>42</v>
      </c>
      <c r="R352">
        <v>-93.620800000000003</v>
      </c>
    </row>
    <row r="353" spans="1:18" x14ac:dyDescent="0.2">
      <c r="A353" t="s">
        <v>270</v>
      </c>
      <c r="B353" t="s">
        <v>271</v>
      </c>
      <c r="C353">
        <v>1</v>
      </c>
      <c r="D353" s="1">
        <v>44027.949594907404</v>
      </c>
      <c r="E353" t="s">
        <v>1003</v>
      </c>
      <c r="F353" t="s">
        <v>273</v>
      </c>
      <c r="G353" t="s">
        <v>793</v>
      </c>
      <c r="H353" t="s">
        <v>275</v>
      </c>
      <c r="I353" t="s">
        <v>29</v>
      </c>
      <c r="J353">
        <v>1</v>
      </c>
      <c r="K353">
        <f>1-888-532-2821</f>
        <v>-4240</v>
      </c>
      <c r="L353" t="s">
        <v>1107</v>
      </c>
      <c r="M353" t="s">
        <v>1108</v>
      </c>
      <c r="N353" t="s">
        <v>278</v>
      </c>
      <c r="O353" t="s">
        <v>28</v>
      </c>
      <c r="P353" t="s">
        <v>29</v>
      </c>
      <c r="Q353">
        <v>42</v>
      </c>
      <c r="R353">
        <v>-93.620800000000003</v>
      </c>
    </row>
    <row r="354" spans="1:18" x14ac:dyDescent="0.2">
      <c r="A354" t="s">
        <v>270</v>
      </c>
      <c r="B354" t="s">
        <v>271</v>
      </c>
      <c r="C354">
        <v>1</v>
      </c>
      <c r="D354" s="1">
        <v>44027.975717592592</v>
      </c>
      <c r="E354" t="s">
        <v>1109</v>
      </c>
      <c r="F354" t="s">
        <v>273</v>
      </c>
      <c r="G354" t="s">
        <v>793</v>
      </c>
      <c r="H354" t="s">
        <v>275</v>
      </c>
      <c r="I354" t="s">
        <v>29</v>
      </c>
      <c r="J354">
        <v>1</v>
      </c>
      <c r="K354">
        <f>1-888-524-3431</f>
        <v>-4842</v>
      </c>
      <c r="L354" t="s">
        <v>1110</v>
      </c>
      <c r="M354" t="s">
        <v>1111</v>
      </c>
      <c r="N354" t="s">
        <v>278</v>
      </c>
      <c r="O354" t="s">
        <v>28</v>
      </c>
      <c r="P354" t="s">
        <v>29</v>
      </c>
      <c r="Q354">
        <v>42</v>
      </c>
      <c r="R354">
        <v>-93.620800000000003</v>
      </c>
    </row>
    <row r="355" spans="1:18" x14ac:dyDescent="0.2">
      <c r="A355" t="s">
        <v>270</v>
      </c>
      <c r="B355" t="s">
        <v>271</v>
      </c>
      <c r="C355">
        <v>1</v>
      </c>
      <c r="D355" s="1">
        <v>44027.905914351853</v>
      </c>
      <c r="E355" t="s">
        <v>1112</v>
      </c>
      <c r="F355" t="s">
        <v>273</v>
      </c>
      <c r="G355" t="s">
        <v>793</v>
      </c>
      <c r="H355" t="s">
        <v>275</v>
      </c>
      <c r="I355" t="s">
        <v>29</v>
      </c>
      <c r="J355">
        <v>1</v>
      </c>
      <c r="K355">
        <f>1-888-537-751</f>
        <v>-2175</v>
      </c>
      <c r="L355" t="s">
        <v>1113</v>
      </c>
      <c r="M355" t="s">
        <v>1114</v>
      </c>
      <c r="N355" t="s">
        <v>278</v>
      </c>
      <c r="O355" t="s">
        <v>28</v>
      </c>
      <c r="P355" t="s">
        <v>29</v>
      </c>
      <c r="Q355">
        <v>42</v>
      </c>
      <c r="R355">
        <v>-93.620800000000003</v>
      </c>
    </row>
    <row r="356" spans="1:18" x14ac:dyDescent="0.2">
      <c r="A356" t="s">
        <v>270</v>
      </c>
      <c r="B356" t="s">
        <v>271</v>
      </c>
      <c r="C356">
        <v>1</v>
      </c>
      <c r="D356" s="1">
        <v>44027.81181712963</v>
      </c>
      <c r="E356" t="s">
        <v>1115</v>
      </c>
      <c r="F356" t="s">
        <v>273</v>
      </c>
      <c r="G356" t="s">
        <v>793</v>
      </c>
      <c r="H356" t="s">
        <v>275</v>
      </c>
      <c r="I356" t="s">
        <v>29</v>
      </c>
      <c r="J356">
        <v>1</v>
      </c>
      <c r="K356">
        <f>1-888-524-3431</f>
        <v>-4842</v>
      </c>
      <c r="L356" t="s">
        <v>1116</v>
      </c>
      <c r="M356" t="s">
        <v>1117</v>
      </c>
      <c r="N356" t="s">
        <v>278</v>
      </c>
      <c r="O356" t="s">
        <v>28</v>
      </c>
      <c r="P356" t="s">
        <v>29</v>
      </c>
      <c r="Q356">
        <v>42</v>
      </c>
      <c r="R356">
        <v>-93.620800000000003</v>
      </c>
    </row>
    <row r="357" spans="1:18" x14ac:dyDescent="0.2">
      <c r="A357" t="s">
        <v>270</v>
      </c>
      <c r="B357" t="s">
        <v>271</v>
      </c>
      <c r="C357">
        <v>1</v>
      </c>
      <c r="D357" s="1">
        <v>44026.949733796297</v>
      </c>
      <c r="E357" t="s">
        <v>1118</v>
      </c>
      <c r="F357" t="s">
        <v>273</v>
      </c>
      <c r="G357" t="s">
        <v>793</v>
      </c>
      <c r="H357" t="s">
        <v>275</v>
      </c>
      <c r="I357" t="s">
        <v>29</v>
      </c>
      <c r="J357">
        <v>1</v>
      </c>
      <c r="K357">
        <f>1-888-412-6231</f>
        <v>-7530</v>
      </c>
      <c r="L357" t="s">
        <v>1119</v>
      </c>
      <c r="M357" t="s">
        <v>1120</v>
      </c>
      <c r="N357" t="s">
        <v>278</v>
      </c>
      <c r="O357" t="s">
        <v>28</v>
      </c>
      <c r="P357" t="s">
        <v>29</v>
      </c>
      <c r="Q357">
        <v>42</v>
      </c>
      <c r="R357">
        <v>-93.620800000000003</v>
      </c>
    </row>
    <row r="358" spans="1:18" x14ac:dyDescent="0.2">
      <c r="A358" t="s">
        <v>270</v>
      </c>
      <c r="B358" t="s">
        <v>271</v>
      </c>
      <c r="C358">
        <v>1</v>
      </c>
      <c r="D358" s="1">
        <v>44026.871805555558</v>
      </c>
      <c r="E358" t="s">
        <v>1093</v>
      </c>
      <c r="F358" t="s">
        <v>273</v>
      </c>
      <c r="G358" t="s">
        <v>793</v>
      </c>
      <c r="H358" t="s">
        <v>275</v>
      </c>
      <c r="I358" t="s">
        <v>29</v>
      </c>
      <c r="J358">
        <v>1</v>
      </c>
      <c r="K358">
        <f>1-833-378-3348</f>
        <v>-4558</v>
      </c>
      <c r="L358" t="s">
        <v>1121</v>
      </c>
      <c r="M358" t="s">
        <v>1122</v>
      </c>
      <c r="N358" t="s">
        <v>278</v>
      </c>
      <c r="O358" t="s">
        <v>28</v>
      </c>
      <c r="P358" t="s">
        <v>29</v>
      </c>
      <c r="Q358">
        <v>42</v>
      </c>
      <c r="R358">
        <v>-93.620800000000003</v>
      </c>
    </row>
    <row r="359" spans="1:18" x14ac:dyDescent="0.2">
      <c r="A359" t="s">
        <v>270</v>
      </c>
      <c r="B359" t="s">
        <v>271</v>
      </c>
      <c r="C359">
        <v>1</v>
      </c>
      <c r="D359" s="1">
        <v>44024.825208333335</v>
      </c>
      <c r="E359" t="s">
        <v>1123</v>
      </c>
      <c r="F359" t="s">
        <v>273</v>
      </c>
      <c r="G359" t="s">
        <v>793</v>
      </c>
      <c r="H359" t="s">
        <v>275</v>
      </c>
      <c r="I359" t="s">
        <v>29</v>
      </c>
      <c r="J359">
        <v>1</v>
      </c>
      <c r="K359">
        <f>1-888-888-8888</f>
        <v>-10663</v>
      </c>
      <c r="L359" t="s">
        <v>1124</v>
      </c>
      <c r="M359" t="s">
        <v>1125</v>
      </c>
      <c r="N359" t="s">
        <v>278</v>
      </c>
      <c r="O359" t="s">
        <v>28</v>
      </c>
      <c r="P359" t="s">
        <v>29</v>
      </c>
      <c r="Q359">
        <v>42</v>
      </c>
      <c r="R359">
        <v>-93.620800000000003</v>
      </c>
    </row>
    <row r="360" spans="1:18" x14ac:dyDescent="0.2">
      <c r="A360" t="s">
        <v>270</v>
      </c>
      <c r="B360" t="s">
        <v>271</v>
      </c>
      <c r="C360">
        <v>1</v>
      </c>
      <c r="D360" s="1">
        <v>44024.77815972222</v>
      </c>
      <c r="E360" t="s">
        <v>1099</v>
      </c>
      <c r="F360" t="s">
        <v>273</v>
      </c>
      <c r="G360" t="s">
        <v>793</v>
      </c>
      <c r="H360" t="s">
        <v>275</v>
      </c>
      <c r="I360" t="s">
        <v>29</v>
      </c>
      <c r="J360">
        <v>1</v>
      </c>
      <c r="K360">
        <f>1-833-378-3348</f>
        <v>-4558</v>
      </c>
      <c r="L360" t="s">
        <v>1126</v>
      </c>
      <c r="M360" t="s">
        <v>1127</v>
      </c>
      <c r="N360" t="s">
        <v>278</v>
      </c>
      <c r="O360" t="s">
        <v>28</v>
      </c>
      <c r="P360" t="s">
        <v>29</v>
      </c>
      <c r="Q360">
        <v>42</v>
      </c>
      <c r="R360">
        <v>-93.620800000000003</v>
      </c>
    </row>
    <row r="361" spans="1:18" x14ac:dyDescent="0.2">
      <c r="A361" t="s">
        <v>270</v>
      </c>
      <c r="B361" t="s">
        <v>271</v>
      </c>
      <c r="C361">
        <v>1</v>
      </c>
      <c r="D361" s="1">
        <v>44024.901805555557</v>
      </c>
      <c r="E361" t="s">
        <v>1109</v>
      </c>
      <c r="F361" t="s">
        <v>273</v>
      </c>
      <c r="G361" t="s">
        <v>793</v>
      </c>
      <c r="H361" t="s">
        <v>275</v>
      </c>
      <c r="I361" t="s">
        <v>29</v>
      </c>
      <c r="J361">
        <v>1</v>
      </c>
      <c r="K361">
        <f>1-800-329-7743</f>
        <v>-8871</v>
      </c>
      <c r="L361" t="s">
        <v>1128</v>
      </c>
      <c r="M361" t="s">
        <v>1129</v>
      </c>
      <c r="N361" t="s">
        <v>278</v>
      </c>
      <c r="O361" t="s">
        <v>28</v>
      </c>
      <c r="P361" t="s">
        <v>29</v>
      </c>
      <c r="Q361">
        <v>42</v>
      </c>
      <c r="R361">
        <v>-93.620800000000003</v>
      </c>
    </row>
    <row r="362" spans="1:18" x14ac:dyDescent="0.2">
      <c r="A362" t="s">
        <v>270</v>
      </c>
      <c r="B362" t="s">
        <v>271</v>
      </c>
      <c r="C362">
        <v>1</v>
      </c>
      <c r="D362" s="1">
        <v>44022.839375000003</v>
      </c>
      <c r="E362" t="s">
        <v>1130</v>
      </c>
      <c r="F362" t="s">
        <v>273</v>
      </c>
      <c r="G362" t="s">
        <v>793</v>
      </c>
      <c r="H362" t="s">
        <v>275</v>
      </c>
      <c r="I362" t="s">
        <v>29</v>
      </c>
      <c r="J362">
        <v>1</v>
      </c>
      <c r="K362">
        <f>1-888-523-7088</f>
        <v>-8498</v>
      </c>
      <c r="L362" t="s">
        <v>1131</v>
      </c>
      <c r="M362" t="s">
        <v>1132</v>
      </c>
      <c r="N362" t="s">
        <v>278</v>
      </c>
      <c r="O362" t="s">
        <v>28</v>
      </c>
      <c r="P362" t="s">
        <v>29</v>
      </c>
      <c r="Q362">
        <v>42</v>
      </c>
      <c r="R362">
        <v>-93.620800000000003</v>
      </c>
    </row>
    <row r="363" spans="1:18" x14ac:dyDescent="0.2">
      <c r="A363" t="s">
        <v>270</v>
      </c>
      <c r="B363" t="s">
        <v>271</v>
      </c>
      <c r="C363">
        <v>1</v>
      </c>
      <c r="D363" s="1">
        <v>44020.800763888888</v>
      </c>
      <c r="E363" t="s">
        <v>1118</v>
      </c>
      <c r="F363" t="s">
        <v>273</v>
      </c>
      <c r="G363" t="s">
        <v>793</v>
      </c>
      <c r="H363" t="s">
        <v>275</v>
      </c>
      <c r="I363" t="s">
        <v>29</v>
      </c>
      <c r="J363">
        <v>1</v>
      </c>
      <c r="K363">
        <f>1-888-386-919</f>
        <v>-2192</v>
      </c>
      <c r="L363" t="s">
        <v>1133</v>
      </c>
      <c r="M363" t="s">
        <v>1134</v>
      </c>
      <c r="N363" t="s">
        <v>278</v>
      </c>
      <c r="O363" t="s">
        <v>28</v>
      </c>
      <c r="P363" t="s">
        <v>29</v>
      </c>
      <c r="Q363">
        <v>42</v>
      </c>
      <c r="R363">
        <v>-93.620800000000003</v>
      </c>
    </row>
    <row r="364" spans="1:18" x14ac:dyDescent="0.2">
      <c r="A364" t="s">
        <v>270</v>
      </c>
      <c r="B364" t="s">
        <v>271</v>
      </c>
      <c r="C364">
        <v>1</v>
      </c>
      <c r="D364" s="1">
        <v>44020.789895833332</v>
      </c>
      <c r="E364" t="s">
        <v>1118</v>
      </c>
      <c r="F364" t="s">
        <v>273</v>
      </c>
      <c r="G364" t="s">
        <v>793</v>
      </c>
      <c r="H364" t="s">
        <v>275</v>
      </c>
      <c r="I364" t="s">
        <v>29</v>
      </c>
      <c r="J364">
        <v>1</v>
      </c>
      <c r="K364">
        <f>1-833-378-3348</f>
        <v>-4558</v>
      </c>
      <c r="L364" t="s">
        <v>1135</v>
      </c>
      <c r="M364" t="s">
        <v>1136</v>
      </c>
      <c r="N364" t="s">
        <v>278</v>
      </c>
      <c r="O364" t="s">
        <v>28</v>
      </c>
      <c r="P364" t="s">
        <v>29</v>
      </c>
      <c r="Q364">
        <v>42</v>
      </c>
      <c r="R364">
        <v>-93.620800000000003</v>
      </c>
    </row>
    <row r="365" spans="1:18" x14ac:dyDescent="0.2">
      <c r="A365" t="s">
        <v>270</v>
      </c>
      <c r="B365" t="s">
        <v>271</v>
      </c>
      <c r="C365">
        <v>1</v>
      </c>
      <c r="D365" s="1">
        <v>44019.781643518516</v>
      </c>
      <c r="E365" t="s">
        <v>1137</v>
      </c>
      <c r="F365" t="s">
        <v>273</v>
      </c>
      <c r="G365" t="s">
        <v>793</v>
      </c>
      <c r="H365" t="s">
        <v>275</v>
      </c>
      <c r="I365" t="s">
        <v>29</v>
      </c>
      <c r="J365">
        <v>1</v>
      </c>
      <c r="K365">
        <f>1-888-406-3709</f>
        <v>-5002</v>
      </c>
      <c r="L365" t="s">
        <v>1138</v>
      </c>
      <c r="M365" t="s">
        <v>1139</v>
      </c>
      <c r="N365" t="s">
        <v>278</v>
      </c>
      <c r="O365" t="s">
        <v>28</v>
      </c>
      <c r="P365" t="s">
        <v>29</v>
      </c>
      <c r="Q365">
        <v>42</v>
      </c>
      <c r="R365">
        <v>-93.620800000000003</v>
      </c>
    </row>
    <row r="366" spans="1:18" x14ac:dyDescent="0.2">
      <c r="A366" t="s">
        <v>270</v>
      </c>
      <c r="B366" t="s">
        <v>271</v>
      </c>
      <c r="C366">
        <v>1</v>
      </c>
      <c r="D366" s="1">
        <v>44016.97965277778</v>
      </c>
      <c r="E366" t="s">
        <v>1140</v>
      </c>
      <c r="F366" t="s">
        <v>273</v>
      </c>
      <c r="G366" t="s">
        <v>793</v>
      </c>
      <c r="H366" t="s">
        <v>275</v>
      </c>
      <c r="I366" t="s">
        <v>29</v>
      </c>
      <c r="J366">
        <v>1</v>
      </c>
      <c r="K366">
        <f>1-888-393-5365</f>
        <v>-6645</v>
      </c>
      <c r="L366" t="s">
        <v>1141</v>
      </c>
      <c r="M366" t="s">
        <v>1142</v>
      </c>
      <c r="N366" t="s">
        <v>278</v>
      </c>
      <c r="O366" t="s">
        <v>28</v>
      </c>
      <c r="P366" t="s">
        <v>29</v>
      </c>
      <c r="Q366">
        <v>42</v>
      </c>
      <c r="R366">
        <v>-93.620800000000003</v>
      </c>
    </row>
    <row r="367" spans="1:18" x14ac:dyDescent="0.2">
      <c r="A367" t="s">
        <v>270</v>
      </c>
      <c r="B367" t="s">
        <v>271</v>
      </c>
      <c r="C367">
        <v>1</v>
      </c>
      <c r="D367" s="1">
        <v>44016.917430555557</v>
      </c>
      <c r="E367" t="s">
        <v>1143</v>
      </c>
      <c r="F367" t="s">
        <v>273</v>
      </c>
      <c r="G367" t="s">
        <v>793</v>
      </c>
      <c r="H367" t="s">
        <v>275</v>
      </c>
      <c r="I367" t="s">
        <v>29</v>
      </c>
      <c r="J367">
        <v>1</v>
      </c>
      <c r="K367">
        <f>1-833-378-3348</f>
        <v>-4558</v>
      </c>
      <c r="L367" t="s">
        <v>1144</v>
      </c>
      <c r="M367" t="s">
        <v>1145</v>
      </c>
      <c r="N367" t="s">
        <v>278</v>
      </c>
      <c r="O367" t="s">
        <v>134</v>
      </c>
      <c r="P367" t="s">
        <v>29</v>
      </c>
      <c r="Q367">
        <v>42</v>
      </c>
      <c r="R367">
        <v>-93.620800000000003</v>
      </c>
    </row>
    <row r="368" spans="1:18" x14ac:dyDescent="0.2">
      <c r="A368" t="s">
        <v>270</v>
      </c>
      <c r="B368" t="s">
        <v>271</v>
      </c>
      <c r="C368">
        <v>1</v>
      </c>
      <c r="D368" s="1">
        <v>44016.876782407409</v>
      </c>
      <c r="E368" t="s">
        <v>1146</v>
      </c>
      <c r="F368" t="s">
        <v>273</v>
      </c>
      <c r="G368" t="s">
        <v>793</v>
      </c>
      <c r="H368" t="s">
        <v>275</v>
      </c>
      <c r="I368" t="s">
        <v>29</v>
      </c>
      <c r="J368">
        <v>1</v>
      </c>
      <c r="K368">
        <f>1-888-396-8549</f>
        <v>-9832</v>
      </c>
      <c r="L368" t="s">
        <v>1147</v>
      </c>
      <c r="M368" t="s">
        <v>1148</v>
      </c>
      <c r="N368" t="s">
        <v>278</v>
      </c>
      <c r="O368" t="s">
        <v>28</v>
      </c>
      <c r="P368" t="s">
        <v>29</v>
      </c>
      <c r="Q368">
        <v>42</v>
      </c>
      <c r="R368">
        <v>-93.620800000000003</v>
      </c>
    </row>
    <row r="369" spans="1:18" x14ac:dyDescent="0.2">
      <c r="A369" t="s">
        <v>270</v>
      </c>
      <c r="B369" t="s">
        <v>271</v>
      </c>
      <c r="C369">
        <v>1</v>
      </c>
      <c r="D369" s="1">
        <v>44016.777870370373</v>
      </c>
      <c r="E369" t="s">
        <v>1149</v>
      </c>
      <c r="F369" t="s">
        <v>273</v>
      </c>
      <c r="G369" t="s">
        <v>793</v>
      </c>
      <c r="H369" t="s">
        <v>275</v>
      </c>
      <c r="I369" t="s">
        <v>29</v>
      </c>
      <c r="J369">
        <v>1</v>
      </c>
      <c r="K369">
        <f>1-888-385-1851</f>
        <v>-3123</v>
      </c>
      <c r="L369" t="s">
        <v>1150</v>
      </c>
      <c r="M369" t="s">
        <v>1151</v>
      </c>
      <c r="N369" t="s">
        <v>278</v>
      </c>
      <c r="O369" t="s">
        <v>28</v>
      </c>
      <c r="P369" t="s">
        <v>29</v>
      </c>
      <c r="Q369">
        <v>42</v>
      </c>
      <c r="R369">
        <v>-93.620800000000003</v>
      </c>
    </row>
    <row r="370" spans="1:18" x14ac:dyDescent="0.2">
      <c r="A370" t="s">
        <v>270</v>
      </c>
      <c r="B370" t="s">
        <v>271</v>
      </c>
      <c r="C370">
        <v>1</v>
      </c>
      <c r="D370" s="1">
        <v>44015.993321759262</v>
      </c>
      <c r="E370" t="s">
        <v>1152</v>
      </c>
      <c r="F370" t="s">
        <v>273</v>
      </c>
      <c r="G370" t="s">
        <v>793</v>
      </c>
      <c r="H370" t="s">
        <v>275</v>
      </c>
      <c r="I370" t="s">
        <v>29</v>
      </c>
      <c r="J370">
        <v>1</v>
      </c>
      <c r="K370">
        <f>1-888-381-1934</f>
        <v>-3202</v>
      </c>
      <c r="L370" t="s">
        <v>1153</v>
      </c>
      <c r="M370" t="s">
        <v>1154</v>
      </c>
      <c r="N370" t="s">
        <v>278</v>
      </c>
      <c r="O370" t="s">
        <v>28</v>
      </c>
      <c r="P370" t="s">
        <v>29</v>
      </c>
      <c r="Q370">
        <v>42</v>
      </c>
      <c r="R370">
        <v>-93.620800000000003</v>
      </c>
    </row>
    <row r="371" spans="1:18" x14ac:dyDescent="0.2">
      <c r="A371" t="s">
        <v>270</v>
      </c>
      <c r="B371" t="s">
        <v>271</v>
      </c>
      <c r="C371">
        <v>1</v>
      </c>
      <c r="D371" s="1">
        <v>44015.786990740744</v>
      </c>
      <c r="E371" t="s">
        <v>1155</v>
      </c>
      <c r="F371" t="s">
        <v>273</v>
      </c>
      <c r="G371" t="s">
        <v>793</v>
      </c>
      <c r="H371" t="s">
        <v>275</v>
      </c>
      <c r="I371" t="s">
        <v>29</v>
      </c>
      <c r="J371">
        <v>1</v>
      </c>
      <c r="K371">
        <f>1-833-390-455</f>
        <v>-1677</v>
      </c>
      <c r="L371" t="s">
        <v>1156</v>
      </c>
      <c r="M371" t="s">
        <v>1157</v>
      </c>
      <c r="N371" t="s">
        <v>278</v>
      </c>
      <c r="O371" t="s">
        <v>28</v>
      </c>
      <c r="P371" t="s">
        <v>29</v>
      </c>
      <c r="Q371">
        <v>42</v>
      </c>
      <c r="R371">
        <v>-93.620800000000003</v>
      </c>
    </row>
    <row r="372" spans="1:18" x14ac:dyDescent="0.2">
      <c r="A372" t="s">
        <v>270</v>
      </c>
      <c r="B372" t="s">
        <v>271</v>
      </c>
      <c r="C372">
        <v>1</v>
      </c>
      <c r="D372" s="1">
        <v>44016.811041666668</v>
      </c>
      <c r="E372" t="s">
        <v>1149</v>
      </c>
      <c r="F372" t="s">
        <v>273</v>
      </c>
      <c r="G372" t="s">
        <v>793</v>
      </c>
      <c r="H372" t="s">
        <v>275</v>
      </c>
      <c r="I372" t="s">
        <v>29</v>
      </c>
      <c r="J372">
        <v>1</v>
      </c>
      <c r="K372">
        <f>1-833-378-3348</f>
        <v>-4558</v>
      </c>
      <c r="L372" t="s">
        <v>1158</v>
      </c>
      <c r="M372" t="s">
        <v>1159</v>
      </c>
      <c r="N372" t="s">
        <v>278</v>
      </c>
      <c r="O372" t="s">
        <v>28</v>
      </c>
      <c r="P372" t="s">
        <v>29</v>
      </c>
      <c r="Q372">
        <v>42</v>
      </c>
      <c r="R372">
        <v>-93.620800000000003</v>
      </c>
    </row>
    <row r="373" spans="1:18" x14ac:dyDescent="0.2">
      <c r="A373" t="s">
        <v>270</v>
      </c>
      <c r="B373" t="s">
        <v>271</v>
      </c>
      <c r="C373">
        <v>1</v>
      </c>
      <c r="D373" s="1">
        <v>44013.915833333333</v>
      </c>
      <c r="E373" t="s">
        <v>1160</v>
      </c>
      <c r="F373" t="s">
        <v>273</v>
      </c>
      <c r="G373" t="s">
        <v>793</v>
      </c>
      <c r="H373" t="s">
        <v>275</v>
      </c>
      <c r="I373" t="s">
        <v>29</v>
      </c>
      <c r="J373">
        <v>1</v>
      </c>
      <c r="K373">
        <f>1-833-378-3348</f>
        <v>-4558</v>
      </c>
      <c r="L373" t="s">
        <v>1161</v>
      </c>
      <c r="M373" t="s">
        <v>1162</v>
      </c>
      <c r="N373" t="s">
        <v>278</v>
      </c>
      <c r="O373" t="s">
        <v>28</v>
      </c>
      <c r="P373" t="s">
        <v>29</v>
      </c>
      <c r="Q373">
        <v>42</v>
      </c>
      <c r="R373">
        <v>-93.620800000000003</v>
      </c>
    </row>
    <row r="374" spans="1:18" x14ac:dyDescent="0.2">
      <c r="A374" t="s">
        <v>270</v>
      </c>
      <c r="B374" t="s">
        <v>271</v>
      </c>
      <c r="C374">
        <v>1</v>
      </c>
      <c r="D374" s="1">
        <v>44014.364652777775</v>
      </c>
      <c r="E374" t="s">
        <v>1163</v>
      </c>
      <c r="F374" t="s">
        <v>273</v>
      </c>
      <c r="G374" t="s">
        <v>793</v>
      </c>
      <c r="H374" t="s">
        <v>275</v>
      </c>
      <c r="I374" t="s">
        <v>29</v>
      </c>
      <c r="J374">
        <v>1</v>
      </c>
      <c r="K374">
        <f>1-833-403-648</f>
        <v>-1883</v>
      </c>
      <c r="L374" t="s">
        <v>1164</v>
      </c>
      <c r="M374" t="s">
        <v>1165</v>
      </c>
      <c r="N374" t="s">
        <v>278</v>
      </c>
      <c r="O374" t="s">
        <v>28</v>
      </c>
      <c r="P374" t="s">
        <v>29</v>
      </c>
      <c r="Q374">
        <v>42</v>
      </c>
      <c r="R374">
        <v>-93.620800000000003</v>
      </c>
    </row>
    <row r="375" spans="1:18" x14ac:dyDescent="0.2">
      <c r="A375" t="s">
        <v>270</v>
      </c>
      <c r="B375" t="s">
        <v>271</v>
      </c>
      <c r="C375">
        <v>81</v>
      </c>
      <c r="D375" s="1">
        <v>43995.320092592592</v>
      </c>
      <c r="E375" t="s">
        <v>1166</v>
      </c>
      <c r="F375" t="s">
        <v>273</v>
      </c>
      <c r="G375" t="s">
        <v>793</v>
      </c>
      <c r="H375" t="s">
        <v>275</v>
      </c>
      <c r="I375" t="s">
        <v>53</v>
      </c>
      <c r="J375">
        <v>81</v>
      </c>
      <c r="K375">
        <f>81-50-5532-5258</f>
        <v>-10759</v>
      </c>
      <c r="L375" t="s">
        <v>1167</v>
      </c>
      <c r="M375" t="s">
        <v>1168</v>
      </c>
      <c r="N375" t="s">
        <v>278</v>
      </c>
      <c r="O375" t="s">
        <v>28</v>
      </c>
      <c r="P375" t="s">
        <v>29</v>
      </c>
      <c r="Q375">
        <v>42</v>
      </c>
      <c r="R375">
        <v>-93.620800000000003</v>
      </c>
    </row>
    <row r="376" spans="1:18" x14ac:dyDescent="0.2">
      <c r="A376" t="s">
        <v>270</v>
      </c>
      <c r="B376" t="s">
        <v>271</v>
      </c>
      <c r="C376">
        <v>81</v>
      </c>
      <c r="D376" s="1">
        <v>43995.319965277777</v>
      </c>
      <c r="E376" t="s">
        <v>1169</v>
      </c>
      <c r="F376" t="s">
        <v>273</v>
      </c>
      <c r="G376" t="s">
        <v>793</v>
      </c>
      <c r="H376" t="s">
        <v>275</v>
      </c>
      <c r="I376" t="s">
        <v>53</v>
      </c>
      <c r="J376">
        <v>81</v>
      </c>
      <c r="K376">
        <f>81-50-5532-5258</f>
        <v>-10759</v>
      </c>
      <c r="L376" t="s">
        <v>1170</v>
      </c>
      <c r="M376" t="s">
        <v>1171</v>
      </c>
      <c r="N376" t="s">
        <v>278</v>
      </c>
      <c r="O376" t="s">
        <v>28</v>
      </c>
      <c r="P376" t="s">
        <v>29</v>
      </c>
      <c r="Q376">
        <v>42</v>
      </c>
      <c r="R376">
        <v>-93.620800000000003</v>
      </c>
    </row>
    <row r="377" spans="1:18" x14ac:dyDescent="0.2">
      <c r="A377" t="s">
        <v>270</v>
      </c>
      <c r="B377" t="s">
        <v>271</v>
      </c>
      <c r="C377">
        <v>81</v>
      </c>
      <c r="D377" s="1">
        <v>43995.269791666666</v>
      </c>
      <c r="E377" t="s">
        <v>1172</v>
      </c>
      <c r="F377" t="s">
        <v>273</v>
      </c>
      <c r="G377" t="s">
        <v>793</v>
      </c>
      <c r="H377" t="s">
        <v>275</v>
      </c>
      <c r="I377" t="s">
        <v>53</v>
      </c>
      <c r="J377">
        <v>81</v>
      </c>
      <c r="K377">
        <f>81-50-5532-5258</f>
        <v>-10759</v>
      </c>
      <c r="L377" t="s">
        <v>1173</v>
      </c>
      <c r="M377" t="s">
        <v>1174</v>
      </c>
      <c r="N377" t="s">
        <v>278</v>
      </c>
      <c r="O377" t="s">
        <v>28</v>
      </c>
      <c r="P377" t="s">
        <v>29</v>
      </c>
      <c r="Q377">
        <v>42</v>
      </c>
      <c r="R377">
        <v>-93.620800000000003</v>
      </c>
    </row>
    <row r="378" spans="1:18" x14ac:dyDescent="0.2">
      <c r="A378" t="s">
        <v>270</v>
      </c>
      <c r="B378" t="s">
        <v>271</v>
      </c>
      <c r="C378">
        <v>81</v>
      </c>
      <c r="D378" s="1">
        <v>43993.330567129633</v>
      </c>
      <c r="E378" t="s">
        <v>1175</v>
      </c>
      <c r="F378" t="s">
        <v>273</v>
      </c>
      <c r="G378" t="s">
        <v>793</v>
      </c>
      <c r="H378" t="s">
        <v>275</v>
      </c>
      <c r="I378" t="s">
        <v>53</v>
      </c>
      <c r="J378">
        <v>81</v>
      </c>
      <c r="K378">
        <f>81-50-5539-3408</f>
        <v>-8916</v>
      </c>
      <c r="L378" t="s">
        <v>1176</v>
      </c>
      <c r="M378" t="s">
        <v>1177</v>
      </c>
      <c r="N378" t="s">
        <v>278</v>
      </c>
      <c r="O378" t="s">
        <v>28</v>
      </c>
      <c r="P378" t="s">
        <v>29</v>
      </c>
      <c r="Q378">
        <v>42</v>
      </c>
      <c r="R378">
        <v>-93.620800000000003</v>
      </c>
    </row>
    <row r="379" spans="1:18" x14ac:dyDescent="0.2">
      <c r="A379" t="s">
        <v>270</v>
      </c>
      <c r="B379" t="s">
        <v>271</v>
      </c>
      <c r="C379">
        <v>81</v>
      </c>
      <c r="D379" s="1">
        <v>43993.330462962964</v>
      </c>
      <c r="E379" t="s">
        <v>1178</v>
      </c>
      <c r="F379" t="s">
        <v>273</v>
      </c>
      <c r="G379" t="s">
        <v>793</v>
      </c>
      <c r="H379" t="s">
        <v>275</v>
      </c>
      <c r="I379" t="s">
        <v>53</v>
      </c>
      <c r="J379">
        <v>81</v>
      </c>
      <c r="K379">
        <f>81-50-5539-3408</f>
        <v>-8916</v>
      </c>
      <c r="L379" t="s">
        <v>1179</v>
      </c>
      <c r="M379" t="s">
        <v>1180</v>
      </c>
      <c r="N379" t="s">
        <v>278</v>
      </c>
      <c r="O379" t="s">
        <v>28</v>
      </c>
      <c r="P379" t="s">
        <v>29</v>
      </c>
      <c r="Q379">
        <v>42</v>
      </c>
      <c r="R379">
        <v>-93.620800000000003</v>
      </c>
    </row>
    <row r="380" spans="1:18" x14ac:dyDescent="0.2">
      <c r="A380" t="s">
        <v>270</v>
      </c>
      <c r="B380" t="s">
        <v>271</v>
      </c>
      <c r="C380">
        <v>81</v>
      </c>
      <c r="D380" s="1">
        <v>43991.344907407409</v>
      </c>
      <c r="E380" t="s">
        <v>1181</v>
      </c>
      <c r="F380" t="s">
        <v>273</v>
      </c>
      <c r="G380" t="s">
        <v>793</v>
      </c>
      <c r="H380" t="s">
        <v>275</v>
      </c>
      <c r="I380" t="s">
        <v>53</v>
      </c>
      <c r="J380">
        <v>81</v>
      </c>
      <c r="K380">
        <f>81-50-5532-3953</f>
        <v>-9454</v>
      </c>
      <c r="L380" t="s">
        <v>1182</v>
      </c>
      <c r="M380" t="s">
        <v>1183</v>
      </c>
      <c r="N380" t="s">
        <v>278</v>
      </c>
      <c r="O380" t="s">
        <v>28</v>
      </c>
      <c r="P380" t="s">
        <v>29</v>
      </c>
      <c r="Q380">
        <v>42</v>
      </c>
      <c r="R380">
        <v>-93.620800000000003</v>
      </c>
    </row>
    <row r="381" spans="1:18" x14ac:dyDescent="0.2">
      <c r="A381" t="s">
        <v>270</v>
      </c>
      <c r="B381" t="s">
        <v>271</v>
      </c>
      <c r="C381">
        <v>81</v>
      </c>
      <c r="D381" s="1">
        <v>43991.344756944447</v>
      </c>
      <c r="E381" t="s">
        <v>1184</v>
      </c>
      <c r="F381" t="s">
        <v>273</v>
      </c>
      <c r="G381" t="s">
        <v>793</v>
      </c>
      <c r="H381" t="s">
        <v>275</v>
      </c>
      <c r="I381" t="s">
        <v>53</v>
      </c>
      <c r="J381">
        <v>81</v>
      </c>
      <c r="K381">
        <f>81-50-5539-3408</f>
        <v>-8916</v>
      </c>
      <c r="L381" t="s">
        <v>1185</v>
      </c>
      <c r="M381" t="s">
        <v>1186</v>
      </c>
      <c r="N381" t="s">
        <v>278</v>
      </c>
      <c r="O381" t="s">
        <v>28</v>
      </c>
      <c r="P381" t="s">
        <v>29</v>
      </c>
      <c r="Q381">
        <v>42</v>
      </c>
      <c r="R381">
        <v>-93.620800000000003</v>
      </c>
    </row>
    <row r="382" spans="1:18" x14ac:dyDescent="0.2">
      <c r="A382" t="s">
        <v>270</v>
      </c>
      <c r="B382" t="s">
        <v>271</v>
      </c>
      <c r="C382">
        <v>1</v>
      </c>
      <c r="D382" s="1">
        <v>43990.753900462965</v>
      </c>
      <c r="E382" t="s">
        <v>1187</v>
      </c>
      <c r="F382" t="s">
        <v>273</v>
      </c>
      <c r="G382" t="s">
        <v>793</v>
      </c>
      <c r="H382" t="s">
        <v>275</v>
      </c>
      <c r="I382" t="s">
        <v>29</v>
      </c>
      <c r="J382">
        <v>1</v>
      </c>
      <c r="K382">
        <f>1-888-521-1412</f>
        <v>-2820</v>
      </c>
      <c r="L382" t="s">
        <v>1188</v>
      </c>
      <c r="M382" t="s">
        <v>1189</v>
      </c>
      <c r="N382" t="s">
        <v>278</v>
      </c>
      <c r="O382" t="s">
        <v>28</v>
      </c>
      <c r="P382" t="s">
        <v>29</v>
      </c>
      <c r="Q382">
        <v>42</v>
      </c>
      <c r="R382">
        <v>-93.620800000000003</v>
      </c>
    </row>
    <row r="383" spans="1:18" x14ac:dyDescent="0.2">
      <c r="A383" t="s">
        <v>270</v>
      </c>
      <c r="B383" t="s">
        <v>271</v>
      </c>
      <c r="C383">
        <v>1</v>
      </c>
      <c r="D383" s="1">
        <v>43981.794293981482</v>
      </c>
      <c r="E383" t="s">
        <v>1190</v>
      </c>
      <c r="F383" t="s">
        <v>273</v>
      </c>
      <c r="G383" t="s">
        <v>793</v>
      </c>
      <c r="H383" t="s">
        <v>275</v>
      </c>
      <c r="I383" t="s">
        <v>29</v>
      </c>
      <c r="J383">
        <v>1</v>
      </c>
      <c r="K383">
        <f>1-833-610-1240</f>
        <v>-2682</v>
      </c>
      <c r="L383" t="s">
        <v>1191</v>
      </c>
      <c r="M383" t="s">
        <v>1192</v>
      </c>
      <c r="N383" t="s">
        <v>278</v>
      </c>
      <c r="O383" t="s">
        <v>28</v>
      </c>
      <c r="P383" t="s">
        <v>29</v>
      </c>
      <c r="Q383">
        <v>42</v>
      </c>
      <c r="R383">
        <v>-93.620800000000003</v>
      </c>
    </row>
    <row r="384" spans="1:18" x14ac:dyDescent="0.2">
      <c r="A384" t="s">
        <v>270</v>
      </c>
      <c r="B384" t="s">
        <v>271</v>
      </c>
      <c r="C384">
        <v>1</v>
      </c>
      <c r="D384" s="1">
        <v>43972.950798611113</v>
      </c>
      <c r="E384" t="s">
        <v>1193</v>
      </c>
      <c r="F384" t="s">
        <v>273</v>
      </c>
      <c r="G384" t="s">
        <v>793</v>
      </c>
      <c r="H384" t="s">
        <v>275</v>
      </c>
      <c r="I384" t="s">
        <v>29</v>
      </c>
      <c r="J384">
        <v>1</v>
      </c>
      <c r="K384">
        <f>1-833-610-1193</f>
        <v>-2635</v>
      </c>
      <c r="L384" t="s">
        <v>1194</v>
      </c>
      <c r="M384" t="s">
        <v>1195</v>
      </c>
      <c r="N384" t="s">
        <v>278</v>
      </c>
      <c r="O384" t="s">
        <v>28</v>
      </c>
      <c r="P384" t="s">
        <v>29</v>
      </c>
      <c r="Q384">
        <v>42</v>
      </c>
      <c r="R384">
        <v>-93.620800000000003</v>
      </c>
    </row>
    <row r="385" spans="1:18" x14ac:dyDescent="0.2">
      <c r="A385" t="s">
        <v>270</v>
      </c>
      <c r="B385" t="s">
        <v>271</v>
      </c>
      <c r="C385">
        <v>1</v>
      </c>
      <c r="D385" s="1">
        <v>43972.989745370367</v>
      </c>
      <c r="E385" t="s">
        <v>1196</v>
      </c>
      <c r="F385" t="s">
        <v>273</v>
      </c>
      <c r="G385" t="s">
        <v>1197</v>
      </c>
      <c r="H385" t="s">
        <v>275</v>
      </c>
      <c r="I385" t="s">
        <v>29</v>
      </c>
      <c r="J385">
        <v>1</v>
      </c>
      <c r="K385">
        <f>1-844-384-6788</f>
        <v>-8015</v>
      </c>
      <c r="L385" t="s">
        <v>1198</v>
      </c>
      <c r="M385" t="s">
        <v>1199</v>
      </c>
      <c r="N385" t="s">
        <v>278</v>
      </c>
      <c r="O385" t="s">
        <v>28</v>
      </c>
      <c r="P385" t="s">
        <v>29</v>
      </c>
      <c r="Q385">
        <v>42</v>
      </c>
      <c r="R385">
        <v>-93.620800000000003</v>
      </c>
    </row>
    <row r="386" spans="1:18" x14ac:dyDescent="0.2">
      <c r="A386" t="s">
        <v>1200</v>
      </c>
      <c r="B386" t="s">
        <v>1201</v>
      </c>
      <c r="C386">
        <v>1</v>
      </c>
      <c r="D386" s="1">
        <v>43977.495682870373</v>
      </c>
      <c r="E386" t="s">
        <v>1202</v>
      </c>
      <c r="F386" t="s">
        <v>1203</v>
      </c>
      <c r="G386" t="s">
        <v>1204</v>
      </c>
      <c r="H386" t="s">
        <v>1205</v>
      </c>
      <c r="I386" t="s">
        <v>29</v>
      </c>
      <c r="J386">
        <v>1</v>
      </c>
      <c r="K386">
        <f>1-866-434-1441</f>
        <v>-2740</v>
      </c>
      <c r="L386" t="s">
        <v>1206</v>
      </c>
      <c r="M386" t="s">
        <v>1207</v>
      </c>
      <c r="N386" t="s">
        <v>1208</v>
      </c>
      <c r="O386" t="s">
        <v>134</v>
      </c>
      <c r="P386" t="s">
        <v>29</v>
      </c>
      <c r="Q386">
        <v>34</v>
      </c>
      <c r="R386">
        <v>-99.999999000000003</v>
      </c>
    </row>
    <row r="387" spans="1:18" x14ac:dyDescent="0.2">
      <c r="A387" t="s">
        <v>1200</v>
      </c>
      <c r="B387" t="s">
        <v>1201</v>
      </c>
      <c r="C387">
        <v>1</v>
      </c>
      <c r="D387" s="1">
        <v>43973.061469907407</v>
      </c>
      <c r="E387" t="s">
        <v>1209</v>
      </c>
      <c r="F387" t="s">
        <v>1203</v>
      </c>
      <c r="G387" t="s">
        <v>1204</v>
      </c>
      <c r="H387" t="s">
        <v>1205</v>
      </c>
      <c r="I387" t="s">
        <v>29</v>
      </c>
      <c r="J387">
        <v>1</v>
      </c>
      <c r="K387">
        <f>1-866-434-1441</f>
        <v>-2740</v>
      </c>
      <c r="L387" t="s">
        <v>1210</v>
      </c>
      <c r="M387" t="s">
        <v>1211</v>
      </c>
      <c r="N387" t="s">
        <v>1208</v>
      </c>
      <c r="O387" t="s">
        <v>134</v>
      </c>
      <c r="P387" t="s">
        <v>29</v>
      </c>
      <c r="Q387">
        <v>34</v>
      </c>
      <c r="R387">
        <v>-99.999999000000003</v>
      </c>
    </row>
    <row r="388" spans="1:18" x14ac:dyDescent="0.2">
      <c r="A388" t="s">
        <v>270</v>
      </c>
      <c r="B388" t="s">
        <v>1212</v>
      </c>
      <c r="C388">
        <v>1</v>
      </c>
      <c r="D388" s="1">
        <v>44259.801851851851</v>
      </c>
      <c r="E388" t="s">
        <v>1213</v>
      </c>
      <c r="F388" t="s">
        <v>273</v>
      </c>
      <c r="G388" t="s">
        <v>1214</v>
      </c>
      <c r="H388" t="s">
        <v>275</v>
      </c>
      <c r="I388" t="s">
        <v>29</v>
      </c>
      <c r="J388">
        <v>1</v>
      </c>
      <c r="K388">
        <f>1-844-278-1144</f>
        <v>-2265</v>
      </c>
      <c r="L388" t="s">
        <v>1215</v>
      </c>
      <c r="M388" t="s">
        <v>1216</v>
      </c>
      <c r="N388" t="s">
        <v>278</v>
      </c>
      <c r="O388" t="s">
        <v>28</v>
      </c>
      <c r="P388" t="s">
        <v>618</v>
      </c>
      <c r="Q388">
        <v>52</v>
      </c>
      <c r="R388">
        <v>-7.9212000000000005E-2</v>
      </c>
    </row>
    <row r="389" spans="1:18" x14ac:dyDescent="0.2">
      <c r="A389" t="s">
        <v>270</v>
      </c>
      <c r="B389" t="s">
        <v>1212</v>
      </c>
      <c r="C389">
        <v>1</v>
      </c>
      <c r="D389" s="1">
        <v>44149.137812499997</v>
      </c>
      <c r="E389" t="s">
        <v>1217</v>
      </c>
      <c r="F389" t="s">
        <v>273</v>
      </c>
      <c r="G389" t="s">
        <v>1214</v>
      </c>
      <c r="H389" t="s">
        <v>275</v>
      </c>
      <c r="I389" t="s">
        <v>29</v>
      </c>
      <c r="J389">
        <v>1</v>
      </c>
      <c r="K389">
        <f>1-844-293-617</f>
        <v>-1753</v>
      </c>
      <c r="L389" t="s">
        <v>1218</v>
      </c>
      <c r="M389" t="s">
        <v>1219</v>
      </c>
      <c r="N389" t="s">
        <v>278</v>
      </c>
      <c r="O389" t="s">
        <v>134</v>
      </c>
      <c r="P389" t="s">
        <v>618</v>
      </c>
      <c r="Q389">
        <v>52</v>
      </c>
      <c r="R389">
        <v>-7.9212000000000005E-2</v>
      </c>
    </row>
    <row r="390" spans="1:18" x14ac:dyDescent="0.2">
      <c r="A390" t="s">
        <v>270</v>
      </c>
      <c r="B390" t="s">
        <v>1212</v>
      </c>
      <c r="C390">
        <v>1</v>
      </c>
      <c r="D390" s="1">
        <v>44149.135891203703</v>
      </c>
      <c r="E390" t="s">
        <v>1220</v>
      </c>
      <c r="F390" t="s">
        <v>273</v>
      </c>
      <c r="G390" t="s">
        <v>1214</v>
      </c>
      <c r="H390" t="s">
        <v>275</v>
      </c>
      <c r="I390" t="s">
        <v>29</v>
      </c>
      <c r="J390">
        <v>1</v>
      </c>
      <c r="K390">
        <f>1-844-288-9125</f>
        <v>-10256</v>
      </c>
      <c r="L390" t="s">
        <v>1221</v>
      </c>
      <c r="M390" t="s">
        <v>1222</v>
      </c>
      <c r="N390" t="s">
        <v>278</v>
      </c>
      <c r="O390" t="s">
        <v>134</v>
      </c>
      <c r="P390" t="s">
        <v>618</v>
      </c>
      <c r="Q390">
        <v>52</v>
      </c>
      <c r="R390">
        <v>-7.9212000000000005E-2</v>
      </c>
    </row>
    <row r="391" spans="1:18" x14ac:dyDescent="0.2">
      <c r="A391" t="s">
        <v>270</v>
      </c>
      <c r="B391" t="s">
        <v>1212</v>
      </c>
      <c r="C391">
        <v>1</v>
      </c>
      <c r="D391" s="1">
        <v>44149.124178240738</v>
      </c>
      <c r="E391" t="s">
        <v>1223</v>
      </c>
      <c r="F391" t="s">
        <v>273</v>
      </c>
      <c r="G391" t="s">
        <v>1214</v>
      </c>
      <c r="H391" t="s">
        <v>275</v>
      </c>
      <c r="I391" t="s">
        <v>29</v>
      </c>
      <c r="J391">
        <v>1</v>
      </c>
      <c r="K391">
        <f>1-844-294-4812</f>
        <v>-5949</v>
      </c>
      <c r="L391" t="s">
        <v>1224</v>
      </c>
      <c r="M391" t="s">
        <v>1225</v>
      </c>
      <c r="N391" t="s">
        <v>278</v>
      </c>
      <c r="O391" t="s">
        <v>134</v>
      </c>
      <c r="P391" t="s">
        <v>618</v>
      </c>
      <c r="Q391">
        <v>52</v>
      </c>
      <c r="R391">
        <v>-7.9212000000000005E-2</v>
      </c>
    </row>
    <row r="392" spans="1:18" x14ac:dyDescent="0.2">
      <c r="A392" t="s">
        <v>270</v>
      </c>
      <c r="B392" t="s">
        <v>1212</v>
      </c>
      <c r="C392">
        <v>1</v>
      </c>
      <c r="D392" s="1">
        <v>44137.803182870368</v>
      </c>
      <c r="E392" t="s">
        <v>1226</v>
      </c>
      <c r="F392" t="s">
        <v>273</v>
      </c>
      <c r="G392" t="s">
        <v>1214</v>
      </c>
      <c r="H392" t="s">
        <v>275</v>
      </c>
      <c r="I392" t="s">
        <v>29</v>
      </c>
      <c r="J392">
        <v>1</v>
      </c>
      <c r="K392">
        <f>1-888-270-8517</f>
        <v>-9674</v>
      </c>
      <c r="L392" t="s">
        <v>1227</v>
      </c>
      <c r="M392" t="s">
        <v>1228</v>
      </c>
      <c r="N392" t="s">
        <v>278</v>
      </c>
      <c r="O392" t="s">
        <v>28</v>
      </c>
      <c r="P392" t="s">
        <v>618</v>
      </c>
      <c r="Q392">
        <v>52</v>
      </c>
      <c r="R392">
        <v>-7.9212000000000005E-2</v>
      </c>
    </row>
    <row r="393" spans="1:18" x14ac:dyDescent="0.2">
      <c r="A393" t="s">
        <v>270</v>
      </c>
      <c r="B393" t="s">
        <v>1212</v>
      </c>
      <c r="C393">
        <v>1</v>
      </c>
      <c r="D393" s="1">
        <v>44130.784537037034</v>
      </c>
      <c r="E393" t="s">
        <v>1229</v>
      </c>
      <c r="F393" t="s">
        <v>273</v>
      </c>
      <c r="G393" t="s">
        <v>1214</v>
      </c>
      <c r="H393" t="s">
        <v>275</v>
      </c>
      <c r="I393" t="s">
        <v>29</v>
      </c>
      <c r="J393">
        <v>1</v>
      </c>
      <c r="K393">
        <f>1-888-396-1711</f>
        <v>-2994</v>
      </c>
      <c r="L393" t="s">
        <v>1230</v>
      </c>
      <c r="M393" t="s">
        <v>1231</v>
      </c>
      <c r="N393" t="s">
        <v>278</v>
      </c>
      <c r="O393" t="s">
        <v>28</v>
      </c>
      <c r="P393" t="s">
        <v>618</v>
      </c>
      <c r="Q393">
        <v>52</v>
      </c>
      <c r="R393">
        <v>-7.9212000000000005E-2</v>
      </c>
    </row>
    <row r="394" spans="1:18" x14ac:dyDescent="0.2">
      <c r="A394" t="s">
        <v>270</v>
      </c>
      <c r="B394" t="s">
        <v>1212</v>
      </c>
      <c r="C394">
        <v>1</v>
      </c>
      <c r="D394" s="1">
        <v>44123.849432870367</v>
      </c>
      <c r="E394" t="s">
        <v>1232</v>
      </c>
      <c r="F394" t="s">
        <v>273</v>
      </c>
      <c r="G394" t="s">
        <v>1214</v>
      </c>
      <c r="H394" t="s">
        <v>275</v>
      </c>
      <c r="I394" t="s">
        <v>29</v>
      </c>
      <c r="J394">
        <v>1</v>
      </c>
      <c r="K394">
        <f>1-888-351-1480</f>
        <v>-2718</v>
      </c>
      <c r="L394" t="s">
        <v>1233</v>
      </c>
      <c r="M394" t="s">
        <v>1234</v>
      </c>
      <c r="N394" t="s">
        <v>278</v>
      </c>
      <c r="O394" t="s">
        <v>28</v>
      </c>
      <c r="P394" t="s">
        <v>618</v>
      </c>
      <c r="Q394">
        <v>52</v>
      </c>
      <c r="R394">
        <v>-7.9212000000000005E-2</v>
      </c>
    </row>
    <row r="395" spans="1:18" x14ac:dyDescent="0.2">
      <c r="A395" t="s">
        <v>270</v>
      </c>
      <c r="B395" t="s">
        <v>1212</v>
      </c>
      <c r="C395">
        <v>1</v>
      </c>
      <c r="D395" s="1">
        <v>44116.79451388889</v>
      </c>
      <c r="E395" t="s">
        <v>1235</v>
      </c>
      <c r="F395" t="s">
        <v>273</v>
      </c>
      <c r="G395" t="s">
        <v>1214</v>
      </c>
      <c r="H395" t="s">
        <v>275</v>
      </c>
      <c r="I395" t="s">
        <v>29</v>
      </c>
      <c r="J395">
        <v>1</v>
      </c>
      <c r="K395">
        <f>1-888-354-462</f>
        <v>-1703</v>
      </c>
      <c r="L395" t="s">
        <v>1236</v>
      </c>
      <c r="M395" t="s">
        <v>1237</v>
      </c>
      <c r="N395" t="s">
        <v>278</v>
      </c>
      <c r="O395" t="s">
        <v>28</v>
      </c>
      <c r="P395" t="s">
        <v>618</v>
      </c>
      <c r="Q395">
        <v>52</v>
      </c>
      <c r="R395">
        <v>-7.9212000000000005E-2</v>
      </c>
    </row>
    <row r="396" spans="1:18" x14ac:dyDescent="0.2">
      <c r="A396" t="s">
        <v>270</v>
      </c>
      <c r="B396" t="s">
        <v>1212</v>
      </c>
      <c r="C396">
        <v>1</v>
      </c>
      <c r="D396" s="1">
        <v>44112.820706018516</v>
      </c>
      <c r="E396" t="s">
        <v>1238</v>
      </c>
      <c r="F396" t="s">
        <v>273</v>
      </c>
      <c r="G396" t="s">
        <v>1214</v>
      </c>
      <c r="H396" t="s">
        <v>275</v>
      </c>
      <c r="I396" t="s">
        <v>29</v>
      </c>
      <c r="J396">
        <v>1</v>
      </c>
      <c r="K396">
        <f>1-803-937-4925</f>
        <v>-6664</v>
      </c>
      <c r="L396" t="s">
        <v>1239</v>
      </c>
      <c r="M396" t="s">
        <v>1240</v>
      </c>
      <c r="N396" t="s">
        <v>278</v>
      </c>
      <c r="O396" t="s">
        <v>28</v>
      </c>
      <c r="P396" t="s">
        <v>618</v>
      </c>
      <c r="Q396">
        <v>52</v>
      </c>
      <c r="R396">
        <v>-7.9212000000000005E-2</v>
      </c>
    </row>
    <row r="397" spans="1:18" x14ac:dyDescent="0.2">
      <c r="A397" t="s">
        <v>270</v>
      </c>
      <c r="B397" t="s">
        <v>1212</v>
      </c>
      <c r="C397">
        <v>1</v>
      </c>
      <c r="D397" s="1">
        <v>44112.764386574076</v>
      </c>
      <c r="E397" t="s">
        <v>1241</v>
      </c>
      <c r="F397" t="s">
        <v>273</v>
      </c>
      <c r="G397" t="s">
        <v>1214</v>
      </c>
      <c r="H397" t="s">
        <v>275</v>
      </c>
      <c r="I397" t="s">
        <v>29</v>
      </c>
      <c r="J397">
        <v>1</v>
      </c>
      <c r="K397">
        <f>1-888-334-1316</f>
        <v>-2537</v>
      </c>
      <c r="L397" t="s">
        <v>1242</v>
      </c>
      <c r="M397" t="s">
        <v>1243</v>
      </c>
      <c r="N397" t="s">
        <v>278</v>
      </c>
      <c r="O397" t="s">
        <v>28</v>
      </c>
      <c r="P397" t="s">
        <v>618</v>
      </c>
      <c r="Q397">
        <v>52</v>
      </c>
      <c r="R397">
        <v>-7.9212000000000005E-2</v>
      </c>
    </row>
    <row r="398" spans="1:18" x14ac:dyDescent="0.2">
      <c r="A398" t="s">
        <v>270</v>
      </c>
      <c r="B398" t="s">
        <v>1212</v>
      </c>
      <c r="C398">
        <v>1</v>
      </c>
      <c r="D398" s="1">
        <v>44112.760775462964</v>
      </c>
      <c r="E398" t="s">
        <v>1244</v>
      </c>
      <c r="F398" t="s">
        <v>273</v>
      </c>
      <c r="G398" t="s">
        <v>1214</v>
      </c>
      <c r="H398" t="s">
        <v>275</v>
      </c>
      <c r="I398" t="s">
        <v>29</v>
      </c>
      <c r="J398">
        <v>1</v>
      </c>
      <c r="K398">
        <f>1-888-334-1316</f>
        <v>-2537</v>
      </c>
      <c r="L398" t="s">
        <v>1245</v>
      </c>
      <c r="M398" t="s">
        <v>1246</v>
      </c>
      <c r="N398" t="s">
        <v>278</v>
      </c>
      <c r="O398" t="s">
        <v>28</v>
      </c>
      <c r="P398" t="s">
        <v>618</v>
      </c>
      <c r="Q398">
        <v>52</v>
      </c>
      <c r="R398">
        <v>-7.9212000000000005E-2</v>
      </c>
    </row>
    <row r="399" spans="1:18" x14ac:dyDescent="0.2">
      <c r="A399" t="s">
        <v>270</v>
      </c>
      <c r="B399" t="s">
        <v>1212</v>
      </c>
      <c r="C399">
        <v>1</v>
      </c>
      <c r="D399" s="1">
        <v>44111.828553240739</v>
      </c>
      <c r="E399" t="s">
        <v>1247</v>
      </c>
      <c r="F399" t="s">
        <v>273</v>
      </c>
      <c r="G399" t="s">
        <v>1214</v>
      </c>
      <c r="H399" t="s">
        <v>275</v>
      </c>
      <c r="I399" t="s">
        <v>29</v>
      </c>
      <c r="J399">
        <v>1</v>
      </c>
      <c r="K399">
        <f>1-888-297-813</f>
        <v>-1997</v>
      </c>
      <c r="L399" t="s">
        <v>1248</v>
      </c>
      <c r="M399" t="s">
        <v>1249</v>
      </c>
      <c r="N399" t="s">
        <v>278</v>
      </c>
      <c r="O399" t="s">
        <v>28</v>
      </c>
      <c r="P399" t="s">
        <v>618</v>
      </c>
      <c r="Q399">
        <v>52</v>
      </c>
      <c r="R399">
        <v>-7.9212000000000005E-2</v>
      </c>
    </row>
    <row r="400" spans="1:18" x14ac:dyDescent="0.2">
      <c r="A400" t="s">
        <v>270</v>
      </c>
      <c r="B400" t="s">
        <v>1212</v>
      </c>
      <c r="C400">
        <v>1</v>
      </c>
      <c r="D400" s="1">
        <v>44106.825891203705</v>
      </c>
      <c r="E400" t="s">
        <v>1250</v>
      </c>
      <c r="F400" t="s">
        <v>273</v>
      </c>
      <c r="G400" t="s">
        <v>1214</v>
      </c>
      <c r="H400" t="s">
        <v>275</v>
      </c>
      <c r="I400" t="s">
        <v>29</v>
      </c>
      <c r="J400">
        <v>1</v>
      </c>
      <c r="K400">
        <f>1-888-304-9499</f>
        <v>-10690</v>
      </c>
      <c r="L400" t="s">
        <v>1251</v>
      </c>
      <c r="M400" t="s">
        <v>1252</v>
      </c>
      <c r="N400" t="s">
        <v>278</v>
      </c>
      <c r="O400" t="s">
        <v>28</v>
      </c>
      <c r="P400" t="s">
        <v>618</v>
      </c>
      <c r="Q400">
        <v>52</v>
      </c>
      <c r="R400">
        <v>-7.9212000000000005E-2</v>
      </c>
    </row>
    <row r="401" spans="1:18" x14ac:dyDescent="0.2">
      <c r="A401" t="s">
        <v>270</v>
      </c>
      <c r="B401" t="s">
        <v>1212</v>
      </c>
      <c r="C401">
        <v>1</v>
      </c>
      <c r="D401" s="1">
        <v>44103.762881944444</v>
      </c>
      <c r="E401" t="s">
        <v>1253</v>
      </c>
      <c r="F401" t="s">
        <v>273</v>
      </c>
      <c r="G401" t="s">
        <v>1214</v>
      </c>
      <c r="H401" t="s">
        <v>275</v>
      </c>
      <c r="I401" t="s">
        <v>29</v>
      </c>
      <c r="J401">
        <v>1</v>
      </c>
      <c r="K401">
        <f>1-888-210-6654</f>
        <v>-7751</v>
      </c>
      <c r="L401" t="s">
        <v>1254</v>
      </c>
      <c r="M401" t="s">
        <v>1255</v>
      </c>
      <c r="N401" t="s">
        <v>278</v>
      </c>
      <c r="O401" t="s">
        <v>134</v>
      </c>
      <c r="P401" t="s">
        <v>618</v>
      </c>
      <c r="Q401">
        <v>52</v>
      </c>
      <c r="R401">
        <v>-7.9212000000000005E-2</v>
      </c>
    </row>
    <row r="402" spans="1:18" x14ac:dyDescent="0.2">
      <c r="A402" t="s">
        <v>270</v>
      </c>
      <c r="B402" t="s">
        <v>1212</v>
      </c>
      <c r="C402">
        <v>1</v>
      </c>
      <c r="D402" s="1">
        <v>44102.822662037041</v>
      </c>
      <c r="E402" t="s">
        <v>1256</v>
      </c>
      <c r="F402" t="s">
        <v>273</v>
      </c>
      <c r="G402" t="s">
        <v>1214</v>
      </c>
      <c r="H402" t="s">
        <v>275</v>
      </c>
      <c r="I402" t="s">
        <v>29</v>
      </c>
      <c r="J402">
        <v>1</v>
      </c>
      <c r="K402">
        <f>1-888-228-8619</f>
        <v>-9734</v>
      </c>
      <c r="L402" t="s">
        <v>1257</v>
      </c>
      <c r="M402" t="s">
        <v>1258</v>
      </c>
      <c r="N402" t="s">
        <v>278</v>
      </c>
      <c r="O402" t="s">
        <v>28</v>
      </c>
      <c r="P402" t="s">
        <v>618</v>
      </c>
      <c r="Q402">
        <v>52</v>
      </c>
      <c r="R402">
        <v>-7.9212000000000005E-2</v>
      </c>
    </row>
    <row r="403" spans="1:18" x14ac:dyDescent="0.2">
      <c r="A403" t="s">
        <v>270</v>
      </c>
      <c r="B403" t="s">
        <v>1212</v>
      </c>
      <c r="C403">
        <v>1</v>
      </c>
      <c r="D403" s="1">
        <v>44099.904398148145</v>
      </c>
      <c r="E403" t="s">
        <v>1259</v>
      </c>
      <c r="F403" t="s">
        <v>273</v>
      </c>
      <c r="G403" t="s">
        <v>1214</v>
      </c>
      <c r="H403" t="s">
        <v>275</v>
      </c>
      <c r="I403" t="s">
        <v>29</v>
      </c>
      <c r="J403">
        <v>1</v>
      </c>
      <c r="K403">
        <f>1-888-252-1197</f>
        <v>-2336</v>
      </c>
      <c r="L403" t="s">
        <v>1260</v>
      </c>
      <c r="M403" t="s">
        <v>1261</v>
      </c>
      <c r="N403" t="s">
        <v>278</v>
      </c>
      <c r="O403" t="s">
        <v>28</v>
      </c>
      <c r="P403" t="s">
        <v>618</v>
      </c>
      <c r="Q403">
        <v>52</v>
      </c>
      <c r="R403">
        <v>-7.9212000000000005E-2</v>
      </c>
    </row>
    <row r="404" spans="1:18" x14ac:dyDescent="0.2">
      <c r="A404" t="s">
        <v>270</v>
      </c>
      <c r="B404" t="s">
        <v>1212</v>
      </c>
      <c r="C404">
        <v>1</v>
      </c>
      <c r="D404" s="1">
        <v>44097.942337962966</v>
      </c>
      <c r="E404" t="s">
        <v>1262</v>
      </c>
      <c r="F404" t="s">
        <v>273</v>
      </c>
      <c r="G404" t="s">
        <v>1214</v>
      </c>
      <c r="H404" t="s">
        <v>275</v>
      </c>
      <c r="I404" t="s">
        <v>29</v>
      </c>
      <c r="J404">
        <v>1</v>
      </c>
      <c r="K404">
        <f>1-888-233-5826</f>
        <v>-6946</v>
      </c>
      <c r="L404" t="s">
        <v>1263</v>
      </c>
      <c r="M404" t="s">
        <v>1264</v>
      </c>
      <c r="N404" t="s">
        <v>278</v>
      </c>
      <c r="O404" t="s">
        <v>28</v>
      </c>
      <c r="P404" t="s">
        <v>618</v>
      </c>
      <c r="Q404">
        <v>52</v>
      </c>
      <c r="R404">
        <v>-7.9212000000000005E-2</v>
      </c>
    </row>
    <row r="405" spans="1:18" x14ac:dyDescent="0.2">
      <c r="A405" t="s">
        <v>270</v>
      </c>
      <c r="B405" t="s">
        <v>1212</v>
      </c>
      <c r="C405">
        <v>1</v>
      </c>
      <c r="D405" s="1">
        <v>44096.836724537039</v>
      </c>
      <c r="E405" t="s">
        <v>1265</v>
      </c>
      <c r="F405" t="s">
        <v>273</v>
      </c>
      <c r="G405" t="s">
        <v>1214</v>
      </c>
      <c r="H405" t="s">
        <v>275</v>
      </c>
      <c r="I405" t="s">
        <v>29</v>
      </c>
      <c r="J405">
        <v>1</v>
      </c>
      <c r="K405">
        <f>1-888-210-6063</f>
        <v>-7160</v>
      </c>
      <c r="L405" t="s">
        <v>1266</v>
      </c>
      <c r="M405" t="s">
        <v>1267</v>
      </c>
      <c r="N405" t="s">
        <v>278</v>
      </c>
      <c r="O405" t="s">
        <v>28</v>
      </c>
      <c r="P405" t="s">
        <v>618</v>
      </c>
      <c r="Q405">
        <v>52</v>
      </c>
      <c r="R405">
        <v>-7.9212000000000005E-2</v>
      </c>
    </row>
    <row r="406" spans="1:18" x14ac:dyDescent="0.2">
      <c r="A406" t="s">
        <v>270</v>
      </c>
      <c r="B406" t="s">
        <v>1212</v>
      </c>
      <c r="C406">
        <v>1</v>
      </c>
      <c r="D406" s="1">
        <v>44096.367777777778</v>
      </c>
      <c r="E406" t="s">
        <v>1268</v>
      </c>
      <c r="F406" t="s">
        <v>273</v>
      </c>
      <c r="G406" t="s">
        <v>1214</v>
      </c>
      <c r="H406" t="s">
        <v>275</v>
      </c>
      <c r="I406" t="s">
        <v>29</v>
      </c>
      <c r="J406">
        <v>1</v>
      </c>
      <c r="K406">
        <f>1-844-305-9953</f>
        <v>-11101</v>
      </c>
      <c r="L406" t="s">
        <v>1269</v>
      </c>
      <c r="M406" t="s">
        <v>1270</v>
      </c>
      <c r="N406" t="s">
        <v>278</v>
      </c>
      <c r="O406" t="s">
        <v>28</v>
      </c>
      <c r="P406" t="s">
        <v>618</v>
      </c>
      <c r="Q406">
        <v>52</v>
      </c>
      <c r="R406">
        <v>-7.9212000000000005E-2</v>
      </c>
    </row>
    <row r="407" spans="1:18" x14ac:dyDescent="0.2">
      <c r="A407" t="s">
        <v>270</v>
      </c>
      <c r="B407" t="s">
        <v>1212</v>
      </c>
      <c r="C407">
        <v>1</v>
      </c>
      <c r="D407" s="1">
        <v>44095.784791666665</v>
      </c>
      <c r="E407" t="s">
        <v>1271</v>
      </c>
      <c r="F407" t="s">
        <v>273</v>
      </c>
      <c r="G407" t="s">
        <v>1214</v>
      </c>
      <c r="H407" t="s">
        <v>275</v>
      </c>
      <c r="I407" t="s">
        <v>29</v>
      </c>
      <c r="J407">
        <v>1</v>
      </c>
      <c r="K407">
        <f>1-844-301-8222</f>
        <v>-9366</v>
      </c>
      <c r="L407" t="s">
        <v>1272</v>
      </c>
      <c r="M407" t="s">
        <v>1273</v>
      </c>
      <c r="N407" t="s">
        <v>278</v>
      </c>
      <c r="O407" t="s">
        <v>28</v>
      </c>
      <c r="P407" t="s">
        <v>618</v>
      </c>
      <c r="Q407">
        <v>52</v>
      </c>
      <c r="R407">
        <v>-7.9212000000000005E-2</v>
      </c>
    </row>
    <row r="408" spans="1:18" x14ac:dyDescent="0.2">
      <c r="A408" t="s">
        <v>270</v>
      </c>
      <c r="B408" t="s">
        <v>1212</v>
      </c>
      <c r="C408">
        <v>1</v>
      </c>
      <c r="D408" s="1">
        <v>44090.992662037039</v>
      </c>
      <c r="E408" t="s">
        <v>1274</v>
      </c>
      <c r="F408" t="s">
        <v>273</v>
      </c>
      <c r="G408" t="s">
        <v>1214</v>
      </c>
      <c r="H408" t="s">
        <v>275</v>
      </c>
      <c r="I408" t="s">
        <v>29</v>
      </c>
      <c r="J408">
        <v>1</v>
      </c>
      <c r="K408">
        <f>1-844-242-3148</f>
        <v>-4233</v>
      </c>
      <c r="L408" t="s">
        <v>1275</v>
      </c>
      <c r="M408" t="s">
        <v>1276</v>
      </c>
      <c r="N408" t="s">
        <v>278</v>
      </c>
      <c r="O408" t="s">
        <v>28</v>
      </c>
      <c r="P408" t="s">
        <v>618</v>
      </c>
      <c r="Q408">
        <v>52</v>
      </c>
      <c r="R408">
        <v>-7.9212000000000005E-2</v>
      </c>
    </row>
    <row r="409" spans="1:18" x14ac:dyDescent="0.2">
      <c r="A409" t="s">
        <v>270</v>
      </c>
      <c r="B409" t="s">
        <v>1212</v>
      </c>
      <c r="C409">
        <v>1</v>
      </c>
      <c r="D409" s="1">
        <v>44090.991354166668</v>
      </c>
      <c r="E409" t="s">
        <v>1277</v>
      </c>
      <c r="F409" t="s">
        <v>273</v>
      </c>
      <c r="G409" t="s">
        <v>1214</v>
      </c>
      <c r="H409" t="s">
        <v>275</v>
      </c>
      <c r="I409" t="s">
        <v>29</v>
      </c>
      <c r="J409">
        <v>1</v>
      </c>
      <c r="K409">
        <f>1-844-242-3148</f>
        <v>-4233</v>
      </c>
      <c r="L409" t="s">
        <v>1278</v>
      </c>
      <c r="M409" t="s">
        <v>1279</v>
      </c>
      <c r="N409" t="s">
        <v>278</v>
      </c>
      <c r="O409" t="s">
        <v>28</v>
      </c>
      <c r="P409" t="s">
        <v>618</v>
      </c>
      <c r="Q409">
        <v>52</v>
      </c>
      <c r="R409">
        <v>-7.9212000000000005E-2</v>
      </c>
    </row>
    <row r="410" spans="1:18" x14ac:dyDescent="0.2">
      <c r="A410" t="s">
        <v>270</v>
      </c>
      <c r="B410" t="s">
        <v>1212</v>
      </c>
      <c r="C410">
        <v>1</v>
      </c>
      <c r="D410" s="1">
        <v>44090.798379629632</v>
      </c>
      <c r="E410" t="s">
        <v>1280</v>
      </c>
      <c r="F410" t="s">
        <v>273</v>
      </c>
      <c r="G410" t="s">
        <v>1214</v>
      </c>
      <c r="H410" t="s">
        <v>275</v>
      </c>
      <c r="I410" t="s">
        <v>29</v>
      </c>
      <c r="J410">
        <v>1</v>
      </c>
      <c r="K410">
        <f>1-844-243-4064</f>
        <v>-5150</v>
      </c>
      <c r="L410" t="s">
        <v>1281</v>
      </c>
      <c r="M410" t="s">
        <v>1282</v>
      </c>
      <c r="N410" t="s">
        <v>278</v>
      </c>
      <c r="O410" t="s">
        <v>28</v>
      </c>
      <c r="P410" t="s">
        <v>618</v>
      </c>
      <c r="Q410">
        <v>52</v>
      </c>
      <c r="R410">
        <v>-7.9212000000000005E-2</v>
      </c>
    </row>
    <row r="411" spans="1:18" x14ac:dyDescent="0.2">
      <c r="A411" t="s">
        <v>270</v>
      </c>
      <c r="B411" t="s">
        <v>1212</v>
      </c>
      <c r="C411">
        <v>1</v>
      </c>
      <c r="D411" s="1">
        <v>44090.797418981485</v>
      </c>
      <c r="E411" t="s">
        <v>1283</v>
      </c>
      <c r="F411" t="s">
        <v>273</v>
      </c>
      <c r="G411" t="s">
        <v>1214</v>
      </c>
      <c r="H411" t="s">
        <v>275</v>
      </c>
      <c r="I411" t="s">
        <v>29</v>
      </c>
      <c r="J411">
        <v>1</v>
      </c>
      <c r="K411">
        <f>1-844-243-4064</f>
        <v>-5150</v>
      </c>
      <c r="L411" t="s">
        <v>1284</v>
      </c>
      <c r="M411" t="s">
        <v>1285</v>
      </c>
      <c r="N411" t="s">
        <v>278</v>
      </c>
      <c r="O411" t="s">
        <v>28</v>
      </c>
      <c r="P411" t="s">
        <v>618</v>
      </c>
      <c r="Q411">
        <v>52</v>
      </c>
      <c r="R411">
        <v>-7.9212000000000005E-2</v>
      </c>
    </row>
    <row r="412" spans="1:18" x14ac:dyDescent="0.2">
      <c r="A412" t="s">
        <v>270</v>
      </c>
      <c r="B412" t="s">
        <v>1212</v>
      </c>
      <c r="C412">
        <v>1</v>
      </c>
      <c r="D412" s="1">
        <v>44090.416608796295</v>
      </c>
      <c r="E412" t="s">
        <v>1286</v>
      </c>
      <c r="F412" t="s">
        <v>273</v>
      </c>
      <c r="G412" t="s">
        <v>1214</v>
      </c>
      <c r="H412" t="s">
        <v>275</v>
      </c>
      <c r="I412" t="s">
        <v>29</v>
      </c>
      <c r="J412">
        <v>1</v>
      </c>
      <c r="K412">
        <f>1-844-318-8589</f>
        <v>-9750</v>
      </c>
      <c r="L412" t="s">
        <v>1287</v>
      </c>
      <c r="M412" t="s">
        <v>1288</v>
      </c>
      <c r="N412" t="s">
        <v>278</v>
      </c>
      <c r="O412" t="s">
        <v>28</v>
      </c>
      <c r="P412" t="s">
        <v>618</v>
      </c>
      <c r="Q412">
        <v>52</v>
      </c>
      <c r="R412">
        <v>-7.9212000000000005E-2</v>
      </c>
    </row>
    <row r="413" spans="1:18" x14ac:dyDescent="0.2">
      <c r="A413" t="s">
        <v>270</v>
      </c>
      <c r="B413" t="s">
        <v>1212</v>
      </c>
      <c r="C413">
        <v>1</v>
      </c>
      <c r="D413" s="1">
        <v>44090.416284722225</v>
      </c>
      <c r="E413" t="s">
        <v>1289</v>
      </c>
      <c r="F413" t="s">
        <v>273</v>
      </c>
      <c r="G413" t="s">
        <v>1214</v>
      </c>
      <c r="H413" t="s">
        <v>275</v>
      </c>
      <c r="I413" t="s">
        <v>29</v>
      </c>
      <c r="J413">
        <v>1</v>
      </c>
      <c r="K413">
        <f>1-844-318-8589</f>
        <v>-9750</v>
      </c>
      <c r="L413" t="s">
        <v>1290</v>
      </c>
      <c r="M413" t="s">
        <v>1291</v>
      </c>
      <c r="N413" t="s">
        <v>278</v>
      </c>
      <c r="O413" t="s">
        <v>28</v>
      </c>
      <c r="P413" t="s">
        <v>618</v>
      </c>
      <c r="Q413">
        <v>52</v>
      </c>
      <c r="R413">
        <v>-7.9212000000000005E-2</v>
      </c>
    </row>
    <row r="414" spans="1:18" x14ac:dyDescent="0.2">
      <c r="A414" t="s">
        <v>270</v>
      </c>
      <c r="B414" t="s">
        <v>1212</v>
      </c>
      <c r="C414">
        <v>1</v>
      </c>
      <c r="D414" s="1">
        <v>44090.415729166663</v>
      </c>
      <c r="E414" t="s">
        <v>1292</v>
      </c>
      <c r="F414" t="s">
        <v>273</v>
      </c>
      <c r="G414" t="s">
        <v>1214</v>
      </c>
      <c r="H414" t="s">
        <v>275</v>
      </c>
      <c r="I414" t="s">
        <v>29</v>
      </c>
      <c r="J414">
        <v>1</v>
      </c>
      <c r="K414">
        <f>1-844-293-8713</f>
        <v>-9849</v>
      </c>
      <c r="L414" t="s">
        <v>1293</v>
      </c>
      <c r="M414" t="s">
        <v>1294</v>
      </c>
      <c r="N414" t="s">
        <v>278</v>
      </c>
      <c r="O414" t="s">
        <v>28</v>
      </c>
      <c r="P414" t="s">
        <v>618</v>
      </c>
      <c r="Q414">
        <v>52</v>
      </c>
      <c r="R414">
        <v>-7.9212000000000005E-2</v>
      </c>
    </row>
    <row r="415" spans="1:18" x14ac:dyDescent="0.2">
      <c r="A415" t="s">
        <v>270</v>
      </c>
      <c r="B415" t="s">
        <v>1212</v>
      </c>
      <c r="C415">
        <v>1</v>
      </c>
      <c r="D415" s="1">
        <v>44090.414571759262</v>
      </c>
      <c r="E415" t="s">
        <v>1295</v>
      </c>
      <c r="F415" t="s">
        <v>273</v>
      </c>
      <c r="G415" t="s">
        <v>1214</v>
      </c>
      <c r="H415" t="s">
        <v>275</v>
      </c>
      <c r="I415" t="s">
        <v>29</v>
      </c>
      <c r="J415">
        <v>1</v>
      </c>
      <c r="K415">
        <f>1-844-311-7591</f>
        <v>-8745</v>
      </c>
      <c r="L415" t="s">
        <v>1296</v>
      </c>
      <c r="M415" t="s">
        <v>1297</v>
      </c>
      <c r="N415" t="s">
        <v>278</v>
      </c>
      <c r="O415" t="s">
        <v>28</v>
      </c>
      <c r="P415" t="s">
        <v>618</v>
      </c>
      <c r="Q415">
        <v>52</v>
      </c>
      <c r="R415">
        <v>-7.9212000000000005E-2</v>
      </c>
    </row>
    <row r="416" spans="1:18" x14ac:dyDescent="0.2">
      <c r="A416" t="s">
        <v>270</v>
      </c>
      <c r="B416" t="s">
        <v>1212</v>
      </c>
      <c r="C416">
        <v>1</v>
      </c>
      <c r="D416" s="1">
        <v>44089.83871527778</v>
      </c>
      <c r="E416" t="s">
        <v>1298</v>
      </c>
      <c r="F416" t="s">
        <v>273</v>
      </c>
      <c r="G416" t="s">
        <v>1214</v>
      </c>
      <c r="H416" t="s">
        <v>275</v>
      </c>
      <c r="I416" t="s">
        <v>29</v>
      </c>
      <c r="J416">
        <v>1</v>
      </c>
      <c r="K416">
        <f>1-844-233-1380</f>
        <v>-2456</v>
      </c>
      <c r="L416" t="s">
        <v>1299</v>
      </c>
      <c r="M416" t="s">
        <v>1300</v>
      </c>
      <c r="N416" t="s">
        <v>278</v>
      </c>
      <c r="O416" t="s">
        <v>28</v>
      </c>
      <c r="P416" t="s">
        <v>618</v>
      </c>
      <c r="Q416">
        <v>52</v>
      </c>
      <c r="R416">
        <v>-7.9212000000000005E-2</v>
      </c>
    </row>
    <row r="417" spans="1:18" x14ac:dyDescent="0.2">
      <c r="A417" t="s">
        <v>270</v>
      </c>
      <c r="B417" t="s">
        <v>1212</v>
      </c>
      <c r="C417">
        <v>1</v>
      </c>
      <c r="D417" s="1">
        <v>44084.784918981481</v>
      </c>
      <c r="E417" t="s">
        <v>1301</v>
      </c>
      <c r="F417" t="s">
        <v>273</v>
      </c>
      <c r="G417" t="s">
        <v>1214</v>
      </c>
      <c r="H417" t="s">
        <v>275</v>
      </c>
      <c r="I417" t="s">
        <v>29</v>
      </c>
      <c r="J417">
        <v>1</v>
      </c>
      <c r="K417">
        <f>1-844-318-7909</f>
        <v>-9070</v>
      </c>
      <c r="L417" t="s">
        <v>1302</v>
      </c>
      <c r="M417" t="s">
        <v>1303</v>
      </c>
      <c r="N417" t="s">
        <v>278</v>
      </c>
      <c r="O417" t="s">
        <v>28</v>
      </c>
      <c r="P417" t="s">
        <v>618</v>
      </c>
      <c r="Q417">
        <v>52</v>
      </c>
      <c r="R417">
        <v>-7.9212000000000005E-2</v>
      </c>
    </row>
    <row r="418" spans="1:18" x14ac:dyDescent="0.2">
      <c r="A418" t="s">
        <v>270</v>
      </c>
      <c r="B418" t="s">
        <v>1212</v>
      </c>
      <c r="C418">
        <v>1</v>
      </c>
      <c r="D418" s="1">
        <v>44084.78266203704</v>
      </c>
      <c r="E418" t="s">
        <v>1304</v>
      </c>
      <c r="F418" t="s">
        <v>273</v>
      </c>
      <c r="G418" t="s">
        <v>1214</v>
      </c>
      <c r="H418" t="s">
        <v>275</v>
      </c>
      <c r="I418" t="s">
        <v>29</v>
      </c>
      <c r="J418">
        <v>1</v>
      </c>
      <c r="K418">
        <f>1-888-608-5109</f>
        <v>-6604</v>
      </c>
      <c r="L418" t="s">
        <v>1305</v>
      </c>
      <c r="M418" t="s">
        <v>1306</v>
      </c>
      <c r="N418" t="s">
        <v>278</v>
      </c>
      <c r="O418" t="s">
        <v>28</v>
      </c>
      <c r="P418" t="s">
        <v>618</v>
      </c>
      <c r="Q418">
        <v>52</v>
      </c>
      <c r="R418">
        <v>-7.9212000000000005E-2</v>
      </c>
    </row>
    <row r="419" spans="1:18" x14ac:dyDescent="0.2">
      <c r="A419" t="s">
        <v>270</v>
      </c>
      <c r="B419" t="s">
        <v>1212</v>
      </c>
      <c r="C419">
        <v>1</v>
      </c>
      <c r="D419" s="1">
        <v>44084.781134259261</v>
      </c>
      <c r="E419" t="s">
        <v>1307</v>
      </c>
      <c r="F419" t="s">
        <v>273</v>
      </c>
      <c r="G419" t="s">
        <v>1214</v>
      </c>
      <c r="H419" t="s">
        <v>275</v>
      </c>
      <c r="I419" t="s">
        <v>29</v>
      </c>
      <c r="J419">
        <v>1</v>
      </c>
      <c r="K419">
        <f>1-888-608-5109</f>
        <v>-6604</v>
      </c>
      <c r="L419" t="s">
        <v>1308</v>
      </c>
      <c r="M419" t="s">
        <v>1309</v>
      </c>
      <c r="N419" t="s">
        <v>278</v>
      </c>
      <c r="O419" t="s">
        <v>28</v>
      </c>
      <c r="P419" t="s">
        <v>618</v>
      </c>
      <c r="Q419">
        <v>52</v>
      </c>
      <c r="R419">
        <v>-7.9212000000000005E-2</v>
      </c>
    </row>
    <row r="420" spans="1:18" x14ac:dyDescent="0.2">
      <c r="A420" t="s">
        <v>270</v>
      </c>
      <c r="B420" t="s">
        <v>1212</v>
      </c>
      <c r="C420">
        <v>1</v>
      </c>
      <c r="D420" s="1">
        <v>44083.912962962961</v>
      </c>
      <c r="E420" t="s">
        <v>1310</v>
      </c>
      <c r="F420" t="s">
        <v>273</v>
      </c>
      <c r="G420" t="s">
        <v>1214</v>
      </c>
      <c r="H420" t="s">
        <v>275</v>
      </c>
      <c r="I420" t="s">
        <v>29</v>
      </c>
      <c r="J420">
        <v>1</v>
      </c>
      <c r="K420">
        <f>1-888-585-4129</f>
        <v>-5601</v>
      </c>
      <c r="L420" t="s">
        <v>1311</v>
      </c>
      <c r="M420" t="s">
        <v>1312</v>
      </c>
      <c r="N420" t="s">
        <v>278</v>
      </c>
      <c r="O420" t="s">
        <v>28</v>
      </c>
      <c r="P420" t="s">
        <v>618</v>
      </c>
      <c r="Q420">
        <v>52</v>
      </c>
      <c r="R420">
        <v>-7.9212000000000005E-2</v>
      </c>
    </row>
    <row r="421" spans="1:18" x14ac:dyDescent="0.2">
      <c r="A421" t="s">
        <v>270</v>
      </c>
      <c r="B421" t="s">
        <v>1212</v>
      </c>
      <c r="C421">
        <v>1</v>
      </c>
      <c r="D421" s="1">
        <v>44083.824641203704</v>
      </c>
      <c r="E421" t="s">
        <v>1313</v>
      </c>
      <c r="F421" t="s">
        <v>273</v>
      </c>
      <c r="G421" t="s">
        <v>1214</v>
      </c>
      <c r="H421" t="s">
        <v>275</v>
      </c>
      <c r="I421" t="s">
        <v>29</v>
      </c>
      <c r="J421">
        <v>1</v>
      </c>
      <c r="K421">
        <f>1-888-585-6916</f>
        <v>-8388</v>
      </c>
      <c r="L421" t="s">
        <v>1314</v>
      </c>
      <c r="M421" t="s">
        <v>1315</v>
      </c>
      <c r="N421" t="s">
        <v>278</v>
      </c>
      <c r="O421" t="s">
        <v>28</v>
      </c>
      <c r="P421" t="s">
        <v>618</v>
      </c>
      <c r="Q421">
        <v>52</v>
      </c>
      <c r="R421">
        <v>-7.9212000000000005E-2</v>
      </c>
    </row>
    <row r="422" spans="1:18" x14ac:dyDescent="0.2">
      <c r="A422" t="s">
        <v>270</v>
      </c>
      <c r="B422" t="s">
        <v>1212</v>
      </c>
      <c r="C422">
        <v>1</v>
      </c>
      <c r="D422" s="1">
        <v>44083.801099537035</v>
      </c>
      <c r="E422" t="s">
        <v>1316</v>
      </c>
      <c r="F422" t="s">
        <v>273</v>
      </c>
      <c r="G422" t="s">
        <v>1214</v>
      </c>
      <c r="H422" t="s">
        <v>275</v>
      </c>
      <c r="I422" t="s">
        <v>29</v>
      </c>
      <c r="J422">
        <v>1</v>
      </c>
      <c r="K422">
        <f>1-888-599-5036</f>
        <v>-6522</v>
      </c>
      <c r="L422" t="s">
        <v>1317</v>
      </c>
      <c r="M422" t="s">
        <v>1318</v>
      </c>
      <c r="N422" t="s">
        <v>278</v>
      </c>
      <c r="O422" t="s">
        <v>28</v>
      </c>
      <c r="P422" t="s">
        <v>618</v>
      </c>
      <c r="Q422">
        <v>52</v>
      </c>
      <c r="R422">
        <v>-7.9212000000000005E-2</v>
      </c>
    </row>
    <row r="423" spans="1:18" x14ac:dyDescent="0.2">
      <c r="A423" t="s">
        <v>270</v>
      </c>
      <c r="B423" t="s">
        <v>1212</v>
      </c>
      <c r="C423">
        <v>1</v>
      </c>
      <c r="D423" s="1">
        <v>44082.927835648145</v>
      </c>
      <c r="E423" t="s">
        <v>1319</v>
      </c>
      <c r="F423" t="s">
        <v>273</v>
      </c>
      <c r="G423" t="s">
        <v>1214</v>
      </c>
      <c r="H423" t="s">
        <v>275</v>
      </c>
      <c r="I423" t="s">
        <v>29</v>
      </c>
      <c r="J423">
        <v>1</v>
      </c>
      <c r="K423">
        <f>1-888-592-8059</f>
        <v>-9538</v>
      </c>
      <c r="L423" t="s">
        <v>1320</v>
      </c>
      <c r="M423" t="s">
        <v>1321</v>
      </c>
      <c r="N423" t="s">
        <v>278</v>
      </c>
      <c r="O423" t="s">
        <v>28</v>
      </c>
      <c r="P423" t="s">
        <v>618</v>
      </c>
      <c r="Q423">
        <v>52</v>
      </c>
      <c r="R423">
        <v>-7.9212000000000005E-2</v>
      </c>
    </row>
    <row r="424" spans="1:18" x14ac:dyDescent="0.2">
      <c r="A424" t="s">
        <v>270</v>
      </c>
      <c r="B424" t="s">
        <v>1212</v>
      </c>
      <c r="C424">
        <v>1</v>
      </c>
      <c r="D424" s="1">
        <v>44078.852962962963</v>
      </c>
      <c r="E424" t="s">
        <v>1322</v>
      </c>
      <c r="F424" t="s">
        <v>273</v>
      </c>
      <c r="G424" t="s">
        <v>1214</v>
      </c>
      <c r="H424" t="s">
        <v>275</v>
      </c>
      <c r="I424" t="s">
        <v>29</v>
      </c>
      <c r="J424">
        <v>1</v>
      </c>
      <c r="K424">
        <f>1-866-591-3044</f>
        <v>-4500</v>
      </c>
      <c r="L424" t="s">
        <v>1323</v>
      </c>
      <c r="M424" t="s">
        <v>1324</v>
      </c>
      <c r="N424" t="s">
        <v>278</v>
      </c>
      <c r="O424" t="s">
        <v>134</v>
      </c>
      <c r="P424" t="s">
        <v>618</v>
      </c>
      <c r="Q424">
        <v>52</v>
      </c>
      <c r="R424">
        <v>-7.9212000000000005E-2</v>
      </c>
    </row>
    <row r="425" spans="1:18" x14ac:dyDescent="0.2">
      <c r="A425" t="s">
        <v>270</v>
      </c>
      <c r="B425" t="s">
        <v>1212</v>
      </c>
      <c r="C425">
        <v>1</v>
      </c>
      <c r="D425" s="1">
        <v>44078.851875</v>
      </c>
      <c r="E425" t="s">
        <v>1325</v>
      </c>
      <c r="F425" t="s">
        <v>273</v>
      </c>
      <c r="G425" t="s">
        <v>1214</v>
      </c>
      <c r="H425" t="s">
        <v>275</v>
      </c>
      <c r="I425" t="s">
        <v>29</v>
      </c>
      <c r="J425">
        <v>1</v>
      </c>
      <c r="K425">
        <f>1-866-754-7703</f>
        <v>-9322</v>
      </c>
      <c r="L425" t="s">
        <v>1326</v>
      </c>
      <c r="M425" t="s">
        <v>1327</v>
      </c>
      <c r="N425" t="s">
        <v>278</v>
      </c>
      <c r="O425" t="s">
        <v>134</v>
      </c>
      <c r="P425" t="s">
        <v>618</v>
      </c>
      <c r="Q425">
        <v>52</v>
      </c>
      <c r="R425">
        <v>-7.9212000000000005E-2</v>
      </c>
    </row>
    <row r="426" spans="1:18" x14ac:dyDescent="0.2">
      <c r="A426" t="s">
        <v>270</v>
      </c>
      <c r="B426" t="s">
        <v>1212</v>
      </c>
      <c r="C426">
        <v>1</v>
      </c>
      <c r="D426" s="1">
        <v>44074.93136574074</v>
      </c>
      <c r="E426" t="s">
        <v>1328</v>
      </c>
      <c r="F426" t="s">
        <v>273</v>
      </c>
      <c r="G426" t="s">
        <v>1214</v>
      </c>
      <c r="H426" t="s">
        <v>275</v>
      </c>
      <c r="I426" t="s">
        <v>29</v>
      </c>
      <c r="J426">
        <v>1</v>
      </c>
      <c r="K426">
        <f>1-888-651-2892</f>
        <v>-4430</v>
      </c>
      <c r="L426" t="s">
        <v>1329</v>
      </c>
      <c r="M426" t="s">
        <v>1330</v>
      </c>
      <c r="N426" t="s">
        <v>278</v>
      </c>
      <c r="O426" t="s">
        <v>28</v>
      </c>
      <c r="P426" t="s">
        <v>618</v>
      </c>
      <c r="Q426">
        <v>52</v>
      </c>
      <c r="R426">
        <v>-7.9212000000000005E-2</v>
      </c>
    </row>
    <row r="427" spans="1:18" x14ac:dyDescent="0.2">
      <c r="A427" t="s">
        <v>270</v>
      </c>
      <c r="B427" t="s">
        <v>1212</v>
      </c>
      <c r="C427">
        <v>1</v>
      </c>
      <c r="D427" s="1">
        <v>44074.930613425924</v>
      </c>
      <c r="E427" t="s">
        <v>1331</v>
      </c>
      <c r="F427" t="s">
        <v>273</v>
      </c>
      <c r="G427" t="s">
        <v>1214</v>
      </c>
      <c r="H427" t="s">
        <v>275</v>
      </c>
      <c r="I427" t="s">
        <v>29</v>
      </c>
      <c r="J427">
        <v>1</v>
      </c>
      <c r="K427">
        <f>1-888-592-9325</f>
        <v>-10804</v>
      </c>
      <c r="L427" t="s">
        <v>1332</v>
      </c>
      <c r="M427" t="s">
        <v>1333</v>
      </c>
      <c r="N427" t="s">
        <v>278</v>
      </c>
      <c r="O427" t="s">
        <v>28</v>
      </c>
      <c r="P427" t="s">
        <v>618</v>
      </c>
      <c r="Q427">
        <v>52</v>
      </c>
      <c r="R427">
        <v>-7.9212000000000005E-2</v>
      </c>
    </row>
    <row r="428" spans="1:18" x14ac:dyDescent="0.2">
      <c r="A428" t="s">
        <v>270</v>
      </c>
      <c r="B428" t="s">
        <v>1212</v>
      </c>
      <c r="C428">
        <v>1</v>
      </c>
      <c r="D428" s="1">
        <v>44073.943993055553</v>
      </c>
      <c r="E428" t="s">
        <v>1334</v>
      </c>
      <c r="F428" t="s">
        <v>273</v>
      </c>
      <c r="G428" t="s">
        <v>1214</v>
      </c>
      <c r="H428" t="s">
        <v>275</v>
      </c>
      <c r="I428" t="s">
        <v>29</v>
      </c>
      <c r="J428">
        <v>1</v>
      </c>
      <c r="K428">
        <f>1-888-417-4066</f>
        <v>-5370</v>
      </c>
      <c r="L428" t="s">
        <v>1335</v>
      </c>
      <c r="M428" t="s">
        <v>1336</v>
      </c>
      <c r="N428" t="s">
        <v>278</v>
      </c>
      <c r="O428" t="s">
        <v>134</v>
      </c>
      <c r="P428" t="s">
        <v>618</v>
      </c>
      <c r="Q428">
        <v>52</v>
      </c>
      <c r="R428">
        <v>-7.9212000000000005E-2</v>
      </c>
    </row>
    <row r="429" spans="1:18" x14ac:dyDescent="0.2">
      <c r="A429" t="s">
        <v>270</v>
      </c>
      <c r="B429" t="s">
        <v>1212</v>
      </c>
      <c r="C429">
        <v>1</v>
      </c>
      <c r="D429" s="1">
        <v>44073.941261574073</v>
      </c>
      <c r="E429" t="s">
        <v>1337</v>
      </c>
      <c r="F429" t="s">
        <v>273</v>
      </c>
      <c r="G429" t="s">
        <v>1214</v>
      </c>
      <c r="H429" t="s">
        <v>275</v>
      </c>
      <c r="I429" t="s">
        <v>29</v>
      </c>
      <c r="J429">
        <v>1</v>
      </c>
      <c r="K429">
        <f>1-888-312-1413</f>
        <v>-2612</v>
      </c>
      <c r="L429" t="s">
        <v>1338</v>
      </c>
      <c r="M429" t="s">
        <v>1339</v>
      </c>
      <c r="N429" t="s">
        <v>278</v>
      </c>
      <c r="O429" t="s">
        <v>134</v>
      </c>
      <c r="P429" t="s">
        <v>618</v>
      </c>
      <c r="Q429">
        <v>52</v>
      </c>
      <c r="R429">
        <v>-7.9212000000000005E-2</v>
      </c>
    </row>
    <row r="430" spans="1:18" x14ac:dyDescent="0.2">
      <c r="A430" t="s">
        <v>270</v>
      </c>
      <c r="B430" t="s">
        <v>1212</v>
      </c>
      <c r="C430">
        <v>1</v>
      </c>
      <c r="D430" s="1">
        <v>44073.02747685185</v>
      </c>
      <c r="E430" t="s">
        <v>1340</v>
      </c>
      <c r="F430" t="s">
        <v>273</v>
      </c>
      <c r="G430" t="s">
        <v>1214</v>
      </c>
      <c r="H430" t="s">
        <v>275</v>
      </c>
      <c r="I430" t="s">
        <v>29</v>
      </c>
      <c r="J430">
        <v>1</v>
      </c>
      <c r="K430">
        <f>1-888-597-1445</f>
        <v>-2929</v>
      </c>
      <c r="L430" t="s">
        <v>1341</v>
      </c>
      <c r="M430" t="s">
        <v>1342</v>
      </c>
      <c r="N430" t="s">
        <v>278</v>
      </c>
      <c r="O430" t="s">
        <v>134</v>
      </c>
      <c r="P430" t="s">
        <v>618</v>
      </c>
      <c r="Q430">
        <v>52</v>
      </c>
      <c r="R430">
        <v>-7.9212000000000005E-2</v>
      </c>
    </row>
    <row r="431" spans="1:18" x14ac:dyDescent="0.2">
      <c r="A431" t="s">
        <v>270</v>
      </c>
      <c r="B431" t="s">
        <v>1212</v>
      </c>
      <c r="C431">
        <v>1</v>
      </c>
      <c r="D431" s="1">
        <v>44072.869780092595</v>
      </c>
      <c r="E431" t="s">
        <v>1343</v>
      </c>
      <c r="F431" t="s">
        <v>273</v>
      </c>
      <c r="G431" t="s">
        <v>1214</v>
      </c>
      <c r="H431" t="s">
        <v>275</v>
      </c>
      <c r="I431" t="s">
        <v>29</v>
      </c>
      <c r="J431">
        <v>1</v>
      </c>
      <c r="K431">
        <f>1-888-662-8133</f>
        <v>-9682</v>
      </c>
      <c r="L431" t="s">
        <v>1344</v>
      </c>
      <c r="M431" t="s">
        <v>1345</v>
      </c>
      <c r="N431" t="s">
        <v>278</v>
      </c>
      <c r="O431" t="s">
        <v>134</v>
      </c>
      <c r="P431" t="s">
        <v>618</v>
      </c>
      <c r="Q431">
        <v>52</v>
      </c>
      <c r="R431">
        <v>-7.9212000000000005E-2</v>
      </c>
    </row>
    <row r="432" spans="1:18" x14ac:dyDescent="0.2">
      <c r="A432" t="s">
        <v>270</v>
      </c>
      <c r="B432" t="s">
        <v>1212</v>
      </c>
      <c r="C432">
        <v>1</v>
      </c>
      <c r="D432" s="1">
        <v>44072.868171296293</v>
      </c>
      <c r="E432" t="s">
        <v>1346</v>
      </c>
      <c r="F432" t="s">
        <v>273</v>
      </c>
      <c r="G432" t="s">
        <v>1214</v>
      </c>
      <c r="H432" t="s">
        <v>275</v>
      </c>
      <c r="I432" t="s">
        <v>29</v>
      </c>
      <c r="J432">
        <v>1</v>
      </c>
      <c r="K432">
        <f>1-888-619-5735</f>
        <v>-7241</v>
      </c>
      <c r="L432" t="s">
        <v>1347</v>
      </c>
      <c r="M432" t="s">
        <v>1348</v>
      </c>
      <c r="N432" t="s">
        <v>278</v>
      </c>
      <c r="O432" t="s">
        <v>134</v>
      </c>
      <c r="P432" t="s">
        <v>618</v>
      </c>
      <c r="Q432">
        <v>52</v>
      </c>
      <c r="R432">
        <v>-7.9212000000000005E-2</v>
      </c>
    </row>
    <row r="433" spans="1:18" x14ac:dyDescent="0.2">
      <c r="A433" t="s">
        <v>270</v>
      </c>
      <c r="B433" t="s">
        <v>1212</v>
      </c>
      <c r="C433">
        <v>1</v>
      </c>
      <c r="D433" s="1">
        <v>44072.867881944447</v>
      </c>
      <c r="E433" t="s">
        <v>1349</v>
      </c>
      <c r="F433" t="s">
        <v>273</v>
      </c>
      <c r="G433" t="s">
        <v>1214</v>
      </c>
      <c r="H433" t="s">
        <v>275</v>
      </c>
      <c r="I433" t="s">
        <v>29</v>
      </c>
      <c r="J433">
        <v>1</v>
      </c>
      <c r="K433">
        <f>1-888-594-3468</f>
        <v>-4949</v>
      </c>
      <c r="L433" t="s">
        <v>1350</v>
      </c>
      <c r="M433" t="s">
        <v>1351</v>
      </c>
      <c r="N433" t="s">
        <v>278</v>
      </c>
      <c r="O433" t="s">
        <v>134</v>
      </c>
      <c r="P433" t="s">
        <v>618</v>
      </c>
      <c r="Q433">
        <v>52</v>
      </c>
      <c r="R433">
        <v>-7.9212000000000005E-2</v>
      </c>
    </row>
    <row r="434" spans="1:18" x14ac:dyDescent="0.2">
      <c r="A434" t="s">
        <v>270</v>
      </c>
      <c r="B434" t="s">
        <v>1212</v>
      </c>
      <c r="C434">
        <v>1</v>
      </c>
      <c r="D434" s="1">
        <v>44071.974016203705</v>
      </c>
      <c r="E434" t="s">
        <v>1352</v>
      </c>
      <c r="F434" t="s">
        <v>273</v>
      </c>
      <c r="G434" t="s">
        <v>1214</v>
      </c>
      <c r="H434" t="s">
        <v>275</v>
      </c>
      <c r="I434" t="s">
        <v>29</v>
      </c>
      <c r="J434">
        <v>1</v>
      </c>
      <c r="K434">
        <f>1-888-909-1270</f>
        <v>-3066</v>
      </c>
      <c r="L434" t="s">
        <v>1353</v>
      </c>
      <c r="M434" t="s">
        <v>1354</v>
      </c>
      <c r="N434" t="s">
        <v>278</v>
      </c>
      <c r="O434" t="s">
        <v>134</v>
      </c>
      <c r="P434" t="s">
        <v>618</v>
      </c>
      <c r="Q434">
        <v>52</v>
      </c>
      <c r="R434">
        <v>-7.9212000000000005E-2</v>
      </c>
    </row>
    <row r="435" spans="1:18" x14ac:dyDescent="0.2">
      <c r="A435" t="s">
        <v>270</v>
      </c>
      <c r="B435" t="s">
        <v>1212</v>
      </c>
      <c r="C435">
        <v>1</v>
      </c>
      <c r="D435" s="1">
        <v>44071.905949074076</v>
      </c>
      <c r="E435" t="s">
        <v>1355</v>
      </c>
      <c r="F435" t="s">
        <v>273</v>
      </c>
      <c r="G435" t="s">
        <v>1214</v>
      </c>
      <c r="H435" t="s">
        <v>275</v>
      </c>
      <c r="I435" t="s">
        <v>29</v>
      </c>
      <c r="J435">
        <v>1</v>
      </c>
      <c r="K435">
        <f>1-888-803-850</f>
        <v>-2540</v>
      </c>
      <c r="L435" t="s">
        <v>1356</v>
      </c>
      <c r="M435" t="s">
        <v>1357</v>
      </c>
      <c r="N435" t="s">
        <v>278</v>
      </c>
      <c r="O435" t="s">
        <v>134</v>
      </c>
      <c r="P435" t="s">
        <v>618</v>
      </c>
      <c r="Q435">
        <v>52</v>
      </c>
      <c r="R435">
        <v>-7.9212000000000005E-2</v>
      </c>
    </row>
    <row r="436" spans="1:18" x14ac:dyDescent="0.2">
      <c r="A436" t="s">
        <v>270</v>
      </c>
      <c r="B436" t="s">
        <v>1212</v>
      </c>
      <c r="C436">
        <v>1</v>
      </c>
      <c r="D436" s="1">
        <v>44071.834178240744</v>
      </c>
      <c r="E436" t="s">
        <v>1358</v>
      </c>
      <c r="F436" t="s">
        <v>273</v>
      </c>
      <c r="G436" t="s">
        <v>1214</v>
      </c>
      <c r="H436" t="s">
        <v>275</v>
      </c>
      <c r="I436" t="s">
        <v>29</v>
      </c>
      <c r="J436">
        <v>1</v>
      </c>
      <c r="K436">
        <f>1-888-585-7716</f>
        <v>-9188</v>
      </c>
      <c r="L436" t="s">
        <v>1359</v>
      </c>
      <c r="M436" t="s">
        <v>1360</v>
      </c>
      <c r="N436" t="s">
        <v>278</v>
      </c>
      <c r="O436" t="s">
        <v>28</v>
      </c>
      <c r="P436" t="s">
        <v>618</v>
      </c>
      <c r="Q436">
        <v>52</v>
      </c>
      <c r="R436">
        <v>-7.9212000000000005E-2</v>
      </c>
    </row>
    <row r="437" spans="1:18" x14ac:dyDescent="0.2">
      <c r="A437" t="s">
        <v>270</v>
      </c>
      <c r="B437" t="s">
        <v>1212</v>
      </c>
      <c r="C437">
        <v>1</v>
      </c>
      <c r="D437" s="1">
        <v>44071.834155092591</v>
      </c>
      <c r="E437" t="s">
        <v>1361</v>
      </c>
      <c r="F437" t="s">
        <v>273</v>
      </c>
      <c r="G437" t="s">
        <v>1214</v>
      </c>
      <c r="H437" t="s">
        <v>275</v>
      </c>
      <c r="I437" t="s">
        <v>29</v>
      </c>
      <c r="J437">
        <v>1</v>
      </c>
      <c r="K437">
        <f>1-888-607-419</f>
        <v>-1913</v>
      </c>
      <c r="L437" t="s">
        <v>1362</v>
      </c>
      <c r="M437" t="s">
        <v>1363</v>
      </c>
      <c r="N437" t="s">
        <v>278</v>
      </c>
      <c r="O437" t="s">
        <v>28</v>
      </c>
      <c r="P437" t="s">
        <v>618</v>
      </c>
      <c r="Q437">
        <v>52</v>
      </c>
      <c r="R437">
        <v>-7.9212000000000005E-2</v>
      </c>
    </row>
    <row r="438" spans="1:18" x14ac:dyDescent="0.2">
      <c r="A438" t="s">
        <v>270</v>
      </c>
      <c r="B438" t="s">
        <v>1212</v>
      </c>
      <c r="C438">
        <v>1</v>
      </c>
      <c r="D438" s="1">
        <v>44071.418599537035</v>
      </c>
      <c r="E438" t="s">
        <v>1364</v>
      </c>
      <c r="F438" t="s">
        <v>273</v>
      </c>
      <c r="G438" t="s">
        <v>1214</v>
      </c>
      <c r="H438" t="s">
        <v>275</v>
      </c>
      <c r="I438" t="s">
        <v>29</v>
      </c>
      <c r="J438">
        <v>1</v>
      </c>
      <c r="K438">
        <f>1-888-383-569</f>
        <v>-1839</v>
      </c>
      <c r="L438" t="s">
        <v>1365</v>
      </c>
      <c r="M438" t="s">
        <v>1366</v>
      </c>
      <c r="N438" t="s">
        <v>278</v>
      </c>
      <c r="O438" t="s">
        <v>134</v>
      </c>
      <c r="P438" t="s">
        <v>618</v>
      </c>
      <c r="Q438">
        <v>52</v>
      </c>
      <c r="R438">
        <v>-7.9212000000000005E-2</v>
      </c>
    </row>
    <row r="439" spans="1:18" x14ac:dyDescent="0.2">
      <c r="A439" t="s">
        <v>270</v>
      </c>
      <c r="B439" t="s">
        <v>1212</v>
      </c>
      <c r="C439">
        <v>1</v>
      </c>
      <c r="D439" s="1">
        <v>44070.869814814818</v>
      </c>
      <c r="E439" t="s">
        <v>1367</v>
      </c>
      <c r="F439" t="s">
        <v>273</v>
      </c>
      <c r="G439" t="s">
        <v>1214</v>
      </c>
      <c r="H439" t="s">
        <v>275</v>
      </c>
      <c r="I439" t="s">
        <v>29</v>
      </c>
      <c r="J439">
        <v>1</v>
      </c>
      <c r="K439">
        <f>1-888-441-3235</f>
        <v>-4563</v>
      </c>
      <c r="L439" t="s">
        <v>1368</v>
      </c>
      <c r="M439" t="s">
        <v>1369</v>
      </c>
      <c r="N439" t="s">
        <v>278</v>
      </c>
      <c r="O439" t="s">
        <v>134</v>
      </c>
      <c r="P439" t="s">
        <v>618</v>
      </c>
      <c r="Q439">
        <v>52</v>
      </c>
      <c r="R439">
        <v>-7.9212000000000005E-2</v>
      </c>
    </row>
    <row r="440" spans="1:18" x14ac:dyDescent="0.2">
      <c r="A440" t="s">
        <v>270</v>
      </c>
      <c r="B440" t="s">
        <v>1212</v>
      </c>
      <c r="C440">
        <v>1</v>
      </c>
      <c r="D440" s="1">
        <v>44070.582407407404</v>
      </c>
      <c r="E440" t="s">
        <v>1370</v>
      </c>
      <c r="F440" t="s">
        <v>273</v>
      </c>
      <c r="G440" t="s">
        <v>1214</v>
      </c>
      <c r="H440" t="s">
        <v>275</v>
      </c>
      <c r="I440" t="s">
        <v>29</v>
      </c>
      <c r="J440">
        <v>1</v>
      </c>
      <c r="K440">
        <f>1-866-672-9693</f>
        <v>-11230</v>
      </c>
      <c r="L440" t="s">
        <v>1371</v>
      </c>
      <c r="M440" t="s">
        <v>1372</v>
      </c>
      <c r="N440" t="s">
        <v>278</v>
      </c>
      <c r="O440" t="s">
        <v>134</v>
      </c>
      <c r="P440" t="s">
        <v>618</v>
      </c>
      <c r="Q440">
        <v>52</v>
      </c>
      <c r="R440">
        <v>-7.9212000000000005E-2</v>
      </c>
    </row>
    <row r="441" spans="1:18" x14ac:dyDescent="0.2">
      <c r="A441" t="s">
        <v>270</v>
      </c>
      <c r="B441" t="s">
        <v>1212</v>
      </c>
      <c r="C441">
        <v>1</v>
      </c>
      <c r="D441" s="1">
        <v>44070.581909722219</v>
      </c>
      <c r="E441" t="s">
        <v>1373</v>
      </c>
      <c r="F441" t="s">
        <v>273</v>
      </c>
      <c r="G441" t="s">
        <v>1214</v>
      </c>
      <c r="H441" t="s">
        <v>275</v>
      </c>
      <c r="I441" t="s">
        <v>29</v>
      </c>
      <c r="J441">
        <v>1</v>
      </c>
      <c r="K441">
        <f>1-866-672-9693</f>
        <v>-11230</v>
      </c>
      <c r="L441" t="s">
        <v>1374</v>
      </c>
      <c r="M441" t="s">
        <v>1375</v>
      </c>
      <c r="N441" t="s">
        <v>278</v>
      </c>
      <c r="O441" t="s">
        <v>134</v>
      </c>
      <c r="P441" t="s">
        <v>618</v>
      </c>
      <c r="Q441">
        <v>52</v>
      </c>
      <c r="R441">
        <v>-7.9212000000000005E-2</v>
      </c>
    </row>
    <row r="442" spans="1:18" x14ac:dyDescent="0.2">
      <c r="A442" t="s">
        <v>270</v>
      </c>
      <c r="B442" t="s">
        <v>1212</v>
      </c>
      <c r="C442">
        <v>1</v>
      </c>
      <c r="D442" s="1">
        <v>44068.194178240738</v>
      </c>
      <c r="E442" t="s">
        <v>1376</v>
      </c>
      <c r="F442" t="s">
        <v>273</v>
      </c>
      <c r="G442" t="s">
        <v>1214</v>
      </c>
      <c r="H442" t="s">
        <v>275</v>
      </c>
      <c r="I442" t="s">
        <v>29</v>
      </c>
      <c r="J442">
        <v>1</v>
      </c>
      <c r="K442">
        <f>1-888-530-6238</f>
        <v>-7655</v>
      </c>
      <c r="L442" t="s">
        <v>1377</v>
      </c>
      <c r="M442" t="s">
        <v>1378</v>
      </c>
      <c r="N442" t="s">
        <v>278</v>
      </c>
      <c r="O442" t="s">
        <v>134</v>
      </c>
      <c r="P442" t="s">
        <v>618</v>
      </c>
      <c r="Q442">
        <v>52</v>
      </c>
      <c r="R442">
        <v>-7.9212000000000005E-2</v>
      </c>
    </row>
    <row r="443" spans="1:18" x14ac:dyDescent="0.2">
      <c r="A443" t="s">
        <v>270</v>
      </c>
      <c r="B443" t="s">
        <v>1212</v>
      </c>
      <c r="C443">
        <v>1</v>
      </c>
      <c r="D443" s="1">
        <v>44068.191365740742</v>
      </c>
      <c r="E443" t="s">
        <v>1379</v>
      </c>
      <c r="F443" t="s">
        <v>273</v>
      </c>
      <c r="G443" t="s">
        <v>1214</v>
      </c>
      <c r="H443" t="s">
        <v>275</v>
      </c>
      <c r="I443" t="s">
        <v>29</v>
      </c>
      <c r="J443">
        <v>1</v>
      </c>
      <c r="K443">
        <f>1-888-538-1045</f>
        <v>-2470</v>
      </c>
      <c r="L443" t="s">
        <v>1380</v>
      </c>
      <c r="M443" t="s">
        <v>1381</v>
      </c>
      <c r="N443" t="s">
        <v>278</v>
      </c>
      <c r="O443" t="s">
        <v>134</v>
      </c>
      <c r="P443" t="s">
        <v>618</v>
      </c>
      <c r="Q443">
        <v>52</v>
      </c>
      <c r="R443">
        <v>-7.9212000000000005E-2</v>
      </c>
    </row>
    <row r="444" spans="1:18" x14ac:dyDescent="0.2">
      <c r="A444" t="s">
        <v>270</v>
      </c>
      <c r="B444" t="s">
        <v>1212</v>
      </c>
      <c r="C444">
        <v>1</v>
      </c>
      <c r="D444" s="1">
        <v>44068.050879629627</v>
      </c>
      <c r="E444" t="s">
        <v>1382</v>
      </c>
      <c r="F444" t="s">
        <v>273</v>
      </c>
      <c r="G444" t="s">
        <v>1214</v>
      </c>
      <c r="H444" t="s">
        <v>275</v>
      </c>
      <c r="I444" t="s">
        <v>29</v>
      </c>
      <c r="J444">
        <v>1</v>
      </c>
      <c r="K444">
        <f>1-888-532-188</f>
        <v>-1607</v>
      </c>
      <c r="L444" t="s">
        <v>1383</v>
      </c>
      <c r="M444" t="s">
        <v>1384</v>
      </c>
      <c r="N444" t="s">
        <v>278</v>
      </c>
      <c r="O444" t="s">
        <v>28</v>
      </c>
      <c r="P444" t="s">
        <v>618</v>
      </c>
      <c r="Q444">
        <v>52</v>
      </c>
      <c r="R444">
        <v>-7.9212000000000005E-2</v>
      </c>
    </row>
    <row r="445" spans="1:18" x14ac:dyDescent="0.2">
      <c r="A445" t="s">
        <v>270</v>
      </c>
      <c r="B445" t="s">
        <v>1212</v>
      </c>
      <c r="C445">
        <v>1</v>
      </c>
      <c r="D445" s="1">
        <v>44068.031967592593</v>
      </c>
      <c r="E445" t="s">
        <v>1385</v>
      </c>
      <c r="F445" t="s">
        <v>273</v>
      </c>
      <c r="G445" t="s">
        <v>1214</v>
      </c>
      <c r="H445" t="s">
        <v>275</v>
      </c>
      <c r="I445" t="s">
        <v>29</v>
      </c>
      <c r="J445">
        <v>1</v>
      </c>
      <c r="K445">
        <f>1-888-965-777</f>
        <v>-2629</v>
      </c>
      <c r="L445" t="s">
        <v>1386</v>
      </c>
      <c r="M445" t="s">
        <v>1387</v>
      </c>
      <c r="N445" t="s">
        <v>278</v>
      </c>
      <c r="O445" t="s">
        <v>28</v>
      </c>
      <c r="P445" t="s">
        <v>618</v>
      </c>
      <c r="Q445">
        <v>52</v>
      </c>
      <c r="R445">
        <v>-7.9212000000000005E-2</v>
      </c>
    </row>
    <row r="446" spans="1:18" x14ac:dyDescent="0.2">
      <c r="A446" t="s">
        <v>270</v>
      </c>
      <c r="B446" t="s">
        <v>1212</v>
      </c>
      <c r="C446">
        <v>1</v>
      </c>
      <c r="D446" s="1">
        <v>44053.827638888892</v>
      </c>
      <c r="E446" t="s">
        <v>1388</v>
      </c>
      <c r="F446" t="s">
        <v>273</v>
      </c>
      <c r="G446" t="s">
        <v>1214</v>
      </c>
      <c r="H446" t="s">
        <v>275</v>
      </c>
      <c r="I446" t="s">
        <v>29</v>
      </c>
      <c r="J446">
        <v>1</v>
      </c>
      <c r="K446">
        <f>1-866-730-8093</f>
        <v>-9688</v>
      </c>
      <c r="L446" t="s">
        <v>1389</v>
      </c>
      <c r="M446" t="s">
        <v>1390</v>
      </c>
      <c r="N446" t="s">
        <v>278</v>
      </c>
      <c r="O446" t="s">
        <v>134</v>
      </c>
      <c r="P446" t="s">
        <v>618</v>
      </c>
      <c r="Q446">
        <v>52</v>
      </c>
      <c r="R446">
        <v>-7.9212000000000005E-2</v>
      </c>
    </row>
    <row r="447" spans="1:18" x14ac:dyDescent="0.2">
      <c r="A447" t="s">
        <v>270</v>
      </c>
      <c r="B447" t="s">
        <v>1212</v>
      </c>
      <c r="C447">
        <v>1</v>
      </c>
      <c r="D447" s="1">
        <v>43973.081747685188</v>
      </c>
      <c r="E447" t="s">
        <v>1391</v>
      </c>
      <c r="F447" t="s">
        <v>273</v>
      </c>
      <c r="G447" t="s">
        <v>1214</v>
      </c>
      <c r="H447" t="s">
        <v>275</v>
      </c>
      <c r="I447" t="s">
        <v>29</v>
      </c>
      <c r="J447">
        <v>1</v>
      </c>
      <c r="K447">
        <f>1-833-563-529</f>
        <v>-1924</v>
      </c>
      <c r="L447" t="s">
        <v>1392</v>
      </c>
      <c r="M447" t="s">
        <v>1393</v>
      </c>
      <c r="N447" t="s">
        <v>278</v>
      </c>
      <c r="O447" t="s">
        <v>28</v>
      </c>
      <c r="P447" t="s">
        <v>618</v>
      </c>
      <c r="Q447">
        <v>52</v>
      </c>
      <c r="R447">
        <v>-7.9212000000000005E-2</v>
      </c>
    </row>
    <row r="448" spans="1:18" x14ac:dyDescent="0.2">
      <c r="A448" t="s">
        <v>675</v>
      </c>
      <c r="B448" t="s">
        <v>1394</v>
      </c>
      <c r="C448">
        <v>49</v>
      </c>
      <c r="D448" s="1">
        <v>43973.504618055558</v>
      </c>
      <c r="E448" t="s">
        <v>1395</v>
      </c>
      <c r="F448" t="s">
        <v>1396</v>
      </c>
      <c r="G448" t="s">
        <v>1397</v>
      </c>
      <c r="H448" t="s">
        <v>680</v>
      </c>
      <c r="I448" t="s">
        <v>24</v>
      </c>
      <c r="J448">
        <v>49</v>
      </c>
      <c r="K448">
        <f>49-800-7237981</f>
        <v>-7238732</v>
      </c>
      <c r="L448" t="s">
        <v>1398</v>
      </c>
      <c r="M448" t="s">
        <v>1399</v>
      </c>
      <c r="N448" t="s">
        <v>452</v>
      </c>
      <c r="O448" t="s">
        <v>134</v>
      </c>
      <c r="P448" t="s">
        <v>618</v>
      </c>
      <c r="Q448">
        <v>53</v>
      </c>
      <c r="R448">
        <v>-0.44636100000000001</v>
      </c>
    </row>
    <row r="449" spans="1:18" x14ac:dyDescent="0.2">
      <c r="A449" t="s">
        <v>439</v>
      </c>
      <c r="B449" t="s">
        <v>440</v>
      </c>
      <c r="C449">
        <v>1</v>
      </c>
      <c r="D449" s="1">
        <v>43973.759039351855</v>
      </c>
      <c r="E449" t="s">
        <v>1400</v>
      </c>
      <c r="F449" t="s">
        <v>442</v>
      </c>
      <c r="G449" t="s">
        <v>1401</v>
      </c>
      <c r="H449" t="s">
        <v>444</v>
      </c>
      <c r="I449" t="s">
        <v>29</v>
      </c>
      <c r="J449">
        <v>1</v>
      </c>
      <c r="K449">
        <f>1-833-225-2924</f>
        <v>-3981</v>
      </c>
      <c r="L449" t="s">
        <v>1402</v>
      </c>
      <c r="M449" t="s">
        <v>1403</v>
      </c>
      <c r="N449" t="s">
        <v>447</v>
      </c>
      <c r="O449" t="s">
        <v>28</v>
      </c>
      <c r="P449" t="s">
        <v>29</v>
      </c>
      <c r="Q449">
        <v>39</v>
      </c>
      <c r="R449">
        <v>-77.487399999999994</v>
      </c>
    </row>
    <row r="450" spans="1:18" x14ac:dyDescent="0.2">
      <c r="A450" t="s">
        <v>439</v>
      </c>
      <c r="B450" t="s">
        <v>440</v>
      </c>
      <c r="C450">
        <v>1</v>
      </c>
      <c r="D450" s="1">
        <v>43973.825474537036</v>
      </c>
      <c r="E450" t="s">
        <v>1404</v>
      </c>
      <c r="F450" t="s">
        <v>442</v>
      </c>
      <c r="G450" t="s">
        <v>1405</v>
      </c>
      <c r="H450" t="s">
        <v>444</v>
      </c>
      <c r="I450" t="s">
        <v>29</v>
      </c>
      <c r="J450">
        <v>1</v>
      </c>
      <c r="K450">
        <f>1-833-556-6565</f>
        <v>-7953</v>
      </c>
      <c r="L450" t="s">
        <v>1406</v>
      </c>
      <c r="M450" t="s">
        <v>1407</v>
      </c>
      <c r="N450" t="s">
        <v>674</v>
      </c>
      <c r="O450" t="s">
        <v>28</v>
      </c>
      <c r="P450" t="s">
        <v>29</v>
      </c>
      <c r="Q450">
        <v>39</v>
      </c>
      <c r="R450">
        <v>-77.487399999999994</v>
      </c>
    </row>
    <row r="451" spans="1:18" x14ac:dyDescent="0.2">
      <c r="A451" t="s">
        <v>439</v>
      </c>
      <c r="B451" t="s">
        <v>440</v>
      </c>
      <c r="C451">
        <v>1</v>
      </c>
      <c r="D451" s="1">
        <v>43973.858437499999</v>
      </c>
      <c r="E451" t="s">
        <v>1408</v>
      </c>
      <c r="F451" t="s">
        <v>442</v>
      </c>
      <c r="G451" t="s">
        <v>1409</v>
      </c>
      <c r="H451" t="s">
        <v>444</v>
      </c>
      <c r="I451" t="s">
        <v>29</v>
      </c>
      <c r="J451">
        <v>1</v>
      </c>
      <c r="K451">
        <f>1-833-760-1129</f>
        <v>-2721</v>
      </c>
      <c r="L451" t="s">
        <v>1410</v>
      </c>
      <c r="M451" t="s">
        <v>1411</v>
      </c>
      <c r="N451" t="s">
        <v>452</v>
      </c>
      <c r="O451" t="s">
        <v>28</v>
      </c>
      <c r="P451" t="s">
        <v>29</v>
      </c>
      <c r="Q451">
        <v>39</v>
      </c>
      <c r="R451">
        <v>-77.487399999999994</v>
      </c>
    </row>
    <row r="452" spans="1:18" x14ac:dyDescent="0.2">
      <c r="A452" t="s">
        <v>439</v>
      </c>
      <c r="B452" t="s">
        <v>1412</v>
      </c>
      <c r="C452">
        <v>1</v>
      </c>
      <c r="D452" s="1">
        <v>43974.710763888892</v>
      </c>
      <c r="E452" t="s">
        <v>1413</v>
      </c>
      <c r="F452" t="s">
        <v>442</v>
      </c>
      <c r="G452" t="s">
        <v>1414</v>
      </c>
      <c r="H452" t="s">
        <v>444</v>
      </c>
      <c r="I452" t="s">
        <v>29</v>
      </c>
      <c r="J452">
        <v>1</v>
      </c>
      <c r="K452">
        <f>1-844-212-7313</f>
        <v>-8368</v>
      </c>
      <c r="L452" t="s">
        <v>1415</v>
      </c>
      <c r="M452" t="s">
        <v>1416</v>
      </c>
      <c r="N452" t="s">
        <v>447</v>
      </c>
      <c r="O452" t="s">
        <v>28</v>
      </c>
      <c r="P452" t="s">
        <v>29</v>
      </c>
      <c r="Q452">
        <v>41</v>
      </c>
      <c r="R452">
        <v>-74.172399999999996</v>
      </c>
    </row>
    <row r="453" spans="1:18" x14ac:dyDescent="0.2">
      <c r="A453" t="s">
        <v>439</v>
      </c>
      <c r="B453" t="s">
        <v>440</v>
      </c>
      <c r="C453">
        <v>1</v>
      </c>
      <c r="D453" s="1">
        <v>43974.714363425926</v>
      </c>
      <c r="E453" t="s">
        <v>1417</v>
      </c>
      <c r="F453" t="s">
        <v>442</v>
      </c>
      <c r="G453" t="s">
        <v>1418</v>
      </c>
      <c r="H453" t="s">
        <v>444</v>
      </c>
      <c r="I453" t="s">
        <v>29</v>
      </c>
      <c r="J453">
        <v>1</v>
      </c>
      <c r="K453">
        <f>1-833-70+1-703</f>
        <v>-1604</v>
      </c>
      <c r="L453" t="s">
        <v>1419</v>
      </c>
      <c r="M453" t="s">
        <v>1420</v>
      </c>
      <c r="N453" t="s">
        <v>674</v>
      </c>
      <c r="O453" t="s">
        <v>28</v>
      </c>
      <c r="P453" t="s">
        <v>29</v>
      </c>
      <c r="Q453">
        <v>39</v>
      </c>
      <c r="R453">
        <v>-77.487399999999994</v>
      </c>
    </row>
    <row r="454" spans="1:18" x14ac:dyDescent="0.2">
      <c r="A454" t="s">
        <v>439</v>
      </c>
      <c r="B454" t="s">
        <v>440</v>
      </c>
      <c r="C454">
        <v>1</v>
      </c>
      <c r="D454" s="1">
        <v>43974.716724537036</v>
      </c>
      <c r="E454" t="s">
        <v>1421</v>
      </c>
      <c r="F454" t="s">
        <v>442</v>
      </c>
      <c r="G454" t="s">
        <v>1422</v>
      </c>
      <c r="H454" t="s">
        <v>444</v>
      </c>
      <c r="I454" t="s">
        <v>29</v>
      </c>
      <c r="J454">
        <v>1</v>
      </c>
      <c r="K454">
        <f>1-833-70+1-787</f>
        <v>-1688</v>
      </c>
      <c r="L454" t="s">
        <v>1423</v>
      </c>
      <c r="M454" t="s">
        <v>1424</v>
      </c>
      <c r="N454" t="s">
        <v>213</v>
      </c>
      <c r="O454" t="s">
        <v>28</v>
      </c>
      <c r="P454" t="s">
        <v>29</v>
      </c>
      <c r="Q454">
        <v>39</v>
      </c>
      <c r="R454">
        <v>-77.487399999999994</v>
      </c>
    </row>
    <row r="455" spans="1:18" x14ac:dyDescent="0.2">
      <c r="A455" t="s">
        <v>270</v>
      </c>
      <c r="B455" t="s">
        <v>271</v>
      </c>
      <c r="C455">
        <v>1</v>
      </c>
      <c r="D455" s="1">
        <v>44149.155219907407</v>
      </c>
      <c r="E455" t="s">
        <v>1425</v>
      </c>
      <c r="F455" t="s">
        <v>273</v>
      </c>
      <c r="G455" t="s">
        <v>1426</v>
      </c>
      <c r="H455" t="s">
        <v>275</v>
      </c>
      <c r="I455" t="s">
        <v>29</v>
      </c>
      <c r="J455">
        <v>1</v>
      </c>
      <c r="K455">
        <f>1-844-279-115</f>
        <v>-1237</v>
      </c>
      <c r="L455" t="s">
        <v>1427</v>
      </c>
      <c r="M455" t="s">
        <v>1428</v>
      </c>
      <c r="N455" t="s">
        <v>278</v>
      </c>
      <c r="O455" t="s">
        <v>134</v>
      </c>
      <c r="P455" t="s">
        <v>29</v>
      </c>
      <c r="Q455">
        <v>42</v>
      </c>
      <c r="R455">
        <v>-93.620800000000003</v>
      </c>
    </row>
    <row r="456" spans="1:18" x14ac:dyDescent="0.2">
      <c r="A456" t="s">
        <v>270</v>
      </c>
      <c r="B456" t="s">
        <v>271</v>
      </c>
      <c r="C456">
        <v>1</v>
      </c>
      <c r="D456" s="1">
        <v>44149.136469907404</v>
      </c>
      <c r="E456" t="s">
        <v>1429</v>
      </c>
      <c r="F456" t="s">
        <v>273</v>
      </c>
      <c r="G456" t="s">
        <v>1426</v>
      </c>
      <c r="H456" t="s">
        <v>275</v>
      </c>
      <c r="I456" t="s">
        <v>29</v>
      </c>
      <c r="J456">
        <v>1</v>
      </c>
      <c r="K456">
        <f>1-844-288-9125</f>
        <v>-10256</v>
      </c>
      <c r="L456" t="s">
        <v>1430</v>
      </c>
      <c r="M456" t="s">
        <v>1431</v>
      </c>
      <c r="N456" t="s">
        <v>278</v>
      </c>
      <c r="O456" t="s">
        <v>134</v>
      </c>
      <c r="P456" t="s">
        <v>29</v>
      </c>
      <c r="Q456">
        <v>42</v>
      </c>
      <c r="R456">
        <v>-93.620800000000003</v>
      </c>
    </row>
    <row r="457" spans="1:18" x14ac:dyDescent="0.2">
      <c r="A457" t="s">
        <v>270</v>
      </c>
      <c r="B457" t="s">
        <v>271</v>
      </c>
      <c r="C457">
        <v>1</v>
      </c>
      <c r="D457" s="1">
        <v>44149.135416666664</v>
      </c>
      <c r="E457" t="s">
        <v>1432</v>
      </c>
      <c r="F457" t="s">
        <v>273</v>
      </c>
      <c r="G457" t="s">
        <v>1426</v>
      </c>
      <c r="H457" t="s">
        <v>275</v>
      </c>
      <c r="I457" t="s">
        <v>29</v>
      </c>
      <c r="J457">
        <v>1</v>
      </c>
      <c r="K457">
        <f>1-844-288-9125</f>
        <v>-10256</v>
      </c>
      <c r="L457" t="s">
        <v>1433</v>
      </c>
      <c r="M457" t="s">
        <v>1434</v>
      </c>
      <c r="N457" t="s">
        <v>278</v>
      </c>
      <c r="O457" t="s">
        <v>134</v>
      </c>
      <c r="P457" t="s">
        <v>29</v>
      </c>
      <c r="Q457">
        <v>42</v>
      </c>
      <c r="R457">
        <v>-93.620800000000003</v>
      </c>
    </row>
    <row r="458" spans="1:18" x14ac:dyDescent="0.2">
      <c r="A458" t="s">
        <v>270</v>
      </c>
      <c r="B458" t="s">
        <v>271</v>
      </c>
      <c r="C458">
        <v>1</v>
      </c>
      <c r="D458" s="1">
        <v>44149.135057870371</v>
      </c>
      <c r="E458" t="s">
        <v>1435</v>
      </c>
      <c r="F458" t="s">
        <v>273</v>
      </c>
      <c r="G458" t="s">
        <v>1426</v>
      </c>
      <c r="H458" t="s">
        <v>275</v>
      </c>
      <c r="I458" t="s">
        <v>29</v>
      </c>
      <c r="J458">
        <v>1</v>
      </c>
      <c r="K458">
        <f>1-844-295-6539</f>
        <v>-7677</v>
      </c>
      <c r="L458" t="s">
        <v>1436</v>
      </c>
      <c r="M458" t="s">
        <v>1437</v>
      </c>
      <c r="N458" t="s">
        <v>278</v>
      </c>
      <c r="O458" t="s">
        <v>134</v>
      </c>
      <c r="P458" t="s">
        <v>29</v>
      </c>
      <c r="Q458">
        <v>42</v>
      </c>
      <c r="R458">
        <v>-93.620800000000003</v>
      </c>
    </row>
    <row r="459" spans="1:18" x14ac:dyDescent="0.2">
      <c r="A459" t="s">
        <v>270</v>
      </c>
      <c r="B459" t="s">
        <v>271</v>
      </c>
      <c r="C459">
        <v>1</v>
      </c>
      <c r="D459" s="1">
        <v>44142.949756944443</v>
      </c>
      <c r="E459" t="s">
        <v>1438</v>
      </c>
      <c r="F459" t="s">
        <v>273</v>
      </c>
      <c r="G459" t="s">
        <v>1426</v>
      </c>
      <c r="H459" t="s">
        <v>275</v>
      </c>
      <c r="I459" t="s">
        <v>29</v>
      </c>
      <c r="J459">
        <v>1</v>
      </c>
      <c r="K459">
        <f>1-866-707-6693</f>
        <v>-8265</v>
      </c>
      <c r="L459" t="s">
        <v>1439</v>
      </c>
      <c r="M459" t="s">
        <v>1440</v>
      </c>
      <c r="N459" t="s">
        <v>278</v>
      </c>
      <c r="O459" t="s">
        <v>28</v>
      </c>
      <c r="P459" t="s">
        <v>29</v>
      </c>
      <c r="Q459">
        <v>42</v>
      </c>
      <c r="R459">
        <v>-93.620800000000003</v>
      </c>
    </row>
    <row r="460" spans="1:18" x14ac:dyDescent="0.2">
      <c r="A460" t="s">
        <v>270</v>
      </c>
      <c r="B460" t="s">
        <v>271</v>
      </c>
      <c r="C460">
        <v>1</v>
      </c>
      <c r="D460" s="1">
        <v>44140.799872685187</v>
      </c>
      <c r="E460" t="s">
        <v>1441</v>
      </c>
      <c r="F460" t="s">
        <v>273</v>
      </c>
      <c r="G460" t="s">
        <v>1426</v>
      </c>
      <c r="H460" t="s">
        <v>275</v>
      </c>
      <c r="I460" t="s">
        <v>29</v>
      </c>
      <c r="J460">
        <v>1</v>
      </c>
      <c r="K460">
        <f>1-888-393-2919</f>
        <v>-4199</v>
      </c>
      <c r="L460" t="s">
        <v>1442</v>
      </c>
      <c r="M460" t="s">
        <v>1443</v>
      </c>
      <c r="N460" t="s">
        <v>278</v>
      </c>
      <c r="O460" t="s">
        <v>28</v>
      </c>
      <c r="P460" t="s">
        <v>29</v>
      </c>
      <c r="Q460">
        <v>42</v>
      </c>
      <c r="R460">
        <v>-93.620800000000003</v>
      </c>
    </row>
    <row r="461" spans="1:18" x14ac:dyDescent="0.2">
      <c r="A461" t="s">
        <v>270</v>
      </c>
      <c r="B461" t="s">
        <v>271</v>
      </c>
      <c r="C461">
        <v>1</v>
      </c>
      <c r="D461" s="1">
        <v>44137.806527777779</v>
      </c>
      <c r="E461" t="s">
        <v>1444</v>
      </c>
      <c r="F461" t="s">
        <v>273</v>
      </c>
      <c r="G461" t="s">
        <v>1426</v>
      </c>
      <c r="H461" t="s">
        <v>275</v>
      </c>
      <c r="I461" t="s">
        <v>29</v>
      </c>
      <c r="J461">
        <v>1</v>
      </c>
      <c r="K461">
        <f>1-888-390-4096</f>
        <v>-5373</v>
      </c>
      <c r="L461" t="s">
        <v>1445</v>
      </c>
      <c r="M461" t="s">
        <v>1446</v>
      </c>
      <c r="N461" t="s">
        <v>278</v>
      </c>
      <c r="O461" t="s">
        <v>28</v>
      </c>
      <c r="P461" t="s">
        <v>29</v>
      </c>
      <c r="Q461">
        <v>42</v>
      </c>
      <c r="R461">
        <v>-93.620800000000003</v>
      </c>
    </row>
    <row r="462" spans="1:18" x14ac:dyDescent="0.2">
      <c r="A462" t="s">
        <v>270</v>
      </c>
      <c r="B462" t="s">
        <v>271</v>
      </c>
      <c r="C462">
        <v>33</v>
      </c>
      <c r="D462" s="1">
        <v>44100.831736111111</v>
      </c>
      <c r="E462" t="s">
        <v>1447</v>
      </c>
      <c r="F462" t="s">
        <v>273</v>
      </c>
      <c r="G462" t="s">
        <v>1426</v>
      </c>
      <c r="H462" t="s">
        <v>275</v>
      </c>
      <c r="I462" t="s">
        <v>292</v>
      </c>
      <c r="J462">
        <v>33</v>
      </c>
      <c r="K462">
        <f>33-7-55-53-87-14</f>
        <v>-183</v>
      </c>
      <c r="L462" t="s">
        <v>1448</v>
      </c>
      <c r="M462" t="s">
        <v>1449</v>
      </c>
      <c r="N462" t="s">
        <v>278</v>
      </c>
      <c r="O462" t="s">
        <v>134</v>
      </c>
      <c r="P462" t="s">
        <v>29</v>
      </c>
      <c r="Q462">
        <v>42</v>
      </c>
      <c r="R462">
        <v>-93.620800000000003</v>
      </c>
    </row>
    <row r="463" spans="1:18" x14ac:dyDescent="0.2">
      <c r="A463" t="s">
        <v>270</v>
      </c>
      <c r="B463" t="s">
        <v>271</v>
      </c>
      <c r="C463">
        <v>1</v>
      </c>
      <c r="D463" s="1">
        <v>44098.786921296298</v>
      </c>
      <c r="E463" t="s">
        <v>1450</v>
      </c>
      <c r="F463" t="s">
        <v>273</v>
      </c>
      <c r="G463" t="s">
        <v>1426</v>
      </c>
      <c r="H463" t="s">
        <v>275</v>
      </c>
      <c r="I463" t="s">
        <v>29</v>
      </c>
      <c r="J463">
        <v>1</v>
      </c>
      <c r="K463">
        <f>1-888-264-344</f>
        <v>-1495</v>
      </c>
      <c r="L463" t="s">
        <v>1451</v>
      </c>
      <c r="M463" t="s">
        <v>1452</v>
      </c>
      <c r="N463" t="s">
        <v>278</v>
      </c>
      <c r="O463" t="s">
        <v>28</v>
      </c>
      <c r="P463" t="s">
        <v>29</v>
      </c>
      <c r="Q463">
        <v>42</v>
      </c>
      <c r="R463">
        <v>-93.620800000000003</v>
      </c>
    </row>
    <row r="464" spans="1:18" x14ac:dyDescent="0.2">
      <c r="A464" t="s">
        <v>270</v>
      </c>
      <c r="B464" t="s">
        <v>271</v>
      </c>
      <c r="C464">
        <v>1</v>
      </c>
      <c r="D464" s="1">
        <v>44096.366990740738</v>
      </c>
      <c r="E464" t="s">
        <v>1453</v>
      </c>
      <c r="F464" t="s">
        <v>273</v>
      </c>
      <c r="G464" t="s">
        <v>1426</v>
      </c>
      <c r="H464" t="s">
        <v>275</v>
      </c>
      <c r="I464" t="s">
        <v>29</v>
      </c>
      <c r="J464">
        <v>1</v>
      </c>
      <c r="K464">
        <f>1-844-309-2423</f>
        <v>-3575</v>
      </c>
      <c r="L464" t="s">
        <v>1454</v>
      </c>
      <c r="M464" t="s">
        <v>1455</v>
      </c>
      <c r="N464" t="s">
        <v>278</v>
      </c>
      <c r="O464" t="s">
        <v>28</v>
      </c>
      <c r="P464" t="s">
        <v>29</v>
      </c>
      <c r="Q464">
        <v>42</v>
      </c>
      <c r="R464">
        <v>-93.620800000000003</v>
      </c>
    </row>
    <row r="465" spans="1:18" x14ac:dyDescent="0.2">
      <c r="A465" t="s">
        <v>270</v>
      </c>
      <c r="B465" t="s">
        <v>271</v>
      </c>
      <c r="C465">
        <v>1</v>
      </c>
      <c r="D465" s="1">
        <v>44096.365833333337</v>
      </c>
      <c r="E465" t="s">
        <v>1456</v>
      </c>
      <c r="F465" t="s">
        <v>273</v>
      </c>
      <c r="G465" t="s">
        <v>1426</v>
      </c>
      <c r="H465" t="s">
        <v>275</v>
      </c>
      <c r="I465" t="s">
        <v>29</v>
      </c>
      <c r="J465">
        <v>1</v>
      </c>
      <c r="K465">
        <f>1-844-290-1224</f>
        <v>-2357</v>
      </c>
      <c r="L465" t="s">
        <v>1457</v>
      </c>
      <c r="M465" t="s">
        <v>1458</v>
      </c>
      <c r="N465" t="s">
        <v>278</v>
      </c>
      <c r="O465" t="s">
        <v>28</v>
      </c>
      <c r="P465" t="s">
        <v>29</v>
      </c>
      <c r="Q465">
        <v>42</v>
      </c>
      <c r="R465">
        <v>-93.620800000000003</v>
      </c>
    </row>
    <row r="466" spans="1:18" x14ac:dyDescent="0.2">
      <c r="A466" t="s">
        <v>270</v>
      </c>
      <c r="B466" t="s">
        <v>271</v>
      </c>
      <c r="C466">
        <v>1</v>
      </c>
      <c r="D466" s="1">
        <v>44090.9921412037</v>
      </c>
      <c r="E466" t="s">
        <v>1459</v>
      </c>
      <c r="F466" t="s">
        <v>273</v>
      </c>
      <c r="G466" t="s">
        <v>1426</v>
      </c>
      <c r="H466" t="s">
        <v>275</v>
      </c>
      <c r="I466" t="s">
        <v>29</v>
      </c>
      <c r="J466">
        <v>1</v>
      </c>
      <c r="K466">
        <f>1-844-242-3148</f>
        <v>-4233</v>
      </c>
      <c r="L466" t="s">
        <v>1460</v>
      </c>
      <c r="M466" t="s">
        <v>1461</v>
      </c>
      <c r="N466" t="s">
        <v>278</v>
      </c>
      <c r="O466" t="s">
        <v>28</v>
      </c>
      <c r="P466" t="s">
        <v>29</v>
      </c>
      <c r="Q466">
        <v>42</v>
      </c>
      <c r="R466">
        <v>-93.620800000000003</v>
      </c>
    </row>
    <row r="467" spans="1:18" x14ac:dyDescent="0.2">
      <c r="A467" t="s">
        <v>270</v>
      </c>
      <c r="B467" t="s">
        <v>271</v>
      </c>
      <c r="C467">
        <v>1</v>
      </c>
      <c r="D467" s="1">
        <v>44090.991712962961</v>
      </c>
      <c r="E467" t="s">
        <v>1462</v>
      </c>
      <c r="F467" t="s">
        <v>273</v>
      </c>
      <c r="G467" t="s">
        <v>1426</v>
      </c>
      <c r="H467" t="s">
        <v>275</v>
      </c>
      <c r="I467" t="s">
        <v>29</v>
      </c>
      <c r="J467">
        <v>1</v>
      </c>
      <c r="K467">
        <f>1-844-242-3148</f>
        <v>-4233</v>
      </c>
      <c r="L467" t="s">
        <v>1463</v>
      </c>
      <c r="M467" t="s">
        <v>1464</v>
      </c>
      <c r="N467" t="s">
        <v>278</v>
      </c>
      <c r="O467" t="s">
        <v>28</v>
      </c>
      <c r="P467" t="s">
        <v>29</v>
      </c>
      <c r="Q467">
        <v>42</v>
      </c>
      <c r="R467">
        <v>-93.620800000000003</v>
      </c>
    </row>
    <row r="468" spans="1:18" x14ac:dyDescent="0.2">
      <c r="A468" t="s">
        <v>270</v>
      </c>
      <c r="B468" t="s">
        <v>271</v>
      </c>
      <c r="C468">
        <v>1</v>
      </c>
      <c r="D468" s="1">
        <v>44090.415520833332</v>
      </c>
      <c r="E468" t="s">
        <v>1465</v>
      </c>
      <c r="F468" t="s">
        <v>273</v>
      </c>
      <c r="G468" t="s">
        <v>1426</v>
      </c>
      <c r="H468" t="s">
        <v>275</v>
      </c>
      <c r="I468" t="s">
        <v>29</v>
      </c>
      <c r="J468">
        <v>1</v>
      </c>
      <c r="K468">
        <f>1-844-293-8713</f>
        <v>-9849</v>
      </c>
      <c r="L468" t="s">
        <v>1466</v>
      </c>
      <c r="M468" t="s">
        <v>1467</v>
      </c>
      <c r="N468" t="s">
        <v>278</v>
      </c>
      <c r="O468" t="s">
        <v>28</v>
      </c>
      <c r="P468" t="s">
        <v>29</v>
      </c>
      <c r="Q468">
        <v>42</v>
      </c>
      <c r="R468">
        <v>-93.620800000000003</v>
      </c>
    </row>
    <row r="469" spans="1:18" x14ac:dyDescent="0.2">
      <c r="A469" t="s">
        <v>270</v>
      </c>
      <c r="B469" t="s">
        <v>271</v>
      </c>
      <c r="C469">
        <v>1</v>
      </c>
      <c r="D469" s="1">
        <v>44089.43105324074</v>
      </c>
      <c r="E469" t="s">
        <v>1468</v>
      </c>
      <c r="F469" t="s">
        <v>273</v>
      </c>
      <c r="G469" t="s">
        <v>1426</v>
      </c>
      <c r="H469" t="s">
        <v>275</v>
      </c>
      <c r="I469" t="s">
        <v>29</v>
      </c>
      <c r="J469">
        <v>1</v>
      </c>
      <c r="K469">
        <f>1-844-210-4337</f>
        <v>-5390</v>
      </c>
      <c r="L469" t="s">
        <v>1469</v>
      </c>
      <c r="M469" t="s">
        <v>1470</v>
      </c>
      <c r="N469" t="s">
        <v>278</v>
      </c>
      <c r="O469" t="s">
        <v>28</v>
      </c>
      <c r="P469" t="s">
        <v>29</v>
      </c>
      <c r="Q469">
        <v>42</v>
      </c>
      <c r="R469">
        <v>-93.620800000000003</v>
      </c>
    </row>
    <row r="470" spans="1:18" x14ac:dyDescent="0.2">
      <c r="A470" t="s">
        <v>270</v>
      </c>
      <c r="B470" t="s">
        <v>271</v>
      </c>
      <c r="C470">
        <v>1</v>
      </c>
      <c r="D470" s="1">
        <v>44089.430393518516</v>
      </c>
      <c r="E470" t="s">
        <v>1471</v>
      </c>
      <c r="F470" t="s">
        <v>273</v>
      </c>
      <c r="G470" t="s">
        <v>1426</v>
      </c>
      <c r="H470" t="s">
        <v>275</v>
      </c>
      <c r="I470" t="s">
        <v>29</v>
      </c>
      <c r="J470">
        <v>1</v>
      </c>
      <c r="K470">
        <f>1-844-210-4337</f>
        <v>-5390</v>
      </c>
      <c r="L470" t="s">
        <v>1472</v>
      </c>
      <c r="M470" t="s">
        <v>1473</v>
      </c>
      <c r="N470" t="s">
        <v>278</v>
      </c>
      <c r="O470" t="s">
        <v>28</v>
      </c>
      <c r="P470" t="s">
        <v>29</v>
      </c>
      <c r="Q470">
        <v>42</v>
      </c>
      <c r="R470">
        <v>-93.620800000000003</v>
      </c>
    </row>
    <row r="471" spans="1:18" x14ac:dyDescent="0.2">
      <c r="A471" t="s">
        <v>270</v>
      </c>
      <c r="B471" t="s">
        <v>271</v>
      </c>
      <c r="C471">
        <v>1</v>
      </c>
      <c r="D471" s="1">
        <v>44084.784490740742</v>
      </c>
      <c r="E471" t="s">
        <v>1474</v>
      </c>
      <c r="F471" t="s">
        <v>273</v>
      </c>
      <c r="G471" t="s">
        <v>1426</v>
      </c>
      <c r="H471" t="s">
        <v>275</v>
      </c>
      <c r="I471" t="s">
        <v>29</v>
      </c>
      <c r="J471">
        <v>1</v>
      </c>
      <c r="K471">
        <f>1-844-318-7909</f>
        <v>-9070</v>
      </c>
      <c r="L471" t="s">
        <v>1475</v>
      </c>
      <c r="M471" t="s">
        <v>1476</v>
      </c>
      <c r="N471" t="s">
        <v>278</v>
      </c>
      <c r="O471" t="s">
        <v>28</v>
      </c>
      <c r="P471" t="s">
        <v>29</v>
      </c>
      <c r="Q471">
        <v>42</v>
      </c>
      <c r="R471">
        <v>-93.620800000000003</v>
      </c>
    </row>
    <row r="472" spans="1:18" x14ac:dyDescent="0.2">
      <c r="A472" t="s">
        <v>270</v>
      </c>
      <c r="B472" t="s">
        <v>271</v>
      </c>
      <c r="C472">
        <v>1</v>
      </c>
      <c r="D472" s="1">
        <v>44078.84847222222</v>
      </c>
      <c r="E472" t="s">
        <v>1477</v>
      </c>
      <c r="F472" t="s">
        <v>273</v>
      </c>
      <c r="G472" t="s">
        <v>1426</v>
      </c>
      <c r="H472" t="s">
        <v>275</v>
      </c>
      <c r="I472" t="s">
        <v>29</v>
      </c>
      <c r="J472">
        <v>1</v>
      </c>
      <c r="K472">
        <f>1-866-512-2889</f>
        <v>-4266</v>
      </c>
      <c r="L472" t="s">
        <v>1478</v>
      </c>
      <c r="M472" t="s">
        <v>1479</v>
      </c>
      <c r="N472" t="s">
        <v>278</v>
      </c>
      <c r="O472" t="s">
        <v>134</v>
      </c>
      <c r="P472" t="s">
        <v>29</v>
      </c>
      <c r="Q472">
        <v>42</v>
      </c>
      <c r="R472">
        <v>-93.620800000000003</v>
      </c>
    </row>
    <row r="473" spans="1:18" x14ac:dyDescent="0.2">
      <c r="A473" t="s">
        <v>270</v>
      </c>
      <c r="B473" t="s">
        <v>271</v>
      </c>
      <c r="C473">
        <v>1</v>
      </c>
      <c r="D473" s="1">
        <v>44073.94195601852</v>
      </c>
      <c r="E473" t="s">
        <v>1480</v>
      </c>
      <c r="F473" t="s">
        <v>273</v>
      </c>
      <c r="G473" t="s">
        <v>1426</v>
      </c>
      <c r="H473" t="s">
        <v>275</v>
      </c>
      <c r="I473" t="s">
        <v>29</v>
      </c>
      <c r="J473">
        <v>1</v>
      </c>
      <c r="K473">
        <f>1-888-521-2495</f>
        <v>-3903</v>
      </c>
      <c r="L473" t="s">
        <v>1481</v>
      </c>
      <c r="M473" t="s">
        <v>1482</v>
      </c>
      <c r="N473" t="s">
        <v>278</v>
      </c>
      <c r="O473" t="s">
        <v>134</v>
      </c>
      <c r="P473" t="s">
        <v>29</v>
      </c>
      <c r="Q473">
        <v>42</v>
      </c>
      <c r="R473">
        <v>-93.620800000000003</v>
      </c>
    </row>
    <row r="474" spans="1:18" x14ac:dyDescent="0.2">
      <c r="A474" t="s">
        <v>270</v>
      </c>
      <c r="B474" t="s">
        <v>271</v>
      </c>
      <c r="C474">
        <v>1</v>
      </c>
      <c r="D474" s="1">
        <v>44073.927731481483</v>
      </c>
      <c r="E474" t="s">
        <v>1483</v>
      </c>
      <c r="F474" t="s">
        <v>273</v>
      </c>
      <c r="G474" t="s">
        <v>1426</v>
      </c>
      <c r="H474" t="s">
        <v>275</v>
      </c>
      <c r="I474" t="s">
        <v>29</v>
      </c>
      <c r="J474">
        <v>1</v>
      </c>
      <c r="K474">
        <f>1-888-527-4189</f>
        <v>-5603</v>
      </c>
      <c r="L474" t="s">
        <v>1484</v>
      </c>
      <c r="M474" t="s">
        <v>1485</v>
      </c>
      <c r="N474" t="s">
        <v>278</v>
      </c>
      <c r="O474" t="s">
        <v>134</v>
      </c>
      <c r="P474" t="s">
        <v>29</v>
      </c>
      <c r="Q474">
        <v>42</v>
      </c>
      <c r="R474">
        <v>-93.620800000000003</v>
      </c>
    </row>
    <row r="475" spans="1:18" x14ac:dyDescent="0.2">
      <c r="A475" t="s">
        <v>270</v>
      </c>
      <c r="B475" t="s">
        <v>271</v>
      </c>
      <c r="C475">
        <v>1</v>
      </c>
      <c r="D475" s="1">
        <v>44073.926134259258</v>
      </c>
      <c r="E475" t="s">
        <v>1486</v>
      </c>
      <c r="F475" t="s">
        <v>273</v>
      </c>
      <c r="G475" t="s">
        <v>1426</v>
      </c>
      <c r="H475" t="s">
        <v>275</v>
      </c>
      <c r="I475" t="s">
        <v>29</v>
      </c>
      <c r="J475">
        <v>1</v>
      </c>
      <c r="K475">
        <f>1-888-538-1073</f>
        <v>-2498</v>
      </c>
      <c r="L475" t="s">
        <v>1487</v>
      </c>
      <c r="M475" t="s">
        <v>1488</v>
      </c>
      <c r="N475" t="s">
        <v>278</v>
      </c>
      <c r="O475" t="s">
        <v>134</v>
      </c>
      <c r="P475" t="s">
        <v>29</v>
      </c>
      <c r="Q475">
        <v>42</v>
      </c>
      <c r="R475">
        <v>-93.620800000000003</v>
      </c>
    </row>
    <row r="476" spans="1:18" x14ac:dyDescent="0.2">
      <c r="A476" t="s">
        <v>270</v>
      </c>
      <c r="B476" t="s">
        <v>271</v>
      </c>
      <c r="C476">
        <v>1</v>
      </c>
      <c r="D476" s="1">
        <v>44073.926087962966</v>
      </c>
      <c r="E476" t="s">
        <v>1489</v>
      </c>
      <c r="F476" t="s">
        <v>273</v>
      </c>
      <c r="G476" t="s">
        <v>1426</v>
      </c>
      <c r="H476" t="s">
        <v>275</v>
      </c>
      <c r="I476" t="s">
        <v>29</v>
      </c>
      <c r="J476">
        <v>1</v>
      </c>
      <c r="K476">
        <f>1-888-538-1073</f>
        <v>-2498</v>
      </c>
      <c r="L476" t="s">
        <v>1490</v>
      </c>
      <c r="M476" t="s">
        <v>1491</v>
      </c>
      <c r="N476" t="s">
        <v>278</v>
      </c>
      <c r="O476" t="s">
        <v>134</v>
      </c>
      <c r="P476" t="s">
        <v>29</v>
      </c>
      <c r="Q476">
        <v>42</v>
      </c>
      <c r="R476">
        <v>-93.620800000000003</v>
      </c>
    </row>
    <row r="477" spans="1:18" x14ac:dyDescent="0.2">
      <c r="A477" t="s">
        <v>270</v>
      </c>
      <c r="B477" t="s">
        <v>271</v>
      </c>
      <c r="C477">
        <v>1</v>
      </c>
      <c r="D477" s="1">
        <v>44072.870451388888</v>
      </c>
      <c r="E477" t="s">
        <v>1492</v>
      </c>
      <c r="F477" t="s">
        <v>273</v>
      </c>
      <c r="G477" t="s">
        <v>1426</v>
      </c>
      <c r="H477" t="s">
        <v>275</v>
      </c>
      <c r="I477" t="s">
        <v>29</v>
      </c>
      <c r="J477">
        <v>1</v>
      </c>
      <c r="K477">
        <f>1-888-662-8133</f>
        <v>-9682</v>
      </c>
      <c r="L477" t="s">
        <v>1493</v>
      </c>
      <c r="M477" t="s">
        <v>1494</v>
      </c>
      <c r="N477" t="s">
        <v>278</v>
      </c>
      <c r="O477" t="s">
        <v>134</v>
      </c>
      <c r="P477" t="s">
        <v>29</v>
      </c>
      <c r="Q477">
        <v>42</v>
      </c>
      <c r="R477">
        <v>-93.620800000000003</v>
      </c>
    </row>
    <row r="478" spans="1:18" x14ac:dyDescent="0.2">
      <c r="A478" t="s">
        <v>270</v>
      </c>
      <c r="B478" t="s">
        <v>271</v>
      </c>
      <c r="C478">
        <v>1</v>
      </c>
      <c r="D478" s="1">
        <v>44070.740023148152</v>
      </c>
      <c r="E478" t="s">
        <v>1495</v>
      </c>
      <c r="F478" t="s">
        <v>273</v>
      </c>
      <c r="G478" t="s">
        <v>1426</v>
      </c>
      <c r="H478" t="s">
        <v>275</v>
      </c>
      <c r="I478" t="s">
        <v>29</v>
      </c>
      <c r="J478">
        <v>1</v>
      </c>
      <c r="K478">
        <f>1-888-655-2343</f>
        <v>-3885</v>
      </c>
      <c r="L478" t="s">
        <v>1496</v>
      </c>
      <c r="M478" t="s">
        <v>1497</v>
      </c>
      <c r="N478" t="s">
        <v>278</v>
      </c>
      <c r="O478" t="s">
        <v>134</v>
      </c>
      <c r="P478" t="s">
        <v>29</v>
      </c>
      <c r="Q478">
        <v>42</v>
      </c>
      <c r="R478">
        <v>-93.620800000000003</v>
      </c>
    </row>
    <row r="479" spans="1:18" x14ac:dyDescent="0.2">
      <c r="A479" t="s">
        <v>270</v>
      </c>
      <c r="B479" t="s">
        <v>271</v>
      </c>
      <c r="C479">
        <v>1</v>
      </c>
      <c r="D479" s="1">
        <v>44068.193518518521</v>
      </c>
      <c r="E479" t="s">
        <v>1498</v>
      </c>
      <c r="F479" t="s">
        <v>273</v>
      </c>
      <c r="G479" t="s">
        <v>1426</v>
      </c>
      <c r="H479" t="s">
        <v>275</v>
      </c>
      <c r="I479" t="s">
        <v>29</v>
      </c>
      <c r="J479">
        <v>1</v>
      </c>
      <c r="K479">
        <f>1-888-535-4744</f>
        <v>-6166</v>
      </c>
      <c r="L479" t="s">
        <v>1499</v>
      </c>
      <c r="M479" t="s">
        <v>1500</v>
      </c>
      <c r="N479" t="s">
        <v>278</v>
      </c>
      <c r="O479" t="s">
        <v>134</v>
      </c>
      <c r="P479" t="s">
        <v>29</v>
      </c>
      <c r="Q479">
        <v>42</v>
      </c>
      <c r="R479">
        <v>-93.620800000000003</v>
      </c>
    </row>
    <row r="480" spans="1:18" x14ac:dyDescent="0.2">
      <c r="A480" t="s">
        <v>270</v>
      </c>
      <c r="B480" t="s">
        <v>271</v>
      </c>
      <c r="C480">
        <v>1</v>
      </c>
      <c r="D480" s="1">
        <v>44068.059293981481</v>
      </c>
      <c r="E480" t="s">
        <v>1501</v>
      </c>
      <c r="F480" t="s">
        <v>273</v>
      </c>
      <c r="G480" t="s">
        <v>1426</v>
      </c>
      <c r="H480" t="s">
        <v>275</v>
      </c>
      <c r="I480" t="s">
        <v>29</v>
      </c>
      <c r="J480">
        <v>1</v>
      </c>
      <c r="K480">
        <f>1-888-527-5177</f>
        <v>-6591</v>
      </c>
      <c r="L480" t="s">
        <v>1502</v>
      </c>
      <c r="M480" t="s">
        <v>1503</v>
      </c>
      <c r="N480" t="s">
        <v>278</v>
      </c>
      <c r="O480" t="s">
        <v>28</v>
      </c>
      <c r="P480" t="s">
        <v>29</v>
      </c>
      <c r="Q480">
        <v>42</v>
      </c>
      <c r="R480">
        <v>-93.620800000000003</v>
      </c>
    </row>
    <row r="481" spans="1:18" x14ac:dyDescent="0.2">
      <c r="A481" t="s">
        <v>270</v>
      </c>
      <c r="B481" t="s">
        <v>271</v>
      </c>
      <c r="C481">
        <v>1</v>
      </c>
      <c r="D481" s="1">
        <v>44068.033541666664</v>
      </c>
      <c r="E481" t="s">
        <v>1504</v>
      </c>
      <c r="F481" t="s">
        <v>273</v>
      </c>
      <c r="G481" t="s">
        <v>1426</v>
      </c>
      <c r="H481" t="s">
        <v>275</v>
      </c>
      <c r="I481" t="s">
        <v>29</v>
      </c>
      <c r="J481">
        <v>1</v>
      </c>
      <c r="K481">
        <f>1-888-965-914</f>
        <v>-2766</v>
      </c>
      <c r="L481" t="s">
        <v>1505</v>
      </c>
      <c r="M481" t="s">
        <v>1506</v>
      </c>
      <c r="N481" t="s">
        <v>278</v>
      </c>
      <c r="O481" t="s">
        <v>28</v>
      </c>
      <c r="P481" t="s">
        <v>29</v>
      </c>
      <c r="Q481">
        <v>42</v>
      </c>
      <c r="R481">
        <v>-93.620800000000003</v>
      </c>
    </row>
    <row r="482" spans="1:18" x14ac:dyDescent="0.2">
      <c r="A482" t="s">
        <v>270</v>
      </c>
      <c r="B482" t="s">
        <v>271</v>
      </c>
      <c r="C482">
        <v>1</v>
      </c>
      <c r="D482" s="1">
        <v>44068.030162037037</v>
      </c>
      <c r="E482" t="s">
        <v>1507</v>
      </c>
      <c r="F482" t="s">
        <v>273</v>
      </c>
      <c r="G482" t="s">
        <v>1426</v>
      </c>
      <c r="H482" t="s">
        <v>275</v>
      </c>
      <c r="I482" t="s">
        <v>29</v>
      </c>
      <c r="J482">
        <v>1</v>
      </c>
      <c r="K482">
        <f>1-888-965-777</f>
        <v>-2629</v>
      </c>
      <c r="L482" t="s">
        <v>1508</v>
      </c>
      <c r="M482" t="s">
        <v>1509</v>
      </c>
      <c r="N482" t="s">
        <v>278</v>
      </c>
      <c r="O482" t="s">
        <v>28</v>
      </c>
      <c r="P482" t="s">
        <v>29</v>
      </c>
      <c r="Q482">
        <v>42</v>
      </c>
      <c r="R482">
        <v>-93.620800000000003</v>
      </c>
    </row>
    <row r="483" spans="1:18" x14ac:dyDescent="0.2">
      <c r="A483" t="s">
        <v>270</v>
      </c>
      <c r="B483" t="s">
        <v>271</v>
      </c>
      <c r="C483">
        <v>1</v>
      </c>
      <c r="D483" s="1">
        <v>44068.025995370372</v>
      </c>
      <c r="E483" t="s">
        <v>1510</v>
      </c>
      <c r="F483" t="s">
        <v>273</v>
      </c>
      <c r="G483" t="s">
        <v>1426</v>
      </c>
      <c r="H483" t="s">
        <v>275</v>
      </c>
      <c r="I483" t="s">
        <v>29</v>
      </c>
      <c r="J483">
        <v>1</v>
      </c>
      <c r="K483">
        <f>1-888-851-511</f>
        <v>-2249</v>
      </c>
      <c r="L483" t="s">
        <v>1511</v>
      </c>
      <c r="M483" t="s">
        <v>1512</v>
      </c>
      <c r="N483" t="s">
        <v>278</v>
      </c>
      <c r="O483" t="s">
        <v>28</v>
      </c>
      <c r="P483" t="s">
        <v>29</v>
      </c>
      <c r="Q483">
        <v>42</v>
      </c>
      <c r="R483">
        <v>-93.620800000000003</v>
      </c>
    </row>
    <row r="484" spans="1:18" x14ac:dyDescent="0.2">
      <c r="A484" t="s">
        <v>270</v>
      </c>
      <c r="B484" t="s">
        <v>271</v>
      </c>
      <c r="C484">
        <v>1</v>
      </c>
      <c r="D484" s="1">
        <v>44058.076770833337</v>
      </c>
      <c r="E484" t="s">
        <v>1513</v>
      </c>
      <c r="F484" t="s">
        <v>273</v>
      </c>
      <c r="G484" t="s">
        <v>1426</v>
      </c>
      <c r="H484" t="s">
        <v>275</v>
      </c>
      <c r="I484" t="s">
        <v>29</v>
      </c>
      <c r="J484">
        <v>1</v>
      </c>
      <c r="K484">
        <f>1-888-525-642</f>
        <v>-2054</v>
      </c>
      <c r="L484" t="s">
        <v>1514</v>
      </c>
      <c r="M484" t="s">
        <v>1515</v>
      </c>
      <c r="N484" t="s">
        <v>278</v>
      </c>
      <c r="O484" t="s">
        <v>134</v>
      </c>
      <c r="P484" t="s">
        <v>29</v>
      </c>
      <c r="Q484">
        <v>42</v>
      </c>
      <c r="R484">
        <v>-93.620800000000003</v>
      </c>
    </row>
    <row r="485" spans="1:18" x14ac:dyDescent="0.2">
      <c r="A485" t="s">
        <v>270</v>
      </c>
      <c r="B485" t="s">
        <v>271</v>
      </c>
      <c r="C485">
        <v>1</v>
      </c>
      <c r="D485" s="1">
        <v>44043.347071759257</v>
      </c>
      <c r="E485" t="s">
        <v>1516</v>
      </c>
      <c r="F485" t="s">
        <v>273</v>
      </c>
      <c r="G485" t="s">
        <v>1426</v>
      </c>
      <c r="H485" t="s">
        <v>275</v>
      </c>
      <c r="I485" t="s">
        <v>29</v>
      </c>
      <c r="J485">
        <v>1</v>
      </c>
      <c r="K485">
        <f>1-888-523-3551</f>
        <v>-4961</v>
      </c>
      <c r="L485" t="s">
        <v>1517</v>
      </c>
      <c r="M485" t="s">
        <v>1518</v>
      </c>
      <c r="N485" t="s">
        <v>278</v>
      </c>
      <c r="O485" t="s">
        <v>134</v>
      </c>
      <c r="P485" t="s">
        <v>29</v>
      </c>
      <c r="Q485">
        <v>42</v>
      </c>
      <c r="R485">
        <v>-93.620800000000003</v>
      </c>
    </row>
    <row r="486" spans="1:18" x14ac:dyDescent="0.2">
      <c r="A486" t="s">
        <v>270</v>
      </c>
      <c r="B486" t="s">
        <v>271</v>
      </c>
      <c r="C486">
        <v>34</v>
      </c>
      <c r="D486" s="1">
        <v>44001.715243055558</v>
      </c>
      <c r="E486" t="s">
        <v>1519</v>
      </c>
      <c r="F486" t="s">
        <v>273</v>
      </c>
      <c r="G486" t="s">
        <v>1426</v>
      </c>
      <c r="H486" t="s">
        <v>275</v>
      </c>
      <c r="I486" t="s">
        <v>700</v>
      </c>
      <c r="J486">
        <v>34</v>
      </c>
      <c r="K486">
        <f>34-900-649-691</f>
        <v>-2206</v>
      </c>
      <c r="L486" t="s">
        <v>1520</v>
      </c>
      <c r="M486" t="s">
        <v>1521</v>
      </c>
      <c r="N486" t="s">
        <v>278</v>
      </c>
      <c r="O486" t="s">
        <v>28</v>
      </c>
      <c r="P486" t="s">
        <v>29</v>
      </c>
      <c r="Q486">
        <v>42</v>
      </c>
      <c r="R486">
        <v>-93.620800000000003</v>
      </c>
    </row>
    <row r="487" spans="1:18" x14ac:dyDescent="0.2">
      <c r="A487" t="s">
        <v>270</v>
      </c>
      <c r="B487" t="s">
        <v>271</v>
      </c>
      <c r="C487">
        <v>1</v>
      </c>
      <c r="D487" s="1">
        <v>43982.035520833335</v>
      </c>
      <c r="E487" t="s">
        <v>1522</v>
      </c>
      <c r="F487" t="s">
        <v>273</v>
      </c>
      <c r="G487" t="s">
        <v>1426</v>
      </c>
      <c r="H487" t="s">
        <v>275</v>
      </c>
      <c r="I487" t="s">
        <v>29</v>
      </c>
      <c r="J487">
        <v>1</v>
      </c>
      <c r="K487">
        <f>1-800-613-2925</f>
        <v>-4337</v>
      </c>
      <c r="L487" t="s">
        <v>1523</v>
      </c>
      <c r="M487" t="s">
        <v>1524</v>
      </c>
      <c r="N487" t="s">
        <v>278</v>
      </c>
      <c r="O487" t="s">
        <v>28</v>
      </c>
      <c r="P487" t="s">
        <v>29</v>
      </c>
      <c r="Q487">
        <v>42</v>
      </c>
      <c r="R487">
        <v>-93.620800000000003</v>
      </c>
    </row>
    <row r="488" spans="1:18" x14ac:dyDescent="0.2">
      <c r="A488" t="s">
        <v>270</v>
      </c>
      <c r="B488" t="s">
        <v>271</v>
      </c>
      <c r="C488">
        <v>1</v>
      </c>
      <c r="D488" s="1">
        <v>43978.933611111112</v>
      </c>
      <c r="E488" t="s">
        <v>1525</v>
      </c>
      <c r="F488" t="s">
        <v>273</v>
      </c>
      <c r="G488" t="s">
        <v>1426</v>
      </c>
      <c r="H488" t="s">
        <v>275</v>
      </c>
      <c r="I488" t="s">
        <v>29</v>
      </c>
      <c r="J488">
        <v>1</v>
      </c>
      <c r="K488">
        <f>1-888-655-2074</f>
        <v>-3616</v>
      </c>
      <c r="L488" t="s">
        <v>1526</v>
      </c>
      <c r="M488" t="s">
        <v>1527</v>
      </c>
      <c r="N488" t="s">
        <v>278</v>
      </c>
      <c r="O488" t="s">
        <v>28</v>
      </c>
      <c r="P488" t="s">
        <v>29</v>
      </c>
      <c r="Q488">
        <v>42</v>
      </c>
      <c r="R488">
        <v>-93.620800000000003</v>
      </c>
    </row>
    <row r="489" spans="1:18" x14ac:dyDescent="0.2">
      <c r="A489" t="s">
        <v>270</v>
      </c>
      <c r="B489" t="s">
        <v>271</v>
      </c>
      <c r="C489">
        <v>1</v>
      </c>
      <c r="D489" s="1">
        <v>43978.892002314817</v>
      </c>
      <c r="E489" t="s">
        <v>1528</v>
      </c>
      <c r="F489" t="s">
        <v>273</v>
      </c>
      <c r="G489" t="s">
        <v>1426</v>
      </c>
      <c r="H489" t="s">
        <v>275</v>
      </c>
      <c r="I489" t="s">
        <v>29</v>
      </c>
      <c r="J489">
        <v>1</v>
      </c>
      <c r="K489">
        <f>1-888-52+1-2006</f>
        <v>-2944</v>
      </c>
      <c r="L489" t="s">
        <v>1529</v>
      </c>
      <c r="M489" t="s">
        <v>1530</v>
      </c>
      <c r="N489" t="s">
        <v>278</v>
      </c>
      <c r="O489" t="s">
        <v>28</v>
      </c>
      <c r="P489" t="s">
        <v>29</v>
      </c>
      <c r="Q489">
        <v>42</v>
      </c>
      <c r="R489">
        <v>-93.620800000000003</v>
      </c>
    </row>
    <row r="490" spans="1:18" x14ac:dyDescent="0.2">
      <c r="A490" t="s">
        <v>270</v>
      </c>
      <c r="B490" t="s">
        <v>271</v>
      </c>
      <c r="C490">
        <v>1</v>
      </c>
      <c r="D490" s="1">
        <v>43978.520324074074</v>
      </c>
      <c r="E490" t="s">
        <v>1531</v>
      </c>
      <c r="F490" t="s">
        <v>273</v>
      </c>
      <c r="G490" t="s">
        <v>1426</v>
      </c>
      <c r="H490" t="s">
        <v>275</v>
      </c>
      <c r="I490" t="s">
        <v>29</v>
      </c>
      <c r="J490">
        <v>1</v>
      </c>
      <c r="K490">
        <f>1-855-570-6839</f>
        <v>-8263</v>
      </c>
      <c r="L490" t="s">
        <v>1532</v>
      </c>
      <c r="M490" t="s">
        <v>1533</v>
      </c>
      <c r="N490" t="s">
        <v>278</v>
      </c>
      <c r="O490" t="s">
        <v>28</v>
      </c>
      <c r="P490" t="s">
        <v>29</v>
      </c>
      <c r="Q490">
        <v>42</v>
      </c>
      <c r="R490">
        <v>-93.620800000000003</v>
      </c>
    </row>
    <row r="491" spans="1:18" x14ac:dyDescent="0.2">
      <c r="A491" t="s">
        <v>270</v>
      </c>
      <c r="B491" t="s">
        <v>271</v>
      </c>
      <c r="C491">
        <v>1</v>
      </c>
      <c r="D491" s="1">
        <v>43974.735879629632</v>
      </c>
      <c r="E491" t="s">
        <v>1534</v>
      </c>
      <c r="F491" t="s">
        <v>273</v>
      </c>
      <c r="G491" t="s">
        <v>1426</v>
      </c>
      <c r="H491" t="s">
        <v>275</v>
      </c>
      <c r="I491" t="s">
        <v>29</v>
      </c>
      <c r="J491">
        <v>1</v>
      </c>
      <c r="K491">
        <f>1-855-518-5525</f>
        <v>-6897</v>
      </c>
      <c r="L491" t="s">
        <v>1535</v>
      </c>
      <c r="M491" t="s">
        <v>1536</v>
      </c>
      <c r="N491" t="s">
        <v>278</v>
      </c>
      <c r="O491" t="s">
        <v>28</v>
      </c>
      <c r="P491" t="s">
        <v>29</v>
      </c>
      <c r="Q491">
        <v>42</v>
      </c>
      <c r="R491">
        <v>-93.620800000000003</v>
      </c>
    </row>
    <row r="492" spans="1:18" x14ac:dyDescent="0.2">
      <c r="A492" t="s">
        <v>270</v>
      </c>
      <c r="B492" t="s">
        <v>271</v>
      </c>
      <c r="C492">
        <v>1</v>
      </c>
      <c r="D492" s="1">
        <v>43974.733993055554</v>
      </c>
      <c r="E492" t="s">
        <v>1537</v>
      </c>
      <c r="F492" t="s">
        <v>273</v>
      </c>
      <c r="G492" t="s">
        <v>1426</v>
      </c>
      <c r="H492" t="s">
        <v>275</v>
      </c>
      <c r="I492" t="s">
        <v>29</v>
      </c>
      <c r="J492">
        <v>1</v>
      </c>
      <c r="K492">
        <f>1-855-518-5525</f>
        <v>-6897</v>
      </c>
      <c r="L492" t="s">
        <v>1538</v>
      </c>
      <c r="M492" t="s">
        <v>1539</v>
      </c>
      <c r="N492" t="s">
        <v>278</v>
      </c>
      <c r="O492" t="s">
        <v>28</v>
      </c>
      <c r="P492" t="s">
        <v>29</v>
      </c>
      <c r="Q492">
        <v>42</v>
      </c>
      <c r="R492">
        <v>-93.620800000000003</v>
      </c>
    </row>
    <row r="493" spans="1:18" x14ac:dyDescent="0.2">
      <c r="A493" t="s">
        <v>270</v>
      </c>
      <c r="B493" t="s">
        <v>271</v>
      </c>
      <c r="C493">
        <v>1</v>
      </c>
      <c r="D493" s="1">
        <v>43974.717268518521</v>
      </c>
      <c r="E493" t="s">
        <v>1540</v>
      </c>
      <c r="F493" t="s">
        <v>273</v>
      </c>
      <c r="G493" t="s">
        <v>1426</v>
      </c>
      <c r="H493" t="s">
        <v>275</v>
      </c>
      <c r="I493" t="s">
        <v>29</v>
      </c>
      <c r="J493">
        <v>1</v>
      </c>
      <c r="K493">
        <f>1-855-518-5525</f>
        <v>-6897</v>
      </c>
      <c r="L493" t="s">
        <v>1541</v>
      </c>
      <c r="M493" t="s">
        <v>1542</v>
      </c>
      <c r="N493" t="s">
        <v>278</v>
      </c>
      <c r="O493" t="s">
        <v>28</v>
      </c>
      <c r="P493" t="s">
        <v>29</v>
      </c>
      <c r="Q493">
        <v>42</v>
      </c>
      <c r="R493">
        <v>-93.620800000000003</v>
      </c>
    </row>
    <row r="494" spans="1:18" x14ac:dyDescent="0.2">
      <c r="A494" t="s">
        <v>270</v>
      </c>
      <c r="B494" t="s">
        <v>271</v>
      </c>
      <c r="C494">
        <v>1</v>
      </c>
      <c r="D494" s="1">
        <v>44103.839155092595</v>
      </c>
      <c r="E494" t="s">
        <v>1543</v>
      </c>
      <c r="F494" t="s">
        <v>273</v>
      </c>
      <c r="G494" t="s">
        <v>1544</v>
      </c>
      <c r="H494" t="s">
        <v>275</v>
      </c>
      <c r="I494" t="s">
        <v>29</v>
      </c>
      <c r="J494">
        <v>1</v>
      </c>
      <c r="K494">
        <f>1-888-211-8144</f>
        <v>-9242</v>
      </c>
      <c r="L494" t="s">
        <v>1545</v>
      </c>
      <c r="M494" t="s">
        <v>1546</v>
      </c>
      <c r="N494" t="s">
        <v>278</v>
      </c>
      <c r="O494" t="s">
        <v>28</v>
      </c>
      <c r="P494" t="s">
        <v>29</v>
      </c>
      <c r="Q494">
        <v>42</v>
      </c>
      <c r="R494">
        <v>-93.620800000000003</v>
      </c>
    </row>
    <row r="495" spans="1:18" x14ac:dyDescent="0.2">
      <c r="A495" t="s">
        <v>270</v>
      </c>
      <c r="B495" t="s">
        <v>271</v>
      </c>
      <c r="C495">
        <v>1</v>
      </c>
      <c r="D495" s="1">
        <v>44090.415381944447</v>
      </c>
      <c r="E495" t="s">
        <v>1547</v>
      </c>
      <c r="F495" t="s">
        <v>273</v>
      </c>
      <c r="G495" t="s">
        <v>1544</v>
      </c>
      <c r="H495" t="s">
        <v>275</v>
      </c>
      <c r="I495" t="s">
        <v>29</v>
      </c>
      <c r="J495">
        <v>1</v>
      </c>
      <c r="K495">
        <f>1-844-293-8713</f>
        <v>-9849</v>
      </c>
      <c r="L495" t="s">
        <v>1548</v>
      </c>
      <c r="M495" t="s">
        <v>1549</v>
      </c>
      <c r="N495" t="s">
        <v>278</v>
      </c>
      <c r="O495" t="s">
        <v>28</v>
      </c>
      <c r="P495" t="s">
        <v>29</v>
      </c>
      <c r="Q495">
        <v>42</v>
      </c>
      <c r="R495">
        <v>-93.620800000000003</v>
      </c>
    </row>
    <row r="496" spans="1:18" x14ac:dyDescent="0.2">
      <c r="A496" t="s">
        <v>270</v>
      </c>
      <c r="B496" t="s">
        <v>271</v>
      </c>
      <c r="C496">
        <v>1</v>
      </c>
      <c r="D496" s="1">
        <v>44090.414282407408</v>
      </c>
      <c r="E496" t="s">
        <v>1550</v>
      </c>
      <c r="F496" t="s">
        <v>273</v>
      </c>
      <c r="G496" t="s">
        <v>1544</v>
      </c>
      <c r="H496" t="s">
        <v>275</v>
      </c>
      <c r="I496" t="s">
        <v>29</v>
      </c>
      <c r="J496">
        <v>1</v>
      </c>
      <c r="K496">
        <f>1-844-311-7591</f>
        <v>-8745</v>
      </c>
      <c r="L496" t="s">
        <v>1551</v>
      </c>
      <c r="M496" t="s">
        <v>1552</v>
      </c>
      <c r="N496" t="s">
        <v>278</v>
      </c>
      <c r="O496" t="s">
        <v>28</v>
      </c>
      <c r="P496" t="s">
        <v>29</v>
      </c>
      <c r="Q496">
        <v>42</v>
      </c>
      <c r="R496">
        <v>-93.620800000000003</v>
      </c>
    </row>
    <row r="497" spans="1:18" x14ac:dyDescent="0.2">
      <c r="A497" t="s">
        <v>270</v>
      </c>
      <c r="B497" t="s">
        <v>271</v>
      </c>
      <c r="C497">
        <v>1</v>
      </c>
      <c r="D497" s="1">
        <v>44084.783113425925</v>
      </c>
      <c r="E497" t="s">
        <v>1553</v>
      </c>
      <c r="F497" t="s">
        <v>273</v>
      </c>
      <c r="G497" t="s">
        <v>1544</v>
      </c>
      <c r="H497" t="s">
        <v>275</v>
      </c>
      <c r="I497" t="s">
        <v>29</v>
      </c>
      <c r="J497">
        <v>1</v>
      </c>
      <c r="K497">
        <f>1-888-608-5109</f>
        <v>-6604</v>
      </c>
      <c r="L497" t="s">
        <v>1554</v>
      </c>
      <c r="M497" t="s">
        <v>1555</v>
      </c>
      <c r="N497" t="s">
        <v>278</v>
      </c>
      <c r="O497" t="s">
        <v>28</v>
      </c>
      <c r="P497" t="s">
        <v>29</v>
      </c>
      <c r="Q497">
        <v>42</v>
      </c>
      <c r="R497">
        <v>-93.620800000000003</v>
      </c>
    </row>
    <row r="498" spans="1:18" x14ac:dyDescent="0.2">
      <c r="A498" t="s">
        <v>270</v>
      </c>
      <c r="B498" t="s">
        <v>271</v>
      </c>
      <c r="C498">
        <v>1</v>
      </c>
      <c r="D498" s="1">
        <v>44084.781990740739</v>
      </c>
      <c r="E498" t="s">
        <v>1556</v>
      </c>
      <c r="F498" t="s">
        <v>273</v>
      </c>
      <c r="G498" t="s">
        <v>1544</v>
      </c>
      <c r="H498" t="s">
        <v>275</v>
      </c>
      <c r="I498" t="s">
        <v>29</v>
      </c>
      <c r="J498">
        <v>1</v>
      </c>
      <c r="K498">
        <f>1-888-608-5109</f>
        <v>-6604</v>
      </c>
      <c r="L498" t="s">
        <v>1557</v>
      </c>
      <c r="M498" t="s">
        <v>1558</v>
      </c>
      <c r="N498" t="s">
        <v>278</v>
      </c>
      <c r="O498" t="s">
        <v>28</v>
      </c>
      <c r="P498" t="s">
        <v>29</v>
      </c>
      <c r="Q498">
        <v>42</v>
      </c>
      <c r="R498">
        <v>-93.620800000000003</v>
      </c>
    </row>
    <row r="499" spans="1:18" x14ac:dyDescent="0.2">
      <c r="A499" t="s">
        <v>270</v>
      </c>
      <c r="B499" t="s">
        <v>271</v>
      </c>
      <c r="C499">
        <v>1</v>
      </c>
      <c r="D499" s="1">
        <v>44074.929814814815</v>
      </c>
      <c r="E499" t="s">
        <v>1559</v>
      </c>
      <c r="F499" t="s">
        <v>273</v>
      </c>
      <c r="G499" t="s">
        <v>1544</v>
      </c>
      <c r="H499" t="s">
        <v>275</v>
      </c>
      <c r="I499" t="s">
        <v>29</v>
      </c>
      <c r="J499">
        <v>1</v>
      </c>
      <c r="K499">
        <f>1-888-654-8048</f>
        <v>-9589</v>
      </c>
      <c r="L499" t="s">
        <v>1560</v>
      </c>
      <c r="M499" t="s">
        <v>1561</v>
      </c>
      <c r="N499" t="s">
        <v>278</v>
      </c>
      <c r="O499" t="s">
        <v>28</v>
      </c>
      <c r="P499" t="s">
        <v>29</v>
      </c>
      <c r="Q499">
        <v>42</v>
      </c>
      <c r="R499">
        <v>-93.620800000000003</v>
      </c>
    </row>
    <row r="500" spans="1:18" x14ac:dyDescent="0.2">
      <c r="A500" t="s">
        <v>270</v>
      </c>
      <c r="B500" t="s">
        <v>271</v>
      </c>
      <c r="C500">
        <v>1</v>
      </c>
      <c r="D500" s="1">
        <v>44073.940300925926</v>
      </c>
      <c r="E500" t="s">
        <v>1562</v>
      </c>
      <c r="F500" t="s">
        <v>273</v>
      </c>
      <c r="G500" t="s">
        <v>1544</v>
      </c>
      <c r="H500" t="s">
        <v>275</v>
      </c>
      <c r="I500" t="s">
        <v>29</v>
      </c>
      <c r="J500">
        <v>1</v>
      </c>
      <c r="K500">
        <f>1-888-851-688</f>
        <v>-2426</v>
      </c>
      <c r="L500" t="s">
        <v>1563</v>
      </c>
      <c r="M500" t="s">
        <v>1564</v>
      </c>
      <c r="N500" t="s">
        <v>278</v>
      </c>
      <c r="O500" t="s">
        <v>134</v>
      </c>
      <c r="P500" t="s">
        <v>29</v>
      </c>
      <c r="Q500">
        <v>42</v>
      </c>
      <c r="R500">
        <v>-93.620800000000003</v>
      </c>
    </row>
    <row r="501" spans="1:18" x14ac:dyDescent="0.2">
      <c r="A501" t="s">
        <v>270</v>
      </c>
      <c r="B501" t="s">
        <v>271</v>
      </c>
      <c r="C501">
        <v>1</v>
      </c>
      <c r="D501" s="1">
        <v>44073.026250000003</v>
      </c>
      <c r="E501" t="s">
        <v>1565</v>
      </c>
      <c r="F501" t="s">
        <v>273</v>
      </c>
      <c r="G501" t="s">
        <v>1544</v>
      </c>
      <c r="H501" t="s">
        <v>275</v>
      </c>
      <c r="I501" t="s">
        <v>29</v>
      </c>
      <c r="J501">
        <v>1</v>
      </c>
      <c r="K501">
        <f>1-888-598-1511</f>
        <v>-2996</v>
      </c>
      <c r="L501" t="s">
        <v>1566</v>
      </c>
      <c r="M501" t="s">
        <v>1567</v>
      </c>
      <c r="N501" t="s">
        <v>278</v>
      </c>
      <c r="O501" t="s">
        <v>134</v>
      </c>
      <c r="P501" t="s">
        <v>29</v>
      </c>
      <c r="Q501">
        <v>42</v>
      </c>
      <c r="R501">
        <v>-93.620800000000003</v>
      </c>
    </row>
    <row r="502" spans="1:18" x14ac:dyDescent="0.2">
      <c r="A502" t="s">
        <v>270</v>
      </c>
      <c r="B502" t="s">
        <v>271</v>
      </c>
      <c r="C502">
        <v>1</v>
      </c>
      <c r="D502" s="1">
        <v>44072.870092592595</v>
      </c>
      <c r="E502" t="s">
        <v>1568</v>
      </c>
      <c r="F502" t="s">
        <v>273</v>
      </c>
      <c r="G502" t="s">
        <v>1544</v>
      </c>
      <c r="H502" t="s">
        <v>275</v>
      </c>
      <c r="I502" t="s">
        <v>29</v>
      </c>
      <c r="J502">
        <v>1</v>
      </c>
      <c r="K502">
        <f>1-888-662-8133</f>
        <v>-9682</v>
      </c>
      <c r="L502" t="s">
        <v>1569</v>
      </c>
      <c r="M502" t="s">
        <v>1570</v>
      </c>
      <c r="N502" t="s">
        <v>278</v>
      </c>
      <c r="O502" t="s">
        <v>134</v>
      </c>
      <c r="P502" t="s">
        <v>29</v>
      </c>
      <c r="Q502">
        <v>42</v>
      </c>
      <c r="R502">
        <v>-93.620800000000003</v>
      </c>
    </row>
    <row r="503" spans="1:18" x14ac:dyDescent="0.2">
      <c r="A503" t="s">
        <v>270</v>
      </c>
      <c r="B503" t="s">
        <v>271</v>
      </c>
      <c r="C503">
        <v>1</v>
      </c>
      <c r="D503" s="1">
        <v>44072.869016203702</v>
      </c>
      <c r="E503" t="s">
        <v>1571</v>
      </c>
      <c r="F503" t="s">
        <v>273</v>
      </c>
      <c r="G503" t="s">
        <v>1544</v>
      </c>
      <c r="H503" t="s">
        <v>275</v>
      </c>
      <c r="I503" t="s">
        <v>29</v>
      </c>
      <c r="J503">
        <v>1</v>
      </c>
      <c r="K503">
        <f>1-888-609-3819</f>
        <v>-5315</v>
      </c>
      <c r="L503" t="s">
        <v>1572</v>
      </c>
      <c r="M503" t="s">
        <v>1573</v>
      </c>
      <c r="N503" t="s">
        <v>278</v>
      </c>
      <c r="O503" t="s">
        <v>134</v>
      </c>
      <c r="P503" t="s">
        <v>29</v>
      </c>
      <c r="Q503">
        <v>42</v>
      </c>
      <c r="R503">
        <v>-93.620800000000003</v>
      </c>
    </row>
    <row r="504" spans="1:18" x14ac:dyDescent="0.2">
      <c r="A504" t="s">
        <v>270</v>
      </c>
      <c r="B504" t="s">
        <v>271</v>
      </c>
      <c r="C504">
        <v>1</v>
      </c>
      <c r="D504" s="1">
        <v>44072.86619212963</v>
      </c>
      <c r="E504" t="s">
        <v>1574</v>
      </c>
      <c r="F504" t="s">
        <v>273</v>
      </c>
      <c r="G504" t="s">
        <v>1544</v>
      </c>
      <c r="H504" t="s">
        <v>275</v>
      </c>
      <c r="I504" t="s">
        <v>29</v>
      </c>
      <c r="J504">
        <v>1</v>
      </c>
      <c r="K504">
        <f>1-888-604-806</f>
        <v>-2297</v>
      </c>
      <c r="L504" t="s">
        <v>1575</v>
      </c>
      <c r="M504" t="s">
        <v>1576</v>
      </c>
      <c r="N504" t="s">
        <v>278</v>
      </c>
      <c r="O504" t="s">
        <v>134</v>
      </c>
      <c r="P504" t="s">
        <v>29</v>
      </c>
      <c r="Q504">
        <v>42</v>
      </c>
      <c r="R504">
        <v>-93.620800000000003</v>
      </c>
    </row>
    <row r="505" spans="1:18" x14ac:dyDescent="0.2">
      <c r="A505" t="s">
        <v>270</v>
      </c>
      <c r="B505" t="s">
        <v>271</v>
      </c>
      <c r="C505">
        <v>1</v>
      </c>
      <c r="D505" s="1">
        <v>44071.915601851855</v>
      </c>
      <c r="E505" t="s">
        <v>1577</v>
      </c>
      <c r="F505" t="s">
        <v>273</v>
      </c>
      <c r="G505" t="s">
        <v>1544</v>
      </c>
      <c r="H505" t="s">
        <v>275</v>
      </c>
      <c r="I505" t="s">
        <v>29</v>
      </c>
      <c r="J505">
        <v>1</v>
      </c>
      <c r="K505">
        <f>1-888-706-1244</f>
        <v>-2837</v>
      </c>
      <c r="L505" t="s">
        <v>1578</v>
      </c>
      <c r="M505" t="s">
        <v>1579</v>
      </c>
      <c r="N505" t="s">
        <v>278</v>
      </c>
      <c r="O505" t="s">
        <v>134</v>
      </c>
      <c r="P505" t="s">
        <v>29</v>
      </c>
      <c r="Q505">
        <v>42</v>
      </c>
      <c r="R505">
        <v>-93.620800000000003</v>
      </c>
    </row>
    <row r="506" spans="1:18" x14ac:dyDescent="0.2">
      <c r="A506" t="s">
        <v>270</v>
      </c>
      <c r="B506" t="s">
        <v>271</v>
      </c>
      <c r="C506">
        <v>1</v>
      </c>
      <c r="D506" s="1">
        <v>44068.02815972222</v>
      </c>
      <c r="E506" t="s">
        <v>1580</v>
      </c>
      <c r="F506" t="s">
        <v>273</v>
      </c>
      <c r="G506" t="s">
        <v>1544</v>
      </c>
      <c r="H506" t="s">
        <v>275</v>
      </c>
      <c r="I506" t="s">
        <v>29</v>
      </c>
      <c r="J506">
        <v>1</v>
      </c>
      <c r="K506">
        <f>1-888-690-840</f>
        <v>-2417</v>
      </c>
      <c r="L506" t="s">
        <v>1581</v>
      </c>
      <c r="M506" t="s">
        <v>1582</v>
      </c>
      <c r="N506" t="s">
        <v>278</v>
      </c>
      <c r="O506" t="s">
        <v>28</v>
      </c>
      <c r="P506" t="s">
        <v>29</v>
      </c>
      <c r="Q506">
        <v>42</v>
      </c>
      <c r="R506">
        <v>-93.620800000000003</v>
      </c>
    </row>
    <row r="507" spans="1:18" x14ac:dyDescent="0.2">
      <c r="A507" t="s">
        <v>270</v>
      </c>
      <c r="B507" t="s">
        <v>271</v>
      </c>
      <c r="C507">
        <v>81</v>
      </c>
      <c r="D507" s="1">
        <v>44068.352812500001</v>
      </c>
      <c r="E507" t="s">
        <v>1583</v>
      </c>
      <c r="F507" t="s">
        <v>273</v>
      </c>
      <c r="G507" t="s">
        <v>1544</v>
      </c>
      <c r="H507" t="s">
        <v>275</v>
      </c>
      <c r="I507" t="s">
        <v>53</v>
      </c>
      <c r="J507">
        <v>81</v>
      </c>
      <c r="K507">
        <f>81-50-5532-8064</f>
        <v>-13565</v>
      </c>
      <c r="L507" t="s">
        <v>1584</v>
      </c>
      <c r="M507" t="s">
        <v>1585</v>
      </c>
      <c r="N507" t="s">
        <v>278</v>
      </c>
      <c r="O507" t="s">
        <v>134</v>
      </c>
      <c r="P507" t="s">
        <v>29</v>
      </c>
      <c r="Q507">
        <v>42</v>
      </c>
      <c r="R507">
        <v>-93.620800000000003</v>
      </c>
    </row>
    <row r="508" spans="1:18" x14ac:dyDescent="0.2">
      <c r="A508" t="s">
        <v>270</v>
      </c>
      <c r="B508" t="s">
        <v>271</v>
      </c>
      <c r="C508">
        <v>1</v>
      </c>
      <c r="D508" s="1">
        <v>44067.71770833333</v>
      </c>
      <c r="E508" t="s">
        <v>1586</v>
      </c>
      <c r="F508" t="s">
        <v>273</v>
      </c>
      <c r="G508" t="s">
        <v>1544</v>
      </c>
      <c r="H508" t="s">
        <v>275</v>
      </c>
      <c r="I508" t="s">
        <v>29</v>
      </c>
      <c r="J508">
        <v>1</v>
      </c>
      <c r="K508">
        <f>1-888-312-1430</f>
        <v>-2629</v>
      </c>
      <c r="L508" t="s">
        <v>1587</v>
      </c>
      <c r="M508" t="s">
        <v>1588</v>
      </c>
      <c r="N508" t="s">
        <v>278</v>
      </c>
      <c r="O508" t="s">
        <v>134</v>
      </c>
      <c r="P508" t="s">
        <v>29</v>
      </c>
      <c r="Q508">
        <v>42</v>
      </c>
      <c r="R508">
        <v>-93.620800000000003</v>
      </c>
    </row>
    <row r="509" spans="1:18" x14ac:dyDescent="0.2">
      <c r="A509" t="s">
        <v>270</v>
      </c>
      <c r="B509" t="s">
        <v>271</v>
      </c>
      <c r="C509">
        <v>1</v>
      </c>
      <c r="D509" s="1">
        <v>44067.716215277775</v>
      </c>
      <c r="E509" t="s">
        <v>1589</v>
      </c>
      <c r="F509" t="s">
        <v>273</v>
      </c>
      <c r="G509" t="s">
        <v>1544</v>
      </c>
      <c r="H509" t="s">
        <v>275</v>
      </c>
      <c r="I509" t="s">
        <v>29</v>
      </c>
      <c r="J509">
        <v>1</v>
      </c>
      <c r="K509">
        <f>1-888-541-8493</f>
        <v>-9921</v>
      </c>
      <c r="L509" t="s">
        <v>1590</v>
      </c>
      <c r="M509" t="s">
        <v>1591</v>
      </c>
      <c r="N509" t="s">
        <v>278</v>
      </c>
      <c r="O509" t="s">
        <v>134</v>
      </c>
      <c r="P509" t="s">
        <v>29</v>
      </c>
      <c r="Q509">
        <v>42</v>
      </c>
      <c r="R509">
        <v>-93.620800000000003</v>
      </c>
    </row>
    <row r="510" spans="1:18" x14ac:dyDescent="0.2">
      <c r="A510" t="s">
        <v>270</v>
      </c>
      <c r="B510" t="s">
        <v>271</v>
      </c>
      <c r="C510">
        <v>44</v>
      </c>
      <c r="D510" s="1">
        <v>44066.536597222221</v>
      </c>
      <c r="E510" t="s">
        <v>1592</v>
      </c>
      <c r="F510" t="s">
        <v>273</v>
      </c>
      <c r="G510" t="s">
        <v>1544</v>
      </c>
      <c r="H510" t="s">
        <v>275</v>
      </c>
      <c r="I510" t="s">
        <v>618</v>
      </c>
      <c r="J510">
        <v>44</v>
      </c>
      <c r="K510">
        <f>44-752-63-1849</f>
        <v>-2620</v>
      </c>
      <c r="L510" t="s">
        <v>1593</v>
      </c>
      <c r="M510" t="s">
        <v>1594</v>
      </c>
      <c r="N510" t="s">
        <v>278</v>
      </c>
      <c r="O510" t="s">
        <v>134</v>
      </c>
      <c r="P510" t="s">
        <v>29</v>
      </c>
      <c r="Q510">
        <v>42</v>
      </c>
      <c r="R510">
        <v>-93.620800000000003</v>
      </c>
    </row>
    <row r="511" spans="1:18" x14ac:dyDescent="0.2">
      <c r="A511" t="s">
        <v>270</v>
      </c>
      <c r="B511" t="s">
        <v>271</v>
      </c>
      <c r="C511">
        <v>81</v>
      </c>
      <c r="D511" s="1">
        <v>44066.417800925927</v>
      </c>
      <c r="E511" t="s">
        <v>1595</v>
      </c>
      <c r="F511" t="s">
        <v>273</v>
      </c>
      <c r="G511" t="s">
        <v>1544</v>
      </c>
      <c r="H511" t="s">
        <v>275</v>
      </c>
      <c r="I511" t="s">
        <v>53</v>
      </c>
      <c r="J511">
        <v>81</v>
      </c>
      <c r="K511">
        <f>81-50-5532-8064</f>
        <v>-13565</v>
      </c>
      <c r="L511" t="s">
        <v>1596</v>
      </c>
      <c r="M511" t="s">
        <v>1597</v>
      </c>
      <c r="N511" t="s">
        <v>278</v>
      </c>
      <c r="O511" t="s">
        <v>134</v>
      </c>
      <c r="P511" t="s">
        <v>29</v>
      </c>
      <c r="Q511">
        <v>42</v>
      </c>
      <c r="R511">
        <v>-93.620800000000003</v>
      </c>
    </row>
    <row r="512" spans="1:18" x14ac:dyDescent="0.2">
      <c r="A512" t="s">
        <v>270</v>
      </c>
      <c r="B512" t="s">
        <v>271</v>
      </c>
      <c r="C512">
        <v>44</v>
      </c>
      <c r="D512" s="1">
        <v>44064.513553240744</v>
      </c>
      <c r="E512" t="s">
        <v>1598</v>
      </c>
      <c r="F512" t="s">
        <v>273</v>
      </c>
      <c r="G512" t="s">
        <v>1544</v>
      </c>
      <c r="H512" t="s">
        <v>275</v>
      </c>
      <c r="I512" t="s">
        <v>618</v>
      </c>
      <c r="J512">
        <v>44</v>
      </c>
      <c r="K512">
        <f>44-752-63-1897</f>
        <v>-2668</v>
      </c>
      <c r="L512" t="s">
        <v>1599</v>
      </c>
      <c r="M512" t="s">
        <v>1600</v>
      </c>
      <c r="N512" t="s">
        <v>278</v>
      </c>
      <c r="O512" t="s">
        <v>134</v>
      </c>
      <c r="P512" t="s">
        <v>29</v>
      </c>
      <c r="Q512">
        <v>42</v>
      </c>
      <c r="R512">
        <v>-93.620800000000003</v>
      </c>
    </row>
    <row r="513" spans="1:18" x14ac:dyDescent="0.2">
      <c r="A513" t="s">
        <v>270</v>
      </c>
      <c r="B513" t="s">
        <v>271</v>
      </c>
      <c r="C513">
        <v>1</v>
      </c>
      <c r="D513" s="1">
        <v>44063.790775462963</v>
      </c>
      <c r="E513" t="s">
        <v>1601</v>
      </c>
      <c r="F513" t="s">
        <v>273</v>
      </c>
      <c r="G513" t="s">
        <v>1544</v>
      </c>
      <c r="H513" t="s">
        <v>275</v>
      </c>
      <c r="I513" t="s">
        <v>29</v>
      </c>
      <c r="J513">
        <v>1</v>
      </c>
      <c r="K513">
        <f>1-752-63-1849</f>
        <v>-2663</v>
      </c>
      <c r="L513" t="s">
        <v>1602</v>
      </c>
      <c r="M513" t="s">
        <v>1603</v>
      </c>
      <c r="N513" t="s">
        <v>278</v>
      </c>
      <c r="O513" t="s">
        <v>134</v>
      </c>
      <c r="P513" t="s">
        <v>29</v>
      </c>
      <c r="Q513">
        <v>42</v>
      </c>
      <c r="R513">
        <v>-93.620800000000003</v>
      </c>
    </row>
    <row r="514" spans="1:18" x14ac:dyDescent="0.2">
      <c r="A514" t="s">
        <v>270</v>
      </c>
      <c r="B514" t="s">
        <v>271</v>
      </c>
      <c r="C514">
        <v>1</v>
      </c>
      <c r="D514" s="1">
        <v>44061.820324074077</v>
      </c>
      <c r="E514" t="s">
        <v>1604</v>
      </c>
      <c r="F514" t="s">
        <v>273</v>
      </c>
      <c r="G514" t="s">
        <v>1544</v>
      </c>
      <c r="H514" t="s">
        <v>275</v>
      </c>
      <c r="I514" t="s">
        <v>29</v>
      </c>
      <c r="J514">
        <v>1</v>
      </c>
      <c r="K514">
        <f>1-844-467-9803</f>
        <v>-11113</v>
      </c>
      <c r="L514" t="s">
        <v>1605</v>
      </c>
      <c r="M514" t="s">
        <v>1606</v>
      </c>
      <c r="N514" t="s">
        <v>278</v>
      </c>
      <c r="O514" t="s">
        <v>134</v>
      </c>
      <c r="P514" t="s">
        <v>29</v>
      </c>
      <c r="Q514">
        <v>42</v>
      </c>
      <c r="R514">
        <v>-93.620800000000003</v>
      </c>
    </row>
    <row r="515" spans="1:18" x14ac:dyDescent="0.2">
      <c r="A515" t="s">
        <v>270</v>
      </c>
      <c r="B515" t="s">
        <v>271</v>
      </c>
      <c r="C515">
        <v>1</v>
      </c>
      <c r="D515" s="1">
        <v>44061.76835648148</v>
      </c>
      <c r="E515" t="s">
        <v>1607</v>
      </c>
      <c r="F515" t="s">
        <v>273</v>
      </c>
      <c r="G515" t="s">
        <v>1544</v>
      </c>
      <c r="H515" t="s">
        <v>275</v>
      </c>
      <c r="I515" t="s">
        <v>29</v>
      </c>
      <c r="J515">
        <v>1</v>
      </c>
      <c r="K515">
        <f>1-888-445-7985</f>
        <v>-9317</v>
      </c>
      <c r="L515" t="s">
        <v>1608</v>
      </c>
      <c r="M515" t="s">
        <v>1609</v>
      </c>
      <c r="N515" t="s">
        <v>278</v>
      </c>
      <c r="O515" t="s">
        <v>134</v>
      </c>
      <c r="P515" t="s">
        <v>29</v>
      </c>
      <c r="Q515">
        <v>42</v>
      </c>
      <c r="R515">
        <v>-93.620800000000003</v>
      </c>
    </row>
    <row r="516" spans="1:18" x14ac:dyDescent="0.2">
      <c r="A516" t="s">
        <v>270</v>
      </c>
      <c r="B516" t="s">
        <v>271</v>
      </c>
      <c r="C516">
        <v>1</v>
      </c>
      <c r="D516" s="1">
        <v>44057.114039351851</v>
      </c>
      <c r="E516" t="s">
        <v>1610</v>
      </c>
      <c r="F516" t="s">
        <v>273</v>
      </c>
      <c r="G516" t="s">
        <v>1544</v>
      </c>
      <c r="H516" t="s">
        <v>275</v>
      </c>
      <c r="I516" t="s">
        <v>29</v>
      </c>
      <c r="J516">
        <v>1</v>
      </c>
      <c r="K516">
        <f>1-888-690-935</f>
        <v>-2512</v>
      </c>
      <c r="L516" t="s">
        <v>1611</v>
      </c>
      <c r="M516" t="s">
        <v>1612</v>
      </c>
      <c r="N516" t="s">
        <v>278</v>
      </c>
      <c r="O516" t="s">
        <v>134</v>
      </c>
      <c r="P516" t="s">
        <v>29</v>
      </c>
      <c r="Q516">
        <v>42</v>
      </c>
      <c r="R516">
        <v>-93.620800000000003</v>
      </c>
    </row>
    <row r="517" spans="1:18" x14ac:dyDescent="0.2">
      <c r="A517" t="s">
        <v>270</v>
      </c>
      <c r="B517" t="s">
        <v>271</v>
      </c>
      <c r="C517">
        <v>1</v>
      </c>
      <c r="D517" s="1">
        <v>44056.805613425924</v>
      </c>
      <c r="E517" t="s">
        <v>1613</v>
      </c>
      <c r="F517" t="s">
        <v>273</v>
      </c>
      <c r="G517" t="s">
        <v>1544</v>
      </c>
      <c r="H517" t="s">
        <v>275</v>
      </c>
      <c r="I517" t="s">
        <v>29</v>
      </c>
      <c r="J517">
        <v>1</v>
      </c>
      <c r="K517">
        <f>1-888-690-935</f>
        <v>-2512</v>
      </c>
      <c r="L517" t="s">
        <v>1614</v>
      </c>
      <c r="M517" t="s">
        <v>1615</v>
      </c>
      <c r="N517" t="s">
        <v>278</v>
      </c>
      <c r="O517" t="s">
        <v>134</v>
      </c>
      <c r="P517" t="s">
        <v>29</v>
      </c>
      <c r="Q517">
        <v>42</v>
      </c>
      <c r="R517">
        <v>-93.620800000000003</v>
      </c>
    </row>
    <row r="518" spans="1:18" x14ac:dyDescent="0.2">
      <c r="A518" t="s">
        <v>270</v>
      </c>
      <c r="B518" t="s">
        <v>271</v>
      </c>
      <c r="C518">
        <v>1</v>
      </c>
      <c r="D518" s="1">
        <v>44055.869849537034</v>
      </c>
      <c r="E518" t="s">
        <v>1616</v>
      </c>
      <c r="F518" t="s">
        <v>273</v>
      </c>
      <c r="G518" t="s">
        <v>1544</v>
      </c>
      <c r="H518" t="s">
        <v>275</v>
      </c>
      <c r="I518" t="s">
        <v>29</v>
      </c>
      <c r="J518">
        <v>1</v>
      </c>
      <c r="K518">
        <f>1-888-655-2512</f>
        <v>-4054</v>
      </c>
      <c r="L518" t="s">
        <v>1617</v>
      </c>
      <c r="M518" t="s">
        <v>1618</v>
      </c>
      <c r="N518" t="s">
        <v>278</v>
      </c>
      <c r="O518" t="s">
        <v>134</v>
      </c>
      <c r="P518" t="s">
        <v>29</v>
      </c>
      <c r="Q518">
        <v>42</v>
      </c>
      <c r="R518">
        <v>-93.620800000000003</v>
      </c>
    </row>
    <row r="519" spans="1:18" x14ac:dyDescent="0.2">
      <c r="A519" t="s">
        <v>270</v>
      </c>
      <c r="B519" t="s">
        <v>271</v>
      </c>
      <c r="C519">
        <v>44</v>
      </c>
      <c r="D519" s="1">
        <v>44055.631041666667</v>
      </c>
      <c r="E519" t="s">
        <v>1619</v>
      </c>
      <c r="F519" t="s">
        <v>273</v>
      </c>
      <c r="G519" t="s">
        <v>1544</v>
      </c>
      <c r="H519" t="s">
        <v>275</v>
      </c>
      <c r="I519" t="s">
        <v>618</v>
      </c>
      <c r="J519">
        <v>44</v>
      </c>
      <c r="K519">
        <f>44-752-63-1849</f>
        <v>-2620</v>
      </c>
      <c r="L519" t="s">
        <v>1620</v>
      </c>
      <c r="M519" t="s">
        <v>1621</v>
      </c>
      <c r="N519" t="s">
        <v>278</v>
      </c>
      <c r="O519" t="s">
        <v>134</v>
      </c>
      <c r="P519" t="s">
        <v>29</v>
      </c>
      <c r="Q519">
        <v>42</v>
      </c>
      <c r="R519">
        <v>-93.620800000000003</v>
      </c>
    </row>
    <row r="520" spans="1:18" x14ac:dyDescent="0.2">
      <c r="A520" t="s">
        <v>270</v>
      </c>
      <c r="B520" t="s">
        <v>271</v>
      </c>
      <c r="C520">
        <v>1</v>
      </c>
      <c r="D520" s="1">
        <v>44031.865127314813</v>
      </c>
      <c r="E520" t="s">
        <v>1622</v>
      </c>
      <c r="F520" t="s">
        <v>273</v>
      </c>
      <c r="G520" t="s">
        <v>1544</v>
      </c>
      <c r="H520" t="s">
        <v>275</v>
      </c>
      <c r="I520" t="s">
        <v>29</v>
      </c>
      <c r="J520">
        <v>1</v>
      </c>
      <c r="K520">
        <f>1-866-755-2213</f>
        <v>-3833</v>
      </c>
      <c r="L520" t="s">
        <v>1623</v>
      </c>
      <c r="M520" t="s">
        <v>1624</v>
      </c>
      <c r="N520" t="s">
        <v>278</v>
      </c>
      <c r="O520" t="s">
        <v>134</v>
      </c>
      <c r="P520" t="s">
        <v>29</v>
      </c>
      <c r="Q520">
        <v>42</v>
      </c>
      <c r="R520">
        <v>-93.620800000000003</v>
      </c>
    </row>
    <row r="521" spans="1:18" x14ac:dyDescent="0.2">
      <c r="A521" t="s">
        <v>270</v>
      </c>
      <c r="B521" t="s">
        <v>271</v>
      </c>
      <c r="C521">
        <v>1</v>
      </c>
      <c r="D521" s="1">
        <v>44031.864837962959</v>
      </c>
      <c r="E521" t="s">
        <v>1625</v>
      </c>
      <c r="F521" t="s">
        <v>273</v>
      </c>
      <c r="G521" t="s">
        <v>1544</v>
      </c>
      <c r="H521" t="s">
        <v>275</v>
      </c>
      <c r="I521" t="s">
        <v>29</v>
      </c>
      <c r="J521">
        <v>1</v>
      </c>
      <c r="K521">
        <f>1-866-720-5646</f>
        <v>-7231</v>
      </c>
      <c r="L521" t="s">
        <v>1626</v>
      </c>
      <c r="M521" t="s">
        <v>1627</v>
      </c>
      <c r="N521" t="s">
        <v>278</v>
      </c>
      <c r="O521" t="s">
        <v>134</v>
      </c>
      <c r="P521" t="s">
        <v>29</v>
      </c>
      <c r="Q521">
        <v>42</v>
      </c>
      <c r="R521">
        <v>-93.620800000000003</v>
      </c>
    </row>
    <row r="522" spans="1:18" x14ac:dyDescent="0.2">
      <c r="A522" t="s">
        <v>270</v>
      </c>
      <c r="B522" t="s">
        <v>271</v>
      </c>
      <c r="C522">
        <v>1</v>
      </c>
      <c r="D522" s="1">
        <v>44022.894768518519</v>
      </c>
      <c r="E522" t="s">
        <v>1628</v>
      </c>
      <c r="F522" t="s">
        <v>273</v>
      </c>
      <c r="G522" t="s">
        <v>1544</v>
      </c>
      <c r="H522" t="s">
        <v>275</v>
      </c>
      <c r="I522" t="s">
        <v>29</v>
      </c>
      <c r="J522">
        <v>1</v>
      </c>
      <c r="K522">
        <f>1-888-402-8031</f>
        <v>-9320</v>
      </c>
      <c r="L522" t="s">
        <v>1629</v>
      </c>
      <c r="M522" t="s">
        <v>1630</v>
      </c>
      <c r="N522" t="s">
        <v>278</v>
      </c>
      <c r="O522" t="s">
        <v>28</v>
      </c>
      <c r="P522" t="s">
        <v>29</v>
      </c>
      <c r="Q522">
        <v>42</v>
      </c>
      <c r="R522">
        <v>-93.620800000000003</v>
      </c>
    </row>
    <row r="523" spans="1:18" x14ac:dyDescent="0.2">
      <c r="A523" t="s">
        <v>270</v>
      </c>
      <c r="B523" t="s">
        <v>271</v>
      </c>
      <c r="C523">
        <v>1</v>
      </c>
      <c r="D523" s="1">
        <v>43979.909768518519</v>
      </c>
      <c r="E523" t="s">
        <v>1631</v>
      </c>
      <c r="F523" t="s">
        <v>273</v>
      </c>
      <c r="G523" t="s">
        <v>1544</v>
      </c>
      <c r="H523" t="s">
        <v>275</v>
      </c>
      <c r="I523" t="s">
        <v>29</v>
      </c>
      <c r="J523">
        <v>1</v>
      </c>
      <c r="K523">
        <f>1-844-254-9539</f>
        <v>-10636</v>
      </c>
      <c r="L523" t="s">
        <v>1632</v>
      </c>
      <c r="M523" t="s">
        <v>1633</v>
      </c>
      <c r="N523" t="s">
        <v>278</v>
      </c>
      <c r="O523" t="s">
        <v>28</v>
      </c>
      <c r="P523" t="s">
        <v>29</v>
      </c>
      <c r="Q523">
        <v>42</v>
      </c>
      <c r="R523">
        <v>-93.620800000000003</v>
      </c>
    </row>
    <row r="524" spans="1:18" x14ac:dyDescent="0.2">
      <c r="A524" t="s">
        <v>270</v>
      </c>
      <c r="B524" t="s">
        <v>271</v>
      </c>
      <c r="C524">
        <v>1</v>
      </c>
      <c r="D524" s="1">
        <v>43974.789398148147</v>
      </c>
      <c r="E524" t="s">
        <v>1634</v>
      </c>
      <c r="F524" t="s">
        <v>273</v>
      </c>
      <c r="G524" t="s">
        <v>1544</v>
      </c>
      <c r="H524" t="s">
        <v>275</v>
      </c>
      <c r="I524" t="s">
        <v>29</v>
      </c>
      <c r="J524">
        <v>1</v>
      </c>
      <c r="K524">
        <f>1-844-385-4437</f>
        <v>-5665</v>
      </c>
      <c r="L524" t="s">
        <v>1635</v>
      </c>
      <c r="M524" t="s">
        <v>1636</v>
      </c>
      <c r="N524" t="s">
        <v>278</v>
      </c>
      <c r="O524" t="s">
        <v>28</v>
      </c>
      <c r="P524" t="s">
        <v>29</v>
      </c>
      <c r="Q524">
        <v>42</v>
      </c>
      <c r="R524">
        <v>-93.620800000000003</v>
      </c>
    </row>
    <row r="525" spans="1:18" x14ac:dyDescent="0.2">
      <c r="A525" t="s">
        <v>1637</v>
      </c>
      <c r="B525" t="s">
        <v>1638</v>
      </c>
      <c r="C525">
        <v>1</v>
      </c>
      <c r="D525" s="1">
        <v>43976.516215277778</v>
      </c>
      <c r="E525" t="s">
        <v>1639</v>
      </c>
      <c r="F525" t="s">
        <v>1640</v>
      </c>
      <c r="G525" t="s">
        <v>1641</v>
      </c>
      <c r="H525" t="s">
        <v>1642</v>
      </c>
      <c r="I525" t="s">
        <v>29</v>
      </c>
      <c r="J525">
        <v>1</v>
      </c>
      <c r="K525">
        <f>1-833-256-2778</f>
        <v>-3866</v>
      </c>
      <c r="L525" t="s">
        <v>1643</v>
      </c>
      <c r="M525" t="s">
        <v>1644</v>
      </c>
      <c r="N525" t="s">
        <v>1645</v>
      </c>
      <c r="O525" t="s">
        <v>134</v>
      </c>
      <c r="P525" t="s">
        <v>292</v>
      </c>
      <c r="Q525">
        <v>49</v>
      </c>
      <c r="R525">
        <v>2.3281000000000001</v>
      </c>
    </row>
    <row r="526" spans="1:18" x14ac:dyDescent="0.2">
      <c r="A526" t="s">
        <v>439</v>
      </c>
      <c r="B526" t="s">
        <v>440</v>
      </c>
      <c r="C526">
        <v>1</v>
      </c>
      <c r="D526" s="1">
        <v>43976.800740740742</v>
      </c>
      <c r="E526" t="s">
        <v>1646</v>
      </c>
      <c r="F526" t="s">
        <v>442</v>
      </c>
      <c r="G526" t="s">
        <v>1647</v>
      </c>
      <c r="H526" t="s">
        <v>444</v>
      </c>
      <c r="I526" t="s">
        <v>29</v>
      </c>
      <c r="J526">
        <v>1</v>
      </c>
      <c r="K526">
        <f>1-800-674-3864</f>
        <v>-5337</v>
      </c>
      <c r="L526" t="s">
        <v>1648</v>
      </c>
      <c r="M526" t="s">
        <v>1649</v>
      </c>
      <c r="N526" t="s">
        <v>447</v>
      </c>
      <c r="O526" t="s">
        <v>28</v>
      </c>
      <c r="P526" t="s">
        <v>29</v>
      </c>
      <c r="Q526">
        <v>39</v>
      </c>
      <c r="R526">
        <v>-77.487399999999994</v>
      </c>
    </row>
    <row r="527" spans="1:18" x14ac:dyDescent="0.2">
      <c r="A527" t="s">
        <v>1650</v>
      </c>
      <c r="B527" t="s">
        <v>1651</v>
      </c>
      <c r="C527">
        <v>1</v>
      </c>
      <c r="D527" s="1">
        <v>44020.790011574078</v>
      </c>
      <c r="E527" t="s">
        <v>1652</v>
      </c>
      <c r="F527" t="s">
        <v>1653</v>
      </c>
      <c r="G527" t="s">
        <v>1654</v>
      </c>
      <c r="H527" t="s">
        <v>1655</v>
      </c>
      <c r="I527" t="s">
        <v>29</v>
      </c>
      <c r="J527">
        <v>1</v>
      </c>
      <c r="K527">
        <f>1-888-394-2383</f>
        <v>-3664</v>
      </c>
      <c r="L527" t="s">
        <v>1656</v>
      </c>
      <c r="M527" t="s">
        <v>1657</v>
      </c>
      <c r="N527" t="s">
        <v>36</v>
      </c>
      <c r="O527" t="s">
        <v>28</v>
      </c>
      <c r="P527" t="s">
        <v>29</v>
      </c>
      <c r="Q527">
        <v>47</v>
      </c>
      <c r="R527">
        <v>-99.999999000000003</v>
      </c>
    </row>
    <row r="528" spans="1:18" x14ac:dyDescent="0.2">
      <c r="A528" t="s">
        <v>1650</v>
      </c>
      <c r="B528" t="s">
        <v>1651</v>
      </c>
      <c r="C528">
        <v>1</v>
      </c>
      <c r="D528" s="1">
        <v>44019.777453703704</v>
      </c>
      <c r="E528" t="s">
        <v>1658</v>
      </c>
      <c r="F528" t="s">
        <v>1653</v>
      </c>
      <c r="G528" t="s">
        <v>1654</v>
      </c>
      <c r="H528" t="s">
        <v>1655</v>
      </c>
      <c r="I528" t="s">
        <v>29</v>
      </c>
      <c r="J528">
        <v>1</v>
      </c>
      <c r="K528">
        <f>1-888-385-1658</f>
        <v>-2930</v>
      </c>
      <c r="L528" t="s">
        <v>1659</v>
      </c>
      <c r="M528" t="s">
        <v>1660</v>
      </c>
      <c r="N528" t="s">
        <v>36</v>
      </c>
      <c r="O528" t="s">
        <v>28</v>
      </c>
      <c r="P528" t="s">
        <v>29</v>
      </c>
      <c r="Q528">
        <v>47</v>
      </c>
      <c r="R528">
        <v>-99.999999000000003</v>
      </c>
    </row>
    <row r="529" spans="1:18" x14ac:dyDescent="0.2">
      <c r="A529" t="s">
        <v>1650</v>
      </c>
      <c r="B529" t="s">
        <v>1651</v>
      </c>
      <c r="C529">
        <v>1</v>
      </c>
      <c r="D529" s="1">
        <v>44019.751550925925</v>
      </c>
      <c r="E529" t="s">
        <v>1661</v>
      </c>
      <c r="F529" t="s">
        <v>1653</v>
      </c>
      <c r="G529" t="s">
        <v>1654</v>
      </c>
      <c r="H529" t="s">
        <v>1655</v>
      </c>
      <c r="I529" t="s">
        <v>29</v>
      </c>
      <c r="J529">
        <v>1</v>
      </c>
      <c r="K529">
        <f>1-833-417-5817</f>
        <v>-7066</v>
      </c>
      <c r="L529" t="s">
        <v>1662</v>
      </c>
      <c r="M529" t="s">
        <v>1663</v>
      </c>
      <c r="N529" t="s">
        <v>36</v>
      </c>
      <c r="O529" t="s">
        <v>28</v>
      </c>
      <c r="P529" t="s">
        <v>29</v>
      </c>
      <c r="Q529">
        <v>47</v>
      </c>
      <c r="R529">
        <v>-99.999999000000003</v>
      </c>
    </row>
    <row r="530" spans="1:18" x14ac:dyDescent="0.2">
      <c r="A530" t="s">
        <v>1650</v>
      </c>
      <c r="B530" t="s">
        <v>1651</v>
      </c>
      <c r="C530">
        <v>1</v>
      </c>
      <c r="D530" s="1">
        <v>44019.702546296299</v>
      </c>
      <c r="E530" t="s">
        <v>1664</v>
      </c>
      <c r="F530" t="s">
        <v>1653</v>
      </c>
      <c r="G530" t="s">
        <v>1654</v>
      </c>
      <c r="H530" t="s">
        <v>1655</v>
      </c>
      <c r="I530" t="s">
        <v>29</v>
      </c>
      <c r="J530">
        <v>1</v>
      </c>
      <c r="K530">
        <f>1-833-333-659</f>
        <v>-1824</v>
      </c>
      <c r="L530" t="s">
        <v>1665</v>
      </c>
      <c r="M530" t="s">
        <v>1666</v>
      </c>
      <c r="N530" t="s">
        <v>36</v>
      </c>
      <c r="O530" t="s">
        <v>28</v>
      </c>
      <c r="P530" t="s">
        <v>29</v>
      </c>
      <c r="Q530">
        <v>47</v>
      </c>
      <c r="R530">
        <v>-99.999999000000003</v>
      </c>
    </row>
    <row r="531" spans="1:18" x14ac:dyDescent="0.2">
      <c r="A531" t="s">
        <v>1650</v>
      </c>
      <c r="B531" t="s">
        <v>1651</v>
      </c>
      <c r="C531">
        <v>1</v>
      </c>
      <c r="D531" s="1">
        <v>44019.019108796296</v>
      </c>
      <c r="E531" t="s">
        <v>1667</v>
      </c>
      <c r="F531" t="s">
        <v>1653</v>
      </c>
      <c r="G531" t="s">
        <v>1654</v>
      </c>
      <c r="H531" t="s">
        <v>1655</v>
      </c>
      <c r="I531" t="s">
        <v>29</v>
      </c>
      <c r="J531">
        <v>1</v>
      </c>
      <c r="K531">
        <f>1-888-381-9310</f>
        <v>-10578</v>
      </c>
      <c r="L531" t="s">
        <v>1668</v>
      </c>
      <c r="M531" t="s">
        <v>1669</v>
      </c>
      <c r="N531" t="s">
        <v>36</v>
      </c>
      <c r="O531" t="s">
        <v>28</v>
      </c>
      <c r="P531" t="s">
        <v>29</v>
      </c>
      <c r="Q531">
        <v>47</v>
      </c>
      <c r="R531">
        <v>-99.999999000000003</v>
      </c>
    </row>
    <row r="532" spans="1:18" x14ac:dyDescent="0.2">
      <c r="A532" t="s">
        <v>1650</v>
      </c>
      <c r="B532" t="s">
        <v>1651</v>
      </c>
      <c r="C532">
        <v>1</v>
      </c>
      <c r="D532" s="1">
        <v>44018.893020833333</v>
      </c>
      <c r="E532" t="s">
        <v>1670</v>
      </c>
      <c r="F532" t="s">
        <v>1653</v>
      </c>
      <c r="G532" t="s">
        <v>1654</v>
      </c>
      <c r="H532" t="s">
        <v>1655</v>
      </c>
      <c r="I532" t="s">
        <v>29</v>
      </c>
      <c r="J532">
        <v>1</v>
      </c>
      <c r="K532">
        <f>1-888-386-2031</f>
        <v>-3304</v>
      </c>
      <c r="L532" t="s">
        <v>1671</v>
      </c>
      <c r="M532" t="s">
        <v>1672</v>
      </c>
      <c r="N532" t="s">
        <v>36</v>
      </c>
      <c r="O532" t="s">
        <v>28</v>
      </c>
      <c r="P532" t="s">
        <v>29</v>
      </c>
      <c r="Q532">
        <v>47</v>
      </c>
      <c r="R532">
        <v>-99.999999000000003</v>
      </c>
    </row>
    <row r="533" spans="1:18" x14ac:dyDescent="0.2">
      <c r="A533" t="s">
        <v>1650</v>
      </c>
      <c r="B533" t="s">
        <v>1651</v>
      </c>
      <c r="C533">
        <v>1</v>
      </c>
      <c r="D533" s="1">
        <v>44016.037986111114</v>
      </c>
      <c r="E533" t="s">
        <v>1673</v>
      </c>
      <c r="F533" t="s">
        <v>1653</v>
      </c>
      <c r="G533" t="s">
        <v>1654</v>
      </c>
      <c r="H533" t="s">
        <v>1655</v>
      </c>
      <c r="I533" t="s">
        <v>29</v>
      </c>
      <c r="J533">
        <v>1</v>
      </c>
      <c r="K533">
        <f>1-888-386-2031</f>
        <v>-3304</v>
      </c>
      <c r="L533" t="s">
        <v>1674</v>
      </c>
      <c r="M533" t="s">
        <v>1675</v>
      </c>
      <c r="N533" t="s">
        <v>36</v>
      </c>
      <c r="O533" t="s">
        <v>28</v>
      </c>
      <c r="P533" t="s">
        <v>29</v>
      </c>
      <c r="Q533">
        <v>47</v>
      </c>
      <c r="R533">
        <v>-99.999999000000003</v>
      </c>
    </row>
    <row r="534" spans="1:18" x14ac:dyDescent="0.2">
      <c r="A534" t="s">
        <v>1650</v>
      </c>
      <c r="B534" t="s">
        <v>1651</v>
      </c>
      <c r="C534">
        <v>1</v>
      </c>
      <c r="D534" s="1">
        <v>44015.991319444445</v>
      </c>
      <c r="E534" t="s">
        <v>1676</v>
      </c>
      <c r="F534" t="s">
        <v>1653</v>
      </c>
      <c r="G534" t="s">
        <v>1654</v>
      </c>
      <c r="H534" t="s">
        <v>1655</v>
      </c>
      <c r="I534" t="s">
        <v>29</v>
      </c>
      <c r="J534">
        <v>1</v>
      </c>
      <c r="K534">
        <f>1-888-407-9310</f>
        <v>-10604</v>
      </c>
      <c r="L534" t="s">
        <v>1677</v>
      </c>
      <c r="M534" t="s">
        <v>1678</v>
      </c>
      <c r="N534" t="s">
        <v>36</v>
      </c>
      <c r="O534" t="s">
        <v>28</v>
      </c>
      <c r="P534" t="s">
        <v>29</v>
      </c>
      <c r="Q534">
        <v>47</v>
      </c>
      <c r="R534">
        <v>-99.999999000000003</v>
      </c>
    </row>
    <row r="535" spans="1:18" x14ac:dyDescent="0.2">
      <c r="A535" t="s">
        <v>1650</v>
      </c>
      <c r="B535" t="s">
        <v>1651</v>
      </c>
      <c r="C535">
        <v>1</v>
      </c>
      <c r="D535" s="1">
        <v>44015.876863425925</v>
      </c>
      <c r="E535" t="s">
        <v>1679</v>
      </c>
      <c r="F535" t="s">
        <v>1653</v>
      </c>
      <c r="G535" t="s">
        <v>1654</v>
      </c>
      <c r="H535" t="s">
        <v>1655</v>
      </c>
      <c r="I535" t="s">
        <v>29</v>
      </c>
      <c r="J535">
        <v>1</v>
      </c>
      <c r="K535">
        <f>1-888-381-7305</f>
        <v>-8573</v>
      </c>
      <c r="L535" t="s">
        <v>1680</v>
      </c>
      <c r="M535" t="s">
        <v>1681</v>
      </c>
      <c r="N535" t="s">
        <v>36</v>
      </c>
      <c r="O535" t="s">
        <v>28</v>
      </c>
      <c r="P535" t="s">
        <v>29</v>
      </c>
      <c r="Q535">
        <v>47</v>
      </c>
      <c r="R535">
        <v>-99.999999000000003</v>
      </c>
    </row>
    <row r="536" spans="1:18" x14ac:dyDescent="0.2">
      <c r="A536" t="s">
        <v>1650</v>
      </c>
      <c r="B536" t="s">
        <v>1651</v>
      </c>
      <c r="C536">
        <v>1</v>
      </c>
      <c r="D536" s="1">
        <v>44015.860162037039</v>
      </c>
      <c r="E536" t="s">
        <v>1679</v>
      </c>
      <c r="F536" t="s">
        <v>1653</v>
      </c>
      <c r="G536" t="s">
        <v>1654</v>
      </c>
      <c r="H536" t="s">
        <v>1655</v>
      </c>
      <c r="I536" t="s">
        <v>29</v>
      </c>
      <c r="J536">
        <v>1</v>
      </c>
      <c r="K536">
        <f>1-888-408-4956</f>
        <v>-6251</v>
      </c>
      <c r="L536" t="s">
        <v>1682</v>
      </c>
      <c r="M536" t="s">
        <v>1683</v>
      </c>
      <c r="N536" t="s">
        <v>36</v>
      </c>
      <c r="O536" t="s">
        <v>28</v>
      </c>
      <c r="P536" t="s">
        <v>29</v>
      </c>
      <c r="Q536">
        <v>47</v>
      </c>
      <c r="R536">
        <v>-99.999999000000003</v>
      </c>
    </row>
    <row r="537" spans="1:18" x14ac:dyDescent="0.2">
      <c r="A537" t="s">
        <v>1650</v>
      </c>
      <c r="B537" t="s">
        <v>1651</v>
      </c>
      <c r="C537">
        <v>1</v>
      </c>
      <c r="D537" s="1">
        <v>44015.884062500001</v>
      </c>
      <c r="E537" t="s">
        <v>1684</v>
      </c>
      <c r="F537" t="s">
        <v>1653</v>
      </c>
      <c r="G537" t="s">
        <v>1654</v>
      </c>
      <c r="H537" t="s">
        <v>1655</v>
      </c>
      <c r="I537" t="s">
        <v>29</v>
      </c>
      <c r="J537">
        <v>1</v>
      </c>
      <c r="K537">
        <f>1-833-333-659</f>
        <v>-1824</v>
      </c>
      <c r="L537" t="s">
        <v>1685</v>
      </c>
      <c r="M537" t="s">
        <v>1686</v>
      </c>
      <c r="N537" t="s">
        <v>36</v>
      </c>
      <c r="O537" t="s">
        <v>28</v>
      </c>
      <c r="P537" t="s">
        <v>29</v>
      </c>
      <c r="Q537">
        <v>47</v>
      </c>
      <c r="R537">
        <v>-99.999999000000003</v>
      </c>
    </row>
    <row r="538" spans="1:18" x14ac:dyDescent="0.2">
      <c r="A538" t="s">
        <v>1650</v>
      </c>
      <c r="B538" t="s">
        <v>1651</v>
      </c>
      <c r="C538">
        <v>1</v>
      </c>
      <c r="D538" s="1">
        <v>44015.847233796296</v>
      </c>
      <c r="E538" t="s">
        <v>1687</v>
      </c>
      <c r="F538" t="s">
        <v>1653</v>
      </c>
      <c r="G538" t="s">
        <v>1654</v>
      </c>
      <c r="H538" t="s">
        <v>1655</v>
      </c>
      <c r="I538" t="s">
        <v>29</v>
      </c>
      <c r="J538">
        <v>1</v>
      </c>
      <c r="K538">
        <f>1-888-392-3608</f>
        <v>-4887</v>
      </c>
      <c r="L538" t="s">
        <v>1688</v>
      </c>
      <c r="M538" t="s">
        <v>1689</v>
      </c>
      <c r="N538" t="s">
        <v>36</v>
      </c>
      <c r="O538" t="s">
        <v>28</v>
      </c>
      <c r="P538" t="s">
        <v>29</v>
      </c>
      <c r="Q538">
        <v>47</v>
      </c>
      <c r="R538">
        <v>-99.999999000000003</v>
      </c>
    </row>
    <row r="539" spans="1:18" x14ac:dyDescent="0.2">
      <c r="A539" t="s">
        <v>1650</v>
      </c>
      <c r="B539" t="s">
        <v>1651</v>
      </c>
      <c r="C539">
        <v>1</v>
      </c>
      <c r="D539" s="1">
        <v>44015.784016203703</v>
      </c>
      <c r="E539" t="s">
        <v>1690</v>
      </c>
      <c r="F539" t="s">
        <v>1653</v>
      </c>
      <c r="G539" t="s">
        <v>1654</v>
      </c>
      <c r="H539" t="s">
        <v>1655</v>
      </c>
      <c r="I539" t="s">
        <v>29</v>
      </c>
      <c r="J539">
        <v>1</v>
      </c>
      <c r="K539">
        <f>1-888-406-8590</f>
        <v>-9883</v>
      </c>
      <c r="L539" t="s">
        <v>1691</v>
      </c>
      <c r="M539" t="s">
        <v>1692</v>
      </c>
      <c r="N539" t="s">
        <v>36</v>
      </c>
      <c r="O539" t="s">
        <v>28</v>
      </c>
      <c r="P539" t="s">
        <v>29</v>
      </c>
      <c r="Q539">
        <v>47</v>
      </c>
      <c r="R539">
        <v>-99.999999000000003</v>
      </c>
    </row>
    <row r="540" spans="1:18" x14ac:dyDescent="0.2">
      <c r="A540" t="s">
        <v>1650</v>
      </c>
      <c r="B540" t="s">
        <v>1651</v>
      </c>
      <c r="C540">
        <v>1</v>
      </c>
      <c r="D540" s="1">
        <v>44015.714189814818</v>
      </c>
      <c r="E540" t="s">
        <v>1693</v>
      </c>
      <c r="F540" t="s">
        <v>1653</v>
      </c>
      <c r="G540" t="s">
        <v>1654</v>
      </c>
      <c r="H540" t="s">
        <v>1655</v>
      </c>
      <c r="I540" t="s">
        <v>29</v>
      </c>
      <c r="J540">
        <v>1</v>
      </c>
      <c r="K540">
        <f>1-888-381-961</f>
        <v>-2229</v>
      </c>
      <c r="L540" t="s">
        <v>1694</v>
      </c>
      <c r="M540" t="s">
        <v>1695</v>
      </c>
      <c r="N540" t="s">
        <v>36</v>
      </c>
      <c r="O540" t="s">
        <v>28</v>
      </c>
      <c r="P540" t="s">
        <v>29</v>
      </c>
      <c r="Q540">
        <v>47</v>
      </c>
      <c r="R540">
        <v>-99.999999000000003</v>
      </c>
    </row>
    <row r="541" spans="1:18" x14ac:dyDescent="0.2">
      <c r="A541" t="s">
        <v>1650</v>
      </c>
      <c r="B541" t="s">
        <v>1651</v>
      </c>
      <c r="C541">
        <v>1</v>
      </c>
      <c r="D541" s="1">
        <v>44014.880636574075</v>
      </c>
      <c r="E541" t="s">
        <v>1696</v>
      </c>
      <c r="F541" t="s">
        <v>1653</v>
      </c>
      <c r="G541" t="s">
        <v>1654</v>
      </c>
      <c r="H541" t="s">
        <v>1655</v>
      </c>
      <c r="I541" t="s">
        <v>29</v>
      </c>
      <c r="J541">
        <v>1</v>
      </c>
      <c r="K541">
        <f>1-888-392-3608</f>
        <v>-4887</v>
      </c>
      <c r="L541" t="s">
        <v>1697</v>
      </c>
      <c r="M541" t="s">
        <v>1698</v>
      </c>
      <c r="N541" t="s">
        <v>36</v>
      </c>
      <c r="O541" t="s">
        <v>28</v>
      </c>
      <c r="P541" t="s">
        <v>29</v>
      </c>
      <c r="Q541">
        <v>47</v>
      </c>
      <c r="R541">
        <v>-99.999999000000003</v>
      </c>
    </row>
    <row r="542" spans="1:18" x14ac:dyDescent="0.2">
      <c r="A542" t="s">
        <v>1650</v>
      </c>
      <c r="B542" t="s">
        <v>1651</v>
      </c>
      <c r="C542">
        <v>1</v>
      </c>
      <c r="D542" s="1">
        <v>44013.823321759257</v>
      </c>
      <c r="E542" t="s">
        <v>1699</v>
      </c>
      <c r="F542" t="s">
        <v>1653</v>
      </c>
      <c r="G542" t="s">
        <v>1654</v>
      </c>
      <c r="H542" t="s">
        <v>1655</v>
      </c>
      <c r="I542" t="s">
        <v>29</v>
      </c>
      <c r="J542">
        <v>1</v>
      </c>
      <c r="K542">
        <f>1-833-371-1333</f>
        <v>-2536</v>
      </c>
      <c r="L542" t="s">
        <v>1700</v>
      </c>
      <c r="M542" t="s">
        <v>1701</v>
      </c>
      <c r="N542" t="s">
        <v>36</v>
      </c>
      <c r="O542" t="s">
        <v>28</v>
      </c>
      <c r="P542" t="s">
        <v>29</v>
      </c>
      <c r="Q542">
        <v>47</v>
      </c>
      <c r="R542">
        <v>-99.999999000000003</v>
      </c>
    </row>
    <row r="543" spans="1:18" x14ac:dyDescent="0.2">
      <c r="A543" t="s">
        <v>1650</v>
      </c>
      <c r="B543" t="s">
        <v>1651</v>
      </c>
      <c r="C543">
        <v>1</v>
      </c>
      <c r="D543" s="1">
        <v>44012.784062500003</v>
      </c>
      <c r="E543" t="s">
        <v>1702</v>
      </c>
      <c r="F543" t="s">
        <v>1653</v>
      </c>
      <c r="G543" t="s">
        <v>1654</v>
      </c>
      <c r="H543" t="s">
        <v>1655</v>
      </c>
      <c r="I543" t="s">
        <v>29</v>
      </c>
      <c r="J543">
        <v>1</v>
      </c>
      <c r="K543">
        <f>1-833-371-1333</f>
        <v>-2536</v>
      </c>
      <c r="L543" t="s">
        <v>1703</v>
      </c>
      <c r="M543" t="s">
        <v>1704</v>
      </c>
      <c r="N543" t="s">
        <v>36</v>
      </c>
      <c r="O543" t="s">
        <v>28</v>
      </c>
      <c r="P543" t="s">
        <v>29</v>
      </c>
      <c r="Q543">
        <v>47</v>
      </c>
      <c r="R543">
        <v>-99.999999000000003</v>
      </c>
    </row>
    <row r="544" spans="1:18" x14ac:dyDescent="0.2">
      <c r="A544" t="s">
        <v>1650</v>
      </c>
      <c r="B544" t="s">
        <v>1651</v>
      </c>
      <c r="C544">
        <v>1</v>
      </c>
      <c r="D544" s="1">
        <v>44011.789293981485</v>
      </c>
      <c r="E544" t="s">
        <v>1705</v>
      </c>
      <c r="F544" t="s">
        <v>1653</v>
      </c>
      <c r="G544" t="s">
        <v>1654</v>
      </c>
      <c r="H544" t="s">
        <v>1655</v>
      </c>
      <c r="I544" t="s">
        <v>29</v>
      </c>
      <c r="J544">
        <v>1</v>
      </c>
      <c r="K544">
        <f>1-833-358-729</f>
        <v>-1919</v>
      </c>
      <c r="L544" t="s">
        <v>1706</v>
      </c>
      <c r="M544" t="s">
        <v>1707</v>
      </c>
      <c r="N544" t="s">
        <v>36</v>
      </c>
      <c r="O544" t="s">
        <v>28</v>
      </c>
      <c r="P544" t="s">
        <v>29</v>
      </c>
      <c r="Q544">
        <v>47</v>
      </c>
      <c r="R544">
        <v>-99.999999000000003</v>
      </c>
    </row>
    <row r="545" spans="1:18" x14ac:dyDescent="0.2">
      <c r="A545" t="s">
        <v>1650</v>
      </c>
      <c r="B545" t="s">
        <v>1651</v>
      </c>
      <c r="C545">
        <v>1</v>
      </c>
      <c r="D545" s="1">
        <v>44008.009351851855</v>
      </c>
      <c r="E545" t="s">
        <v>1708</v>
      </c>
      <c r="F545" t="s">
        <v>1653</v>
      </c>
      <c r="G545" t="s">
        <v>1654</v>
      </c>
      <c r="H545" t="s">
        <v>1655</v>
      </c>
      <c r="I545" t="s">
        <v>29</v>
      </c>
      <c r="J545">
        <v>1</v>
      </c>
      <c r="K545">
        <f>1-888-407-6960</f>
        <v>-8254</v>
      </c>
      <c r="L545" t="s">
        <v>1709</v>
      </c>
      <c r="M545" t="s">
        <v>1710</v>
      </c>
      <c r="N545" t="s">
        <v>36</v>
      </c>
      <c r="O545" t="s">
        <v>28</v>
      </c>
      <c r="P545" t="s">
        <v>29</v>
      </c>
      <c r="Q545">
        <v>47</v>
      </c>
      <c r="R545">
        <v>-99.999999000000003</v>
      </c>
    </row>
    <row r="546" spans="1:18" x14ac:dyDescent="0.2">
      <c r="A546" t="s">
        <v>1650</v>
      </c>
      <c r="B546" t="s">
        <v>1651</v>
      </c>
      <c r="C546">
        <v>1</v>
      </c>
      <c r="D546" s="1">
        <v>44007.764062499999</v>
      </c>
      <c r="E546" t="s">
        <v>1711</v>
      </c>
      <c r="F546" t="s">
        <v>1653</v>
      </c>
      <c r="G546" t="s">
        <v>1654</v>
      </c>
      <c r="H546" t="s">
        <v>1655</v>
      </c>
      <c r="I546" t="s">
        <v>29</v>
      </c>
      <c r="J546">
        <v>1</v>
      </c>
      <c r="K546">
        <f>1-888-413-6685</f>
        <v>-7985</v>
      </c>
      <c r="L546" t="s">
        <v>1712</v>
      </c>
      <c r="M546" t="s">
        <v>1713</v>
      </c>
      <c r="N546" t="s">
        <v>36</v>
      </c>
      <c r="O546" t="s">
        <v>28</v>
      </c>
      <c r="P546" t="s">
        <v>29</v>
      </c>
      <c r="Q546">
        <v>47</v>
      </c>
      <c r="R546">
        <v>-99.999999000000003</v>
      </c>
    </row>
    <row r="547" spans="1:18" x14ac:dyDescent="0.2">
      <c r="A547" t="s">
        <v>1650</v>
      </c>
      <c r="B547" t="s">
        <v>1651</v>
      </c>
      <c r="C547">
        <v>1</v>
      </c>
      <c r="D547" s="1">
        <v>44006.93822916667</v>
      </c>
      <c r="E547" t="s">
        <v>1714</v>
      </c>
      <c r="F547" t="s">
        <v>1653</v>
      </c>
      <c r="G547" t="s">
        <v>1654</v>
      </c>
      <c r="H547" t="s">
        <v>1655</v>
      </c>
      <c r="I547" t="s">
        <v>29</v>
      </c>
      <c r="J547">
        <v>1</v>
      </c>
      <c r="K547">
        <f>1-888-393-1628</f>
        <v>-2908</v>
      </c>
      <c r="L547" t="s">
        <v>1715</v>
      </c>
      <c r="M547" t="s">
        <v>1716</v>
      </c>
      <c r="N547" t="s">
        <v>36</v>
      </c>
      <c r="O547" t="s">
        <v>28</v>
      </c>
      <c r="P547" t="s">
        <v>29</v>
      </c>
      <c r="Q547">
        <v>47</v>
      </c>
      <c r="R547">
        <v>-99.999999000000003</v>
      </c>
    </row>
    <row r="548" spans="1:18" x14ac:dyDescent="0.2">
      <c r="A548" t="s">
        <v>1650</v>
      </c>
      <c r="B548" t="s">
        <v>1651</v>
      </c>
      <c r="C548">
        <v>1</v>
      </c>
      <c r="D548" s="1">
        <v>44005.935949074075</v>
      </c>
      <c r="E548" t="s">
        <v>1717</v>
      </c>
      <c r="F548" t="s">
        <v>1653</v>
      </c>
      <c r="G548" t="s">
        <v>1654</v>
      </c>
      <c r="H548" t="s">
        <v>1655</v>
      </c>
      <c r="I548" t="s">
        <v>29</v>
      </c>
      <c r="J548">
        <v>1</v>
      </c>
      <c r="K548">
        <f>1-833-404-6333</f>
        <v>-7569</v>
      </c>
      <c r="L548" t="s">
        <v>1718</v>
      </c>
      <c r="M548" t="s">
        <v>1719</v>
      </c>
      <c r="N548" t="s">
        <v>36</v>
      </c>
      <c r="O548" t="s">
        <v>28</v>
      </c>
      <c r="P548" t="s">
        <v>29</v>
      </c>
      <c r="Q548">
        <v>47</v>
      </c>
      <c r="R548">
        <v>-99.999999000000003</v>
      </c>
    </row>
    <row r="549" spans="1:18" x14ac:dyDescent="0.2">
      <c r="A549" t="s">
        <v>1650</v>
      </c>
      <c r="B549" t="s">
        <v>1651</v>
      </c>
      <c r="C549">
        <v>1</v>
      </c>
      <c r="D549" s="1">
        <v>44005.878298611111</v>
      </c>
      <c r="E549" t="s">
        <v>1720</v>
      </c>
      <c r="F549" t="s">
        <v>1653</v>
      </c>
      <c r="G549" t="s">
        <v>1654</v>
      </c>
      <c r="H549" t="s">
        <v>1655</v>
      </c>
      <c r="I549" t="s">
        <v>29</v>
      </c>
      <c r="J549">
        <v>1</v>
      </c>
      <c r="K549">
        <f>1-888-428-1779</f>
        <v>-3094</v>
      </c>
      <c r="L549" t="s">
        <v>1721</v>
      </c>
      <c r="M549" t="s">
        <v>1722</v>
      </c>
      <c r="N549" t="s">
        <v>36</v>
      </c>
      <c r="O549" t="s">
        <v>28</v>
      </c>
      <c r="P549" t="s">
        <v>29</v>
      </c>
      <c r="Q549">
        <v>47</v>
      </c>
      <c r="R549">
        <v>-99.999999000000003</v>
      </c>
    </row>
    <row r="550" spans="1:18" x14ac:dyDescent="0.2">
      <c r="A550" t="s">
        <v>1650</v>
      </c>
      <c r="B550" t="s">
        <v>1651</v>
      </c>
      <c r="C550">
        <v>1</v>
      </c>
      <c r="D550" s="1">
        <v>44005.862210648149</v>
      </c>
      <c r="E550" t="s">
        <v>1723</v>
      </c>
      <c r="F550" t="s">
        <v>1653</v>
      </c>
      <c r="G550" t="s">
        <v>1654</v>
      </c>
      <c r="H550" t="s">
        <v>1655</v>
      </c>
      <c r="I550" t="s">
        <v>29</v>
      </c>
      <c r="J550">
        <v>1</v>
      </c>
      <c r="K550">
        <f>1-888-524-2417</f>
        <v>-3828</v>
      </c>
      <c r="L550" t="s">
        <v>1724</v>
      </c>
      <c r="M550" t="s">
        <v>1725</v>
      </c>
      <c r="N550" t="s">
        <v>36</v>
      </c>
      <c r="O550" t="s">
        <v>28</v>
      </c>
      <c r="P550" t="s">
        <v>29</v>
      </c>
      <c r="Q550">
        <v>47</v>
      </c>
      <c r="R550">
        <v>-99.999999000000003</v>
      </c>
    </row>
    <row r="551" spans="1:18" x14ac:dyDescent="0.2">
      <c r="A551" t="s">
        <v>1650</v>
      </c>
      <c r="B551" t="s">
        <v>1651</v>
      </c>
      <c r="C551">
        <v>1</v>
      </c>
      <c r="D551" s="1">
        <v>44005.810578703706</v>
      </c>
      <c r="E551" t="s">
        <v>1726</v>
      </c>
      <c r="F551" t="s">
        <v>1653</v>
      </c>
      <c r="G551" t="s">
        <v>1654</v>
      </c>
      <c r="H551" t="s">
        <v>1655</v>
      </c>
      <c r="I551" t="s">
        <v>29</v>
      </c>
      <c r="J551">
        <v>1</v>
      </c>
      <c r="K551">
        <f>1-888-381-9209</f>
        <v>-10477</v>
      </c>
      <c r="L551" t="s">
        <v>1727</v>
      </c>
      <c r="M551" t="s">
        <v>1728</v>
      </c>
      <c r="N551" t="s">
        <v>36</v>
      </c>
      <c r="O551" t="s">
        <v>28</v>
      </c>
      <c r="P551" t="s">
        <v>29</v>
      </c>
      <c r="Q551">
        <v>47</v>
      </c>
      <c r="R551">
        <v>-99.999999000000003</v>
      </c>
    </row>
    <row r="552" spans="1:18" x14ac:dyDescent="0.2">
      <c r="A552" t="s">
        <v>1650</v>
      </c>
      <c r="B552" t="s">
        <v>1651</v>
      </c>
      <c r="C552">
        <v>1</v>
      </c>
      <c r="D552" s="1">
        <v>44004.837453703702</v>
      </c>
      <c r="E552" t="s">
        <v>1729</v>
      </c>
      <c r="F552" t="s">
        <v>1653</v>
      </c>
      <c r="G552" t="s">
        <v>1654</v>
      </c>
      <c r="H552" t="s">
        <v>1655</v>
      </c>
      <c r="I552" t="s">
        <v>29</v>
      </c>
      <c r="J552">
        <v>1</v>
      </c>
      <c r="K552">
        <f>1-888-404-8956</f>
        <v>-10247</v>
      </c>
      <c r="L552" t="s">
        <v>1730</v>
      </c>
      <c r="M552" t="s">
        <v>1731</v>
      </c>
      <c r="N552" t="s">
        <v>36</v>
      </c>
      <c r="O552" t="s">
        <v>28</v>
      </c>
      <c r="P552" t="s">
        <v>29</v>
      </c>
      <c r="Q552">
        <v>47</v>
      </c>
      <c r="R552">
        <v>-99.999999000000003</v>
      </c>
    </row>
    <row r="553" spans="1:18" x14ac:dyDescent="0.2">
      <c r="A553" t="s">
        <v>1650</v>
      </c>
      <c r="B553" t="s">
        <v>1651</v>
      </c>
      <c r="C553">
        <v>1</v>
      </c>
      <c r="D553" s="1">
        <v>44001.799768518518</v>
      </c>
      <c r="E553" t="s">
        <v>1732</v>
      </c>
      <c r="F553" t="s">
        <v>1653</v>
      </c>
      <c r="G553" t="s">
        <v>1654</v>
      </c>
      <c r="H553" t="s">
        <v>1655</v>
      </c>
      <c r="I553" t="s">
        <v>29</v>
      </c>
      <c r="J553">
        <v>1</v>
      </c>
      <c r="K553">
        <f>1-888-409-8725</f>
        <v>-10021</v>
      </c>
      <c r="L553" t="s">
        <v>1733</v>
      </c>
      <c r="M553" t="s">
        <v>1734</v>
      </c>
      <c r="N553" t="s">
        <v>36</v>
      </c>
      <c r="O553" t="s">
        <v>28</v>
      </c>
      <c r="P553" t="s">
        <v>29</v>
      </c>
      <c r="Q553">
        <v>47</v>
      </c>
      <c r="R553">
        <v>-99.999999000000003</v>
      </c>
    </row>
    <row r="554" spans="1:18" x14ac:dyDescent="0.2">
      <c r="A554" t="s">
        <v>1650</v>
      </c>
      <c r="B554" t="s">
        <v>1651</v>
      </c>
      <c r="C554">
        <v>1</v>
      </c>
      <c r="D554" s="1">
        <v>44000.831296296295</v>
      </c>
      <c r="E554" t="s">
        <v>1735</v>
      </c>
      <c r="F554" t="s">
        <v>1653</v>
      </c>
      <c r="G554" t="s">
        <v>1654</v>
      </c>
      <c r="H554" t="s">
        <v>1655</v>
      </c>
      <c r="I554" t="s">
        <v>29</v>
      </c>
      <c r="J554">
        <v>1</v>
      </c>
      <c r="K554">
        <f>1-888-412-5021</f>
        <v>-6320</v>
      </c>
      <c r="L554" t="s">
        <v>1736</v>
      </c>
      <c r="M554" t="s">
        <v>1737</v>
      </c>
      <c r="N554" t="s">
        <v>36</v>
      </c>
      <c r="O554" t="s">
        <v>28</v>
      </c>
      <c r="P554" t="s">
        <v>29</v>
      </c>
      <c r="Q554">
        <v>47</v>
      </c>
      <c r="R554">
        <v>-99.999999000000003</v>
      </c>
    </row>
    <row r="555" spans="1:18" x14ac:dyDescent="0.2">
      <c r="A555" t="s">
        <v>1650</v>
      </c>
      <c r="B555" t="s">
        <v>1651</v>
      </c>
      <c r="C555">
        <v>1</v>
      </c>
      <c r="D555" s="1">
        <v>43990.828645833331</v>
      </c>
      <c r="E555" t="s">
        <v>1738</v>
      </c>
      <c r="F555" t="s">
        <v>1653</v>
      </c>
      <c r="G555" t="s">
        <v>1654</v>
      </c>
      <c r="H555" t="s">
        <v>1655</v>
      </c>
      <c r="I555" t="s">
        <v>29</v>
      </c>
      <c r="J555">
        <v>1</v>
      </c>
      <c r="K555">
        <f>1-888-428-1779</f>
        <v>-3094</v>
      </c>
      <c r="L555" t="s">
        <v>1739</v>
      </c>
      <c r="M555" t="s">
        <v>1740</v>
      </c>
      <c r="N555" t="s">
        <v>36</v>
      </c>
      <c r="O555" t="s">
        <v>28</v>
      </c>
      <c r="P555" t="s">
        <v>29</v>
      </c>
      <c r="Q555">
        <v>47</v>
      </c>
      <c r="R555">
        <v>-99.999999000000003</v>
      </c>
    </row>
    <row r="556" spans="1:18" x14ac:dyDescent="0.2">
      <c r="A556" t="s">
        <v>1650</v>
      </c>
      <c r="B556" t="s">
        <v>1651</v>
      </c>
      <c r="C556">
        <v>1</v>
      </c>
      <c r="D556" s="1">
        <v>43986.711076388892</v>
      </c>
      <c r="E556" t="s">
        <v>1741</v>
      </c>
      <c r="F556" t="s">
        <v>1653</v>
      </c>
      <c r="G556" t="s">
        <v>1654</v>
      </c>
      <c r="H556" t="s">
        <v>1655</v>
      </c>
      <c r="I556" t="s">
        <v>29</v>
      </c>
      <c r="J556">
        <v>1</v>
      </c>
      <c r="K556">
        <f>1-888-412-5021</f>
        <v>-6320</v>
      </c>
      <c r="L556" t="s">
        <v>1742</v>
      </c>
      <c r="M556" t="s">
        <v>1743</v>
      </c>
      <c r="N556" t="s">
        <v>36</v>
      </c>
      <c r="O556" t="s">
        <v>28</v>
      </c>
      <c r="P556" t="s">
        <v>29</v>
      </c>
      <c r="Q556">
        <v>47</v>
      </c>
      <c r="R556">
        <v>-99.999999000000003</v>
      </c>
    </row>
    <row r="557" spans="1:18" x14ac:dyDescent="0.2">
      <c r="A557" t="s">
        <v>1650</v>
      </c>
      <c r="B557" t="s">
        <v>1651</v>
      </c>
      <c r="C557">
        <v>1</v>
      </c>
      <c r="D557" s="1">
        <v>43984.99050925926</v>
      </c>
      <c r="E557" t="s">
        <v>1744</v>
      </c>
      <c r="F557" t="s">
        <v>1653</v>
      </c>
      <c r="G557" t="s">
        <v>1654</v>
      </c>
      <c r="H557" t="s">
        <v>1655</v>
      </c>
      <c r="I557" t="s">
        <v>29</v>
      </c>
      <c r="J557">
        <v>1</v>
      </c>
      <c r="K557">
        <f>1-888-53+1-1005</f>
        <v>-1944</v>
      </c>
      <c r="L557" t="s">
        <v>1745</v>
      </c>
      <c r="M557" t="s">
        <v>1746</v>
      </c>
      <c r="N557" t="s">
        <v>36</v>
      </c>
      <c r="O557" t="s">
        <v>28</v>
      </c>
      <c r="P557" t="s">
        <v>29</v>
      </c>
      <c r="Q557">
        <v>47</v>
      </c>
      <c r="R557">
        <v>-99.999999000000003</v>
      </c>
    </row>
    <row r="558" spans="1:18" x14ac:dyDescent="0.2">
      <c r="A558" t="s">
        <v>1650</v>
      </c>
      <c r="B558" t="s">
        <v>1651</v>
      </c>
      <c r="C558">
        <v>1</v>
      </c>
      <c r="D558" s="1">
        <v>43977.882071759261</v>
      </c>
      <c r="E558" t="s">
        <v>1747</v>
      </c>
      <c r="F558" t="s">
        <v>1653</v>
      </c>
      <c r="G558" t="s">
        <v>1654</v>
      </c>
      <c r="H558" t="s">
        <v>1655</v>
      </c>
      <c r="I558" t="s">
        <v>29</v>
      </c>
      <c r="J558">
        <v>1</v>
      </c>
      <c r="K558">
        <f>1-888-49+1-1323</f>
        <v>-2258</v>
      </c>
      <c r="L558" t="s">
        <v>1748</v>
      </c>
      <c r="M558" t="s">
        <v>1749</v>
      </c>
      <c r="N558" t="s">
        <v>36</v>
      </c>
      <c r="O558" t="s">
        <v>28</v>
      </c>
      <c r="P558" t="s">
        <v>29</v>
      </c>
      <c r="Q558">
        <v>47</v>
      </c>
      <c r="R558">
        <v>-99.999999000000003</v>
      </c>
    </row>
    <row r="559" spans="1:18" x14ac:dyDescent="0.2">
      <c r="A559" t="s">
        <v>1650</v>
      </c>
      <c r="B559" t="s">
        <v>1651</v>
      </c>
      <c r="C559">
        <v>1</v>
      </c>
      <c r="D559" s="1">
        <v>43977.804201388892</v>
      </c>
      <c r="E559" t="s">
        <v>1750</v>
      </c>
      <c r="F559" t="s">
        <v>1653</v>
      </c>
      <c r="G559" t="s">
        <v>1654</v>
      </c>
      <c r="H559" t="s">
        <v>1655</v>
      </c>
      <c r="I559" t="s">
        <v>29</v>
      </c>
      <c r="J559">
        <v>1</v>
      </c>
      <c r="K559">
        <f>1-844-372-3476</f>
        <v>-4691</v>
      </c>
      <c r="L559" t="s">
        <v>1751</v>
      </c>
      <c r="M559" t="s">
        <v>1752</v>
      </c>
      <c r="N559" t="s">
        <v>36</v>
      </c>
      <c r="O559" t="s">
        <v>28</v>
      </c>
      <c r="P559" t="s">
        <v>29</v>
      </c>
      <c r="Q559">
        <v>47</v>
      </c>
      <c r="R559">
        <v>-99.999999000000003</v>
      </c>
    </row>
    <row r="560" spans="1:18" x14ac:dyDescent="0.2">
      <c r="A560" t="s">
        <v>270</v>
      </c>
      <c r="B560" t="s">
        <v>1638</v>
      </c>
      <c r="C560">
        <v>1</v>
      </c>
      <c r="D560" s="1">
        <v>44280.745474537034</v>
      </c>
      <c r="E560" t="s">
        <v>1753</v>
      </c>
      <c r="F560" t="s">
        <v>273</v>
      </c>
      <c r="G560" t="s">
        <v>1754</v>
      </c>
      <c r="H560" t="s">
        <v>275</v>
      </c>
      <c r="I560" t="s">
        <v>29</v>
      </c>
      <c r="J560">
        <v>1</v>
      </c>
      <c r="K560">
        <f>1-844-384-9292</f>
        <v>-10519</v>
      </c>
      <c r="L560" t="s">
        <v>1755</v>
      </c>
      <c r="M560" t="s">
        <v>1756</v>
      </c>
      <c r="N560" t="s">
        <v>278</v>
      </c>
      <c r="O560" t="s">
        <v>28</v>
      </c>
      <c r="P560" t="s">
        <v>292</v>
      </c>
      <c r="Q560">
        <v>49</v>
      </c>
      <c r="R560">
        <v>2.3473220000000001</v>
      </c>
    </row>
    <row r="561" spans="1:18" x14ac:dyDescent="0.2">
      <c r="A561" t="s">
        <v>270</v>
      </c>
      <c r="B561" t="s">
        <v>1638</v>
      </c>
      <c r="C561">
        <v>1</v>
      </c>
      <c r="D561" s="1">
        <v>44279.824467592596</v>
      </c>
      <c r="E561" t="s">
        <v>1757</v>
      </c>
      <c r="F561" t="s">
        <v>273</v>
      </c>
      <c r="G561" t="s">
        <v>1754</v>
      </c>
      <c r="H561" t="s">
        <v>275</v>
      </c>
      <c r="I561" t="s">
        <v>29</v>
      </c>
      <c r="J561">
        <v>1</v>
      </c>
      <c r="K561">
        <f>1-844-394-4714</f>
        <v>-5951</v>
      </c>
      <c r="L561" t="s">
        <v>1758</v>
      </c>
      <c r="M561" t="s">
        <v>1759</v>
      </c>
      <c r="N561" t="s">
        <v>278</v>
      </c>
      <c r="O561" t="s">
        <v>28</v>
      </c>
      <c r="P561" t="s">
        <v>292</v>
      </c>
      <c r="Q561">
        <v>49</v>
      </c>
      <c r="R561">
        <v>2.3473220000000001</v>
      </c>
    </row>
    <row r="562" spans="1:18" x14ac:dyDescent="0.2">
      <c r="A562" t="s">
        <v>270</v>
      </c>
      <c r="B562" t="s">
        <v>1638</v>
      </c>
      <c r="C562">
        <v>1</v>
      </c>
      <c r="D562" s="1">
        <v>44232.832037037035</v>
      </c>
      <c r="E562" t="s">
        <v>1760</v>
      </c>
      <c r="F562" t="s">
        <v>273</v>
      </c>
      <c r="G562" t="s">
        <v>1754</v>
      </c>
      <c r="H562" t="s">
        <v>275</v>
      </c>
      <c r="I562" t="s">
        <v>29</v>
      </c>
      <c r="J562">
        <v>1</v>
      </c>
      <c r="K562">
        <f>1-888-544-5382</f>
        <v>-6813</v>
      </c>
      <c r="L562" t="s">
        <v>1761</v>
      </c>
      <c r="M562" t="s">
        <v>1762</v>
      </c>
      <c r="N562" t="s">
        <v>278</v>
      </c>
      <c r="O562" t="s">
        <v>28</v>
      </c>
      <c r="P562" t="s">
        <v>292</v>
      </c>
      <c r="Q562">
        <v>49</v>
      </c>
      <c r="R562">
        <v>2.3473220000000001</v>
      </c>
    </row>
    <row r="563" spans="1:18" x14ac:dyDescent="0.2">
      <c r="A563" t="s">
        <v>270</v>
      </c>
      <c r="B563" t="s">
        <v>1638</v>
      </c>
      <c r="C563">
        <v>1</v>
      </c>
      <c r="D563" s="1">
        <v>44229.878449074073</v>
      </c>
      <c r="E563" t="s">
        <v>1763</v>
      </c>
      <c r="F563" t="s">
        <v>273</v>
      </c>
      <c r="G563" t="s">
        <v>1754</v>
      </c>
      <c r="H563" t="s">
        <v>275</v>
      </c>
      <c r="I563" t="s">
        <v>29</v>
      </c>
      <c r="J563">
        <v>1</v>
      </c>
      <c r="K563">
        <f>1-888-345-9714</f>
        <v>-10946</v>
      </c>
      <c r="L563" t="s">
        <v>1764</v>
      </c>
      <c r="M563" t="s">
        <v>1765</v>
      </c>
      <c r="N563" t="s">
        <v>278</v>
      </c>
      <c r="O563" t="s">
        <v>28</v>
      </c>
      <c r="P563" t="s">
        <v>292</v>
      </c>
      <c r="Q563">
        <v>49</v>
      </c>
      <c r="R563">
        <v>2.3473220000000001</v>
      </c>
    </row>
    <row r="564" spans="1:18" x14ac:dyDescent="0.2">
      <c r="A564" t="s">
        <v>270</v>
      </c>
      <c r="B564" t="s">
        <v>1638</v>
      </c>
      <c r="C564">
        <v>1</v>
      </c>
      <c r="D564" s="1">
        <v>44221.845613425925</v>
      </c>
      <c r="E564" t="s">
        <v>1766</v>
      </c>
      <c r="F564" t="s">
        <v>273</v>
      </c>
      <c r="G564" t="s">
        <v>1754</v>
      </c>
      <c r="H564" t="s">
        <v>275</v>
      </c>
      <c r="I564" t="s">
        <v>29</v>
      </c>
      <c r="J564">
        <v>1</v>
      </c>
      <c r="K564">
        <f>1-888-364-1367</f>
        <v>-2618</v>
      </c>
      <c r="L564" t="s">
        <v>1767</v>
      </c>
      <c r="M564" t="s">
        <v>1768</v>
      </c>
      <c r="N564" t="s">
        <v>278</v>
      </c>
      <c r="O564" t="s">
        <v>28</v>
      </c>
      <c r="P564" t="s">
        <v>292</v>
      </c>
      <c r="Q564">
        <v>49</v>
      </c>
      <c r="R564">
        <v>2.3473220000000001</v>
      </c>
    </row>
    <row r="565" spans="1:18" x14ac:dyDescent="0.2">
      <c r="A565" t="s">
        <v>270</v>
      </c>
      <c r="B565" t="s">
        <v>1638</v>
      </c>
      <c r="C565">
        <v>1</v>
      </c>
      <c r="D565" s="1">
        <v>44209.882511574076</v>
      </c>
      <c r="E565" t="s">
        <v>1769</v>
      </c>
      <c r="F565" t="s">
        <v>273</v>
      </c>
      <c r="G565" t="s">
        <v>1754</v>
      </c>
      <c r="H565" t="s">
        <v>275</v>
      </c>
      <c r="I565" t="s">
        <v>29</v>
      </c>
      <c r="J565">
        <v>1</v>
      </c>
      <c r="K565">
        <f>1-888-308-5182</f>
        <v>-6377</v>
      </c>
      <c r="L565" t="s">
        <v>1770</v>
      </c>
      <c r="M565" t="s">
        <v>1771</v>
      </c>
      <c r="N565" t="s">
        <v>278</v>
      </c>
      <c r="O565" t="s">
        <v>28</v>
      </c>
      <c r="P565" t="s">
        <v>292</v>
      </c>
      <c r="Q565">
        <v>49</v>
      </c>
      <c r="R565">
        <v>2.3473220000000001</v>
      </c>
    </row>
    <row r="566" spans="1:18" x14ac:dyDescent="0.2">
      <c r="A566" t="s">
        <v>270</v>
      </c>
      <c r="B566" t="s">
        <v>1638</v>
      </c>
      <c r="C566">
        <v>1</v>
      </c>
      <c r="D566" s="1">
        <v>44203.762812499997</v>
      </c>
      <c r="E566" t="s">
        <v>1772</v>
      </c>
      <c r="F566" t="s">
        <v>273</v>
      </c>
      <c r="G566" t="s">
        <v>1754</v>
      </c>
      <c r="H566" t="s">
        <v>275</v>
      </c>
      <c r="I566" t="s">
        <v>29</v>
      </c>
      <c r="J566">
        <v>1</v>
      </c>
      <c r="K566">
        <f>1-888-348-5542</f>
        <v>-6777</v>
      </c>
      <c r="L566" t="s">
        <v>1773</v>
      </c>
      <c r="M566" t="s">
        <v>1774</v>
      </c>
      <c r="N566" t="s">
        <v>278</v>
      </c>
      <c r="O566" t="s">
        <v>28</v>
      </c>
      <c r="P566" t="s">
        <v>292</v>
      </c>
      <c r="Q566">
        <v>49</v>
      </c>
      <c r="R566">
        <v>2.3473220000000001</v>
      </c>
    </row>
    <row r="567" spans="1:18" x14ac:dyDescent="0.2">
      <c r="A567" t="s">
        <v>270</v>
      </c>
      <c r="B567" t="s">
        <v>1638</v>
      </c>
      <c r="C567">
        <v>1</v>
      </c>
      <c r="D567" s="1">
        <v>44149.155046296299</v>
      </c>
      <c r="E567" t="s">
        <v>1775</v>
      </c>
      <c r="F567" t="s">
        <v>273</v>
      </c>
      <c r="G567" t="s">
        <v>1754</v>
      </c>
      <c r="H567" t="s">
        <v>275</v>
      </c>
      <c r="I567" t="s">
        <v>29</v>
      </c>
      <c r="J567">
        <v>1</v>
      </c>
      <c r="K567">
        <f>1-844-279-115</f>
        <v>-1237</v>
      </c>
      <c r="L567" t="s">
        <v>1776</v>
      </c>
      <c r="M567" t="s">
        <v>1777</v>
      </c>
      <c r="N567" t="s">
        <v>278</v>
      </c>
      <c r="O567" t="s">
        <v>134</v>
      </c>
      <c r="P567" t="s">
        <v>292</v>
      </c>
      <c r="Q567">
        <v>49</v>
      </c>
      <c r="R567">
        <v>2.3473220000000001</v>
      </c>
    </row>
    <row r="568" spans="1:18" x14ac:dyDescent="0.2">
      <c r="A568" t="s">
        <v>270</v>
      </c>
      <c r="B568" t="s">
        <v>1638</v>
      </c>
      <c r="C568">
        <v>1</v>
      </c>
      <c r="D568" s="1">
        <v>44149.136631944442</v>
      </c>
      <c r="E568" t="s">
        <v>1778</v>
      </c>
      <c r="F568" t="s">
        <v>273</v>
      </c>
      <c r="G568" t="s">
        <v>1754</v>
      </c>
      <c r="H568" t="s">
        <v>275</v>
      </c>
      <c r="I568" t="s">
        <v>29</v>
      </c>
      <c r="J568">
        <v>1</v>
      </c>
      <c r="K568">
        <f>1-844-288-9125</f>
        <v>-10256</v>
      </c>
      <c r="L568" t="s">
        <v>1779</v>
      </c>
      <c r="M568" t="s">
        <v>1780</v>
      </c>
      <c r="N568" t="s">
        <v>278</v>
      </c>
      <c r="O568" t="s">
        <v>134</v>
      </c>
      <c r="P568" t="s">
        <v>292</v>
      </c>
      <c r="Q568">
        <v>49</v>
      </c>
      <c r="R568">
        <v>2.3473220000000001</v>
      </c>
    </row>
    <row r="569" spans="1:18" x14ac:dyDescent="0.2">
      <c r="A569" t="s">
        <v>270</v>
      </c>
      <c r="B569" t="s">
        <v>1638</v>
      </c>
      <c r="C569">
        <v>1</v>
      </c>
      <c r="D569" s="1">
        <v>44149.135995370372</v>
      </c>
      <c r="E569" t="s">
        <v>1781</v>
      </c>
      <c r="F569" t="s">
        <v>273</v>
      </c>
      <c r="G569" t="s">
        <v>1754</v>
      </c>
      <c r="H569" t="s">
        <v>275</v>
      </c>
      <c r="I569" t="s">
        <v>29</v>
      </c>
      <c r="J569">
        <v>1</v>
      </c>
      <c r="K569">
        <f>1-844-288-9125</f>
        <v>-10256</v>
      </c>
      <c r="L569" t="s">
        <v>1782</v>
      </c>
      <c r="M569" t="s">
        <v>1783</v>
      </c>
      <c r="N569" t="s">
        <v>278</v>
      </c>
      <c r="O569" t="s">
        <v>134</v>
      </c>
      <c r="P569" t="s">
        <v>292</v>
      </c>
      <c r="Q569">
        <v>49</v>
      </c>
      <c r="R569">
        <v>2.3473220000000001</v>
      </c>
    </row>
    <row r="570" spans="1:18" x14ac:dyDescent="0.2">
      <c r="A570" t="s">
        <v>270</v>
      </c>
      <c r="B570" t="s">
        <v>1638</v>
      </c>
      <c r="C570">
        <v>1</v>
      </c>
      <c r="D570" s="1">
        <v>44149.134444444448</v>
      </c>
      <c r="E570" t="s">
        <v>1784</v>
      </c>
      <c r="F570" t="s">
        <v>273</v>
      </c>
      <c r="G570" t="s">
        <v>1754</v>
      </c>
      <c r="H570" t="s">
        <v>275</v>
      </c>
      <c r="I570" t="s">
        <v>29</v>
      </c>
      <c r="J570">
        <v>1</v>
      </c>
      <c r="K570">
        <f>1-844-295-6539</f>
        <v>-7677</v>
      </c>
      <c r="L570" t="s">
        <v>1785</v>
      </c>
      <c r="M570" t="s">
        <v>1786</v>
      </c>
      <c r="N570" t="s">
        <v>278</v>
      </c>
      <c r="O570" t="s">
        <v>134</v>
      </c>
      <c r="P570" t="s">
        <v>292</v>
      </c>
      <c r="Q570">
        <v>49</v>
      </c>
      <c r="R570">
        <v>2.3473220000000001</v>
      </c>
    </row>
    <row r="571" spans="1:18" x14ac:dyDescent="0.2">
      <c r="A571" t="s">
        <v>270</v>
      </c>
      <c r="B571" t="s">
        <v>1638</v>
      </c>
      <c r="C571">
        <v>1</v>
      </c>
      <c r="D571" s="1">
        <v>44145.796863425923</v>
      </c>
      <c r="E571" t="s">
        <v>1787</v>
      </c>
      <c r="F571" t="s">
        <v>273</v>
      </c>
      <c r="G571" t="s">
        <v>1754</v>
      </c>
      <c r="H571" t="s">
        <v>275</v>
      </c>
      <c r="I571" t="s">
        <v>29</v>
      </c>
      <c r="J571">
        <v>1</v>
      </c>
      <c r="K571">
        <f>1-844-295-6539</f>
        <v>-7677</v>
      </c>
      <c r="L571" t="s">
        <v>1788</v>
      </c>
      <c r="M571" t="s">
        <v>1789</v>
      </c>
      <c r="N571" t="s">
        <v>278</v>
      </c>
      <c r="O571" t="s">
        <v>28</v>
      </c>
      <c r="P571" t="s">
        <v>292</v>
      </c>
      <c r="Q571">
        <v>49</v>
      </c>
      <c r="R571">
        <v>2.3473220000000001</v>
      </c>
    </row>
    <row r="572" spans="1:18" x14ac:dyDescent="0.2">
      <c r="A572" t="s">
        <v>270</v>
      </c>
      <c r="B572" t="s">
        <v>1638</v>
      </c>
      <c r="C572">
        <v>1</v>
      </c>
      <c r="D572" s="1">
        <v>44145.714548611111</v>
      </c>
      <c r="E572" t="s">
        <v>1790</v>
      </c>
      <c r="F572" t="s">
        <v>273</v>
      </c>
      <c r="G572" t="s">
        <v>1754</v>
      </c>
      <c r="H572" t="s">
        <v>275</v>
      </c>
      <c r="I572" t="s">
        <v>29</v>
      </c>
      <c r="J572">
        <v>1</v>
      </c>
      <c r="K572">
        <f>1-844-295-7564</f>
        <v>-8702</v>
      </c>
      <c r="L572" t="s">
        <v>1791</v>
      </c>
      <c r="M572" t="s">
        <v>1792</v>
      </c>
      <c r="N572" t="s">
        <v>278</v>
      </c>
      <c r="O572" t="s">
        <v>28</v>
      </c>
      <c r="P572" t="s">
        <v>292</v>
      </c>
      <c r="Q572">
        <v>49</v>
      </c>
      <c r="R572">
        <v>2.3473220000000001</v>
      </c>
    </row>
    <row r="573" spans="1:18" x14ac:dyDescent="0.2">
      <c r="A573" t="s">
        <v>270</v>
      </c>
      <c r="B573" t="s">
        <v>1638</v>
      </c>
      <c r="C573">
        <v>1</v>
      </c>
      <c r="D573" s="1">
        <v>44144.723773148151</v>
      </c>
      <c r="E573" t="s">
        <v>1793</v>
      </c>
      <c r="F573" t="s">
        <v>273</v>
      </c>
      <c r="G573" t="s">
        <v>1754</v>
      </c>
      <c r="H573" t="s">
        <v>275</v>
      </c>
      <c r="I573" t="s">
        <v>29</v>
      </c>
      <c r="J573">
        <v>1</v>
      </c>
      <c r="K573">
        <f>1-844-276-4002</f>
        <v>-5121</v>
      </c>
      <c r="L573" t="s">
        <v>1794</v>
      </c>
      <c r="M573" t="s">
        <v>1795</v>
      </c>
      <c r="N573" t="s">
        <v>278</v>
      </c>
      <c r="O573" t="s">
        <v>28</v>
      </c>
      <c r="P573" t="s">
        <v>292</v>
      </c>
      <c r="Q573">
        <v>49</v>
      </c>
      <c r="R573">
        <v>2.3473220000000001</v>
      </c>
    </row>
    <row r="574" spans="1:18" x14ac:dyDescent="0.2">
      <c r="A574" t="s">
        <v>270</v>
      </c>
      <c r="B574" t="s">
        <v>1638</v>
      </c>
      <c r="C574">
        <v>1</v>
      </c>
      <c r="D574" s="1">
        <v>44141.834849537037</v>
      </c>
      <c r="E574" t="s">
        <v>1796</v>
      </c>
      <c r="F574" t="s">
        <v>273</v>
      </c>
      <c r="G574" t="s">
        <v>1754</v>
      </c>
      <c r="H574" t="s">
        <v>275</v>
      </c>
      <c r="I574" t="s">
        <v>29</v>
      </c>
      <c r="J574">
        <v>1</v>
      </c>
      <c r="K574">
        <f>1-844-277-2243</f>
        <v>-3363</v>
      </c>
      <c r="L574" t="s">
        <v>1797</v>
      </c>
      <c r="M574" t="s">
        <v>1798</v>
      </c>
      <c r="N574" t="s">
        <v>278</v>
      </c>
      <c r="O574" t="s">
        <v>28</v>
      </c>
      <c r="P574" t="s">
        <v>292</v>
      </c>
      <c r="Q574">
        <v>49</v>
      </c>
      <c r="R574">
        <v>2.3473220000000001</v>
      </c>
    </row>
    <row r="575" spans="1:18" x14ac:dyDescent="0.2">
      <c r="A575" t="s">
        <v>270</v>
      </c>
      <c r="B575" t="s">
        <v>1638</v>
      </c>
      <c r="C575">
        <v>1</v>
      </c>
      <c r="D575" s="1">
        <v>44140.780578703707</v>
      </c>
      <c r="E575" t="s">
        <v>1799</v>
      </c>
      <c r="F575" t="s">
        <v>273</v>
      </c>
      <c r="G575" t="s">
        <v>1754</v>
      </c>
      <c r="H575" t="s">
        <v>275</v>
      </c>
      <c r="I575" t="s">
        <v>29</v>
      </c>
      <c r="J575">
        <v>1</v>
      </c>
      <c r="K575">
        <f>1-888-397-7606</f>
        <v>-8890</v>
      </c>
      <c r="L575" t="s">
        <v>1800</v>
      </c>
      <c r="M575" t="s">
        <v>1801</v>
      </c>
      <c r="N575" t="s">
        <v>278</v>
      </c>
      <c r="O575" t="s">
        <v>28</v>
      </c>
      <c r="P575" t="s">
        <v>292</v>
      </c>
      <c r="Q575">
        <v>49</v>
      </c>
      <c r="R575">
        <v>2.3473220000000001</v>
      </c>
    </row>
    <row r="576" spans="1:18" x14ac:dyDescent="0.2">
      <c r="A576" t="s">
        <v>270</v>
      </c>
      <c r="B576" t="s">
        <v>1638</v>
      </c>
      <c r="C576">
        <v>1</v>
      </c>
      <c r="D576" s="1">
        <v>44140.777754629627</v>
      </c>
      <c r="E576" t="s">
        <v>1802</v>
      </c>
      <c r="F576" t="s">
        <v>273</v>
      </c>
      <c r="G576" t="s">
        <v>1754</v>
      </c>
      <c r="H576" t="s">
        <v>275</v>
      </c>
      <c r="I576" t="s">
        <v>29</v>
      </c>
      <c r="J576">
        <v>1</v>
      </c>
      <c r="K576">
        <f>1-888-397-7606</f>
        <v>-8890</v>
      </c>
      <c r="L576" t="s">
        <v>1803</v>
      </c>
      <c r="M576" t="s">
        <v>1804</v>
      </c>
      <c r="N576" t="s">
        <v>278</v>
      </c>
      <c r="O576" t="s">
        <v>28</v>
      </c>
      <c r="P576" t="s">
        <v>292</v>
      </c>
      <c r="Q576">
        <v>49</v>
      </c>
      <c r="R576">
        <v>2.3473220000000001</v>
      </c>
    </row>
    <row r="577" spans="1:18" x14ac:dyDescent="0.2">
      <c r="A577" t="s">
        <v>270</v>
      </c>
      <c r="B577" t="s">
        <v>1638</v>
      </c>
      <c r="C577">
        <v>1</v>
      </c>
      <c r="D577" s="1">
        <v>44140.776053240741</v>
      </c>
      <c r="E577" t="s">
        <v>1805</v>
      </c>
      <c r="F577" t="s">
        <v>273</v>
      </c>
      <c r="G577" t="s">
        <v>1754</v>
      </c>
      <c r="H577" t="s">
        <v>275</v>
      </c>
      <c r="I577" t="s">
        <v>29</v>
      </c>
      <c r="J577">
        <v>1</v>
      </c>
      <c r="K577">
        <f>1-888-397-7606</f>
        <v>-8890</v>
      </c>
      <c r="L577" t="s">
        <v>1806</v>
      </c>
      <c r="M577" t="s">
        <v>1807</v>
      </c>
      <c r="N577" t="s">
        <v>278</v>
      </c>
      <c r="O577" t="s">
        <v>28</v>
      </c>
      <c r="P577" t="s">
        <v>292</v>
      </c>
      <c r="Q577">
        <v>49</v>
      </c>
      <c r="R577">
        <v>2.3473220000000001</v>
      </c>
    </row>
    <row r="578" spans="1:18" x14ac:dyDescent="0.2">
      <c r="A578" t="s">
        <v>270</v>
      </c>
      <c r="B578" t="s">
        <v>1638</v>
      </c>
      <c r="C578">
        <v>1</v>
      </c>
      <c r="D578" s="1">
        <v>44139.819548611114</v>
      </c>
      <c r="E578" t="s">
        <v>1808</v>
      </c>
      <c r="F578" t="s">
        <v>273</v>
      </c>
      <c r="G578" t="s">
        <v>1754</v>
      </c>
      <c r="H578" t="s">
        <v>275</v>
      </c>
      <c r="I578" t="s">
        <v>29</v>
      </c>
      <c r="J578">
        <v>1</v>
      </c>
      <c r="K578">
        <f>1-888-352-1908</f>
        <v>-3147</v>
      </c>
      <c r="L578" t="s">
        <v>1809</v>
      </c>
      <c r="M578" t="s">
        <v>1810</v>
      </c>
      <c r="N578" t="s">
        <v>278</v>
      </c>
      <c r="O578" t="s">
        <v>28</v>
      </c>
      <c r="P578" t="s">
        <v>292</v>
      </c>
      <c r="Q578">
        <v>49</v>
      </c>
      <c r="R578">
        <v>2.3473220000000001</v>
      </c>
    </row>
    <row r="579" spans="1:18" x14ac:dyDescent="0.2">
      <c r="A579" t="s">
        <v>270</v>
      </c>
      <c r="B579" t="s">
        <v>1638</v>
      </c>
      <c r="C579">
        <v>1</v>
      </c>
      <c r="D579" s="1">
        <v>44139.769143518519</v>
      </c>
      <c r="E579" t="s">
        <v>1811</v>
      </c>
      <c r="F579" t="s">
        <v>273</v>
      </c>
      <c r="G579" t="s">
        <v>1754</v>
      </c>
      <c r="H579" t="s">
        <v>275</v>
      </c>
      <c r="I579" t="s">
        <v>29</v>
      </c>
      <c r="J579">
        <v>1</v>
      </c>
      <c r="K579">
        <f>1-888-391-5317</f>
        <v>-6595</v>
      </c>
      <c r="L579" t="s">
        <v>1812</v>
      </c>
      <c r="M579" t="s">
        <v>1813</v>
      </c>
      <c r="N579" t="s">
        <v>278</v>
      </c>
      <c r="O579" t="s">
        <v>28</v>
      </c>
      <c r="P579" t="s">
        <v>292</v>
      </c>
      <c r="Q579">
        <v>49</v>
      </c>
      <c r="R579">
        <v>2.3473220000000001</v>
      </c>
    </row>
    <row r="580" spans="1:18" x14ac:dyDescent="0.2">
      <c r="A580" t="s">
        <v>270</v>
      </c>
      <c r="B580" t="s">
        <v>1638</v>
      </c>
      <c r="C580">
        <v>1</v>
      </c>
      <c r="D580" s="1">
        <v>44134.738194444442</v>
      </c>
      <c r="E580" t="s">
        <v>1814</v>
      </c>
      <c r="F580" t="s">
        <v>273</v>
      </c>
      <c r="G580" t="s">
        <v>1754</v>
      </c>
      <c r="H580" t="s">
        <v>275</v>
      </c>
      <c r="I580" t="s">
        <v>29</v>
      </c>
      <c r="J580">
        <v>1</v>
      </c>
      <c r="K580">
        <f>1-888-270-8517</f>
        <v>-9674</v>
      </c>
      <c r="L580" t="s">
        <v>1815</v>
      </c>
      <c r="M580" t="s">
        <v>1816</v>
      </c>
      <c r="N580" t="s">
        <v>278</v>
      </c>
      <c r="O580" t="s">
        <v>28</v>
      </c>
      <c r="P580" t="s">
        <v>292</v>
      </c>
      <c r="Q580">
        <v>49</v>
      </c>
      <c r="R580">
        <v>2.3473220000000001</v>
      </c>
    </row>
    <row r="581" spans="1:18" x14ac:dyDescent="0.2">
      <c r="A581" t="s">
        <v>270</v>
      </c>
      <c r="B581" t="s">
        <v>1638</v>
      </c>
      <c r="C581">
        <v>1</v>
      </c>
      <c r="D581" s="1">
        <v>44130.779699074075</v>
      </c>
      <c r="E581" t="s">
        <v>1817</v>
      </c>
      <c r="F581" t="s">
        <v>273</v>
      </c>
      <c r="G581" t="s">
        <v>1754</v>
      </c>
      <c r="H581" t="s">
        <v>275</v>
      </c>
      <c r="I581" t="s">
        <v>29</v>
      </c>
      <c r="J581">
        <v>1</v>
      </c>
      <c r="K581">
        <f>1-888-283-3493</f>
        <v>-4663</v>
      </c>
      <c r="L581" t="s">
        <v>1818</v>
      </c>
      <c r="M581" t="s">
        <v>1819</v>
      </c>
      <c r="N581" t="s">
        <v>278</v>
      </c>
      <c r="O581" t="s">
        <v>28</v>
      </c>
      <c r="P581" t="s">
        <v>292</v>
      </c>
      <c r="Q581">
        <v>49</v>
      </c>
      <c r="R581">
        <v>2.3473220000000001</v>
      </c>
    </row>
    <row r="582" spans="1:18" x14ac:dyDescent="0.2">
      <c r="A582" t="s">
        <v>270</v>
      </c>
      <c r="B582" t="s">
        <v>1638</v>
      </c>
      <c r="C582">
        <v>1</v>
      </c>
      <c r="D582" s="1">
        <v>44118.789224537039</v>
      </c>
      <c r="E582" t="s">
        <v>1820</v>
      </c>
      <c r="F582" t="s">
        <v>273</v>
      </c>
      <c r="G582" t="s">
        <v>1754</v>
      </c>
      <c r="H582" t="s">
        <v>275</v>
      </c>
      <c r="I582" t="s">
        <v>29</v>
      </c>
      <c r="J582">
        <v>1</v>
      </c>
      <c r="K582">
        <f>1-888-377-3116</f>
        <v>-4380</v>
      </c>
      <c r="L582" t="s">
        <v>1821</v>
      </c>
      <c r="M582" t="s">
        <v>1822</v>
      </c>
      <c r="N582" t="s">
        <v>278</v>
      </c>
      <c r="O582" t="s">
        <v>28</v>
      </c>
      <c r="P582" t="s">
        <v>292</v>
      </c>
      <c r="Q582">
        <v>49</v>
      </c>
      <c r="R582">
        <v>2.3473220000000001</v>
      </c>
    </row>
    <row r="583" spans="1:18" x14ac:dyDescent="0.2">
      <c r="A583" t="s">
        <v>270</v>
      </c>
      <c r="B583" t="s">
        <v>1638</v>
      </c>
      <c r="C583">
        <v>1</v>
      </c>
      <c r="D583" s="1">
        <v>44112.759814814817</v>
      </c>
      <c r="E583" t="s">
        <v>1823</v>
      </c>
      <c r="F583" t="s">
        <v>273</v>
      </c>
      <c r="G583" t="s">
        <v>1754</v>
      </c>
      <c r="H583" t="s">
        <v>275</v>
      </c>
      <c r="I583" t="s">
        <v>29</v>
      </c>
      <c r="J583">
        <v>1</v>
      </c>
      <c r="K583">
        <f>1-888-334-1316</f>
        <v>-2537</v>
      </c>
      <c r="L583" t="s">
        <v>1824</v>
      </c>
      <c r="M583" t="s">
        <v>1825</v>
      </c>
      <c r="N583" t="s">
        <v>278</v>
      </c>
      <c r="O583" t="s">
        <v>28</v>
      </c>
      <c r="P583" t="s">
        <v>292</v>
      </c>
      <c r="Q583">
        <v>49</v>
      </c>
      <c r="R583">
        <v>2.3473220000000001</v>
      </c>
    </row>
    <row r="584" spans="1:18" x14ac:dyDescent="0.2">
      <c r="A584" t="s">
        <v>270</v>
      </c>
      <c r="B584" t="s">
        <v>1638</v>
      </c>
      <c r="C584">
        <v>1</v>
      </c>
      <c r="D584" s="1">
        <v>44111.877256944441</v>
      </c>
      <c r="E584" t="s">
        <v>1826</v>
      </c>
      <c r="F584" t="s">
        <v>273</v>
      </c>
      <c r="G584" t="s">
        <v>1754</v>
      </c>
      <c r="H584" t="s">
        <v>275</v>
      </c>
      <c r="I584" t="s">
        <v>29</v>
      </c>
      <c r="J584">
        <v>1</v>
      </c>
      <c r="K584">
        <f>1-888-315-3668</f>
        <v>-4870</v>
      </c>
      <c r="L584" t="s">
        <v>1827</v>
      </c>
      <c r="M584" t="s">
        <v>1828</v>
      </c>
      <c r="N584" t="s">
        <v>278</v>
      </c>
      <c r="O584" t="s">
        <v>28</v>
      </c>
      <c r="P584" t="s">
        <v>292</v>
      </c>
      <c r="Q584">
        <v>49</v>
      </c>
      <c r="R584">
        <v>2.3473220000000001</v>
      </c>
    </row>
    <row r="585" spans="1:18" x14ac:dyDescent="0.2">
      <c r="A585" t="s">
        <v>270</v>
      </c>
      <c r="B585" t="s">
        <v>1638</v>
      </c>
      <c r="C585">
        <v>1</v>
      </c>
      <c r="D585" s="1">
        <v>44109.909571759257</v>
      </c>
      <c r="E585" t="s">
        <v>1829</v>
      </c>
      <c r="F585" t="s">
        <v>273</v>
      </c>
      <c r="G585" t="s">
        <v>1754</v>
      </c>
      <c r="H585" t="s">
        <v>275</v>
      </c>
      <c r="I585" t="s">
        <v>29</v>
      </c>
      <c r="J585">
        <v>1</v>
      </c>
      <c r="K585">
        <f>1-888-298-6326</f>
        <v>-7511</v>
      </c>
      <c r="L585" t="s">
        <v>1830</v>
      </c>
      <c r="M585" t="s">
        <v>1831</v>
      </c>
      <c r="N585" t="s">
        <v>278</v>
      </c>
      <c r="O585" t="s">
        <v>28</v>
      </c>
      <c r="P585" t="s">
        <v>292</v>
      </c>
      <c r="Q585">
        <v>49</v>
      </c>
      <c r="R585">
        <v>2.3473220000000001</v>
      </c>
    </row>
    <row r="586" spans="1:18" x14ac:dyDescent="0.2">
      <c r="A586" t="s">
        <v>270</v>
      </c>
      <c r="B586" t="s">
        <v>1638</v>
      </c>
      <c r="C586">
        <v>1</v>
      </c>
      <c r="D586" s="1">
        <v>44106.935613425929</v>
      </c>
      <c r="E586" t="s">
        <v>1832</v>
      </c>
      <c r="F586" t="s">
        <v>273</v>
      </c>
      <c r="G586" t="s">
        <v>1754</v>
      </c>
      <c r="H586" t="s">
        <v>275</v>
      </c>
      <c r="I586" t="s">
        <v>29</v>
      </c>
      <c r="J586">
        <v>1</v>
      </c>
      <c r="K586">
        <f>1-888-278-9830</f>
        <v>-10995</v>
      </c>
      <c r="L586" t="s">
        <v>1833</v>
      </c>
      <c r="M586" t="s">
        <v>1834</v>
      </c>
      <c r="N586" t="s">
        <v>278</v>
      </c>
      <c r="O586" t="s">
        <v>28</v>
      </c>
      <c r="P586" t="s">
        <v>292</v>
      </c>
      <c r="Q586">
        <v>49</v>
      </c>
      <c r="R586">
        <v>2.3473220000000001</v>
      </c>
    </row>
    <row r="587" spans="1:18" x14ac:dyDescent="0.2">
      <c r="A587" t="s">
        <v>270</v>
      </c>
      <c r="B587" t="s">
        <v>1638</v>
      </c>
      <c r="C587">
        <v>1</v>
      </c>
      <c r="D587" s="1">
        <v>44105.839780092596</v>
      </c>
      <c r="E587" t="s">
        <v>1835</v>
      </c>
      <c r="F587" t="s">
        <v>273</v>
      </c>
      <c r="G587" t="s">
        <v>1754</v>
      </c>
      <c r="H587" t="s">
        <v>275</v>
      </c>
      <c r="I587" t="s">
        <v>29</v>
      </c>
      <c r="J587">
        <v>1</v>
      </c>
      <c r="K587">
        <f>1-888-210-1282</f>
        <v>-2379</v>
      </c>
      <c r="L587" t="s">
        <v>1836</v>
      </c>
      <c r="M587" t="s">
        <v>1837</v>
      </c>
      <c r="N587" t="s">
        <v>278</v>
      </c>
      <c r="O587" t="s">
        <v>28</v>
      </c>
      <c r="P587" t="s">
        <v>292</v>
      </c>
      <c r="Q587">
        <v>49</v>
      </c>
      <c r="R587">
        <v>2.3473220000000001</v>
      </c>
    </row>
    <row r="588" spans="1:18" x14ac:dyDescent="0.2">
      <c r="A588" t="s">
        <v>270</v>
      </c>
      <c r="B588" t="s">
        <v>1638</v>
      </c>
      <c r="C588">
        <v>1</v>
      </c>
      <c r="D588" s="1">
        <v>44106.825949074075</v>
      </c>
      <c r="E588" t="s">
        <v>1838</v>
      </c>
      <c r="F588" t="s">
        <v>273</v>
      </c>
      <c r="G588" t="s">
        <v>1754</v>
      </c>
      <c r="H588" t="s">
        <v>275</v>
      </c>
      <c r="I588" t="s">
        <v>29</v>
      </c>
      <c r="J588">
        <v>1</v>
      </c>
      <c r="K588">
        <f>1-888-304-9499</f>
        <v>-10690</v>
      </c>
      <c r="L588" t="s">
        <v>1839</v>
      </c>
      <c r="M588" t="s">
        <v>1840</v>
      </c>
      <c r="N588" t="s">
        <v>278</v>
      </c>
      <c r="O588" t="s">
        <v>28</v>
      </c>
      <c r="P588" t="s">
        <v>292</v>
      </c>
      <c r="Q588">
        <v>49</v>
      </c>
      <c r="R588">
        <v>2.3473220000000001</v>
      </c>
    </row>
    <row r="589" spans="1:18" x14ac:dyDescent="0.2">
      <c r="A589" t="s">
        <v>270</v>
      </c>
      <c r="B589" t="s">
        <v>1638</v>
      </c>
      <c r="C589">
        <v>1</v>
      </c>
      <c r="D589" s="1">
        <v>44104.932650462964</v>
      </c>
      <c r="E589" t="s">
        <v>1841</v>
      </c>
      <c r="F589" t="s">
        <v>273</v>
      </c>
      <c r="G589" t="s">
        <v>1754</v>
      </c>
      <c r="H589" t="s">
        <v>275</v>
      </c>
      <c r="I589" t="s">
        <v>29</v>
      </c>
      <c r="J589">
        <v>1</v>
      </c>
      <c r="K589">
        <f>1-888-210-3270</f>
        <v>-4367</v>
      </c>
      <c r="L589" t="s">
        <v>1842</v>
      </c>
      <c r="M589" t="s">
        <v>1843</v>
      </c>
      <c r="N589" t="s">
        <v>278</v>
      </c>
      <c r="O589" t="s">
        <v>134</v>
      </c>
      <c r="P589" t="s">
        <v>292</v>
      </c>
      <c r="Q589">
        <v>49</v>
      </c>
      <c r="R589">
        <v>2.3473220000000001</v>
      </c>
    </row>
    <row r="590" spans="1:18" x14ac:dyDescent="0.2">
      <c r="A590" t="s">
        <v>270</v>
      </c>
      <c r="B590" t="s">
        <v>1638</v>
      </c>
      <c r="C590">
        <v>1</v>
      </c>
      <c r="D590" s="1">
        <v>44103.839687500003</v>
      </c>
      <c r="E590" t="s">
        <v>1844</v>
      </c>
      <c r="F590" t="s">
        <v>273</v>
      </c>
      <c r="G590" t="s">
        <v>1754</v>
      </c>
      <c r="H590" t="s">
        <v>275</v>
      </c>
      <c r="I590" t="s">
        <v>29</v>
      </c>
      <c r="J590">
        <v>1</v>
      </c>
      <c r="K590">
        <f>1-888-211-6160</f>
        <v>-7258</v>
      </c>
      <c r="L590" t="s">
        <v>1845</v>
      </c>
      <c r="M590" t="s">
        <v>1846</v>
      </c>
      <c r="N590" t="s">
        <v>278</v>
      </c>
      <c r="O590" t="s">
        <v>28</v>
      </c>
      <c r="P590" t="s">
        <v>292</v>
      </c>
      <c r="Q590">
        <v>49</v>
      </c>
      <c r="R590">
        <v>2.3473220000000001</v>
      </c>
    </row>
    <row r="591" spans="1:18" x14ac:dyDescent="0.2">
      <c r="A591" t="s">
        <v>270</v>
      </c>
      <c r="B591" t="s">
        <v>1638</v>
      </c>
      <c r="C591">
        <v>1</v>
      </c>
      <c r="D591" s="1">
        <v>44103.839398148149</v>
      </c>
      <c r="E591" t="s">
        <v>1847</v>
      </c>
      <c r="F591" t="s">
        <v>273</v>
      </c>
      <c r="G591" t="s">
        <v>1754</v>
      </c>
      <c r="H591" t="s">
        <v>275</v>
      </c>
      <c r="I591" t="s">
        <v>29</v>
      </c>
      <c r="J591">
        <v>1</v>
      </c>
      <c r="K591">
        <f>1-888-223-1452</f>
        <v>-2562</v>
      </c>
      <c r="L591" t="s">
        <v>1848</v>
      </c>
      <c r="M591" t="s">
        <v>1849</v>
      </c>
      <c r="N591" t="s">
        <v>278</v>
      </c>
      <c r="O591" t="s">
        <v>28</v>
      </c>
      <c r="P591" t="s">
        <v>292</v>
      </c>
      <c r="Q591">
        <v>49</v>
      </c>
      <c r="R591">
        <v>2.3473220000000001</v>
      </c>
    </row>
    <row r="592" spans="1:18" x14ac:dyDescent="0.2">
      <c r="A592" t="s">
        <v>270</v>
      </c>
      <c r="B592" t="s">
        <v>1638</v>
      </c>
      <c r="C592">
        <v>1</v>
      </c>
      <c r="D592" s="1">
        <v>44103.839062500003</v>
      </c>
      <c r="E592" t="s">
        <v>1850</v>
      </c>
      <c r="F592" t="s">
        <v>273</v>
      </c>
      <c r="G592" t="s">
        <v>1754</v>
      </c>
      <c r="H592" t="s">
        <v>275</v>
      </c>
      <c r="I592" t="s">
        <v>29</v>
      </c>
      <c r="J592">
        <v>1</v>
      </c>
      <c r="K592">
        <f>1-888-211-8144</f>
        <v>-9242</v>
      </c>
      <c r="L592" t="s">
        <v>1851</v>
      </c>
      <c r="M592" t="s">
        <v>1852</v>
      </c>
      <c r="N592" t="s">
        <v>278</v>
      </c>
      <c r="O592" t="s">
        <v>28</v>
      </c>
      <c r="P592" t="s">
        <v>292</v>
      </c>
      <c r="Q592">
        <v>49</v>
      </c>
      <c r="R592">
        <v>2.3473220000000001</v>
      </c>
    </row>
    <row r="593" spans="1:18" x14ac:dyDescent="0.2">
      <c r="A593" t="s">
        <v>270</v>
      </c>
      <c r="B593" t="s">
        <v>1638</v>
      </c>
      <c r="C593">
        <v>1</v>
      </c>
      <c r="D593" s="1">
        <v>44103.763113425928</v>
      </c>
      <c r="E593" t="s">
        <v>1853</v>
      </c>
      <c r="F593" t="s">
        <v>273</v>
      </c>
      <c r="G593" t="s">
        <v>1754</v>
      </c>
      <c r="H593" t="s">
        <v>275</v>
      </c>
      <c r="I593" t="s">
        <v>29</v>
      </c>
      <c r="J593">
        <v>1</v>
      </c>
      <c r="K593">
        <f>1-888-210-6654</f>
        <v>-7751</v>
      </c>
      <c r="L593" t="s">
        <v>1854</v>
      </c>
      <c r="M593" t="s">
        <v>1855</v>
      </c>
      <c r="N593" t="s">
        <v>278</v>
      </c>
      <c r="O593" t="s">
        <v>134</v>
      </c>
      <c r="P593" t="s">
        <v>292</v>
      </c>
      <c r="Q593">
        <v>49</v>
      </c>
      <c r="R593">
        <v>2.3473220000000001</v>
      </c>
    </row>
    <row r="594" spans="1:18" x14ac:dyDescent="0.2">
      <c r="A594" t="s">
        <v>270</v>
      </c>
      <c r="B594" t="s">
        <v>1638</v>
      </c>
      <c r="C594">
        <v>1</v>
      </c>
      <c r="D594" s="1">
        <v>44103.762094907404</v>
      </c>
      <c r="E594" t="s">
        <v>1856</v>
      </c>
      <c r="F594" t="s">
        <v>273</v>
      </c>
      <c r="G594" t="s">
        <v>1754</v>
      </c>
      <c r="H594" t="s">
        <v>275</v>
      </c>
      <c r="I594" t="s">
        <v>29</v>
      </c>
      <c r="J594">
        <v>1</v>
      </c>
      <c r="K594">
        <f>1-888-210-6654</f>
        <v>-7751</v>
      </c>
      <c r="L594" t="s">
        <v>1857</v>
      </c>
      <c r="M594" t="s">
        <v>1858</v>
      </c>
      <c r="N594" t="s">
        <v>278</v>
      </c>
      <c r="O594" t="s">
        <v>134</v>
      </c>
      <c r="P594" t="s">
        <v>292</v>
      </c>
      <c r="Q594">
        <v>49</v>
      </c>
      <c r="R594">
        <v>2.3473220000000001</v>
      </c>
    </row>
    <row r="595" spans="1:18" x14ac:dyDescent="0.2">
      <c r="A595" t="s">
        <v>270</v>
      </c>
      <c r="B595" t="s">
        <v>1638</v>
      </c>
      <c r="C595">
        <v>1</v>
      </c>
      <c r="D595" s="1">
        <v>44102.822893518518</v>
      </c>
      <c r="E595" t="s">
        <v>1859</v>
      </c>
      <c r="F595" t="s">
        <v>273</v>
      </c>
      <c r="G595" t="s">
        <v>1754</v>
      </c>
      <c r="H595" t="s">
        <v>275</v>
      </c>
      <c r="I595" t="s">
        <v>29</v>
      </c>
      <c r="J595">
        <v>1</v>
      </c>
      <c r="K595">
        <f>1-888-252-7514</f>
        <v>-8653</v>
      </c>
      <c r="L595" t="s">
        <v>1860</v>
      </c>
      <c r="M595" t="s">
        <v>1861</v>
      </c>
      <c r="N595" t="s">
        <v>278</v>
      </c>
      <c r="O595" t="s">
        <v>28</v>
      </c>
      <c r="P595" t="s">
        <v>292</v>
      </c>
      <c r="Q595">
        <v>49</v>
      </c>
      <c r="R595">
        <v>2.3473220000000001</v>
      </c>
    </row>
    <row r="596" spans="1:18" x14ac:dyDescent="0.2">
      <c r="A596" t="s">
        <v>270</v>
      </c>
      <c r="B596" t="s">
        <v>1638</v>
      </c>
      <c r="C596">
        <v>1</v>
      </c>
      <c r="D596" s="1">
        <v>44102.822696759256</v>
      </c>
      <c r="E596" t="s">
        <v>1862</v>
      </c>
      <c r="F596" t="s">
        <v>273</v>
      </c>
      <c r="G596" t="s">
        <v>1754</v>
      </c>
      <c r="H596" t="s">
        <v>275</v>
      </c>
      <c r="I596" t="s">
        <v>29</v>
      </c>
      <c r="J596">
        <v>1</v>
      </c>
      <c r="K596">
        <f>1-888-228-8619</f>
        <v>-9734</v>
      </c>
      <c r="L596" t="s">
        <v>1863</v>
      </c>
      <c r="M596" t="s">
        <v>1864</v>
      </c>
      <c r="N596" t="s">
        <v>278</v>
      </c>
      <c r="O596" t="s">
        <v>28</v>
      </c>
      <c r="P596" t="s">
        <v>292</v>
      </c>
      <c r="Q596">
        <v>49</v>
      </c>
      <c r="R596">
        <v>2.3473220000000001</v>
      </c>
    </row>
    <row r="597" spans="1:18" x14ac:dyDescent="0.2">
      <c r="A597" t="s">
        <v>270</v>
      </c>
      <c r="B597" t="s">
        <v>1638</v>
      </c>
      <c r="C597">
        <v>1</v>
      </c>
      <c r="D597" s="1">
        <v>44102.816655092596</v>
      </c>
      <c r="E597" t="s">
        <v>1865</v>
      </c>
      <c r="F597" t="s">
        <v>273</v>
      </c>
      <c r="G597" t="s">
        <v>1754</v>
      </c>
      <c r="H597" t="s">
        <v>275</v>
      </c>
      <c r="I597" t="s">
        <v>29</v>
      </c>
      <c r="J597">
        <v>1</v>
      </c>
      <c r="K597">
        <f>1-888-250-5625</f>
        <v>-6762</v>
      </c>
      <c r="L597" t="s">
        <v>1866</v>
      </c>
      <c r="M597" t="s">
        <v>1867</v>
      </c>
      <c r="N597" t="s">
        <v>278</v>
      </c>
      <c r="O597" t="s">
        <v>28</v>
      </c>
      <c r="P597" t="s">
        <v>292</v>
      </c>
      <c r="Q597">
        <v>49</v>
      </c>
      <c r="R597">
        <v>2.3473220000000001</v>
      </c>
    </row>
    <row r="598" spans="1:18" x14ac:dyDescent="0.2">
      <c r="A598" t="s">
        <v>270</v>
      </c>
      <c r="B598" t="s">
        <v>1638</v>
      </c>
      <c r="C598">
        <v>1</v>
      </c>
      <c r="D598" s="1">
        <v>44099.905740740738</v>
      </c>
      <c r="E598" t="s">
        <v>1868</v>
      </c>
      <c r="F598" t="s">
        <v>273</v>
      </c>
      <c r="G598" t="s">
        <v>1754</v>
      </c>
      <c r="H598" t="s">
        <v>275</v>
      </c>
      <c r="I598" t="s">
        <v>29</v>
      </c>
      <c r="J598">
        <v>1</v>
      </c>
      <c r="K598">
        <f>1-888-252-1197</f>
        <v>-2336</v>
      </c>
      <c r="L598" t="s">
        <v>1869</v>
      </c>
      <c r="M598" t="s">
        <v>1870</v>
      </c>
      <c r="N598" t="s">
        <v>278</v>
      </c>
      <c r="O598" t="s">
        <v>28</v>
      </c>
      <c r="P598" t="s">
        <v>292</v>
      </c>
      <c r="Q598">
        <v>49</v>
      </c>
      <c r="R598">
        <v>2.3473220000000001</v>
      </c>
    </row>
    <row r="599" spans="1:18" x14ac:dyDescent="0.2">
      <c r="A599" t="s">
        <v>270</v>
      </c>
      <c r="B599" t="s">
        <v>1638</v>
      </c>
      <c r="C599">
        <v>1</v>
      </c>
      <c r="D599" s="1">
        <v>44099.357743055552</v>
      </c>
      <c r="E599" t="s">
        <v>1871</v>
      </c>
      <c r="F599" t="s">
        <v>273</v>
      </c>
      <c r="G599" t="s">
        <v>1754</v>
      </c>
      <c r="H599" t="s">
        <v>275</v>
      </c>
      <c r="I599" t="s">
        <v>29</v>
      </c>
      <c r="J599">
        <v>1</v>
      </c>
      <c r="K599">
        <f>1-888-254-1267</f>
        <v>-2408</v>
      </c>
      <c r="L599" t="s">
        <v>1872</v>
      </c>
      <c r="M599" t="s">
        <v>1873</v>
      </c>
      <c r="N599" t="s">
        <v>278</v>
      </c>
      <c r="O599" t="s">
        <v>28</v>
      </c>
      <c r="P599" t="s">
        <v>292</v>
      </c>
      <c r="Q599">
        <v>49</v>
      </c>
      <c r="R599">
        <v>2.3473220000000001</v>
      </c>
    </row>
    <row r="600" spans="1:18" x14ac:dyDescent="0.2">
      <c r="A600" t="s">
        <v>270</v>
      </c>
      <c r="B600" t="s">
        <v>1638</v>
      </c>
      <c r="C600">
        <v>1</v>
      </c>
      <c r="D600" s="1">
        <v>44096.837210648147</v>
      </c>
      <c r="E600" t="s">
        <v>1874</v>
      </c>
      <c r="F600" t="s">
        <v>273</v>
      </c>
      <c r="G600" t="s">
        <v>1754</v>
      </c>
      <c r="H600" t="s">
        <v>275</v>
      </c>
      <c r="I600" t="s">
        <v>29</v>
      </c>
      <c r="J600">
        <v>1</v>
      </c>
      <c r="K600">
        <f>1-888-257-7505</f>
        <v>-8649</v>
      </c>
      <c r="L600" t="s">
        <v>1875</v>
      </c>
      <c r="M600" t="s">
        <v>1876</v>
      </c>
      <c r="N600" t="s">
        <v>278</v>
      </c>
      <c r="O600" t="s">
        <v>28</v>
      </c>
      <c r="P600" t="s">
        <v>292</v>
      </c>
      <c r="Q600">
        <v>49</v>
      </c>
      <c r="R600">
        <v>2.3473220000000001</v>
      </c>
    </row>
    <row r="601" spans="1:18" x14ac:dyDescent="0.2">
      <c r="A601" t="s">
        <v>270</v>
      </c>
      <c r="B601" t="s">
        <v>1638</v>
      </c>
      <c r="C601">
        <v>1</v>
      </c>
      <c r="D601" s="1">
        <v>44096.36959490741</v>
      </c>
      <c r="E601" t="s">
        <v>1877</v>
      </c>
      <c r="F601" t="s">
        <v>273</v>
      </c>
      <c r="G601" t="s">
        <v>1754</v>
      </c>
      <c r="H601" t="s">
        <v>275</v>
      </c>
      <c r="I601" t="s">
        <v>29</v>
      </c>
      <c r="J601">
        <v>1</v>
      </c>
      <c r="K601">
        <f>1-844-316-9077</f>
        <v>-10236</v>
      </c>
      <c r="L601" t="s">
        <v>1878</v>
      </c>
      <c r="M601" t="s">
        <v>1879</v>
      </c>
      <c r="N601" t="s">
        <v>278</v>
      </c>
      <c r="O601" t="s">
        <v>28</v>
      </c>
      <c r="P601" t="s">
        <v>292</v>
      </c>
      <c r="Q601">
        <v>49</v>
      </c>
      <c r="R601">
        <v>2.3473220000000001</v>
      </c>
    </row>
    <row r="602" spans="1:18" x14ac:dyDescent="0.2">
      <c r="A602" t="s">
        <v>270</v>
      </c>
      <c r="B602" t="s">
        <v>1638</v>
      </c>
      <c r="C602">
        <v>1</v>
      </c>
      <c r="D602" s="1">
        <v>44096.369490740741</v>
      </c>
      <c r="E602" t="s">
        <v>1880</v>
      </c>
      <c r="F602" t="s">
        <v>273</v>
      </c>
      <c r="G602" t="s">
        <v>1754</v>
      </c>
      <c r="H602" t="s">
        <v>275</v>
      </c>
      <c r="I602" t="s">
        <v>29</v>
      </c>
      <c r="J602">
        <v>1</v>
      </c>
      <c r="K602">
        <f>1-844-316-9077</f>
        <v>-10236</v>
      </c>
      <c r="L602" t="s">
        <v>1881</v>
      </c>
      <c r="M602" t="s">
        <v>1882</v>
      </c>
      <c r="N602" t="s">
        <v>278</v>
      </c>
      <c r="O602" t="s">
        <v>28</v>
      </c>
      <c r="P602" t="s">
        <v>292</v>
      </c>
      <c r="Q602">
        <v>49</v>
      </c>
      <c r="R602">
        <v>2.3473220000000001</v>
      </c>
    </row>
    <row r="603" spans="1:18" x14ac:dyDescent="0.2">
      <c r="A603" t="s">
        <v>270</v>
      </c>
      <c r="B603" t="s">
        <v>1638</v>
      </c>
      <c r="C603">
        <v>1</v>
      </c>
      <c r="D603" s="1">
        <v>44096.369189814817</v>
      </c>
      <c r="E603" t="s">
        <v>1883</v>
      </c>
      <c r="F603" t="s">
        <v>273</v>
      </c>
      <c r="G603" t="s">
        <v>1754</v>
      </c>
      <c r="H603" t="s">
        <v>275</v>
      </c>
      <c r="I603" t="s">
        <v>29</v>
      </c>
      <c r="J603">
        <v>1</v>
      </c>
      <c r="K603">
        <f>1-844-312-611</f>
        <v>-1766</v>
      </c>
      <c r="L603" t="s">
        <v>1884</v>
      </c>
      <c r="M603" t="s">
        <v>1885</v>
      </c>
      <c r="N603" t="s">
        <v>278</v>
      </c>
      <c r="O603" t="s">
        <v>28</v>
      </c>
      <c r="P603" t="s">
        <v>292</v>
      </c>
      <c r="Q603">
        <v>49</v>
      </c>
      <c r="R603">
        <v>2.3473220000000001</v>
      </c>
    </row>
    <row r="604" spans="1:18" x14ac:dyDescent="0.2">
      <c r="A604" t="s">
        <v>270</v>
      </c>
      <c r="B604" t="s">
        <v>1638</v>
      </c>
      <c r="C604">
        <v>1</v>
      </c>
      <c r="D604" s="1">
        <v>44096.368807870371</v>
      </c>
      <c r="E604" t="s">
        <v>1886</v>
      </c>
      <c r="F604" t="s">
        <v>273</v>
      </c>
      <c r="G604" t="s">
        <v>1754</v>
      </c>
      <c r="H604" t="s">
        <v>275</v>
      </c>
      <c r="I604" t="s">
        <v>29</v>
      </c>
      <c r="J604">
        <v>1</v>
      </c>
      <c r="K604">
        <f>1-844-312-611</f>
        <v>-1766</v>
      </c>
      <c r="L604" t="s">
        <v>1887</v>
      </c>
      <c r="M604" t="s">
        <v>1888</v>
      </c>
      <c r="N604" t="s">
        <v>278</v>
      </c>
      <c r="O604" t="s">
        <v>28</v>
      </c>
      <c r="P604" t="s">
        <v>292</v>
      </c>
      <c r="Q604">
        <v>49</v>
      </c>
      <c r="R604">
        <v>2.3473220000000001</v>
      </c>
    </row>
    <row r="605" spans="1:18" x14ac:dyDescent="0.2">
      <c r="A605" t="s">
        <v>270</v>
      </c>
      <c r="B605" t="s">
        <v>1638</v>
      </c>
      <c r="C605">
        <v>1</v>
      </c>
      <c r="D605" s="1">
        <v>44096.367662037039</v>
      </c>
      <c r="E605" t="s">
        <v>1889</v>
      </c>
      <c r="F605" t="s">
        <v>273</v>
      </c>
      <c r="G605" t="s">
        <v>1754</v>
      </c>
      <c r="H605" t="s">
        <v>275</v>
      </c>
      <c r="I605" t="s">
        <v>29</v>
      </c>
      <c r="J605">
        <v>1</v>
      </c>
      <c r="K605">
        <f>1-844-305-9953</f>
        <v>-11101</v>
      </c>
      <c r="L605" t="s">
        <v>1890</v>
      </c>
      <c r="M605" t="s">
        <v>1891</v>
      </c>
      <c r="N605" t="s">
        <v>278</v>
      </c>
      <c r="O605" t="s">
        <v>28</v>
      </c>
      <c r="P605" t="s">
        <v>292</v>
      </c>
      <c r="Q605">
        <v>49</v>
      </c>
      <c r="R605">
        <v>2.3473220000000001</v>
      </c>
    </row>
    <row r="606" spans="1:18" x14ac:dyDescent="0.2">
      <c r="A606" t="s">
        <v>270</v>
      </c>
      <c r="B606" t="s">
        <v>1638</v>
      </c>
      <c r="C606">
        <v>1</v>
      </c>
      <c r="D606" s="1">
        <v>44096.3671412037</v>
      </c>
      <c r="E606" t="s">
        <v>1892</v>
      </c>
      <c r="F606" t="s">
        <v>273</v>
      </c>
      <c r="G606" t="s">
        <v>1754</v>
      </c>
      <c r="H606" t="s">
        <v>275</v>
      </c>
      <c r="I606" t="s">
        <v>29</v>
      </c>
      <c r="J606">
        <v>1</v>
      </c>
      <c r="K606">
        <f>1-844-309-2423</f>
        <v>-3575</v>
      </c>
      <c r="L606" t="s">
        <v>1893</v>
      </c>
      <c r="M606" t="s">
        <v>1894</v>
      </c>
      <c r="N606" t="s">
        <v>278</v>
      </c>
      <c r="O606" t="s">
        <v>28</v>
      </c>
      <c r="P606" t="s">
        <v>292</v>
      </c>
      <c r="Q606">
        <v>49</v>
      </c>
      <c r="R606">
        <v>2.3473220000000001</v>
      </c>
    </row>
    <row r="607" spans="1:18" x14ac:dyDescent="0.2">
      <c r="A607" t="s">
        <v>270</v>
      </c>
      <c r="B607" t="s">
        <v>1638</v>
      </c>
      <c r="C607">
        <v>1</v>
      </c>
      <c r="D607" s="1">
        <v>44096.366863425923</v>
      </c>
      <c r="E607" t="s">
        <v>1895</v>
      </c>
      <c r="F607" t="s">
        <v>273</v>
      </c>
      <c r="G607" t="s">
        <v>1754</v>
      </c>
      <c r="H607" t="s">
        <v>275</v>
      </c>
      <c r="I607" t="s">
        <v>29</v>
      </c>
      <c r="J607">
        <v>1</v>
      </c>
      <c r="K607">
        <f>1-844-309-2655</f>
        <v>-3807</v>
      </c>
      <c r="L607" t="s">
        <v>1896</v>
      </c>
      <c r="M607" t="s">
        <v>1897</v>
      </c>
      <c r="N607" t="s">
        <v>278</v>
      </c>
      <c r="O607" t="s">
        <v>28</v>
      </c>
      <c r="P607" t="s">
        <v>292</v>
      </c>
      <c r="Q607">
        <v>49</v>
      </c>
      <c r="R607">
        <v>2.3473220000000001</v>
      </c>
    </row>
    <row r="608" spans="1:18" x14ac:dyDescent="0.2">
      <c r="A608" t="s">
        <v>270</v>
      </c>
      <c r="B608" t="s">
        <v>1638</v>
      </c>
      <c r="C608">
        <v>1</v>
      </c>
      <c r="D608" s="1">
        <v>44096.366643518515</v>
      </c>
      <c r="E608" t="s">
        <v>1898</v>
      </c>
      <c r="F608" t="s">
        <v>273</v>
      </c>
      <c r="G608" t="s">
        <v>1754</v>
      </c>
      <c r="H608" t="s">
        <v>275</v>
      </c>
      <c r="I608" t="s">
        <v>29</v>
      </c>
      <c r="J608">
        <v>1</v>
      </c>
      <c r="K608">
        <f>1-844-309-2655</f>
        <v>-3807</v>
      </c>
      <c r="L608" t="s">
        <v>1899</v>
      </c>
      <c r="M608" t="s">
        <v>1900</v>
      </c>
      <c r="N608" t="s">
        <v>278</v>
      </c>
      <c r="O608" t="s">
        <v>28</v>
      </c>
      <c r="P608" t="s">
        <v>292</v>
      </c>
      <c r="Q608">
        <v>49</v>
      </c>
      <c r="R608">
        <v>2.3473220000000001</v>
      </c>
    </row>
    <row r="609" spans="1:18" x14ac:dyDescent="0.2">
      <c r="A609" t="s">
        <v>270</v>
      </c>
      <c r="B609" t="s">
        <v>1638</v>
      </c>
      <c r="C609">
        <v>1</v>
      </c>
      <c r="D609" s="1">
        <v>44096.366342592592</v>
      </c>
      <c r="E609" t="s">
        <v>1901</v>
      </c>
      <c r="F609" t="s">
        <v>273</v>
      </c>
      <c r="G609" t="s">
        <v>1754</v>
      </c>
      <c r="H609" t="s">
        <v>275</v>
      </c>
      <c r="I609" t="s">
        <v>29</v>
      </c>
      <c r="J609">
        <v>1</v>
      </c>
      <c r="K609">
        <f>1-844-309-2655</f>
        <v>-3807</v>
      </c>
      <c r="L609" t="s">
        <v>1902</v>
      </c>
      <c r="M609" t="s">
        <v>1903</v>
      </c>
      <c r="N609" t="s">
        <v>278</v>
      </c>
      <c r="O609" t="s">
        <v>28</v>
      </c>
      <c r="P609" t="s">
        <v>292</v>
      </c>
      <c r="Q609">
        <v>49</v>
      </c>
      <c r="R609">
        <v>2.3473220000000001</v>
      </c>
    </row>
    <row r="610" spans="1:18" x14ac:dyDescent="0.2">
      <c r="A610" t="s">
        <v>270</v>
      </c>
      <c r="B610" t="s">
        <v>1638</v>
      </c>
      <c r="C610">
        <v>1</v>
      </c>
      <c r="D610" s="1">
        <v>44096.366030092591</v>
      </c>
      <c r="E610" t="s">
        <v>1904</v>
      </c>
      <c r="F610" t="s">
        <v>273</v>
      </c>
      <c r="G610" t="s">
        <v>1754</v>
      </c>
      <c r="H610" t="s">
        <v>275</v>
      </c>
      <c r="I610" t="s">
        <v>29</v>
      </c>
      <c r="J610">
        <v>1</v>
      </c>
      <c r="K610">
        <f>1-844-318-5957</f>
        <v>-7118</v>
      </c>
      <c r="L610" t="s">
        <v>1905</v>
      </c>
      <c r="M610" t="s">
        <v>1906</v>
      </c>
      <c r="N610" t="s">
        <v>278</v>
      </c>
      <c r="O610" t="s">
        <v>28</v>
      </c>
      <c r="P610" t="s">
        <v>292</v>
      </c>
      <c r="Q610">
        <v>49</v>
      </c>
      <c r="R610">
        <v>2.3473220000000001</v>
      </c>
    </row>
    <row r="611" spans="1:18" x14ac:dyDescent="0.2">
      <c r="A611" t="s">
        <v>270</v>
      </c>
      <c r="B611" t="s">
        <v>1638</v>
      </c>
      <c r="C611">
        <v>1</v>
      </c>
      <c r="D611" s="1">
        <v>44096.365844907406</v>
      </c>
      <c r="E611" t="s">
        <v>1907</v>
      </c>
      <c r="F611" t="s">
        <v>273</v>
      </c>
      <c r="G611" t="s">
        <v>1754</v>
      </c>
      <c r="H611" t="s">
        <v>275</v>
      </c>
      <c r="I611" t="s">
        <v>29</v>
      </c>
      <c r="J611">
        <v>1</v>
      </c>
      <c r="K611">
        <f>1-844-290-1224</f>
        <v>-2357</v>
      </c>
      <c r="L611" t="s">
        <v>1908</v>
      </c>
      <c r="M611" t="s">
        <v>1909</v>
      </c>
      <c r="N611" t="s">
        <v>278</v>
      </c>
      <c r="O611" t="s">
        <v>28</v>
      </c>
      <c r="P611" t="s">
        <v>292</v>
      </c>
      <c r="Q611">
        <v>49</v>
      </c>
      <c r="R611">
        <v>2.3473220000000001</v>
      </c>
    </row>
    <row r="612" spans="1:18" x14ac:dyDescent="0.2">
      <c r="A612" t="s">
        <v>270</v>
      </c>
      <c r="B612" t="s">
        <v>1638</v>
      </c>
      <c r="C612">
        <v>1</v>
      </c>
      <c r="D612" s="1">
        <v>44095.785393518519</v>
      </c>
      <c r="E612" t="s">
        <v>1910</v>
      </c>
      <c r="F612" t="s">
        <v>273</v>
      </c>
      <c r="G612" t="s">
        <v>1754</v>
      </c>
      <c r="H612" t="s">
        <v>275</v>
      </c>
      <c r="I612" t="s">
        <v>29</v>
      </c>
      <c r="J612">
        <v>1</v>
      </c>
      <c r="K612">
        <f>1-844-316-9077</f>
        <v>-10236</v>
      </c>
      <c r="L612" t="s">
        <v>1911</v>
      </c>
      <c r="M612" t="s">
        <v>1912</v>
      </c>
      <c r="N612" t="s">
        <v>278</v>
      </c>
      <c r="O612" t="s">
        <v>28</v>
      </c>
      <c r="P612" t="s">
        <v>292</v>
      </c>
      <c r="Q612">
        <v>49</v>
      </c>
      <c r="R612">
        <v>2.3473220000000001</v>
      </c>
    </row>
    <row r="613" spans="1:18" x14ac:dyDescent="0.2">
      <c r="A613" t="s">
        <v>270</v>
      </c>
      <c r="B613" t="s">
        <v>1638</v>
      </c>
      <c r="C613">
        <v>1</v>
      </c>
      <c r="D613" s="1">
        <v>44095.78466435185</v>
      </c>
      <c r="E613" t="s">
        <v>1913</v>
      </c>
      <c r="F613" t="s">
        <v>273</v>
      </c>
      <c r="G613" t="s">
        <v>1754</v>
      </c>
      <c r="H613" t="s">
        <v>275</v>
      </c>
      <c r="I613" t="s">
        <v>29</v>
      </c>
      <c r="J613">
        <v>1</v>
      </c>
      <c r="K613">
        <f>1-844-301-8222</f>
        <v>-9366</v>
      </c>
      <c r="L613" t="s">
        <v>1914</v>
      </c>
      <c r="M613" t="s">
        <v>1915</v>
      </c>
      <c r="N613" t="s">
        <v>278</v>
      </c>
      <c r="O613" t="s">
        <v>28</v>
      </c>
      <c r="P613" t="s">
        <v>292</v>
      </c>
      <c r="Q613">
        <v>49</v>
      </c>
      <c r="R613">
        <v>2.3473220000000001</v>
      </c>
    </row>
    <row r="614" spans="1:18" x14ac:dyDescent="0.2">
      <c r="A614" t="s">
        <v>270</v>
      </c>
      <c r="B614" t="s">
        <v>1638</v>
      </c>
      <c r="C614">
        <v>1</v>
      </c>
      <c r="D614" s="1">
        <v>44095.784479166665</v>
      </c>
      <c r="E614" t="s">
        <v>1916</v>
      </c>
      <c r="F614" t="s">
        <v>273</v>
      </c>
      <c r="G614" t="s">
        <v>1754</v>
      </c>
      <c r="H614" t="s">
        <v>275</v>
      </c>
      <c r="I614" t="s">
        <v>29</v>
      </c>
      <c r="J614">
        <v>1</v>
      </c>
      <c r="K614">
        <f>1-844-288-9111</f>
        <v>-10242</v>
      </c>
      <c r="L614" t="s">
        <v>1917</v>
      </c>
      <c r="M614" t="s">
        <v>1918</v>
      </c>
      <c r="N614" t="s">
        <v>278</v>
      </c>
      <c r="O614" t="s">
        <v>28</v>
      </c>
      <c r="P614" t="s">
        <v>292</v>
      </c>
      <c r="Q614">
        <v>49</v>
      </c>
      <c r="R614">
        <v>2.3473220000000001</v>
      </c>
    </row>
    <row r="615" spans="1:18" x14ac:dyDescent="0.2">
      <c r="A615" t="s">
        <v>270</v>
      </c>
      <c r="B615" t="s">
        <v>1638</v>
      </c>
      <c r="C615">
        <v>1</v>
      </c>
      <c r="D615" s="1">
        <v>44090.993634259263</v>
      </c>
      <c r="E615" t="s">
        <v>1919</v>
      </c>
      <c r="F615" t="s">
        <v>273</v>
      </c>
      <c r="G615" t="s">
        <v>1754</v>
      </c>
      <c r="H615" t="s">
        <v>275</v>
      </c>
      <c r="I615" t="s">
        <v>29</v>
      </c>
      <c r="J615">
        <v>1</v>
      </c>
      <c r="K615">
        <f>1-844-242-3148</f>
        <v>-4233</v>
      </c>
      <c r="L615" t="s">
        <v>1920</v>
      </c>
      <c r="M615" t="s">
        <v>1921</v>
      </c>
      <c r="N615" t="s">
        <v>278</v>
      </c>
      <c r="O615" t="s">
        <v>28</v>
      </c>
      <c r="P615" t="s">
        <v>292</v>
      </c>
      <c r="Q615">
        <v>49</v>
      </c>
      <c r="R615">
        <v>2.3473220000000001</v>
      </c>
    </row>
    <row r="616" spans="1:18" x14ac:dyDescent="0.2">
      <c r="A616" t="s">
        <v>270</v>
      </c>
      <c r="B616" t="s">
        <v>1638</v>
      </c>
      <c r="C616">
        <v>1</v>
      </c>
      <c r="D616" s="1">
        <v>44090.992789351854</v>
      </c>
      <c r="E616" t="s">
        <v>1922</v>
      </c>
      <c r="F616" t="s">
        <v>273</v>
      </c>
      <c r="G616" t="s">
        <v>1754</v>
      </c>
      <c r="H616" t="s">
        <v>275</v>
      </c>
      <c r="I616" t="s">
        <v>29</v>
      </c>
      <c r="J616">
        <v>1</v>
      </c>
      <c r="K616">
        <f>1-844-242-3148</f>
        <v>-4233</v>
      </c>
      <c r="L616" t="s">
        <v>1923</v>
      </c>
      <c r="M616" t="s">
        <v>1924</v>
      </c>
      <c r="N616" t="s">
        <v>278</v>
      </c>
      <c r="O616" t="s">
        <v>28</v>
      </c>
      <c r="P616" t="s">
        <v>292</v>
      </c>
      <c r="Q616">
        <v>49</v>
      </c>
      <c r="R616">
        <v>2.3473220000000001</v>
      </c>
    </row>
    <row r="617" spans="1:18" x14ac:dyDescent="0.2">
      <c r="A617" t="s">
        <v>270</v>
      </c>
      <c r="B617" t="s">
        <v>1638</v>
      </c>
      <c r="C617">
        <v>1</v>
      </c>
      <c r="D617" s="1">
        <v>44090.992326388892</v>
      </c>
      <c r="E617" t="s">
        <v>1925</v>
      </c>
      <c r="F617" t="s">
        <v>273</v>
      </c>
      <c r="G617" t="s">
        <v>1754</v>
      </c>
      <c r="H617" t="s">
        <v>275</v>
      </c>
      <c r="I617" t="s">
        <v>29</v>
      </c>
      <c r="J617">
        <v>1</v>
      </c>
      <c r="K617">
        <f>1-844-242-3148</f>
        <v>-4233</v>
      </c>
      <c r="L617" t="s">
        <v>1926</v>
      </c>
      <c r="M617" t="s">
        <v>1927</v>
      </c>
      <c r="N617" t="s">
        <v>278</v>
      </c>
      <c r="O617" t="s">
        <v>28</v>
      </c>
      <c r="P617" t="s">
        <v>292</v>
      </c>
      <c r="Q617">
        <v>49</v>
      </c>
      <c r="R617">
        <v>2.3473220000000001</v>
      </c>
    </row>
    <row r="618" spans="1:18" x14ac:dyDescent="0.2">
      <c r="A618" t="s">
        <v>270</v>
      </c>
      <c r="B618" t="s">
        <v>1638</v>
      </c>
      <c r="C618">
        <v>1</v>
      </c>
      <c r="D618" s="1">
        <v>44090.991423611114</v>
      </c>
      <c r="E618" t="s">
        <v>1928</v>
      </c>
      <c r="F618" t="s">
        <v>273</v>
      </c>
      <c r="G618" t="s">
        <v>1754</v>
      </c>
      <c r="H618" t="s">
        <v>275</v>
      </c>
      <c r="I618" t="s">
        <v>29</v>
      </c>
      <c r="J618">
        <v>1</v>
      </c>
      <c r="K618">
        <f>1-844-242-3148</f>
        <v>-4233</v>
      </c>
      <c r="L618" t="s">
        <v>1929</v>
      </c>
      <c r="M618" t="s">
        <v>1930</v>
      </c>
      <c r="N618" t="s">
        <v>278</v>
      </c>
      <c r="O618" t="s">
        <v>28</v>
      </c>
      <c r="P618" t="s">
        <v>292</v>
      </c>
      <c r="Q618">
        <v>49</v>
      </c>
      <c r="R618">
        <v>2.3473220000000001</v>
      </c>
    </row>
    <row r="619" spans="1:18" x14ac:dyDescent="0.2">
      <c r="A619" t="s">
        <v>270</v>
      </c>
      <c r="B619" t="s">
        <v>1638</v>
      </c>
      <c r="C619">
        <v>1</v>
      </c>
      <c r="D619" s="1">
        <v>44090.991087962961</v>
      </c>
      <c r="E619" t="s">
        <v>1931</v>
      </c>
      <c r="F619" t="s">
        <v>273</v>
      </c>
      <c r="G619" t="s">
        <v>1754</v>
      </c>
      <c r="H619" t="s">
        <v>275</v>
      </c>
      <c r="I619" t="s">
        <v>29</v>
      </c>
      <c r="J619">
        <v>1</v>
      </c>
      <c r="K619">
        <f>1-844-242-3148</f>
        <v>-4233</v>
      </c>
      <c r="L619" t="s">
        <v>1932</v>
      </c>
      <c r="M619" t="s">
        <v>1933</v>
      </c>
      <c r="N619" t="s">
        <v>278</v>
      </c>
      <c r="O619" t="s">
        <v>28</v>
      </c>
      <c r="P619" t="s">
        <v>292</v>
      </c>
      <c r="Q619">
        <v>49</v>
      </c>
      <c r="R619">
        <v>2.3473220000000001</v>
      </c>
    </row>
    <row r="620" spans="1:18" x14ac:dyDescent="0.2">
      <c r="A620" t="s">
        <v>270</v>
      </c>
      <c r="B620" t="s">
        <v>1638</v>
      </c>
      <c r="C620">
        <v>1</v>
      </c>
      <c r="D620" s="1">
        <v>44090.79892361111</v>
      </c>
      <c r="E620" t="s">
        <v>1934</v>
      </c>
      <c r="F620" t="s">
        <v>273</v>
      </c>
      <c r="G620" t="s">
        <v>1754</v>
      </c>
      <c r="H620" t="s">
        <v>275</v>
      </c>
      <c r="I620" t="s">
        <v>29</v>
      </c>
      <c r="J620">
        <v>1</v>
      </c>
      <c r="K620">
        <f>1-844-221-2340</f>
        <v>-3404</v>
      </c>
      <c r="L620" t="s">
        <v>1935</v>
      </c>
      <c r="M620" t="s">
        <v>1936</v>
      </c>
      <c r="N620" t="s">
        <v>278</v>
      </c>
      <c r="O620" t="s">
        <v>28</v>
      </c>
      <c r="P620" t="s">
        <v>292</v>
      </c>
      <c r="Q620">
        <v>49</v>
      </c>
      <c r="R620">
        <v>2.3473220000000001</v>
      </c>
    </row>
    <row r="621" spans="1:18" x14ac:dyDescent="0.2">
      <c r="A621" t="s">
        <v>270</v>
      </c>
      <c r="B621" t="s">
        <v>1638</v>
      </c>
      <c r="C621">
        <v>1</v>
      </c>
      <c r="D621" s="1">
        <v>44090.798668981479</v>
      </c>
      <c r="E621" t="s">
        <v>1937</v>
      </c>
      <c r="F621" t="s">
        <v>273</v>
      </c>
      <c r="G621" t="s">
        <v>1754</v>
      </c>
      <c r="H621" t="s">
        <v>275</v>
      </c>
      <c r="I621" t="s">
        <v>29</v>
      </c>
      <c r="J621">
        <v>1</v>
      </c>
      <c r="K621">
        <f>1-844-210-5886</f>
        <v>-6939</v>
      </c>
      <c r="L621" t="s">
        <v>1938</v>
      </c>
      <c r="M621" t="s">
        <v>1939</v>
      </c>
      <c r="N621" t="s">
        <v>278</v>
      </c>
      <c r="O621" t="s">
        <v>28</v>
      </c>
      <c r="P621" t="s">
        <v>292</v>
      </c>
      <c r="Q621">
        <v>49</v>
      </c>
      <c r="R621">
        <v>2.3473220000000001</v>
      </c>
    </row>
    <row r="622" spans="1:18" x14ac:dyDescent="0.2">
      <c r="A622" t="s">
        <v>270</v>
      </c>
      <c r="B622" t="s">
        <v>1638</v>
      </c>
      <c r="C622">
        <v>1</v>
      </c>
      <c r="D622" s="1">
        <v>44090.798321759263</v>
      </c>
      <c r="E622" t="s">
        <v>1940</v>
      </c>
      <c r="F622" t="s">
        <v>273</v>
      </c>
      <c r="G622" t="s">
        <v>1754</v>
      </c>
      <c r="H622" t="s">
        <v>275</v>
      </c>
      <c r="I622" t="s">
        <v>29</v>
      </c>
      <c r="J622">
        <v>1</v>
      </c>
      <c r="K622">
        <f>1-844-243-4064</f>
        <v>-5150</v>
      </c>
      <c r="L622" t="s">
        <v>1941</v>
      </c>
      <c r="M622" t="s">
        <v>1942</v>
      </c>
      <c r="N622" t="s">
        <v>278</v>
      </c>
      <c r="O622" t="s">
        <v>28</v>
      </c>
      <c r="P622" t="s">
        <v>292</v>
      </c>
      <c r="Q622">
        <v>49</v>
      </c>
      <c r="R622">
        <v>2.3473220000000001</v>
      </c>
    </row>
    <row r="623" spans="1:18" x14ac:dyDescent="0.2">
      <c r="A623" t="s">
        <v>270</v>
      </c>
      <c r="B623" t="s">
        <v>1638</v>
      </c>
      <c r="C623">
        <v>1</v>
      </c>
      <c r="D623" s="1">
        <v>44090.797986111109</v>
      </c>
      <c r="E623" t="s">
        <v>1943</v>
      </c>
      <c r="F623" t="s">
        <v>273</v>
      </c>
      <c r="G623" t="s">
        <v>1754</v>
      </c>
      <c r="H623" t="s">
        <v>275</v>
      </c>
      <c r="I623" t="s">
        <v>29</v>
      </c>
      <c r="J623">
        <v>1</v>
      </c>
      <c r="K623">
        <f>1-844-243-4064</f>
        <v>-5150</v>
      </c>
      <c r="L623" t="s">
        <v>1944</v>
      </c>
      <c r="M623" t="s">
        <v>1945</v>
      </c>
      <c r="N623" t="s">
        <v>278</v>
      </c>
      <c r="O623" t="s">
        <v>28</v>
      </c>
      <c r="P623" t="s">
        <v>292</v>
      </c>
      <c r="Q623">
        <v>49</v>
      </c>
      <c r="R623">
        <v>2.3473220000000001</v>
      </c>
    </row>
    <row r="624" spans="1:18" x14ac:dyDescent="0.2">
      <c r="A624" t="s">
        <v>270</v>
      </c>
      <c r="B624" t="s">
        <v>1638</v>
      </c>
      <c r="C624">
        <v>1</v>
      </c>
      <c r="D624" s="1">
        <v>44090.797673611109</v>
      </c>
      <c r="E624" t="s">
        <v>1946</v>
      </c>
      <c r="F624" t="s">
        <v>273</v>
      </c>
      <c r="G624" t="s">
        <v>1754</v>
      </c>
      <c r="H624" t="s">
        <v>275</v>
      </c>
      <c r="I624" t="s">
        <v>29</v>
      </c>
      <c r="J624">
        <v>1</v>
      </c>
      <c r="K624">
        <f>1-844-214-1003</f>
        <v>-2060</v>
      </c>
      <c r="L624" t="s">
        <v>1947</v>
      </c>
      <c r="M624" t="s">
        <v>1948</v>
      </c>
      <c r="N624" t="s">
        <v>278</v>
      </c>
      <c r="O624" t="s">
        <v>28</v>
      </c>
      <c r="P624" t="s">
        <v>292</v>
      </c>
      <c r="Q624">
        <v>49</v>
      </c>
      <c r="R624">
        <v>2.3473220000000001</v>
      </c>
    </row>
    <row r="625" spans="1:18" x14ac:dyDescent="0.2">
      <c r="A625" t="s">
        <v>270</v>
      </c>
      <c r="B625" t="s">
        <v>1638</v>
      </c>
      <c r="C625">
        <v>1</v>
      </c>
      <c r="D625" s="1">
        <v>44090.416921296295</v>
      </c>
      <c r="E625" t="s">
        <v>1949</v>
      </c>
      <c r="F625" t="s">
        <v>273</v>
      </c>
      <c r="G625" t="s">
        <v>1754</v>
      </c>
      <c r="H625" t="s">
        <v>275</v>
      </c>
      <c r="I625" t="s">
        <v>29</v>
      </c>
      <c r="J625">
        <v>1</v>
      </c>
      <c r="K625">
        <f>1-844-318-8589</f>
        <v>-9750</v>
      </c>
      <c r="L625" t="s">
        <v>1950</v>
      </c>
      <c r="M625" t="s">
        <v>1951</v>
      </c>
      <c r="N625" t="s">
        <v>278</v>
      </c>
      <c r="O625" t="s">
        <v>28</v>
      </c>
      <c r="P625" t="s">
        <v>292</v>
      </c>
      <c r="Q625">
        <v>49</v>
      </c>
      <c r="R625">
        <v>2.3473220000000001</v>
      </c>
    </row>
    <row r="626" spans="1:18" x14ac:dyDescent="0.2">
      <c r="A626" t="s">
        <v>270</v>
      </c>
      <c r="B626" t="s">
        <v>1638</v>
      </c>
      <c r="C626">
        <v>1</v>
      </c>
      <c r="D626" s="1">
        <v>44090.416574074072</v>
      </c>
      <c r="E626" t="s">
        <v>1952</v>
      </c>
      <c r="F626" t="s">
        <v>273</v>
      </c>
      <c r="G626" t="s">
        <v>1754</v>
      </c>
      <c r="H626" t="s">
        <v>275</v>
      </c>
      <c r="I626" t="s">
        <v>29</v>
      </c>
      <c r="J626">
        <v>1</v>
      </c>
      <c r="K626">
        <f>1-844-318-8589</f>
        <v>-9750</v>
      </c>
      <c r="L626" t="s">
        <v>1953</v>
      </c>
      <c r="M626" t="s">
        <v>1954</v>
      </c>
      <c r="N626" t="s">
        <v>278</v>
      </c>
      <c r="O626" t="s">
        <v>28</v>
      </c>
      <c r="P626" t="s">
        <v>292</v>
      </c>
      <c r="Q626">
        <v>49</v>
      </c>
      <c r="R626">
        <v>2.3473220000000001</v>
      </c>
    </row>
    <row r="627" spans="1:18" x14ac:dyDescent="0.2">
      <c r="A627" t="s">
        <v>270</v>
      </c>
      <c r="B627" t="s">
        <v>1638</v>
      </c>
      <c r="C627">
        <v>1</v>
      </c>
      <c r="D627" s="1">
        <v>44090.416238425925</v>
      </c>
      <c r="E627" t="s">
        <v>1955</v>
      </c>
      <c r="F627" t="s">
        <v>273</v>
      </c>
      <c r="G627" t="s">
        <v>1754</v>
      </c>
      <c r="H627" t="s">
        <v>275</v>
      </c>
      <c r="I627" t="s">
        <v>29</v>
      </c>
      <c r="J627">
        <v>1</v>
      </c>
      <c r="K627">
        <f>1-844-254-8317</f>
        <v>-9414</v>
      </c>
      <c r="L627" t="s">
        <v>1956</v>
      </c>
      <c r="M627" t="s">
        <v>1957</v>
      </c>
      <c r="N627" t="s">
        <v>278</v>
      </c>
      <c r="O627" t="s">
        <v>28</v>
      </c>
      <c r="P627" t="s">
        <v>292</v>
      </c>
      <c r="Q627">
        <v>49</v>
      </c>
      <c r="R627">
        <v>2.3473220000000001</v>
      </c>
    </row>
    <row r="628" spans="1:18" x14ac:dyDescent="0.2">
      <c r="A628" t="s">
        <v>270</v>
      </c>
      <c r="B628" t="s">
        <v>1638</v>
      </c>
      <c r="C628">
        <v>1</v>
      </c>
      <c r="D628" s="1">
        <v>44090.415844907409</v>
      </c>
      <c r="E628" t="s">
        <v>1958</v>
      </c>
      <c r="F628" t="s">
        <v>273</v>
      </c>
      <c r="G628" t="s">
        <v>1754</v>
      </c>
      <c r="H628" t="s">
        <v>275</v>
      </c>
      <c r="I628" t="s">
        <v>29</v>
      </c>
      <c r="J628">
        <v>1</v>
      </c>
      <c r="K628">
        <f>1-844-293-8713</f>
        <v>-9849</v>
      </c>
      <c r="L628" t="s">
        <v>1959</v>
      </c>
      <c r="M628" t="s">
        <v>1960</v>
      </c>
      <c r="N628" t="s">
        <v>278</v>
      </c>
      <c r="O628" t="s">
        <v>28</v>
      </c>
      <c r="P628" t="s">
        <v>292</v>
      </c>
      <c r="Q628">
        <v>49</v>
      </c>
      <c r="R628">
        <v>2.3473220000000001</v>
      </c>
    </row>
    <row r="629" spans="1:18" x14ac:dyDescent="0.2">
      <c r="A629" t="s">
        <v>270</v>
      </c>
      <c r="B629" t="s">
        <v>1638</v>
      </c>
      <c r="C629">
        <v>1</v>
      </c>
      <c r="D629" s="1">
        <v>44090.415717592594</v>
      </c>
      <c r="E629" t="s">
        <v>1961</v>
      </c>
      <c r="F629" t="s">
        <v>273</v>
      </c>
      <c r="G629" t="s">
        <v>1754</v>
      </c>
      <c r="H629" t="s">
        <v>275</v>
      </c>
      <c r="I629" t="s">
        <v>29</v>
      </c>
      <c r="J629">
        <v>1</v>
      </c>
      <c r="K629">
        <f>1-844-293-8713</f>
        <v>-9849</v>
      </c>
      <c r="L629" t="s">
        <v>1962</v>
      </c>
      <c r="M629" t="s">
        <v>1963</v>
      </c>
      <c r="N629" t="s">
        <v>278</v>
      </c>
      <c r="O629" t="s">
        <v>28</v>
      </c>
      <c r="P629" t="s">
        <v>292</v>
      </c>
      <c r="Q629">
        <v>49</v>
      </c>
      <c r="R629">
        <v>2.3473220000000001</v>
      </c>
    </row>
    <row r="630" spans="1:18" x14ac:dyDescent="0.2">
      <c r="A630" t="s">
        <v>270</v>
      </c>
      <c r="B630" t="s">
        <v>1638</v>
      </c>
      <c r="C630">
        <v>1</v>
      </c>
      <c r="D630" s="1">
        <v>44090.415000000001</v>
      </c>
      <c r="E630" t="s">
        <v>1964</v>
      </c>
      <c r="F630" t="s">
        <v>273</v>
      </c>
      <c r="G630" t="s">
        <v>1754</v>
      </c>
      <c r="H630" t="s">
        <v>275</v>
      </c>
      <c r="I630" t="s">
        <v>29</v>
      </c>
      <c r="J630">
        <v>1</v>
      </c>
      <c r="K630">
        <f>1-844-311-7591</f>
        <v>-8745</v>
      </c>
      <c r="L630" t="s">
        <v>1965</v>
      </c>
      <c r="M630" t="s">
        <v>1966</v>
      </c>
      <c r="N630" t="s">
        <v>278</v>
      </c>
      <c r="O630" t="s">
        <v>28</v>
      </c>
      <c r="P630" t="s">
        <v>292</v>
      </c>
      <c r="Q630">
        <v>49</v>
      </c>
      <c r="R630">
        <v>2.3473220000000001</v>
      </c>
    </row>
    <row r="631" spans="1:18" x14ac:dyDescent="0.2">
      <c r="A631" t="s">
        <v>270</v>
      </c>
      <c r="B631" t="s">
        <v>1638</v>
      </c>
      <c r="C631">
        <v>1</v>
      </c>
      <c r="D631" s="1">
        <v>44090.414548611108</v>
      </c>
      <c r="E631" t="s">
        <v>1871</v>
      </c>
      <c r="F631" t="s">
        <v>273</v>
      </c>
      <c r="G631" t="s">
        <v>1754</v>
      </c>
      <c r="H631" t="s">
        <v>275</v>
      </c>
      <c r="I631" t="s">
        <v>29</v>
      </c>
      <c r="J631">
        <v>1</v>
      </c>
      <c r="K631">
        <f>1-844-311-7591</f>
        <v>-8745</v>
      </c>
      <c r="L631" t="s">
        <v>1967</v>
      </c>
      <c r="M631" t="s">
        <v>1968</v>
      </c>
      <c r="N631" t="s">
        <v>278</v>
      </c>
      <c r="O631" t="s">
        <v>28</v>
      </c>
      <c r="P631" t="s">
        <v>292</v>
      </c>
      <c r="Q631">
        <v>49</v>
      </c>
      <c r="R631">
        <v>2.3473220000000001</v>
      </c>
    </row>
    <row r="632" spans="1:18" x14ac:dyDescent="0.2">
      <c r="A632" t="s">
        <v>270</v>
      </c>
      <c r="B632" t="s">
        <v>1638</v>
      </c>
      <c r="C632">
        <v>1</v>
      </c>
      <c r="D632" s="1">
        <v>44089.810497685183</v>
      </c>
      <c r="E632" t="s">
        <v>1969</v>
      </c>
      <c r="F632" t="s">
        <v>273</v>
      </c>
      <c r="G632" t="s">
        <v>1754</v>
      </c>
      <c r="H632" t="s">
        <v>275</v>
      </c>
      <c r="I632" t="s">
        <v>29</v>
      </c>
      <c r="J632">
        <v>1</v>
      </c>
      <c r="K632">
        <f>1-844-233-1380</f>
        <v>-2456</v>
      </c>
      <c r="L632" t="s">
        <v>1970</v>
      </c>
      <c r="M632" t="s">
        <v>1971</v>
      </c>
      <c r="N632" t="s">
        <v>278</v>
      </c>
      <c r="O632" t="s">
        <v>28</v>
      </c>
      <c r="P632" t="s">
        <v>292</v>
      </c>
      <c r="Q632">
        <v>49</v>
      </c>
      <c r="R632">
        <v>2.3473220000000001</v>
      </c>
    </row>
    <row r="633" spans="1:18" x14ac:dyDescent="0.2">
      <c r="A633" t="s">
        <v>270</v>
      </c>
      <c r="B633" t="s">
        <v>1638</v>
      </c>
      <c r="C633">
        <v>1</v>
      </c>
      <c r="D633" s="1">
        <v>44089.755995370368</v>
      </c>
      <c r="E633" t="s">
        <v>1972</v>
      </c>
      <c r="F633" t="s">
        <v>273</v>
      </c>
      <c r="G633" t="s">
        <v>1754</v>
      </c>
      <c r="H633" t="s">
        <v>275</v>
      </c>
      <c r="I633" t="s">
        <v>29</v>
      </c>
      <c r="J633">
        <v>1</v>
      </c>
      <c r="K633">
        <f>1-844-218-3888</f>
        <v>-4949</v>
      </c>
      <c r="L633" t="s">
        <v>1973</v>
      </c>
      <c r="M633" t="s">
        <v>1974</v>
      </c>
      <c r="N633" t="s">
        <v>278</v>
      </c>
      <c r="O633" t="s">
        <v>28</v>
      </c>
      <c r="P633" t="s">
        <v>292</v>
      </c>
      <c r="Q633">
        <v>49</v>
      </c>
      <c r="R633">
        <v>2.3473220000000001</v>
      </c>
    </row>
    <row r="634" spans="1:18" x14ac:dyDescent="0.2">
      <c r="A634" t="s">
        <v>270</v>
      </c>
      <c r="B634" t="s">
        <v>1638</v>
      </c>
      <c r="C634">
        <v>1</v>
      </c>
      <c r="D634" s="1">
        <v>44089.755115740743</v>
      </c>
      <c r="E634" t="s">
        <v>1975</v>
      </c>
      <c r="F634" t="s">
        <v>273</v>
      </c>
      <c r="G634" t="s">
        <v>1754</v>
      </c>
      <c r="H634" t="s">
        <v>275</v>
      </c>
      <c r="I634" t="s">
        <v>29</v>
      </c>
      <c r="J634">
        <v>1</v>
      </c>
      <c r="K634">
        <f>1-844-218-3888</f>
        <v>-4949</v>
      </c>
      <c r="L634" t="s">
        <v>1976</v>
      </c>
      <c r="M634" t="s">
        <v>1977</v>
      </c>
      <c r="N634" t="s">
        <v>278</v>
      </c>
      <c r="O634" t="s">
        <v>28</v>
      </c>
      <c r="P634" t="s">
        <v>292</v>
      </c>
      <c r="Q634">
        <v>49</v>
      </c>
      <c r="R634">
        <v>2.3473220000000001</v>
      </c>
    </row>
    <row r="635" spans="1:18" x14ac:dyDescent="0.2">
      <c r="A635" t="s">
        <v>270</v>
      </c>
      <c r="B635" t="s">
        <v>1638</v>
      </c>
      <c r="C635">
        <v>1</v>
      </c>
      <c r="D635" s="1">
        <v>44089.431597222225</v>
      </c>
      <c r="E635" t="s">
        <v>1978</v>
      </c>
      <c r="F635" t="s">
        <v>273</v>
      </c>
      <c r="G635" t="s">
        <v>1754</v>
      </c>
      <c r="H635" t="s">
        <v>275</v>
      </c>
      <c r="I635" t="s">
        <v>29</v>
      </c>
      <c r="J635">
        <v>1</v>
      </c>
      <c r="K635">
        <f>1-844-210-4337</f>
        <v>-5390</v>
      </c>
      <c r="L635" t="s">
        <v>1979</v>
      </c>
      <c r="M635" t="s">
        <v>1980</v>
      </c>
      <c r="N635" t="s">
        <v>278</v>
      </c>
      <c r="O635" t="s">
        <v>28</v>
      </c>
      <c r="P635" t="s">
        <v>292</v>
      </c>
      <c r="Q635">
        <v>49</v>
      </c>
      <c r="R635">
        <v>2.3473220000000001</v>
      </c>
    </row>
    <row r="636" spans="1:18" x14ac:dyDescent="0.2">
      <c r="A636" t="s">
        <v>270</v>
      </c>
      <c r="B636" t="s">
        <v>1638</v>
      </c>
      <c r="C636">
        <v>1</v>
      </c>
      <c r="D636" s="1">
        <v>44089.430995370371</v>
      </c>
      <c r="E636" t="s">
        <v>1981</v>
      </c>
      <c r="F636" t="s">
        <v>273</v>
      </c>
      <c r="G636" t="s">
        <v>1754</v>
      </c>
      <c r="H636" t="s">
        <v>275</v>
      </c>
      <c r="I636" t="s">
        <v>29</v>
      </c>
      <c r="J636">
        <v>1</v>
      </c>
      <c r="K636">
        <f>1-844-210-4337</f>
        <v>-5390</v>
      </c>
      <c r="L636" t="s">
        <v>1982</v>
      </c>
      <c r="M636" t="s">
        <v>1983</v>
      </c>
      <c r="N636" t="s">
        <v>278</v>
      </c>
      <c r="O636" t="s">
        <v>28</v>
      </c>
      <c r="P636" t="s">
        <v>292</v>
      </c>
      <c r="Q636">
        <v>49</v>
      </c>
      <c r="R636">
        <v>2.3473220000000001</v>
      </c>
    </row>
    <row r="637" spans="1:18" x14ac:dyDescent="0.2">
      <c r="A637" t="s">
        <v>270</v>
      </c>
      <c r="B637" t="s">
        <v>1638</v>
      </c>
      <c r="C637">
        <v>1</v>
      </c>
      <c r="D637" s="1">
        <v>44089.430578703701</v>
      </c>
      <c r="E637" t="s">
        <v>1984</v>
      </c>
      <c r="F637" t="s">
        <v>273</v>
      </c>
      <c r="G637" t="s">
        <v>1754</v>
      </c>
      <c r="H637" t="s">
        <v>275</v>
      </c>
      <c r="I637" t="s">
        <v>29</v>
      </c>
      <c r="J637">
        <v>1</v>
      </c>
      <c r="K637">
        <f>1-844-210-4337</f>
        <v>-5390</v>
      </c>
      <c r="L637" t="s">
        <v>1985</v>
      </c>
      <c r="M637" t="s">
        <v>1986</v>
      </c>
      <c r="N637" t="s">
        <v>278</v>
      </c>
      <c r="O637" t="s">
        <v>28</v>
      </c>
      <c r="P637" t="s">
        <v>292</v>
      </c>
      <c r="Q637">
        <v>49</v>
      </c>
      <c r="R637">
        <v>2.3473220000000001</v>
      </c>
    </row>
    <row r="638" spans="1:18" x14ac:dyDescent="0.2">
      <c r="A638" t="s">
        <v>270</v>
      </c>
      <c r="B638" t="s">
        <v>1638</v>
      </c>
      <c r="C638">
        <v>1</v>
      </c>
      <c r="D638" s="1">
        <v>44089.430567129632</v>
      </c>
      <c r="E638" t="s">
        <v>1987</v>
      </c>
      <c r="F638" t="s">
        <v>273</v>
      </c>
      <c r="G638" t="s">
        <v>1754</v>
      </c>
      <c r="H638" t="s">
        <v>275</v>
      </c>
      <c r="I638" t="s">
        <v>29</v>
      </c>
      <c r="J638">
        <v>1</v>
      </c>
      <c r="K638">
        <f>1-844-210-4337</f>
        <v>-5390</v>
      </c>
      <c r="L638" t="s">
        <v>1988</v>
      </c>
      <c r="M638" t="s">
        <v>1989</v>
      </c>
      <c r="N638" t="s">
        <v>278</v>
      </c>
      <c r="O638" t="s">
        <v>28</v>
      </c>
      <c r="P638" t="s">
        <v>292</v>
      </c>
      <c r="Q638">
        <v>49</v>
      </c>
      <c r="R638">
        <v>2.3473220000000001</v>
      </c>
    </row>
    <row r="639" spans="1:18" x14ac:dyDescent="0.2">
      <c r="A639" t="s">
        <v>270</v>
      </c>
      <c r="B639" t="s">
        <v>1638</v>
      </c>
      <c r="C639">
        <v>1</v>
      </c>
      <c r="D639" s="1">
        <v>44088.782870370371</v>
      </c>
      <c r="E639" t="s">
        <v>1990</v>
      </c>
      <c r="F639" t="s">
        <v>273</v>
      </c>
      <c r="G639" t="s">
        <v>1754</v>
      </c>
      <c r="H639" t="s">
        <v>275</v>
      </c>
      <c r="I639" t="s">
        <v>29</v>
      </c>
      <c r="J639">
        <v>1</v>
      </c>
      <c r="K639">
        <f>1-844-212-1446</f>
        <v>-2501</v>
      </c>
      <c r="L639" t="s">
        <v>1991</v>
      </c>
      <c r="M639" t="s">
        <v>1992</v>
      </c>
      <c r="N639" t="s">
        <v>278</v>
      </c>
      <c r="O639" t="s">
        <v>28</v>
      </c>
      <c r="P639" t="s">
        <v>292</v>
      </c>
      <c r="Q639">
        <v>49</v>
      </c>
      <c r="R639">
        <v>2.3473220000000001</v>
      </c>
    </row>
    <row r="640" spans="1:18" x14ac:dyDescent="0.2">
      <c r="A640" t="s">
        <v>270</v>
      </c>
      <c r="B640" t="s">
        <v>1638</v>
      </c>
      <c r="C640">
        <v>1</v>
      </c>
      <c r="D640" s="1">
        <v>44088.775046296294</v>
      </c>
      <c r="E640" t="s">
        <v>1993</v>
      </c>
      <c r="F640" t="s">
        <v>273</v>
      </c>
      <c r="G640" t="s">
        <v>1754</v>
      </c>
      <c r="H640" t="s">
        <v>275</v>
      </c>
      <c r="I640" t="s">
        <v>29</v>
      </c>
      <c r="J640">
        <v>1</v>
      </c>
      <c r="K640">
        <f>1-844-212-7353</f>
        <v>-8408</v>
      </c>
      <c r="L640" t="s">
        <v>1994</v>
      </c>
      <c r="M640" t="s">
        <v>1995</v>
      </c>
      <c r="N640" t="s">
        <v>278</v>
      </c>
      <c r="O640" t="s">
        <v>28</v>
      </c>
      <c r="P640" t="s">
        <v>292</v>
      </c>
      <c r="Q640">
        <v>49</v>
      </c>
      <c r="R640">
        <v>2.3473220000000001</v>
      </c>
    </row>
    <row r="641" spans="1:18" x14ac:dyDescent="0.2">
      <c r="A641" t="s">
        <v>270</v>
      </c>
      <c r="B641" t="s">
        <v>1638</v>
      </c>
      <c r="C641">
        <v>1</v>
      </c>
      <c r="D641" s="1">
        <v>44088.941018518519</v>
      </c>
      <c r="E641" t="s">
        <v>1996</v>
      </c>
      <c r="F641" t="s">
        <v>273</v>
      </c>
      <c r="G641" t="s">
        <v>1754</v>
      </c>
      <c r="H641" t="s">
        <v>275</v>
      </c>
      <c r="I641" t="s">
        <v>29</v>
      </c>
      <c r="J641">
        <v>1</v>
      </c>
      <c r="K641">
        <f>1-844-225-7967</f>
        <v>-9035</v>
      </c>
      <c r="L641" t="s">
        <v>1997</v>
      </c>
      <c r="M641" t="s">
        <v>1998</v>
      </c>
      <c r="N641" t="s">
        <v>278</v>
      </c>
      <c r="O641" t="s">
        <v>28</v>
      </c>
      <c r="P641" t="s">
        <v>292</v>
      </c>
      <c r="Q641">
        <v>49</v>
      </c>
      <c r="R641">
        <v>2.3473220000000001</v>
      </c>
    </row>
    <row r="642" spans="1:18" x14ac:dyDescent="0.2">
      <c r="A642" t="s">
        <v>270</v>
      </c>
      <c r="B642" t="s">
        <v>1638</v>
      </c>
      <c r="C642">
        <v>1</v>
      </c>
      <c r="D642" s="1">
        <v>44084.784270833334</v>
      </c>
      <c r="E642" t="s">
        <v>1999</v>
      </c>
      <c r="F642" t="s">
        <v>273</v>
      </c>
      <c r="G642" t="s">
        <v>1754</v>
      </c>
      <c r="H642" t="s">
        <v>275</v>
      </c>
      <c r="I642" t="s">
        <v>29</v>
      </c>
      <c r="J642">
        <v>1</v>
      </c>
      <c r="K642">
        <f>1-844-318-7909</f>
        <v>-9070</v>
      </c>
      <c r="L642" t="s">
        <v>2000</v>
      </c>
      <c r="M642" t="s">
        <v>2001</v>
      </c>
      <c r="N642" t="s">
        <v>278</v>
      </c>
      <c r="O642" t="s">
        <v>28</v>
      </c>
      <c r="P642" t="s">
        <v>292</v>
      </c>
      <c r="Q642">
        <v>49</v>
      </c>
      <c r="R642">
        <v>2.3473220000000001</v>
      </c>
    </row>
    <row r="643" spans="1:18" x14ac:dyDescent="0.2">
      <c r="A643" t="s">
        <v>270</v>
      </c>
      <c r="B643" t="s">
        <v>1638</v>
      </c>
      <c r="C643">
        <v>1</v>
      </c>
      <c r="D643" s="1">
        <v>44084.782812500001</v>
      </c>
      <c r="E643" t="s">
        <v>2002</v>
      </c>
      <c r="F643" t="s">
        <v>273</v>
      </c>
      <c r="G643" t="s">
        <v>1754</v>
      </c>
      <c r="H643" t="s">
        <v>275</v>
      </c>
      <c r="I643" t="s">
        <v>29</v>
      </c>
      <c r="J643">
        <v>1</v>
      </c>
      <c r="K643">
        <f>1-888-608-5109</f>
        <v>-6604</v>
      </c>
      <c r="L643" t="s">
        <v>2003</v>
      </c>
      <c r="M643" t="s">
        <v>2004</v>
      </c>
      <c r="N643" t="s">
        <v>278</v>
      </c>
      <c r="O643" t="s">
        <v>28</v>
      </c>
      <c r="P643" t="s">
        <v>292</v>
      </c>
      <c r="Q643">
        <v>49</v>
      </c>
      <c r="R643">
        <v>2.3473220000000001</v>
      </c>
    </row>
    <row r="644" spans="1:18" x14ac:dyDescent="0.2">
      <c r="A644" t="s">
        <v>270</v>
      </c>
      <c r="B644" t="s">
        <v>1638</v>
      </c>
      <c r="C644">
        <v>1</v>
      </c>
      <c r="D644" s="1">
        <v>44084.782210648147</v>
      </c>
      <c r="E644" t="s">
        <v>2005</v>
      </c>
      <c r="F644" t="s">
        <v>273</v>
      </c>
      <c r="G644" t="s">
        <v>1754</v>
      </c>
      <c r="H644" t="s">
        <v>275</v>
      </c>
      <c r="I644" t="s">
        <v>29</v>
      </c>
      <c r="J644">
        <v>1</v>
      </c>
      <c r="K644">
        <f>1-888-608-5109</f>
        <v>-6604</v>
      </c>
      <c r="L644" t="s">
        <v>2006</v>
      </c>
      <c r="M644" t="s">
        <v>2007</v>
      </c>
      <c r="N644" t="s">
        <v>278</v>
      </c>
      <c r="O644" t="s">
        <v>28</v>
      </c>
      <c r="P644" t="s">
        <v>292</v>
      </c>
      <c r="Q644">
        <v>49</v>
      </c>
      <c r="R644">
        <v>2.3473220000000001</v>
      </c>
    </row>
    <row r="645" spans="1:18" x14ac:dyDescent="0.2">
      <c r="A645" t="s">
        <v>270</v>
      </c>
      <c r="B645" t="s">
        <v>1638</v>
      </c>
      <c r="C645">
        <v>1</v>
      </c>
      <c r="D645" s="1">
        <v>44084.781284722223</v>
      </c>
      <c r="E645" t="s">
        <v>2008</v>
      </c>
      <c r="F645" t="s">
        <v>273</v>
      </c>
      <c r="G645" t="s">
        <v>1754</v>
      </c>
      <c r="H645" t="s">
        <v>275</v>
      </c>
      <c r="I645" t="s">
        <v>29</v>
      </c>
      <c r="J645">
        <v>1</v>
      </c>
      <c r="K645">
        <f>1-888-608-5109</f>
        <v>-6604</v>
      </c>
      <c r="L645" t="s">
        <v>2009</v>
      </c>
      <c r="M645" t="s">
        <v>2010</v>
      </c>
      <c r="N645" t="s">
        <v>278</v>
      </c>
      <c r="O645" t="s">
        <v>28</v>
      </c>
      <c r="P645" t="s">
        <v>292</v>
      </c>
      <c r="Q645">
        <v>49</v>
      </c>
      <c r="R645">
        <v>2.3473220000000001</v>
      </c>
    </row>
    <row r="646" spans="1:18" x14ac:dyDescent="0.2">
      <c r="A646" t="s">
        <v>270</v>
      </c>
      <c r="B646" t="s">
        <v>1638</v>
      </c>
      <c r="C646">
        <v>1</v>
      </c>
      <c r="D646" s="1">
        <v>44084.780578703707</v>
      </c>
      <c r="E646" t="s">
        <v>2011</v>
      </c>
      <c r="F646" t="s">
        <v>273</v>
      </c>
      <c r="G646" t="s">
        <v>1754</v>
      </c>
      <c r="H646" t="s">
        <v>275</v>
      </c>
      <c r="I646" t="s">
        <v>29</v>
      </c>
      <c r="J646">
        <v>1</v>
      </c>
      <c r="K646">
        <f>1-888-608-5109</f>
        <v>-6604</v>
      </c>
      <c r="L646" t="s">
        <v>2012</v>
      </c>
      <c r="M646" t="s">
        <v>2013</v>
      </c>
      <c r="N646" t="s">
        <v>278</v>
      </c>
      <c r="O646" t="s">
        <v>28</v>
      </c>
      <c r="P646" t="s">
        <v>292</v>
      </c>
      <c r="Q646">
        <v>49</v>
      </c>
      <c r="R646">
        <v>2.3473220000000001</v>
      </c>
    </row>
    <row r="647" spans="1:18" x14ac:dyDescent="0.2">
      <c r="A647" t="s">
        <v>270</v>
      </c>
      <c r="B647" t="s">
        <v>1638</v>
      </c>
      <c r="C647">
        <v>1</v>
      </c>
      <c r="D647" s="1">
        <v>44083.83116898148</v>
      </c>
      <c r="E647" t="s">
        <v>2014</v>
      </c>
      <c r="F647" t="s">
        <v>273</v>
      </c>
      <c r="G647" t="s">
        <v>1754</v>
      </c>
      <c r="H647" t="s">
        <v>275</v>
      </c>
      <c r="I647" t="s">
        <v>29</v>
      </c>
      <c r="J647">
        <v>1</v>
      </c>
      <c r="K647">
        <f>1-888-599-5036</f>
        <v>-6522</v>
      </c>
      <c r="L647" t="s">
        <v>2015</v>
      </c>
      <c r="M647" t="s">
        <v>2016</v>
      </c>
      <c r="N647" t="s">
        <v>278</v>
      </c>
      <c r="O647" t="s">
        <v>28</v>
      </c>
      <c r="P647" t="s">
        <v>292</v>
      </c>
      <c r="Q647">
        <v>49</v>
      </c>
      <c r="R647">
        <v>2.3473220000000001</v>
      </c>
    </row>
    <row r="648" spans="1:18" x14ac:dyDescent="0.2">
      <c r="A648" t="s">
        <v>270</v>
      </c>
      <c r="B648" t="s">
        <v>1638</v>
      </c>
      <c r="C648">
        <v>1</v>
      </c>
      <c r="D648" s="1">
        <v>44083.830254629633</v>
      </c>
      <c r="E648" t="s">
        <v>2017</v>
      </c>
      <c r="F648" t="s">
        <v>273</v>
      </c>
      <c r="G648" t="s">
        <v>1754</v>
      </c>
      <c r="H648" t="s">
        <v>275</v>
      </c>
      <c r="I648" t="s">
        <v>29</v>
      </c>
      <c r="J648">
        <v>1</v>
      </c>
      <c r="K648">
        <f>1-888-585-6916</f>
        <v>-8388</v>
      </c>
      <c r="L648" t="s">
        <v>2018</v>
      </c>
      <c r="M648" t="s">
        <v>2019</v>
      </c>
      <c r="N648" t="s">
        <v>278</v>
      </c>
      <c r="O648" t="s">
        <v>28</v>
      </c>
      <c r="P648" t="s">
        <v>292</v>
      </c>
      <c r="Q648">
        <v>49</v>
      </c>
      <c r="R648">
        <v>2.3473220000000001</v>
      </c>
    </row>
    <row r="649" spans="1:18" x14ac:dyDescent="0.2">
      <c r="A649" t="s">
        <v>270</v>
      </c>
      <c r="B649" t="s">
        <v>1638</v>
      </c>
      <c r="C649">
        <v>1</v>
      </c>
      <c r="D649" s="1">
        <v>44083.829432870371</v>
      </c>
      <c r="E649" t="s">
        <v>2020</v>
      </c>
      <c r="F649" t="s">
        <v>273</v>
      </c>
      <c r="G649" t="s">
        <v>1754</v>
      </c>
      <c r="H649" t="s">
        <v>275</v>
      </c>
      <c r="I649" t="s">
        <v>29</v>
      </c>
      <c r="J649">
        <v>1</v>
      </c>
      <c r="K649">
        <f>1-888-592-7014</f>
        <v>-8493</v>
      </c>
      <c r="L649" t="s">
        <v>2021</v>
      </c>
      <c r="M649" t="s">
        <v>2022</v>
      </c>
      <c r="N649" t="s">
        <v>278</v>
      </c>
      <c r="O649" t="s">
        <v>28</v>
      </c>
      <c r="P649" t="s">
        <v>292</v>
      </c>
      <c r="Q649">
        <v>49</v>
      </c>
      <c r="R649">
        <v>2.3473220000000001</v>
      </c>
    </row>
    <row r="650" spans="1:18" x14ac:dyDescent="0.2">
      <c r="A650" t="s">
        <v>270</v>
      </c>
      <c r="B650" t="s">
        <v>1638</v>
      </c>
      <c r="C650">
        <v>1</v>
      </c>
      <c r="D650" s="1">
        <v>44083.828946759262</v>
      </c>
      <c r="E650" t="s">
        <v>2023</v>
      </c>
      <c r="F650" t="s">
        <v>273</v>
      </c>
      <c r="G650" t="s">
        <v>1754</v>
      </c>
      <c r="H650" t="s">
        <v>275</v>
      </c>
      <c r="I650" t="s">
        <v>29</v>
      </c>
      <c r="J650">
        <v>1</v>
      </c>
      <c r="K650">
        <f>1-888-585-7516</f>
        <v>-8988</v>
      </c>
      <c r="L650" t="s">
        <v>2024</v>
      </c>
      <c r="M650" t="s">
        <v>2025</v>
      </c>
      <c r="N650" t="s">
        <v>278</v>
      </c>
      <c r="O650" t="s">
        <v>28</v>
      </c>
      <c r="P650" t="s">
        <v>292</v>
      </c>
      <c r="Q650">
        <v>49</v>
      </c>
      <c r="R650">
        <v>2.3473220000000001</v>
      </c>
    </row>
    <row r="651" spans="1:18" x14ac:dyDescent="0.2">
      <c r="A651" t="s">
        <v>270</v>
      </c>
      <c r="B651" t="s">
        <v>1638</v>
      </c>
      <c r="C651">
        <v>1</v>
      </c>
      <c r="D651" s="1">
        <v>44083.806990740741</v>
      </c>
      <c r="E651" t="s">
        <v>2026</v>
      </c>
      <c r="F651" t="s">
        <v>273</v>
      </c>
      <c r="G651" t="s">
        <v>1754</v>
      </c>
      <c r="H651" t="s">
        <v>275</v>
      </c>
      <c r="I651" t="s">
        <v>29</v>
      </c>
      <c r="J651">
        <v>1</v>
      </c>
      <c r="K651">
        <f>1-888-592-7014</f>
        <v>-8493</v>
      </c>
      <c r="L651" t="s">
        <v>2027</v>
      </c>
      <c r="M651" t="s">
        <v>2028</v>
      </c>
      <c r="N651" t="s">
        <v>278</v>
      </c>
      <c r="O651" t="s">
        <v>28</v>
      </c>
      <c r="P651" t="s">
        <v>292</v>
      </c>
      <c r="Q651">
        <v>49</v>
      </c>
      <c r="R651">
        <v>2.3473220000000001</v>
      </c>
    </row>
    <row r="652" spans="1:18" x14ac:dyDescent="0.2">
      <c r="A652" t="s">
        <v>270</v>
      </c>
      <c r="B652" t="s">
        <v>1638</v>
      </c>
      <c r="C652">
        <v>1</v>
      </c>
      <c r="D652" s="1">
        <v>44083.801192129627</v>
      </c>
      <c r="E652" t="s">
        <v>2029</v>
      </c>
      <c r="F652" t="s">
        <v>273</v>
      </c>
      <c r="G652" t="s">
        <v>1754</v>
      </c>
      <c r="H652" t="s">
        <v>275</v>
      </c>
      <c r="I652" t="s">
        <v>29</v>
      </c>
      <c r="J652">
        <v>1</v>
      </c>
      <c r="K652">
        <f>1-888-599-5036</f>
        <v>-6522</v>
      </c>
      <c r="L652" t="s">
        <v>2030</v>
      </c>
      <c r="M652" t="s">
        <v>2031</v>
      </c>
      <c r="N652" t="s">
        <v>278</v>
      </c>
      <c r="O652" t="s">
        <v>28</v>
      </c>
      <c r="P652" t="s">
        <v>292</v>
      </c>
      <c r="Q652">
        <v>49</v>
      </c>
      <c r="R652">
        <v>2.3473220000000001</v>
      </c>
    </row>
    <row r="653" spans="1:18" x14ac:dyDescent="0.2">
      <c r="A653" t="s">
        <v>270</v>
      </c>
      <c r="B653" t="s">
        <v>1638</v>
      </c>
      <c r="C653">
        <v>1</v>
      </c>
      <c r="D653" s="1">
        <v>44082.945706018516</v>
      </c>
      <c r="E653" t="s">
        <v>2032</v>
      </c>
      <c r="F653" t="s">
        <v>273</v>
      </c>
      <c r="G653" t="s">
        <v>1754</v>
      </c>
      <c r="H653" t="s">
        <v>275</v>
      </c>
      <c r="I653" t="s">
        <v>29</v>
      </c>
      <c r="J653">
        <v>1</v>
      </c>
      <c r="K653">
        <f>1-888-599-8076</f>
        <v>-9562</v>
      </c>
      <c r="L653" t="s">
        <v>2033</v>
      </c>
      <c r="M653" t="s">
        <v>2034</v>
      </c>
      <c r="N653" t="s">
        <v>278</v>
      </c>
      <c r="O653" t="s">
        <v>28</v>
      </c>
      <c r="P653" t="s">
        <v>292</v>
      </c>
      <c r="Q653">
        <v>49</v>
      </c>
      <c r="R653">
        <v>2.3473220000000001</v>
      </c>
    </row>
    <row r="654" spans="1:18" x14ac:dyDescent="0.2">
      <c r="A654" t="s">
        <v>270</v>
      </c>
      <c r="B654" t="s">
        <v>1638</v>
      </c>
      <c r="C654">
        <v>1</v>
      </c>
      <c r="D654" s="1">
        <v>44082.916655092595</v>
      </c>
      <c r="E654" t="s">
        <v>2035</v>
      </c>
      <c r="F654" t="s">
        <v>273</v>
      </c>
      <c r="G654" t="s">
        <v>1754</v>
      </c>
      <c r="H654" t="s">
        <v>275</v>
      </c>
      <c r="I654" t="s">
        <v>29</v>
      </c>
      <c r="J654">
        <v>1</v>
      </c>
      <c r="K654">
        <f>1-888-585-7311</f>
        <v>-8783</v>
      </c>
      <c r="L654" t="s">
        <v>2036</v>
      </c>
      <c r="M654" t="s">
        <v>2037</v>
      </c>
      <c r="N654" t="s">
        <v>278</v>
      </c>
      <c r="O654" t="s">
        <v>28</v>
      </c>
      <c r="P654" t="s">
        <v>292</v>
      </c>
      <c r="Q654">
        <v>49</v>
      </c>
      <c r="R654">
        <v>2.3473220000000001</v>
      </c>
    </row>
    <row r="655" spans="1:18" x14ac:dyDescent="0.2">
      <c r="A655" t="s">
        <v>270</v>
      </c>
      <c r="B655" t="s">
        <v>1638</v>
      </c>
      <c r="C655">
        <v>1</v>
      </c>
      <c r="D655" s="1">
        <v>44078.85728009259</v>
      </c>
      <c r="E655" t="s">
        <v>2038</v>
      </c>
      <c r="F655" t="s">
        <v>273</v>
      </c>
      <c r="G655" t="s">
        <v>1754</v>
      </c>
      <c r="H655" t="s">
        <v>275</v>
      </c>
      <c r="I655" t="s">
        <v>29</v>
      </c>
      <c r="J655">
        <v>1</v>
      </c>
      <c r="K655">
        <f>1-888-530-1472</f>
        <v>-2889</v>
      </c>
      <c r="L655" t="s">
        <v>2039</v>
      </c>
      <c r="M655" t="s">
        <v>2040</v>
      </c>
      <c r="N655" t="s">
        <v>278</v>
      </c>
      <c r="O655" t="s">
        <v>134</v>
      </c>
      <c r="P655" t="s">
        <v>292</v>
      </c>
      <c r="Q655">
        <v>49</v>
      </c>
      <c r="R655">
        <v>2.3473220000000001</v>
      </c>
    </row>
    <row r="656" spans="1:18" x14ac:dyDescent="0.2">
      <c r="A656" t="s">
        <v>270</v>
      </c>
      <c r="B656" t="s">
        <v>1638</v>
      </c>
      <c r="C656">
        <v>1</v>
      </c>
      <c r="D656" s="1">
        <v>44078.850937499999</v>
      </c>
      <c r="E656" t="s">
        <v>2041</v>
      </c>
      <c r="F656" t="s">
        <v>273</v>
      </c>
      <c r="G656" t="s">
        <v>1754</v>
      </c>
      <c r="H656" t="s">
        <v>275</v>
      </c>
      <c r="I656" t="s">
        <v>29</v>
      </c>
      <c r="J656">
        <v>1</v>
      </c>
      <c r="K656">
        <f>1-866-508-4958</f>
        <v>-6331</v>
      </c>
      <c r="L656" t="s">
        <v>2042</v>
      </c>
      <c r="M656" t="s">
        <v>2043</v>
      </c>
      <c r="N656" t="s">
        <v>278</v>
      </c>
      <c r="O656" t="s">
        <v>134</v>
      </c>
      <c r="P656" t="s">
        <v>292</v>
      </c>
      <c r="Q656">
        <v>49</v>
      </c>
      <c r="R656">
        <v>2.3473220000000001</v>
      </c>
    </row>
    <row r="657" spans="1:18" x14ac:dyDescent="0.2">
      <c r="A657" t="s">
        <v>270</v>
      </c>
      <c r="B657" t="s">
        <v>1638</v>
      </c>
      <c r="C657">
        <v>1</v>
      </c>
      <c r="D657" s="1">
        <v>44078.850462962961</v>
      </c>
      <c r="E657" t="s">
        <v>2044</v>
      </c>
      <c r="F657" t="s">
        <v>273</v>
      </c>
      <c r="G657" t="s">
        <v>1754</v>
      </c>
      <c r="H657" t="s">
        <v>275</v>
      </c>
      <c r="I657" t="s">
        <v>29</v>
      </c>
      <c r="J657">
        <v>1</v>
      </c>
      <c r="K657">
        <f>1-866-674-6552</f>
        <v>-8091</v>
      </c>
      <c r="L657" t="s">
        <v>2045</v>
      </c>
      <c r="M657" t="s">
        <v>2046</v>
      </c>
      <c r="N657" t="s">
        <v>278</v>
      </c>
      <c r="O657" t="s">
        <v>134</v>
      </c>
      <c r="P657" t="s">
        <v>292</v>
      </c>
      <c r="Q657">
        <v>49</v>
      </c>
      <c r="R657">
        <v>2.3473220000000001</v>
      </c>
    </row>
    <row r="658" spans="1:18" x14ac:dyDescent="0.2">
      <c r="A658" t="s">
        <v>270</v>
      </c>
      <c r="B658" t="s">
        <v>1638</v>
      </c>
      <c r="C658">
        <v>1</v>
      </c>
      <c r="D658" s="1">
        <v>44074.931030092594</v>
      </c>
      <c r="E658" t="s">
        <v>2047</v>
      </c>
      <c r="F658" t="s">
        <v>273</v>
      </c>
      <c r="G658" t="s">
        <v>1754</v>
      </c>
      <c r="H658" t="s">
        <v>275</v>
      </c>
      <c r="I658" t="s">
        <v>29</v>
      </c>
      <c r="J658">
        <v>1</v>
      </c>
      <c r="K658">
        <f>1-888-658-268</f>
        <v>-1813</v>
      </c>
      <c r="L658" t="s">
        <v>2048</v>
      </c>
      <c r="M658" t="s">
        <v>2049</v>
      </c>
      <c r="N658" t="s">
        <v>278</v>
      </c>
      <c r="O658" t="s">
        <v>28</v>
      </c>
      <c r="P658" t="s">
        <v>292</v>
      </c>
      <c r="Q658">
        <v>49</v>
      </c>
      <c r="R658">
        <v>2.3473220000000001</v>
      </c>
    </row>
    <row r="659" spans="1:18" x14ac:dyDescent="0.2">
      <c r="A659" t="s">
        <v>270</v>
      </c>
      <c r="B659" t="s">
        <v>1638</v>
      </c>
      <c r="C659">
        <v>1</v>
      </c>
      <c r="D659" s="1">
        <v>44074.930891203701</v>
      </c>
      <c r="E659" t="s">
        <v>2050</v>
      </c>
      <c r="F659" t="s">
        <v>273</v>
      </c>
      <c r="G659" t="s">
        <v>1754</v>
      </c>
      <c r="H659" t="s">
        <v>275</v>
      </c>
      <c r="I659" t="s">
        <v>29</v>
      </c>
      <c r="J659">
        <v>1</v>
      </c>
      <c r="K659">
        <f>1-888-593-9012</f>
        <v>-10492</v>
      </c>
      <c r="L659" t="s">
        <v>2051</v>
      </c>
      <c r="M659" t="s">
        <v>2052</v>
      </c>
      <c r="N659" t="s">
        <v>278</v>
      </c>
      <c r="O659" t="s">
        <v>28</v>
      </c>
      <c r="P659" t="s">
        <v>292</v>
      </c>
      <c r="Q659">
        <v>49</v>
      </c>
      <c r="R659">
        <v>2.3473220000000001</v>
      </c>
    </row>
    <row r="660" spans="1:18" x14ac:dyDescent="0.2">
      <c r="A660" t="s">
        <v>270</v>
      </c>
      <c r="B660" t="s">
        <v>1638</v>
      </c>
      <c r="C660">
        <v>1</v>
      </c>
      <c r="D660" s="1">
        <v>44074.930081018516</v>
      </c>
      <c r="E660" t="s">
        <v>2053</v>
      </c>
      <c r="F660" t="s">
        <v>273</v>
      </c>
      <c r="G660" t="s">
        <v>1754</v>
      </c>
      <c r="H660" t="s">
        <v>275</v>
      </c>
      <c r="I660" t="s">
        <v>29</v>
      </c>
      <c r="J660">
        <v>1</v>
      </c>
      <c r="K660">
        <f>1-888-654-8048</f>
        <v>-9589</v>
      </c>
      <c r="L660" t="s">
        <v>2054</v>
      </c>
      <c r="M660" t="s">
        <v>2055</v>
      </c>
      <c r="N660" t="s">
        <v>278</v>
      </c>
      <c r="O660" t="s">
        <v>28</v>
      </c>
      <c r="P660" t="s">
        <v>292</v>
      </c>
      <c r="Q660">
        <v>49</v>
      </c>
      <c r="R660">
        <v>2.3473220000000001</v>
      </c>
    </row>
    <row r="661" spans="1:18" x14ac:dyDescent="0.2">
      <c r="A661" t="s">
        <v>270</v>
      </c>
      <c r="B661" t="s">
        <v>1638</v>
      </c>
      <c r="C661">
        <v>1</v>
      </c>
      <c r="D661" s="1">
        <v>44074.929722222223</v>
      </c>
      <c r="E661" t="s">
        <v>2056</v>
      </c>
      <c r="F661" t="s">
        <v>273</v>
      </c>
      <c r="G661" t="s">
        <v>1754</v>
      </c>
      <c r="H661" t="s">
        <v>275</v>
      </c>
      <c r="I661" t="s">
        <v>29</v>
      </c>
      <c r="J661">
        <v>1</v>
      </c>
      <c r="K661">
        <f>1-888-654-8048</f>
        <v>-9589</v>
      </c>
      <c r="L661" t="s">
        <v>2057</v>
      </c>
      <c r="M661" t="s">
        <v>2058</v>
      </c>
      <c r="N661" t="s">
        <v>278</v>
      </c>
      <c r="O661" t="s">
        <v>28</v>
      </c>
      <c r="P661" t="s">
        <v>292</v>
      </c>
      <c r="Q661">
        <v>49</v>
      </c>
      <c r="R661">
        <v>2.3473220000000001</v>
      </c>
    </row>
    <row r="662" spans="1:18" x14ac:dyDescent="0.2">
      <c r="A662" t="s">
        <v>270</v>
      </c>
      <c r="B662" t="s">
        <v>1638</v>
      </c>
      <c r="C662">
        <v>1</v>
      </c>
      <c r="D662" s="1">
        <v>44073.943090277775</v>
      </c>
      <c r="E662" t="s">
        <v>2059</v>
      </c>
      <c r="F662" t="s">
        <v>273</v>
      </c>
      <c r="G662" t="s">
        <v>1754</v>
      </c>
      <c r="H662" t="s">
        <v>275</v>
      </c>
      <c r="I662" t="s">
        <v>29</v>
      </c>
      <c r="J662">
        <v>1</v>
      </c>
      <c r="K662">
        <f>1-888-655-2376</f>
        <v>-3918</v>
      </c>
      <c r="L662" t="s">
        <v>2060</v>
      </c>
      <c r="M662" t="s">
        <v>2061</v>
      </c>
      <c r="N662" t="s">
        <v>278</v>
      </c>
      <c r="O662" t="s">
        <v>134</v>
      </c>
      <c r="P662" t="s">
        <v>292</v>
      </c>
      <c r="Q662">
        <v>49</v>
      </c>
      <c r="R662">
        <v>2.3473220000000001</v>
      </c>
    </row>
    <row r="663" spans="1:18" x14ac:dyDescent="0.2">
      <c r="A663" t="s">
        <v>270</v>
      </c>
      <c r="B663" t="s">
        <v>1638</v>
      </c>
      <c r="C663">
        <v>1</v>
      </c>
      <c r="D663" s="1">
        <v>44073.941423611112</v>
      </c>
      <c r="E663" t="s">
        <v>2062</v>
      </c>
      <c r="F663" t="s">
        <v>273</v>
      </c>
      <c r="G663" t="s">
        <v>1754</v>
      </c>
      <c r="H663" t="s">
        <v>275</v>
      </c>
      <c r="I663" t="s">
        <v>29</v>
      </c>
      <c r="J663">
        <v>1</v>
      </c>
      <c r="K663">
        <f>1-888-312-1413</f>
        <v>-2612</v>
      </c>
      <c r="L663" t="s">
        <v>2063</v>
      </c>
      <c r="M663" t="s">
        <v>2064</v>
      </c>
      <c r="N663" t="s">
        <v>278</v>
      </c>
      <c r="O663" t="s">
        <v>134</v>
      </c>
      <c r="P663" t="s">
        <v>292</v>
      </c>
      <c r="Q663">
        <v>49</v>
      </c>
      <c r="R663">
        <v>2.3473220000000001</v>
      </c>
    </row>
    <row r="664" spans="1:18" x14ac:dyDescent="0.2">
      <c r="A664" t="s">
        <v>270</v>
      </c>
      <c r="B664" t="s">
        <v>1638</v>
      </c>
      <c r="C664">
        <v>1</v>
      </c>
      <c r="D664" s="1">
        <v>44073.940995370373</v>
      </c>
      <c r="E664" t="s">
        <v>2065</v>
      </c>
      <c r="F664" t="s">
        <v>273</v>
      </c>
      <c r="G664" t="s">
        <v>1754</v>
      </c>
      <c r="H664" t="s">
        <v>275</v>
      </c>
      <c r="I664" t="s">
        <v>29</v>
      </c>
      <c r="J664">
        <v>1</v>
      </c>
      <c r="K664">
        <f>1-888-312-1413</f>
        <v>-2612</v>
      </c>
      <c r="L664" t="s">
        <v>2066</v>
      </c>
      <c r="M664" t="s">
        <v>2067</v>
      </c>
      <c r="N664" t="s">
        <v>278</v>
      </c>
      <c r="O664" t="s">
        <v>134</v>
      </c>
      <c r="P664" t="s">
        <v>292</v>
      </c>
      <c r="Q664">
        <v>49</v>
      </c>
      <c r="R664">
        <v>2.3473220000000001</v>
      </c>
    </row>
    <row r="665" spans="1:18" x14ac:dyDescent="0.2">
      <c r="A665" t="s">
        <v>270</v>
      </c>
      <c r="B665" t="s">
        <v>1638</v>
      </c>
      <c r="C665">
        <v>1</v>
      </c>
      <c r="D665" s="1">
        <v>44073.939375000002</v>
      </c>
      <c r="E665" t="s">
        <v>2068</v>
      </c>
      <c r="F665" t="s">
        <v>273</v>
      </c>
      <c r="G665" t="s">
        <v>1754</v>
      </c>
      <c r="H665" t="s">
        <v>275</v>
      </c>
      <c r="I665" t="s">
        <v>29</v>
      </c>
      <c r="J665">
        <v>1</v>
      </c>
      <c r="K665">
        <f>1-888-521-2485</f>
        <v>-3893</v>
      </c>
      <c r="L665" t="s">
        <v>2069</v>
      </c>
      <c r="M665" t="s">
        <v>2070</v>
      </c>
      <c r="N665" t="s">
        <v>278</v>
      </c>
      <c r="O665" t="s">
        <v>134</v>
      </c>
      <c r="P665" t="s">
        <v>292</v>
      </c>
      <c r="Q665">
        <v>49</v>
      </c>
      <c r="R665">
        <v>2.3473220000000001</v>
      </c>
    </row>
    <row r="666" spans="1:18" x14ac:dyDescent="0.2">
      <c r="A666" t="s">
        <v>270</v>
      </c>
      <c r="B666" t="s">
        <v>1638</v>
      </c>
      <c r="C666">
        <v>1</v>
      </c>
      <c r="D666" s="1">
        <v>44073.929375</v>
      </c>
      <c r="E666" t="s">
        <v>2071</v>
      </c>
      <c r="F666" t="s">
        <v>273</v>
      </c>
      <c r="G666" t="s">
        <v>1754</v>
      </c>
      <c r="H666" t="s">
        <v>275</v>
      </c>
      <c r="I666" t="s">
        <v>29</v>
      </c>
      <c r="J666">
        <v>1</v>
      </c>
      <c r="K666">
        <f>1-888-526-3661</f>
        <v>-5074</v>
      </c>
      <c r="L666" t="s">
        <v>2072</v>
      </c>
      <c r="M666" t="s">
        <v>2073</v>
      </c>
      <c r="N666" t="s">
        <v>278</v>
      </c>
      <c r="O666" t="s">
        <v>134</v>
      </c>
      <c r="P666" t="s">
        <v>292</v>
      </c>
      <c r="Q666">
        <v>49</v>
      </c>
      <c r="R666">
        <v>2.3473220000000001</v>
      </c>
    </row>
    <row r="667" spans="1:18" x14ac:dyDescent="0.2">
      <c r="A667" t="s">
        <v>270</v>
      </c>
      <c r="B667" t="s">
        <v>1638</v>
      </c>
      <c r="C667">
        <v>1</v>
      </c>
      <c r="D667" s="1">
        <v>44073.92895833333</v>
      </c>
      <c r="E667" t="s">
        <v>2074</v>
      </c>
      <c r="F667" t="s">
        <v>273</v>
      </c>
      <c r="G667" t="s">
        <v>1754</v>
      </c>
      <c r="H667" t="s">
        <v>275</v>
      </c>
      <c r="I667" t="s">
        <v>29</v>
      </c>
      <c r="J667">
        <v>1</v>
      </c>
      <c r="K667">
        <f>1-888-530-2072</f>
        <v>-3489</v>
      </c>
      <c r="L667" t="s">
        <v>2075</v>
      </c>
      <c r="M667" t="s">
        <v>2076</v>
      </c>
      <c r="N667" t="s">
        <v>278</v>
      </c>
      <c r="O667" t="s">
        <v>134</v>
      </c>
      <c r="P667" t="s">
        <v>292</v>
      </c>
      <c r="Q667">
        <v>49</v>
      </c>
      <c r="R667">
        <v>2.3473220000000001</v>
      </c>
    </row>
    <row r="668" spans="1:18" x14ac:dyDescent="0.2">
      <c r="A668" t="s">
        <v>270</v>
      </c>
      <c r="B668" t="s">
        <v>1638</v>
      </c>
      <c r="C668">
        <v>1</v>
      </c>
      <c r="D668" s="1">
        <v>44073.927233796298</v>
      </c>
      <c r="E668" t="s">
        <v>2077</v>
      </c>
      <c r="F668" t="s">
        <v>273</v>
      </c>
      <c r="G668" t="s">
        <v>1754</v>
      </c>
      <c r="H668" t="s">
        <v>275</v>
      </c>
      <c r="I668" t="s">
        <v>29</v>
      </c>
      <c r="J668">
        <v>1</v>
      </c>
      <c r="K668">
        <f>1-888-529-6205</f>
        <v>-7621</v>
      </c>
      <c r="L668" t="s">
        <v>2078</v>
      </c>
      <c r="M668" t="s">
        <v>2079</v>
      </c>
      <c r="N668" t="s">
        <v>278</v>
      </c>
      <c r="O668" t="s">
        <v>134</v>
      </c>
      <c r="P668" t="s">
        <v>292</v>
      </c>
      <c r="Q668">
        <v>49</v>
      </c>
      <c r="R668">
        <v>2.3473220000000001</v>
      </c>
    </row>
    <row r="669" spans="1:18" x14ac:dyDescent="0.2">
      <c r="A669" t="s">
        <v>270</v>
      </c>
      <c r="B669" t="s">
        <v>1638</v>
      </c>
      <c r="C669">
        <v>1</v>
      </c>
      <c r="D669" s="1">
        <v>44073.061655092592</v>
      </c>
      <c r="E669" t="s">
        <v>2080</v>
      </c>
      <c r="F669" t="s">
        <v>273</v>
      </c>
      <c r="G669" t="s">
        <v>1754</v>
      </c>
      <c r="H669" t="s">
        <v>275</v>
      </c>
      <c r="I669" t="s">
        <v>29</v>
      </c>
      <c r="J669">
        <v>1</v>
      </c>
      <c r="K669">
        <f>1-888-541-8493</f>
        <v>-9921</v>
      </c>
      <c r="L669" t="s">
        <v>2081</v>
      </c>
      <c r="M669" t="s">
        <v>2082</v>
      </c>
      <c r="N669" t="s">
        <v>278</v>
      </c>
      <c r="O669" t="s">
        <v>134</v>
      </c>
      <c r="P669" t="s">
        <v>292</v>
      </c>
      <c r="Q669">
        <v>49</v>
      </c>
      <c r="R669">
        <v>2.3473220000000001</v>
      </c>
    </row>
    <row r="670" spans="1:18" x14ac:dyDescent="0.2">
      <c r="A670" t="s">
        <v>270</v>
      </c>
      <c r="B670" t="s">
        <v>1638</v>
      </c>
      <c r="C670">
        <v>1</v>
      </c>
      <c r="D670" s="1">
        <v>44073.028078703705</v>
      </c>
      <c r="E670" t="s">
        <v>2083</v>
      </c>
      <c r="F670" t="s">
        <v>273</v>
      </c>
      <c r="G670" t="s">
        <v>1754</v>
      </c>
      <c r="H670" t="s">
        <v>275</v>
      </c>
      <c r="I670" t="s">
        <v>29</v>
      </c>
      <c r="J670">
        <v>1</v>
      </c>
      <c r="K670">
        <f>1-888-441-3235</f>
        <v>-4563</v>
      </c>
      <c r="L670" t="s">
        <v>2084</v>
      </c>
      <c r="M670" t="s">
        <v>2085</v>
      </c>
      <c r="N670" t="s">
        <v>278</v>
      </c>
      <c r="O670" t="s">
        <v>134</v>
      </c>
      <c r="P670" t="s">
        <v>292</v>
      </c>
      <c r="Q670">
        <v>49</v>
      </c>
      <c r="R670">
        <v>2.3473220000000001</v>
      </c>
    </row>
    <row r="671" spans="1:18" x14ac:dyDescent="0.2">
      <c r="A671" t="s">
        <v>270</v>
      </c>
      <c r="B671" t="s">
        <v>1638</v>
      </c>
      <c r="C671">
        <v>1</v>
      </c>
      <c r="D671" s="1">
        <v>44073.026689814818</v>
      </c>
      <c r="E671" t="s">
        <v>2086</v>
      </c>
      <c r="F671" t="s">
        <v>273</v>
      </c>
      <c r="G671" t="s">
        <v>1754</v>
      </c>
      <c r="H671" t="s">
        <v>275</v>
      </c>
      <c r="I671" t="s">
        <v>29</v>
      </c>
      <c r="J671">
        <v>1</v>
      </c>
      <c r="K671">
        <f>1-888-909-1336</f>
        <v>-3132</v>
      </c>
      <c r="L671" t="s">
        <v>2087</v>
      </c>
      <c r="M671" t="s">
        <v>2088</v>
      </c>
      <c r="N671" t="s">
        <v>278</v>
      </c>
      <c r="O671" t="s">
        <v>134</v>
      </c>
      <c r="P671" t="s">
        <v>292</v>
      </c>
      <c r="Q671">
        <v>49</v>
      </c>
      <c r="R671">
        <v>2.3473220000000001</v>
      </c>
    </row>
    <row r="672" spans="1:18" x14ac:dyDescent="0.2">
      <c r="A672" t="s">
        <v>270</v>
      </c>
      <c r="B672" t="s">
        <v>1638</v>
      </c>
      <c r="C672">
        <v>1</v>
      </c>
      <c r="D672" s="1">
        <v>44072.868298611109</v>
      </c>
      <c r="E672" t="s">
        <v>2089</v>
      </c>
      <c r="F672" t="s">
        <v>273</v>
      </c>
      <c r="G672" t="s">
        <v>1754</v>
      </c>
      <c r="H672" t="s">
        <v>275</v>
      </c>
      <c r="I672" t="s">
        <v>29</v>
      </c>
      <c r="J672">
        <v>1</v>
      </c>
      <c r="K672">
        <f>1-888-619-5735</f>
        <v>-7241</v>
      </c>
      <c r="L672" t="s">
        <v>2090</v>
      </c>
      <c r="M672" t="s">
        <v>2091</v>
      </c>
      <c r="N672" t="s">
        <v>278</v>
      </c>
      <c r="O672" t="s">
        <v>134</v>
      </c>
      <c r="P672" t="s">
        <v>292</v>
      </c>
      <c r="Q672">
        <v>49</v>
      </c>
      <c r="R672">
        <v>2.3473220000000001</v>
      </c>
    </row>
    <row r="673" spans="1:18" x14ac:dyDescent="0.2">
      <c r="A673" t="s">
        <v>270</v>
      </c>
      <c r="B673" t="s">
        <v>1638</v>
      </c>
      <c r="C673">
        <v>1</v>
      </c>
      <c r="D673" s="1">
        <v>44072.867766203701</v>
      </c>
      <c r="E673" t="s">
        <v>2092</v>
      </c>
      <c r="F673" t="s">
        <v>273</v>
      </c>
      <c r="G673" t="s">
        <v>1754</v>
      </c>
      <c r="H673" t="s">
        <v>275</v>
      </c>
      <c r="I673" t="s">
        <v>29</v>
      </c>
      <c r="J673">
        <v>1</v>
      </c>
      <c r="K673">
        <f>1-888-594-3468</f>
        <v>-4949</v>
      </c>
      <c r="L673" t="s">
        <v>2093</v>
      </c>
      <c r="M673" t="s">
        <v>2094</v>
      </c>
      <c r="N673" t="s">
        <v>278</v>
      </c>
      <c r="O673" t="s">
        <v>134</v>
      </c>
      <c r="P673" t="s">
        <v>292</v>
      </c>
      <c r="Q673">
        <v>49</v>
      </c>
      <c r="R673">
        <v>2.3473220000000001</v>
      </c>
    </row>
    <row r="674" spans="1:18" x14ac:dyDescent="0.2">
      <c r="A674" t="s">
        <v>270</v>
      </c>
      <c r="B674" t="s">
        <v>1638</v>
      </c>
      <c r="C674">
        <v>1</v>
      </c>
      <c r="D674" s="1">
        <v>44072.867372685185</v>
      </c>
      <c r="E674" t="s">
        <v>2095</v>
      </c>
      <c r="F674" t="s">
        <v>273</v>
      </c>
      <c r="G674" t="s">
        <v>1754</v>
      </c>
      <c r="H674" t="s">
        <v>275</v>
      </c>
      <c r="I674" t="s">
        <v>29</v>
      </c>
      <c r="J674">
        <v>1</v>
      </c>
      <c r="K674">
        <f>1-888-604-806</f>
        <v>-2297</v>
      </c>
      <c r="L674" t="s">
        <v>2096</v>
      </c>
      <c r="M674" t="s">
        <v>2097</v>
      </c>
      <c r="N674" t="s">
        <v>278</v>
      </c>
      <c r="O674" t="s">
        <v>134</v>
      </c>
      <c r="P674" t="s">
        <v>292</v>
      </c>
      <c r="Q674">
        <v>49</v>
      </c>
      <c r="R674">
        <v>2.3473220000000001</v>
      </c>
    </row>
    <row r="675" spans="1:18" x14ac:dyDescent="0.2">
      <c r="A675" t="s">
        <v>270</v>
      </c>
      <c r="B675" t="s">
        <v>1638</v>
      </c>
      <c r="C675">
        <v>1</v>
      </c>
      <c r="D675" s="1">
        <v>44072.866747685184</v>
      </c>
      <c r="E675" t="s">
        <v>2098</v>
      </c>
      <c r="F675" t="s">
        <v>273</v>
      </c>
      <c r="G675" t="s">
        <v>1754</v>
      </c>
      <c r="H675" t="s">
        <v>275</v>
      </c>
      <c r="I675" t="s">
        <v>29</v>
      </c>
      <c r="J675">
        <v>1</v>
      </c>
      <c r="K675">
        <f>1-888-604-806</f>
        <v>-2297</v>
      </c>
      <c r="L675" t="s">
        <v>2099</v>
      </c>
      <c r="M675" t="s">
        <v>2100</v>
      </c>
      <c r="N675" t="s">
        <v>278</v>
      </c>
      <c r="O675" t="s">
        <v>134</v>
      </c>
      <c r="P675" t="s">
        <v>292</v>
      </c>
      <c r="Q675">
        <v>49</v>
      </c>
      <c r="R675">
        <v>2.3473220000000001</v>
      </c>
    </row>
    <row r="676" spans="1:18" x14ac:dyDescent="0.2">
      <c r="A676" t="s">
        <v>270</v>
      </c>
      <c r="B676" t="s">
        <v>1638</v>
      </c>
      <c r="C676">
        <v>1</v>
      </c>
      <c r="D676" s="1">
        <v>44072.866342592592</v>
      </c>
      <c r="E676" t="s">
        <v>2101</v>
      </c>
      <c r="F676" t="s">
        <v>273</v>
      </c>
      <c r="G676" t="s">
        <v>1754</v>
      </c>
      <c r="H676" t="s">
        <v>275</v>
      </c>
      <c r="I676" t="s">
        <v>29</v>
      </c>
      <c r="J676">
        <v>1</v>
      </c>
      <c r="K676">
        <f>1-888-604-806</f>
        <v>-2297</v>
      </c>
      <c r="L676" t="s">
        <v>2102</v>
      </c>
      <c r="M676" t="s">
        <v>2103</v>
      </c>
      <c r="N676" t="s">
        <v>278</v>
      </c>
      <c r="O676" t="s">
        <v>134</v>
      </c>
      <c r="P676" t="s">
        <v>292</v>
      </c>
      <c r="Q676">
        <v>49</v>
      </c>
      <c r="R676">
        <v>2.3473220000000001</v>
      </c>
    </row>
    <row r="677" spans="1:18" x14ac:dyDescent="0.2">
      <c r="A677" t="s">
        <v>270</v>
      </c>
      <c r="B677" t="s">
        <v>1638</v>
      </c>
      <c r="C677">
        <v>1</v>
      </c>
      <c r="D677" s="1">
        <v>44072.865682870368</v>
      </c>
      <c r="E677" t="s">
        <v>2104</v>
      </c>
      <c r="F677" t="s">
        <v>273</v>
      </c>
      <c r="G677" t="s">
        <v>1754</v>
      </c>
      <c r="H677" t="s">
        <v>275</v>
      </c>
      <c r="I677" t="s">
        <v>29</v>
      </c>
      <c r="J677">
        <v>1</v>
      </c>
      <c r="K677">
        <f>1-888-604-806</f>
        <v>-2297</v>
      </c>
      <c r="L677" t="s">
        <v>2105</v>
      </c>
      <c r="M677" t="s">
        <v>2106</v>
      </c>
      <c r="N677" t="s">
        <v>278</v>
      </c>
      <c r="O677" t="s">
        <v>134</v>
      </c>
      <c r="P677" t="s">
        <v>292</v>
      </c>
      <c r="Q677">
        <v>49</v>
      </c>
      <c r="R677">
        <v>2.3473220000000001</v>
      </c>
    </row>
    <row r="678" spans="1:18" x14ac:dyDescent="0.2">
      <c r="A678" t="s">
        <v>270</v>
      </c>
      <c r="B678" t="s">
        <v>1638</v>
      </c>
      <c r="C678">
        <v>1</v>
      </c>
      <c r="D678" s="1">
        <v>44072.865081018521</v>
      </c>
      <c r="E678" t="s">
        <v>2107</v>
      </c>
      <c r="F678" t="s">
        <v>273</v>
      </c>
      <c r="G678" t="s">
        <v>1754</v>
      </c>
      <c r="H678" t="s">
        <v>275</v>
      </c>
      <c r="I678" t="s">
        <v>29</v>
      </c>
      <c r="J678">
        <v>1</v>
      </c>
      <c r="K678">
        <f>1-888-650-4670</f>
        <v>-6207</v>
      </c>
      <c r="L678" t="s">
        <v>2108</v>
      </c>
      <c r="M678" t="s">
        <v>2109</v>
      </c>
      <c r="N678" t="s">
        <v>278</v>
      </c>
      <c r="O678" t="s">
        <v>134</v>
      </c>
      <c r="P678" t="s">
        <v>292</v>
      </c>
      <c r="Q678">
        <v>49</v>
      </c>
      <c r="R678">
        <v>2.3473220000000001</v>
      </c>
    </row>
    <row r="679" spans="1:18" x14ac:dyDescent="0.2">
      <c r="A679" t="s">
        <v>270</v>
      </c>
      <c r="B679" t="s">
        <v>1638</v>
      </c>
      <c r="C679">
        <v>1</v>
      </c>
      <c r="D679" s="1">
        <v>44072.233564814815</v>
      </c>
      <c r="E679" t="s">
        <v>2110</v>
      </c>
      <c r="F679" t="s">
        <v>273</v>
      </c>
      <c r="G679" t="s">
        <v>1754</v>
      </c>
      <c r="H679" t="s">
        <v>275</v>
      </c>
      <c r="I679" t="s">
        <v>29</v>
      </c>
      <c r="J679">
        <v>1</v>
      </c>
      <c r="K679">
        <f>1-888-658-5805</f>
        <v>-7350</v>
      </c>
      <c r="L679" t="s">
        <v>2111</v>
      </c>
      <c r="M679" t="s">
        <v>2112</v>
      </c>
      <c r="N679" t="s">
        <v>278</v>
      </c>
      <c r="O679" t="s">
        <v>134</v>
      </c>
      <c r="P679" t="s">
        <v>292</v>
      </c>
      <c r="Q679">
        <v>49</v>
      </c>
      <c r="R679">
        <v>2.3473220000000001</v>
      </c>
    </row>
    <row r="680" spans="1:18" x14ac:dyDescent="0.2">
      <c r="A680" t="s">
        <v>270</v>
      </c>
      <c r="B680" t="s">
        <v>1638</v>
      </c>
      <c r="C680">
        <v>1</v>
      </c>
      <c r="D680" s="1">
        <v>44071.975474537037</v>
      </c>
      <c r="E680" t="s">
        <v>2113</v>
      </c>
      <c r="F680" t="s">
        <v>273</v>
      </c>
      <c r="G680" t="s">
        <v>1754</v>
      </c>
      <c r="H680" t="s">
        <v>275</v>
      </c>
      <c r="I680" t="s">
        <v>29</v>
      </c>
      <c r="J680">
        <v>1</v>
      </c>
      <c r="K680">
        <f>1-888-598-1347</f>
        <v>-2832</v>
      </c>
      <c r="L680" t="s">
        <v>2114</v>
      </c>
      <c r="M680" t="s">
        <v>2115</v>
      </c>
      <c r="N680" t="s">
        <v>278</v>
      </c>
      <c r="O680" t="s">
        <v>134</v>
      </c>
      <c r="P680" t="s">
        <v>292</v>
      </c>
      <c r="Q680">
        <v>49</v>
      </c>
      <c r="R680">
        <v>2.3473220000000001</v>
      </c>
    </row>
    <row r="681" spans="1:18" x14ac:dyDescent="0.2">
      <c r="A681" t="s">
        <v>270</v>
      </c>
      <c r="B681" t="s">
        <v>1638</v>
      </c>
      <c r="C681">
        <v>1</v>
      </c>
      <c r="D681" s="1">
        <v>44071.97488425926</v>
      </c>
      <c r="E681" t="s">
        <v>2116</v>
      </c>
      <c r="F681" t="s">
        <v>273</v>
      </c>
      <c r="G681" t="s">
        <v>1754</v>
      </c>
      <c r="H681" t="s">
        <v>275</v>
      </c>
      <c r="I681" t="s">
        <v>29</v>
      </c>
      <c r="J681">
        <v>1</v>
      </c>
      <c r="K681">
        <f>1-888-690-842</f>
        <v>-2419</v>
      </c>
      <c r="L681" t="s">
        <v>2117</v>
      </c>
      <c r="M681" t="s">
        <v>2118</v>
      </c>
      <c r="N681" t="s">
        <v>278</v>
      </c>
      <c r="O681" t="s">
        <v>134</v>
      </c>
      <c r="P681" t="s">
        <v>292</v>
      </c>
      <c r="Q681">
        <v>49</v>
      </c>
      <c r="R681">
        <v>2.3473220000000001</v>
      </c>
    </row>
    <row r="682" spans="1:18" x14ac:dyDescent="0.2">
      <c r="A682" t="s">
        <v>270</v>
      </c>
      <c r="B682" t="s">
        <v>1638</v>
      </c>
      <c r="C682">
        <v>1</v>
      </c>
      <c r="D682" s="1">
        <v>44071.90693287037</v>
      </c>
      <c r="E682" t="s">
        <v>2119</v>
      </c>
      <c r="F682" t="s">
        <v>273</v>
      </c>
      <c r="G682" t="s">
        <v>1754</v>
      </c>
      <c r="H682" t="s">
        <v>275</v>
      </c>
      <c r="I682" t="s">
        <v>29</v>
      </c>
      <c r="J682">
        <v>1</v>
      </c>
      <c r="K682">
        <f>1-888-708-1143</f>
        <v>-2738</v>
      </c>
      <c r="L682" t="s">
        <v>2120</v>
      </c>
      <c r="M682" t="s">
        <v>2121</v>
      </c>
      <c r="N682" t="s">
        <v>278</v>
      </c>
      <c r="O682" t="s">
        <v>134</v>
      </c>
      <c r="P682" t="s">
        <v>292</v>
      </c>
      <c r="Q682">
        <v>49</v>
      </c>
      <c r="R682">
        <v>2.3473220000000001</v>
      </c>
    </row>
    <row r="683" spans="1:18" x14ac:dyDescent="0.2">
      <c r="A683" t="s">
        <v>270</v>
      </c>
      <c r="B683" t="s">
        <v>1638</v>
      </c>
      <c r="C683">
        <v>1</v>
      </c>
      <c r="D683" s="1">
        <v>44071.889548611114</v>
      </c>
      <c r="E683" t="s">
        <v>2122</v>
      </c>
      <c r="F683" t="s">
        <v>273</v>
      </c>
      <c r="G683" t="s">
        <v>1754</v>
      </c>
      <c r="H683" t="s">
        <v>275</v>
      </c>
      <c r="I683" t="s">
        <v>29</v>
      </c>
      <c r="J683">
        <v>1</v>
      </c>
      <c r="K683">
        <f>1-888-312-1430</f>
        <v>-2629</v>
      </c>
      <c r="L683" t="s">
        <v>2123</v>
      </c>
      <c r="M683" t="s">
        <v>2124</v>
      </c>
      <c r="N683" t="s">
        <v>278</v>
      </c>
      <c r="O683" t="s">
        <v>134</v>
      </c>
      <c r="P683" t="s">
        <v>292</v>
      </c>
      <c r="Q683">
        <v>49</v>
      </c>
      <c r="R683">
        <v>2.3473220000000001</v>
      </c>
    </row>
    <row r="684" spans="1:18" x14ac:dyDescent="0.2">
      <c r="A684" t="s">
        <v>270</v>
      </c>
      <c r="B684" t="s">
        <v>1638</v>
      </c>
      <c r="C684">
        <v>1</v>
      </c>
      <c r="D684" s="1">
        <v>44070.869780092595</v>
      </c>
      <c r="E684" t="s">
        <v>2125</v>
      </c>
      <c r="F684" t="s">
        <v>273</v>
      </c>
      <c r="G684" t="s">
        <v>1754</v>
      </c>
      <c r="H684" t="s">
        <v>275</v>
      </c>
      <c r="I684" t="s">
        <v>29</v>
      </c>
      <c r="J684">
        <v>1</v>
      </c>
      <c r="K684">
        <f>1-888-441-3235</f>
        <v>-4563</v>
      </c>
      <c r="L684" t="s">
        <v>2126</v>
      </c>
      <c r="M684" t="s">
        <v>2127</v>
      </c>
      <c r="N684" t="s">
        <v>278</v>
      </c>
      <c r="O684" t="s">
        <v>134</v>
      </c>
      <c r="P684" t="s">
        <v>292</v>
      </c>
      <c r="Q684">
        <v>49</v>
      </c>
      <c r="R684">
        <v>2.3473220000000001</v>
      </c>
    </row>
    <row r="685" spans="1:18" x14ac:dyDescent="0.2">
      <c r="A685" t="s">
        <v>270</v>
      </c>
      <c r="B685" t="s">
        <v>1638</v>
      </c>
      <c r="C685">
        <v>1</v>
      </c>
      <c r="D685" s="1">
        <v>44070.739895833336</v>
      </c>
      <c r="E685" t="s">
        <v>2128</v>
      </c>
      <c r="F685" t="s">
        <v>273</v>
      </c>
      <c r="G685" t="s">
        <v>1754</v>
      </c>
      <c r="H685" t="s">
        <v>275</v>
      </c>
      <c r="I685" t="s">
        <v>29</v>
      </c>
      <c r="J685">
        <v>1</v>
      </c>
      <c r="K685">
        <f>1-888-655-2343</f>
        <v>-3885</v>
      </c>
      <c r="L685" t="s">
        <v>2129</v>
      </c>
      <c r="M685" t="s">
        <v>2130</v>
      </c>
      <c r="N685" t="s">
        <v>278</v>
      </c>
      <c r="O685" t="s">
        <v>134</v>
      </c>
      <c r="P685" t="s">
        <v>292</v>
      </c>
      <c r="Q685">
        <v>49</v>
      </c>
      <c r="R685">
        <v>2.3473220000000001</v>
      </c>
    </row>
    <row r="686" spans="1:18" x14ac:dyDescent="0.2">
      <c r="A686" t="s">
        <v>270</v>
      </c>
      <c r="B686" t="s">
        <v>1638</v>
      </c>
      <c r="C686">
        <v>1</v>
      </c>
      <c r="D686" s="1">
        <v>44070.6</v>
      </c>
      <c r="E686" t="s">
        <v>2131</v>
      </c>
      <c r="F686" t="s">
        <v>273</v>
      </c>
      <c r="G686" t="s">
        <v>1754</v>
      </c>
      <c r="H686" t="s">
        <v>275</v>
      </c>
      <c r="I686" t="s">
        <v>29</v>
      </c>
      <c r="J686">
        <v>1</v>
      </c>
      <c r="K686">
        <f>1-888-530-1472</f>
        <v>-2889</v>
      </c>
      <c r="L686" t="s">
        <v>2132</v>
      </c>
      <c r="M686" t="s">
        <v>2133</v>
      </c>
      <c r="N686" t="s">
        <v>278</v>
      </c>
      <c r="O686" t="s">
        <v>134</v>
      </c>
      <c r="P686" t="s">
        <v>292</v>
      </c>
      <c r="Q686">
        <v>49</v>
      </c>
      <c r="R686">
        <v>2.3473220000000001</v>
      </c>
    </row>
    <row r="687" spans="1:18" x14ac:dyDescent="0.2">
      <c r="A687" t="s">
        <v>270</v>
      </c>
      <c r="B687" t="s">
        <v>1638</v>
      </c>
      <c r="C687">
        <v>1</v>
      </c>
      <c r="D687" s="1">
        <v>44070.589768518519</v>
      </c>
      <c r="E687" t="s">
        <v>2134</v>
      </c>
      <c r="F687" t="s">
        <v>273</v>
      </c>
      <c r="G687" t="s">
        <v>1754</v>
      </c>
      <c r="H687" t="s">
        <v>275</v>
      </c>
      <c r="I687" t="s">
        <v>29</v>
      </c>
      <c r="J687">
        <v>1</v>
      </c>
      <c r="K687">
        <f>1-866-753-6098</f>
        <v>-7716</v>
      </c>
      <c r="L687" t="s">
        <v>2135</v>
      </c>
      <c r="M687" t="s">
        <v>2136</v>
      </c>
      <c r="N687" t="s">
        <v>278</v>
      </c>
      <c r="O687" t="s">
        <v>134</v>
      </c>
      <c r="P687" t="s">
        <v>292</v>
      </c>
      <c r="Q687">
        <v>49</v>
      </c>
      <c r="R687">
        <v>2.3473220000000001</v>
      </c>
    </row>
    <row r="688" spans="1:18" x14ac:dyDescent="0.2">
      <c r="A688" t="s">
        <v>270</v>
      </c>
      <c r="B688" t="s">
        <v>1638</v>
      </c>
      <c r="C688">
        <v>1</v>
      </c>
      <c r="D688" s="1">
        <v>44070.583657407406</v>
      </c>
      <c r="E688" t="s">
        <v>2137</v>
      </c>
      <c r="F688" t="s">
        <v>273</v>
      </c>
      <c r="G688" t="s">
        <v>1754</v>
      </c>
      <c r="H688" t="s">
        <v>275</v>
      </c>
      <c r="I688" t="s">
        <v>29</v>
      </c>
      <c r="J688">
        <v>1</v>
      </c>
      <c r="K688">
        <f>1-866-672-9693</f>
        <v>-11230</v>
      </c>
      <c r="L688" t="s">
        <v>2138</v>
      </c>
      <c r="M688" t="s">
        <v>2139</v>
      </c>
      <c r="N688" t="s">
        <v>278</v>
      </c>
      <c r="O688" t="s">
        <v>134</v>
      </c>
      <c r="P688" t="s">
        <v>292</v>
      </c>
      <c r="Q688">
        <v>49</v>
      </c>
      <c r="R688">
        <v>2.3473220000000001</v>
      </c>
    </row>
    <row r="689" spans="1:18" x14ac:dyDescent="0.2">
      <c r="A689" t="s">
        <v>270</v>
      </c>
      <c r="B689" t="s">
        <v>1638</v>
      </c>
      <c r="C689">
        <v>1</v>
      </c>
      <c r="D689" s="1">
        <v>44070.582604166666</v>
      </c>
      <c r="E689" t="s">
        <v>2140</v>
      </c>
      <c r="F689" t="s">
        <v>273</v>
      </c>
      <c r="G689" t="s">
        <v>1754</v>
      </c>
      <c r="H689" t="s">
        <v>275</v>
      </c>
      <c r="I689" t="s">
        <v>29</v>
      </c>
      <c r="J689">
        <v>1</v>
      </c>
      <c r="K689">
        <f>1-866-672-9693</f>
        <v>-11230</v>
      </c>
      <c r="L689" t="s">
        <v>2141</v>
      </c>
      <c r="M689" t="s">
        <v>2142</v>
      </c>
      <c r="N689" t="s">
        <v>278</v>
      </c>
      <c r="O689" t="s">
        <v>134</v>
      </c>
      <c r="P689" t="s">
        <v>292</v>
      </c>
      <c r="Q689">
        <v>49</v>
      </c>
      <c r="R689">
        <v>2.3473220000000001</v>
      </c>
    </row>
    <row r="690" spans="1:18" x14ac:dyDescent="0.2">
      <c r="A690" t="s">
        <v>270</v>
      </c>
      <c r="B690" t="s">
        <v>1638</v>
      </c>
      <c r="C690">
        <v>1</v>
      </c>
      <c r="D690" s="1">
        <v>44070.581956018519</v>
      </c>
      <c r="E690" t="s">
        <v>2143</v>
      </c>
      <c r="F690" t="s">
        <v>273</v>
      </c>
      <c r="G690" t="s">
        <v>1754</v>
      </c>
      <c r="H690" t="s">
        <v>275</v>
      </c>
      <c r="I690" t="s">
        <v>29</v>
      </c>
      <c r="J690">
        <v>1</v>
      </c>
      <c r="K690">
        <f>1-866-672-9693</f>
        <v>-11230</v>
      </c>
      <c r="L690" t="s">
        <v>2144</v>
      </c>
      <c r="M690" t="s">
        <v>2145</v>
      </c>
      <c r="N690" t="s">
        <v>278</v>
      </c>
      <c r="O690" t="s">
        <v>134</v>
      </c>
      <c r="P690" t="s">
        <v>292</v>
      </c>
      <c r="Q690">
        <v>49</v>
      </c>
      <c r="R690">
        <v>2.3473220000000001</v>
      </c>
    </row>
    <row r="691" spans="1:18" x14ac:dyDescent="0.2">
      <c r="A691" t="s">
        <v>270</v>
      </c>
      <c r="B691" t="s">
        <v>1638</v>
      </c>
      <c r="C691">
        <v>1</v>
      </c>
      <c r="D691" s="1">
        <v>44070.581377314818</v>
      </c>
      <c r="E691" t="s">
        <v>2146</v>
      </c>
      <c r="F691" t="s">
        <v>273</v>
      </c>
      <c r="G691" t="s">
        <v>1754</v>
      </c>
      <c r="H691" t="s">
        <v>275</v>
      </c>
      <c r="I691" t="s">
        <v>29</v>
      </c>
      <c r="J691">
        <v>1</v>
      </c>
      <c r="K691">
        <f>1-866-749-6811</f>
        <v>-8425</v>
      </c>
      <c r="L691" t="s">
        <v>2147</v>
      </c>
      <c r="M691" t="s">
        <v>2148</v>
      </c>
      <c r="N691" t="s">
        <v>278</v>
      </c>
      <c r="O691" t="s">
        <v>134</v>
      </c>
      <c r="P691" t="s">
        <v>292</v>
      </c>
      <c r="Q691">
        <v>49</v>
      </c>
      <c r="R691">
        <v>2.3473220000000001</v>
      </c>
    </row>
    <row r="692" spans="1:18" x14ac:dyDescent="0.2">
      <c r="A692" t="s">
        <v>270</v>
      </c>
      <c r="B692" t="s">
        <v>1638</v>
      </c>
      <c r="C692">
        <v>1</v>
      </c>
      <c r="D692" s="1">
        <v>44068.194409722222</v>
      </c>
      <c r="E692" t="s">
        <v>2149</v>
      </c>
      <c r="F692" t="s">
        <v>273</v>
      </c>
      <c r="G692" t="s">
        <v>1754</v>
      </c>
      <c r="H692" t="s">
        <v>275</v>
      </c>
      <c r="I692" t="s">
        <v>29</v>
      </c>
      <c r="J692">
        <v>1</v>
      </c>
      <c r="K692">
        <f>1-888-530-6238</f>
        <v>-7655</v>
      </c>
      <c r="L692" t="s">
        <v>2150</v>
      </c>
      <c r="M692" t="s">
        <v>2151</v>
      </c>
      <c r="N692" t="s">
        <v>278</v>
      </c>
      <c r="O692" t="s">
        <v>134</v>
      </c>
      <c r="P692" t="s">
        <v>292</v>
      </c>
      <c r="Q692">
        <v>49</v>
      </c>
      <c r="R692">
        <v>2.3473220000000001</v>
      </c>
    </row>
    <row r="693" spans="1:18" x14ac:dyDescent="0.2">
      <c r="A693" t="s">
        <v>270</v>
      </c>
      <c r="B693" t="s">
        <v>1638</v>
      </c>
      <c r="C693">
        <v>1</v>
      </c>
      <c r="D693" s="1">
        <v>44068.193611111114</v>
      </c>
      <c r="E693" t="s">
        <v>2152</v>
      </c>
      <c r="F693" t="s">
        <v>273</v>
      </c>
      <c r="G693" t="s">
        <v>1754</v>
      </c>
      <c r="H693" t="s">
        <v>275</v>
      </c>
      <c r="I693" t="s">
        <v>29</v>
      </c>
      <c r="J693">
        <v>1</v>
      </c>
      <c r="K693">
        <f>1-888-535-4744</f>
        <v>-6166</v>
      </c>
      <c r="L693" t="s">
        <v>2153</v>
      </c>
      <c r="M693" t="s">
        <v>2154</v>
      </c>
      <c r="N693" t="s">
        <v>278</v>
      </c>
      <c r="O693" t="s">
        <v>134</v>
      </c>
      <c r="P693" t="s">
        <v>292</v>
      </c>
      <c r="Q693">
        <v>49</v>
      </c>
      <c r="R693">
        <v>2.3473220000000001</v>
      </c>
    </row>
    <row r="694" spans="1:18" x14ac:dyDescent="0.2">
      <c r="A694" t="s">
        <v>270</v>
      </c>
      <c r="B694" t="s">
        <v>1638</v>
      </c>
      <c r="C694">
        <v>1</v>
      </c>
      <c r="D694" s="1">
        <v>44068.189421296294</v>
      </c>
      <c r="E694" t="s">
        <v>2155</v>
      </c>
      <c r="F694" t="s">
        <v>273</v>
      </c>
      <c r="G694" t="s">
        <v>1754</v>
      </c>
      <c r="H694" t="s">
        <v>275</v>
      </c>
      <c r="I694" t="s">
        <v>29</v>
      </c>
      <c r="J694">
        <v>1</v>
      </c>
      <c r="K694">
        <f>1-888-535-4744</f>
        <v>-6166</v>
      </c>
      <c r="L694" t="s">
        <v>2156</v>
      </c>
      <c r="M694" t="s">
        <v>2157</v>
      </c>
      <c r="N694" t="s">
        <v>278</v>
      </c>
      <c r="O694" t="s">
        <v>134</v>
      </c>
      <c r="P694" t="s">
        <v>292</v>
      </c>
      <c r="Q694">
        <v>49</v>
      </c>
      <c r="R694">
        <v>2.3473220000000001</v>
      </c>
    </row>
    <row r="695" spans="1:18" x14ac:dyDescent="0.2">
      <c r="A695" t="s">
        <v>270</v>
      </c>
      <c r="B695" t="s">
        <v>1638</v>
      </c>
      <c r="C695">
        <v>1</v>
      </c>
      <c r="D695" s="1">
        <v>44068.07613425926</v>
      </c>
      <c r="E695" t="s">
        <v>2158</v>
      </c>
      <c r="F695" t="s">
        <v>273</v>
      </c>
      <c r="G695" t="s">
        <v>1754</v>
      </c>
      <c r="H695" t="s">
        <v>275</v>
      </c>
      <c r="I695" t="s">
        <v>29</v>
      </c>
      <c r="J695">
        <v>1</v>
      </c>
      <c r="K695">
        <f>1-888-525-642</f>
        <v>-2054</v>
      </c>
      <c r="L695" t="s">
        <v>2159</v>
      </c>
      <c r="M695" t="s">
        <v>2160</v>
      </c>
      <c r="N695" t="s">
        <v>278</v>
      </c>
      <c r="O695" t="s">
        <v>28</v>
      </c>
      <c r="P695" t="s">
        <v>292</v>
      </c>
      <c r="Q695">
        <v>49</v>
      </c>
      <c r="R695">
        <v>2.3473220000000001</v>
      </c>
    </row>
    <row r="696" spans="1:18" x14ac:dyDescent="0.2">
      <c r="A696" t="s">
        <v>270</v>
      </c>
      <c r="B696" t="s">
        <v>1638</v>
      </c>
      <c r="C696">
        <v>1</v>
      </c>
      <c r="D696" s="1">
        <v>44068.075173611112</v>
      </c>
      <c r="E696" t="s">
        <v>2161</v>
      </c>
      <c r="F696" t="s">
        <v>273</v>
      </c>
      <c r="G696" t="s">
        <v>1754</v>
      </c>
      <c r="H696" t="s">
        <v>275</v>
      </c>
      <c r="I696" t="s">
        <v>29</v>
      </c>
      <c r="J696">
        <v>1</v>
      </c>
      <c r="K696">
        <f>1-888-312-1367</f>
        <v>-2566</v>
      </c>
      <c r="L696" t="s">
        <v>2162</v>
      </c>
      <c r="M696" t="s">
        <v>2163</v>
      </c>
      <c r="N696" t="s">
        <v>278</v>
      </c>
      <c r="O696" t="s">
        <v>28</v>
      </c>
      <c r="P696" t="s">
        <v>292</v>
      </c>
      <c r="Q696">
        <v>49</v>
      </c>
      <c r="R696">
        <v>2.3473220000000001</v>
      </c>
    </row>
    <row r="697" spans="1:18" x14ac:dyDescent="0.2">
      <c r="A697" t="s">
        <v>270</v>
      </c>
      <c r="B697" t="s">
        <v>1638</v>
      </c>
      <c r="C697">
        <v>1</v>
      </c>
      <c r="D697" s="1">
        <v>44068.07236111111</v>
      </c>
      <c r="E697" t="s">
        <v>2164</v>
      </c>
      <c r="F697" t="s">
        <v>273</v>
      </c>
      <c r="G697" t="s">
        <v>1754</v>
      </c>
      <c r="H697" t="s">
        <v>275</v>
      </c>
      <c r="I697" t="s">
        <v>29</v>
      </c>
      <c r="J697">
        <v>1</v>
      </c>
      <c r="K697">
        <f>1-888-291-57</f>
        <v>-1235</v>
      </c>
      <c r="L697" t="s">
        <v>2165</v>
      </c>
      <c r="M697" t="s">
        <v>2166</v>
      </c>
      <c r="N697" t="s">
        <v>278</v>
      </c>
      <c r="O697" t="s">
        <v>28</v>
      </c>
      <c r="P697" t="s">
        <v>292</v>
      </c>
      <c r="Q697">
        <v>49</v>
      </c>
      <c r="R697">
        <v>2.3473220000000001</v>
      </c>
    </row>
    <row r="698" spans="1:18" x14ac:dyDescent="0.2">
      <c r="A698" t="s">
        <v>270</v>
      </c>
      <c r="B698" t="s">
        <v>1638</v>
      </c>
      <c r="C698">
        <v>1</v>
      </c>
      <c r="D698" s="1">
        <v>44068.071412037039</v>
      </c>
      <c r="E698" t="s">
        <v>2167</v>
      </c>
      <c r="F698" t="s">
        <v>273</v>
      </c>
      <c r="G698" t="s">
        <v>1754</v>
      </c>
      <c r="H698" t="s">
        <v>275</v>
      </c>
      <c r="I698" t="s">
        <v>29</v>
      </c>
      <c r="J698">
        <v>1</v>
      </c>
      <c r="K698">
        <f>1-888-291-57</f>
        <v>-1235</v>
      </c>
      <c r="L698" t="s">
        <v>2168</v>
      </c>
      <c r="M698" t="s">
        <v>2169</v>
      </c>
      <c r="N698" t="s">
        <v>278</v>
      </c>
      <c r="O698" t="s">
        <v>28</v>
      </c>
      <c r="P698" t="s">
        <v>292</v>
      </c>
      <c r="Q698">
        <v>49</v>
      </c>
      <c r="R698">
        <v>2.3473220000000001</v>
      </c>
    </row>
    <row r="699" spans="1:18" x14ac:dyDescent="0.2">
      <c r="A699" t="s">
        <v>270</v>
      </c>
      <c r="B699" t="s">
        <v>1638</v>
      </c>
      <c r="C699">
        <v>1</v>
      </c>
      <c r="D699" s="1">
        <v>44068.059687499997</v>
      </c>
      <c r="E699" t="s">
        <v>2170</v>
      </c>
      <c r="F699" t="s">
        <v>273</v>
      </c>
      <c r="G699" t="s">
        <v>1754</v>
      </c>
      <c r="H699" t="s">
        <v>275</v>
      </c>
      <c r="I699" t="s">
        <v>29</v>
      </c>
      <c r="J699">
        <v>1</v>
      </c>
      <c r="K699">
        <f>1-888-527-5177</f>
        <v>-6591</v>
      </c>
      <c r="L699" t="s">
        <v>2171</v>
      </c>
      <c r="M699" t="s">
        <v>2172</v>
      </c>
      <c r="N699" t="s">
        <v>278</v>
      </c>
      <c r="O699" t="s">
        <v>28</v>
      </c>
      <c r="P699" t="s">
        <v>292</v>
      </c>
      <c r="Q699">
        <v>49</v>
      </c>
      <c r="R699">
        <v>2.3473220000000001</v>
      </c>
    </row>
    <row r="700" spans="1:18" x14ac:dyDescent="0.2">
      <c r="A700" t="s">
        <v>270</v>
      </c>
      <c r="B700" t="s">
        <v>1638</v>
      </c>
      <c r="C700">
        <v>1</v>
      </c>
      <c r="D700" s="1">
        <v>44068.032569444447</v>
      </c>
      <c r="E700" t="s">
        <v>2173</v>
      </c>
      <c r="F700" t="s">
        <v>273</v>
      </c>
      <c r="G700" t="s">
        <v>1754</v>
      </c>
      <c r="H700" t="s">
        <v>275</v>
      </c>
      <c r="I700" t="s">
        <v>29</v>
      </c>
      <c r="J700">
        <v>1</v>
      </c>
      <c r="K700">
        <f>1-888-965-777</f>
        <v>-2629</v>
      </c>
      <c r="L700" t="s">
        <v>2174</v>
      </c>
      <c r="M700" t="s">
        <v>2175</v>
      </c>
      <c r="N700" t="s">
        <v>278</v>
      </c>
      <c r="O700" t="s">
        <v>28</v>
      </c>
      <c r="P700" t="s">
        <v>292</v>
      </c>
      <c r="Q700">
        <v>49</v>
      </c>
      <c r="R700">
        <v>2.3473220000000001</v>
      </c>
    </row>
    <row r="701" spans="1:18" x14ac:dyDescent="0.2">
      <c r="A701" t="s">
        <v>270</v>
      </c>
      <c r="B701" t="s">
        <v>1638</v>
      </c>
      <c r="C701">
        <v>1</v>
      </c>
      <c r="D701" s="1">
        <v>44068.029664351852</v>
      </c>
      <c r="E701" t="s">
        <v>2176</v>
      </c>
      <c r="F701" t="s">
        <v>273</v>
      </c>
      <c r="G701" t="s">
        <v>1754</v>
      </c>
      <c r="H701" t="s">
        <v>275</v>
      </c>
      <c r="I701" t="s">
        <v>29</v>
      </c>
      <c r="J701">
        <v>1</v>
      </c>
      <c r="K701">
        <f>1-888-291-197</f>
        <v>-1375</v>
      </c>
      <c r="L701" t="s">
        <v>2177</v>
      </c>
      <c r="M701" t="s">
        <v>2178</v>
      </c>
      <c r="N701" t="s">
        <v>278</v>
      </c>
      <c r="O701" t="s">
        <v>28</v>
      </c>
      <c r="P701" t="s">
        <v>292</v>
      </c>
      <c r="Q701">
        <v>49</v>
      </c>
      <c r="R701">
        <v>2.3473220000000001</v>
      </c>
    </row>
    <row r="702" spans="1:18" x14ac:dyDescent="0.2">
      <c r="A702" t="s">
        <v>270</v>
      </c>
      <c r="B702" t="s">
        <v>1638</v>
      </c>
      <c r="C702">
        <v>1</v>
      </c>
      <c r="D702" s="1">
        <v>44068.028344907405</v>
      </c>
      <c r="E702" t="s">
        <v>2179</v>
      </c>
      <c r="F702" t="s">
        <v>273</v>
      </c>
      <c r="G702" t="s">
        <v>1754</v>
      </c>
      <c r="H702" t="s">
        <v>275</v>
      </c>
      <c r="I702" t="s">
        <v>29</v>
      </c>
      <c r="J702">
        <v>1</v>
      </c>
      <c r="K702">
        <f>1-888-690-840</f>
        <v>-2417</v>
      </c>
      <c r="L702" t="s">
        <v>2180</v>
      </c>
      <c r="M702" t="s">
        <v>2181</v>
      </c>
      <c r="N702" t="s">
        <v>278</v>
      </c>
      <c r="O702" t="s">
        <v>28</v>
      </c>
      <c r="P702" t="s">
        <v>292</v>
      </c>
      <c r="Q702">
        <v>49</v>
      </c>
      <c r="R702">
        <v>2.3473220000000001</v>
      </c>
    </row>
    <row r="703" spans="1:18" x14ac:dyDescent="0.2">
      <c r="A703" t="s">
        <v>270</v>
      </c>
      <c r="B703" t="s">
        <v>1638</v>
      </c>
      <c r="C703">
        <v>1</v>
      </c>
      <c r="D703" s="1">
        <v>44068.020520833335</v>
      </c>
      <c r="E703" t="s">
        <v>2182</v>
      </c>
      <c r="F703" t="s">
        <v>273</v>
      </c>
      <c r="G703" t="s">
        <v>1754</v>
      </c>
      <c r="H703" t="s">
        <v>275</v>
      </c>
      <c r="I703" t="s">
        <v>29</v>
      </c>
      <c r="J703">
        <v>1</v>
      </c>
      <c r="K703">
        <f>1-888-965-777</f>
        <v>-2629</v>
      </c>
      <c r="L703" t="s">
        <v>2183</v>
      </c>
      <c r="M703" t="s">
        <v>2184</v>
      </c>
      <c r="N703" t="s">
        <v>278</v>
      </c>
      <c r="O703" t="s">
        <v>28</v>
      </c>
      <c r="P703" t="s">
        <v>292</v>
      </c>
      <c r="Q703">
        <v>49</v>
      </c>
      <c r="R703">
        <v>2.3473220000000001</v>
      </c>
    </row>
    <row r="704" spans="1:18" x14ac:dyDescent="0.2">
      <c r="A704" t="s">
        <v>270</v>
      </c>
      <c r="B704" t="s">
        <v>1638</v>
      </c>
      <c r="C704">
        <v>1</v>
      </c>
      <c r="D704" s="1">
        <v>44068.01840277778</v>
      </c>
      <c r="E704" t="s">
        <v>2185</v>
      </c>
      <c r="F704" t="s">
        <v>273</v>
      </c>
      <c r="G704" t="s">
        <v>1754</v>
      </c>
      <c r="H704" t="s">
        <v>275</v>
      </c>
      <c r="I704" t="s">
        <v>29</v>
      </c>
      <c r="J704">
        <v>1</v>
      </c>
      <c r="K704">
        <f>1-888-706-1246</f>
        <v>-2839</v>
      </c>
      <c r="L704" t="s">
        <v>2186</v>
      </c>
      <c r="M704" t="s">
        <v>2187</v>
      </c>
      <c r="N704" t="s">
        <v>278</v>
      </c>
      <c r="O704" t="s">
        <v>28</v>
      </c>
      <c r="P704" t="s">
        <v>292</v>
      </c>
      <c r="Q704">
        <v>49</v>
      </c>
      <c r="R704">
        <v>2.3473220000000001</v>
      </c>
    </row>
    <row r="705" spans="1:18" x14ac:dyDescent="0.2">
      <c r="A705" t="s">
        <v>270</v>
      </c>
      <c r="B705" t="s">
        <v>1638</v>
      </c>
      <c r="C705">
        <v>1</v>
      </c>
      <c r="D705" s="1">
        <v>44053.301759259259</v>
      </c>
      <c r="E705" t="s">
        <v>2188</v>
      </c>
      <c r="F705" t="s">
        <v>273</v>
      </c>
      <c r="G705" t="s">
        <v>1754</v>
      </c>
      <c r="H705" t="s">
        <v>275</v>
      </c>
      <c r="I705" t="s">
        <v>29</v>
      </c>
      <c r="J705">
        <v>1</v>
      </c>
      <c r="K705">
        <f>1-866-801-5549</f>
        <v>-7215</v>
      </c>
      <c r="L705" t="s">
        <v>2189</v>
      </c>
      <c r="M705" t="s">
        <v>2190</v>
      </c>
      <c r="N705" t="s">
        <v>278</v>
      </c>
      <c r="O705" t="s">
        <v>134</v>
      </c>
      <c r="P705" t="s">
        <v>292</v>
      </c>
      <c r="Q705">
        <v>49</v>
      </c>
      <c r="R705">
        <v>2.3473220000000001</v>
      </c>
    </row>
    <row r="706" spans="1:18" x14ac:dyDescent="0.2">
      <c r="A706" t="s">
        <v>270</v>
      </c>
      <c r="B706" t="s">
        <v>1638</v>
      </c>
      <c r="C706">
        <v>1</v>
      </c>
      <c r="D706" s="1">
        <v>44053.30064814815</v>
      </c>
      <c r="E706" t="s">
        <v>2191</v>
      </c>
      <c r="F706" t="s">
        <v>273</v>
      </c>
      <c r="G706" t="s">
        <v>1754</v>
      </c>
      <c r="H706" t="s">
        <v>275</v>
      </c>
      <c r="I706" t="s">
        <v>29</v>
      </c>
      <c r="J706">
        <v>1</v>
      </c>
      <c r="K706">
        <f>1-866-801-5549</f>
        <v>-7215</v>
      </c>
      <c r="L706" t="s">
        <v>2192</v>
      </c>
      <c r="M706" t="s">
        <v>2193</v>
      </c>
      <c r="N706" t="s">
        <v>278</v>
      </c>
      <c r="O706" t="s">
        <v>134</v>
      </c>
      <c r="P706" t="s">
        <v>292</v>
      </c>
      <c r="Q706">
        <v>49</v>
      </c>
      <c r="R706">
        <v>2.3473220000000001</v>
      </c>
    </row>
    <row r="707" spans="1:18" x14ac:dyDescent="0.2">
      <c r="A707" t="s">
        <v>270</v>
      </c>
      <c r="B707" t="s">
        <v>1638</v>
      </c>
      <c r="C707">
        <v>1</v>
      </c>
      <c r="D707" s="1">
        <v>44053.291168981479</v>
      </c>
      <c r="E707" t="s">
        <v>2194</v>
      </c>
      <c r="F707" t="s">
        <v>273</v>
      </c>
      <c r="G707" t="s">
        <v>1754</v>
      </c>
      <c r="H707" t="s">
        <v>275</v>
      </c>
      <c r="I707" t="s">
        <v>29</v>
      </c>
      <c r="J707">
        <v>1</v>
      </c>
      <c r="K707">
        <f>1-866-788-5605</f>
        <v>-7258</v>
      </c>
      <c r="L707" t="s">
        <v>2195</v>
      </c>
      <c r="M707" t="s">
        <v>2196</v>
      </c>
      <c r="N707" t="s">
        <v>278</v>
      </c>
      <c r="O707" t="s">
        <v>134</v>
      </c>
      <c r="P707" t="s">
        <v>292</v>
      </c>
      <c r="Q707">
        <v>49</v>
      </c>
      <c r="R707">
        <v>2.3473220000000001</v>
      </c>
    </row>
    <row r="708" spans="1:18" x14ac:dyDescent="0.2">
      <c r="A708" t="s">
        <v>270</v>
      </c>
      <c r="B708" t="s">
        <v>1638</v>
      </c>
      <c r="C708">
        <v>1</v>
      </c>
      <c r="D708" s="1">
        <v>44053.286365740743</v>
      </c>
      <c r="E708" t="s">
        <v>2197</v>
      </c>
      <c r="F708" t="s">
        <v>273</v>
      </c>
      <c r="G708" t="s">
        <v>1754</v>
      </c>
      <c r="H708" t="s">
        <v>275</v>
      </c>
      <c r="I708" t="s">
        <v>29</v>
      </c>
      <c r="J708">
        <v>1</v>
      </c>
      <c r="K708">
        <f>1-888-524-5804</f>
        <v>-7215</v>
      </c>
      <c r="L708" t="s">
        <v>2198</v>
      </c>
      <c r="M708" t="s">
        <v>2199</v>
      </c>
      <c r="N708" t="s">
        <v>278</v>
      </c>
      <c r="O708" t="s">
        <v>134</v>
      </c>
      <c r="P708" t="s">
        <v>292</v>
      </c>
      <c r="Q708">
        <v>49</v>
      </c>
      <c r="R708">
        <v>2.3473220000000001</v>
      </c>
    </row>
    <row r="709" spans="1:18" x14ac:dyDescent="0.2">
      <c r="A709" t="s">
        <v>270</v>
      </c>
      <c r="B709" t="s">
        <v>1638</v>
      </c>
      <c r="C709">
        <v>1</v>
      </c>
      <c r="D709" s="1">
        <v>44046.728229166663</v>
      </c>
      <c r="E709" t="s">
        <v>2200</v>
      </c>
      <c r="F709" t="s">
        <v>273</v>
      </c>
      <c r="G709" t="s">
        <v>1754</v>
      </c>
      <c r="H709" t="s">
        <v>275</v>
      </c>
      <c r="I709" t="s">
        <v>29</v>
      </c>
      <c r="J709">
        <v>1</v>
      </c>
      <c r="K709">
        <f>1-844-488-3633</f>
        <v>-4964</v>
      </c>
      <c r="L709" t="s">
        <v>2201</v>
      </c>
      <c r="M709" t="s">
        <v>2202</v>
      </c>
      <c r="N709" t="s">
        <v>278</v>
      </c>
      <c r="O709" t="s">
        <v>134</v>
      </c>
      <c r="P709" t="s">
        <v>292</v>
      </c>
      <c r="Q709">
        <v>49</v>
      </c>
      <c r="R709">
        <v>2.3473220000000001</v>
      </c>
    </row>
    <row r="710" spans="1:18" x14ac:dyDescent="0.2">
      <c r="A710" t="s">
        <v>270</v>
      </c>
      <c r="B710" t="s">
        <v>1638</v>
      </c>
      <c r="C710">
        <v>1</v>
      </c>
      <c r="D710" s="1">
        <v>44045.699363425927</v>
      </c>
      <c r="E710" t="s">
        <v>2203</v>
      </c>
      <c r="F710" t="s">
        <v>273</v>
      </c>
      <c r="G710" t="s">
        <v>1754</v>
      </c>
      <c r="H710" t="s">
        <v>275</v>
      </c>
      <c r="I710" t="s">
        <v>29</v>
      </c>
      <c r="J710">
        <v>1</v>
      </c>
      <c r="K710">
        <f>1-888-524-767</f>
        <v>-2178</v>
      </c>
      <c r="L710" t="s">
        <v>2204</v>
      </c>
      <c r="M710" t="s">
        <v>2205</v>
      </c>
      <c r="N710" t="s">
        <v>278</v>
      </c>
      <c r="O710" t="s">
        <v>134</v>
      </c>
      <c r="P710" t="s">
        <v>292</v>
      </c>
      <c r="Q710">
        <v>49</v>
      </c>
      <c r="R710">
        <v>2.3473220000000001</v>
      </c>
    </row>
    <row r="711" spans="1:18" x14ac:dyDescent="0.2">
      <c r="A711" t="s">
        <v>270</v>
      </c>
      <c r="B711" t="s">
        <v>1638</v>
      </c>
      <c r="C711">
        <v>1</v>
      </c>
      <c r="D711" s="1">
        <v>44045.692037037035</v>
      </c>
      <c r="E711" t="s">
        <v>2206</v>
      </c>
      <c r="F711" t="s">
        <v>273</v>
      </c>
      <c r="G711" t="s">
        <v>1754</v>
      </c>
      <c r="H711" t="s">
        <v>275</v>
      </c>
      <c r="I711" t="s">
        <v>29</v>
      </c>
      <c r="J711">
        <v>1</v>
      </c>
      <c r="K711">
        <f>1-844-474-3214</f>
        <v>-4531</v>
      </c>
      <c r="L711" t="s">
        <v>2207</v>
      </c>
      <c r="M711" t="s">
        <v>2208</v>
      </c>
      <c r="N711" t="s">
        <v>278</v>
      </c>
      <c r="O711" t="s">
        <v>134</v>
      </c>
      <c r="P711" t="s">
        <v>292</v>
      </c>
      <c r="Q711">
        <v>49</v>
      </c>
      <c r="R711">
        <v>2.3473220000000001</v>
      </c>
    </row>
    <row r="712" spans="1:18" x14ac:dyDescent="0.2">
      <c r="A712" t="s">
        <v>270</v>
      </c>
      <c r="B712" t="s">
        <v>1638</v>
      </c>
      <c r="C712">
        <v>1</v>
      </c>
      <c r="D712" s="1">
        <v>44036.938449074078</v>
      </c>
      <c r="E712" t="s">
        <v>2209</v>
      </c>
      <c r="F712" t="s">
        <v>273</v>
      </c>
      <c r="G712" t="s">
        <v>1754</v>
      </c>
      <c r="H712" t="s">
        <v>275</v>
      </c>
      <c r="I712" t="s">
        <v>29</v>
      </c>
      <c r="J712">
        <v>1</v>
      </c>
      <c r="K712">
        <f>1-888-538-7062</f>
        <v>-8487</v>
      </c>
      <c r="L712" t="s">
        <v>2210</v>
      </c>
      <c r="M712" t="s">
        <v>2211</v>
      </c>
      <c r="N712" t="s">
        <v>278</v>
      </c>
      <c r="O712" t="s">
        <v>134</v>
      </c>
      <c r="P712" t="s">
        <v>292</v>
      </c>
      <c r="Q712">
        <v>49</v>
      </c>
      <c r="R712">
        <v>2.3473220000000001</v>
      </c>
    </row>
    <row r="713" spans="1:18" x14ac:dyDescent="0.2">
      <c r="A713" t="s">
        <v>270</v>
      </c>
      <c r="B713" t="s">
        <v>1638</v>
      </c>
      <c r="C713">
        <v>1</v>
      </c>
      <c r="D713" s="1">
        <v>44034.388379629629</v>
      </c>
      <c r="E713" t="s">
        <v>2212</v>
      </c>
      <c r="F713" t="s">
        <v>273</v>
      </c>
      <c r="G713" t="s">
        <v>1754</v>
      </c>
      <c r="H713" t="s">
        <v>275</v>
      </c>
      <c r="I713" t="s">
        <v>29</v>
      </c>
      <c r="J713">
        <v>1</v>
      </c>
      <c r="K713">
        <f>1-866-735-3054</f>
        <v>-4654</v>
      </c>
      <c r="L713" t="s">
        <v>2213</v>
      </c>
      <c r="M713" t="s">
        <v>2214</v>
      </c>
      <c r="N713" t="s">
        <v>278</v>
      </c>
      <c r="O713" t="s">
        <v>134</v>
      </c>
      <c r="P713" t="s">
        <v>292</v>
      </c>
      <c r="Q713">
        <v>49</v>
      </c>
      <c r="R713">
        <v>2.3473220000000001</v>
      </c>
    </row>
    <row r="714" spans="1:18" x14ac:dyDescent="0.2">
      <c r="A714" t="s">
        <v>270</v>
      </c>
      <c r="B714" t="s">
        <v>1638</v>
      </c>
      <c r="C714">
        <v>1</v>
      </c>
      <c r="D714" s="1">
        <v>44010.29954861111</v>
      </c>
      <c r="E714" t="s">
        <v>2215</v>
      </c>
      <c r="F714" t="s">
        <v>273</v>
      </c>
      <c r="G714" t="s">
        <v>1754</v>
      </c>
      <c r="H714" t="s">
        <v>275</v>
      </c>
      <c r="I714" t="s">
        <v>29</v>
      </c>
      <c r="J714">
        <v>1</v>
      </c>
      <c r="K714">
        <f>1-9-72-51-45-57</f>
        <v>-233</v>
      </c>
      <c r="L714" t="s">
        <v>2216</v>
      </c>
      <c r="M714" t="s">
        <v>2217</v>
      </c>
      <c r="N714" t="s">
        <v>278</v>
      </c>
      <c r="O714" t="s">
        <v>134</v>
      </c>
      <c r="P714" t="s">
        <v>292</v>
      </c>
      <c r="Q714">
        <v>49</v>
      </c>
      <c r="R714">
        <v>2.3473220000000001</v>
      </c>
    </row>
    <row r="715" spans="1:18" x14ac:dyDescent="0.2">
      <c r="A715" t="s">
        <v>270</v>
      </c>
      <c r="B715" t="s">
        <v>1638</v>
      </c>
      <c r="C715">
        <v>1</v>
      </c>
      <c r="D715" s="1">
        <v>43977.834652777776</v>
      </c>
      <c r="E715" t="s">
        <v>2218</v>
      </c>
      <c r="F715" t="s">
        <v>273</v>
      </c>
      <c r="G715" t="s">
        <v>1754</v>
      </c>
      <c r="H715" t="s">
        <v>275</v>
      </c>
      <c r="I715" t="s">
        <v>29</v>
      </c>
      <c r="J715">
        <v>1</v>
      </c>
      <c r="K715">
        <f>1-833-757-446</f>
        <v>-2035</v>
      </c>
      <c r="L715" t="s">
        <v>2219</v>
      </c>
      <c r="M715" t="s">
        <v>2220</v>
      </c>
      <c r="N715" t="s">
        <v>278</v>
      </c>
      <c r="O715" t="s">
        <v>28</v>
      </c>
      <c r="P715" t="s">
        <v>292</v>
      </c>
      <c r="Q715">
        <v>49</v>
      </c>
      <c r="R715">
        <v>2.3473220000000001</v>
      </c>
    </row>
    <row r="716" spans="1:18" x14ac:dyDescent="0.2">
      <c r="A716" t="s">
        <v>439</v>
      </c>
      <c r="B716" t="s">
        <v>440</v>
      </c>
      <c r="C716">
        <v>1</v>
      </c>
      <c r="D716" s="1">
        <v>43977.835729166669</v>
      </c>
      <c r="E716" t="s">
        <v>2221</v>
      </c>
      <c r="F716" t="s">
        <v>442</v>
      </c>
      <c r="G716" t="s">
        <v>2222</v>
      </c>
      <c r="H716" t="s">
        <v>444</v>
      </c>
      <c r="I716" t="s">
        <v>29</v>
      </c>
      <c r="J716">
        <v>1</v>
      </c>
      <c r="K716">
        <f>1-833-256-2778</f>
        <v>-3866</v>
      </c>
      <c r="L716" t="s">
        <v>2223</v>
      </c>
      <c r="M716" t="s">
        <v>2224</v>
      </c>
      <c r="N716" t="s">
        <v>452</v>
      </c>
      <c r="O716" t="s">
        <v>28</v>
      </c>
      <c r="P716" t="s">
        <v>29</v>
      </c>
      <c r="Q716">
        <v>39</v>
      </c>
      <c r="R716">
        <v>-77.487399999999994</v>
      </c>
    </row>
    <row r="717" spans="1:18" x14ac:dyDescent="0.2">
      <c r="A717" t="s">
        <v>2225</v>
      </c>
      <c r="B717" t="s">
        <v>2226</v>
      </c>
      <c r="C717">
        <v>1</v>
      </c>
      <c r="D717" s="1">
        <v>43977.836331018516</v>
      </c>
      <c r="E717" t="s">
        <v>2227</v>
      </c>
      <c r="F717" t="s">
        <v>2228</v>
      </c>
      <c r="G717" t="s">
        <v>2229</v>
      </c>
      <c r="H717" t="s">
        <v>2230</v>
      </c>
      <c r="I717" t="s">
        <v>29</v>
      </c>
      <c r="J717">
        <v>1</v>
      </c>
      <c r="K717">
        <f>1-866-383-4333</f>
        <v>-5581</v>
      </c>
      <c r="L717" t="s">
        <v>2231</v>
      </c>
      <c r="M717" t="s">
        <v>2232</v>
      </c>
      <c r="N717" t="s">
        <v>452</v>
      </c>
      <c r="O717" t="s">
        <v>134</v>
      </c>
      <c r="P717" t="s">
        <v>24</v>
      </c>
      <c r="Q717">
        <v>50</v>
      </c>
      <c r="R717">
        <v>12.365</v>
      </c>
    </row>
    <row r="718" spans="1:18" x14ac:dyDescent="0.2">
      <c r="A718" t="s">
        <v>2233</v>
      </c>
      <c r="B718" t="s">
        <v>2234</v>
      </c>
      <c r="C718">
        <v>1</v>
      </c>
      <c r="D718" s="1">
        <v>43977.886238425926</v>
      </c>
      <c r="E718" t="s">
        <v>2235</v>
      </c>
      <c r="F718" t="s">
        <v>2236</v>
      </c>
      <c r="G718" t="s">
        <v>2235</v>
      </c>
      <c r="H718" t="s">
        <v>2237</v>
      </c>
      <c r="I718" t="s">
        <v>29</v>
      </c>
      <c r="J718">
        <v>1</v>
      </c>
      <c r="K718">
        <f>1-866-229-2048</f>
        <v>-3142</v>
      </c>
      <c r="L718" t="s">
        <v>2238</v>
      </c>
      <c r="M718" t="s">
        <v>2239</v>
      </c>
      <c r="N718">
        <v>130</v>
      </c>
      <c r="O718" t="s">
        <v>134</v>
      </c>
      <c r="P718" t="s">
        <v>29</v>
      </c>
      <c r="Q718">
        <v>40</v>
      </c>
      <c r="R718">
        <v>-83.114099999999993</v>
      </c>
    </row>
    <row r="719" spans="1:18" x14ac:dyDescent="0.2">
      <c r="A719" t="s">
        <v>1637</v>
      </c>
      <c r="B719" t="s">
        <v>1638</v>
      </c>
      <c r="C719">
        <v>1</v>
      </c>
      <c r="D719" s="1">
        <v>44030.928391203706</v>
      </c>
      <c r="E719" t="s">
        <v>2240</v>
      </c>
      <c r="F719" t="s">
        <v>1640</v>
      </c>
      <c r="G719" t="s">
        <v>2241</v>
      </c>
      <c r="H719" t="s">
        <v>1642</v>
      </c>
      <c r="I719" t="s">
        <v>29</v>
      </c>
      <c r="J719">
        <v>1</v>
      </c>
      <c r="K719">
        <f>1-888-407-9698</f>
        <v>-10992</v>
      </c>
      <c r="L719" t="s">
        <v>2242</v>
      </c>
      <c r="M719" t="s">
        <v>2243</v>
      </c>
      <c r="N719" t="s">
        <v>36</v>
      </c>
      <c r="O719" t="s">
        <v>134</v>
      </c>
      <c r="P719" t="s">
        <v>292</v>
      </c>
      <c r="Q719">
        <v>49</v>
      </c>
      <c r="R719">
        <v>2.3281000000000001</v>
      </c>
    </row>
    <row r="720" spans="1:18" x14ac:dyDescent="0.2">
      <c r="A720" t="s">
        <v>1637</v>
      </c>
      <c r="B720" t="s">
        <v>1638</v>
      </c>
      <c r="C720">
        <v>1</v>
      </c>
      <c r="D720" s="1">
        <v>44030.913819444446</v>
      </c>
      <c r="E720" t="s">
        <v>2240</v>
      </c>
      <c r="F720" t="s">
        <v>1640</v>
      </c>
      <c r="G720" t="s">
        <v>2241</v>
      </c>
      <c r="H720" t="s">
        <v>1642</v>
      </c>
      <c r="I720" t="s">
        <v>29</v>
      </c>
      <c r="J720">
        <v>1</v>
      </c>
      <c r="K720">
        <f>1-888-803-2915</f>
        <v>-4605</v>
      </c>
      <c r="L720" t="s">
        <v>2244</v>
      </c>
      <c r="M720" t="s">
        <v>2245</v>
      </c>
      <c r="N720" t="s">
        <v>36</v>
      </c>
      <c r="O720" t="s">
        <v>134</v>
      </c>
      <c r="P720" t="s">
        <v>292</v>
      </c>
      <c r="Q720">
        <v>49</v>
      </c>
      <c r="R720">
        <v>2.3281000000000001</v>
      </c>
    </row>
    <row r="721" spans="1:18" x14ac:dyDescent="0.2">
      <c r="A721" t="s">
        <v>1637</v>
      </c>
      <c r="B721" t="s">
        <v>1638</v>
      </c>
      <c r="C721">
        <v>1</v>
      </c>
      <c r="D721" s="1">
        <v>44030.835416666669</v>
      </c>
      <c r="E721" t="s">
        <v>2246</v>
      </c>
      <c r="F721" t="s">
        <v>1640</v>
      </c>
      <c r="G721" t="s">
        <v>2241</v>
      </c>
      <c r="H721" t="s">
        <v>1642</v>
      </c>
      <c r="I721" t="s">
        <v>29</v>
      </c>
      <c r="J721">
        <v>1</v>
      </c>
      <c r="K721">
        <f>1-888-406-5854</f>
        <v>-7147</v>
      </c>
      <c r="L721" t="s">
        <v>2247</v>
      </c>
      <c r="M721" t="s">
        <v>2248</v>
      </c>
      <c r="N721" t="s">
        <v>36</v>
      </c>
      <c r="O721" t="s">
        <v>134</v>
      </c>
      <c r="P721" t="s">
        <v>292</v>
      </c>
      <c r="Q721">
        <v>49</v>
      </c>
      <c r="R721">
        <v>2.3281000000000001</v>
      </c>
    </row>
    <row r="722" spans="1:18" x14ac:dyDescent="0.2">
      <c r="A722" t="s">
        <v>1637</v>
      </c>
      <c r="B722" t="s">
        <v>1638</v>
      </c>
      <c r="C722">
        <v>1</v>
      </c>
      <c r="D722" s="1">
        <v>44030.824629629627</v>
      </c>
      <c r="E722" t="s">
        <v>2246</v>
      </c>
      <c r="F722" t="s">
        <v>1640</v>
      </c>
      <c r="G722" t="s">
        <v>2241</v>
      </c>
      <c r="H722" t="s">
        <v>1642</v>
      </c>
      <c r="I722" t="s">
        <v>29</v>
      </c>
      <c r="J722">
        <v>1</v>
      </c>
      <c r="K722">
        <f>1-888-701-6455</f>
        <v>-8043</v>
      </c>
      <c r="L722" t="s">
        <v>2249</v>
      </c>
      <c r="M722" t="s">
        <v>2250</v>
      </c>
      <c r="N722" t="s">
        <v>36</v>
      </c>
      <c r="O722" t="s">
        <v>134</v>
      </c>
      <c r="P722" t="s">
        <v>292</v>
      </c>
      <c r="Q722">
        <v>49</v>
      </c>
      <c r="R722">
        <v>2.3281000000000001</v>
      </c>
    </row>
    <row r="723" spans="1:18" x14ac:dyDescent="0.2">
      <c r="A723" t="s">
        <v>1637</v>
      </c>
      <c r="B723" t="s">
        <v>1638</v>
      </c>
      <c r="C723">
        <v>1</v>
      </c>
      <c r="D723" s="1">
        <v>44020.825208333335</v>
      </c>
      <c r="E723" t="s">
        <v>2251</v>
      </c>
      <c r="F723" t="s">
        <v>1640</v>
      </c>
      <c r="G723" t="s">
        <v>2241</v>
      </c>
      <c r="H723" t="s">
        <v>1642</v>
      </c>
      <c r="I723" t="s">
        <v>29</v>
      </c>
      <c r="J723">
        <v>1</v>
      </c>
      <c r="K723">
        <f>1-888-819-1477</f>
        <v>-3183</v>
      </c>
      <c r="L723" t="s">
        <v>2252</v>
      </c>
      <c r="M723" t="s">
        <v>2253</v>
      </c>
      <c r="N723" t="s">
        <v>452</v>
      </c>
      <c r="O723" t="s">
        <v>134</v>
      </c>
      <c r="P723" t="s">
        <v>292</v>
      </c>
      <c r="Q723">
        <v>49</v>
      </c>
      <c r="R723">
        <v>2.3281000000000001</v>
      </c>
    </row>
    <row r="724" spans="1:18" x14ac:dyDescent="0.2">
      <c r="A724" t="s">
        <v>1637</v>
      </c>
      <c r="B724" t="s">
        <v>1638</v>
      </c>
      <c r="C724">
        <v>1</v>
      </c>
      <c r="D724" s="1">
        <v>44020.81077546296</v>
      </c>
      <c r="E724" t="s">
        <v>2254</v>
      </c>
      <c r="F724" t="s">
        <v>1640</v>
      </c>
      <c r="G724" t="s">
        <v>2241</v>
      </c>
      <c r="H724" t="s">
        <v>1642</v>
      </c>
      <c r="I724" t="s">
        <v>29</v>
      </c>
      <c r="J724">
        <v>1</v>
      </c>
      <c r="K724">
        <f>1-888-406-9033</f>
        <v>-10326</v>
      </c>
      <c r="L724" t="s">
        <v>2255</v>
      </c>
      <c r="M724" t="s">
        <v>2256</v>
      </c>
      <c r="N724" t="s">
        <v>1645</v>
      </c>
      <c r="O724" t="s">
        <v>134</v>
      </c>
      <c r="P724" t="s">
        <v>292</v>
      </c>
      <c r="Q724">
        <v>49</v>
      </c>
      <c r="R724">
        <v>2.3281000000000001</v>
      </c>
    </row>
    <row r="725" spans="1:18" x14ac:dyDescent="0.2">
      <c r="A725" t="s">
        <v>1637</v>
      </c>
      <c r="B725" t="s">
        <v>1638</v>
      </c>
      <c r="C725">
        <v>1</v>
      </c>
      <c r="D725" s="1">
        <v>43978.936354166668</v>
      </c>
      <c r="E725" t="s">
        <v>2257</v>
      </c>
      <c r="F725" t="s">
        <v>1640</v>
      </c>
      <c r="G725" t="s">
        <v>2241</v>
      </c>
      <c r="H725" t="s">
        <v>1642</v>
      </c>
      <c r="I725" t="s">
        <v>29</v>
      </c>
      <c r="J725">
        <v>1</v>
      </c>
      <c r="K725">
        <f>1-888-576-6623</f>
        <v>-8086</v>
      </c>
      <c r="L725" t="s">
        <v>2258</v>
      </c>
      <c r="M725" t="s">
        <v>2259</v>
      </c>
      <c r="N725" t="s">
        <v>1645</v>
      </c>
      <c r="O725" t="s">
        <v>134</v>
      </c>
      <c r="P725" t="s">
        <v>292</v>
      </c>
      <c r="Q725">
        <v>49</v>
      </c>
      <c r="R725">
        <v>2.3281000000000001</v>
      </c>
    </row>
    <row r="726" spans="1:18" x14ac:dyDescent="0.2">
      <c r="A726" t="s">
        <v>1637</v>
      </c>
      <c r="B726" t="s">
        <v>1638</v>
      </c>
      <c r="C726">
        <v>1</v>
      </c>
      <c r="D726" s="1">
        <v>43977.896134259259</v>
      </c>
      <c r="E726" t="s">
        <v>2260</v>
      </c>
      <c r="F726" t="s">
        <v>1640</v>
      </c>
      <c r="G726" t="s">
        <v>2241</v>
      </c>
      <c r="H726" t="s">
        <v>1642</v>
      </c>
      <c r="I726" t="s">
        <v>29</v>
      </c>
      <c r="J726">
        <v>1</v>
      </c>
      <c r="K726">
        <f>1-888-709-953</f>
        <v>-2549</v>
      </c>
      <c r="L726" t="s">
        <v>2261</v>
      </c>
      <c r="M726" t="s">
        <v>2262</v>
      </c>
      <c r="N726" t="s">
        <v>1645</v>
      </c>
      <c r="O726" t="s">
        <v>134</v>
      </c>
      <c r="P726" t="s">
        <v>292</v>
      </c>
      <c r="Q726">
        <v>49</v>
      </c>
      <c r="R726">
        <v>2.3281000000000001</v>
      </c>
    </row>
    <row r="727" spans="1:18" x14ac:dyDescent="0.2">
      <c r="A727" t="s">
        <v>270</v>
      </c>
      <c r="B727" t="s">
        <v>2263</v>
      </c>
      <c r="C727">
        <v>1</v>
      </c>
      <c r="D727" s="1">
        <v>44370.816620370373</v>
      </c>
      <c r="E727" t="s">
        <v>2264</v>
      </c>
      <c r="F727" t="s">
        <v>273</v>
      </c>
      <c r="G727" t="s">
        <v>2265</v>
      </c>
      <c r="H727" t="s">
        <v>275</v>
      </c>
      <c r="I727" t="s">
        <v>29</v>
      </c>
      <c r="J727">
        <v>1</v>
      </c>
      <c r="K727">
        <f>1-866-295-9868</f>
        <v>-11028</v>
      </c>
      <c r="L727" t="s">
        <v>2266</v>
      </c>
      <c r="M727" t="s">
        <v>2267</v>
      </c>
      <c r="N727" t="s">
        <v>278</v>
      </c>
      <c r="O727" t="s">
        <v>28</v>
      </c>
      <c r="P727" t="s">
        <v>2268</v>
      </c>
      <c r="Q727">
        <v>44</v>
      </c>
      <c r="R727">
        <v>-79.382999999999996</v>
      </c>
    </row>
    <row r="728" spans="1:18" x14ac:dyDescent="0.2">
      <c r="A728" t="s">
        <v>270</v>
      </c>
      <c r="B728" t="s">
        <v>2263</v>
      </c>
      <c r="C728">
        <v>1</v>
      </c>
      <c r="D728" s="1">
        <v>44370.771111111113</v>
      </c>
      <c r="E728" t="s">
        <v>2269</v>
      </c>
      <c r="F728" t="s">
        <v>273</v>
      </c>
      <c r="G728" t="s">
        <v>2265</v>
      </c>
      <c r="H728" t="s">
        <v>275</v>
      </c>
      <c r="I728" t="s">
        <v>29</v>
      </c>
      <c r="J728">
        <v>1</v>
      </c>
      <c r="K728">
        <f>1-866-293-9874</f>
        <v>-11032</v>
      </c>
      <c r="L728" t="s">
        <v>2270</v>
      </c>
      <c r="M728" t="s">
        <v>2271</v>
      </c>
      <c r="N728" t="s">
        <v>278</v>
      </c>
      <c r="O728" t="s">
        <v>28</v>
      </c>
      <c r="P728" t="s">
        <v>2268</v>
      </c>
      <c r="Q728">
        <v>44</v>
      </c>
      <c r="R728">
        <v>-79.382999999999996</v>
      </c>
    </row>
    <row r="729" spans="1:18" x14ac:dyDescent="0.2">
      <c r="A729" t="s">
        <v>270</v>
      </c>
      <c r="B729" t="s">
        <v>2263</v>
      </c>
      <c r="C729">
        <v>1</v>
      </c>
      <c r="D729" s="1">
        <v>44370.759814814817</v>
      </c>
      <c r="E729" t="s">
        <v>2272</v>
      </c>
      <c r="F729" t="s">
        <v>273</v>
      </c>
      <c r="G729" t="s">
        <v>2265</v>
      </c>
      <c r="H729" t="s">
        <v>275</v>
      </c>
      <c r="I729" t="s">
        <v>29</v>
      </c>
      <c r="J729">
        <v>1</v>
      </c>
      <c r="K729">
        <f>1-866-293-9197</f>
        <v>-10355</v>
      </c>
      <c r="L729" t="s">
        <v>2273</v>
      </c>
      <c r="M729" t="s">
        <v>2274</v>
      </c>
      <c r="N729" t="s">
        <v>278</v>
      </c>
      <c r="O729" t="s">
        <v>28</v>
      </c>
      <c r="P729" t="s">
        <v>2268</v>
      </c>
      <c r="Q729">
        <v>44</v>
      </c>
      <c r="R729">
        <v>-79.382999999999996</v>
      </c>
    </row>
    <row r="730" spans="1:18" x14ac:dyDescent="0.2">
      <c r="A730" t="s">
        <v>270</v>
      </c>
      <c r="B730" t="s">
        <v>2263</v>
      </c>
      <c r="C730">
        <v>1</v>
      </c>
      <c r="D730" s="1">
        <v>44251.836099537039</v>
      </c>
      <c r="E730" t="s">
        <v>2275</v>
      </c>
      <c r="F730" t="s">
        <v>273</v>
      </c>
      <c r="G730" t="s">
        <v>2265</v>
      </c>
      <c r="H730" t="s">
        <v>275</v>
      </c>
      <c r="I730" t="s">
        <v>29</v>
      </c>
      <c r="J730">
        <v>1</v>
      </c>
      <c r="K730">
        <f>1-888-585-6910</f>
        <v>-8382</v>
      </c>
      <c r="L730" t="s">
        <v>2276</v>
      </c>
      <c r="M730" t="s">
        <v>2277</v>
      </c>
      <c r="N730" t="s">
        <v>278</v>
      </c>
      <c r="O730" t="s">
        <v>28</v>
      </c>
      <c r="P730" t="s">
        <v>2268</v>
      </c>
      <c r="Q730">
        <v>44</v>
      </c>
      <c r="R730">
        <v>-79.382999999999996</v>
      </c>
    </row>
    <row r="731" spans="1:18" x14ac:dyDescent="0.2">
      <c r="A731" t="s">
        <v>270</v>
      </c>
      <c r="B731" t="s">
        <v>2263</v>
      </c>
      <c r="C731">
        <v>1</v>
      </c>
      <c r="D731" s="1">
        <v>44246.739131944443</v>
      </c>
      <c r="E731" t="s">
        <v>2278</v>
      </c>
      <c r="F731" t="s">
        <v>273</v>
      </c>
      <c r="G731" t="s">
        <v>2265</v>
      </c>
      <c r="H731" t="s">
        <v>275</v>
      </c>
      <c r="I731" t="s">
        <v>29</v>
      </c>
      <c r="J731">
        <v>1</v>
      </c>
      <c r="K731">
        <f>1-866-805-4255</f>
        <v>-5925</v>
      </c>
      <c r="L731" t="s">
        <v>2279</v>
      </c>
      <c r="M731" t="s">
        <v>2280</v>
      </c>
      <c r="N731" t="s">
        <v>278</v>
      </c>
      <c r="O731" t="s">
        <v>28</v>
      </c>
      <c r="P731" t="s">
        <v>2268</v>
      </c>
      <c r="Q731">
        <v>44</v>
      </c>
      <c r="R731">
        <v>-79.382999999999996</v>
      </c>
    </row>
    <row r="732" spans="1:18" x14ac:dyDescent="0.2">
      <c r="A732" t="s">
        <v>270</v>
      </c>
      <c r="B732" t="s">
        <v>2263</v>
      </c>
      <c r="C732">
        <v>1</v>
      </c>
      <c r="D732" s="1">
        <v>44245.73641203704</v>
      </c>
      <c r="E732" t="s">
        <v>2281</v>
      </c>
      <c r="F732" t="s">
        <v>273</v>
      </c>
      <c r="G732" t="s">
        <v>2265</v>
      </c>
      <c r="H732" t="s">
        <v>275</v>
      </c>
      <c r="I732" t="s">
        <v>29</v>
      </c>
      <c r="J732">
        <v>1</v>
      </c>
      <c r="K732">
        <f>1-888-612-7150</f>
        <v>-8649</v>
      </c>
      <c r="L732" s="2" t="s">
        <v>2282</v>
      </c>
      <c r="M732" t="s">
        <v>2283</v>
      </c>
      <c r="N732" t="s">
        <v>278</v>
      </c>
      <c r="O732" t="s">
        <v>28</v>
      </c>
      <c r="P732" t="s">
        <v>2268</v>
      </c>
      <c r="Q732">
        <v>44</v>
      </c>
      <c r="R732">
        <v>-79.382999999999996</v>
      </c>
    </row>
    <row r="733" spans="1:18" x14ac:dyDescent="0.2">
      <c r="A733" t="s">
        <v>270</v>
      </c>
      <c r="B733" t="s">
        <v>2263</v>
      </c>
      <c r="C733">
        <v>1</v>
      </c>
      <c r="D733" s="1">
        <v>44179.797812500001</v>
      </c>
      <c r="E733" t="s">
        <v>2284</v>
      </c>
      <c r="F733" t="s">
        <v>273</v>
      </c>
      <c r="G733" t="s">
        <v>2265</v>
      </c>
      <c r="H733" t="s">
        <v>275</v>
      </c>
      <c r="I733" t="s">
        <v>29</v>
      </c>
      <c r="J733">
        <v>1</v>
      </c>
      <c r="K733">
        <f>1-888-210-2707</f>
        <v>-3804</v>
      </c>
      <c r="L733" t="s">
        <v>2285</v>
      </c>
      <c r="M733" t="s">
        <v>2286</v>
      </c>
      <c r="N733" t="s">
        <v>278</v>
      </c>
      <c r="O733" t="s">
        <v>134</v>
      </c>
      <c r="P733" t="s">
        <v>2268</v>
      </c>
      <c r="Q733">
        <v>44</v>
      </c>
      <c r="R733">
        <v>-79.382999999999996</v>
      </c>
    </row>
    <row r="734" spans="1:18" x14ac:dyDescent="0.2">
      <c r="A734" t="s">
        <v>270</v>
      </c>
      <c r="B734" t="s">
        <v>2263</v>
      </c>
      <c r="C734">
        <v>1</v>
      </c>
      <c r="D734" s="1">
        <v>44096.369849537034</v>
      </c>
      <c r="E734" t="s">
        <v>2287</v>
      </c>
      <c r="F734" t="s">
        <v>273</v>
      </c>
      <c r="G734" t="s">
        <v>2265</v>
      </c>
      <c r="H734" t="s">
        <v>275</v>
      </c>
      <c r="I734" t="s">
        <v>29</v>
      </c>
      <c r="J734">
        <v>1</v>
      </c>
      <c r="K734">
        <f>1-844-316-9077</f>
        <v>-10236</v>
      </c>
      <c r="L734" t="s">
        <v>2288</v>
      </c>
      <c r="M734" t="s">
        <v>2289</v>
      </c>
      <c r="N734" t="s">
        <v>278</v>
      </c>
      <c r="O734" t="s">
        <v>28</v>
      </c>
      <c r="P734" t="s">
        <v>2268</v>
      </c>
      <c r="Q734">
        <v>44</v>
      </c>
      <c r="R734">
        <v>-79.382999999999996</v>
      </c>
    </row>
    <row r="735" spans="1:18" x14ac:dyDescent="0.2">
      <c r="A735" t="s">
        <v>270</v>
      </c>
      <c r="B735" t="s">
        <v>2263</v>
      </c>
      <c r="C735">
        <v>1</v>
      </c>
      <c r="D735" s="1">
        <v>44096.369259259256</v>
      </c>
      <c r="E735" t="s">
        <v>2290</v>
      </c>
      <c r="F735" t="s">
        <v>273</v>
      </c>
      <c r="G735" t="s">
        <v>2265</v>
      </c>
      <c r="H735" t="s">
        <v>275</v>
      </c>
      <c r="I735" t="s">
        <v>29</v>
      </c>
      <c r="J735">
        <v>1</v>
      </c>
      <c r="K735">
        <f>1-844-316-9077</f>
        <v>-10236</v>
      </c>
      <c r="L735" t="s">
        <v>2291</v>
      </c>
      <c r="M735" t="s">
        <v>2292</v>
      </c>
      <c r="N735" t="s">
        <v>278</v>
      </c>
      <c r="O735" t="s">
        <v>28</v>
      </c>
      <c r="P735" t="s">
        <v>2268</v>
      </c>
      <c r="Q735">
        <v>44</v>
      </c>
      <c r="R735">
        <v>-79.382999999999996</v>
      </c>
    </row>
    <row r="736" spans="1:18" x14ac:dyDescent="0.2">
      <c r="A736" t="s">
        <v>270</v>
      </c>
      <c r="B736" t="s">
        <v>2263</v>
      </c>
      <c r="C736">
        <v>1</v>
      </c>
      <c r="D736" s="1">
        <v>44096.366249999999</v>
      </c>
      <c r="E736" t="s">
        <v>2293</v>
      </c>
      <c r="F736" t="s">
        <v>273</v>
      </c>
      <c r="G736" t="s">
        <v>2265</v>
      </c>
      <c r="H736" t="s">
        <v>275</v>
      </c>
      <c r="I736" t="s">
        <v>29</v>
      </c>
      <c r="J736">
        <v>1</v>
      </c>
      <c r="K736">
        <f>1-844-318-5957</f>
        <v>-7118</v>
      </c>
      <c r="L736" t="s">
        <v>2294</v>
      </c>
      <c r="M736" t="s">
        <v>2295</v>
      </c>
      <c r="N736" t="s">
        <v>278</v>
      </c>
      <c r="O736" t="s">
        <v>28</v>
      </c>
      <c r="P736" t="s">
        <v>2268</v>
      </c>
      <c r="Q736">
        <v>44</v>
      </c>
      <c r="R736">
        <v>-79.382999999999996</v>
      </c>
    </row>
    <row r="737" spans="1:18" x14ac:dyDescent="0.2">
      <c r="A737" t="s">
        <v>270</v>
      </c>
      <c r="B737" t="s">
        <v>2263</v>
      </c>
      <c r="C737">
        <v>1</v>
      </c>
      <c r="D737" s="1">
        <v>44090.416990740741</v>
      </c>
      <c r="E737" t="s">
        <v>2296</v>
      </c>
      <c r="F737" t="s">
        <v>273</v>
      </c>
      <c r="G737" t="s">
        <v>2265</v>
      </c>
      <c r="H737" t="s">
        <v>275</v>
      </c>
      <c r="I737" t="s">
        <v>29</v>
      </c>
      <c r="J737">
        <v>1</v>
      </c>
      <c r="K737">
        <f>1-844-318-8589</f>
        <v>-9750</v>
      </c>
      <c r="L737" t="s">
        <v>2297</v>
      </c>
      <c r="M737" t="s">
        <v>2298</v>
      </c>
      <c r="N737" t="s">
        <v>278</v>
      </c>
      <c r="O737" t="s">
        <v>28</v>
      </c>
      <c r="P737" t="s">
        <v>2268</v>
      </c>
      <c r="Q737">
        <v>44</v>
      </c>
      <c r="R737">
        <v>-79.382999999999996</v>
      </c>
    </row>
    <row r="738" spans="1:18" x14ac:dyDescent="0.2">
      <c r="A738" t="s">
        <v>270</v>
      </c>
      <c r="B738" t="s">
        <v>2263</v>
      </c>
      <c r="C738">
        <v>1</v>
      </c>
      <c r="D738" s="1">
        <v>44090.415810185186</v>
      </c>
      <c r="E738" t="s">
        <v>1450</v>
      </c>
      <c r="F738" t="s">
        <v>273</v>
      </c>
      <c r="G738" t="s">
        <v>2265</v>
      </c>
      <c r="H738" t="s">
        <v>275</v>
      </c>
      <c r="I738" t="s">
        <v>29</v>
      </c>
      <c r="J738">
        <v>1</v>
      </c>
      <c r="K738">
        <f>1-844-293-8713</f>
        <v>-9849</v>
      </c>
      <c r="L738" t="s">
        <v>2299</v>
      </c>
      <c r="M738" t="s">
        <v>2300</v>
      </c>
      <c r="N738" t="s">
        <v>278</v>
      </c>
      <c r="O738" t="s">
        <v>28</v>
      </c>
      <c r="P738" t="s">
        <v>2268</v>
      </c>
      <c r="Q738">
        <v>44</v>
      </c>
      <c r="R738">
        <v>-79.382999999999996</v>
      </c>
    </row>
    <row r="739" spans="1:18" x14ac:dyDescent="0.2">
      <c r="A739" t="s">
        <v>270</v>
      </c>
      <c r="B739" t="s">
        <v>2263</v>
      </c>
      <c r="C739">
        <v>1</v>
      </c>
      <c r="D739" s="1">
        <v>44090.415462962963</v>
      </c>
      <c r="E739" t="s">
        <v>2301</v>
      </c>
      <c r="F739" t="s">
        <v>273</v>
      </c>
      <c r="G739" t="s">
        <v>2265</v>
      </c>
      <c r="H739" t="s">
        <v>275</v>
      </c>
      <c r="I739" t="s">
        <v>29</v>
      </c>
      <c r="J739">
        <v>1</v>
      </c>
      <c r="K739">
        <f>1-844-293-8713</f>
        <v>-9849</v>
      </c>
      <c r="L739" t="s">
        <v>2302</v>
      </c>
      <c r="M739" t="s">
        <v>2303</v>
      </c>
      <c r="N739" t="s">
        <v>278</v>
      </c>
      <c r="O739" t="s">
        <v>28</v>
      </c>
      <c r="P739" t="s">
        <v>2268</v>
      </c>
      <c r="Q739">
        <v>44</v>
      </c>
      <c r="R739">
        <v>-79.382999999999996</v>
      </c>
    </row>
    <row r="740" spans="1:18" x14ac:dyDescent="0.2">
      <c r="A740" t="s">
        <v>270</v>
      </c>
      <c r="B740" t="s">
        <v>2263</v>
      </c>
      <c r="C740">
        <v>1</v>
      </c>
      <c r="D740" s="1">
        <v>44089.756678240738</v>
      </c>
      <c r="E740" t="s">
        <v>2304</v>
      </c>
      <c r="F740" t="s">
        <v>273</v>
      </c>
      <c r="G740" t="s">
        <v>2265</v>
      </c>
      <c r="H740" t="s">
        <v>275</v>
      </c>
      <c r="I740" t="s">
        <v>29</v>
      </c>
      <c r="J740">
        <v>1</v>
      </c>
      <c r="K740">
        <f>1-844-218-3888</f>
        <v>-4949</v>
      </c>
      <c r="L740" t="s">
        <v>2305</v>
      </c>
      <c r="M740" t="s">
        <v>2306</v>
      </c>
      <c r="N740" t="s">
        <v>278</v>
      </c>
      <c r="O740" t="s">
        <v>28</v>
      </c>
      <c r="P740" t="s">
        <v>2268</v>
      </c>
      <c r="Q740">
        <v>44</v>
      </c>
      <c r="R740">
        <v>-79.382999999999996</v>
      </c>
    </row>
    <row r="741" spans="1:18" x14ac:dyDescent="0.2">
      <c r="A741" t="s">
        <v>270</v>
      </c>
      <c r="B741" t="s">
        <v>2263</v>
      </c>
      <c r="C741">
        <v>1</v>
      </c>
      <c r="D741" s="1">
        <v>44089.431655092594</v>
      </c>
      <c r="E741" t="s">
        <v>2307</v>
      </c>
      <c r="F741" t="s">
        <v>273</v>
      </c>
      <c r="G741" t="s">
        <v>2265</v>
      </c>
      <c r="H741" t="s">
        <v>275</v>
      </c>
      <c r="I741" t="s">
        <v>29</v>
      </c>
      <c r="J741">
        <v>1</v>
      </c>
      <c r="K741">
        <f>1-844-210-4337</f>
        <v>-5390</v>
      </c>
      <c r="L741" t="s">
        <v>2308</v>
      </c>
      <c r="M741" t="s">
        <v>2309</v>
      </c>
      <c r="N741" t="s">
        <v>278</v>
      </c>
      <c r="O741" t="s">
        <v>28</v>
      </c>
      <c r="P741" t="s">
        <v>2268</v>
      </c>
      <c r="Q741">
        <v>44</v>
      </c>
      <c r="R741">
        <v>-79.382999999999996</v>
      </c>
    </row>
    <row r="742" spans="1:18" x14ac:dyDescent="0.2">
      <c r="A742" t="s">
        <v>270</v>
      </c>
      <c r="B742" t="s">
        <v>2263</v>
      </c>
      <c r="C742">
        <v>1</v>
      </c>
      <c r="D742" s="1">
        <v>44089.431504629632</v>
      </c>
      <c r="E742" t="s">
        <v>2310</v>
      </c>
      <c r="F742" t="s">
        <v>273</v>
      </c>
      <c r="G742" t="s">
        <v>2265</v>
      </c>
      <c r="H742" t="s">
        <v>275</v>
      </c>
      <c r="I742" t="s">
        <v>29</v>
      </c>
      <c r="J742">
        <v>1</v>
      </c>
      <c r="K742">
        <f>1-844-210-4337</f>
        <v>-5390</v>
      </c>
      <c r="L742" t="s">
        <v>2311</v>
      </c>
      <c r="M742" t="s">
        <v>2312</v>
      </c>
      <c r="N742" t="s">
        <v>278</v>
      </c>
      <c r="O742" t="s">
        <v>28</v>
      </c>
      <c r="P742" t="s">
        <v>2268</v>
      </c>
      <c r="Q742">
        <v>44</v>
      </c>
      <c r="R742">
        <v>-79.382999999999996</v>
      </c>
    </row>
    <row r="743" spans="1:18" x14ac:dyDescent="0.2">
      <c r="A743" t="s">
        <v>270</v>
      </c>
      <c r="B743" t="s">
        <v>2263</v>
      </c>
      <c r="C743">
        <v>1</v>
      </c>
      <c r="D743" s="1">
        <v>44089.431064814817</v>
      </c>
      <c r="E743" t="s">
        <v>2313</v>
      </c>
      <c r="F743" t="s">
        <v>273</v>
      </c>
      <c r="G743" t="s">
        <v>2265</v>
      </c>
      <c r="H743" t="s">
        <v>275</v>
      </c>
      <c r="I743" t="s">
        <v>29</v>
      </c>
      <c r="J743">
        <v>1</v>
      </c>
      <c r="K743">
        <f>1-844-210-4337</f>
        <v>-5390</v>
      </c>
      <c r="L743" t="s">
        <v>2314</v>
      </c>
      <c r="M743" t="s">
        <v>2315</v>
      </c>
      <c r="N743" t="s">
        <v>278</v>
      </c>
      <c r="O743" t="s">
        <v>28</v>
      </c>
      <c r="P743" t="s">
        <v>2268</v>
      </c>
      <c r="Q743">
        <v>44</v>
      </c>
      <c r="R743">
        <v>-79.382999999999996</v>
      </c>
    </row>
    <row r="744" spans="1:18" x14ac:dyDescent="0.2">
      <c r="A744" t="s">
        <v>270</v>
      </c>
      <c r="B744" t="s">
        <v>2263</v>
      </c>
      <c r="C744">
        <v>1</v>
      </c>
      <c r="D744" s="1">
        <v>44089.430625000001</v>
      </c>
      <c r="E744" t="s">
        <v>2316</v>
      </c>
      <c r="F744" t="s">
        <v>273</v>
      </c>
      <c r="G744" t="s">
        <v>2265</v>
      </c>
      <c r="H744" t="s">
        <v>275</v>
      </c>
      <c r="I744" t="s">
        <v>29</v>
      </c>
      <c r="J744">
        <v>1</v>
      </c>
      <c r="K744">
        <f>1-844-210-4337</f>
        <v>-5390</v>
      </c>
      <c r="L744" t="s">
        <v>2317</v>
      </c>
      <c r="M744" t="s">
        <v>2318</v>
      </c>
      <c r="N744" t="s">
        <v>278</v>
      </c>
      <c r="O744" t="s">
        <v>28</v>
      </c>
      <c r="P744" t="s">
        <v>2268</v>
      </c>
      <c r="Q744">
        <v>44</v>
      </c>
      <c r="R744">
        <v>-79.382999999999996</v>
      </c>
    </row>
    <row r="745" spans="1:18" x14ac:dyDescent="0.2">
      <c r="A745" t="s">
        <v>270</v>
      </c>
      <c r="B745" t="s">
        <v>2263</v>
      </c>
      <c r="C745">
        <v>1</v>
      </c>
      <c r="D745" s="1">
        <v>44089.430428240739</v>
      </c>
      <c r="E745" t="s">
        <v>2319</v>
      </c>
      <c r="F745" t="s">
        <v>273</v>
      </c>
      <c r="G745" t="s">
        <v>2265</v>
      </c>
      <c r="H745" t="s">
        <v>275</v>
      </c>
      <c r="I745" t="s">
        <v>29</v>
      </c>
      <c r="J745">
        <v>1</v>
      </c>
      <c r="K745">
        <f>1-844-210-4337</f>
        <v>-5390</v>
      </c>
      <c r="L745" t="s">
        <v>2320</v>
      </c>
      <c r="M745" t="s">
        <v>2321</v>
      </c>
      <c r="N745" t="s">
        <v>278</v>
      </c>
      <c r="O745" t="s">
        <v>28</v>
      </c>
      <c r="P745" t="s">
        <v>2268</v>
      </c>
      <c r="Q745">
        <v>44</v>
      </c>
      <c r="R745">
        <v>-79.382999999999996</v>
      </c>
    </row>
    <row r="746" spans="1:18" x14ac:dyDescent="0.2">
      <c r="A746" t="s">
        <v>270</v>
      </c>
      <c r="B746" t="s">
        <v>2263</v>
      </c>
      <c r="C746">
        <v>1</v>
      </c>
      <c r="D746" s="1">
        <v>44088.77716435185</v>
      </c>
      <c r="E746" t="s">
        <v>2322</v>
      </c>
      <c r="F746" t="s">
        <v>273</v>
      </c>
      <c r="G746" t="s">
        <v>2265</v>
      </c>
      <c r="H746" t="s">
        <v>275</v>
      </c>
      <c r="I746" t="s">
        <v>29</v>
      </c>
      <c r="J746">
        <v>1</v>
      </c>
      <c r="K746">
        <f>1-844-212-7353</f>
        <v>-8408</v>
      </c>
      <c r="L746" t="s">
        <v>2323</v>
      </c>
      <c r="M746" t="s">
        <v>2324</v>
      </c>
      <c r="N746" t="s">
        <v>278</v>
      </c>
      <c r="O746" t="s">
        <v>28</v>
      </c>
      <c r="P746" t="s">
        <v>2268</v>
      </c>
      <c r="Q746">
        <v>44</v>
      </c>
      <c r="R746">
        <v>-79.382999999999996</v>
      </c>
    </row>
    <row r="747" spans="1:18" x14ac:dyDescent="0.2">
      <c r="A747" t="s">
        <v>270</v>
      </c>
      <c r="B747" t="s">
        <v>2263</v>
      </c>
      <c r="C747">
        <v>1</v>
      </c>
      <c r="D747" s="1">
        <v>44088.775173611109</v>
      </c>
      <c r="E747" t="s">
        <v>2325</v>
      </c>
      <c r="F747" t="s">
        <v>273</v>
      </c>
      <c r="G747" t="s">
        <v>2265</v>
      </c>
      <c r="H747" t="s">
        <v>275</v>
      </c>
      <c r="I747" t="s">
        <v>29</v>
      </c>
      <c r="J747">
        <v>1</v>
      </c>
      <c r="K747">
        <f>1-844-212-7353</f>
        <v>-8408</v>
      </c>
      <c r="L747" t="s">
        <v>2326</v>
      </c>
      <c r="M747" t="s">
        <v>2327</v>
      </c>
      <c r="N747" t="s">
        <v>278</v>
      </c>
      <c r="O747" t="s">
        <v>28</v>
      </c>
      <c r="P747" t="s">
        <v>2268</v>
      </c>
      <c r="Q747">
        <v>44</v>
      </c>
      <c r="R747">
        <v>-79.382999999999996</v>
      </c>
    </row>
    <row r="748" spans="1:18" x14ac:dyDescent="0.2">
      <c r="A748" t="s">
        <v>270</v>
      </c>
      <c r="B748" t="s">
        <v>2263</v>
      </c>
      <c r="C748">
        <v>1</v>
      </c>
      <c r="D748" s="1">
        <v>44084.794409722221</v>
      </c>
      <c r="E748" t="s">
        <v>2328</v>
      </c>
      <c r="F748" t="s">
        <v>273</v>
      </c>
      <c r="G748" t="s">
        <v>2265</v>
      </c>
      <c r="H748" t="s">
        <v>275</v>
      </c>
      <c r="I748" t="s">
        <v>29</v>
      </c>
      <c r="J748">
        <v>1</v>
      </c>
      <c r="K748">
        <f>1-844-318-7904</f>
        <v>-9065</v>
      </c>
      <c r="L748" t="s">
        <v>2329</v>
      </c>
      <c r="M748" t="s">
        <v>2330</v>
      </c>
      <c r="N748" t="s">
        <v>278</v>
      </c>
      <c r="O748" t="s">
        <v>28</v>
      </c>
      <c r="P748" t="s">
        <v>2268</v>
      </c>
      <c r="Q748">
        <v>44</v>
      </c>
      <c r="R748">
        <v>-79.382999999999996</v>
      </c>
    </row>
    <row r="749" spans="1:18" x14ac:dyDescent="0.2">
      <c r="A749" t="s">
        <v>270</v>
      </c>
      <c r="B749" t="s">
        <v>2263</v>
      </c>
      <c r="C749">
        <v>1</v>
      </c>
      <c r="D749" s="1">
        <v>44084.781921296293</v>
      </c>
      <c r="E749" t="s">
        <v>2331</v>
      </c>
      <c r="F749" t="s">
        <v>273</v>
      </c>
      <c r="G749" t="s">
        <v>2265</v>
      </c>
      <c r="H749" t="s">
        <v>275</v>
      </c>
      <c r="I749" t="s">
        <v>29</v>
      </c>
      <c r="J749">
        <v>1</v>
      </c>
      <c r="K749">
        <f>1-888-608-5109</f>
        <v>-6604</v>
      </c>
      <c r="L749" t="s">
        <v>2332</v>
      </c>
      <c r="M749" t="s">
        <v>2333</v>
      </c>
      <c r="N749" t="s">
        <v>278</v>
      </c>
      <c r="O749" t="s">
        <v>28</v>
      </c>
      <c r="P749" t="s">
        <v>2268</v>
      </c>
      <c r="Q749">
        <v>44</v>
      </c>
      <c r="R749">
        <v>-79.382999999999996</v>
      </c>
    </row>
    <row r="750" spans="1:18" x14ac:dyDescent="0.2">
      <c r="A750" t="s">
        <v>270</v>
      </c>
      <c r="B750" t="s">
        <v>2263</v>
      </c>
      <c r="C750">
        <v>1</v>
      </c>
      <c r="D750" s="1">
        <v>44084.780335648145</v>
      </c>
      <c r="E750" t="s">
        <v>2334</v>
      </c>
      <c r="F750" t="s">
        <v>273</v>
      </c>
      <c r="G750" t="s">
        <v>2265</v>
      </c>
      <c r="H750" t="s">
        <v>275</v>
      </c>
      <c r="I750" t="s">
        <v>29</v>
      </c>
      <c r="J750">
        <v>1</v>
      </c>
      <c r="K750">
        <f>1-888-608-5109</f>
        <v>-6604</v>
      </c>
      <c r="L750" t="s">
        <v>2335</v>
      </c>
      <c r="M750" t="s">
        <v>2336</v>
      </c>
      <c r="N750" t="s">
        <v>278</v>
      </c>
      <c r="O750" t="s">
        <v>28</v>
      </c>
      <c r="P750" t="s">
        <v>2268</v>
      </c>
      <c r="Q750">
        <v>44</v>
      </c>
      <c r="R750">
        <v>-79.382999999999996</v>
      </c>
    </row>
    <row r="751" spans="1:18" x14ac:dyDescent="0.2">
      <c r="A751" t="s">
        <v>270</v>
      </c>
      <c r="B751" t="s">
        <v>2263</v>
      </c>
      <c r="C751">
        <v>1</v>
      </c>
      <c r="D751" s="1">
        <v>44083.909432870372</v>
      </c>
      <c r="E751" t="s">
        <v>2337</v>
      </c>
      <c r="F751" t="s">
        <v>273</v>
      </c>
      <c r="G751" t="s">
        <v>2265</v>
      </c>
      <c r="H751" t="s">
        <v>275</v>
      </c>
      <c r="I751" t="s">
        <v>29</v>
      </c>
      <c r="J751">
        <v>1</v>
      </c>
      <c r="K751">
        <f>1-888-585-4129</f>
        <v>-5601</v>
      </c>
      <c r="L751" t="s">
        <v>2338</v>
      </c>
      <c r="M751" t="s">
        <v>2339</v>
      </c>
      <c r="N751" t="s">
        <v>278</v>
      </c>
      <c r="O751" t="s">
        <v>28</v>
      </c>
      <c r="P751" t="s">
        <v>2268</v>
      </c>
      <c r="Q751">
        <v>44</v>
      </c>
      <c r="R751">
        <v>-79.382999999999996</v>
      </c>
    </row>
    <row r="752" spans="1:18" x14ac:dyDescent="0.2">
      <c r="A752" t="s">
        <v>270</v>
      </c>
      <c r="B752" t="s">
        <v>2263</v>
      </c>
      <c r="C752">
        <v>1</v>
      </c>
      <c r="D752" s="1">
        <v>44083.829293981478</v>
      </c>
      <c r="E752" t="s">
        <v>2340</v>
      </c>
      <c r="F752" t="s">
        <v>273</v>
      </c>
      <c r="G752" t="s">
        <v>2265</v>
      </c>
      <c r="H752" t="s">
        <v>275</v>
      </c>
      <c r="I752" t="s">
        <v>29</v>
      </c>
      <c r="J752">
        <v>1</v>
      </c>
      <c r="K752">
        <f>1-888-592-7014</f>
        <v>-8493</v>
      </c>
      <c r="L752" t="s">
        <v>2341</v>
      </c>
      <c r="M752" t="s">
        <v>2342</v>
      </c>
      <c r="N752" t="s">
        <v>278</v>
      </c>
      <c r="O752" t="s">
        <v>28</v>
      </c>
      <c r="P752" t="s">
        <v>2268</v>
      </c>
      <c r="Q752">
        <v>44</v>
      </c>
      <c r="R752">
        <v>-79.382999999999996</v>
      </c>
    </row>
    <row r="753" spans="1:18" x14ac:dyDescent="0.2">
      <c r="A753" t="s">
        <v>270</v>
      </c>
      <c r="B753" t="s">
        <v>2263</v>
      </c>
      <c r="C753">
        <v>1</v>
      </c>
      <c r="D753" s="1">
        <v>44031.760717592595</v>
      </c>
      <c r="E753" t="s">
        <v>2343</v>
      </c>
      <c r="F753" t="s">
        <v>273</v>
      </c>
      <c r="G753" t="s">
        <v>2265</v>
      </c>
      <c r="H753" t="s">
        <v>275</v>
      </c>
      <c r="I753" t="s">
        <v>29</v>
      </c>
      <c r="J753">
        <v>1</v>
      </c>
      <c r="K753">
        <f>1-866-755-2213</f>
        <v>-3833</v>
      </c>
      <c r="L753" t="s">
        <v>2344</v>
      </c>
      <c r="M753" t="s">
        <v>2345</v>
      </c>
      <c r="N753" t="s">
        <v>278</v>
      </c>
      <c r="O753" t="s">
        <v>134</v>
      </c>
      <c r="P753" t="s">
        <v>2268</v>
      </c>
      <c r="Q753">
        <v>44</v>
      </c>
      <c r="R753">
        <v>-79.382999999999996</v>
      </c>
    </row>
    <row r="754" spans="1:18" x14ac:dyDescent="0.2">
      <c r="A754" t="s">
        <v>270</v>
      </c>
      <c r="B754" t="s">
        <v>2263</v>
      </c>
      <c r="C754">
        <v>1</v>
      </c>
      <c r="D754" s="1">
        <v>43977.997627314813</v>
      </c>
      <c r="E754" t="s">
        <v>2346</v>
      </c>
      <c r="F754" t="s">
        <v>273</v>
      </c>
      <c r="G754" t="s">
        <v>2265</v>
      </c>
      <c r="H754" t="s">
        <v>275</v>
      </c>
      <c r="I754" t="s">
        <v>29</v>
      </c>
      <c r="J754">
        <v>1</v>
      </c>
      <c r="K754">
        <f>1-833-760-1180</f>
        <v>-2772</v>
      </c>
      <c r="L754" t="s">
        <v>2347</v>
      </c>
      <c r="M754" t="s">
        <v>2348</v>
      </c>
      <c r="N754" t="s">
        <v>278</v>
      </c>
      <c r="O754" t="s">
        <v>28</v>
      </c>
      <c r="P754" t="s">
        <v>2268</v>
      </c>
      <c r="Q754">
        <v>44</v>
      </c>
      <c r="R754">
        <v>-79.382999999999996</v>
      </c>
    </row>
    <row r="755" spans="1:18" x14ac:dyDescent="0.2">
      <c r="A755" t="s">
        <v>2349</v>
      </c>
      <c r="B755" t="s">
        <v>2350</v>
      </c>
      <c r="C755">
        <v>1</v>
      </c>
      <c r="D755" s="1">
        <v>43978.931030092594</v>
      </c>
      <c r="E755" t="s">
        <v>2351</v>
      </c>
      <c r="F755" t="s">
        <v>2352</v>
      </c>
      <c r="G755" t="s">
        <v>2351</v>
      </c>
      <c r="H755" t="s">
        <v>2353</v>
      </c>
      <c r="I755" t="s">
        <v>29</v>
      </c>
      <c r="J755">
        <v>1</v>
      </c>
      <c r="K755">
        <f>1-888-712-762</f>
        <v>-2361</v>
      </c>
      <c r="L755" t="s">
        <v>2354</v>
      </c>
      <c r="M755" t="s">
        <v>2355</v>
      </c>
      <c r="N755">
        <v>107</v>
      </c>
      <c r="O755" t="s">
        <v>134</v>
      </c>
      <c r="P755" t="s">
        <v>29</v>
      </c>
      <c r="Q755">
        <v>41</v>
      </c>
      <c r="R755">
        <v>-73.985600000000005</v>
      </c>
    </row>
    <row r="756" spans="1:18" x14ac:dyDescent="0.2">
      <c r="A756" t="s">
        <v>270</v>
      </c>
      <c r="B756" t="s">
        <v>271</v>
      </c>
      <c r="C756">
        <v>1</v>
      </c>
      <c r="D756" s="1">
        <v>44106.818344907406</v>
      </c>
      <c r="E756" t="s">
        <v>2356</v>
      </c>
      <c r="F756" t="s">
        <v>273</v>
      </c>
      <c r="G756" t="s">
        <v>2357</v>
      </c>
      <c r="H756" t="s">
        <v>275</v>
      </c>
      <c r="I756" t="s">
        <v>29</v>
      </c>
      <c r="J756">
        <v>1</v>
      </c>
      <c r="K756">
        <f>1-202-773-1890</f>
        <v>-2864</v>
      </c>
      <c r="L756" t="s">
        <v>2358</v>
      </c>
      <c r="M756" t="s">
        <v>2359</v>
      </c>
      <c r="N756" t="s">
        <v>278</v>
      </c>
      <c r="O756" t="s">
        <v>134</v>
      </c>
      <c r="P756" t="s">
        <v>29</v>
      </c>
      <c r="Q756">
        <v>42</v>
      </c>
      <c r="R756">
        <v>-93.620800000000003</v>
      </c>
    </row>
    <row r="757" spans="1:18" x14ac:dyDescent="0.2">
      <c r="A757" t="s">
        <v>270</v>
      </c>
      <c r="B757" t="s">
        <v>271</v>
      </c>
      <c r="C757">
        <v>1</v>
      </c>
      <c r="D757" s="1">
        <v>44089.431493055556</v>
      </c>
      <c r="E757" t="s">
        <v>2360</v>
      </c>
      <c r="F757" t="s">
        <v>273</v>
      </c>
      <c r="G757" t="s">
        <v>2357</v>
      </c>
      <c r="H757" t="s">
        <v>275</v>
      </c>
      <c r="I757" t="s">
        <v>29</v>
      </c>
      <c r="J757">
        <v>1</v>
      </c>
      <c r="K757">
        <f>1-844-210-4337</f>
        <v>-5390</v>
      </c>
      <c r="L757" t="s">
        <v>2361</v>
      </c>
      <c r="M757" t="s">
        <v>2362</v>
      </c>
      <c r="N757" t="s">
        <v>278</v>
      </c>
      <c r="O757" t="s">
        <v>28</v>
      </c>
      <c r="P757" t="s">
        <v>29</v>
      </c>
      <c r="Q757">
        <v>42</v>
      </c>
      <c r="R757">
        <v>-93.620800000000003</v>
      </c>
    </row>
    <row r="758" spans="1:18" x14ac:dyDescent="0.2">
      <c r="A758" t="s">
        <v>270</v>
      </c>
      <c r="B758" t="s">
        <v>271</v>
      </c>
      <c r="C758">
        <v>1</v>
      </c>
      <c r="D758" s="1">
        <v>44085.861203703702</v>
      </c>
      <c r="E758" t="s">
        <v>2363</v>
      </c>
      <c r="F758" t="s">
        <v>273</v>
      </c>
      <c r="G758" t="s">
        <v>2357</v>
      </c>
      <c r="H758" t="s">
        <v>275</v>
      </c>
      <c r="I758" t="s">
        <v>29</v>
      </c>
      <c r="J758">
        <v>1</v>
      </c>
      <c r="K758">
        <f>1-833-655-6672</f>
        <v>-8159</v>
      </c>
      <c r="L758" t="s">
        <v>2364</v>
      </c>
      <c r="M758" t="s">
        <v>2365</v>
      </c>
      <c r="N758" t="s">
        <v>278</v>
      </c>
      <c r="O758" t="s">
        <v>134</v>
      </c>
      <c r="P758" t="s">
        <v>29</v>
      </c>
      <c r="Q758">
        <v>42</v>
      </c>
      <c r="R758">
        <v>-93.620800000000003</v>
      </c>
    </row>
    <row r="759" spans="1:18" x14ac:dyDescent="0.2">
      <c r="A759" t="s">
        <v>270</v>
      </c>
      <c r="B759" t="s">
        <v>271</v>
      </c>
      <c r="C759">
        <v>1</v>
      </c>
      <c r="D759" s="1">
        <v>44085.844004629631</v>
      </c>
      <c r="E759" t="s">
        <v>2366</v>
      </c>
      <c r="F759" t="s">
        <v>273</v>
      </c>
      <c r="G759" t="s">
        <v>2357</v>
      </c>
      <c r="H759" t="s">
        <v>275</v>
      </c>
      <c r="I759" t="s">
        <v>29</v>
      </c>
      <c r="J759">
        <v>1</v>
      </c>
      <c r="K759">
        <f>1-833-655-6672</f>
        <v>-8159</v>
      </c>
      <c r="L759" t="s">
        <v>2367</v>
      </c>
      <c r="M759" t="s">
        <v>2368</v>
      </c>
      <c r="N759" t="s">
        <v>278</v>
      </c>
      <c r="O759" t="s">
        <v>134</v>
      </c>
      <c r="P759" t="s">
        <v>29</v>
      </c>
      <c r="Q759">
        <v>42</v>
      </c>
      <c r="R759">
        <v>-93.620800000000003</v>
      </c>
    </row>
    <row r="760" spans="1:18" x14ac:dyDescent="0.2">
      <c r="A760" t="s">
        <v>270</v>
      </c>
      <c r="B760" t="s">
        <v>271</v>
      </c>
      <c r="C760">
        <v>1</v>
      </c>
      <c r="D760" s="1">
        <v>44084.78324074074</v>
      </c>
      <c r="E760" t="s">
        <v>2369</v>
      </c>
      <c r="F760" t="s">
        <v>273</v>
      </c>
      <c r="G760" t="s">
        <v>2357</v>
      </c>
      <c r="H760" t="s">
        <v>275</v>
      </c>
      <c r="I760" t="s">
        <v>29</v>
      </c>
      <c r="J760">
        <v>1</v>
      </c>
      <c r="K760">
        <f>1-833-655-6672</f>
        <v>-8159</v>
      </c>
      <c r="L760" t="s">
        <v>2370</v>
      </c>
      <c r="M760" t="s">
        <v>2371</v>
      </c>
      <c r="N760" t="s">
        <v>278</v>
      </c>
      <c r="O760" t="s">
        <v>28</v>
      </c>
      <c r="P760" t="s">
        <v>29</v>
      </c>
      <c r="Q760">
        <v>42</v>
      </c>
      <c r="R760">
        <v>-93.620800000000003</v>
      </c>
    </row>
    <row r="761" spans="1:18" x14ac:dyDescent="0.2">
      <c r="A761" t="s">
        <v>270</v>
      </c>
      <c r="B761" t="s">
        <v>271</v>
      </c>
      <c r="C761">
        <v>1</v>
      </c>
      <c r="D761" s="1">
        <v>44084.780381944445</v>
      </c>
      <c r="E761" t="s">
        <v>2372</v>
      </c>
      <c r="F761" t="s">
        <v>273</v>
      </c>
      <c r="G761" t="s">
        <v>2357</v>
      </c>
      <c r="H761" t="s">
        <v>275</v>
      </c>
      <c r="I761" t="s">
        <v>29</v>
      </c>
      <c r="J761">
        <v>1</v>
      </c>
      <c r="K761">
        <f>1-888-608-5109</f>
        <v>-6604</v>
      </c>
      <c r="L761" t="s">
        <v>2373</v>
      </c>
      <c r="M761" t="s">
        <v>2374</v>
      </c>
      <c r="N761" t="s">
        <v>278</v>
      </c>
      <c r="O761" t="s">
        <v>28</v>
      </c>
      <c r="P761" t="s">
        <v>29</v>
      </c>
      <c r="Q761">
        <v>42</v>
      </c>
      <c r="R761">
        <v>-93.620800000000003</v>
      </c>
    </row>
    <row r="762" spans="1:18" x14ac:dyDescent="0.2">
      <c r="A762" t="s">
        <v>270</v>
      </c>
      <c r="B762" t="s">
        <v>271</v>
      </c>
      <c r="C762">
        <v>1</v>
      </c>
      <c r="D762" s="1">
        <v>44083.845046296294</v>
      </c>
      <c r="E762" t="s">
        <v>2375</v>
      </c>
      <c r="F762" t="s">
        <v>273</v>
      </c>
      <c r="G762" t="s">
        <v>2357</v>
      </c>
      <c r="H762" t="s">
        <v>275</v>
      </c>
      <c r="I762" t="s">
        <v>29</v>
      </c>
      <c r="J762">
        <v>1</v>
      </c>
      <c r="K762">
        <f>1-888-599-4298</f>
        <v>-5784</v>
      </c>
      <c r="L762" t="s">
        <v>2376</v>
      </c>
      <c r="M762" t="s">
        <v>2377</v>
      </c>
      <c r="N762" t="s">
        <v>278</v>
      </c>
      <c r="O762" t="s">
        <v>28</v>
      </c>
      <c r="P762" t="s">
        <v>29</v>
      </c>
      <c r="Q762">
        <v>42</v>
      </c>
      <c r="R762">
        <v>-93.620800000000003</v>
      </c>
    </row>
    <row r="763" spans="1:18" x14ac:dyDescent="0.2">
      <c r="A763" t="s">
        <v>270</v>
      </c>
      <c r="B763" t="s">
        <v>271</v>
      </c>
      <c r="C763">
        <v>1</v>
      </c>
      <c r="D763" s="1">
        <v>44078.852534722224</v>
      </c>
      <c r="E763" t="s">
        <v>2378</v>
      </c>
      <c r="F763" t="s">
        <v>273</v>
      </c>
      <c r="G763" t="s">
        <v>2357</v>
      </c>
      <c r="H763" t="s">
        <v>275</v>
      </c>
      <c r="I763" t="s">
        <v>29</v>
      </c>
      <c r="J763">
        <v>1</v>
      </c>
      <c r="K763">
        <f>1-866-591-3044</f>
        <v>-4500</v>
      </c>
      <c r="L763" t="s">
        <v>2379</v>
      </c>
      <c r="M763" t="s">
        <v>2380</v>
      </c>
      <c r="N763" t="s">
        <v>278</v>
      </c>
      <c r="O763" t="s">
        <v>134</v>
      </c>
      <c r="P763" t="s">
        <v>29</v>
      </c>
      <c r="Q763">
        <v>42</v>
      </c>
      <c r="R763">
        <v>-93.620800000000003</v>
      </c>
    </row>
    <row r="764" spans="1:18" x14ac:dyDescent="0.2">
      <c r="A764" t="s">
        <v>270</v>
      </c>
      <c r="B764" t="s">
        <v>271</v>
      </c>
      <c r="C764">
        <v>34</v>
      </c>
      <c r="D764" s="1">
        <v>44074.938854166663</v>
      </c>
      <c r="E764" t="s">
        <v>2381</v>
      </c>
      <c r="F764" t="s">
        <v>273</v>
      </c>
      <c r="G764" t="s">
        <v>2357</v>
      </c>
      <c r="H764" t="s">
        <v>275</v>
      </c>
      <c r="I764" t="s">
        <v>700</v>
      </c>
      <c r="J764">
        <v>34</v>
      </c>
      <c r="K764">
        <f>34-900-670-25</f>
        <v>-1561</v>
      </c>
      <c r="L764" t="s">
        <v>2382</v>
      </c>
      <c r="M764" t="s">
        <v>2383</v>
      </c>
      <c r="N764" t="s">
        <v>278</v>
      </c>
      <c r="O764" t="s">
        <v>134</v>
      </c>
      <c r="P764" t="s">
        <v>29</v>
      </c>
      <c r="Q764">
        <v>42</v>
      </c>
      <c r="R764">
        <v>-93.620800000000003</v>
      </c>
    </row>
    <row r="765" spans="1:18" x14ac:dyDescent="0.2">
      <c r="A765" t="s">
        <v>270</v>
      </c>
      <c r="B765" t="s">
        <v>271</v>
      </c>
      <c r="C765">
        <v>34</v>
      </c>
      <c r="D765" s="1">
        <v>44074.938587962963</v>
      </c>
      <c r="E765" t="s">
        <v>2384</v>
      </c>
      <c r="F765" t="s">
        <v>273</v>
      </c>
      <c r="G765" t="s">
        <v>2357</v>
      </c>
      <c r="H765" t="s">
        <v>275</v>
      </c>
      <c r="I765" t="s">
        <v>700</v>
      </c>
      <c r="J765">
        <v>34</v>
      </c>
      <c r="K765">
        <f>34-900-670-25</f>
        <v>-1561</v>
      </c>
      <c r="L765" t="s">
        <v>2385</v>
      </c>
      <c r="M765" t="s">
        <v>2386</v>
      </c>
      <c r="N765" t="s">
        <v>278</v>
      </c>
      <c r="O765" t="s">
        <v>134</v>
      </c>
      <c r="P765" t="s">
        <v>29</v>
      </c>
      <c r="Q765">
        <v>42</v>
      </c>
      <c r="R765">
        <v>-93.620800000000003</v>
      </c>
    </row>
    <row r="766" spans="1:18" x14ac:dyDescent="0.2">
      <c r="A766" t="s">
        <v>270</v>
      </c>
      <c r="B766" t="s">
        <v>271</v>
      </c>
      <c r="C766">
        <v>34</v>
      </c>
      <c r="D766" s="1">
        <v>44074.938414351855</v>
      </c>
      <c r="E766" t="s">
        <v>2387</v>
      </c>
      <c r="F766" t="s">
        <v>273</v>
      </c>
      <c r="G766" t="s">
        <v>2357</v>
      </c>
      <c r="H766" t="s">
        <v>275</v>
      </c>
      <c r="I766" t="s">
        <v>700</v>
      </c>
      <c r="J766">
        <v>34</v>
      </c>
      <c r="K766">
        <f>34-900-670-25</f>
        <v>-1561</v>
      </c>
      <c r="L766" t="s">
        <v>2388</v>
      </c>
      <c r="M766" t="s">
        <v>2389</v>
      </c>
      <c r="N766" t="s">
        <v>278</v>
      </c>
      <c r="O766" t="s">
        <v>134</v>
      </c>
      <c r="P766" t="s">
        <v>29</v>
      </c>
      <c r="Q766">
        <v>42</v>
      </c>
      <c r="R766">
        <v>-93.620800000000003</v>
      </c>
    </row>
    <row r="767" spans="1:18" x14ac:dyDescent="0.2">
      <c r="A767" t="s">
        <v>270</v>
      </c>
      <c r="B767" t="s">
        <v>271</v>
      </c>
      <c r="C767">
        <v>1</v>
      </c>
      <c r="D767" s="1">
        <v>44074.934918981482</v>
      </c>
      <c r="E767" t="s">
        <v>2390</v>
      </c>
      <c r="F767" t="s">
        <v>273</v>
      </c>
      <c r="G767" t="s">
        <v>2357</v>
      </c>
      <c r="H767" t="s">
        <v>275</v>
      </c>
      <c r="I767" t="s">
        <v>29</v>
      </c>
      <c r="J767">
        <v>1</v>
      </c>
      <c r="K767">
        <f>1-888-655-2343</f>
        <v>-3885</v>
      </c>
      <c r="L767" t="s">
        <v>2391</v>
      </c>
      <c r="M767" t="s">
        <v>2392</v>
      </c>
      <c r="N767" t="s">
        <v>278</v>
      </c>
      <c r="O767" t="s">
        <v>134</v>
      </c>
      <c r="P767" t="s">
        <v>29</v>
      </c>
      <c r="Q767">
        <v>42</v>
      </c>
      <c r="R767">
        <v>-93.620800000000003</v>
      </c>
    </row>
    <row r="768" spans="1:18" x14ac:dyDescent="0.2">
      <c r="A768" t="s">
        <v>270</v>
      </c>
      <c r="B768" t="s">
        <v>271</v>
      </c>
      <c r="C768">
        <v>1</v>
      </c>
      <c r="D768" s="1">
        <v>44074.928460648145</v>
      </c>
      <c r="E768" t="s">
        <v>2393</v>
      </c>
      <c r="F768" t="s">
        <v>273</v>
      </c>
      <c r="G768" t="s">
        <v>2357</v>
      </c>
      <c r="H768" t="s">
        <v>275</v>
      </c>
      <c r="I768" t="s">
        <v>29</v>
      </c>
      <c r="J768">
        <v>1</v>
      </c>
      <c r="K768">
        <f>1-888-590-4165</f>
        <v>-5642</v>
      </c>
      <c r="L768" t="s">
        <v>2394</v>
      </c>
      <c r="M768" t="s">
        <v>2395</v>
      </c>
      <c r="N768" t="s">
        <v>278</v>
      </c>
      <c r="O768" t="s">
        <v>28</v>
      </c>
      <c r="P768" t="s">
        <v>29</v>
      </c>
      <c r="Q768">
        <v>42</v>
      </c>
      <c r="R768">
        <v>-93.620800000000003</v>
      </c>
    </row>
    <row r="769" spans="1:18" x14ac:dyDescent="0.2">
      <c r="A769" t="s">
        <v>270</v>
      </c>
      <c r="B769" t="s">
        <v>271</v>
      </c>
      <c r="C769">
        <v>1</v>
      </c>
      <c r="D769" s="1">
        <v>44073.027974537035</v>
      </c>
      <c r="E769" t="s">
        <v>2396</v>
      </c>
      <c r="F769" t="s">
        <v>273</v>
      </c>
      <c r="G769" t="s">
        <v>2357</v>
      </c>
      <c r="H769" t="s">
        <v>275</v>
      </c>
      <c r="I769" t="s">
        <v>29</v>
      </c>
      <c r="J769">
        <v>1</v>
      </c>
      <c r="K769">
        <f>1-888-441-3235</f>
        <v>-4563</v>
      </c>
      <c r="L769" t="s">
        <v>2397</v>
      </c>
      <c r="M769" t="s">
        <v>2398</v>
      </c>
      <c r="N769" t="s">
        <v>278</v>
      </c>
      <c r="O769" t="s">
        <v>134</v>
      </c>
      <c r="P769" t="s">
        <v>29</v>
      </c>
      <c r="Q769">
        <v>42</v>
      </c>
      <c r="R769">
        <v>-93.620800000000003</v>
      </c>
    </row>
    <row r="770" spans="1:18" x14ac:dyDescent="0.2">
      <c r="A770" t="s">
        <v>270</v>
      </c>
      <c r="B770" t="s">
        <v>271</v>
      </c>
      <c r="C770">
        <v>1</v>
      </c>
      <c r="D770" s="1">
        <v>44072.865856481483</v>
      </c>
      <c r="E770" t="s">
        <v>2399</v>
      </c>
      <c r="F770" t="s">
        <v>273</v>
      </c>
      <c r="G770" t="s">
        <v>2357</v>
      </c>
      <c r="H770" t="s">
        <v>275</v>
      </c>
      <c r="I770" t="s">
        <v>29</v>
      </c>
      <c r="J770">
        <v>1</v>
      </c>
      <c r="K770">
        <f>1-888-604-806</f>
        <v>-2297</v>
      </c>
      <c r="L770" t="s">
        <v>2400</v>
      </c>
      <c r="M770" t="s">
        <v>2401</v>
      </c>
      <c r="N770" t="s">
        <v>278</v>
      </c>
      <c r="O770" t="s">
        <v>134</v>
      </c>
      <c r="P770" t="s">
        <v>29</v>
      </c>
      <c r="Q770">
        <v>42</v>
      </c>
      <c r="R770">
        <v>-93.620800000000003</v>
      </c>
    </row>
    <row r="771" spans="1:18" x14ac:dyDescent="0.2">
      <c r="A771" t="s">
        <v>270</v>
      </c>
      <c r="B771" t="s">
        <v>271</v>
      </c>
      <c r="C771">
        <v>1</v>
      </c>
      <c r="D771" s="1">
        <v>44072.863692129627</v>
      </c>
      <c r="E771" t="s">
        <v>2402</v>
      </c>
      <c r="F771" t="s">
        <v>273</v>
      </c>
      <c r="G771" t="s">
        <v>2357</v>
      </c>
      <c r="H771" t="s">
        <v>275</v>
      </c>
      <c r="I771" t="s">
        <v>29</v>
      </c>
      <c r="J771">
        <v>1</v>
      </c>
      <c r="K771">
        <f>1-888-658-5805</f>
        <v>-7350</v>
      </c>
      <c r="L771" t="s">
        <v>2403</v>
      </c>
      <c r="M771" t="s">
        <v>2404</v>
      </c>
      <c r="N771" t="s">
        <v>278</v>
      </c>
      <c r="O771" t="s">
        <v>134</v>
      </c>
      <c r="P771" t="s">
        <v>29</v>
      </c>
      <c r="Q771">
        <v>42</v>
      </c>
      <c r="R771">
        <v>-93.620800000000003</v>
      </c>
    </row>
    <row r="772" spans="1:18" x14ac:dyDescent="0.2">
      <c r="A772" t="s">
        <v>270</v>
      </c>
      <c r="B772" t="s">
        <v>271</v>
      </c>
      <c r="C772">
        <v>1</v>
      </c>
      <c r="D772" s="1">
        <v>44071.415833333333</v>
      </c>
      <c r="E772" t="s">
        <v>2405</v>
      </c>
      <c r="F772" t="s">
        <v>273</v>
      </c>
      <c r="G772" t="s">
        <v>2357</v>
      </c>
      <c r="H772" t="s">
        <v>275</v>
      </c>
      <c r="I772" t="s">
        <v>29</v>
      </c>
      <c r="J772">
        <v>1</v>
      </c>
      <c r="K772">
        <f>1-888-417-4090</f>
        <v>-5394</v>
      </c>
      <c r="L772" t="s">
        <v>2406</v>
      </c>
      <c r="M772" t="s">
        <v>2407</v>
      </c>
      <c r="N772" t="s">
        <v>278</v>
      </c>
      <c r="O772" t="s">
        <v>134</v>
      </c>
      <c r="P772" t="s">
        <v>29</v>
      </c>
      <c r="Q772">
        <v>42</v>
      </c>
      <c r="R772">
        <v>-93.620800000000003</v>
      </c>
    </row>
    <row r="773" spans="1:18" x14ac:dyDescent="0.2">
      <c r="A773" t="s">
        <v>270</v>
      </c>
      <c r="B773" t="s">
        <v>271</v>
      </c>
      <c r="C773">
        <v>1</v>
      </c>
      <c r="D773" s="1">
        <v>44068.022534722222</v>
      </c>
      <c r="E773" t="s">
        <v>2408</v>
      </c>
      <c r="F773" t="s">
        <v>273</v>
      </c>
      <c r="G773" t="s">
        <v>2357</v>
      </c>
      <c r="H773" t="s">
        <v>275</v>
      </c>
      <c r="I773" t="s">
        <v>29</v>
      </c>
      <c r="J773">
        <v>1</v>
      </c>
      <c r="K773">
        <f>1-888-965-777</f>
        <v>-2629</v>
      </c>
      <c r="L773" t="s">
        <v>2409</v>
      </c>
      <c r="M773" t="s">
        <v>2410</v>
      </c>
      <c r="N773" t="s">
        <v>278</v>
      </c>
      <c r="O773" t="s">
        <v>28</v>
      </c>
      <c r="P773" t="s">
        <v>29</v>
      </c>
      <c r="Q773">
        <v>42</v>
      </c>
      <c r="R773">
        <v>-93.620800000000003</v>
      </c>
    </row>
    <row r="774" spans="1:18" x14ac:dyDescent="0.2">
      <c r="A774" t="s">
        <v>270</v>
      </c>
      <c r="B774" t="s">
        <v>271</v>
      </c>
      <c r="C774">
        <v>1</v>
      </c>
      <c r="D774" s="1">
        <v>44068.020011574074</v>
      </c>
      <c r="E774" t="s">
        <v>2411</v>
      </c>
      <c r="F774" t="s">
        <v>273</v>
      </c>
      <c r="G774" t="s">
        <v>2357</v>
      </c>
      <c r="H774" t="s">
        <v>275</v>
      </c>
      <c r="I774" t="s">
        <v>29</v>
      </c>
      <c r="J774">
        <v>1</v>
      </c>
      <c r="K774">
        <f>1-888-417-4097</f>
        <v>-5401</v>
      </c>
      <c r="L774" t="s">
        <v>2412</v>
      </c>
      <c r="M774" t="s">
        <v>2413</v>
      </c>
      <c r="N774" t="s">
        <v>278</v>
      </c>
      <c r="O774" t="s">
        <v>28</v>
      </c>
      <c r="P774" t="s">
        <v>29</v>
      </c>
      <c r="Q774">
        <v>42</v>
      </c>
      <c r="R774">
        <v>-93.620800000000003</v>
      </c>
    </row>
    <row r="775" spans="1:18" x14ac:dyDescent="0.2">
      <c r="A775" t="s">
        <v>270</v>
      </c>
      <c r="B775" t="s">
        <v>271</v>
      </c>
      <c r="C775">
        <v>1</v>
      </c>
      <c r="D775" s="1">
        <v>44067.849166666667</v>
      </c>
      <c r="E775" t="s">
        <v>2414</v>
      </c>
      <c r="F775" t="s">
        <v>273</v>
      </c>
      <c r="G775" t="s">
        <v>2357</v>
      </c>
      <c r="H775" t="s">
        <v>275</v>
      </c>
      <c r="I775" t="s">
        <v>29</v>
      </c>
      <c r="J775">
        <v>1</v>
      </c>
      <c r="K775">
        <f>1-888-851-511</f>
        <v>-2249</v>
      </c>
      <c r="L775" t="s">
        <v>2415</v>
      </c>
      <c r="M775" t="s">
        <v>2416</v>
      </c>
      <c r="N775" t="s">
        <v>278</v>
      </c>
      <c r="O775" t="s">
        <v>28</v>
      </c>
      <c r="P775" t="s">
        <v>29</v>
      </c>
      <c r="Q775">
        <v>42</v>
      </c>
      <c r="R775">
        <v>-93.620800000000003</v>
      </c>
    </row>
    <row r="776" spans="1:18" x14ac:dyDescent="0.2">
      <c r="A776" t="s">
        <v>270</v>
      </c>
      <c r="B776" t="s">
        <v>271</v>
      </c>
      <c r="C776">
        <v>34</v>
      </c>
      <c r="D776" s="1">
        <v>44067.447731481479</v>
      </c>
      <c r="E776" t="s">
        <v>2417</v>
      </c>
      <c r="F776" t="s">
        <v>273</v>
      </c>
      <c r="G776" t="s">
        <v>2357</v>
      </c>
      <c r="H776" t="s">
        <v>275</v>
      </c>
      <c r="I776" t="s">
        <v>700</v>
      </c>
      <c r="J776">
        <v>34</v>
      </c>
      <c r="K776">
        <f t="shared" ref="K776:K787" si="8">34-900-670-25</f>
        <v>-1561</v>
      </c>
      <c r="L776" t="s">
        <v>2418</v>
      </c>
      <c r="M776" t="s">
        <v>2419</v>
      </c>
      <c r="N776" t="s">
        <v>278</v>
      </c>
      <c r="O776" t="s">
        <v>134</v>
      </c>
      <c r="P776" t="s">
        <v>29</v>
      </c>
      <c r="Q776">
        <v>42</v>
      </c>
      <c r="R776">
        <v>-93.620800000000003</v>
      </c>
    </row>
    <row r="777" spans="1:18" x14ac:dyDescent="0.2">
      <c r="A777" t="s">
        <v>270</v>
      </c>
      <c r="B777" t="s">
        <v>271</v>
      </c>
      <c r="C777">
        <v>34</v>
      </c>
      <c r="D777" s="1">
        <v>44067.44699074074</v>
      </c>
      <c r="E777" t="s">
        <v>2420</v>
      </c>
      <c r="F777" t="s">
        <v>273</v>
      </c>
      <c r="G777" t="s">
        <v>2357</v>
      </c>
      <c r="H777" t="s">
        <v>275</v>
      </c>
      <c r="I777" t="s">
        <v>700</v>
      </c>
      <c r="J777">
        <v>34</v>
      </c>
      <c r="K777">
        <f t="shared" si="8"/>
        <v>-1561</v>
      </c>
      <c r="L777" t="s">
        <v>2421</v>
      </c>
      <c r="M777" t="s">
        <v>2422</v>
      </c>
      <c r="N777" t="s">
        <v>278</v>
      </c>
      <c r="O777" t="s">
        <v>134</v>
      </c>
      <c r="P777" t="s">
        <v>29</v>
      </c>
      <c r="Q777">
        <v>42</v>
      </c>
      <c r="R777">
        <v>-93.620800000000003</v>
      </c>
    </row>
    <row r="778" spans="1:18" x14ac:dyDescent="0.2">
      <c r="A778" t="s">
        <v>270</v>
      </c>
      <c r="B778" t="s">
        <v>271</v>
      </c>
      <c r="C778">
        <v>34</v>
      </c>
      <c r="D778" s="1">
        <v>44067.446863425925</v>
      </c>
      <c r="E778" t="s">
        <v>2423</v>
      </c>
      <c r="F778" t="s">
        <v>273</v>
      </c>
      <c r="G778" t="s">
        <v>2357</v>
      </c>
      <c r="H778" t="s">
        <v>275</v>
      </c>
      <c r="I778" t="s">
        <v>700</v>
      </c>
      <c r="J778">
        <v>34</v>
      </c>
      <c r="K778">
        <f t="shared" si="8"/>
        <v>-1561</v>
      </c>
      <c r="L778" t="s">
        <v>2424</v>
      </c>
      <c r="M778" t="s">
        <v>2425</v>
      </c>
      <c r="N778" t="s">
        <v>278</v>
      </c>
      <c r="O778" t="s">
        <v>134</v>
      </c>
      <c r="P778" t="s">
        <v>29</v>
      </c>
      <c r="Q778">
        <v>42</v>
      </c>
      <c r="R778">
        <v>-93.620800000000003</v>
      </c>
    </row>
    <row r="779" spans="1:18" x14ac:dyDescent="0.2">
      <c r="A779" t="s">
        <v>270</v>
      </c>
      <c r="B779" t="s">
        <v>271</v>
      </c>
      <c r="C779">
        <v>34</v>
      </c>
      <c r="D779" s="1">
        <v>44067.445057870369</v>
      </c>
      <c r="E779" t="s">
        <v>2426</v>
      </c>
      <c r="F779" t="s">
        <v>273</v>
      </c>
      <c r="G779" t="s">
        <v>2357</v>
      </c>
      <c r="H779" t="s">
        <v>275</v>
      </c>
      <c r="I779" t="s">
        <v>700</v>
      </c>
      <c r="J779">
        <v>34</v>
      </c>
      <c r="K779">
        <f t="shared" si="8"/>
        <v>-1561</v>
      </c>
      <c r="L779" t="s">
        <v>2427</v>
      </c>
      <c r="M779" t="s">
        <v>2428</v>
      </c>
      <c r="N779" t="s">
        <v>278</v>
      </c>
      <c r="O779" t="s">
        <v>134</v>
      </c>
      <c r="P779" t="s">
        <v>29</v>
      </c>
      <c r="Q779">
        <v>42</v>
      </c>
      <c r="R779">
        <v>-93.620800000000003</v>
      </c>
    </row>
    <row r="780" spans="1:18" x14ac:dyDescent="0.2">
      <c r="A780" t="s">
        <v>270</v>
      </c>
      <c r="B780" t="s">
        <v>271</v>
      </c>
      <c r="C780">
        <v>34</v>
      </c>
      <c r="D780" s="1">
        <v>44066.540150462963</v>
      </c>
      <c r="E780" t="s">
        <v>2429</v>
      </c>
      <c r="F780" t="s">
        <v>273</v>
      </c>
      <c r="G780" t="s">
        <v>2357</v>
      </c>
      <c r="H780" t="s">
        <v>275</v>
      </c>
      <c r="I780" t="s">
        <v>700</v>
      </c>
      <c r="J780">
        <v>34</v>
      </c>
      <c r="K780">
        <f t="shared" si="8"/>
        <v>-1561</v>
      </c>
      <c r="L780" t="s">
        <v>2430</v>
      </c>
      <c r="M780" t="s">
        <v>2431</v>
      </c>
      <c r="N780" t="s">
        <v>278</v>
      </c>
      <c r="O780" t="s">
        <v>134</v>
      </c>
      <c r="P780" t="s">
        <v>29</v>
      </c>
      <c r="Q780">
        <v>42</v>
      </c>
      <c r="R780">
        <v>-93.620800000000003</v>
      </c>
    </row>
    <row r="781" spans="1:18" x14ac:dyDescent="0.2">
      <c r="A781" t="s">
        <v>270</v>
      </c>
      <c r="B781" t="s">
        <v>271</v>
      </c>
      <c r="C781">
        <v>34</v>
      </c>
      <c r="D781" s="1">
        <v>44066.005011574074</v>
      </c>
      <c r="E781" t="s">
        <v>2432</v>
      </c>
      <c r="F781" t="s">
        <v>273</v>
      </c>
      <c r="G781" t="s">
        <v>2357</v>
      </c>
      <c r="H781" t="s">
        <v>275</v>
      </c>
      <c r="I781" t="s">
        <v>700</v>
      </c>
      <c r="J781">
        <v>34</v>
      </c>
      <c r="K781">
        <f t="shared" si="8"/>
        <v>-1561</v>
      </c>
      <c r="L781" t="s">
        <v>2433</v>
      </c>
      <c r="M781" t="s">
        <v>2434</v>
      </c>
      <c r="N781" t="s">
        <v>278</v>
      </c>
      <c r="O781" t="s">
        <v>134</v>
      </c>
      <c r="P781" t="s">
        <v>29</v>
      </c>
      <c r="Q781">
        <v>42</v>
      </c>
      <c r="R781">
        <v>-93.620800000000003</v>
      </c>
    </row>
    <row r="782" spans="1:18" x14ac:dyDescent="0.2">
      <c r="A782" t="s">
        <v>270</v>
      </c>
      <c r="B782" t="s">
        <v>271</v>
      </c>
      <c r="C782">
        <v>34</v>
      </c>
      <c r="D782" s="1">
        <v>44066.004930555559</v>
      </c>
      <c r="E782" t="s">
        <v>2435</v>
      </c>
      <c r="F782" t="s">
        <v>273</v>
      </c>
      <c r="G782" t="s">
        <v>2357</v>
      </c>
      <c r="H782" t="s">
        <v>275</v>
      </c>
      <c r="I782" t="s">
        <v>700</v>
      </c>
      <c r="J782">
        <v>34</v>
      </c>
      <c r="K782">
        <f t="shared" si="8"/>
        <v>-1561</v>
      </c>
      <c r="L782" t="s">
        <v>2436</v>
      </c>
      <c r="M782" t="s">
        <v>2437</v>
      </c>
      <c r="N782" t="s">
        <v>278</v>
      </c>
      <c r="O782" t="s">
        <v>134</v>
      </c>
      <c r="P782" t="s">
        <v>29</v>
      </c>
      <c r="Q782">
        <v>42</v>
      </c>
      <c r="R782">
        <v>-93.620800000000003</v>
      </c>
    </row>
    <row r="783" spans="1:18" x14ac:dyDescent="0.2">
      <c r="A783" t="s">
        <v>270</v>
      </c>
      <c r="B783" t="s">
        <v>271</v>
      </c>
      <c r="C783">
        <v>34</v>
      </c>
      <c r="D783" s="1">
        <v>44066.004872685182</v>
      </c>
      <c r="E783" t="s">
        <v>2438</v>
      </c>
      <c r="F783" t="s">
        <v>273</v>
      </c>
      <c r="G783" t="s">
        <v>2357</v>
      </c>
      <c r="H783" t="s">
        <v>275</v>
      </c>
      <c r="I783" t="s">
        <v>700</v>
      </c>
      <c r="J783">
        <v>34</v>
      </c>
      <c r="K783">
        <f t="shared" si="8"/>
        <v>-1561</v>
      </c>
      <c r="L783" t="s">
        <v>2439</v>
      </c>
      <c r="M783" t="s">
        <v>2440</v>
      </c>
      <c r="N783" t="s">
        <v>278</v>
      </c>
      <c r="O783" t="s">
        <v>134</v>
      </c>
      <c r="P783" t="s">
        <v>29</v>
      </c>
      <c r="Q783">
        <v>42</v>
      </c>
      <c r="R783">
        <v>-93.620800000000003</v>
      </c>
    </row>
    <row r="784" spans="1:18" x14ac:dyDescent="0.2">
      <c r="A784" t="s">
        <v>270</v>
      </c>
      <c r="B784" t="s">
        <v>271</v>
      </c>
      <c r="C784">
        <v>34</v>
      </c>
      <c r="D784" s="1">
        <v>44066.004837962966</v>
      </c>
      <c r="E784" t="s">
        <v>2441</v>
      </c>
      <c r="F784" t="s">
        <v>273</v>
      </c>
      <c r="G784" t="s">
        <v>2357</v>
      </c>
      <c r="H784" t="s">
        <v>275</v>
      </c>
      <c r="I784" t="s">
        <v>700</v>
      </c>
      <c r="J784">
        <v>34</v>
      </c>
      <c r="K784">
        <f t="shared" si="8"/>
        <v>-1561</v>
      </c>
      <c r="L784" t="s">
        <v>2442</v>
      </c>
      <c r="M784" t="s">
        <v>2443</v>
      </c>
      <c r="N784" t="s">
        <v>278</v>
      </c>
      <c r="O784" t="s">
        <v>134</v>
      </c>
      <c r="P784" t="s">
        <v>29</v>
      </c>
      <c r="Q784">
        <v>42</v>
      </c>
      <c r="R784">
        <v>-93.620800000000003</v>
      </c>
    </row>
    <row r="785" spans="1:18" x14ac:dyDescent="0.2">
      <c r="A785" t="s">
        <v>270</v>
      </c>
      <c r="B785" t="s">
        <v>271</v>
      </c>
      <c r="C785">
        <v>34</v>
      </c>
      <c r="D785" s="1">
        <v>44065.893379629626</v>
      </c>
      <c r="E785" t="s">
        <v>2444</v>
      </c>
      <c r="F785" t="s">
        <v>273</v>
      </c>
      <c r="G785" t="s">
        <v>2357</v>
      </c>
      <c r="H785" t="s">
        <v>275</v>
      </c>
      <c r="I785" t="s">
        <v>700</v>
      </c>
      <c r="J785">
        <v>34</v>
      </c>
      <c r="K785">
        <f t="shared" si="8"/>
        <v>-1561</v>
      </c>
      <c r="L785" t="s">
        <v>2445</v>
      </c>
      <c r="M785" t="s">
        <v>2446</v>
      </c>
      <c r="N785" t="s">
        <v>278</v>
      </c>
      <c r="O785" t="s">
        <v>134</v>
      </c>
      <c r="P785" t="s">
        <v>29</v>
      </c>
      <c r="Q785">
        <v>42</v>
      </c>
      <c r="R785">
        <v>-93.620800000000003</v>
      </c>
    </row>
    <row r="786" spans="1:18" x14ac:dyDescent="0.2">
      <c r="A786" t="s">
        <v>270</v>
      </c>
      <c r="B786" t="s">
        <v>271</v>
      </c>
      <c r="C786">
        <v>34</v>
      </c>
      <c r="D786" s="1">
        <v>44065.891898148147</v>
      </c>
      <c r="E786" t="s">
        <v>2447</v>
      </c>
      <c r="F786" t="s">
        <v>273</v>
      </c>
      <c r="G786" t="s">
        <v>2357</v>
      </c>
      <c r="H786" t="s">
        <v>275</v>
      </c>
      <c r="I786" t="s">
        <v>700</v>
      </c>
      <c r="J786">
        <v>34</v>
      </c>
      <c r="K786">
        <f t="shared" si="8"/>
        <v>-1561</v>
      </c>
      <c r="L786" t="s">
        <v>2448</v>
      </c>
      <c r="M786" t="s">
        <v>2449</v>
      </c>
      <c r="N786" t="s">
        <v>278</v>
      </c>
      <c r="O786" t="s">
        <v>134</v>
      </c>
      <c r="P786" t="s">
        <v>29</v>
      </c>
      <c r="Q786">
        <v>42</v>
      </c>
      <c r="R786">
        <v>-93.620800000000003</v>
      </c>
    </row>
    <row r="787" spans="1:18" x14ac:dyDescent="0.2">
      <c r="A787" t="s">
        <v>270</v>
      </c>
      <c r="B787" t="s">
        <v>271</v>
      </c>
      <c r="C787">
        <v>34</v>
      </c>
      <c r="D787" s="1">
        <v>44065.890625</v>
      </c>
      <c r="E787" t="s">
        <v>2450</v>
      </c>
      <c r="F787" t="s">
        <v>273</v>
      </c>
      <c r="G787" t="s">
        <v>2357</v>
      </c>
      <c r="H787" t="s">
        <v>275</v>
      </c>
      <c r="I787" t="s">
        <v>700</v>
      </c>
      <c r="J787">
        <v>34</v>
      </c>
      <c r="K787">
        <f t="shared" si="8"/>
        <v>-1561</v>
      </c>
      <c r="L787" t="s">
        <v>2451</v>
      </c>
      <c r="M787" t="s">
        <v>2452</v>
      </c>
      <c r="N787" t="s">
        <v>278</v>
      </c>
      <c r="O787" t="s">
        <v>134</v>
      </c>
      <c r="P787" t="s">
        <v>29</v>
      </c>
      <c r="Q787">
        <v>42</v>
      </c>
      <c r="R787">
        <v>-93.620800000000003</v>
      </c>
    </row>
    <row r="788" spans="1:18" x14ac:dyDescent="0.2">
      <c r="A788" t="s">
        <v>270</v>
      </c>
      <c r="B788" t="s">
        <v>271</v>
      </c>
      <c r="C788">
        <v>1</v>
      </c>
      <c r="D788" s="1">
        <v>44053.822743055556</v>
      </c>
      <c r="E788" t="s">
        <v>2453</v>
      </c>
      <c r="F788" t="s">
        <v>273</v>
      </c>
      <c r="G788" t="s">
        <v>2357</v>
      </c>
      <c r="H788" t="s">
        <v>275</v>
      </c>
      <c r="I788" t="s">
        <v>29</v>
      </c>
      <c r="J788">
        <v>1</v>
      </c>
      <c r="K788">
        <f>1-888-538-1045</f>
        <v>-2470</v>
      </c>
      <c r="L788" t="s">
        <v>2454</v>
      </c>
      <c r="M788" t="s">
        <v>2455</v>
      </c>
      <c r="N788" t="s">
        <v>278</v>
      </c>
      <c r="O788" t="s">
        <v>134</v>
      </c>
      <c r="P788" t="s">
        <v>29</v>
      </c>
      <c r="Q788">
        <v>42</v>
      </c>
      <c r="R788">
        <v>-93.620800000000003</v>
      </c>
    </row>
    <row r="789" spans="1:18" x14ac:dyDescent="0.2">
      <c r="A789" t="s">
        <v>270</v>
      </c>
      <c r="B789" t="s">
        <v>271</v>
      </c>
      <c r="C789">
        <v>1</v>
      </c>
      <c r="D789" s="1">
        <v>44033.919699074075</v>
      </c>
      <c r="E789" t="s">
        <v>2456</v>
      </c>
      <c r="F789" t="s">
        <v>273</v>
      </c>
      <c r="G789" t="s">
        <v>2357</v>
      </c>
      <c r="H789" t="s">
        <v>275</v>
      </c>
      <c r="I789" t="s">
        <v>29</v>
      </c>
      <c r="J789">
        <v>1</v>
      </c>
      <c r="K789">
        <f>1-866-735-3054</f>
        <v>-4654</v>
      </c>
      <c r="L789" t="s">
        <v>2457</v>
      </c>
      <c r="M789" t="s">
        <v>2458</v>
      </c>
      <c r="N789" t="s">
        <v>278</v>
      </c>
      <c r="O789" t="s">
        <v>28</v>
      </c>
      <c r="P789" t="s">
        <v>29</v>
      </c>
      <c r="Q789">
        <v>42</v>
      </c>
      <c r="R789">
        <v>-93.620800000000003</v>
      </c>
    </row>
    <row r="790" spans="1:18" x14ac:dyDescent="0.2">
      <c r="A790" t="s">
        <v>270</v>
      </c>
      <c r="B790" t="s">
        <v>271</v>
      </c>
      <c r="C790">
        <v>1</v>
      </c>
      <c r="D790" s="1">
        <v>44030.859571759262</v>
      </c>
      <c r="E790" t="s">
        <v>2459</v>
      </c>
      <c r="F790" t="s">
        <v>273</v>
      </c>
      <c r="G790" t="s">
        <v>2357</v>
      </c>
      <c r="H790" t="s">
        <v>275</v>
      </c>
      <c r="I790" t="s">
        <v>29</v>
      </c>
      <c r="J790">
        <v>1</v>
      </c>
      <c r="K790">
        <f>1-888-660-1310</f>
        <v>-2857</v>
      </c>
      <c r="L790" t="s">
        <v>2460</v>
      </c>
      <c r="M790" t="s">
        <v>2461</v>
      </c>
      <c r="N790" t="s">
        <v>278</v>
      </c>
      <c r="O790" t="s">
        <v>28</v>
      </c>
      <c r="P790" t="s">
        <v>29</v>
      </c>
      <c r="Q790">
        <v>42</v>
      </c>
      <c r="R790">
        <v>-93.620800000000003</v>
      </c>
    </row>
    <row r="791" spans="1:18" x14ac:dyDescent="0.2">
      <c r="A791" t="s">
        <v>270</v>
      </c>
      <c r="B791" t="s">
        <v>271</v>
      </c>
      <c r="C791">
        <v>1</v>
      </c>
      <c r="D791" s="1">
        <v>44028.955706018518</v>
      </c>
      <c r="E791" t="s">
        <v>2462</v>
      </c>
      <c r="F791" t="s">
        <v>273</v>
      </c>
      <c r="G791" t="s">
        <v>2357</v>
      </c>
      <c r="H791" t="s">
        <v>275</v>
      </c>
      <c r="I791" t="s">
        <v>29</v>
      </c>
      <c r="J791">
        <v>1</v>
      </c>
      <c r="K791">
        <f>1-800-347-5581</f>
        <v>-6727</v>
      </c>
      <c r="L791" t="s">
        <v>2463</v>
      </c>
      <c r="M791" t="s">
        <v>2464</v>
      </c>
      <c r="N791" t="s">
        <v>278</v>
      </c>
      <c r="O791" t="s">
        <v>28</v>
      </c>
      <c r="P791" t="s">
        <v>29</v>
      </c>
      <c r="Q791">
        <v>42</v>
      </c>
      <c r="R791">
        <v>-93.620800000000003</v>
      </c>
    </row>
    <row r="792" spans="1:18" x14ac:dyDescent="0.2">
      <c r="A792" t="s">
        <v>270</v>
      </c>
      <c r="B792" t="s">
        <v>271</v>
      </c>
      <c r="C792">
        <v>1</v>
      </c>
      <c r="D792" s="1">
        <v>43979.920567129629</v>
      </c>
      <c r="E792" t="s">
        <v>2465</v>
      </c>
      <c r="F792" t="s">
        <v>273</v>
      </c>
      <c r="G792" t="s">
        <v>2357</v>
      </c>
      <c r="H792" t="s">
        <v>275</v>
      </c>
      <c r="I792" t="s">
        <v>29</v>
      </c>
      <c r="J792">
        <v>1</v>
      </c>
      <c r="K792">
        <f>1-844-769-9824</f>
        <v>-11436</v>
      </c>
      <c r="L792" t="s">
        <v>2466</v>
      </c>
      <c r="M792" t="s">
        <v>2467</v>
      </c>
      <c r="N792" t="s">
        <v>278</v>
      </c>
      <c r="O792" t="s">
        <v>28</v>
      </c>
      <c r="P792" t="s">
        <v>29</v>
      </c>
      <c r="Q792">
        <v>42</v>
      </c>
      <c r="R792">
        <v>-93.620800000000003</v>
      </c>
    </row>
    <row r="793" spans="1:18" x14ac:dyDescent="0.2">
      <c r="A793" t="s">
        <v>270</v>
      </c>
      <c r="B793" t="s">
        <v>271</v>
      </c>
      <c r="C793">
        <v>1</v>
      </c>
      <c r="D793" s="1">
        <v>43978.934606481482</v>
      </c>
      <c r="E793" t="s">
        <v>2468</v>
      </c>
      <c r="F793" t="s">
        <v>273</v>
      </c>
      <c r="G793" t="s">
        <v>2357</v>
      </c>
      <c r="H793" t="s">
        <v>275</v>
      </c>
      <c r="I793" t="s">
        <v>29</v>
      </c>
      <c r="J793">
        <v>1</v>
      </c>
      <c r="K793">
        <f>1-844-822-3458</f>
        <v>-5123</v>
      </c>
      <c r="L793" t="s">
        <v>2469</v>
      </c>
      <c r="M793" t="s">
        <v>2470</v>
      </c>
      <c r="N793" t="s">
        <v>278</v>
      </c>
      <c r="O793" t="s">
        <v>28</v>
      </c>
      <c r="P793" t="s">
        <v>29</v>
      </c>
      <c r="Q793">
        <v>42</v>
      </c>
      <c r="R793">
        <v>-93.620800000000003</v>
      </c>
    </row>
    <row r="794" spans="1:18" x14ac:dyDescent="0.2">
      <c r="A794" t="s">
        <v>2225</v>
      </c>
      <c r="B794" t="s">
        <v>2226</v>
      </c>
      <c r="C794">
        <v>81</v>
      </c>
      <c r="D794" s="1">
        <v>43997.413206018522</v>
      </c>
      <c r="E794" t="s">
        <v>2471</v>
      </c>
      <c r="F794" t="s">
        <v>2228</v>
      </c>
      <c r="G794" t="s">
        <v>2472</v>
      </c>
      <c r="H794" t="s">
        <v>2230</v>
      </c>
      <c r="I794" t="s">
        <v>53</v>
      </c>
      <c r="J794">
        <v>81</v>
      </c>
      <c r="K794">
        <f>81-50-5534-1802</f>
        <v>-7305</v>
      </c>
      <c r="L794" t="s">
        <v>2473</v>
      </c>
      <c r="M794" t="s">
        <v>2474</v>
      </c>
      <c r="N794" t="s">
        <v>2475</v>
      </c>
      <c r="O794" t="s">
        <v>28</v>
      </c>
      <c r="P794" t="s">
        <v>24</v>
      </c>
      <c r="Q794">
        <v>50</v>
      </c>
      <c r="R794">
        <v>12.365</v>
      </c>
    </row>
    <row r="795" spans="1:18" x14ac:dyDescent="0.2">
      <c r="A795" t="s">
        <v>2225</v>
      </c>
      <c r="B795" t="s">
        <v>2226</v>
      </c>
      <c r="C795">
        <v>81</v>
      </c>
      <c r="D795" s="1">
        <v>43991.34516203704</v>
      </c>
      <c r="E795" t="s">
        <v>2476</v>
      </c>
      <c r="F795" t="s">
        <v>2228</v>
      </c>
      <c r="G795" t="s">
        <v>2472</v>
      </c>
      <c r="H795" t="s">
        <v>2230</v>
      </c>
      <c r="I795" t="s">
        <v>53</v>
      </c>
      <c r="J795">
        <v>81</v>
      </c>
      <c r="K795">
        <f>81-50-5809-6988</f>
        <v>-12766</v>
      </c>
      <c r="L795" t="s">
        <v>2477</v>
      </c>
      <c r="M795" t="s">
        <v>2478</v>
      </c>
      <c r="N795" t="s">
        <v>2475</v>
      </c>
      <c r="O795" t="s">
        <v>28</v>
      </c>
      <c r="P795" t="s">
        <v>24</v>
      </c>
      <c r="Q795">
        <v>50</v>
      </c>
      <c r="R795">
        <v>12.365</v>
      </c>
    </row>
    <row r="796" spans="1:18" x14ac:dyDescent="0.2">
      <c r="A796" t="s">
        <v>2225</v>
      </c>
      <c r="B796" t="s">
        <v>2226</v>
      </c>
      <c r="C796">
        <v>44</v>
      </c>
      <c r="D796" s="1">
        <v>43990.7262962963</v>
      </c>
      <c r="E796" t="s">
        <v>2479</v>
      </c>
      <c r="F796" t="s">
        <v>2228</v>
      </c>
      <c r="G796" t="s">
        <v>2472</v>
      </c>
      <c r="H796" t="s">
        <v>2230</v>
      </c>
      <c r="I796" t="s">
        <v>618</v>
      </c>
      <c r="J796">
        <v>44</v>
      </c>
      <c r="K796">
        <f>44-800-210-945</f>
        <v>-1911</v>
      </c>
      <c r="L796" t="s">
        <v>2480</v>
      </c>
      <c r="M796" t="s">
        <v>2481</v>
      </c>
      <c r="N796" t="s">
        <v>2475</v>
      </c>
      <c r="O796" t="s">
        <v>28</v>
      </c>
      <c r="P796" t="s">
        <v>24</v>
      </c>
      <c r="Q796">
        <v>50</v>
      </c>
      <c r="R796">
        <v>12.365</v>
      </c>
    </row>
    <row r="797" spans="1:18" x14ac:dyDescent="0.2">
      <c r="A797" t="s">
        <v>2225</v>
      </c>
      <c r="B797" t="s">
        <v>2226</v>
      </c>
      <c r="C797">
        <v>49</v>
      </c>
      <c r="D797" s="1">
        <v>43980.73201388889</v>
      </c>
      <c r="E797" t="s">
        <v>2482</v>
      </c>
      <c r="F797" t="s">
        <v>2228</v>
      </c>
      <c r="G797" t="s">
        <v>2472</v>
      </c>
      <c r="H797" t="s">
        <v>2230</v>
      </c>
      <c r="I797" t="s">
        <v>24</v>
      </c>
      <c r="J797">
        <v>49</v>
      </c>
      <c r="K797">
        <f>49-800-15-4654</f>
        <v>-5420</v>
      </c>
      <c r="L797" t="s">
        <v>2483</v>
      </c>
      <c r="M797" t="s">
        <v>2484</v>
      </c>
      <c r="N797" t="s">
        <v>2475</v>
      </c>
      <c r="O797" t="s">
        <v>28</v>
      </c>
      <c r="P797" t="s">
        <v>24</v>
      </c>
      <c r="Q797">
        <v>50</v>
      </c>
      <c r="R797">
        <v>12.365</v>
      </c>
    </row>
    <row r="798" spans="1:18" x14ac:dyDescent="0.2">
      <c r="A798" t="s">
        <v>2225</v>
      </c>
      <c r="B798" t="s">
        <v>2226</v>
      </c>
      <c r="C798">
        <v>49</v>
      </c>
      <c r="D798" s="1">
        <v>43979.644479166665</v>
      </c>
      <c r="E798" t="s">
        <v>2485</v>
      </c>
      <c r="F798" t="s">
        <v>2228</v>
      </c>
      <c r="G798" t="s">
        <v>2472</v>
      </c>
      <c r="H798" t="s">
        <v>2230</v>
      </c>
      <c r="I798" t="s">
        <v>24</v>
      </c>
      <c r="J798">
        <v>49</v>
      </c>
      <c r="K798">
        <f>49-800-15-4654</f>
        <v>-5420</v>
      </c>
      <c r="L798" t="s">
        <v>2486</v>
      </c>
      <c r="M798" t="s">
        <v>2487</v>
      </c>
      <c r="N798" t="s">
        <v>2475</v>
      </c>
      <c r="O798" t="s">
        <v>28</v>
      </c>
      <c r="P798" t="s">
        <v>24</v>
      </c>
      <c r="Q798">
        <v>50</v>
      </c>
      <c r="R798">
        <v>12.365</v>
      </c>
    </row>
    <row r="799" spans="1:18" x14ac:dyDescent="0.2">
      <c r="A799" t="s">
        <v>2349</v>
      </c>
      <c r="B799" t="s">
        <v>2488</v>
      </c>
      <c r="C799">
        <v>1</v>
      </c>
      <c r="D799" s="1">
        <v>43979.804791666669</v>
      </c>
      <c r="E799" t="s">
        <v>2489</v>
      </c>
      <c r="F799" t="s">
        <v>2352</v>
      </c>
      <c r="G799" t="s">
        <v>2490</v>
      </c>
      <c r="H799" t="s">
        <v>2353</v>
      </c>
      <c r="I799" t="s">
        <v>29</v>
      </c>
      <c r="J799">
        <v>1</v>
      </c>
      <c r="K799">
        <f>1-855-956-1926</f>
        <v>-3736</v>
      </c>
      <c r="L799" t="s">
        <v>2491</v>
      </c>
      <c r="M799" t="s">
        <v>2492</v>
      </c>
      <c r="N799" t="s">
        <v>2475</v>
      </c>
      <c r="O799" t="s">
        <v>28</v>
      </c>
      <c r="P799" t="s">
        <v>29</v>
      </c>
      <c r="Q799">
        <v>41</v>
      </c>
      <c r="R799">
        <v>-74.460599999999999</v>
      </c>
    </row>
    <row r="800" spans="1:18" x14ac:dyDescent="0.2">
      <c r="A800" t="s">
        <v>663</v>
      </c>
      <c r="B800" t="s">
        <v>2493</v>
      </c>
      <c r="C800">
        <v>1</v>
      </c>
      <c r="D800" s="1">
        <v>43979.947326388887</v>
      </c>
      <c r="E800" t="s">
        <v>2494</v>
      </c>
      <c r="F800" t="s">
        <v>2495</v>
      </c>
      <c r="G800" t="s">
        <v>2496</v>
      </c>
      <c r="H800" t="s">
        <v>667</v>
      </c>
      <c r="I800" t="s">
        <v>29</v>
      </c>
      <c r="J800">
        <v>1</v>
      </c>
      <c r="K800">
        <f>1-888-52+1-1952</f>
        <v>-2890</v>
      </c>
      <c r="L800" t="s">
        <v>2497</v>
      </c>
      <c r="M800" t="s">
        <v>2498</v>
      </c>
      <c r="N800" t="s">
        <v>2499</v>
      </c>
      <c r="O800" t="s">
        <v>28</v>
      </c>
      <c r="P800" t="s">
        <v>29</v>
      </c>
      <c r="Q800">
        <v>41</v>
      </c>
      <c r="R800">
        <v>-74.024100000000004</v>
      </c>
    </row>
    <row r="801" spans="1:18" x14ac:dyDescent="0.2">
      <c r="A801" t="s">
        <v>1200</v>
      </c>
      <c r="B801" t="s">
        <v>2500</v>
      </c>
      <c r="C801">
        <v>1</v>
      </c>
      <c r="D801" s="1">
        <v>43979.909270833334</v>
      </c>
      <c r="E801" t="s">
        <v>2501</v>
      </c>
      <c r="F801" t="s">
        <v>2502</v>
      </c>
      <c r="G801" t="s">
        <v>2503</v>
      </c>
      <c r="H801" t="s">
        <v>1205</v>
      </c>
      <c r="I801" t="s">
        <v>29</v>
      </c>
      <c r="J801">
        <v>1</v>
      </c>
      <c r="K801">
        <f>1-888-52+1-1960</f>
        <v>-2898</v>
      </c>
      <c r="L801" t="s">
        <v>2504</v>
      </c>
      <c r="M801" t="s">
        <v>2505</v>
      </c>
      <c r="N801" t="s">
        <v>452</v>
      </c>
      <c r="O801" t="s">
        <v>134</v>
      </c>
      <c r="P801" t="s">
        <v>2500</v>
      </c>
      <c r="Q801">
        <v>1</v>
      </c>
      <c r="R801">
        <v>99.999999000000003</v>
      </c>
    </row>
    <row r="802" spans="1:18" x14ac:dyDescent="0.2">
      <c r="A802" t="s">
        <v>18</v>
      </c>
      <c r="B802" t="s">
        <v>462</v>
      </c>
      <c r="C802">
        <v>1</v>
      </c>
      <c r="D802" s="1">
        <v>44104.551469907405</v>
      </c>
      <c r="E802" t="s">
        <v>2506</v>
      </c>
      <c r="F802" t="s">
        <v>464</v>
      </c>
      <c r="G802" t="s">
        <v>2507</v>
      </c>
      <c r="H802" t="s">
        <v>466</v>
      </c>
      <c r="I802" t="s">
        <v>29</v>
      </c>
      <c r="J802">
        <v>1</v>
      </c>
      <c r="K802">
        <f>1-888-373-7342</f>
        <v>-8602</v>
      </c>
      <c r="L802" t="s">
        <v>2508</v>
      </c>
      <c r="M802" t="s">
        <v>2509</v>
      </c>
      <c r="N802" t="s">
        <v>452</v>
      </c>
      <c r="O802" t="s">
        <v>134</v>
      </c>
      <c r="P802" t="s">
        <v>29</v>
      </c>
      <c r="Q802">
        <v>40</v>
      </c>
      <c r="R802">
        <v>-99.999999000000003</v>
      </c>
    </row>
    <row r="803" spans="1:18" x14ac:dyDescent="0.2">
      <c r="A803" t="s">
        <v>18</v>
      </c>
      <c r="B803" t="s">
        <v>462</v>
      </c>
      <c r="C803">
        <v>1</v>
      </c>
      <c r="D803" s="1">
        <v>44102.002141203702</v>
      </c>
      <c r="E803" t="s">
        <v>2510</v>
      </c>
      <c r="F803" t="s">
        <v>464</v>
      </c>
      <c r="G803" t="s">
        <v>2507</v>
      </c>
      <c r="H803" t="s">
        <v>466</v>
      </c>
      <c r="I803" t="s">
        <v>29</v>
      </c>
      <c r="J803">
        <v>1</v>
      </c>
      <c r="K803">
        <f>1-888-321-5853</f>
        <v>-7061</v>
      </c>
      <c r="L803" t="s">
        <v>2511</v>
      </c>
      <c r="M803" t="s">
        <v>2512</v>
      </c>
      <c r="N803" t="s">
        <v>452</v>
      </c>
      <c r="O803" t="s">
        <v>134</v>
      </c>
      <c r="P803" t="s">
        <v>29</v>
      </c>
      <c r="Q803">
        <v>40</v>
      </c>
      <c r="R803">
        <v>-99.999999000000003</v>
      </c>
    </row>
    <row r="804" spans="1:18" x14ac:dyDescent="0.2">
      <c r="A804" t="s">
        <v>18</v>
      </c>
      <c r="B804" t="s">
        <v>462</v>
      </c>
      <c r="C804">
        <v>1</v>
      </c>
      <c r="D804" s="1">
        <v>44101.642442129632</v>
      </c>
      <c r="E804" t="s">
        <v>2513</v>
      </c>
      <c r="F804" t="s">
        <v>464</v>
      </c>
      <c r="G804" t="s">
        <v>2507</v>
      </c>
      <c r="H804" t="s">
        <v>466</v>
      </c>
      <c r="I804" t="s">
        <v>29</v>
      </c>
      <c r="J804">
        <v>1</v>
      </c>
      <c r="K804">
        <f>1-888-322-6608</f>
        <v>-7817</v>
      </c>
      <c r="L804" t="s">
        <v>2514</v>
      </c>
      <c r="M804" t="s">
        <v>2515</v>
      </c>
      <c r="N804" t="s">
        <v>452</v>
      </c>
      <c r="O804" t="s">
        <v>134</v>
      </c>
      <c r="P804" t="s">
        <v>29</v>
      </c>
      <c r="Q804">
        <v>40</v>
      </c>
      <c r="R804">
        <v>-99.999999000000003</v>
      </c>
    </row>
    <row r="805" spans="1:18" x14ac:dyDescent="0.2">
      <c r="A805" t="s">
        <v>18</v>
      </c>
      <c r="B805" t="s">
        <v>462</v>
      </c>
      <c r="C805">
        <v>1</v>
      </c>
      <c r="D805" s="1">
        <v>44098.689837962964</v>
      </c>
      <c r="E805" t="s">
        <v>2516</v>
      </c>
      <c r="F805" t="s">
        <v>464</v>
      </c>
      <c r="G805" t="s">
        <v>2507</v>
      </c>
      <c r="H805" t="s">
        <v>466</v>
      </c>
      <c r="I805" t="s">
        <v>29</v>
      </c>
      <c r="J805">
        <v>1</v>
      </c>
      <c r="K805">
        <f>1-888-341-1930</f>
        <v>-3158</v>
      </c>
      <c r="L805" t="s">
        <v>2517</v>
      </c>
      <c r="M805" t="s">
        <v>2518</v>
      </c>
      <c r="N805" t="s">
        <v>452</v>
      </c>
      <c r="O805" t="s">
        <v>134</v>
      </c>
      <c r="P805" t="s">
        <v>29</v>
      </c>
      <c r="Q805">
        <v>40</v>
      </c>
      <c r="R805">
        <v>-99.999999000000003</v>
      </c>
    </row>
    <row r="806" spans="1:18" x14ac:dyDescent="0.2">
      <c r="A806" t="s">
        <v>18</v>
      </c>
      <c r="B806" t="s">
        <v>462</v>
      </c>
      <c r="C806">
        <v>1</v>
      </c>
      <c r="D806" s="1">
        <v>44097.626747685186</v>
      </c>
      <c r="E806" t="s">
        <v>2519</v>
      </c>
      <c r="F806" t="s">
        <v>464</v>
      </c>
      <c r="G806" t="s">
        <v>2507</v>
      </c>
      <c r="H806" t="s">
        <v>466</v>
      </c>
      <c r="I806" t="s">
        <v>29</v>
      </c>
      <c r="J806">
        <v>1</v>
      </c>
      <c r="K806">
        <f>1-888-382-2058</f>
        <v>-3327</v>
      </c>
      <c r="L806" t="s">
        <v>2520</v>
      </c>
      <c r="M806" t="s">
        <v>2521</v>
      </c>
      <c r="N806" t="s">
        <v>452</v>
      </c>
      <c r="O806" t="s">
        <v>134</v>
      </c>
      <c r="P806" t="s">
        <v>29</v>
      </c>
      <c r="Q806">
        <v>40</v>
      </c>
      <c r="R806">
        <v>-99.999999000000003</v>
      </c>
    </row>
    <row r="807" spans="1:18" x14ac:dyDescent="0.2">
      <c r="A807" t="s">
        <v>18</v>
      </c>
      <c r="B807" t="s">
        <v>462</v>
      </c>
      <c r="C807">
        <v>1</v>
      </c>
      <c r="D807" s="1">
        <v>44096.842465277776</v>
      </c>
      <c r="E807" t="s">
        <v>2522</v>
      </c>
      <c r="F807" t="s">
        <v>464</v>
      </c>
      <c r="G807" t="s">
        <v>2507</v>
      </c>
      <c r="H807" t="s">
        <v>466</v>
      </c>
      <c r="I807" t="s">
        <v>29</v>
      </c>
      <c r="J807">
        <v>1</v>
      </c>
      <c r="K807">
        <f>1-888-370-6847</f>
        <v>-8104</v>
      </c>
      <c r="L807" t="s">
        <v>2523</v>
      </c>
      <c r="M807" t="s">
        <v>2524</v>
      </c>
      <c r="N807" t="s">
        <v>452</v>
      </c>
      <c r="O807" t="s">
        <v>134</v>
      </c>
      <c r="P807" t="s">
        <v>29</v>
      </c>
      <c r="Q807">
        <v>40</v>
      </c>
      <c r="R807">
        <v>-99.999999000000003</v>
      </c>
    </row>
    <row r="808" spans="1:18" x14ac:dyDescent="0.2">
      <c r="A808" t="s">
        <v>18</v>
      </c>
      <c r="B808" t="s">
        <v>462</v>
      </c>
      <c r="C808">
        <v>1</v>
      </c>
      <c r="D808" s="1">
        <v>44096.56523148148</v>
      </c>
      <c r="E808" t="s">
        <v>2525</v>
      </c>
      <c r="F808" t="s">
        <v>464</v>
      </c>
      <c r="G808" t="s">
        <v>2507</v>
      </c>
      <c r="H808" t="s">
        <v>466</v>
      </c>
      <c r="I808" t="s">
        <v>29</v>
      </c>
      <c r="J808">
        <v>1</v>
      </c>
      <c r="K808">
        <f>1-844-318-5960</f>
        <v>-7121</v>
      </c>
      <c r="L808" t="s">
        <v>2526</v>
      </c>
      <c r="M808" t="s">
        <v>2527</v>
      </c>
      <c r="N808" t="s">
        <v>452</v>
      </c>
      <c r="O808" t="s">
        <v>134</v>
      </c>
      <c r="P808" t="s">
        <v>29</v>
      </c>
      <c r="Q808">
        <v>40</v>
      </c>
      <c r="R808">
        <v>-99.999999000000003</v>
      </c>
    </row>
    <row r="809" spans="1:18" x14ac:dyDescent="0.2">
      <c r="A809" t="s">
        <v>18</v>
      </c>
      <c r="B809" t="s">
        <v>462</v>
      </c>
      <c r="C809">
        <v>1</v>
      </c>
      <c r="D809" s="1">
        <v>44095.72556712963</v>
      </c>
      <c r="E809" t="s">
        <v>2528</v>
      </c>
      <c r="F809" t="s">
        <v>464</v>
      </c>
      <c r="G809" t="s">
        <v>2507</v>
      </c>
      <c r="H809" t="s">
        <v>466</v>
      </c>
      <c r="I809" t="s">
        <v>29</v>
      </c>
      <c r="J809">
        <v>1</v>
      </c>
      <c r="K809">
        <f>1-888-210-575</f>
        <v>-1672</v>
      </c>
      <c r="L809" t="s">
        <v>2529</v>
      </c>
      <c r="M809" t="s">
        <v>2530</v>
      </c>
      <c r="N809" t="s">
        <v>452</v>
      </c>
      <c r="O809" t="s">
        <v>28</v>
      </c>
      <c r="P809" t="s">
        <v>29</v>
      </c>
      <c r="Q809">
        <v>40</v>
      </c>
      <c r="R809">
        <v>-99.999999000000003</v>
      </c>
    </row>
    <row r="810" spans="1:18" x14ac:dyDescent="0.2">
      <c r="A810" t="s">
        <v>18</v>
      </c>
      <c r="B810" t="s">
        <v>462</v>
      </c>
      <c r="C810">
        <v>1</v>
      </c>
      <c r="D810" s="1">
        <v>44094.813946759263</v>
      </c>
      <c r="E810" t="s">
        <v>2531</v>
      </c>
      <c r="F810" t="s">
        <v>464</v>
      </c>
      <c r="G810" t="s">
        <v>2507</v>
      </c>
      <c r="H810" t="s">
        <v>466</v>
      </c>
      <c r="I810" t="s">
        <v>29</v>
      </c>
      <c r="J810">
        <v>1</v>
      </c>
      <c r="K810">
        <f>1-888-203-6636</f>
        <v>-7726</v>
      </c>
      <c r="L810" t="s">
        <v>2532</v>
      </c>
      <c r="M810" t="s">
        <v>2533</v>
      </c>
      <c r="N810" t="s">
        <v>452</v>
      </c>
      <c r="O810" t="s">
        <v>28</v>
      </c>
      <c r="P810" t="s">
        <v>29</v>
      </c>
      <c r="Q810">
        <v>40</v>
      </c>
      <c r="R810">
        <v>-99.999999000000003</v>
      </c>
    </row>
    <row r="811" spans="1:18" x14ac:dyDescent="0.2">
      <c r="A811" t="s">
        <v>18</v>
      </c>
      <c r="B811" t="s">
        <v>462</v>
      </c>
      <c r="C811">
        <v>1</v>
      </c>
      <c r="D811" s="1">
        <v>44094.073993055557</v>
      </c>
      <c r="E811" t="s">
        <v>2531</v>
      </c>
      <c r="F811" t="s">
        <v>464</v>
      </c>
      <c r="G811" t="s">
        <v>2507</v>
      </c>
      <c r="H811" t="s">
        <v>466</v>
      </c>
      <c r="I811" t="s">
        <v>29</v>
      </c>
      <c r="J811">
        <v>1</v>
      </c>
      <c r="K811">
        <f>1-888-202-359</f>
        <v>-1448</v>
      </c>
      <c r="L811" t="s">
        <v>2534</v>
      </c>
      <c r="M811" t="s">
        <v>2535</v>
      </c>
      <c r="N811" t="s">
        <v>452</v>
      </c>
      <c r="O811" t="s">
        <v>134</v>
      </c>
      <c r="P811" t="s">
        <v>29</v>
      </c>
      <c r="Q811">
        <v>40</v>
      </c>
      <c r="R811">
        <v>-99.999999000000003</v>
      </c>
    </row>
    <row r="812" spans="1:18" x14ac:dyDescent="0.2">
      <c r="A812" t="s">
        <v>18</v>
      </c>
      <c r="B812" t="s">
        <v>462</v>
      </c>
      <c r="C812">
        <v>1</v>
      </c>
      <c r="D812" s="1">
        <v>44093.127974537034</v>
      </c>
      <c r="E812" t="s">
        <v>2536</v>
      </c>
      <c r="F812" t="s">
        <v>464</v>
      </c>
      <c r="G812" t="s">
        <v>2507</v>
      </c>
      <c r="H812" t="s">
        <v>466</v>
      </c>
      <c r="I812" t="s">
        <v>29</v>
      </c>
      <c r="J812">
        <v>1</v>
      </c>
      <c r="K812">
        <f>1-888-210-573</f>
        <v>-1670</v>
      </c>
      <c r="L812" t="s">
        <v>2537</v>
      </c>
      <c r="M812" t="s">
        <v>2538</v>
      </c>
      <c r="N812" t="s">
        <v>452</v>
      </c>
      <c r="O812" t="s">
        <v>134</v>
      </c>
      <c r="P812" t="s">
        <v>29</v>
      </c>
      <c r="Q812">
        <v>40</v>
      </c>
      <c r="R812">
        <v>-99.999999000000003</v>
      </c>
    </row>
    <row r="813" spans="1:18" x14ac:dyDescent="0.2">
      <c r="A813" t="s">
        <v>18</v>
      </c>
      <c r="B813" t="s">
        <v>462</v>
      </c>
      <c r="C813">
        <v>1</v>
      </c>
      <c r="D813" s="1">
        <v>44090.749351851853</v>
      </c>
      <c r="E813" t="s">
        <v>2539</v>
      </c>
      <c r="F813" t="s">
        <v>464</v>
      </c>
      <c r="G813" t="s">
        <v>2507</v>
      </c>
      <c r="H813" t="s">
        <v>466</v>
      </c>
      <c r="I813" t="s">
        <v>29</v>
      </c>
      <c r="J813">
        <v>1</v>
      </c>
      <c r="K813">
        <f>1-844-304-5622</f>
        <v>-6769</v>
      </c>
      <c r="L813" t="s">
        <v>2540</v>
      </c>
      <c r="M813" t="s">
        <v>2541</v>
      </c>
      <c r="N813" t="s">
        <v>452</v>
      </c>
      <c r="O813" t="s">
        <v>134</v>
      </c>
      <c r="P813" t="s">
        <v>29</v>
      </c>
      <c r="Q813">
        <v>40</v>
      </c>
      <c r="R813">
        <v>-99.999999000000003</v>
      </c>
    </row>
    <row r="814" spans="1:18" x14ac:dyDescent="0.2">
      <c r="A814" t="s">
        <v>18</v>
      </c>
      <c r="B814" t="s">
        <v>462</v>
      </c>
      <c r="C814">
        <v>1</v>
      </c>
      <c r="D814" s="1">
        <v>44090.134467592594</v>
      </c>
      <c r="E814" t="s">
        <v>2542</v>
      </c>
      <c r="F814" t="s">
        <v>464</v>
      </c>
      <c r="G814" t="s">
        <v>2507</v>
      </c>
      <c r="H814" t="s">
        <v>466</v>
      </c>
      <c r="I814" t="s">
        <v>29</v>
      </c>
      <c r="J814">
        <v>1</v>
      </c>
      <c r="K814">
        <f>1-844-313-8907</f>
        <v>-10063</v>
      </c>
      <c r="L814" t="s">
        <v>2543</v>
      </c>
      <c r="M814" t="s">
        <v>2544</v>
      </c>
      <c r="N814" t="s">
        <v>452</v>
      </c>
      <c r="O814" t="s">
        <v>134</v>
      </c>
      <c r="P814" t="s">
        <v>29</v>
      </c>
      <c r="Q814">
        <v>40</v>
      </c>
      <c r="R814">
        <v>-99.999999000000003</v>
      </c>
    </row>
    <row r="815" spans="1:18" x14ac:dyDescent="0.2">
      <c r="A815" t="s">
        <v>18</v>
      </c>
      <c r="B815" t="s">
        <v>462</v>
      </c>
      <c r="C815">
        <v>1</v>
      </c>
      <c r="D815" s="1">
        <v>44087.163090277776</v>
      </c>
      <c r="E815" t="s">
        <v>2545</v>
      </c>
      <c r="F815" t="s">
        <v>464</v>
      </c>
      <c r="G815" t="s">
        <v>2507</v>
      </c>
      <c r="H815" t="s">
        <v>466</v>
      </c>
      <c r="I815" t="s">
        <v>29</v>
      </c>
      <c r="J815">
        <v>1</v>
      </c>
      <c r="K815">
        <f>1-844-237-6974</f>
        <v>-8054</v>
      </c>
      <c r="L815" t="s">
        <v>2546</v>
      </c>
      <c r="M815" t="s">
        <v>2547</v>
      </c>
      <c r="N815" t="s">
        <v>452</v>
      </c>
      <c r="O815" t="s">
        <v>134</v>
      </c>
      <c r="P815" t="s">
        <v>29</v>
      </c>
      <c r="Q815">
        <v>40</v>
      </c>
      <c r="R815">
        <v>-99.999999000000003</v>
      </c>
    </row>
    <row r="816" spans="1:18" x14ac:dyDescent="0.2">
      <c r="A816" t="s">
        <v>18</v>
      </c>
      <c r="B816" t="s">
        <v>462</v>
      </c>
      <c r="C816">
        <v>1</v>
      </c>
      <c r="D816" s="1">
        <v>44085.767245370371</v>
      </c>
      <c r="E816" t="s">
        <v>2548</v>
      </c>
      <c r="F816" t="s">
        <v>464</v>
      </c>
      <c r="G816" t="s">
        <v>2507</v>
      </c>
      <c r="H816" t="s">
        <v>466</v>
      </c>
      <c r="I816" t="s">
        <v>29</v>
      </c>
      <c r="J816">
        <v>1</v>
      </c>
      <c r="K816">
        <f>1-844-275-9376</f>
        <v>-10494</v>
      </c>
      <c r="L816" t="s">
        <v>2549</v>
      </c>
      <c r="M816" t="s">
        <v>2550</v>
      </c>
      <c r="N816" t="s">
        <v>452</v>
      </c>
      <c r="O816" t="s">
        <v>134</v>
      </c>
      <c r="P816" t="s">
        <v>29</v>
      </c>
      <c r="Q816">
        <v>40</v>
      </c>
      <c r="R816">
        <v>-99.999999000000003</v>
      </c>
    </row>
    <row r="817" spans="1:18" x14ac:dyDescent="0.2">
      <c r="A817" t="s">
        <v>18</v>
      </c>
      <c r="B817" t="s">
        <v>462</v>
      </c>
      <c r="C817">
        <v>1</v>
      </c>
      <c r="D817" s="1">
        <v>44085.717199074075</v>
      </c>
      <c r="E817" t="s">
        <v>2551</v>
      </c>
      <c r="F817" t="s">
        <v>464</v>
      </c>
      <c r="G817" t="s">
        <v>2507</v>
      </c>
      <c r="H817" t="s">
        <v>466</v>
      </c>
      <c r="I817" t="s">
        <v>29</v>
      </c>
      <c r="J817">
        <v>1</v>
      </c>
      <c r="K817">
        <f>1-844-221-1451</f>
        <v>-2515</v>
      </c>
      <c r="L817" t="s">
        <v>2552</v>
      </c>
      <c r="M817" t="s">
        <v>2553</v>
      </c>
      <c r="N817" t="s">
        <v>452</v>
      </c>
      <c r="O817" t="s">
        <v>134</v>
      </c>
      <c r="P817" t="s">
        <v>29</v>
      </c>
      <c r="Q817">
        <v>40</v>
      </c>
      <c r="R817">
        <v>-99.999999000000003</v>
      </c>
    </row>
    <row r="818" spans="1:18" x14ac:dyDescent="0.2">
      <c r="A818" t="s">
        <v>18</v>
      </c>
      <c r="B818" t="s">
        <v>462</v>
      </c>
      <c r="C818">
        <v>1</v>
      </c>
      <c r="D818" s="1">
        <v>44087.770775462966</v>
      </c>
      <c r="E818" t="s">
        <v>2554</v>
      </c>
      <c r="F818" t="s">
        <v>464</v>
      </c>
      <c r="G818" t="s">
        <v>2507</v>
      </c>
      <c r="H818" t="s">
        <v>466</v>
      </c>
      <c r="I818" t="s">
        <v>29</v>
      </c>
      <c r="J818">
        <v>1</v>
      </c>
      <c r="K818">
        <f>1-844-210-7088</f>
        <v>-8141</v>
      </c>
      <c r="L818" t="s">
        <v>2555</v>
      </c>
      <c r="M818" t="s">
        <v>2556</v>
      </c>
      <c r="N818" t="s">
        <v>452</v>
      </c>
      <c r="O818" t="s">
        <v>134</v>
      </c>
      <c r="P818" t="s">
        <v>29</v>
      </c>
      <c r="Q818">
        <v>40</v>
      </c>
      <c r="R818">
        <v>-99.999999000000003</v>
      </c>
    </row>
    <row r="819" spans="1:18" x14ac:dyDescent="0.2">
      <c r="A819" t="s">
        <v>18</v>
      </c>
      <c r="B819" t="s">
        <v>462</v>
      </c>
      <c r="C819">
        <v>1</v>
      </c>
      <c r="D819" s="1">
        <v>44067.866759259261</v>
      </c>
      <c r="E819" t="s">
        <v>2557</v>
      </c>
      <c r="F819" t="s">
        <v>464</v>
      </c>
      <c r="G819" t="s">
        <v>2507</v>
      </c>
      <c r="H819" t="s">
        <v>466</v>
      </c>
      <c r="I819" t="s">
        <v>29</v>
      </c>
      <c r="J819">
        <v>1</v>
      </c>
      <c r="K819">
        <f>1-888-686-431</f>
        <v>-2004</v>
      </c>
      <c r="L819" t="s">
        <v>2558</v>
      </c>
      <c r="M819" t="s">
        <v>2559</v>
      </c>
      <c r="N819" t="s">
        <v>452</v>
      </c>
      <c r="O819" t="s">
        <v>134</v>
      </c>
      <c r="P819" t="s">
        <v>29</v>
      </c>
      <c r="Q819">
        <v>40</v>
      </c>
      <c r="R819">
        <v>-99.999999000000003</v>
      </c>
    </row>
    <row r="820" spans="1:18" x14ac:dyDescent="0.2">
      <c r="A820" t="s">
        <v>18</v>
      </c>
      <c r="B820" t="s">
        <v>462</v>
      </c>
      <c r="C820">
        <v>1</v>
      </c>
      <c r="D820" s="1">
        <v>44067.754999999997</v>
      </c>
      <c r="E820" t="s">
        <v>2560</v>
      </c>
      <c r="F820" t="s">
        <v>464</v>
      </c>
      <c r="G820" t="s">
        <v>2507</v>
      </c>
      <c r="H820" t="s">
        <v>466</v>
      </c>
      <c r="I820" t="s">
        <v>29</v>
      </c>
      <c r="J820">
        <v>1</v>
      </c>
      <c r="K820">
        <f>1-888-910-5567</f>
        <v>-7364</v>
      </c>
      <c r="L820" t="s">
        <v>2561</v>
      </c>
      <c r="M820" t="s">
        <v>2562</v>
      </c>
      <c r="N820" t="s">
        <v>452</v>
      </c>
      <c r="O820" t="s">
        <v>134</v>
      </c>
      <c r="P820" t="s">
        <v>29</v>
      </c>
      <c r="Q820">
        <v>40</v>
      </c>
      <c r="R820">
        <v>-99.999999000000003</v>
      </c>
    </row>
    <row r="821" spans="1:18" x14ac:dyDescent="0.2">
      <c r="A821" t="s">
        <v>18</v>
      </c>
      <c r="B821" t="s">
        <v>462</v>
      </c>
      <c r="C821">
        <v>1</v>
      </c>
      <c r="D821" s="1">
        <v>44066.811550925922</v>
      </c>
      <c r="E821" t="s">
        <v>2563</v>
      </c>
      <c r="F821" t="s">
        <v>464</v>
      </c>
      <c r="G821" t="s">
        <v>2507</v>
      </c>
      <c r="H821" t="s">
        <v>466</v>
      </c>
      <c r="I821" t="s">
        <v>29</v>
      </c>
      <c r="J821">
        <v>1</v>
      </c>
      <c r="K821">
        <f>1-888-655-2509</f>
        <v>-4051</v>
      </c>
      <c r="L821" t="s">
        <v>2564</v>
      </c>
      <c r="M821" t="s">
        <v>2565</v>
      </c>
      <c r="N821" t="s">
        <v>452</v>
      </c>
      <c r="O821" t="s">
        <v>134</v>
      </c>
      <c r="P821" t="s">
        <v>29</v>
      </c>
      <c r="Q821">
        <v>40</v>
      </c>
      <c r="R821">
        <v>-99.999999000000003</v>
      </c>
    </row>
    <row r="822" spans="1:18" x14ac:dyDescent="0.2">
      <c r="A822" t="s">
        <v>18</v>
      </c>
      <c r="B822" t="s">
        <v>462</v>
      </c>
      <c r="C822">
        <v>1</v>
      </c>
      <c r="D822" s="1">
        <v>44064.547361111108</v>
      </c>
      <c r="E822" t="s">
        <v>2566</v>
      </c>
      <c r="F822" t="s">
        <v>464</v>
      </c>
      <c r="G822" t="s">
        <v>2507</v>
      </c>
      <c r="H822" t="s">
        <v>466</v>
      </c>
      <c r="I822" t="s">
        <v>29</v>
      </c>
      <c r="J822">
        <v>1</v>
      </c>
      <c r="K822">
        <f>1-888-597-1509</f>
        <v>-2993</v>
      </c>
      <c r="L822" t="s">
        <v>2567</v>
      </c>
      <c r="M822" t="s">
        <v>2568</v>
      </c>
      <c r="N822" t="s">
        <v>452</v>
      </c>
      <c r="O822" t="s">
        <v>28</v>
      </c>
      <c r="P822" t="s">
        <v>29</v>
      </c>
      <c r="Q822">
        <v>40</v>
      </c>
      <c r="R822">
        <v>-99.999999000000003</v>
      </c>
    </row>
    <row r="823" spans="1:18" x14ac:dyDescent="0.2">
      <c r="A823" t="s">
        <v>18</v>
      </c>
      <c r="B823" t="s">
        <v>462</v>
      </c>
      <c r="C823">
        <v>1</v>
      </c>
      <c r="D823" s="1">
        <v>44063.847511574073</v>
      </c>
      <c r="E823" t="s">
        <v>2569</v>
      </c>
      <c r="F823" t="s">
        <v>464</v>
      </c>
      <c r="G823" t="s">
        <v>2507</v>
      </c>
      <c r="H823" t="s">
        <v>466</v>
      </c>
      <c r="I823" t="s">
        <v>29</v>
      </c>
      <c r="J823">
        <v>1</v>
      </c>
      <c r="K823">
        <f>1-888-690-779</f>
        <v>-2356</v>
      </c>
      <c r="L823" t="s">
        <v>2570</v>
      </c>
      <c r="M823" t="s">
        <v>2571</v>
      </c>
      <c r="N823" t="s">
        <v>452</v>
      </c>
      <c r="O823" t="s">
        <v>134</v>
      </c>
      <c r="P823" t="s">
        <v>29</v>
      </c>
      <c r="Q823">
        <v>40</v>
      </c>
      <c r="R823">
        <v>-99.999999000000003</v>
      </c>
    </row>
    <row r="824" spans="1:18" x14ac:dyDescent="0.2">
      <c r="A824" t="s">
        <v>18</v>
      </c>
      <c r="B824" t="s">
        <v>462</v>
      </c>
      <c r="C824">
        <v>1</v>
      </c>
      <c r="D824" s="1">
        <v>44061.822210648148</v>
      </c>
      <c r="E824" t="s">
        <v>2572</v>
      </c>
      <c r="F824" t="s">
        <v>464</v>
      </c>
      <c r="G824" t="s">
        <v>2507</v>
      </c>
      <c r="H824" t="s">
        <v>466</v>
      </c>
      <c r="I824" t="s">
        <v>29</v>
      </c>
      <c r="J824">
        <v>1</v>
      </c>
      <c r="K824">
        <f>1-888-525-670</f>
        <v>-2082</v>
      </c>
      <c r="L824" t="s">
        <v>2573</v>
      </c>
      <c r="M824" t="s">
        <v>2574</v>
      </c>
      <c r="N824" t="s">
        <v>452</v>
      </c>
      <c r="O824" t="s">
        <v>134</v>
      </c>
      <c r="P824" t="s">
        <v>29</v>
      </c>
      <c r="Q824">
        <v>40</v>
      </c>
      <c r="R824">
        <v>-99.999999000000003</v>
      </c>
    </row>
    <row r="825" spans="1:18" x14ac:dyDescent="0.2">
      <c r="A825" t="s">
        <v>18</v>
      </c>
      <c r="B825" t="s">
        <v>462</v>
      </c>
      <c r="C825">
        <v>1</v>
      </c>
      <c r="D825" s="1">
        <v>44060.89644675926</v>
      </c>
      <c r="E825" t="s">
        <v>2575</v>
      </c>
      <c r="F825" t="s">
        <v>464</v>
      </c>
      <c r="G825" t="s">
        <v>2507</v>
      </c>
      <c r="H825" t="s">
        <v>466</v>
      </c>
      <c r="I825" t="s">
        <v>29</v>
      </c>
      <c r="J825">
        <v>1</v>
      </c>
      <c r="K825">
        <f>1-888-312-1394</f>
        <v>-2593</v>
      </c>
      <c r="L825" t="s">
        <v>2576</v>
      </c>
      <c r="M825" t="s">
        <v>2577</v>
      </c>
      <c r="N825" t="s">
        <v>452</v>
      </c>
      <c r="O825" t="s">
        <v>134</v>
      </c>
      <c r="P825" t="s">
        <v>29</v>
      </c>
      <c r="Q825">
        <v>40</v>
      </c>
      <c r="R825">
        <v>-99.999999000000003</v>
      </c>
    </row>
    <row r="826" spans="1:18" x14ac:dyDescent="0.2">
      <c r="A826" t="s">
        <v>18</v>
      </c>
      <c r="B826" t="s">
        <v>462</v>
      </c>
      <c r="C826">
        <v>1</v>
      </c>
      <c r="D826" s="1">
        <v>44059.753877314812</v>
      </c>
      <c r="E826" t="s">
        <v>2578</v>
      </c>
      <c r="F826" t="s">
        <v>464</v>
      </c>
      <c r="G826" t="s">
        <v>2507</v>
      </c>
      <c r="H826" t="s">
        <v>466</v>
      </c>
      <c r="I826" t="s">
        <v>29</v>
      </c>
      <c r="J826">
        <v>1</v>
      </c>
      <c r="K826">
        <f>1-866-478-9064</f>
        <v>-10407</v>
      </c>
      <c r="L826" t="s">
        <v>2579</v>
      </c>
      <c r="M826" t="s">
        <v>2580</v>
      </c>
      <c r="N826" t="s">
        <v>452</v>
      </c>
      <c r="O826" t="s">
        <v>28</v>
      </c>
      <c r="P826" t="s">
        <v>29</v>
      </c>
      <c r="Q826">
        <v>40</v>
      </c>
      <c r="R826">
        <v>-99.999999000000003</v>
      </c>
    </row>
    <row r="827" spans="1:18" x14ac:dyDescent="0.2">
      <c r="A827" t="s">
        <v>18</v>
      </c>
      <c r="B827" t="s">
        <v>462</v>
      </c>
      <c r="C827">
        <v>1</v>
      </c>
      <c r="D827" s="1">
        <v>44059.732673611114</v>
      </c>
      <c r="E827" t="s">
        <v>2581</v>
      </c>
      <c r="F827" t="s">
        <v>464</v>
      </c>
      <c r="G827" t="s">
        <v>2507</v>
      </c>
      <c r="H827" t="s">
        <v>466</v>
      </c>
      <c r="I827" t="s">
        <v>29</v>
      </c>
      <c r="J827">
        <v>1</v>
      </c>
      <c r="K827">
        <f>1-888-910-5572</f>
        <v>-7369</v>
      </c>
      <c r="L827" t="s">
        <v>2582</v>
      </c>
      <c r="M827" t="s">
        <v>2583</v>
      </c>
      <c r="N827" t="s">
        <v>2584</v>
      </c>
      <c r="O827" t="s">
        <v>134</v>
      </c>
      <c r="P827" t="s">
        <v>29</v>
      </c>
      <c r="Q827">
        <v>40</v>
      </c>
      <c r="R827">
        <v>-99.999999000000003</v>
      </c>
    </row>
    <row r="828" spans="1:18" x14ac:dyDescent="0.2">
      <c r="A828" t="s">
        <v>18</v>
      </c>
      <c r="B828" t="s">
        <v>462</v>
      </c>
      <c r="C828">
        <v>1</v>
      </c>
      <c r="D828" s="1">
        <v>44039.826828703706</v>
      </c>
      <c r="E828" t="s">
        <v>2585</v>
      </c>
      <c r="F828" t="s">
        <v>464</v>
      </c>
      <c r="G828" t="s">
        <v>2507</v>
      </c>
      <c r="H828" t="s">
        <v>466</v>
      </c>
      <c r="I828" t="s">
        <v>29</v>
      </c>
      <c r="J828">
        <v>1</v>
      </c>
      <c r="K828">
        <f>1-844-487-2531</f>
        <v>-3861</v>
      </c>
      <c r="L828" t="s">
        <v>2586</v>
      </c>
      <c r="M828" t="s">
        <v>2587</v>
      </c>
      <c r="N828" t="s">
        <v>452</v>
      </c>
      <c r="O828" t="s">
        <v>134</v>
      </c>
      <c r="P828" t="s">
        <v>29</v>
      </c>
      <c r="Q828">
        <v>40</v>
      </c>
      <c r="R828">
        <v>-99.999999000000003</v>
      </c>
    </row>
    <row r="829" spans="1:18" x14ac:dyDescent="0.2">
      <c r="A829" t="s">
        <v>18</v>
      </c>
      <c r="B829" t="s">
        <v>462</v>
      </c>
      <c r="C829">
        <v>1</v>
      </c>
      <c r="D829" s="1">
        <v>44039.826192129629</v>
      </c>
      <c r="E829" t="s">
        <v>2588</v>
      </c>
      <c r="F829" t="s">
        <v>464</v>
      </c>
      <c r="G829" t="s">
        <v>2507</v>
      </c>
      <c r="H829" t="s">
        <v>466</v>
      </c>
      <c r="I829" t="s">
        <v>29</v>
      </c>
      <c r="J829">
        <v>1</v>
      </c>
      <c r="K829">
        <f>1-888-539-2094</f>
        <v>-3520</v>
      </c>
      <c r="L829" t="s">
        <v>2589</v>
      </c>
      <c r="M829" t="s">
        <v>2590</v>
      </c>
      <c r="N829" t="s">
        <v>452</v>
      </c>
      <c r="O829" t="s">
        <v>134</v>
      </c>
      <c r="P829" t="s">
        <v>29</v>
      </c>
      <c r="Q829">
        <v>40</v>
      </c>
      <c r="R829">
        <v>-99.999999000000003</v>
      </c>
    </row>
    <row r="830" spans="1:18" x14ac:dyDescent="0.2">
      <c r="A830" t="s">
        <v>18</v>
      </c>
      <c r="B830" t="s">
        <v>462</v>
      </c>
      <c r="C830">
        <v>1</v>
      </c>
      <c r="D830" s="1">
        <v>44039.669699074075</v>
      </c>
      <c r="E830" t="s">
        <v>2591</v>
      </c>
      <c r="F830" t="s">
        <v>464</v>
      </c>
      <c r="G830" t="s">
        <v>2507</v>
      </c>
      <c r="H830" t="s">
        <v>466</v>
      </c>
      <c r="I830" t="s">
        <v>29</v>
      </c>
      <c r="J830">
        <v>1</v>
      </c>
      <c r="K830">
        <f>1-866-526-3247</f>
        <v>-4638</v>
      </c>
      <c r="L830" t="s">
        <v>2592</v>
      </c>
      <c r="M830" t="s">
        <v>2593</v>
      </c>
      <c r="N830" t="s">
        <v>452</v>
      </c>
      <c r="O830" t="s">
        <v>134</v>
      </c>
      <c r="P830" t="s">
        <v>29</v>
      </c>
      <c r="Q830">
        <v>40</v>
      </c>
      <c r="R830">
        <v>-99.999999000000003</v>
      </c>
    </row>
    <row r="831" spans="1:18" x14ac:dyDescent="0.2">
      <c r="A831" t="s">
        <v>18</v>
      </c>
      <c r="B831" t="s">
        <v>462</v>
      </c>
      <c r="C831">
        <v>1</v>
      </c>
      <c r="D831" s="1">
        <v>44039.669212962966</v>
      </c>
      <c r="E831" t="s">
        <v>2594</v>
      </c>
      <c r="F831" t="s">
        <v>464</v>
      </c>
      <c r="G831" t="s">
        <v>2507</v>
      </c>
      <c r="H831" t="s">
        <v>466</v>
      </c>
      <c r="I831" t="s">
        <v>29</v>
      </c>
      <c r="J831">
        <v>1</v>
      </c>
      <c r="K831">
        <f>1-866-526-3247</f>
        <v>-4638</v>
      </c>
      <c r="L831" t="s">
        <v>2595</v>
      </c>
      <c r="M831" t="s">
        <v>2596</v>
      </c>
      <c r="N831" t="s">
        <v>452</v>
      </c>
      <c r="O831" t="s">
        <v>134</v>
      </c>
      <c r="P831" t="s">
        <v>29</v>
      </c>
      <c r="Q831">
        <v>40</v>
      </c>
      <c r="R831">
        <v>-99.999999000000003</v>
      </c>
    </row>
    <row r="832" spans="1:18" x14ac:dyDescent="0.2">
      <c r="A832" t="s">
        <v>18</v>
      </c>
      <c r="B832" t="s">
        <v>462</v>
      </c>
      <c r="C832">
        <v>1</v>
      </c>
      <c r="D832" s="1">
        <v>44039.666967592595</v>
      </c>
      <c r="E832" t="s">
        <v>2585</v>
      </c>
      <c r="F832" t="s">
        <v>464</v>
      </c>
      <c r="G832" t="s">
        <v>2507</v>
      </c>
      <c r="H832" t="s">
        <v>466</v>
      </c>
      <c r="I832" t="s">
        <v>29</v>
      </c>
      <c r="J832">
        <v>1</v>
      </c>
      <c r="K832">
        <f>1-844-471-5022</f>
        <v>-6336</v>
      </c>
      <c r="L832" t="s">
        <v>2597</v>
      </c>
      <c r="M832" t="s">
        <v>2598</v>
      </c>
      <c r="N832" t="s">
        <v>452</v>
      </c>
      <c r="O832" t="s">
        <v>28</v>
      </c>
      <c r="P832" t="s">
        <v>29</v>
      </c>
      <c r="Q832">
        <v>40</v>
      </c>
      <c r="R832">
        <v>-99.999999000000003</v>
      </c>
    </row>
    <row r="833" spans="1:18" x14ac:dyDescent="0.2">
      <c r="A833" t="s">
        <v>18</v>
      </c>
      <c r="B833" t="s">
        <v>462</v>
      </c>
      <c r="C833">
        <v>1</v>
      </c>
      <c r="D833" s="1">
        <v>44035.895740740743</v>
      </c>
      <c r="E833" t="s">
        <v>2599</v>
      </c>
      <c r="F833" t="s">
        <v>464</v>
      </c>
      <c r="G833" t="s">
        <v>2507</v>
      </c>
      <c r="H833" t="s">
        <v>466</v>
      </c>
      <c r="I833" t="s">
        <v>29</v>
      </c>
      <c r="J833">
        <v>1</v>
      </c>
      <c r="K833">
        <f>1-888-529-1442</f>
        <v>-2858</v>
      </c>
      <c r="L833" t="s">
        <v>2600</v>
      </c>
      <c r="M833" t="s">
        <v>2601</v>
      </c>
      <c r="N833" t="s">
        <v>452</v>
      </c>
      <c r="O833" t="s">
        <v>28</v>
      </c>
      <c r="P833" t="s">
        <v>29</v>
      </c>
      <c r="Q833">
        <v>40</v>
      </c>
      <c r="R833">
        <v>-99.999999000000003</v>
      </c>
    </row>
    <row r="834" spans="1:18" x14ac:dyDescent="0.2">
      <c r="A834" t="s">
        <v>18</v>
      </c>
      <c r="B834" t="s">
        <v>462</v>
      </c>
      <c r="C834">
        <v>1</v>
      </c>
      <c r="D834" s="1">
        <v>44030.688368055555</v>
      </c>
      <c r="E834" t="s">
        <v>2602</v>
      </c>
      <c r="F834" t="s">
        <v>464</v>
      </c>
      <c r="G834" t="s">
        <v>2507</v>
      </c>
      <c r="H834" t="s">
        <v>466</v>
      </c>
      <c r="I834" t="s">
        <v>29</v>
      </c>
      <c r="J834">
        <v>1</v>
      </c>
      <c r="K834">
        <f>1-866-684-6194</f>
        <v>-7743</v>
      </c>
      <c r="L834" t="s">
        <v>2603</v>
      </c>
      <c r="M834" t="s">
        <v>2604</v>
      </c>
      <c r="N834" t="s">
        <v>452</v>
      </c>
      <c r="O834" t="s">
        <v>28</v>
      </c>
      <c r="P834" t="s">
        <v>29</v>
      </c>
      <c r="Q834">
        <v>40</v>
      </c>
      <c r="R834">
        <v>-99.999999000000003</v>
      </c>
    </row>
    <row r="835" spans="1:18" x14ac:dyDescent="0.2">
      <c r="A835" t="s">
        <v>18</v>
      </c>
      <c r="B835" t="s">
        <v>462</v>
      </c>
      <c r="C835">
        <v>1</v>
      </c>
      <c r="D835" s="1">
        <v>44029.91810185185</v>
      </c>
      <c r="E835" t="s">
        <v>2605</v>
      </c>
      <c r="F835" t="s">
        <v>464</v>
      </c>
      <c r="G835" t="s">
        <v>2507</v>
      </c>
      <c r="H835" t="s">
        <v>466</v>
      </c>
      <c r="I835" t="s">
        <v>29</v>
      </c>
      <c r="J835">
        <v>1</v>
      </c>
      <c r="K835">
        <f>1-866-787-5796</f>
        <v>-7448</v>
      </c>
      <c r="L835" t="s">
        <v>2606</v>
      </c>
      <c r="M835" t="s">
        <v>2607</v>
      </c>
      <c r="N835" t="s">
        <v>452</v>
      </c>
      <c r="O835" t="s">
        <v>28</v>
      </c>
      <c r="P835" t="s">
        <v>29</v>
      </c>
      <c r="Q835">
        <v>40</v>
      </c>
      <c r="R835">
        <v>-99.999999000000003</v>
      </c>
    </row>
    <row r="836" spans="1:18" x14ac:dyDescent="0.2">
      <c r="A836" t="s">
        <v>18</v>
      </c>
      <c r="B836" t="s">
        <v>462</v>
      </c>
      <c r="C836">
        <v>1</v>
      </c>
      <c r="D836" s="1">
        <v>44028.81622685185</v>
      </c>
      <c r="E836" t="s">
        <v>2608</v>
      </c>
      <c r="F836" t="s">
        <v>464</v>
      </c>
      <c r="G836" t="s">
        <v>2507</v>
      </c>
      <c r="H836" t="s">
        <v>466</v>
      </c>
      <c r="I836" t="s">
        <v>29</v>
      </c>
      <c r="J836">
        <v>1</v>
      </c>
      <c r="K836">
        <f>1-866-730-1963</f>
        <v>-3558</v>
      </c>
      <c r="L836" t="s">
        <v>2609</v>
      </c>
      <c r="M836" t="s">
        <v>2610</v>
      </c>
      <c r="N836" t="s">
        <v>452</v>
      </c>
      <c r="O836" t="s">
        <v>134</v>
      </c>
      <c r="P836" t="s">
        <v>29</v>
      </c>
      <c r="Q836">
        <v>40</v>
      </c>
      <c r="R836">
        <v>-99.999999000000003</v>
      </c>
    </row>
    <row r="837" spans="1:18" x14ac:dyDescent="0.2">
      <c r="A837" t="s">
        <v>18</v>
      </c>
      <c r="B837" t="s">
        <v>462</v>
      </c>
      <c r="C837">
        <v>1</v>
      </c>
      <c r="D837" s="1">
        <v>44028.721203703702</v>
      </c>
      <c r="E837" t="s">
        <v>2611</v>
      </c>
      <c r="F837" t="s">
        <v>464</v>
      </c>
      <c r="G837" t="s">
        <v>2507</v>
      </c>
      <c r="H837" t="s">
        <v>466</v>
      </c>
      <c r="I837" t="s">
        <v>29</v>
      </c>
      <c r="J837">
        <v>1</v>
      </c>
      <c r="K837">
        <f>1-866-612-3168</f>
        <v>-4645</v>
      </c>
      <c r="L837" t="s">
        <v>2612</v>
      </c>
      <c r="M837" t="s">
        <v>2613</v>
      </c>
      <c r="N837" t="s">
        <v>452</v>
      </c>
      <c r="O837" t="s">
        <v>134</v>
      </c>
      <c r="P837" t="s">
        <v>29</v>
      </c>
      <c r="Q837">
        <v>40</v>
      </c>
      <c r="R837">
        <v>-99.999999000000003</v>
      </c>
    </row>
    <row r="838" spans="1:18" x14ac:dyDescent="0.2">
      <c r="A838" t="s">
        <v>18</v>
      </c>
      <c r="B838" t="s">
        <v>462</v>
      </c>
      <c r="C838">
        <v>1</v>
      </c>
      <c r="D838" s="1">
        <v>44028.008009259262</v>
      </c>
      <c r="E838" t="s">
        <v>2614</v>
      </c>
      <c r="F838" t="s">
        <v>464</v>
      </c>
      <c r="G838" t="s">
        <v>2507</v>
      </c>
      <c r="H838" t="s">
        <v>466</v>
      </c>
      <c r="I838" t="s">
        <v>29</v>
      </c>
      <c r="J838">
        <v>1</v>
      </c>
      <c r="K838">
        <f>1-888-409-8778</f>
        <v>-10074</v>
      </c>
      <c r="L838" t="s">
        <v>2615</v>
      </c>
      <c r="M838" t="s">
        <v>2616</v>
      </c>
      <c r="N838" t="s">
        <v>452</v>
      </c>
      <c r="O838" t="s">
        <v>134</v>
      </c>
      <c r="P838" t="s">
        <v>29</v>
      </c>
      <c r="Q838">
        <v>40</v>
      </c>
      <c r="R838">
        <v>-99.999999000000003</v>
      </c>
    </row>
    <row r="839" spans="1:18" x14ac:dyDescent="0.2">
      <c r="A839" t="s">
        <v>18</v>
      </c>
      <c r="B839" t="s">
        <v>462</v>
      </c>
      <c r="C839">
        <v>1</v>
      </c>
      <c r="D839" s="1">
        <v>44026.849618055552</v>
      </c>
      <c r="E839" t="s">
        <v>2617</v>
      </c>
      <c r="F839" t="s">
        <v>464</v>
      </c>
      <c r="G839" t="s">
        <v>2507</v>
      </c>
      <c r="H839" t="s">
        <v>466</v>
      </c>
      <c r="I839" t="s">
        <v>29</v>
      </c>
      <c r="J839">
        <v>1</v>
      </c>
      <c r="K839">
        <f>1-888-531-926</f>
        <v>-2344</v>
      </c>
      <c r="L839" t="s">
        <v>2618</v>
      </c>
      <c r="M839" t="s">
        <v>2619</v>
      </c>
      <c r="N839" t="s">
        <v>452</v>
      </c>
      <c r="O839" t="s">
        <v>28</v>
      </c>
      <c r="P839" t="s">
        <v>29</v>
      </c>
      <c r="Q839">
        <v>40</v>
      </c>
      <c r="R839">
        <v>-99.999999000000003</v>
      </c>
    </row>
    <row r="840" spans="1:18" x14ac:dyDescent="0.2">
      <c r="A840" t="s">
        <v>18</v>
      </c>
      <c r="B840" t="s">
        <v>462</v>
      </c>
      <c r="C840">
        <v>1</v>
      </c>
      <c r="D840" s="1">
        <v>44024.876006944447</v>
      </c>
      <c r="E840" t="s">
        <v>2620</v>
      </c>
      <c r="F840" t="s">
        <v>464</v>
      </c>
      <c r="G840" t="s">
        <v>2507</v>
      </c>
      <c r="H840" t="s">
        <v>466</v>
      </c>
      <c r="I840" t="s">
        <v>29</v>
      </c>
      <c r="J840">
        <v>1</v>
      </c>
      <c r="K840">
        <f>1-888-529-6217</f>
        <v>-7633</v>
      </c>
      <c r="L840" t="s">
        <v>2621</v>
      </c>
      <c r="M840" t="s">
        <v>2622</v>
      </c>
      <c r="N840" t="s">
        <v>452</v>
      </c>
      <c r="O840" t="s">
        <v>28</v>
      </c>
      <c r="P840" t="s">
        <v>29</v>
      </c>
      <c r="Q840">
        <v>40</v>
      </c>
      <c r="R840">
        <v>-99.999999000000003</v>
      </c>
    </row>
    <row r="841" spans="1:18" x14ac:dyDescent="0.2">
      <c r="A841" t="s">
        <v>18</v>
      </c>
      <c r="B841" t="s">
        <v>462</v>
      </c>
      <c r="C841">
        <v>1</v>
      </c>
      <c r="D841" s="1">
        <v>44022.718865740739</v>
      </c>
      <c r="E841" t="s">
        <v>2623</v>
      </c>
      <c r="F841" t="s">
        <v>464</v>
      </c>
      <c r="G841" t="s">
        <v>2507</v>
      </c>
      <c r="H841" t="s">
        <v>466</v>
      </c>
      <c r="I841" t="s">
        <v>29</v>
      </c>
      <c r="J841">
        <v>1</v>
      </c>
      <c r="K841">
        <f>1-888-533-3723</f>
        <v>-5143</v>
      </c>
      <c r="L841" t="s">
        <v>2624</v>
      </c>
      <c r="M841" t="s">
        <v>2625</v>
      </c>
      <c r="N841" t="s">
        <v>452</v>
      </c>
      <c r="O841" t="s">
        <v>134</v>
      </c>
      <c r="P841" t="s">
        <v>29</v>
      </c>
      <c r="Q841">
        <v>40</v>
      </c>
      <c r="R841">
        <v>-99.999999000000003</v>
      </c>
    </row>
    <row r="842" spans="1:18" x14ac:dyDescent="0.2">
      <c r="A842" t="s">
        <v>18</v>
      </c>
      <c r="B842" t="s">
        <v>462</v>
      </c>
      <c r="C842">
        <v>1</v>
      </c>
      <c r="D842" s="1">
        <v>44021.906493055554</v>
      </c>
      <c r="E842" t="s">
        <v>2626</v>
      </c>
      <c r="F842" t="s">
        <v>464</v>
      </c>
      <c r="G842" t="s">
        <v>2507</v>
      </c>
      <c r="H842" t="s">
        <v>466</v>
      </c>
      <c r="I842" t="s">
        <v>29</v>
      </c>
      <c r="J842">
        <v>1</v>
      </c>
      <c r="K842">
        <f>1-888-534-7299</f>
        <v>-8720</v>
      </c>
      <c r="L842" t="s">
        <v>2627</v>
      </c>
      <c r="M842" t="s">
        <v>2628</v>
      </c>
      <c r="N842" t="s">
        <v>452</v>
      </c>
      <c r="O842" t="s">
        <v>28</v>
      </c>
      <c r="P842" t="s">
        <v>29</v>
      </c>
      <c r="Q842">
        <v>40</v>
      </c>
      <c r="R842">
        <v>-99.999999000000003</v>
      </c>
    </row>
    <row r="843" spans="1:18" x14ac:dyDescent="0.2">
      <c r="A843" t="s">
        <v>18</v>
      </c>
      <c r="B843" t="s">
        <v>462</v>
      </c>
      <c r="C843">
        <v>1</v>
      </c>
      <c r="D843" s="1">
        <v>44021.836284722223</v>
      </c>
      <c r="E843" t="s">
        <v>2629</v>
      </c>
      <c r="F843" t="s">
        <v>464</v>
      </c>
      <c r="G843" t="s">
        <v>2507</v>
      </c>
      <c r="H843" t="s">
        <v>466</v>
      </c>
      <c r="I843" t="s">
        <v>29</v>
      </c>
      <c r="J843">
        <v>1</v>
      </c>
      <c r="K843">
        <f>1-888-393-5973</f>
        <v>-7253</v>
      </c>
      <c r="L843" t="s">
        <v>2630</v>
      </c>
      <c r="M843" t="s">
        <v>2631</v>
      </c>
      <c r="N843" t="s">
        <v>452</v>
      </c>
      <c r="O843" t="s">
        <v>28</v>
      </c>
      <c r="P843" t="s">
        <v>29</v>
      </c>
      <c r="Q843">
        <v>40</v>
      </c>
      <c r="R843">
        <v>-99.999999000000003</v>
      </c>
    </row>
    <row r="844" spans="1:18" x14ac:dyDescent="0.2">
      <c r="A844" t="s">
        <v>18</v>
      </c>
      <c r="B844" t="s">
        <v>462</v>
      </c>
      <c r="C844">
        <v>1</v>
      </c>
      <c r="D844" s="1">
        <v>44019.765092592592</v>
      </c>
      <c r="E844" t="s">
        <v>2632</v>
      </c>
      <c r="F844" t="s">
        <v>464</v>
      </c>
      <c r="G844" t="s">
        <v>2507</v>
      </c>
      <c r="H844" t="s">
        <v>466</v>
      </c>
      <c r="I844" t="s">
        <v>29</v>
      </c>
      <c r="J844">
        <v>1</v>
      </c>
      <c r="K844">
        <f>1-888-384-1443</f>
        <v>-2714</v>
      </c>
      <c r="L844" t="s">
        <v>2633</v>
      </c>
      <c r="M844" t="s">
        <v>2634</v>
      </c>
      <c r="N844" t="s">
        <v>452</v>
      </c>
      <c r="O844" t="s">
        <v>28</v>
      </c>
      <c r="P844" t="s">
        <v>29</v>
      </c>
      <c r="Q844">
        <v>40</v>
      </c>
      <c r="R844">
        <v>-99.999999000000003</v>
      </c>
    </row>
    <row r="845" spans="1:18" x14ac:dyDescent="0.2">
      <c r="A845" t="s">
        <v>18</v>
      </c>
      <c r="B845" t="s">
        <v>462</v>
      </c>
      <c r="C845">
        <v>1</v>
      </c>
      <c r="D845" s="1">
        <v>44017.863657407404</v>
      </c>
      <c r="E845" t="s">
        <v>2635</v>
      </c>
      <c r="F845" t="s">
        <v>464</v>
      </c>
      <c r="G845" t="s">
        <v>2507</v>
      </c>
      <c r="H845" t="s">
        <v>466</v>
      </c>
      <c r="I845" t="s">
        <v>29</v>
      </c>
      <c r="J845">
        <v>1</v>
      </c>
      <c r="K845">
        <f>1-888-380-8504</f>
        <v>-9771</v>
      </c>
      <c r="L845" t="s">
        <v>2636</v>
      </c>
      <c r="M845" t="s">
        <v>2637</v>
      </c>
      <c r="N845" t="s">
        <v>452</v>
      </c>
      <c r="O845" t="s">
        <v>28</v>
      </c>
      <c r="P845" t="s">
        <v>29</v>
      </c>
      <c r="Q845">
        <v>40</v>
      </c>
      <c r="R845">
        <v>-99.999999000000003</v>
      </c>
    </row>
    <row r="846" spans="1:18" x14ac:dyDescent="0.2">
      <c r="A846" t="s">
        <v>18</v>
      </c>
      <c r="B846" t="s">
        <v>462</v>
      </c>
      <c r="C846">
        <v>1</v>
      </c>
      <c r="D846" s="1">
        <v>44017.81354166667</v>
      </c>
      <c r="E846" t="s">
        <v>2638</v>
      </c>
      <c r="F846" t="s">
        <v>464</v>
      </c>
      <c r="G846" t="s">
        <v>2507</v>
      </c>
      <c r="H846" t="s">
        <v>466</v>
      </c>
      <c r="I846" t="s">
        <v>29</v>
      </c>
      <c r="J846">
        <v>1</v>
      </c>
      <c r="K846">
        <f>1-888-384-587</f>
        <v>-1858</v>
      </c>
      <c r="L846" t="s">
        <v>2639</v>
      </c>
      <c r="M846" t="s">
        <v>2640</v>
      </c>
      <c r="N846" t="s">
        <v>452</v>
      </c>
      <c r="O846" t="s">
        <v>28</v>
      </c>
      <c r="P846" t="s">
        <v>29</v>
      </c>
      <c r="Q846">
        <v>40</v>
      </c>
      <c r="R846">
        <v>-99.999999000000003</v>
      </c>
    </row>
    <row r="847" spans="1:18" x14ac:dyDescent="0.2">
      <c r="A847" t="s">
        <v>18</v>
      </c>
      <c r="B847" t="s">
        <v>462</v>
      </c>
      <c r="C847">
        <v>1</v>
      </c>
      <c r="D847" s="1">
        <v>44005.781782407408</v>
      </c>
      <c r="E847" t="s">
        <v>2641</v>
      </c>
      <c r="F847" t="s">
        <v>464</v>
      </c>
      <c r="G847" t="s">
        <v>2507</v>
      </c>
      <c r="H847" t="s">
        <v>466</v>
      </c>
      <c r="I847" t="s">
        <v>29</v>
      </c>
      <c r="J847">
        <v>1</v>
      </c>
      <c r="K847">
        <f>1-833-366-7089</f>
        <v>-8287</v>
      </c>
      <c r="L847" t="s">
        <v>2642</v>
      </c>
      <c r="M847" t="s">
        <v>2643</v>
      </c>
      <c r="N847" t="s">
        <v>452</v>
      </c>
      <c r="O847" t="s">
        <v>28</v>
      </c>
      <c r="P847" t="s">
        <v>29</v>
      </c>
      <c r="Q847">
        <v>40</v>
      </c>
      <c r="R847">
        <v>-99.999999000000003</v>
      </c>
    </row>
    <row r="848" spans="1:18" x14ac:dyDescent="0.2">
      <c r="A848" t="s">
        <v>18</v>
      </c>
      <c r="B848" t="s">
        <v>462</v>
      </c>
      <c r="C848">
        <v>1</v>
      </c>
      <c r="D848" s="1">
        <v>43990.803124999999</v>
      </c>
      <c r="E848" t="s">
        <v>2644</v>
      </c>
      <c r="F848" t="s">
        <v>464</v>
      </c>
      <c r="G848" t="s">
        <v>2507</v>
      </c>
      <c r="H848" t="s">
        <v>466</v>
      </c>
      <c r="I848" t="s">
        <v>29</v>
      </c>
      <c r="J848">
        <v>1</v>
      </c>
      <c r="K848">
        <f>1-888-387-8316</f>
        <v>-9590</v>
      </c>
      <c r="L848" t="s">
        <v>2645</v>
      </c>
      <c r="M848" t="s">
        <v>2646</v>
      </c>
      <c r="N848" t="s">
        <v>452</v>
      </c>
      <c r="O848" t="s">
        <v>28</v>
      </c>
      <c r="P848" t="s">
        <v>29</v>
      </c>
      <c r="Q848">
        <v>40</v>
      </c>
      <c r="R848">
        <v>-99.999999000000003</v>
      </c>
    </row>
    <row r="849" spans="1:18" x14ac:dyDescent="0.2">
      <c r="A849" t="s">
        <v>18</v>
      </c>
      <c r="B849" t="s">
        <v>462</v>
      </c>
      <c r="C849">
        <v>1</v>
      </c>
      <c r="D849" s="1">
        <v>43979.946331018517</v>
      </c>
      <c r="E849" t="s">
        <v>2647</v>
      </c>
      <c r="F849" t="s">
        <v>464</v>
      </c>
      <c r="G849" t="s">
        <v>2507</v>
      </c>
      <c r="H849" t="s">
        <v>466</v>
      </c>
      <c r="I849" t="s">
        <v>29</v>
      </c>
      <c r="J849">
        <v>1</v>
      </c>
      <c r="K849">
        <f>1-888-660-1276</f>
        <v>-2823</v>
      </c>
      <c r="L849" t="s">
        <v>2648</v>
      </c>
      <c r="M849" t="s">
        <v>2649</v>
      </c>
      <c r="N849" t="s">
        <v>452</v>
      </c>
      <c r="O849" t="s">
        <v>28</v>
      </c>
      <c r="P849" t="s">
        <v>29</v>
      </c>
      <c r="Q849">
        <v>40</v>
      </c>
      <c r="R849">
        <v>-99.999999000000003</v>
      </c>
    </row>
    <row r="850" spans="1:18" x14ac:dyDescent="0.2">
      <c r="A850" t="s">
        <v>439</v>
      </c>
      <c r="B850" t="s">
        <v>440</v>
      </c>
      <c r="C850">
        <v>1</v>
      </c>
      <c r="D850" s="1">
        <v>43980.38244212963</v>
      </c>
      <c r="E850" t="s">
        <v>2650</v>
      </c>
      <c r="F850" t="s">
        <v>442</v>
      </c>
      <c r="G850" t="s">
        <v>2651</v>
      </c>
      <c r="H850" t="s">
        <v>444</v>
      </c>
      <c r="I850" t="s">
        <v>29</v>
      </c>
      <c r="J850">
        <v>1</v>
      </c>
      <c r="K850">
        <f>1-833-363-4632</f>
        <v>-5827</v>
      </c>
      <c r="L850" t="s">
        <v>2652</v>
      </c>
      <c r="M850" t="s">
        <v>2653</v>
      </c>
      <c r="N850" t="s">
        <v>213</v>
      </c>
      <c r="O850" t="s">
        <v>28</v>
      </c>
      <c r="P850" t="s">
        <v>29</v>
      </c>
      <c r="Q850">
        <v>39</v>
      </c>
      <c r="R850">
        <v>-77.487399999999994</v>
      </c>
    </row>
    <row r="851" spans="1:18" x14ac:dyDescent="0.2">
      <c r="A851" t="s">
        <v>270</v>
      </c>
      <c r="B851" t="s">
        <v>2654</v>
      </c>
      <c r="C851">
        <v>1</v>
      </c>
      <c r="D851" s="1">
        <v>44309.686828703707</v>
      </c>
      <c r="E851" t="s">
        <v>2655</v>
      </c>
      <c r="F851" t="s">
        <v>273</v>
      </c>
      <c r="G851" t="s">
        <v>2656</v>
      </c>
      <c r="H851" t="s">
        <v>275</v>
      </c>
      <c r="I851" t="s">
        <v>29</v>
      </c>
      <c r="J851">
        <v>1</v>
      </c>
      <c r="K851">
        <f>1-833-912-1440</f>
        <v>-3184</v>
      </c>
      <c r="L851" t="s">
        <v>2657</v>
      </c>
      <c r="M851" t="s">
        <v>2658</v>
      </c>
      <c r="N851" t="s">
        <v>278</v>
      </c>
      <c r="O851" t="s">
        <v>134</v>
      </c>
      <c r="P851" t="s">
        <v>2268</v>
      </c>
      <c r="Q851">
        <v>47</v>
      </c>
      <c r="R851">
        <v>-71.216999999999999</v>
      </c>
    </row>
    <row r="852" spans="1:18" x14ac:dyDescent="0.2">
      <c r="A852" t="s">
        <v>270</v>
      </c>
      <c r="B852" t="s">
        <v>2654</v>
      </c>
      <c r="C852">
        <v>1</v>
      </c>
      <c r="D852" s="1">
        <v>44078.857777777775</v>
      </c>
      <c r="E852" t="s">
        <v>2659</v>
      </c>
      <c r="F852" t="s">
        <v>273</v>
      </c>
      <c r="G852" t="s">
        <v>2656</v>
      </c>
      <c r="H852" t="s">
        <v>275</v>
      </c>
      <c r="I852" t="s">
        <v>29</v>
      </c>
      <c r="J852">
        <v>1</v>
      </c>
      <c r="K852">
        <f>1-888-530-1472</f>
        <v>-2889</v>
      </c>
      <c r="L852" t="s">
        <v>2660</v>
      </c>
      <c r="M852" t="s">
        <v>2661</v>
      </c>
      <c r="N852" t="s">
        <v>278</v>
      </c>
      <c r="O852" t="s">
        <v>134</v>
      </c>
      <c r="P852" t="s">
        <v>2268</v>
      </c>
      <c r="Q852">
        <v>47</v>
      </c>
      <c r="R852">
        <v>-71.216999999999999</v>
      </c>
    </row>
    <row r="853" spans="1:18" x14ac:dyDescent="0.2">
      <c r="A853" t="s">
        <v>270</v>
      </c>
      <c r="B853" t="s">
        <v>2654</v>
      </c>
      <c r="C853">
        <v>1</v>
      </c>
      <c r="D853" s="1">
        <v>44078.852476851855</v>
      </c>
      <c r="E853" t="s">
        <v>2662</v>
      </c>
      <c r="F853" t="s">
        <v>273</v>
      </c>
      <c r="G853" t="s">
        <v>2656</v>
      </c>
      <c r="H853" t="s">
        <v>275</v>
      </c>
      <c r="I853" t="s">
        <v>29</v>
      </c>
      <c r="J853">
        <v>1</v>
      </c>
      <c r="K853">
        <f>1-866-591-3044</f>
        <v>-4500</v>
      </c>
      <c r="L853" t="s">
        <v>2663</v>
      </c>
      <c r="M853" t="s">
        <v>2664</v>
      </c>
      <c r="N853" t="s">
        <v>278</v>
      </c>
      <c r="O853" t="s">
        <v>134</v>
      </c>
      <c r="P853" t="s">
        <v>2268</v>
      </c>
      <c r="Q853">
        <v>47</v>
      </c>
      <c r="R853">
        <v>-71.216999999999999</v>
      </c>
    </row>
    <row r="854" spans="1:18" x14ac:dyDescent="0.2">
      <c r="A854" t="s">
        <v>270</v>
      </c>
      <c r="B854" t="s">
        <v>2654</v>
      </c>
      <c r="C854">
        <v>1</v>
      </c>
      <c r="D854" s="1">
        <v>44078.851388888892</v>
      </c>
      <c r="E854" t="s">
        <v>2665</v>
      </c>
      <c r="F854" t="s">
        <v>273</v>
      </c>
      <c r="G854" t="s">
        <v>2656</v>
      </c>
      <c r="H854" t="s">
        <v>275</v>
      </c>
      <c r="I854" t="s">
        <v>29</v>
      </c>
      <c r="J854">
        <v>1</v>
      </c>
      <c r="K854">
        <f>1-866-754-7703</f>
        <v>-9322</v>
      </c>
      <c r="L854" t="s">
        <v>2666</v>
      </c>
      <c r="M854" t="s">
        <v>2667</v>
      </c>
      <c r="N854" t="s">
        <v>278</v>
      </c>
      <c r="O854" t="s">
        <v>134</v>
      </c>
      <c r="P854" t="s">
        <v>2268</v>
      </c>
      <c r="Q854">
        <v>47</v>
      </c>
      <c r="R854">
        <v>-71.216999999999999</v>
      </c>
    </row>
    <row r="855" spans="1:18" x14ac:dyDescent="0.2">
      <c r="A855" t="s">
        <v>270</v>
      </c>
      <c r="B855" t="s">
        <v>2654</v>
      </c>
      <c r="C855">
        <v>1</v>
      </c>
      <c r="D855" s="1">
        <v>44078.850312499999</v>
      </c>
      <c r="E855" t="s">
        <v>2668</v>
      </c>
      <c r="F855" t="s">
        <v>273</v>
      </c>
      <c r="G855" t="s">
        <v>2656</v>
      </c>
      <c r="H855" t="s">
        <v>275</v>
      </c>
      <c r="I855" t="s">
        <v>29</v>
      </c>
      <c r="J855">
        <v>1</v>
      </c>
      <c r="K855">
        <f>1-866-759-9790</f>
        <v>-11414</v>
      </c>
      <c r="L855" t="s">
        <v>2669</v>
      </c>
      <c r="M855" t="s">
        <v>2670</v>
      </c>
      <c r="N855" t="s">
        <v>278</v>
      </c>
      <c r="O855" t="s">
        <v>134</v>
      </c>
      <c r="P855" t="s">
        <v>2268</v>
      </c>
      <c r="Q855">
        <v>47</v>
      </c>
      <c r="R855">
        <v>-71.216999999999999</v>
      </c>
    </row>
    <row r="856" spans="1:18" x14ac:dyDescent="0.2">
      <c r="A856" t="s">
        <v>270</v>
      </c>
      <c r="B856" t="s">
        <v>2654</v>
      </c>
      <c r="C856">
        <v>1</v>
      </c>
      <c r="D856" s="1">
        <v>44078.849212962959</v>
      </c>
      <c r="E856" t="s">
        <v>2671</v>
      </c>
      <c r="F856" t="s">
        <v>273</v>
      </c>
      <c r="G856" t="s">
        <v>2656</v>
      </c>
      <c r="H856" t="s">
        <v>275</v>
      </c>
      <c r="I856" t="s">
        <v>29</v>
      </c>
      <c r="J856">
        <v>1</v>
      </c>
      <c r="K856">
        <f>1-866-591-3044</f>
        <v>-4500</v>
      </c>
      <c r="L856" t="s">
        <v>2672</v>
      </c>
      <c r="M856" t="s">
        <v>2673</v>
      </c>
      <c r="N856" t="s">
        <v>278</v>
      </c>
      <c r="O856" t="s">
        <v>134</v>
      </c>
      <c r="P856" t="s">
        <v>2268</v>
      </c>
      <c r="Q856">
        <v>47</v>
      </c>
      <c r="R856">
        <v>-71.216999999999999</v>
      </c>
    </row>
    <row r="857" spans="1:18" x14ac:dyDescent="0.2">
      <c r="A857" t="s">
        <v>270</v>
      </c>
      <c r="B857" t="s">
        <v>2654</v>
      </c>
      <c r="C857">
        <v>1</v>
      </c>
      <c r="D857" s="1">
        <v>44078.848425925928</v>
      </c>
      <c r="E857" t="s">
        <v>2674</v>
      </c>
      <c r="F857" t="s">
        <v>273</v>
      </c>
      <c r="G857" t="s">
        <v>2656</v>
      </c>
      <c r="H857" t="s">
        <v>275</v>
      </c>
      <c r="I857" t="s">
        <v>29</v>
      </c>
      <c r="J857">
        <v>1</v>
      </c>
      <c r="K857">
        <f>1-866-512-2889</f>
        <v>-4266</v>
      </c>
      <c r="L857" t="s">
        <v>2675</v>
      </c>
      <c r="M857" t="s">
        <v>2676</v>
      </c>
      <c r="N857" t="s">
        <v>278</v>
      </c>
      <c r="O857" t="s">
        <v>134</v>
      </c>
      <c r="P857" t="s">
        <v>2268</v>
      </c>
      <c r="Q857">
        <v>47</v>
      </c>
      <c r="R857">
        <v>-71.216999999999999</v>
      </c>
    </row>
    <row r="858" spans="1:18" x14ac:dyDescent="0.2">
      <c r="A858" t="s">
        <v>270</v>
      </c>
      <c r="B858" t="s">
        <v>2654</v>
      </c>
      <c r="C858">
        <v>1</v>
      </c>
      <c r="D858" s="1">
        <v>44075.760636574072</v>
      </c>
      <c r="E858" t="s">
        <v>2677</v>
      </c>
      <c r="F858" t="s">
        <v>273</v>
      </c>
      <c r="G858" t="s">
        <v>2656</v>
      </c>
      <c r="H858" t="s">
        <v>275</v>
      </c>
      <c r="I858" t="s">
        <v>29</v>
      </c>
      <c r="J858">
        <v>1</v>
      </c>
      <c r="K858">
        <f>1-888-708-1143</f>
        <v>-2738</v>
      </c>
      <c r="L858" t="s">
        <v>2678</v>
      </c>
      <c r="M858" t="s">
        <v>2679</v>
      </c>
      <c r="N858" t="s">
        <v>278</v>
      </c>
      <c r="O858" t="s">
        <v>134</v>
      </c>
      <c r="P858" t="s">
        <v>2268</v>
      </c>
      <c r="Q858">
        <v>47</v>
      </c>
      <c r="R858">
        <v>-71.216999999999999</v>
      </c>
    </row>
    <row r="859" spans="1:18" x14ac:dyDescent="0.2">
      <c r="A859" t="s">
        <v>270</v>
      </c>
      <c r="B859" t="s">
        <v>2654</v>
      </c>
      <c r="C859">
        <v>1</v>
      </c>
      <c r="D859" s="1">
        <v>44074.935115740744</v>
      </c>
      <c r="E859" t="s">
        <v>2680</v>
      </c>
      <c r="F859" t="s">
        <v>273</v>
      </c>
      <c r="G859" t="s">
        <v>2656</v>
      </c>
      <c r="H859" t="s">
        <v>275</v>
      </c>
      <c r="I859" t="s">
        <v>29</v>
      </c>
      <c r="J859">
        <v>1</v>
      </c>
      <c r="K859">
        <f>1-888-655-2343</f>
        <v>-3885</v>
      </c>
      <c r="L859" t="s">
        <v>2681</v>
      </c>
      <c r="M859" t="s">
        <v>2682</v>
      </c>
      <c r="N859" t="s">
        <v>278</v>
      </c>
      <c r="O859" t="s">
        <v>134</v>
      </c>
      <c r="P859" t="s">
        <v>2268</v>
      </c>
      <c r="Q859">
        <v>47</v>
      </c>
      <c r="R859">
        <v>-71.216999999999999</v>
      </c>
    </row>
    <row r="860" spans="1:18" x14ac:dyDescent="0.2">
      <c r="A860" t="s">
        <v>270</v>
      </c>
      <c r="B860" t="s">
        <v>2654</v>
      </c>
      <c r="C860">
        <v>1</v>
      </c>
      <c r="D860" s="1">
        <v>44073.943495370368</v>
      </c>
      <c r="E860" t="s">
        <v>2683</v>
      </c>
      <c r="F860" t="s">
        <v>273</v>
      </c>
      <c r="G860" t="s">
        <v>2656</v>
      </c>
      <c r="H860" t="s">
        <v>275</v>
      </c>
      <c r="I860" t="s">
        <v>29</v>
      </c>
      <c r="J860">
        <v>1</v>
      </c>
      <c r="K860">
        <f>1-888-417-4066</f>
        <v>-5370</v>
      </c>
      <c r="L860" t="s">
        <v>2684</v>
      </c>
      <c r="M860" t="s">
        <v>2685</v>
      </c>
      <c r="N860" t="s">
        <v>278</v>
      </c>
      <c r="O860" t="s">
        <v>134</v>
      </c>
      <c r="P860" t="s">
        <v>2268</v>
      </c>
      <c r="Q860">
        <v>47</v>
      </c>
      <c r="R860">
        <v>-71.216999999999999</v>
      </c>
    </row>
    <row r="861" spans="1:18" x14ac:dyDescent="0.2">
      <c r="A861" t="s">
        <v>270</v>
      </c>
      <c r="B861" t="s">
        <v>2654</v>
      </c>
      <c r="C861">
        <v>1</v>
      </c>
      <c r="D861" s="1">
        <v>44073.942453703705</v>
      </c>
      <c r="E861" t="s">
        <v>2686</v>
      </c>
      <c r="F861" t="s">
        <v>273</v>
      </c>
      <c r="G861" t="s">
        <v>2656</v>
      </c>
      <c r="H861" t="s">
        <v>275</v>
      </c>
      <c r="I861" t="s">
        <v>29</v>
      </c>
      <c r="J861">
        <v>1</v>
      </c>
      <c r="K861">
        <f>1-888-690-903</f>
        <v>-2480</v>
      </c>
      <c r="L861" t="s">
        <v>2687</v>
      </c>
      <c r="M861" t="s">
        <v>2688</v>
      </c>
      <c r="N861" t="s">
        <v>278</v>
      </c>
      <c r="O861" t="s">
        <v>134</v>
      </c>
      <c r="P861" t="s">
        <v>2268</v>
      </c>
      <c r="Q861">
        <v>47</v>
      </c>
      <c r="R861">
        <v>-71.216999999999999</v>
      </c>
    </row>
    <row r="862" spans="1:18" x14ac:dyDescent="0.2">
      <c r="A862" t="s">
        <v>270</v>
      </c>
      <c r="B862" t="s">
        <v>2654</v>
      </c>
      <c r="C862">
        <v>1</v>
      </c>
      <c r="D862" s="1">
        <v>44073.94189814815</v>
      </c>
      <c r="E862" t="s">
        <v>2689</v>
      </c>
      <c r="F862" t="s">
        <v>273</v>
      </c>
      <c r="G862" t="s">
        <v>2656</v>
      </c>
      <c r="H862" t="s">
        <v>275</v>
      </c>
      <c r="I862" t="s">
        <v>29</v>
      </c>
      <c r="J862">
        <v>1</v>
      </c>
      <c r="K862">
        <f>1-888-521-2495</f>
        <v>-3903</v>
      </c>
      <c r="L862" t="s">
        <v>2690</v>
      </c>
      <c r="M862" t="s">
        <v>2691</v>
      </c>
      <c r="N862" t="s">
        <v>278</v>
      </c>
      <c r="O862" t="s">
        <v>134</v>
      </c>
      <c r="P862" t="s">
        <v>2268</v>
      </c>
      <c r="Q862">
        <v>47</v>
      </c>
      <c r="R862">
        <v>-71.216999999999999</v>
      </c>
    </row>
    <row r="863" spans="1:18" x14ac:dyDescent="0.2">
      <c r="A863" t="s">
        <v>270</v>
      </c>
      <c r="B863" t="s">
        <v>2654</v>
      </c>
      <c r="C863">
        <v>1</v>
      </c>
      <c r="D863" s="1">
        <v>44073.940798611111</v>
      </c>
      <c r="E863" t="s">
        <v>2692</v>
      </c>
      <c r="F863" t="s">
        <v>273</v>
      </c>
      <c r="G863" t="s">
        <v>2656</v>
      </c>
      <c r="H863" t="s">
        <v>275</v>
      </c>
      <c r="I863" t="s">
        <v>29</v>
      </c>
      <c r="J863">
        <v>1</v>
      </c>
      <c r="K863">
        <f>1-888-417-4076</f>
        <v>-5380</v>
      </c>
      <c r="L863" t="s">
        <v>2693</v>
      </c>
      <c r="M863" t="s">
        <v>2694</v>
      </c>
      <c r="N863" t="s">
        <v>278</v>
      </c>
      <c r="O863" t="s">
        <v>134</v>
      </c>
      <c r="P863" t="s">
        <v>2268</v>
      </c>
      <c r="Q863">
        <v>47</v>
      </c>
      <c r="R863">
        <v>-71.216999999999999</v>
      </c>
    </row>
    <row r="864" spans="1:18" x14ac:dyDescent="0.2">
      <c r="A864" t="s">
        <v>270</v>
      </c>
      <c r="B864" t="s">
        <v>2654</v>
      </c>
      <c r="C864">
        <v>1</v>
      </c>
      <c r="D864" s="1">
        <v>44073.940254629626</v>
      </c>
      <c r="E864" t="s">
        <v>2695</v>
      </c>
      <c r="F864" t="s">
        <v>273</v>
      </c>
      <c r="G864" t="s">
        <v>2656</v>
      </c>
      <c r="H864" t="s">
        <v>275</v>
      </c>
      <c r="I864" t="s">
        <v>29</v>
      </c>
      <c r="J864">
        <v>1</v>
      </c>
      <c r="K864">
        <f>1-888-851-688</f>
        <v>-2426</v>
      </c>
      <c r="L864" t="s">
        <v>2696</v>
      </c>
      <c r="M864" t="s">
        <v>2697</v>
      </c>
      <c r="N864" t="s">
        <v>278</v>
      </c>
      <c r="O864" t="s">
        <v>134</v>
      </c>
      <c r="P864" t="s">
        <v>2268</v>
      </c>
      <c r="Q864">
        <v>47</v>
      </c>
      <c r="R864">
        <v>-71.216999999999999</v>
      </c>
    </row>
    <row r="865" spans="1:18" x14ac:dyDescent="0.2">
      <c r="A865" t="s">
        <v>270</v>
      </c>
      <c r="B865" t="s">
        <v>2654</v>
      </c>
      <c r="C865">
        <v>1</v>
      </c>
      <c r="D865" s="1">
        <v>44073.93917824074</v>
      </c>
      <c r="E865" t="s">
        <v>2698</v>
      </c>
      <c r="F865" t="s">
        <v>273</v>
      </c>
      <c r="G865" t="s">
        <v>2656</v>
      </c>
      <c r="H865" t="s">
        <v>275</v>
      </c>
      <c r="I865" t="s">
        <v>29</v>
      </c>
      <c r="J865">
        <v>1</v>
      </c>
      <c r="K865">
        <f>1-888-417-4066</f>
        <v>-5370</v>
      </c>
      <c r="L865" t="s">
        <v>2699</v>
      </c>
      <c r="M865" t="s">
        <v>2700</v>
      </c>
      <c r="N865" t="s">
        <v>278</v>
      </c>
      <c r="O865" t="s">
        <v>134</v>
      </c>
      <c r="P865" t="s">
        <v>2268</v>
      </c>
      <c r="Q865">
        <v>47</v>
      </c>
      <c r="R865">
        <v>-71.216999999999999</v>
      </c>
    </row>
    <row r="866" spans="1:18" x14ac:dyDescent="0.2">
      <c r="A866" t="s">
        <v>270</v>
      </c>
      <c r="B866" t="s">
        <v>2654</v>
      </c>
      <c r="C866">
        <v>1</v>
      </c>
      <c r="D866" s="1">
        <v>44073.93037037037</v>
      </c>
      <c r="E866" t="s">
        <v>2701</v>
      </c>
      <c r="F866" t="s">
        <v>273</v>
      </c>
      <c r="G866" t="s">
        <v>2656</v>
      </c>
      <c r="H866" t="s">
        <v>275</v>
      </c>
      <c r="I866" t="s">
        <v>29</v>
      </c>
      <c r="J866">
        <v>1</v>
      </c>
      <c r="K866">
        <f>1-888-530-1472</f>
        <v>-2889</v>
      </c>
      <c r="L866" t="s">
        <v>2702</v>
      </c>
      <c r="M866" t="s">
        <v>2703</v>
      </c>
      <c r="N866" t="s">
        <v>278</v>
      </c>
      <c r="O866" t="s">
        <v>134</v>
      </c>
      <c r="P866" t="s">
        <v>2268</v>
      </c>
      <c r="Q866">
        <v>47</v>
      </c>
      <c r="R866">
        <v>-71.216999999999999</v>
      </c>
    </row>
    <row r="867" spans="1:18" x14ac:dyDescent="0.2">
      <c r="A867" t="s">
        <v>270</v>
      </c>
      <c r="B867" t="s">
        <v>2654</v>
      </c>
      <c r="C867">
        <v>1</v>
      </c>
      <c r="D867" s="1">
        <v>44073.929837962962</v>
      </c>
      <c r="E867" t="s">
        <v>2704</v>
      </c>
      <c r="F867" t="s">
        <v>273</v>
      </c>
      <c r="G867" t="s">
        <v>2656</v>
      </c>
      <c r="H867" t="s">
        <v>275</v>
      </c>
      <c r="I867" t="s">
        <v>29</v>
      </c>
      <c r="J867">
        <v>1</v>
      </c>
      <c r="K867">
        <f>1-888-534-316</f>
        <v>-1737</v>
      </c>
      <c r="L867" t="s">
        <v>2705</v>
      </c>
      <c r="M867" t="s">
        <v>2706</v>
      </c>
      <c r="N867" t="s">
        <v>278</v>
      </c>
      <c r="O867" t="s">
        <v>134</v>
      </c>
      <c r="P867" t="s">
        <v>2268</v>
      </c>
      <c r="Q867">
        <v>47</v>
      </c>
      <c r="R867">
        <v>-71.216999999999999</v>
      </c>
    </row>
    <row r="868" spans="1:18" x14ac:dyDescent="0.2">
      <c r="A868" t="s">
        <v>270</v>
      </c>
      <c r="B868" t="s">
        <v>2654</v>
      </c>
      <c r="C868">
        <v>1</v>
      </c>
      <c r="D868" s="1">
        <v>44073.927673611113</v>
      </c>
      <c r="E868" t="s">
        <v>2707</v>
      </c>
      <c r="F868" t="s">
        <v>273</v>
      </c>
      <c r="G868" t="s">
        <v>2656</v>
      </c>
      <c r="H868" t="s">
        <v>275</v>
      </c>
      <c r="I868" t="s">
        <v>29</v>
      </c>
      <c r="J868">
        <v>1</v>
      </c>
      <c r="K868">
        <f>1-888-527-4189</f>
        <v>-5603</v>
      </c>
      <c r="L868" t="s">
        <v>2708</v>
      </c>
      <c r="M868" t="s">
        <v>2709</v>
      </c>
      <c r="N868" t="s">
        <v>278</v>
      </c>
      <c r="O868" t="s">
        <v>134</v>
      </c>
      <c r="P868" t="s">
        <v>2268</v>
      </c>
      <c r="Q868">
        <v>47</v>
      </c>
      <c r="R868">
        <v>-71.216999999999999</v>
      </c>
    </row>
    <row r="869" spans="1:18" x14ac:dyDescent="0.2">
      <c r="A869" t="s">
        <v>270</v>
      </c>
      <c r="B869" t="s">
        <v>2654</v>
      </c>
      <c r="C869">
        <v>1</v>
      </c>
      <c r="D869" s="1">
        <v>44073.926539351851</v>
      </c>
      <c r="E869" t="s">
        <v>2710</v>
      </c>
      <c r="F869" t="s">
        <v>273</v>
      </c>
      <c r="G869" t="s">
        <v>2656</v>
      </c>
      <c r="H869" t="s">
        <v>275</v>
      </c>
      <c r="I869" t="s">
        <v>29</v>
      </c>
      <c r="J869">
        <v>1</v>
      </c>
      <c r="K869">
        <f>1-888-538-1073</f>
        <v>-2498</v>
      </c>
      <c r="L869" t="s">
        <v>2711</v>
      </c>
      <c r="M869" t="s">
        <v>2712</v>
      </c>
      <c r="N869" t="s">
        <v>278</v>
      </c>
      <c r="O869" t="s">
        <v>134</v>
      </c>
      <c r="P869" t="s">
        <v>2268</v>
      </c>
      <c r="Q869">
        <v>47</v>
      </c>
      <c r="R869">
        <v>-71.216999999999999</v>
      </c>
    </row>
    <row r="870" spans="1:18" x14ac:dyDescent="0.2">
      <c r="A870" t="s">
        <v>270</v>
      </c>
      <c r="B870" t="s">
        <v>2654</v>
      </c>
      <c r="C870">
        <v>1</v>
      </c>
      <c r="D870" s="1">
        <v>44071.97755787037</v>
      </c>
      <c r="E870" t="s">
        <v>2713</v>
      </c>
      <c r="F870" t="s">
        <v>273</v>
      </c>
      <c r="G870" t="s">
        <v>2656</v>
      </c>
      <c r="H870" t="s">
        <v>275</v>
      </c>
      <c r="I870" t="s">
        <v>29</v>
      </c>
      <c r="J870">
        <v>1</v>
      </c>
      <c r="K870">
        <f>1-888-690-842</f>
        <v>-2419</v>
      </c>
      <c r="L870" t="s">
        <v>2714</v>
      </c>
      <c r="M870" t="s">
        <v>2715</v>
      </c>
      <c r="N870" t="s">
        <v>278</v>
      </c>
      <c r="O870" t="s">
        <v>134</v>
      </c>
      <c r="P870" t="s">
        <v>2268</v>
      </c>
      <c r="Q870">
        <v>47</v>
      </c>
      <c r="R870">
        <v>-71.216999999999999</v>
      </c>
    </row>
    <row r="871" spans="1:18" x14ac:dyDescent="0.2">
      <c r="A871" t="s">
        <v>270</v>
      </c>
      <c r="B871" t="s">
        <v>2654</v>
      </c>
      <c r="C871">
        <v>1</v>
      </c>
      <c r="D871" s="1">
        <v>44071.976388888892</v>
      </c>
      <c r="E871" t="s">
        <v>2716</v>
      </c>
      <c r="F871" t="s">
        <v>273</v>
      </c>
      <c r="G871" t="s">
        <v>2656</v>
      </c>
      <c r="H871" t="s">
        <v>275</v>
      </c>
      <c r="I871" t="s">
        <v>29</v>
      </c>
      <c r="J871">
        <v>1</v>
      </c>
      <c r="K871">
        <f>1-888-525-642</f>
        <v>-2054</v>
      </c>
      <c r="L871" t="s">
        <v>2717</v>
      </c>
      <c r="M871" t="s">
        <v>2718</v>
      </c>
      <c r="N871" t="s">
        <v>278</v>
      </c>
      <c r="O871" t="s">
        <v>134</v>
      </c>
      <c r="P871" t="s">
        <v>2268</v>
      </c>
      <c r="Q871">
        <v>47</v>
      </c>
      <c r="R871">
        <v>-71.216999999999999</v>
      </c>
    </row>
    <row r="872" spans="1:18" x14ac:dyDescent="0.2">
      <c r="A872" t="s">
        <v>270</v>
      </c>
      <c r="B872" t="s">
        <v>2654</v>
      </c>
      <c r="C872">
        <v>1</v>
      </c>
      <c r="D872" s="1">
        <v>44071.975810185184</v>
      </c>
      <c r="E872" t="s">
        <v>2719</v>
      </c>
      <c r="F872" t="s">
        <v>273</v>
      </c>
      <c r="G872" t="s">
        <v>2656</v>
      </c>
      <c r="H872" t="s">
        <v>275</v>
      </c>
      <c r="I872" t="s">
        <v>29</v>
      </c>
      <c r="J872">
        <v>1</v>
      </c>
      <c r="K872">
        <f>1-888-312-1401</f>
        <v>-2600</v>
      </c>
      <c r="L872" t="s">
        <v>2720</v>
      </c>
      <c r="M872" t="s">
        <v>2721</v>
      </c>
      <c r="N872" t="s">
        <v>278</v>
      </c>
      <c r="O872" t="s">
        <v>134</v>
      </c>
      <c r="P872" t="s">
        <v>2268</v>
      </c>
      <c r="Q872">
        <v>47</v>
      </c>
      <c r="R872">
        <v>-71.216999999999999</v>
      </c>
    </row>
    <row r="873" spans="1:18" x14ac:dyDescent="0.2">
      <c r="A873" t="s">
        <v>270</v>
      </c>
      <c r="B873" t="s">
        <v>2654</v>
      </c>
      <c r="C873">
        <v>1</v>
      </c>
      <c r="D873" s="1">
        <v>44071.975254629629</v>
      </c>
      <c r="E873" t="s">
        <v>2722</v>
      </c>
      <c r="F873" t="s">
        <v>273</v>
      </c>
      <c r="G873" t="s">
        <v>2656</v>
      </c>
      <c r="H873" t="s">
        <v>275</v>
      </c>
      <c r="I873" t="s">
        <v>29</v>
      </c>
      <c r="J873">
        <v>1</v>
      </c>
      <c r="K873">
        <f>1-888-690-883</f>
        <v>-2460</v>
      </c>
      <c r="L873" t="s">
        <v>2723</v>
      </c>
      <c r="M873" t="s">
        <v>2724</v>
      </c>
      <c r="N873" t="s">
        <v>278</v>
      </c>
      <c r="O873" t="s">
        <v>134</v>
      </c>
      <c r="P873" t="s">
        <v>2268</v>
      </c>
      <c r="Q873">
        <v>47</v>
      </c>
      <c r="R873">
        <v>-71.216999999999999</v>
      </c>
    </row>
    <row r="874" spans="1:18" x14ac:dyDescent="0.2">
      <c r="A874" t="s">
        <v>270</v>
      </c>
      <c r="B874" t="s">
        <v>2654</v>
      </c>
      <c r="C874">
        <v>1</v>
      </c>
      <c r="D874" s="1">
        <v>44071.974687499998</v>
      </c>
      <c r="E874" t="s">
        <v>2725</v>
      </c>
      <c r="F874" t="s">
        <v>273</v>
      </c>
      <c r="G874" t="s">
        <v>2656</v>
      </c>
      <c r="H874" t="s">
        <v>275</v>
      </c>
      <c r="I874" t="s">
        <v>29</v>
      </c>
      <c r="J874">
        <v>1</v>
      </c>
      <c r="K874">
        <f>1-888-690-842</f>
        <v>-2419</v>
      </c>
      <c r="L874" t="s">
        <v>2726</v>
      </c>
      <c r="M874" t="s">
        <v>2727</v>
      </c>
      <c r="N874" t="s">
        <v>278</v>
      </c>
      <c r="O874" t="s">
        <v>134</v>
      </c>
      <c r="P874" t="s">
        <v>2268</v>
      </c>
      <c r="Q874">
        <v>47</v>
      </c>
      <c r="R874">
        <v>-71.216999999999999</v>
      </c>
    </row>
    <row r="875" spans="1:18" x14ac:dyDescent="0.2">
      <c r="A875" t="s">
        <v>270</v>
      </c>
      <c r="B875" t="s">
        <v>2654</v>
      </c>
      <c r="C875">
        <v>1</v>
      </c>
      <c r="D875" s="1">
        <v>44071.973495370374</v>
      </c>
      <c r="E875" t="s">
        <v>2728</v>
      </c>
      <c r="F875" t="s">
        <v>273</v>
      </c>
      <c r="G875" t="s">
        <v>2656</v>
      </c>
      <c r="H875" t="s">
        <v>275</v>
      </c>
      <c r="I875" t="s">
        <v>29</v>
      </c>
      <c r="J875">
        <v>1</v>
      </c>
      <c r="K875">
        <f>1-888-909-1270</f>
        <v>-3066</v>
      </c>
      <c r="L875" t="s">
        <v>2729</v>
      </c>
      <c r="M875" t="s">
        <v>2730</v>
      </c>
      <c r="N875" t="s">
        <v>278</v>
      </c>
      <c r="O875" t="s">
        <v>134</v>
      </c>
      <c r="P875" t="s">
        <v>2268</v>
      </c>
      <c r="Q875">
        <v>47</v>
      </c>
      <c r="R875">
        <v>-71.216999999999999</v>
      </c>
    </row>
    <row r="876" spans="1:18" x14ac:dyDescent="0.2">
      <c r="A876" t="s">
        <v>270</v>
      </c>
      <c r="B876" t="s">
        <v>2654</v>
      </c>
      <c r="C876">
        <v>1</v>
      </c>
      <c r="D876" s="1">
        <v>44071.968888888892</v>
      </c>
      <c r="E876" t="s">
        <v>2731</v>
      </c>
      <c r="F876" t="s">
        <v>273</v>
      </c>
      <c r="G876" t="s">
        <v>2656</v>
      </c>
      <c r="H876" t="s">
        <v>275</v>
      </c>
      <c r="I876" t="s">
        <v>29</v>
      </c>
      <c r="J876">
        <v>1</v>
      </c>
      <c r="K876">
        <f>1-888-525-642</f>
        <v>-2054</v>
      </c>
      <c r="L876" t="s">
        <v>2732</v>
      </c>
      <c r="M876" t="s">
        <v>2733</v>
      </c>
      <c r="N876" t="s">
        <v>278</v>
      </c>
      <c r="O876" t="s">
        <v>134</v>
      </c>
      <c r="P876" t="s">
        <v>2268</v>
      </c>
      <c r="Q876">
        <v>47</v>
      </c>
      <c r="R876">
        <v>-71.216999999999999</v>
      </c>
    </row>
    <row r="877" spans="1:18" x14ac:dyDescent="0.2">
      <c r="A877" t="s">
        <v>270</v>
      </c>
      <c r="B877" t="s">
        <v>2654</v>
      </c>
      <c r="C877">
        <v>1</v>
      </c>
      <c r="D877" s="1">
        <v>44071.915555555555</v>
      </c>
      <c r="E877" t="s">
        <v>2734</v>
      </c>
      <c r="F877" t="s">
        <v>273</v>
      </c>
      <c r="G877" t="s">
        <v>2656</v>
      </c>
      <c r="H877" t="s">
        <v>275</v>
      </c>
      <c r="I877" t="s">
        <v>29</v>
      </c>
      <c r="J877">
        <v>1</v>
      </c>
      <c r="K877">
        <f>1-888-521-2457</f>
        <v>-3865</v>
      </c>
      <c r="L877" t="s">
        <v>2735</v>
      </c>
      <c r="M877" t="s">
        <v>2736</v>
      </c>
      <c r="N877" t="s">
        <v>278</v>
      </c>
      <c r="O877" t="s">
        <v>134</v>
      </c>
      <c r="P877" t="s">
        <v>2268</v>
      </c>
      <c r="Q877">
        <v>47</v>
      </c>
      <c r="R877">
        <v>-71.216999999999999</v>
      </c>
    </row>
    <row r="878" spans="1:18" x14ac:dyDescent="0.2">
      <c r="A878" t="s">
        <v>270</v>
      </c>
      <c r="B878" t="s">
        <v>2654</v>
      </c>
      <c r="C878">
        <v>1</v>
      </c>
      <c r="D878" s="1">
        <v>44071.906377314815</v>
      </c>
      <c r="E878" t="s">
        <v>2737</v>
      </c>
      <c r="F878" t="s">
        <v>273</v>
      </c>
      <c r="G878" t="s">
        <v>2656</v>
      </c>
      <c r="H878" t="s">
        <v>275</v>
      </c>
      <c r="I878" t="s">
        <v>29</v>
      </c>
      <c r="J878">
        <v>1</v>
      </c>
      <c r="K878">
        <f>1-888-803-850</f>
        <v>-2540</v>
      </c>
      <c r="L878" t="s">
        <v>2738</v>
      </c>
      <c r="M878" t="s">
        <v>2739</v>
      </c>
      <c r="N878" t="s">
        <v>278</v>
      </c>
      <c r="O878" t="s">
        <v>134</v>
      </c>
      <c r="P878" t="s">
        <v>2268</v>
      </c>
      <c r="Q878">
        <v>47</v>
      </c>
      <c r="R878">
        <v>-71.216999999999999</v>
      </c>
    </row>
    <row r="879" spans="1:18" x14ac:dyDescent="0.2">
      <c r="A879" t="s">
        <v>270</v>
      </c>
      <c r="B879" t="s">
        <v>2654</v>
      </c>
      <c r="C879">
        <v>1</v>
      </c>
      <c r="D879" s="1">
        <v>44071.906006944446</v>
      </c>
      <c r="E879" t="s">
        <v>2740</v>
      </c>
      <c r="F879" t="s">
        <v>273</v>
      </c>
      <c r="G879" t="s">
        <v>2656</v>
      </c>
      <c r="H879" t="s">
        <v>275</v>
      </c>
      <c r="I879" t="s">
        <v>29</v>
      </c>
      <c r="J879">
        <v>1</v>
      </c>
      <c r="K879">
        <f>1-888-803-850</f>
        <v>-2540</v>
      </c>
      <c r="L879" t="s">
        <v>2741</v>
      </c>
      <c r="M879" t="s">
        <v>2742</v>
      </c>
      <c r="N879" t="s">
        <v>278</v>
      </c>
      <c r="O879" t="s">
        <v>134</v>
      </c>
      <c r="P879" t="s">
        <v>2268</v>
      </c>
      <c r="Q879">
        <v>47</v>
      </c>
      <c r="R879">
        <v>-71.216999999999999</v>
      </c>
    </row>
    <row r="880" spans="1:18" x14ac:dyDescent="0.2">
      <c r="A880" t="s">
        <v>270</v>
      </c>
      <c r="B880" t="s">
        <v>2654</v>
      </c>
      <c r="C880">
        <v>1</v>
      </c>
      <c r="D880" s="1">
        <v>44071.904074074075</v>
      </c>
      <c r="E880" t="s">
        <v>2743</v>
      </c>
      <c r="F880" t="s">
        <v>273</v>
      </c>
      <c r="G880" t="s">
        <v>2656</v>
      </c>
      <c r="H880" t="s">
        <v>275</v>
      </c>
      <c r="I880" t="s">
        <v>29</v>
      </c>
      <c r="J880">
        <v>1</v>
      </c>
      <c r="K880">
        <f>1-888-851-587</f>
        <v>-2325</v>
      </c>
      <c r="L880" t="s">
        <v>2744</v>
      </c>
      <c r="M880" t="s">
        <v>2745</v>
      </c>
      <c r="N880" t="s">
        <v>278</v>
      </c>
      <c r="O880" t="s">
        <v>134</v>
      </c>
      <c r="P880" t="s">
        <v>2268</v>
      </c>
      <c r="Q880">
        <v>47</v>
      </c>
      <c r="R880">
        <v>-71.216999999999999</v>
      </c>
    </row>
    <row r="881" spans="1:18" x14ac:dyDescent="0.2">
      <c r="A881" t="s">
        <v>270</v>
      </c>
      <c r="B881" t="s">
        <v>2654</v>
      </c>
      <c r="C881">
        <v>1</v>
      </c>
      <c r="D881" s="1">
        <v>44071.903796296298</v>
      </c>
      <c r="E881" t="s">
        <v>2746</v>
      </c>
      <c r="F881" t="s">
        <v>273</v>
      </c>
      <c r="G881" t="s">
        <v>2656</v>
      </c>
      <c r="H881" t="s">
        <v>275</v>
      </c>
      <c r="I881" t="s">
        <v>29</v>
      </c>
      <c r="J881">
        <v>1</v>
      </c>
      <c r="K881">
        <f>1-888-686-474</f>
        <v>-2047</v>
      </c>
      <c r="L881" t="s">
        <v>2747</v>
      </c>
      <c r="M881" t="s">
        <v>2748</v>
      </c>
      <c r="N881" t="s">
        <v>278</v>
      </c>
      <c r="O881" t="s">
        <v>134</v>
      </c>
      <c r="P881" t="s">
        <v>2268</v>
      </c>
      <c r="Q881">
        <v>47</v>
      </c>
      <c r="R881">
        <v>-71.216999999999999</v>
      </c>
    </row>
    <row r="882" spans="1:18" x14ac:dyDescent="0.2">
      <c r="A882" t="s">
        <v>270</v>
      </c>
      <c r="B882" t="s">
        <v>2654</v>
      </c>
      <c r="C882">
        <v>1</v>
      </c>
      <c r="D882" s="1">
        <v>44071.888611111113</v>
      </c>
      <c r="E882" t="s">
        <v>2749</v>
      </c>
      <c r="F882" t="s">
        <v>273</v>
      </c>
      <c r="G882" t="s">
        <v>2656</v>
      </c>
      <c r="H882" t="s">
        <v>275</v>
      </c>
      <c r="I882" t="s">
        <v>29</v>
      </c>
      <c r="J882">
        <v>1</v>
      </c>
      <c r="K882">
        <f>1-888-312-1430</f>
        <v>-2629</v>
      </c>
      <c r="L882" t="s">
        <v>2750</v>
      </c>
      <c r="M882" t="s">
        <v>2751</v>
      </c>
      <c r="N882" t="s">
        <v>278</v>
      </c>
      <c r="O882" t="s">
        <v>134</v>
      </c>
      <c r="P882" t="s">
        <v>2268</v>
      </c>
      <c r="Q882">
        <v>47</v>
      </c>
      <c r="R882">
        <v>-71.216999999999999</v>
      </c>
    </row>
    <row r="883" spans="1:18" x14ac:dyDescent="0.2">
      <c r="A883" t="s">
        <v>270</v>
      </c>
      <c r="B883" t="s">
        <v>2654</v>
      </c>
      <c r="C883">
        <v>1</v>
      </c>
      <c r="D883" s="1">
        <v>44071.888333333336</v>
      </c>
      <c r="E883" t="s">
        <v>2752</v>
      </c>
      <c r="F883" t="s">
        <v>273</v>
      </c>
      <c r="G883" t="s">
        <v>2656</v>
      </c>
      <c r="H883" t="s">
        <v>275</v>
      </c>
      <c r="I883" t="s">
        <v>29</v>
      </c>
      <c r="J883">
        <v>1</v>
      </c>
      <c r="K883">
        <f>1-888-706-1244</f>
        <v>-2837</v>
      </c>
      <c r="L883" t="s">
        <v>2753</v>
      </c>
      <c r="M883" t="s">
        <v>2754</v>
      </c>
      <c r="N883" t="s">
        <v>278</v>
      </c>
      <c r="O883" t="s">
        <v>134</v>
      </c>
      <c r="P883" t="s">
        <v>2268</v>
      </c>
      <c r="Q883">
        <v>47</v>
      </c>
      <c r="R883">
        <v>-71.216999999999999</v>
      </c>
    </row>
    <row r="884" spans="1:18" x14ac:dyDescent="0.2">
      <c r="A884" t="s">
        <v>270</v>
      </c>
      <c r="B884" t="s">
        <v>2654</v>
      </c>
      <c r="C884">
        <v>1</v>
      </c>
      <c r="D884" s="1">
        <v>44071.861793981479</v>
      </c>
      <c r="E884" t="s">
        <v>2755</v>
      </c>
      <c r="F884" t="s">
        <v>273</v>
      </c>
      <c r="G884" t="s">
        <v>2656</v>
      </c>
      <c r="H884" t="s">
        <v>275</v>
      </c>
      <c r="I884" t="s">
        <v>29</v>
      </c>
      <c r="J884">
        <v>1</v>
      </c>
      <c r="K884">
        <f>1-888-705-928</f>
        <v>-2520</v>
      </c>
      <c r="L884" t="s">
        <v>2756</v>
      </c>
      <c r="M884" t="s">
        <v>2757</v>
      </c>
      <c r="N884" t="s">
        <v>278</v>
      </c>
      <c r="O884" t="s">
        <v>134</v>
      </c>
      <c r="P884" t="s">
        <v>2268</v>
      </c>
      <c r="Q884">
        <v>47</v>
      </c>
      <c r="R884">
        <v>-71.216999999999999</v>
      </c>
    </row>
    <row r="885" spans="1:18" x14ac:dyDescent="0.2">
      <c r="A885" t="s">
        <v>270</v>
      </c>
      <c r="B885" t="s">
        <v>2654</v>
      </c>
      <c r="C885">
        <v>1</v>
      </c>
      <c r="D885" s="1">
        <v>44071.42496527778</v>
      </c>
      <c r="E885" t="s">
        <v>2758</v>
      </c>
      <c r="F885" t="s">
        <v>273</v>
      </c>
      <c r="G885" t="s">
        <v>2656</v>
      </c>
      <c r="H885" t="s">
        <v>275</v>
      </c>
      <c r="I885" t="s">
        <v>29</v>
      </c>
      <c r="J885">
        <v>1</v>
      </c>
      <c r="K885">
        <f>1-888-417-4090</f>
        <v>-5394</v>
      </c>
      <c r="L885" t="s">
        <v>2759</v>
      </c>
      <c r="M885" t="s">
        <v>2760</v>
      </c>
      <c r="N885" t="s">
        <v>278</v>
      </c>
      <c r="O885" t="s">
        <v>134</v>
      </c>
      <c r="P885" t="s">
        <v>2268</v>
      </c>
      <c r="Q885">
        <v>47</v>
      </c>
      <c r="R885">
        <v>-71.216999999999999</v>
      </c>
    </row>
    <row r="886" spans="1:18" x14ac:dyDescent="0.2">
      <c r="A886" t="s">
        <v>270</v>
      </c>
      <c r="B886" t="s">
        <v>2654</v>
      </c>
      <c r="C886">
        <v>1</v>
      </c>
      <c r="D886" s="1">
        <v>44071.417662037034</v>
      </c>
      <c r="E886" t="s">
        <v>2761</v>
      </c>
      <c r="F886" t="s">
        <v>273</v>
      </c>
      <c r="G886" t="s">
        <v>2656</v>
      </c>
      <c r="H886" t="s">
        <v>275</v>
      </c>
      <c r="I886" t="s">
        <v>29</v>
      </c>
      <c r="J886">
        <v>1</v>
      </c>
      <c r="K886">
        <f>1-888-803-850</f>
        <v>-2540</v>
      </c>
      <c r="L886" t="s">
        <v>2762</v>
      </c>
      <c r="M886" t="s">
        <v>2763</v>
      </c>
      <c r="N886" t="s">
        <v>278</v>
      </c>
      <c r="O886" t="s">
        <v>134</v>
      </c>
      <c r="P886" t="s">
        <v>2268</v>
      </c>
      <c r="Q886">
        <v>47</v>
      </c>
      <c r="R886">
        <v>-71.216999999999999</v>
      </c>
    </row>
    <row r="887" spans="1:18" x14ac:dyDescent="0.2">
      <c r="A887" t="s">
        <v>270</v>
      </c>
      <c r="B887" t="s">
        <v>2654</v>
      </c>
      <c r="C887">
        <v>1</v>
      </c>
      <c r="D887" s="1">
        <v>44071.41741898148</v>
      </c>
      <c r="E887" t="s">
        <v>2764</v>
      </c>
      <c r="F887" t="s">
        <v>273</v>
      </c>
      <c r="G887" t="s">
        <v>2656</v>
      </c>
      <c r="H887" t="s">
        <v>275</v>
      </c>
      <c r="I887" t="s">
        <v>29</v>
      </c>
      <c r="J887">
        <v>1</v>
      </c>
      <c r="K887">
        <f>1-888-383-569</f>
        <v>-1839</v>
      </c>
      <c r="L887" t="s">
        <v>2765</v>
      </c>
      <c r="M887" t="s">
        <v>2766</v>
      </c>
      <c r="N887" t="s">
        <v>278</v>
      </c>
      <c r="O887" t="s">
        <v>134</v>
      </c>
      <c r="P887" t="s">
        <v>2268</v>
      </c>
      <c r="Q887">
        <v>47</v>
      </c>
      <c r="R887">
        <v>-71.216999999999999</v>
      </c>
    </row>
    <row r="888" spans="1:18" x14ac:dyDescent="0.2">
      <c r="A888" t="s">
        <v>270</v>
      </c>
      <c r="B888" t="s">
        <v>2654</v>
      </c>
      <c r="C888">
        <v>1</v>
      </c>
      <c r="D888" s="1">
        <v>44071.41574074074</v>
      </c>
      <c r="E888" t="s">
        <v>2767</v>
      </c>
      <c r="F888" t="s">
        <v>273</v>
      </c>
      <c r="G888" t="s">
        <v>2656</v>
      </c>
      <c r="H888" t="s">
        <v>275</v>
      </c>
      <c r="I888" t="s">
        <v>29</v>
      </c>
      <c r="J888">
        <v>1</v>
      </c>
      <c r="K888">
        <f>1-888-417-4090</f>
        <v>-5394</v>
      </c>
      <c r="L888" t="s">
        <v>2768</v>
      </c>
      <c r="M888" t="s">
        <v>2769</v>
      </c>
      <c r="N888" t="s">
        <v>278</v>
      </c>
      <c r="O888" t="s">
        <v>134</v>
      </c>
      <c r="P888" t="s">
        <v>2268</v>
      </c>
      <c r="Q888">
        <v>47</v>
      </c>
      <c r="R888">
        <v>-71.216999999999999</v>
      </c>
    </row>
    <row r="889" spans="1:18" x14ac:dyDescent="0.2">
      <c r="A889" t="s">
        <v>270</v>
      </c>
      <c r="B889" t="s">
        <v>2654</v>
      </c>
      <c r="C889">
        <v>1</v>
      </c>
      <c r="D889" s="1">
        <v>44070.60087962963</v>
      </c>
      <c r="E889" t="s">
        <v>2770</v>
      </c>
      <c r="F889" t="s">
        <v>273</v>
      </c>
      <c r="G889" t="s">
        <v>2656</v>
      </c>
      <c r="H889" t="s">
        <v>275</v>
      </c>
      <c r="I889" t="s">
        <v>29</v>
      </c>
      <c r="J889">
        <v>1</v>
      </c>
      <c r="K889">
        <f>1-888-527-4189</f>
        <v>-5603</v>
      </c>
      <c r="L889" t="s">
        <v>2771</v>
      </c>
      <c r="M889" t="s">
        <v>2772</v>
      </c>
      <c r="N889" t="s">
        <v>278</v>
      </c>
      <c r="O889" t="s">
        <v>134</v>
      </c>
      <c r="P889" t="s">
        <v>2268</v>
      </c>
      <c r="Q889">
        <v>47</v>
      </c>
      <c r="R889">
        <v>-71.216999999999999</v>
      </c>
    </row>
    <row r="890" spans="1:18" x14ac:dyDescent="0.2">
      <c r="A890" t="s">
        <v>270</v>
      </c>
      <c r="B890" t="s">
        <v>2654</v>
      </c>
      <c r="C890">
        <v>1</v>
      </c>
      <c r="D890" s="1">
        <v>44070.599675925929</v>
      </c>
      <c r="E890" t="s">
        <v>2773</v>
      </c>
      <c r="F890" t="s">
        <v>273</v>
      </c>
      <c r="G890" t="s">
        <v>2656</v>
      </c>
      <c r="H890" t="s">
        <v>275</v>
      </c>
      <c r="I890" t="s">
        <v>29</v>
      </c>
      <c r="J890">
        <v>1</v>
      </c>
      <c r="K890">
        <f>1-888-530-1472</f>
        <v>-2889</v>
      </c>
      <c r="L890" t="s">
        <v>2774</v>
      </c>
      <c r="M890" t="s">
        <v>2775</v>
      </c>
      <c r="N890" t="s">
        <v>278</v>
      </c>
      <c r="O890" t="s">
        <v>134</v>
      </c>
      <c r="P890" t="s">
        <v>2268</v>
      </c>
      <c r="Q890">
        <v>47</v>
      </c>
      <c r="R890">
        <v>-71.216999999999999</v>
      </c>
    </row>
    <row r="891" spans="1:18" x14ac:dyDescent="0.2">
      <c r="A891" t="s">
        <v>270</v>
      </c>
      <c r="B891" t="s">
        <v>2654</v>
      </c>
      <c r="C891">
        <v>1</v>
      </c>
      <c r="D891" s="1">
        <v>44070.583194444444</v>
      </c>
      <c r="E891" t="s">
        <v>2776</v>
      </c>
      <c r="F891" t="s">
        <v>273</v>
      </c>
      <c r="G891" t="s">
        <v>2656</v>
      </c>
      <c r="H891" t="s">
        <v>275</v>
      </c>
      <c r="I891" t="s">
        <v>29</v>
      </c>
      <c r="J891">
        <v>1</v>
      </c>
      <c r="K891">
        <f>1-866-672-9693</f>
        <v>-11230</v>
      </c>
      <c r="L891" t="s">
        <v>2777</v>
      </c>
      <c r="M891" t="s">
        <v>2778</v>
      </c>
      <c r="N891" t="s">
        <v>278</v>
      </c>
      <c r="O891" t="s">
        <v>134</v>
      </c>
      <c r="P891" t="s">
        <v>2268</v>
      </c>
      <c r="Q891">
        <v>47</v>
      </c>
      <c r="R891">
        <v>-71.216999999999999</v>
      </c>
    </row>
    <row r="892" spans="1:18" x14ac:dyDescent="0.2">
      <c r="A892" t="s">
        <v>270</v>
      </c>
      <c r="B892" t="s">
        <v>2654</v>
      </c>
      <c r="C892">
        <v>1</v>
      </c>
      <c r="D892" s="1">
        <v>44070.581087962964</v>
      </c>
      <c r="E892" t="s">
        <v>2779</v>
      </c>
      <c r="F892" t="s">
        <v>273</v>
      </c>
      <c r="G892" t="s">
        <v>2656</v>
      </c>
      <c r="H892" t="s">
        <v>275</v>
      </c>
      <c r="I892" t="s">
        <v>29</v>
      </c>
      <c r="J892">
        <v>1</v>
      </c>
      <c r="K892">
        <f>1-866-746-1819</f>
        <v>-3430</v>
      </c>
      <c r="L892" t="s">
        <v>2780</v>
      </c>
      <c r="M892" t="s">
        <v>2781</v>
      </c>
      <c r="N892" t="s">
        <v>278</v>
      </c>
      <c r="O892" t="s">
        <v>134</v>
      </c>
      <c r="P892" t="s">
        <v>2268</v>
      </c>
      <c r="Q892">
        <v>47</v>
      </c>
      <c r="R892">
        <v>-71.216999999999999</v>
      </c>
    </row>
    <row r="893" spans="1:18" x14ac:dyDescent="0.2">
      <c r="A893" t="s">
        <v>270</v>
      </c>
      <c r="B893" t="s">
        <v>2654</v>
      </c>
      <c r="C893">
        <v>1</v>
      </c>
      <c r="D893" s="1">
        <v>44070.57885416667</v>
      </c>
      <c r="E893" t="s">
        <v>2782</v>
      </c>
      <c r="F893" t="s">
        <v>273</v>
      </c>
      <c r="G893" t="s">
        <v>2656</v>
      </c>
      <c r="H893" t="s">
        <v>275</v>
      </c>
      <c r="I893" t="s">
        <v>29</v>
      </c>
      <c r="J893">
        <v>1</v>
      </c>
      <c r="K893">
        <f>1-866-672-9693</f>
        <v>-11230</v>
      </c>
      <c r="L893" t="s">
        <v>2783</v>
      </c>
      <c r="M893" t="s">
        <v>2784</v>
      </c>
      <c r="N893" t="s">
        <v>278</v>
      </c>
      <c r="O893" t="s">
        <v>134</v>
      </c>
      <c r="P893" t="s">
        <v>2268</v>
      </c>
      <c r="Q893">
        <v>47</v>
      </c>
      <c r="R893">
        <v>-71.216999999999999</v>
      </c>
    </row>
    <row r="894" spans="1:18" x14ac:dyDescent="0.2">
      <c r="A894" t="s">
        <v>270</v>
      </c>
      <c r="B894" t="s">
        <v>2654</v>
      </c>
      <c r="C894">
        <v>1</v>
      </c>
      <c r="D894" s="1">
        <v>44070.576886574076</v>
      </c>
      <c r="E894" t="s">
        <v>2785</v>
      </c>
      <c r="F894" t="s">
        <v>273</v>
      </c>
      <c r="G894" t="s">
        <v>2656</v>
      </c>
      <c r="H894" t="s">
        <v>275</v>
      </c>
      <c r="I894" t="s">
        <v>29</v>
      </c>
      <c r="J894">
        <v>1</v>
      </c>
      <c r="K894">
        <f>1-866-730-8093</f>
        <v>-9688</v>
      </c>
      <c r="L894" t="s">
        <v>2786</v>
      </c>
      <c r="M894" t="s">
        <v>2787</v>
      </c>
      <c r="N894" t="s">
        <v>278</v>
      </c>
      <c r="O894" t="s">
        <v>134</v>
      </c>
      <c r="P894" t="s">
        <v>2268</v>
      </c>
      <c r="Q894">
        <v>47</v>
      </c>
      <c r="R894">
        <v>-71.216999999999999</v>
      </c>
    </row>
    <row r="895" spans="1:18" x14ac:dyDescent="0.2">
      <c r="A895" t="s">
        <v>270</v>
      </c>
      <c r="B895" t="s">
        <v>2654</v>
      </c>
      <c r="C895">
        <v>1</v>
      </c>
      <c r="D895" s="1">
        <v>44068.193310185183</v>
      </c>
      <c r="E895" t="s">
        <v>2788</v>
      </c>
      <c r="F895" t="s">
        <v>273</v>
      </c>
      <c r="G895" t="s">
        <v>2656</v>
      </c>
      <c r="H895" t="s">
        <v>275</v>
      </c>
      <c r="I895" t="s">
        <v>29</v>
      </c>
      <c r="J895">
        <v>1</v>
      </c>
      <c r="K895">
        <f>1-888-535-4744</f>
        <v>-6166</v>
      </c>
      <c r="L895" t="s">
        <v>2789</v>
      </c>
      <c r="M895" t="s">
        <v>2790</v>
      </c>
      <c r="N895" t="s">
        <v>278</v>
      </c>
      <c r="O895" t="s">
        <v>134</v>
      </c>
      <c r="P895" t="s">
        <v>2268</v>
      </c>
      <c r="Q895">
        <v>47</v>
      </c>
      <c r="R895">
        <v>-71.216999999999999</v>
      </c>
    </row>
    <row r="896" spans="1:18" x14ac:dyDescent="0.2">
      <c r="A896" t="s">
        <v>270</v>
      </c>
      <c r="B896" t="s">
        <v>2654</v>
      </c>
      <c r="C896">
        <v>1</v>
      </c>
      <c r="D896" s="1">
        <v>44068.188750000001</v>
      </c>
      <c r="E896" t="s">
        <v>2791</v>
      </c>
      <c r="F896" t="s">
        <v>273</v>
      </c>
      <c r="G896" t="s">
        <v>2656</v>
      </c>
      <c r="H896" t="s">
        <v>275</v>
      </c>
      <c r="I896" t="s">
        <v>29</v>
      </c>
      <c r="J896">
        <v>1</v>
      </c>
      <c r="K896">
        <f>1-888-535-4744</f>
        <v>-6166</v>
      </c>
      <c r="L896" t="s">
        <v>2792</v>
      </c>
      <c r="M896" t="s">
        <v>2793</v>
      </c>
      <c r="N896" t="s">
        <v>278</v>
      </c>
      <c r="O896" t="s">
        <v>134</v>
      </c>
      <c r="P896" t="s">
        <v>2268</v>
      </c>
      <c r="Q896">
        <v>47</v>
      </c>
      <c r="R896">
        <v>-71.216999999999999</v>
      </c>
    </row>
    <row r="897" spans="1:18" x14ac:dyDescent="0.2">
      <c r="A897" t="s">
        <v>270</v>
      </c>
      <c r="B897" t="s">
        <v>2654</v>
      </c>
      <c r="C897">
        <v>1</v>
      </c>
      <c r="D897" s="1">
        <v>44068.186909722222</v>
      </c>
      <c r="E897" t="s">
        <v>2794</v>
      </c>
      <c r="F897" t="s">
        <v>273</v>
      </c>
      <c r="G897" t="s">
        <v>2656</v>
      </c>
      <c r="H897" t="s">
        <v>275</v>
      </c>
      <c r="I897" t="s">
        <v>29</v>
      </c>
      <c r="J897">
        <v>1</v>
      </c>
      <c r="K897">
        <f>1-888-524-3448</f>
        <v>-4859</v>
      </c>
      <c r="L897" t="s">
        <v>2795</v>
      </c>
      <c r="M897" t="s">
        <v>2796</v>
      </c>
      <c r="N897" t="s">
        <v>278</v>
      </c>
      <c r="O897" t="s">
        <v>134</v>
      </c>
      <c r="P897" t="s">
        <v>2268</v>
      </c>
      <c r="Q897">
        <v>47</v>
      </c>
      <c r="R897">
        <v>-71.216999999999999</v>
      </c>
    </row>
    <row r="898" spans="1:18" x14ac:dyDescent="0.2">
      <c r="A898" t="s">
        <v>270</v>
      </c>
      <c r="B898" t="s">
        <v>2654</v>
      </c>
      <c r="C898">
        <v>1</v>
      </c>
      <c r="D898" s="1">
        <v>44068.074664351851</v>
      </c>
      <c r="E898" t="s">
        <v>2797</v>
      </c>
      <c r="F898" t="s">
        <v>273</v>
      </c>
      <c r="G898" t="s">
        <v>2656</v>
      </c>
      <c r="H898" t="s">
        <v>275</v>
      </c>
      <c r="I898" t="s">
        <v>29</v>
      </c>
      <c r="J898">
        <v>1</v>
      </c>
      <c r="K898">
        <f>1-888-655-2343</f>
        <v>-3885</v>
      </c>
      <c r="L898" t="s">
        <v>2798</v>
      </c>
      <c r="M898" t="s">
        <v>2799</v>
      </c>
      <c r="N898" t="s">
        <v>278</v>
      </c>
      <c r="O898" t="s">
        <v>28</v>
      </c>
      <c r="P898" t="s">
        <v>2268</v>
      </c>
      <c r="Q898">
        <v>47</v>
      </c>
      <c r="R898">
        <v>-71.216999999999999</v>
      </c>
    </row>
    <row r="899" spans="1:18" x14ac:dyDescent="0.2">
      <c r="A899" t="s">
        <v>270</v>
      </c>
      <c r="B899" t="s">
        <v>2654</v>
      </c>
      <c r="C899">
        <v>1</v>
      </c>
      <c r="D899" s="1">
        <v>44068.07335648148</v>
      </c>
      <c r="E899" t="s">
        <v>2800</v>
      </c>
      <c r="F899" t="s">
        <v>273</v>
      </c>
      <c r="G899" t="s">
        <v>2656</v>
      </c>
      <c r="H899" t="s">
        <v>275</v>
      </c>
      <c r="I899" t="s">
        <v>29</v>
      </c>
      <c r="J899">
        <v>1</v>
      </c>
      <c r="K899">
        <f>1-888-851-676</f>
        <v>-2414</v>
      </c>
      <c r="L899" t="s">
        <v>2801</v>
      </c>
      <c r="M899" t="s">
        <v>2802</v>
      </c>
      <c r="N899" t="s">
        <v>278</v>
      </c>
      <c r="O899" t="s">
        <v>28</v>
      </c>
      <c r="P899" t="s">
        <v>2268</v>
      </c>
      <c r="Q899">
        <v>47</v>
      </c>
      <c r="R899">
        <v>-71.216999999999999</v>
      </c>
    </row>
    <row r="900" spans="1:18" x14ac:dyDescent="0.2">
      <c r="A900" t="s">
        <v>270</v>
      </c>
      <c r="B900" t="s">
        <v>2654</v>
      </c>
      <c r="C900">
        <v>1</v>
      </c>
      <c r="D900" s="1">
        <v>44068.059131944443</v>
      </c>
      <c r="E900" t="s">
        <v>2803</v>
      </c>
      <c r="F900" t="s">
        <v>273</v>
      </c>
      <c r="G900" t="s">
        <v>2656</v>
      </c>
      <c r="H900" t="s">
        <v>275</v>
      </c>
      <c r="I900" t="s">
        <v>29</v>
      </c>
      <c r="J900">
        <v>1</v>
      </c>
      <c r="K900">
        <f>1-888-527-5177</f>
        <v>-6591</v>
      </c>
      <c r="L900" t="s">
        <v>2804</v>
      </c>
      <c r="M900" t="s">
        <v>2805</v>
      </c>
      <c r="N900" t="s">
        <v>278</v>
      </c>
      <c r="O900" t="s">
        <v>28</v>
      </c>
      <c r="P900" t="s">
        <v>2268</v>
      </c>
      <c r="Q900">
        <v>47</v>
      </c>
      <c r="R900">
        <v>-71.216999999999999</v>
      </c>
    </row>
    <row r="901" spans="1:18" x14ac:dyDescent="0.2">
      <c r="A901" t="s">
        <v>270</v>
      </c>
      <c r="B901" t="s">
        <v>2654</v>
      </c>
      <c r="C901">
        <v>1</v>
      </c>
      <c r="D901" s="1">
        <v>44068.057500000003</v>
      </c>
      <c r="E901" t="s">
        <v>2806</v>
      </c>
      <c r="F901" t="s">
        <v>273</v>
      </c>
      <c r="G901" t="s">
        <v>2656</v>
      </c>
      <c r="H901" t="s">
        <v>275</v>
      </c>
      <c r="I901" t="s">
        <v>29</v>
      </c>
      <c r="J901">
        <v>1</v>
      </c>
      <c r="K901">
        <f>1-888-523-6511</f>
        <v>-7921</v>
      </c>
      <c r="L901" t="s">
        <v>2807</v>
      </c>
      <c r="M901" t="s">
        <v>2808</v>
      </c>
      <c r="N901" t="s">
        <v>278</v>
      </c>
      <c r="O901" t="s">
        <v>28</v>
      </c>
      <c r="P901" t="s">
        <v>2268</v>
      </c>
      <c r="Q901">
        <v>47</v>
      </c>
      <c r="R901">
        <v>-71.216999999999999</v>
      </c>
    </row>
    <row r="902" spans="1:18" x14ac:dyDescent="0.2">
      <c r="A902" t="s">
        <v>270</v>
      </c>
      <c r="B902" t="s">
        <v>2654</v>
      </c>
      <c r="C902">
        <v>1</v>
      </c>
      <c r="D902" s="1">
        <v>44068.052094907405</v>
      </c>
      <c r="E902" t="s">
        <v>2809</v>
      </c>
      <c r="F902" t="s">
        <v>273</v>
      </c>
      <c r="G902" t="s">
        <v>2656</v>
      </c>
      <c r="H902" t="s">
        <v>275</v>
      </c>
      <c r="I902" t="s">
        <v>29</v>
      </c>
      <c r="J902">
        <v>1</v>
      </c>
      <c r="K902">
        <f>1-888-524-5804</f>
        <v>-7215</v>
      </c>
      <c r="L902" t="s">
        <v>2810</v>
      </c>
      <c r="M902" t="s">
        <v>2811</v>
      </c>
      <c r="N902" t="s">
        <v>278</v>
      </c>
      <c r="O902" t="s">
        <v>28</v>
      </c>
      <c r="P902" t="s">
        <v>2268</v>
      </c>
      <c r="Q902">
        <v>47</v>
      </c>
      <c r="R902">
        <v>-71.216999999999999</v>
      </c>
    </row>
    <row r="903" spans="1:18" x14ac:dyDescent="0.2">
      <c r="A903" t="s">
        <v>270</v>
      </c>
      <c r="B903" t="s">
        <v>2654</v>
      </c>
      <c r="C903">
        <v>1</v>
      </c>
      <c r="D903" s="1">
        <v>44068.051319444443</v>
      </c>
      <c r="E903" t="s">
        <v>2812</v>
      </c>
      <c r="F903" t="s">
        <v>273</v>
      </c>
      <c r="G903" t="s">
        <v>2656</v>
      </c>
      <c r="H903" t="s">
        <v>275</v>
      </c>
      <c r="I903" t="s">
        <v>29</v>
      </c>
      <c r="J903">
        <v>1</v>
      </c>
      <c r="K903">
        <f>1-888-524-5804</f>
        <v>-7215</v>
      </c>
      <c r="L903" t="s">
        <v>2813</v>
      </c>
      <c r="M903" t="s">
        <v>2814</v>
      </c>
      <c r="N903" t="s">
        <v>278</v>
      </c>
      <c r="O903" t="s">
        <v>28</v>
      </c>
      <c r="P903" t="s">
        <v>2268</v>
      </c>
      <c r="Q903">
        <v>47</v>
      </c>
      <c r="R903">
        <v>-71.216999999999999</v>
      </c>
    </row>
    <row r="904" spans="1:18" x14ac:dyDescent="0.2">
      <c r="A904" t="s">
        <v>270</v>
      </c>
      <c r="B904" t="s">
        <v>2654</v>
      </c>
      <c r="C904">
        <v>1</v>
      </c>
      <c r="D904" s="1">
        <v>44068.047754629632</v>
      </c>
      <c r="E904" t="s">
        <v>2815</v>
      </c>
      <c r="F904" t="s">
        <v>273</v>
      </c>
      <c r="G904" t="s">
        <v>2656</v>
      </c>
      <c r="H904" t="s">
        <v>275</v>
      </c>
      <c r="I904" t="s">
        <v>29</v>
      </c>
      <c r="J904">
        <v>1</v>
      </c>
      <c r="K904">
        <f>1-888-534-8036</f>
        <v>-9457</v>
      </c>
      <c r="L904" t="s">
        <v>2816</v>
      </c>
      <c r="M904" t="s">
        <v>2817</v>
      </c>
      <c r="N904" t="s">
        <v>278</v>
      </c>
      <c r="O904" t="s">
        <v>28</v>
      </c>
      <c r="P904" t="s">
        <v>2268</v>
      </c>
      <c r="Q904">
        <v>47</v>
      </c>
      <c r="R904">
        <v>-71.216999999999999</v>
      </c>
    </row>
    <row r="905" spans="1:18" x14ac:dyDescent="0.2">
      <c r="A905" t="s">
        <v>270</v>
      </c>
      <c r="B905" t="s">
        <v>2654</v>
      </c>
      <c r="C905">
        <v>1</v>
      </c>
      <c r="D905" s="1">
        <v>44066.542060185187</v>
      </c>
      <c r="E905" t="s">
        <v>2818</v>
      </c>
      <c r="F905" t="s">
        <v>273</v>
      </c>
      <c r="G905" t="s">
        <v>2656</v>
      </c>
      <c r="H905" t="s">
        <v>275</v>
      </c>
      <c r="I905" t="s">
        <v>29</v>
      </c>
      <c r="J905">
        <v>1</v>
      </c>
      <c r="K905">
        <f>1-888-530-2072</f>
        <v>-3489</v>
      </c>
      <c r="L905" t="s">
        <v>2819</v>
      </c>
      <c r="M905" t="s">
        <v>2820</v>
      </c>
      <c r="N905" t="s">
        <v>278</v>
      </c>
      <c r="O905" t="s">
        <v>134</v>
      </c>
      <c r="P905" t="s">
        <v>2268</v>
      </c>
      <c r="Q905">
        <v>47</v>
      </c>
      <c r="R905">
        <v>-71.216999999999999</v>
      </c>
    </row>
    <row r="906" spans="1:18" x14ac:dyDescent="0.2">
      <c r="A906" t="s">
        <v>270</v>
      </c>
      <c r="B906" t="s">
        <v>2654</v>
      </c>
      <c r="C906">
        <v>1</v>
      </c>
      <c r="D906" s="1">
        <v>44053.822777777779</v>
      </c>
      <c r="E906" t="s">
        <v>2821</v>
      </c>
      <c r="F906" t="s">
        <v>273</v>
      </c>
      <c r="G906" t="s">
        <v>2656</v>
      </c>
      <c r="H906" t="s">
        <v>275</v>
      </c>
      <c r="I906" t="s">
        <v>29</v>
      </c>
      <c r="J906">
        <v>1</v>
      </c>
      <c r="K906">
        <f>1-888-538-1045</f>
        <v>-2470</v>
      </c>
      <c r="L906" t="s">
        <v>2822</v>
      </c>
      <c r="M906" t="s">
        <v>2823</v>
      </c>
      <c r="N906" t="s">
        <v>278</v>
      </c>
      <c r="O906" t="s">
        <v>134</v>
      </c>
      <c r="P906" t="s">
        <v>2268</v>
      </c>
      <c r="Q906">
        <v>47</v>
      </c>
      <c r="R906">
        <v>-71.216999999999999</v>
      </c>
    </row>
    <row r="907" spans="1:18" x14ac:dyDescent="0.2">
      <c r="A907" t="s">
        <v>270</v>
      </c>
      <c r="B907" t="s">
        <v>2654</v>
      </c>
      <c r="C907">
        <v>1</v>
      </c>
      <c r="D907" s="1">
        <v>44053.304861111108</v>
      </c>
      <c r="E907" t="s">
        <v>2824</v>
      </c>
      <c r="F907" t="s">
        <v>273</v>
      </c>
      <c r="G907" t="s">
        <v>2656</v>
      </c>
      <c r="H907" t="s">
        <v>275</v>
      </c>
      <c r="I907" t="s">
        <v>29</v>
      </c>
      <c r="J907">
        <v>1</v>
      </c>
      <c r="K907">
        <f>1-866-801-5549</f>
        <v>-7215</v>
      </c>
      <c r="L907" t="s">
        <v>2825</v>
      </c>
      <c r="M907" t="s">
        <v>2826</v>
      </c>
      <c r="N907" t="s">
        <v>278</v>
      </c>
      <c r="O907" t="s">
        <v>134</v>
      </c>
      <c r="P907" t="s">
        <v>2268</v>
      </c>
      <c r="Q907">
        <v>47</v>
      </c>
      <c r="R907">
        <v>-71.216999999999999</v>
      </c>
    </row>
    <row r="908" spans="1:18" x14ac:dyDescent="0.2">
      <c r="A908" t="s">
        <v>270</v>
      </c>
      <c r="B908" t="s">
        <v>2654</v>
      </c>
      <c r="C908">
        <v>1</v>
      </c>
      <c r="D908" s="1">
        <v>44053.301446759258</v>
      </c>
      <c r="E908" t="s">
        <v>2827</v>
      </c>
      <c r="F908" t="s">
        <v>273</v>
      </c>
      <c r="G908" t="s">
        <v>2656</v>
      </c>
      <c r="H908" t="s">
        <v>275</v>
      </c>
      <c r="I908" t="s">
        <v>29</v>
      </c>
      <c r="J908">
        <v>1</v>
      </c>
      <c r="K908">
        <f>1-866-801-5549</f>
        <v>-7215</v>
      </c>
      <c r="L908" t="s">
        <v>2828</v>
      </c>
      <c r="M908" t="s">
        <v>2829</v>
      </c>
      <c r="N908" t="s">
        <v>278</v>
      </c>
      <c r="O908" t="s">
        <v>134</v>
      </c>
      <c r="P908" t="s">
        <v>2268</v>
      </c>
      <c r="Q908">
        <v>47</v>
      </c>
      <c r="R908">
        <v>-71.216999999999999</v>
      </c>
    </row>
    <row r="909" spans="1:18" x14ac:dyDescent="0.2">
      <c r="A909" t="s">
        <v>270</v>
      </c>
      <c r="B909" t="s">
        <v>2654</v>
      </c>
      <c r="C909">
        <v>1</v>
      </c>
      <c r="D909" s="1">
        <v>44053.298194444447</v>
      </c>
      <c r="E909" t="s">
        <v>2830</v>
      </c>
      <c r="F909" t="s">
        <v>273</v>
      </c>
      <c r="G909" t="s">
        <v>2656</v>
      </c>
      <c r="H909" t="s">
        <v>275</v>
      </c>
      <c r="I909" t="s">
        <v>29</v>
      </c>
      <c r="J909">
        <v>1</v>
      </c>
      <c r="K909">
        <f>1-866-754-7703</f>
        <v>-9322</v>
      </c>
      <c r="L909" t="s">
        <v>2831</v>
      </c>
      <c r="M909" t="s">
        <v>2832</v>
      </c>
      <c r="N909" t="s">
        <v>278</v>
      </c>
      <c r="O909" t="s">
        <v>134</v>
      </c>
      <c r="P909" t="s">
        <v>2268</v>
      </c>
      <c r="Q909">
        <v>47</v>
      </c>
      <c r="R909">
        <v>-71.216999999999999</v>
      </c>
    </row>
    <row r="910" spans="1:18" x14ac:dyDescent="0.2">
      <c r="A910" t="s">
        <v>270</v>
      </c>
      <c r="B910" t="s">
        <v>2654</v>
      </c>
      <c r="C910">
        <v>1</v>
      </c>
      <c r="D910" s="1">
        <v>44031.866736111115</v>
      </c>
      <c r="E910" t="s">
        <v>2833</v>
      </c>
      <c r="F910" t="s">
        <v>273</v>
      </c>
      <c r="G910" t="s">
        <v>2656</v>
      </c>
      <c r="H910" t="s">
        <v>275</v>
      </c>
      <c r="I910" t="s">
        <v>29</v>
      </c>
      <c r="J910">
        <v>1</v>
      </c>
      <c r="K910">
        <f>1-866-770-4702</f>
        <v>-6337</v>
      </c>
      <c r="L910" t="s">
        <v>2834</v>
      </c>
      <c r="M910" t="s">
        <v>2835</v>
      </c>
      <c r="N910" t="s">
        <v>278</v>
      </c>
      <c r="O910" t="s">
        <v>134</v>
      </c>
      <c r="P910" t="s">
        <v>2268</v>
      </c>
      <c r="Q910">
        <v>47</v>
      </c>
      <c r="R910">
        <v>-71.216999999999999</v>
      </c>
    </row>
    <row r="911" spans="1:18" x14ac:dyDescent="0.2">
      <c r="A911" t="s">
        <v>270</v>
      </c>
      <c r="B911" t="s">
        <v>2654</v>
      </c>
      <c r="C911">
        <v>1</v>
      </c>
      <c r="D911" s="1">
        <v>44031.866620370369</v>
      </c>
      <c r="E911" t="s">
        <v>2836</v>
      </c>
      <c r="F911" t="s">
        <v>273</v>
      </c>
      <c r="G911" t="s">
        <v>2656</v>
      </c>
      <c r="H911" t="s">
        <v>275</v>
      </c>
      <c r="I911" t="s">
        <v>29</v>
      </c>
      <c r="J911">
        <v>1</v>
      </c>
      <c r="K911">
        <f>1-866-751-5563</f>
        <v>-7179</v>
      </c>
      <c r="L911" t="s">
        <v>2837</v>
      </c>
      <c r="M911" t="s">
        <v>2838</v>
      </c>
      <c r="N911" t="s">
        <v>278</v>
      </c>
      <c r="O911" t="s">
        <v>134</v>
      </c>
      <c r="P911" t="s">
        <v>2268</v>
      </c>
      <c r="Q911">
        <v>47</v>
      </c>
      <c r="R911">
        <v>-71.216999999999999</v>
      </c>
    </row>
    <row r="912" spans="1:18" x14ac:dyDescent="0.2">
      <c r="A912" t="s">
        <v>270</v>
      </c>
      <c r="B912" t="s">
        <v>2654</v>
      </c>
      <c r="C912">
        <v>1</v>
      </c>
      <c r="D912" s="1">
        <v>44031.86550925926</v>
      </c>
      <c r="E912" t="s">
        <v>2839</v>
      </c>
      <c r="F912" t="s">
        <v>273</v>
      </c>
      <c r="G912" t="s">
        <v>2656</v>
      </c>
      <c r="H912" t="s">
        <v>275</v>
      </c>
      <c r="I912" t="s">
        <v>29</v>
      </c>
      <c r="J912">
        <v>1</v>
      </c>
      <c r="K912">
        <f>1-866-720-5646</f>
        <v>-7231</v>
      </c>
      <c r="L912" t="s">
        <v>2840</v>
      </c>
      <c r="M912" t="s">
        <v>2841</v>
      </c>
      <c r="N912" t="s">
        <v>278</v>
      </c>
      <c r="O912" t="s">
        <v>134</v>
      </c>
      <c r="P912" t="s">
        <v>2268</v>
      </c>
      <c r="Q912">
        <v>47</v>
      </c>
      <c r="R912">
        <v>-71.216999999999999</v>
      </c>
    </row>
    <row r="913" spans="1:18" x14ac:dyDescent="0.2">
      <c r="A913" t="s">
        <v>270</v>
      </c>
      <c r="B913" t="s">
        <v>2654</v>
      </c>
      <c r="C913">
        <v>1</v>
      </c>
      <c r="D913" s="1">
        <v>44031.756898148145</v>
      </c>
      <c r="E913" t="s">
        <v>2842</v>
      </c>
      <c r="F913" t="s">
        <v>273</v>
      </c>
      <c r="G913" t="s">
        <v>2656</v>
      </c>
      <c r="H913" t="s">
        <v>275</v>
      </c>
      <c r="I913" t="s">
        <v>29</v>
      </c>
      <c r="J913">
        <v>1</v>
      </c>
      <c r="K913">
        <f>1-866-755-2213</f>
        <v>-3833</v>
      </c>
      <c r="L913" t="s">
        <v>2843</v>
      </c>
      <c r="M913" t="s">
        <v>2844</v>
      </c>
      <c r="N913" t="s">
        <v>278</v>
      </c>
      <c r="O913" t="s">
        <v>28</v>
      </c>
      <c r="P913" t="s">
        <v>2268</v>
      </c>
      <c r="Q913">
        <v>47</v>
      </c>
      <c r="R913">
        <v>-71.216999999999999</v>
      </c>
    </row>
    <row r="914" spans="1:18" x14ac:dyDescent="0.2">
      <c r="A914" t="s">
        <v>270</v>
      </c>
      <c r="B914" t="s">
        <v>2654</v>
      </c>
      <c r="C914">
        <v>1</v>
      </c>
      <c r="D914" s="1">
        <v>44045.401018518518</v>
      </c>
      <c r="E914" t="s">
        <v>2845</v>
      </c>
      <c r="F914" t="s">
        <v>273</v>
      </c>
      <c r="G914" t="s">
        <v>2656</v>
      </c>
      <c r="H914" t="s">
        <v>275</v>
      </c>
      <c r="I914" t="s">
        <v>29</v>
      </c>
      <c r="J914">
        <v>1</v>
      </c>
      <c r="K914">
        <f>1-844-474-3214</f>
        <v>-4531</v>
      </c>
      <c r="L914" t="s">
        <v>2846</v>
      </c>
      <c r="M914" t="s">
        <v>2847</v>
      </c>
      <c r="N914" t="s">
        <v>278</v>
      </c>
      <c r="O914" t="s">
        <v>134</v>
      </c>
      <c r="P914" t="s">
        <v>2268</v>
      </c>
      <c r="Q914">
        <v>47</v>
      </c>
      <c r="R914">
        <v>-71.216999999999999</v>
      </c>
    </row>
    <row r="915" spans="1:18" x14ac:dyDescent="0.2">
      <c r="A915" t="s">
        <v>439</v>
      </c>
      <c r="B915" t="s">
        <v>1412</v>
      </c>
      <c r="C915">
        <v>1</v>
      </c>
      <c r="D915" s="1">
        <v>43980.49181712963</v>
      </c>
      <c r="E915" t="s">
        <v>2848</v>
      </c>
      <c r="F915" t="s">
        <v>442</v>
      </c>
      <c r="G915" t="s">
        <v>2849</v>
      </c>
      <c r="H915" t="s">
        <v>444</v>
      </c>
      <c r="I915" t="s">
        <v>29</v>
      </c>
      <c r="J915">
        <v>1</v>
      </c>
      <c r="K915">
        <f>1-888-264-7594</f>
        <v>-8745</v>
      </c>
      <c r="L915" t="s">
        <v>2850</v>
      </c>
      <c r="M915" t="s">
        <v>2851</v>
      </c>
      <c r="N915" t="s">
        <v>452</v>
      </c>
      <c r="O915" t="s">
        <v>28</v>
      </c>
      <c r="P915" t="s">
        <v>29</v>
      </c>
      <c r="Q915">
        <v>41</v>
      </c>
      <c r="R915">
        <v>-74.172399999999996</v>
      </c>
    </row>
    <row r="916" spans="1:18" x14ac:dyDescent="0.2">
      <c r="A916" t="s">
        <v>439</v>
      </c>
      <c r="B916" t="s">
        <v>440</v>
      </c>
      <c r="C916">
        <v>1</v>
      </c>
      <c r="D916" s="1">
        <v>43980.840787037036</v>
      </c>
      <c r="E916" t="s">
        <v>2852</v>
      </c>
      <c r="F916" t="s">
        <v>442</v>
      </c>
      <c r="G916" t="s">
        <v>2853</v>
      </c>
      <c r="H916" t="s">
        <v>444</v>
      </c>
      <c r="I916" t="s">
        <v>29</v>
      </c>
      <c r="J916">
        <v>1</v>
      </c>
      <c r="K916">
        <f>1-800-674-3293</f>
        <v>-4766</v>
      </c>
      <c r="L916" t="s">
        <v>2854</v>
      </c>
      <c r="M916" t="s">
        <v>2855</v>
      </c>
      <c r="N916" t="s">
        <v>674</v>
      </c>
      <c r="O916" t="s">
        <v>28</v>
      </c>
      <c r="P916" t="s">
        <v>29</v>
      </c>
      <c r="Q916">
        <v>39</v>
      </c>
      <c r="R916">
        <v>-77.487399999999994</v>
      </c>
    </row>
    <row r="917" spans="1:18" x14ac:dyDescent="0.2">
      <c r="A917" t="s">
        <v>2233</v>
      </c>
      <c r="B917" t="s">
        <v>2234</v>
      </c>
      <c r="C917">
        <v>1</v>
      </c>
      <c r="D917" s="1">
        <v>43980.859143518515</v>
      </c>
      <c r="E917" t="s">
        <v>2856</v>
      </c>
      <c r="F917" t="s">
        <v>2236</v>
      </c>
      <c r="G917" t="s">
        <v>2856</v>
      </c>
      <c r="H917" t="s">
        <v>2237</v>
      </c>
      <c r="I917" t="s">
        <v>29</v>
      </c>
      <c r="J917">
        <v>1</v>
      </c>
      <c r="K917">
        <f>1-866-318-5111</f>
        <v>-6294</v>
      </c>
      <c r="L917" t="s">
        <v>2857</v>
      </c>
      <c r="M917" t="s">
        <v>2858</v>
      </c>
      <c r="N917">
        <v>186</v>
      </c>
      <c r="O917" t="s">
        <v>134</v>
      </c>
      <c r="P917" t="s">
        <v>29</v>
      </c>
      <c r="Q917">
        <v>40</v>
      </c>
      <c r="R917">
        <v>-83.114099999999993</v>
      </c>
    </row>
    <row r="918" spans="1:18" x14ac:dyDescent="0.2">
      <c r="A918" t="s">
        <v>2225</v>
      </c>
      <c r="B918" t="s">
        <v>2226</v>
      </c>
      <c r="C918">
        <v>49</v>
      </c>
      <c r="D918" s="1">
        <v>43981.530381944445</v>
      </c>
      <c r="E918" t="s">
        <v>2859</v>
      </c>
      <c r="F918" t="s">
        <v>2228</v>
      </c>
      <c r="G918" t="s">
        <v>2860</v>
      </c>
      <c r="H918" t="s">
        <v>2230</v>
      </c>
      <c r="I918" t="s">
        <v>24</v>
      </c>
      <c r="J918">
        <v>49</v>
      </c>
      <c r="K918">
        <f>49-800-15-4654</f>
        <v>-5420</v>
      </c>
      <c r="L918" t="s">
        <v>2861</v>
      </c>
      <c r="M918" t="s">
        <v>2862</v>
      </c>
      <c r="N918" t="s">
        <v>2475</v>
      </c>
      <c r="O918" t="s">
        <v>28</v>
      </c>
      <c r="P918" t="s">
        <v>24</v>
      </c>
      <c r="Q918">
        <v>50</v>
      </c>
      <c r="R918">
        <v>12.365</v>
      </c>
    </row>
    <row r="919" spans="1:18" x14ac:dyDescent="0.2">
      <c r="A919" t="s">
        <v>2863</v>
      </c>
      <c r="B919" t="s">
        <v>2864</v>
      </c>
      <c r="C919">
        <v>1</v>
      </c>
      <c r="D919" s="1">
        <v>44029.820972222224</v>
      </c>
      <c r="E919" t="s">
        <v>2865</v>
      </c>
      <c r="F919" t="s">
        <v>2866</v>
      </c>
      <c r="G919" t="s">
        <v>2867</v>
      </c>
      <c r="H919" t="s">
        <v>2868</v>
      </c>
      <c r="I919" t="s">
        <v>29</v>
      </c>
      <c r="J919">
        <v>1</v>
      </c>
      <c r="K919">
        <f>1-818-855-7211</f>
        <v>-8883</v>
      </c>
      <c r="L919" t="s">
        <v>2869</v>
      </c>
      <c r="M919" t="s">
        <v>2870</v>
      </c>
      <c r="N919" t="s">
        <v>447</v>
      </c>
      <c r="O919" t="s">
        <v>134</v>
      </c>
      <c r="P919" t="s">
        <v>618</v>
      </c>
      <c r="Q919">
        <v>54</v>
      </c>
      <c r="R919">
        <v>-1.6365000000000001</v>
      </c>
    </row>
    <row r="920" spans="1:18" x14ac:dyDescent="0.2">
      <c r="A920" t="s">
        <v>2863</v>
      </c>
      <c r="B920" t="s">
        <v>2864</v>
      </c>
      <c r="C920">
        <v>1</v>
      </c>
      <c r="D920" s="1">
        <v>44028.972037037034</v>
      </c>
      <c r="E920" t="s">
        <v>2871</v>
      </c>
      <c r="F920" t="s">
        <v>2866</v>
      </c>
      <c r="G920" t="s">
        <v>2867</v>
      </c>
      <c r="H920" t="s">
        <v>2868</v>
      </c>
      <c r="I920" t="s">
        <v>29</v>
      </c>
      <c r="J920">
        <v>1</v>
      </c>
      <c r="K920">
        <f>1-858-666-899</f>
        <v>-2422</v>
      </c>
      <c r="L920" t="s">
        <v>2872</v>
      </c>
      <c r="M920" t="s">
        <v>2873</v>
      </c>
      <c r="N920" t="s">
        <v>447</v>
      </c>
      <c r="O920" t="s">
        <v>134</v>
      </c>
      <c r="P920" t="s">
        <v>618</v>
      </c>
      <c r="Q920">
        <v>54</v>
      </c>
      <c r="R920">
        <v>-1.6365000000000001</v>
      </c>
    </row>
    <row r="921" spans="1:18" x14ac:dyDescent="0.2">
      <c r="A921" t="s">
        <v>2863</v>
      </c>
      <c r="B921" t="s">
        <v>2864</v>
      </c>
      <c r="C921">
        <v>1</v>
      </c>
      <c r="D921" s="1">
        <v>44028.951180555552</v>
      </c>
      <c r="E921" t="s">
        <v>2871</v>
      </c>
      <c r="F921" t="s">
        <v>2866</v>
      </c>
      <c r="G921" t="s">
        <v>2867</v>
      </c>
      <c r="H921" t="s">
        <v>2868</v>
      </c>
      <c r="I921" t="s">
        <v>29</v>
      </c>
      <c r="J921">
        <v>1</v>
      </c>
      <c r="K921">
        <f>1-858-800-495</f>
        <v>-2152</v>
      </c>
      <c r="L921" t="s">
        <v>2874</v>
      </c>
      <c r="M921" t="s">
        <v>2875</v>
      </c>
      <c r="N921" t="s">
        <v>447</v>
      </c>
      <c r="O921" t="s">
        <v>134</v>
      </c>
      <c r="P921" t="s">
        <v>618</v>
      </c>
      <c r="Q921">
        <v>54</v>
      </c>
      <c r="R921">
        <v>-1.6365000000000001</v>
      </c>
    </row>
    <row r="922" spans="1:18" x14ac:dyDescent="0.2">
      <c r="A922" t="s">
        <v>2863</v>
      </c>
      <c r="B922" t="s">
        <v>2864</v>
      </c>
      <c r="C922">
        <v>1</v>
      </c>
      <c r="D922" s="1">
        <v>44028.838518518518</v>
      </c>
      <c r="E922" t="s">
        <v>2871</v>
      </c>
      <c r="F922" t="s">
        <v>2866</v>
      </c>
      <c r="G922" t="s">
        <v>2867</v>
      </c>
      <c r="H922" t="s">
        <v>2868</v>
      </c>
      <c r="I922" t="s">
        <v>29</v>
      </c>
      <c r="J922">
        <v>1</v>
      </c>
      <c r="K922">
        <f>1-805-394-8730</f>
        <v>-9928</v>
      </c>
      <c r="L922" t="s">
        <v>2876</v>
      </c>
      <c r="M922" t="s">
        <v>2877</v>
      </c>
      <c r="N922" t="s">
        <v>447</v>
      </c>
      <c r="O922" t="s">
        <v>134</v>
      </c>
      <c r="P922" t="s">
        <v>618</v>
      </c>
      <c r="Q922">
        <v>54</v>
      </c>
      <c r="R922">
        <v>-1.6365000000000001</v>
      </c>
    </row>
    <row r="923" spans="1:18" x14ac:dyDescent="0.2">
      <c r="A923" t="s">
        <v>2863</v>
      </c>
      <c r="B923" t="s">
        <v>2864</v>
      </c>
      <c r="C923">
        <v>1</v>
      </c>
      <c r="D923" s="1">
        <v>44027.851145833331</v>
      </c>
      <c r="E923" t="s">
        <v>2878</v>
      </c>
      <c r="F923" t="s">
        <v>2866</v>
      </c>
      <c r="G923" t="s">
        <v>2867</v>
      </c>
      <c r="H923" t="s">
        <v>2868</v>
      </c>
      <c r="I923" t="s">
        <v>29</v>
      </c>
      <c r="J923">
        <v>1</v>
      </c>
      <c r="K923">
        <f>1-805-394-8730</f>
        <v>-9928</v>
      </c>
      <c r="L923" t="s">
        <v>2879</v>
      </c>
      <c r="M923" t="s">
        <v>2880</v>
      </c>
      <c r="N923" t="s">
        <v>447</v>
      </c>
      <c r="O923" t="s">
        <v>134</v>
      </c>
      <c r="P923" t="s">
        <v>618</v>
      </c>
      <c r="Q923">
        <v>54</v>
      </c>
      <c r="R923">
        <v>-1.6365000000000001</v>
      </c>
    </row>
    <row r="924" spans="1:18" x14ac:dyDescent="0.2">
      <c r="A924" t="s">
        <v>2863</v>
      </c>
      <c r="B924" t="s">
        <v>2881</v>
      </c>
      <c r="C924">
        <v>1</v>
      </c>
      <c r="D924" s="1">
        <v>44021.789178240739</v>
      </c>
      <c r="E924" t="s">
        <v>2882</v>
      </c>
      <c r="F924" t="s">
        <v>2866</v>
      </c>
      <c r="G924" t="s">
        <v>2867</v>
      </c>
      <c r="H924" t="s">
        <v>2868</v>
      </c>
      <c r="I924" t="s">
        <v>29</v>
      </c>
      <c r="J924">
        <v>1</v>
      </c>
      <c r="K924">
        <f>1-858-666-899</f>
        <v>-2422</v>
      </c>
      <c r="L924" t="s">
        <v>2883</v>
      </c>
      <c r="M924" t="s">
        <v>2884</v>
      </c>
      <c r="N924" t="s">
        <v>447</v>
      </c>
      <c r="O924" t="s">
        <v>134</v>
      </c>
      <c r="P924" t="s">
        <v>618</v>
      </c>
      <c r="Q924">
        <v>55</v>
      </c>
      <c r="R924">
        <v>-1.4001999999999999</v>
      </c>
    </row>
    <row r="925" spans="1:18" x14ac:dyDescent="0.2">
      <c r="A925" t="s">
        <v>2863</v>
      </c>
      <c r="B925" t="s">
        <v>2881</v>
      </c>
      <c r="C925">
        <v>1</v>
      </c>
      <c r="D925" s="1">
        <v>44021.785543981481</v>
      </c>
      <c r="E925" t="s">
        <v>2882</v>
      </c>
      <c r="F925" t="s">
        <v>2866</v>
      </c>
      <c r="G925" t="s">
        <v>2867</v>
      </c>
      <c r="H925" t="s">
        <v>2868</v>
      </c>
      <c r="I925" t="s">
        <v>29</v>
      </c>
      <c r="J925">
        <v>1</v>
      </c>
      <c r="K925">
        <f>1-801-980-8732</f>
        <v>-10512</v>
      </c>
      <c r="L925" t="s">
        <v>2885</v>
      </c>
      <c r="M925" t="s">
        <v>2886</v>
      </c>
      <c r="N925" t="s">
        <v>447</v>
      </c>
      <c r="O925" t="s">
        <v>134</v>
      </c>
      <c r="P925" t="s">
        <v>618</v>
      </c>
      <c r="Q925">
        <v>55</v>
      </c>
      <c r="R925">
        <v>-1.4001999999999999</v>
      </c>
    </row>
    <row r="926" spans="1:18" x14ac:dyDescent="0.2">
      <c r="A926" t="s">
        <v>2863</v>
      </c>
      <c r="B926" t="s">
        <v>2881</v>
      </c>
      <c r="C926">
        <v>1</v>
      </c>
      <c r="D926" s="1">
        <v>44020.71402777778</v>
      </c>
      <c r="E926" t="s">
        <v>2887</v>
      </c>
      <c r="F926" t="s">
        <v>2866</v>
      </c>
      <c r="G926" t="s">
        <v>2867</v>
      </c>
      <c r="H926" t="s">
        <v>2868</v>
      </c>
      <c r="I926" t="s">
        <v>29</v>
      </c>
      <c r="J926">
        <v>1</v>
      </c>
      <c r="K926">
        <f>1-858-666-899</f>
        <v>-2422</v>
      </c>
      <c r="L926" t="s">
        <v>2888</v>
      </c>
      <c r="M926" t="s">
        <v>2889</v>
      </c>
      <c r="N926" t="s">
        <v>447</v>
      </c>
      <c r="O926" t="s">
        <v>134</v>
      </c>
      <c r="P926" t="s">
        <v>618</v>
      </c>
      <c r="Q926">
        <v>55</v>
      </c>
      <c r="R926">
        <v>-1.4001999999999999</v>
      </c>
    </row>
    <row r="927" spans="1:18" x14ac:dyDescent="0.2">
      <c r="A927" t="s">
        <v>2863</v>
      </c>
      <c r="B927" t="s">
        <v>2864</v>
      </c>
      <c r="C927">
        <v>1</v>
      </c>
      <c r="D927" s="1">
        <v>44019.475914351853</v>
      </c>
      <c r="E927" t="s">
        <v>2890</v>
      </c>
      <c r="F927" t="s">
        <v>2866</v>
      </c>
      <c r="G927" t="s">
        <v>2867</v>
      </c>
      <c r="H927" t="s">
        <v>2868</v>
      </c>
      <c r="I927" t="s">
        <v>29</v>
      </c>
      <c r="J927">
        <v>1</v>
      </c>
      <c r="K927">
        <f>1-865-999-9287</f>
        <v>-11150</v>
      </c>
      <c r="L927" t="s">
        <v>2891</v>
      </c>
      <c r="M927" t="s">
        <v>2892</v>
      </c>
      <c r="N927" t="s">
        <v>447</v>
      </c>
      <c r="O927" t="s">
        <v>134</v>
      </c>
      <c r="P927" t="s">
        <v>618</v>
      </c>
      <c r="Q927">
        <v>54</v>
      </c>
      <c r="R927">
        <v>-1.6336999999999999</v>
      </c>
    </row>
    <row r="928" spans="1:18" x14ac:dyDescent="0.2">
      <c r="A928" t="s">
        <v>2863</v>
      </c>
      <c r="B928" t="s">
        <v>2864</v>
      </c>
      <c r="C928">
        <v>1</v>
      </c>
      <c r="D928" s="1">
        <v>44015.952581018515</v>
      </c>
      <c r="E928" t="s">
        <v>2893</v>
      </c>
      <c r="F928" t="s">
        <v>2866</v>
      </c>
      <c r="G928" t="s">
        <v>2867</v>
      </c>
      <c r="H928" t="s">
        <v>2868</v>
      </c>
      <c r="I928" t="s">
        <v>29</v>
      </c>
      <c r="J928">
        <v>1</v>
      </c>
      <c r="K928">
        <f>1-801-980-8732</f>
        <v>-10512</v>
      </c>
      <c r="L928" t="s">
        <v>2894</v>
      </c>
      <c r="M928" t="s">
        <v>2895</v>
      </c>
      <c r="N928" t="s">
        <v>447</v>
      </c>
      <c r="O928" t="s">
        <v>134</v>
      </c>
      <c r="P928" t="s">
        <v>618</v>
      </c>
      <c r="Q928">
        <v>54</v>
      </c>
      <c r="R928">
        <v>-1.6336999999999999</v>
      </c>
    </row>
    <row r="929" spans="1:18" x14ac:dyDescent="0.2">
      <c r="A929" t="s">
        <v>2863</v>
      </c>
      <c r="B929" t="s">
        <v>2864</v>
      </c>
      <c r="C929">
        <v>1</v>
      </c>
      <c r="D929" s="1">
        <v>44015.949861111112</v>
      </c>
      <c r="E929" t="s">
        <v>2893</v>
      </c>
      <c r="F929" t="s">
        <v>2866</v>
      </c>
      <c r="G929" t="s">
        <v>2867</v>
      </c>
      <c r="H929" t="s">
        <v>2868</v>
      </c>
      <c r="I929" t="s">
        <v>29</v>
      </c>
      <c r="J929">
        <v>1</v>
      </c>
      <c r="K929">
        <f>1-865-999-9287</f>
        <v>-11150</v>
      </c>
      <c r="L929" t="s">
        <v>2896</v>
      </c>
      <c r="M929" t="s">
        <v>2897</v>
      </c>
      <c r="N929" t="s">
        <v>447</v>
      </c>
      <c r="O929" t="s">
        <v>134</v>
      </c>
      <c r="P929" t="s">
        <v>618</v>
      </c>
      <c r="Q929">
        <v>54</v>
      </c>
      <c r="R929">
        <v>-1.6336999999999999</v>
      </c>
    </row>
    <row r="930" spans="1:18" x14ac:dyDescent="0.2">
      <c r="A930" t="s">
        <v>2863</v>
      </c>
      <c r="B930" t="s">
        <v>2864</v>
      </c>
      <c r="C930">
        <v>1</v>
      </c>
      <c r="D930" s="1">
        <v>44013.853310185186</v>
      </c>
      <c r="E930" t="s">
        <v>2898</v>
      </c>
      <c r="F930" t="s">
        <v>2866</v>
      </c>
      <c r="G930" t="s">
        <v>2867</v>
      </c>
      <c r="H930" t="s">
        <v>2868</v>
      </c>
      <c r="I930" t="s">
        <v>29</v>
      </c>
      <c r="J930">
        <v>1</v>
      </c>
      <c r="K930">
        <f>1-865-999-9287</f>
        <v>-11150</v>
      </c>
      <c r="L930" t="s">
        <v>2899</v>
      </c>
      <c r="M930" t="s">
        <v>2900</v>
      </c>
      <c r="N930" t="s">
        <v>447</v>
      </c>
      <c r="O930" t="s">
        <v>134</v>
      </c>
      <c r="P930" t="s">
        <v>618</v>
      </c>
      <c r="Q930">
        <v>54</v>
      </c>
      <c r="R930">
        <v>-1.6336999999999999</v>
      </c>
    </row>
    <row r="931" spans="1:18" x14ac:dyDescent="0.2">
      <c r="A931" t="s">
        <v>2863</v>
      </c>
      <c r="B931" t="s">
        <v>2864</v>
      </c>
      <c r="C931">
        <v>1</v>
      </c>
      <c r="D931" s="1">
        <v>44012.807488425926</v>
      </c>
      <c r="E931" t="s">
        <v>2901</v>
      </c>
      <c r="F931" t="s">
        <v>2866</v>
      </c>
      <c r="G931" t="s">
        <v>2867</v>
      </c>
      <c r="H931" t="s">
        <v>2868</v>
      </c>
      <c r="I931" t="s">
        <v>29</v>
      </c>
      <c r="J931">
        <v>1</v>
      </c>
      <c r="K931">
        <f>1-865-999-9287</f>
        <v>-11150</v>
      </c>
      <c r="L931" t="s">
        <v>2902</v>
      </c>
      <c r="M931" t="s">
        <v>2903</v>
      </c>
      <c r="N931" t="s">
        <v>447</v>
      </c>
      <c r="O931" t="s">
        <v>134</v>
      </c>
      <c r="P931" t="s">
        <v>618</v>
      </c>
      <c r="Q931">
        <v>54</v>
      </c>
      <c r="R931">
        <v>-1.6336999999999999</v>
      </c>
    </row>
    <row r="932" spans="1:18" x14ac:dyDescent="0.2">
      <c r="A932" t="s">
        <v>2863</v>
      </c>
      <c r="B932" t="s">
        <v>2864</v>
      </c>
      <c r="C932">
        <v>1</v>
      </c>
      <c r="D932" s="1">
        <v>44004.837893518517</v>
      </c>
      <c r="E932" t="s">
        <v>2904</v>
      </c>
      <c r="F932" t="s">
        <v>2866</v>
      </c>
      <c r="G932" t="s">
        <v>2867</v>
      </c>
      <c r="H932" t="s">
        <v>2868</v>
      </c>
      <c r="I932" t="s">
        <v>29</v>
      </c>
      <c r="J932">
        <v>1</v>
      </c>
      <c r="K932">
        <f>1-856-800-8183</f>
        <v>-9838</v>
      </c>
      <c r="L932" t="s">
        <v>2905</v>
      </c>
      <c r="M932" t="s">
        <v>2906</v>
      </c>
      <c r="N932" t="s">
        <v>447</v>
      </c>
      <c r="O932" t="s">
        <v>134</v>
      </c>
      <c r="P932" t="s">
        <v>618</v>
      </c>
      <c r="Q932">
        <v>54</v>
      </c>
      <c r="R932">
        <v>-1.6336999999999999</v>
      </c>
    </row>
    <row r="933" spans="1:18" x14ac:dyDescent="0.2">
      <c r="A933" t="s">
        <v>2863</v>
      </c>
      <c r="B933" t="s">
        <v>2907</v>
      </c>
      <c r="C933">
        <v>1</v>
      </c>
      <c r="D933" s="1">
        <v>43981.662592592591</v>
      </c>
      <c r="E933" t="s">
        <v>2908</v>
      </c>
      <c r="F933" t="s">
        <v>2866</v>
      </c>
      <c r="G933" t="s">
        <v>2867</v>
      </c>
      <c r="H933" t="s">
        <v>2868</v>
      </c>
      <c r="I933" t="s">
        <v>29</v>
      </c>
      <c r="J933">
        <v>1</v>
      </c>
      <c r="K933">
        <f>1-856-800-7377</f>
        <v>-9032</v>
      </c>
      <c r="L933" t="s">
        <v>2909</v>
      </c>
      <c r="M933" t="s">
        <v>2910</v>
      </c>
      <c r="N933" t="s">
        <v>447</v>
      </c>
      <c r="O933" t="s">
        <v>134</v>
      </c>
      <c r="P933" t="s">
        <v>618</v>
      </c>
      <c r="Q933">
        <v>55</v>
      </c>
      <c r="R933">
        <v>-1.3725000000000001</v>
      </c>
    </row>
    <row r="934" spans="1:18" x14ac:dyDescent="0.2">
      <c r="A934" t="s">
        <v>439</v>
      </c>
      <c r="B934" t="s">
        <v>1412</v>
      </c>
      <c r="C934">
        <v>1</v>
      </c>
      <c r="D934" s="1">
        <v>43981.746157407404</v>
      </c>
      <c r="E934" t="s">
        <v>2911</v>
      </c>
      <c r="F934" t="s">
        <v>442</v>
      </c>
      <c r="G934" t="s">
        <v>2912</v>
      </c>
      <c r="H934" t="s">
        <v>444</v>
      </c>
      <c r="I934" t="s">
        <v>29</v>
      </c>
      <c r="J934">
        <v>1</v>
      </c>
      <c r="K934">
        <f>1-866-226-5689</f>
        <v>-6780</v>
      </c>
      <c r="L934" t="s">
        <v>2913</v>
      </c>
      <c r="M934" t="s">
        <v>2914</v>
      </c>
      <c r="N934" t="s">
        <v>674</v>
      </c>
      <c r="O934" t="s">
        <v>28</v>
      </c>
      <c r="P934" t="s">
        <v>29</v>
      </c>
      <c r="Q934">
        <v>41</v>
      </c>
      <c r="R934">
        <v>-74.172399999999996</v>
      </c>
    </row>
    <row r="935" spans="1:18" x14ac:dyDescent="0.2">
      <c r="A935" t="s">
        <v>2233</v>
      </c>
      <c r="B935" t="s">
        <v>2234</v>
      </c>
      <c r="C935">
        <v>1</v>
      </c>
      <c r="D935" s="1">
        <v>43981.766041666669</v>
      </c>
      <c r="E935" t="s">
        <v>2915</v>
      </c>
      <c r="F935" t="s">
        <v>2236</v>
      </c>
      <c r="G935" t="s">
        <v>2915</v>
      </c>
      <c r="H935" t="s">
        <v>2237</v>
      </c>
      <c r="I935" t="s">
        <v>29</v>
      </c>
      <c r="J935">
        <v>1</v>
      </c>
      <c r="K935">
        <f>1-833-744-4044</f>
        <v>-5620</v>
      </c>
      <c r="L935" t="s">
        <v>2916</v>
      </c>
      <c r="M935" t="s">
        <v>2917</v>
      </c>
      <c r="N935">
        <v>55</v>
      </c>
      <c r="O935" t="s">
        <v>134</v>
      </c>
      <c r="P935" t="s">
        <v>29</v>
      </c>
      <c r="Q935">
        <v>40</v>
      </c>
      <c r="R935">
        <v>-83.114099999999993</v>
      </c>
    </row>
    <row r="936" spans="1:18" x14ac:dyDescent="0.2">
      <c r="A936" t="s">
        <v>270</v>
      </c>
      <c r="B936" t="s">
        <v>271</v>
      </c>
      <c r="C936">
        <v>1</v>
      </c>
      <c r="D936" s="1">
        <v>44314.101666666669</v>
      </c>
      <c r="E936" t="s">
        <v>2918</v>
      </c>
      <c r="F936" t="s">
        <v>273</v>
      </c>
      <c r="G936" t="s">
        <v>2919</v>
      </c>
      <c r="H936" t="s">
        <v>275</v>
      </c>
      <c r="I936" t="s">
        <v>29</v>
      </c>
      <c r="J936">
        <v>1</v>
      </c>
      <c r="K936">
        <f>1-844-945-1617</f>
        <v>-3405</v>
      </c>
      <c r="L936" t="s">
        <v>2920</v>
      </c>
      <c r="M936" t="s">
        <v>2921</v>
      </c>
      <c r="N936" t="s">
        <v>278</v>
      </c>
      <c r="O936" t="s">
        <v>28</v>
      </c>
      <c r="P936" t="s">
        <v>29</v>
      </c>
      <c r="Q936">
        <v>42</v>
      </c>
      <c r="R936">
        <v>-93.620800000000003</v>
      </c>
    </row>
    <row r="937" spans="1:18" x14ac:dyDescent="0.2">
      <c r="A937" t="s">
        <v>270</v>
      </c>
      <c r="B937" t="s">
        <v>271</v>
      </c>
      <c r="C937">
        <v>33</v>
      </c>
      <c r="D937" s="1">
        <v>44180.811851851853</v>
      </c>
      <c r="E937" t="s">
        <v>2922</v>
      </c>
      <c r="F937" t="s">
        <v>273</v>
      </c>
      <c r="G937" t="s">
        <v>2919</v>
      </c>
      <c r="H937" t="s">
        <v>275</v>
      </c>
      <c r="I937" t="s">
        <v>292</v>
      </c>
      <c r="J937">
        <v>33</v>
      </c>
      <c r="K937">
        <f>33-7-55-53-87-14</f>
        <v>-183</v>
      </c>
      <c r="L937" t="s">
        <v>2923</v>
      </c>
      <c r="M937" t="s">
        <v>2924</v>
      </c>
      <c r="N937" t="s">
        <v>278</v>
      </c>
      <c r="O937" t="s">
        <v>134</v>
      </c>
      <c r="P937" t="s">
        <v>29</v>
      </c>
      <c r="Q937">
        <v>42</v>
      </c>
      <c r="R937">
        <v>-93.620800000000003</v>
      </c>
    </row>
    <row r="938" spans="1:18" x14ac:dyDescent="0.2">
      <c r="A938" t="s">
        <v>270</v>
      </c>
      <c r="B938" t="s">
        <v>271</v>
      </c>
      <c r="C938">
        <v>33</v>
      </c>
      <c r="D938" s="1">
        <v>44180.682800925926</v>
      </c>
      <c r="E938" t="s">
        <v>2925</v>
      </c>
      <c r="F938" t="s">
        <v>273</v>
      </c>
      <c r="G938" t="s">
        <v>2919</v>
      </c>
      <c r="H938" t="s">
        <v>275</v>
      </c>
      <c r="I938" t="s">
        <v>292</v>
      </c>
      <c r="J938">
        <v>33</v>
      </c>
      <c r="K938">
        <f>33-7-55-53-87-14</f>
        <v>-183</v>
      </c>
      <c r="L938" t="s">
        <v>2926</v>
      </c>
      <c r="M938" t="s">
        <v>2927</v>
      </c>
      <c r="N938" t="s">
        <v>278</v>
      </c>
      <c r="O938" t="s">
        <v>134</v>
      </c>
      <c r="P938" t="s">
        <v>29</v>
      </c>
      <c r="Q938">
        <v>42</v>
      </c>
      <c r="R938">
        <v>-93.620800000000003</v>
      </c>
    </row>
    <row r="939" spans="1:18" x14ac:dyDescent="0.2">
      <c r="A939" t="s">
        <v>270</v>
      </c>
      <c r="B939" t="s">
        <v>271</v>
      </c>
      <c r="C939">
        <v>33</v>
      </c>
      <c r="D939" s="1">
        <v>44180.541215277779</v>
      </c>
      <c r="E939" t="s">
        <v>2928</v>
      </c>
      <c r="F939" t="s">
        <v>273</v>
      </c>
      <c r="G939" t="s">
        <v>2919</v>
      </c>
      <c r="H939" t="s">
        <v>275</v>
      </c>
      <c r="I939" t="s">
        <v>292</v>
      </c>
      <c r="J939">
        <v>33</v>
      </c>
      <c r="K939">
        <f>33-7-55-53-92-66</f>
        <v>-240</v>
      </c>
      <c r="L939" t="s">
        <v>2929</v>
      </c>
      <c r="M939" t="s">
        <v>2930</v>
      </c>
      <c r="N939" t="s">
        <v>278</v>
      </c>
      <c r="O939" t="s">
        <v>134</v>
      </c>
      <c r="P939" t="s">
        <v>29</v>
      </c>
      <c r="Q939">
        <v>42</v>
      </c>
      <c r="R939">
        <v>-93.620800000000003</v>
      </c>
    </row>
    <row r="940" spans="1:18" x14ac:dyDescent="0.2">
      <c r="A940" t="s">
        <v>270</v>
      </c>
      <c r="B940" t="s">
        <v>271</v>
      </c>
      <c r="C940">
        <v>33</v>
      </c>
      <c r="D940" s="1">
        <v>44180.541168981479</v>
      </c>
      <c r="E940" t="s">
        <v>2931</v>
      </c>
      <c r="F940" t="s">
        <v>273</v>
      </c>
      <c r="G940" t="s">
        <v>2919</v>
      </c>
      <c r="H940" t="s">
        <v>275</v>
      </c>
      <c r="I940" t="s">
        <v>292</v>
      </c>
      <c r="J940">
        <v>33</v>
      </c>
      <c r="K940">
        <f>33-7-55-53-87-14</f>
        <v>-183</v>
      </c>
      <c r="L940" t="s">
        <v>2932</v>
      </c>
      <c r="M940" t="s">
        <v>2933</v>
      </c>
      <c r="N940" t="s">
        <v>278</v>
      </c>
      <c r="O940" t="s">
        <v>134</v>
      </c>
      <c r="P940" t="s">
        <v>29</v>
      </c>
      <c r="Q940">
        <v>42</v>
      </c>
      <c r="R940">
        <v>-93.620800000000003</v>
      </c>
    </row>
    <row r="941" spans="1:18" x14ac:dyDescent="0.2">
      <c r="A941" t="s">
        <v>270</v>
      </c>
      <c r="B941" t="s">
        <v>271</v>
      </c>
      <c r="C941">
        <v>33</v>
      </c>
      <c r="D941" s="1">
        <v>44178.63795138889</v>
      </c>
      <c r="E941" t="s">
        <v>2934</v>
      </c>
      <c r="F941" t="s">
        <v>273</v>
      </c>
      <c r="G941" t="s">
        <v>2919</v>
      </c>
      <c r="H941" t="s">
        <v>275</v>
      </c>
      <c r="I941" t="s">
        <v>292</v>
      </c>
      <c r="J941">
        <v>33</v>
      </c>
      <c r="K941">
        <f>33-7-55-53-87-14</f>
        <v>-183</v>
      </c>
      <c r="L941" t="s">
        <v>2935</v>
      </c>
      <c r="M941" t="s">
        <v>2936</v>
      </c>
      <c r="N941" t="s">
        <v>278</v>
      </c>
      <c r="O941" t="s">
        <v>134</v>
      </c>
      <c r="P941" t="s">
        <v>29</v>
      </c>
      <c r="Q941">
        <v>42</v>
      </c>
      <c r="R941">
        <v>-93.620800000000003</v>
      </c>
    </row>
    <row r="942" spans="1:18" x14ac:dyDescent="0.2">
      <c r="A942" t="s">
        <v>270</v>
      </c>
      <c r="B942" t="s">
        <v>271</v>
      </c>
      <c r="C942">
        <v>33</v>
      </c>
      <c r="D942" s="1">
        <v>44178.619166666664</v>
      </c>
      <c r="E942" t="s">
        <v>2937</v>
      </c>
      <c r="F942" t="s">
        <v>273</v>
      </c>
      <c r="G942" t="s">
        <v>2919</v>
      </c>
      <c r="H942" t="s">
        <v>275</v>
      </c>
      <c r="I942" t="s">
        <v>292</v>
      </c>
      <c r="J942">
        <v>33</v>
      </c>
      <c r="K942">
        <f>33-7-55-53-87-14</f>
        <v>-183</v>
      </c>
      <c r="L942" t="s">
        <v>2938</v>
      </c>
      <c r="M942" t="s">
        <v>2939</v>
      </c>
      <c r="N942" t="s">
        <v>278</v>
      </c>
      <c r="O942" t="s">
        <v>134</v>
      </c>
      <c r="P942" t="s">
        <v>29</v>
      </c>
      <c r="Q942">
        <v>42</v>
      </c>
      <c r="R942">
        <v>-93.620800000000003</v>
      </c>
    </row>
    <row r="943" spans="1:18" x14ac:dyDescent="0.2">
      <c r="A943" t="s">
        <v>270</v>
      </c>
      <c r="B943" t="s">
        <v>271</v>
      </c>
      <c r="C943">
        <v>33</v>
      </c>
      <c r="D943" s="1">
        <v>44178.618495370371</v>
      </c>
      <c r="E943" t="s">
        <v>2940</v>
      </c>
      <c r="F943" t="s">
        <v>273</v>
      </c>
      <c r="G943" t="s">
        <v>2919</v>
      </c>
      <c r="H943" t="s">
        <v>275</v>
      </c>
      <c r="I943" t="s">
        <v>292</v>
      </c>
      <c r="J943">
        <v>33</v>
      </c>
      <c r="K943">
        <f>33-7-55-53-87-14</f>
        <v>-183</v>
      </c>
      <c r="L943" t="s">
        <v>2941</v>
      </c>
      <c r="M943" t="s">
        <v>2942</v>
      </c>
      <c r="N943" t="s">
        <v>278</v>
      </c>
      <c r="O943" t="s">
        <v>134</v>
      </c>
      <c r="P943" t="s">
        <v>29</v>
      </c>
      <c r="Q943">
        <v>42</v>
      </c>
      <c r="R943">
        <v>-93.620800000000003</v>
      </c>
    </row>
    <row r="944" spans="1:18" x14ac:dyDescent="0.2">
      <c r="A944" t="s">
        <v>270</v>
      </c>
      <c r="B944" t="s">
        <v>271</v>
      </c>
      <c r="C944">
        <v>81</v>
      </c>
      <c r="D944" s="1">
        <v>44177.827650462961</v>
      </c>
      <c r="E944" t="s">
        <v>2943</v>
      </c>
      <c r="F944" t="s">
        <v>273</v>
      </c>
      <c r="G944" t="s">
        <v>2919</v>
      </c>
      <c r="H944" t="s">
        <v>275</v>
      </c>
      <c r="I944" t="s">
        <v>53</v>
      </c>
      <c r="J944">
        <v>81</v>
      </c>
      <c r="K944">
        <f>81-7-55-53-87-14</f>
        <v>-135</v>
      </c>
      <c r="L944" t="s">
        <v>2944</v>
      </c>
      <c r="M944" t="s">
        <v>2945</v>
      </c>
      <c r="N944" t="s">
        <v>278</v>
      </c>
      <c r="O944" t="s">
        <v>134</v>
      </c>
      <c r="P944" t="s">
        <v>29</v>
      </c>
      <c r="Q944">
        <v>42</v>
      </c>
      <c r="R944">
        <v>-93.620800000000003</v>
      </c>
    </row>
    <row r="945" spans="1:18" x14ac:dyDescent="0.2">
      <c r="A945" t="s">
        <v>270</v>
      </c>
      <c r="B945" t="s">
        <v>271</v>
      </c>
      <c r="C945">
        <v>33</v>
      </c>
      <c r="D945" s="1">
        <v>44177.588518518518</v>
      </c>
      <c r="E945" t="s">
        <v>2946</v>
      </c>
      <c r="F945" t="s">
        <v>273</v>
      </c>
      <c r="G945" t="s">
        <v>2919</v>
      </c>
      <c r="H945" t="s">
        <v>275</v>
      </c>
      <c r="I945" t="s">
        <v>292</v>
      </c>
      <c r="J945">
        <v>33</v>
      </c>
      <c r="K945">
        <f>33-7-55-53-87-14</f>
        <v>-183</v>
      </c>
      <c r="L945" t="s">
        <v>2947</v>
      </c>
      <c r="M945" t="s">
        <v>2948</v>
      </c>
      <c r="N945" t="s">
        <v>278</v>
      </c>
      <c r="O945" t="s">
        <v>134</v>
      </c>
      <c r="P945" t="s">
        <v>29</v>
      </c>
      <c r="Q945">
        <v>42</v>
      </c>
      <c r="R945">
        <v>-93.620800000000003</v>
      </c>
    </row>
    <row r="946" spans="1:18" x14ac:dyDescent="0.2">
      <c r="A946" t="s">
        <v>270</v>
      </c>
      <c r="B946" t="s">
        <v>271</v>
      </c>
      <c r="C946">
        <v>33</v>
      </c>
      <c r="D946" s="1">
        <v>44169.819282407407</v>
      </c>
      <c r="E946" t="s">
        <v>2949</v>
      </c>
      <c r="F946" t="s">
        <v>273</v>
      </c>
      <c r="G946" t="s">
        <v>2919</v>
      </c>
      <c r="H946" t="s">
        <v>275</v>
      </c>
      <c r="I946" t="s">
        <v>292</v>
      </c>
      <c r="J946">
        <v>33</v>
      </c>
      <c r="K946">
        <f>33-7-55-53-87-14</f>
        <v>-183</v>
      </c>
      <c r="L946" t="s">
        <v>2950</v>
      </c>
      <c r="M946" t="s">
        <v>2951</v>
      </c>
      <c r="N946" t="s">
        <v>278</v>
      </c>
      <c r="O946" t="s">
        <v>134</v>
      </c>
      <c r="P946" t="s">
        <v>29</v>
      </c>
      <c r="Q946">
        <v>42</v>
      </c>
      <c r="R946">
        <v>-93.620800000000003</v>
      </c>
    </row>
    <row r="947" spans="1:18" x14ac:dyDescent="0.2">
      <c r="A947" t="s">
        <v>270</v>
      </c>
      <c r="B947" t="s">
        <v>271</v>
      </c>
      <c r="C947">
        <v>1</v>
      </c>
      <c r="D947" s="1">
        <v>44084.7815162037</v>
      </c>
      <c r="E947" t="s">
        <v>2952</v>
      </c>
      <c r="F947" t="s">
        <v>273</v>
      </c>
      <c r="G947" t="s">
        <v>2919</v>
      </c>
      <c r="H947" t="s">
        <v>275</v>
      </c>
      <c r="I947" t="s">
        <v>29</v>
      </c>
      <c r="J947">
        <v>1</v>
      </c>
      <c r="K947">
        <f>1-888-608-5109</f>
        <v>-6604</v>
      </c>
      <c r="L947" t="s">
        <v>2953</v>
      </c>
      <c r="M947" t="s">
        <v>2954</v>
      </c>
      <c r="N947" t="s">
        <v>278</v>
      </c>
      <c r="O947" t="s">
        <v>28</v>
      </c>
      <c r="P947" t="s">
        <v>29</v>
      </c>
      <c r="Q947">
        <v>42</v>
      </c>
      <c r="R947">
        <v>-93.620800000000003</v>
      </c>
    </row>
    <row r="948" spans="1:18" x14ac:dyDescent="0.2">
      <c r="A948" t="s">
        <v>270</v>
      </c>
      <c r="B948" t="s">
        <v>271</v>
      </c>
      <c r="C948">
        <v>1</v>
      </c>
      <c r="D948" s="1">
        <v>44083.829085648147</v>
      </c>
      <c r="E948" t="s">
        <v>2955</v>
      </c>
      <c r="F948" t="s">
        <v>273</v>
      </c>
      <c r="G948" t="s">
        <v>2919</v>
      </c>
      <c r="H948" t="s">
        <v>275</v>
      </c>
      <c r="I948" t="s">
        <v>29</v>
      </c>
      <c r="J948">
        <v>1</v>
      </c>
      <c r="K948">
        <f>1-888-592-7014</f>
        <v>-8493</v>
      </c>
      <c r="L948" t="s">
        <v>2956</v>
      </c>
      <c r="M948" t="s">
        <v>2957</v>
      </c>
      <c r="N948" t="s">
        <v>278</v>
      </c>
      <c r="O948" t="s">
        <v>28</v>
      </c>
      <c r="P948" t="s">
        <v>29</v>
      </c>
      <c r="Q948">
        <v>42</v>
      </c>
      <c r="R948">
        <v>-93.620800000000003</v>
      </c>
    </row>
    <row r="949" spans="1:18" x14ac:dyDescent="0.2">
      <c r="A949" t="s">
        <v>270</v>
      </c>
      <c r="B949" t="s">
        <v>271</v>
      </c>
      <c r="C949">
        <v>1</v>
      </c>
      <c r="D949" s="1">
        <v>44078.851446759261</v>
      </c>
      <c r="E949" t="s">
        <v>2958</v>
      </c>
      <c r="F949" t="s">
        <v>273</v>
      </c>
      <c r="G949" t="s">
        <v>2919</v>
      </c>
      <c r="H949" t="s">
        <v>275</v>
      </c>
      <c r="I949" t="s">
        <v>29</v>
      </c>
      <c r="J949">
        <v>1</v>
      </c>
      <c r="K949">
        <f>1-866-754-7703</f>
        <v>-9322</v>
      </c>
      <c r="L949" t="s">
        <v>2959</v>
      </c>
      <c r="M949" t="s">
        <v>2960</v>
      </c>
      <c r="N949" t="s">
        <v>278</v>
      </c>
      <c r="O949" t="s">
        <v>134</v>
      </c>
      <c r="P949" t="s">
        <v>29</v>
      </c>
      <c r="Q949">
        <v>42</v>
      </c>
      <c r="R949">
        <v>-93.620800000000003</v>
      </c>
    </row>
    <row r="950" spans="1:18" x14ac:dyDescent="0.2">
      <c r="A950" t="s">
        <v>270</v>
      </c>
      <c r="B950" t="s">
        <v>271</v>
      </c>
      <c r="C950">
        <v>1</v>
      </c>
      <c r="D950" s="1">
        <v>44073.928784722222</v>
      </c>
      <c r="E950" t="s">
        <v>2961</v>
      </c>
      <c r="F950" t="s">
        <v>273</v>
      </c>
      <c r="G950" t="s">
        <v>2919</v>
      </c>
      <c r="H950" t="s">
        <v>275</v>
      </c>
      <c r="I950" t="s">
        <v>29</v>
      </c>
      <c r="J950">
        <v>1</v>
      </c>
      <c r="K950">
        <f>1-888-530-2072</f>
        <v>-3489</v>
      </c>
      <c r="L950" t="s">
        <v>2962</v>
      </c>
      <c r="M950" t="s">
        <v>2963</v>
      </c>
      <c r="N950" t="s">
        <v>278</v>
      </c>
      <c r="O950" t="s">
        <v>134</v>
      </c>
      <c r="P950" t="s">
        <v>29</v>
      </c>
      <c r="Q950">
        <v>42</v>
      </c>
      <c r="R950">
        <v>-93.620800000000003</v>
      </c>
    </row>
    <row r="951" spans="1:18" x14ac:dyDescent="0.2">
      <c r="A951" t="s">
        <v>270</v>
      </c>
      <c r="B951" t="s">
        <v>271</v>
      </c>
      <c r="C951">
        <v>1</v>
      </c>
      <c r="D951" s="1">
        <v>44073.925937499997</v>
      </c>
      <c r="E951" t="s">
        <v>2964</v>
      </c>
      <c r="F951" t="s">
        <v>273</v>
      </c>
      <c r="G951" t="s">
        <v>2919</v>
      </c>
      <c r="H951" t="s">
        <v>275</v>
      </c>
      <c r="I951" t="s">
        <v>29</v>
      </c>
      <c r="J951">
        <v>1</v>
      </c>
      <c r="K951">
        <f>1-888-538-1073</f>
        <v>-2498</v>
      </c>
      <c r="L951" t="s">
        <v>2965</v>
      </c>
      <c r="M951" t="s">
        <v>2966</v>
      </c>
      <c r="N951" t="s">
        <v>278</v>
      </c>
      <c r="O951" t="s">
        <v>134</v>
      </c>
      <c r="P951" t="s">
        <v>29</v>
      </c>
      <c r="Q951">
        <v>42</v>
      </c>
      <c r="R951">
        <v>-93.620800000000003</v>
      </c>
    </row>
    <row r="952" spans="1:18" x14ac:dyDescent="0.2">
      <c r="A952" t="s">
        <v>270</v>
      </c>
      <c r="B952" t="s">
        <v>271</v>
      </c>
      <c r="C952">
        <v>1</v>
      </c>
      <c r="D952" s="1">
        <v>44072.869305555556</v>
      </c>
      <c r="E952" t="s">
        <v>2967</v>
      </c>
      <c r="F952" t="s">
        <v>273</v>
      </c>
      <c r="G952" t="s">
        <v>2919</v>
      </c>
      <c r="H952" t="s">
        <v>275</v>
      </c>
      <c r="I952" t="s">
        <v>29</v>
      </c>
      <c r="J952">
        <v>1</v>
      </c>
      <c r="K952">
        <f>1-888-609-3819</f>
        <v>-5315</v>
      </c>
      <c r="L952" t="s">
        <v>2968</v>
      </c>
      <c r="M952" t="s">
        <v>2969</v>
      </c>
      <c r="N952" t="s">
        <v>278</v>
      </c>
      <c r="O952" t="s">
        <v>134</v>
      </c>
      <c r="P952" t="s">
        <v>29</v>
      </c>
      <c r="Q952">
        <v>42</v>
      </c>
      <c r="R952">
        <v>-93.620800000000003</v>
      </c>
    </row>
    <row r="953" spans="1:18" x14ac:dyDescent="0.2">
      <c r="A953" t="s">
        <v>270</v>
      </c>
      <c r="B953" t="s">
        <v>271</v>
      </c>
      <c r="C953">
        <v>1</v>
      </c>
      <c r="D953" s="1">
        <v>44070.583275462966</v>
      </c>
      <c r="E953" t="s">
        <v>2970</v>
      </c>
      <c r="F953" t="s">
        <v>273</v>
      </c>
      <c r="G953" t="s">
        <v>2919</v>
      </c>
      <c r="H953" t="s">
        <v>275</v>
      </c>
      <c r="I953" t="s">
        <v>29</v>
      </c>
      <c r="J953">
        <v>1</v>
      </c>
      <c r="K953">
        <f>1-866-672-9693</f>
        <v>-11230</v>
      </c>
      <c r="L953" t="s">
        <v>2971</v>
      </c>
      <c r="M953" t="s">
        <v>2972</v>
      </c>
      <c r="N953" t="s">
        <v>278</v>
      </c>
      <c r="O953" t="s">
        <v>134</v>
      </c>
      <c r="P953" t="s">
        <v>29</v>
      </c>
      <c r="Q953">
        <v>42</v>
      </c>
      <c r="R953">
        <v>-93.620800000000003</v>
      </c>
    </row>
    <row r="954" spans="1:18" x14ac:dyDescent="0.2">
      <c r="A954" t="s">
        <v>270</v>
      </c>
      <c r="B954" t="s">
        <v>271</v>
      </c>
      <c r="C954">
        <v>1</v>
      </c>
      <c r="D954" s="1">
        <v>43994.863645833335</v>
      </c>
      <c r="E954" t="s">
        <v>2973</v>
      </c>
      <c r="F954" t="s">
        <v>273</v>
      </c>
      <c r="G954" t="s">
        <v>2919</v>
      </c>
      <c r="H954" t="s">
        <v>275</v>
      </c>
      <c r="I954" t="s">
        <v>29</v>
      </c>
      <c r="J954">
        <v>1</v>
      </c>
      <c r="K954">
        <f>1-844-262-2618</f>
        <v>-3723</v>
      </c>
      <c r="L954" t="s">
        <v>2974</v>
      </c>
      <c r="M954" t="s">
        <v>2975</v>
      </c>
      <c r="N954" t="s">
        <v>278</v>
      </c>
      <c r="O954" t="s">
        <v>134</v>
      </c>
      <c r="P954" t="s">
        <v>29</v>
      </c>
      <c r="Q954">
        <v>42</v>
      </c>
      <c r="R954">
        <v>-93.620800000000003</v>
      </c>
    </row>
    <row r="955" spans="1:18" x14ac:dyDescent="0.2">
      <c r="A955" t="s">
        <v>270</v>
      </c>
      <c r="B955" t="s">
        <v>271</v>
      </c>
      <c r="C955">
        <v>1</v>
      </c>
      <c r="D955" s="1">
        <v>43992.811828703707</v>
      </c>
      <c r="E955" t="s">
        <v>2976</v>
      </c>
      <c r="F955" t="s">
        <v>273</v>
      </c>
      <c r="G955" t="s">
        <v>2919</v>
      </c>
      <c r="H955" t="s">
        <v>275</v>
      </c>
      <c r="I955" t="s">
        <v>29</v>
      </c>
      <c r="J955">
        <v>1</v>
      </c>
      <c r="K955">
        <f>1-833-563-531</f>
        <v>-1926</v>
      </c>
      <c r="L955" t="s">
        <v>2977</v>
      </c>
      <c r="M955" t="s">
        <v>2978</v>
      </c>
      <c r="N955" t="s">
        <v>278</v>
      </c>
      <c r="O955" t="s">
        <v>28</v>
      </c>
      <c r="P955" t="s">
        <v>29</v>
      </c>
      <c r="Q955">
        <v>42</v>
      </c>
      <c r="R955">
        <v>-93.620800000000003</v>
      </c>
    </row>
    <row r="956" spans="1:18" x14ac:dyDescent="0.2">
      <c r="A956" t="s">
        <v>270</v>
      </c>
      <c r="B956" t="s">
        <v>271</v>
      </c>
      <c r="C956">
        <v>1</v>
      </c>
      <c r="D956" s="1">
        <v>43987.629814814813</v>
      </c>
      <c r="E956" t="s">
        <v>2979</v>
      </c>
      <c r="F956" t="s">
        <v>273</v>
      </c>
      <c r="G956" t="s">
        <v>2919</v>
      </c>
      <c r="H956" t="s">
        <v>275</v>
      </c>
      <c r="I956" t="s">
        <v>29</v>
      </c>
      <c r="J956">
        <v>1</v>
      </c>
      <c r="K956">
        <f>1-833-760-1179</f>
        <v>-2771</v>
      </c>
      <c r="L956" t="s">
        <v>2980</v>
      </c>
      <c r="M956" t="s">
        <v>2981</v>
      </c>
      <c r="N956" t="s">
        <v>278</v>
      </c>
      <c r="O956" t="s">
        <v>134</v>
      </c>
      <c r="P956" t="s">
        <v>29</v>
      </c>
      <c r="Q956">
        <v>42</v>
      </c>
      <c r="R956">
        <v>-93.620800000000003</v>
      </c>
    </row>
    <row r="957" spans="1:18" x14ac:dyDescent="0.2">
      <c r="A957" t="s">
        <v>270</v>
      </c>
      <c r="B957" t="s">
        <v>271</v>
      </c>
      <c r="C957">
        <v>1</v>
      </c>
      <c r="D957" s="1">
        <v>43987.609490740739</v>
      </c>
      <c r="E957" t="s">
        <v>2979</v>
      </c>
      <c r="F957" t="s">
        <v>273</v>
      </c>
      <c r="G957" t="s">
        <v>2919</v>
      </c>
      <c r="H957" t="s">
        <v>275</v>
      </c>
      <c r="I957" t="s">
        <v>29</v>
      </c>
      <c r="J957">
        <v>1</v>
      </c>
      <c r="K957">
        <f>1-833-760-1179</f>
        <v>-2771</v>
      </c>
      <c r="L957" t="s">
        <v>2982</v>
      </c>
      <c r="M957" t="s">
        <v>2983</v>
      </c>
      <c r="N957" t="s">
        <v>278</v>
      </c>
      <c r="O957" t="s">
        <v>134</v>
      </c>
      <c r="P957" t="s">
        <v>29</v>
      </c>
      <c r="Q957">
        <v>42</v>
      </c>
      <c r="R957">
        <v>-93.620800000000003</v>
      </c>
    </row>
    <row r="958" spans="1:18" x14ac:dyDescent="0.2">
      <c r="A958" t="s">
        <v>270</v>
      </c>
      <c r="B958" t="s">
        <v>271</v>
      </c>
      <c r="C958">
        <v>1</v>
      </c>
      <c r="D958" s="1">
        <v>43981.79824074074</v>
      </c>
      <c r="E958" t="s">
        <v>2979</v>
      </c>
      <c r="F958" t="s">
        <v>273</v>
      </c>
      <c r="G958" t="s">
        <v>2919</v>
      </c>
      <c r="H958" t="s">
        <v>275</v>
      </c>
      <c r="I958" t="s">
        <v>29</v>
      </c>
      <c r="J958">
        <v>1</v>
      </c>
      <c r="K958">
        <f>1-833-760-1179</f>
        <v>-2771</v>
      </c>
      <c r="L958" t="s">
        <v>2984</v>
      </c>
      <c r="M958" t="s">
        <v>2985</v>
      </c>
      <c r="N958" t="s">
        <v>278</v>
      </c>
      <c r="O958" t="s">
        <v>28</v>
      </c>
      <c r="P958" t="s">
        <v>29</v>
      </c>
      <c r="Q958">
        <v>42</v>
      </c>
      <c r="R958">
        <v>-93.620800000000003</v>
      </c>
    </row>
    <row r="959" spans="1:18" x14ac:dyDescent="0.2">
      <c r="A959" t="s">
        <v>675</v>
      </c>
      <c r="B959" t="s">
        <v>676</v>
      </c>
      <c r="C959">
        <v>1</v>
      </c>
      <c r="D959" s="1">
        <v>43987.625092592592</v>
      </c>
      <c r="E959" t="s">
        <v>2986</v>
      </c>
      <c r="F959" t="s">
        <v>2987</v>
      </c>
      <c r="G959" t="s">
        <v>2988</v>
      </c>
      <c r="H959" t="s">
        <v>680</v>
      </c>
      <c r="I959" t="s">
        <v>29</v>
      </c>
      <c r="J959">
        <v>1</v>
      </c>
      <c r="K959">
        <f>1-866-208-4667</f>
        <v>-5740</v>
      </c>
      <c r="L959" t="s">
        <v>2989</v>
      </c>
      <c r="M959" t="s">
        <v>2990</v>
      </c>
      <c r="N959" t="s">
        <v>1645</v>
      </c>
      <c r="O959" t="s">
        <v>28</v>
      </c>
      <c r="P959" t="s">
        <v>29</v>
      </c>
      <c r="Q959">
        <v>33</v>
      </c>
      <c r="R959">
        <v>-99.999999000000003</v>
      </c>
    </row>
    <row r="960" spans="1:18" x14ac:dyDescent="0.2">
      <c r="A960" t="s">
        <v>675</v>
      </c>
      <c r="B960" t="s">
        <v>676</v>
      </c>
      <c r="C960">
        <v>1</v>
      </c>
      <c r="D960" s="1">
        <v>43981.918194444443</v>
      </c>
      <c r="E960" t="s">
        <v>2986</v>
      </c>
      <c r="F960" t="s">
        <v>2987</v>
      </c>
      <c r="G960" t="s">
        <v>2988</v>
      </c>
      <c r="H960" t="s">
        <v>680</v>
      </c>
      <c r="I960" t="s">
        <v>29</v>
      </c>
      <c r="J960">
        <v>1</v>
      </c>
      <c r="K960">
        <f>1-866-208-4667</f>
        <v>-5740</v>
      </c>
      <c r="L960" t="s">
        <v>2991</v>
      </c>
      <c r="M960" t="s">
        <v>2992</v>
      </c>
      <c r="N960" t="s">
        <v>1645</v>
      </c>
      <c r="O960" t="s">
        <v>28</v>
      </c>
      <c r="P960" t="s">
        <v>29</v>
      </c>
      <c r="Q960">
        <v>33</v>
      </c>
      <c r="R960">
        <v>-99.999999000000003</v>
      </c>
    </row>
    <row r="961" spans="1:18" x14ac:dyDescent="0.2">
      <c r="A961" t="s">
        <v>270</v>
      </c>
      <c r="B961" t="s">
        <v>1212</v>
      </c>
      <c r="C961">
        <v>1</v>
      </c>
      <c r="D961" s="1">
        <v>44096.366782407407</v>
      </c>
      <c r="E961" t="s">
        <v>2993</v>
      </c>
      <c r="F961" t="s">
        <v>273</v>
      </c>
      <c r="G961" t="s">
        <v>2994</v>
      </c>
      <c r="H961" t="s">
        <v>275</v>
      </c>
      <c r="I961" t="s">
        <v>29</v>
      </c>
      <c r="J961">
        <v>1</v>
      </c>
      <c r="K961">
        <f>1-844-309-2655</f>
        <v>-3807</v>
      </c>
      <c r="L961" t="s">
        <v>2995</v>
      </c>
      <c r="M961" t="s">
        <v>2996</v>
      </c>
      <c r="N961" t="s">
        <v>278</v>
      </c>
      <c r="O961" t="s">
        <v>28</v>
      </c>
      <c r="P961" t="s">
        <v>618</v>
      </c>
      <c r="Q961">
        <v>52</v>
      </c>
      <c r="R961">
        <v>-7.9212000000000005E-2</v>
      </c>
    </row>
    <row r="962" spans="1:18" x14ac:dyDescent="0.2">
      <c r="A962" t="s">
        <v>270</v>
      </c>
      <c r="B962" t="s">
        <v>1212</v>
      </c>
      <c r="C962">
        <v>1</v>
      </c>
      <c r="D962" s="1">
        <v>44073.929224537038</v>
      </c>
      <c r="E962" t="s">
        <v>2997</v>
      </c>
      <c r="F962" t="s">
        <v>273</v>
      </c>
      <c r="G962" t="s">
        <v>2994</v>
      </c>
      <c r="H962" t="s">
        <v>275</v>
      </c>
      <c r="I962" t="s">
        <v>29</v>
      </c>
      <c r="J962">
        <v>1</v>
      </c>
      <c r="K962">
        <f>1-888-538-267</f>
        <v>-1692</v>
      </c>
      <c r="L962" t="s">
        <v>2998</v>
      </c>
      <c r="M962" t="s">
        <v>2999</v>
      </c>
      <c r="N962" t="s">
        <v>278</v>
      </c>
      <c r="O962" t="s">
        <v>134</v>
      </c>
      <c r="P962" t="s">
        <v>618</v>
      </c>
      <c r="Q962">
        <v>52</v>
      </c>
      <c r="R962">
        <v>-7.9212000000000005E-2</v>
      </c>
    </row>
    <row r="963" spans="1:18" x14ac:dyDescent="0.2">
      <c r="A963" t="s">
        <v>270</v>
      </c>
      <c r="B963" t="s">
        <v>1212</v>
      </c>
      <c r="C963">
        <v>1</v>
      </c>
      <c r="D963" s="1">
        <v>44073.928148148145</v>
      </c>
      <c r="E963" t="s">
        <v>3000</v>
      </c>
      <c r="F963" t="s">
        <v>273</v>
      </c>
      <c r="G963" t="s">
        <v>2994</v>
      </c>
      <c r="H963" t="s">
        <v>275</v>
      </c>
      <c r="I963" t="s">
        <v>29</v>
      </c>
      <c r="J963">
        <v>1</v>
      </c>
      <c r="K963">
        <f>1-888-531-9415</f>
        <v>-10833</v>
      </c>
      <c r="L963" t="s">
        <v>3001</v>
      </c>
      <c r="M963" t="s">
        <v>3002</v>
      </c>
      <c r="N963" t="s">
        <v>278</v>
      </c>
      <c r="O963" t="s">
        <v>134</v>
      </c>
      <c r="P963" t="s">
        <v>618</v>
      </c>
      <c r="Q963">
        <v>52</v>
      </c>
      <c r="R963">
        <v>-7.9212000000000005E-2</v>
      </c>
    </row>
    <row r="964" spans="1:18" x14ac:dyDescent="0.2">
      <c r="A964" t="s">
        <v>270</v>
      </c>
      <c r="B964" t="s">
        <v>1212</v>
      </c>
      <c r="C964">
        <v>1</v>
      </c>
      <c r="D964" s="1">
        <v>44071.904965277776</v>
      </c>
      <c r="E964" t="s">
        <v>3003</v>
      </c>
      <c r="F964" t="s">
        <v>273</v>
      </c>
      <c r="G964" t="s">
        <v>2994</v>
      </c>
      <c r="H964" t="s">
        <v>275</v>
      </c>
      <c r="I964" t="s">
        <v>29</v>
      </c>
      <c r="J964">
        <v>1</v>
      </c>
      <c r="K964">
        <f>1-888-708-1143</f>
        <v>-2738</v>
      </c>
      <c r="L964" t="s">
        <v>3004</v>
      </c>
      <c r="M964" t="s">
        <v>3005</v>
      </c>
      <c r="N964" t="s">
        <v>278</v>
      </c>
      <c r="O964" t="s">
        <v>134</v>
      </c>
      <c r="P964" t="s">
        <v>618</v>
      </c>
      <c r="Q964">
        <v>52</v>
      </c>
      <c r="R964">
        <v>-7.9212000000000005E-2</v>
      </c>
    </row>
    <row r="965" spans="1:18" x14ac:dyDescent="0.2">
      <c r="A965" t="s">
        <v>270</v>
      </c>
      <c r="B965" t="s">
        <v>1212</v>
      </c>
      <c r="C965">
        <v>1</v>
      </c>
      <c r="D965" s="1">
        <v>44071.90283564815</v>
      </c>
      <c r="E965" t="s">
        <v>3006</v>
      </c>
      <c r="F965" t="s">
        <v>273</v>
      </c>
      <c r="G965" t="s">
        <v>2994</v>
      </c>
      <c r="H965" t="s">
        <v>275</v>
      </c>
      <c r="I965" t="s">
        <v>29</v>
      </c>
      <c r="J965">
        <v>1</v>
      </c>
      <c r="K965">
        <f>1-888-803-850</f>
        <v>-2540</v>
      </c>
      <c r="L965" t="s">
        <v>3007</v>
      </c>
      <c r="M965" t="s">
        <v>3008</v>
      </c>
      <c r="N965" t="s">
        <v>278</v>
      </c>
      <c r="O965" t="s">
        <v>134</v>
      </c>
      <c r="P965" t="s">
        <v>618</v>
      </c>
      <c r="Q965">
        <v>52</v>
      </c>
      <c r="R965">
        <v>-7.9212000000000005E-2</v>
      </c>
    </row>
    <row r="966" spans="1:18" x14ac:dyDescent="0.2">
      <c r="A966" t="s">
        <v>270</v>
      </c>
      <c r="B966" t="s">
        <v>1212</v>
      </c>
      <c r="C966">
        <v>1</v>
      </c>
      <c r="D966" s="1">
        <v>44071.417187500003</v>
      </c>
      <c r="E966" t="s">
        <v>3009</v>
      </c>
      <c r="F966" t="s">
        <v>273</v>
      </c>
      <c r="G966" t="s">
        <v>2994</v>
      </c>
      <c r="H966" t="s">
        <v>275</v>
      </c>
      <c r="I966" t="s">
        <v>29</v>
      </c>
      <c r="J966">
        <v>1</v>
      </c>
      <c r="K966">
        <f>1-888-803-828</f>
        <v>-2518</v>
      </c>
      <c r="L966" t="s">
        <v>3010</v>
      </c>
      <c r="M966" t="s">
        <v>3011</v>
      </c>
      <c r="N966" t="s">
        <v>278</v>
      </c>
      <c r="O966" t="s">
        <v>134</v>
      </c>
      <c r="P966" t="s">
        <v>618</v>
      </c>
      <c r="Q966">
        <v>52</v>
      </c>
      <c r="R966">
        <v>-7.9212000000000005E-2</v>
      </c>
    </row>
    <row r="967" spans="1:18" x14ac:dyDescent="0.2">
      <c r="A967" t="s">
        <v>270</v>
      </c>
      <c r="B967" t="s">
        <v>1212</v>
      </c>
      <c r="C967">
        <v>1</v>
      </c>
      <c r="D967" s="1">
        <v>44070.739837962959</v>
      </c>
      <c r="E967" t="s">
        <v>3012</v>
      </c>
      <c r="F967" t="s">
        <v>273</v>
      </c>
      <c r="G967" t="s">
        <v>2994</v>
      </c>
      <c r="H967" t="s">
        <v>275</v>
      </c>
      <c r="I967" t="s">
        <v>29</v>
      </c>
      <c r="J967">
        <v>1</v>
      </c>
      <c r="K967">
        <f>1-888-909-1270</f>
        <v>-3066</v>
      </c>
      <c r="L967" t="s">
        <v>3013</v>
      </c>
      <c r="M967" t="s">
        <v>3014</v>
      </c>
      <c r="N967" t="s">
        <v>278</v>
      </c>
      <c r="O967" t="s">
        <v>134</v>
      </c>
      <c r="P967" t="s">
        <v>618</v>
      </c>
      <c r="Q967">
        <v>52</v>
      </c>
      <c r="R967">
        <v>-7.9212000000000005E-2</v>
      </c>
    </row>
    <row r="968" spans="1:18" x14ac:dyDescent="0.2">
      <c r="A968" t="s">
        <v>270</v>
      </c>
      <c r="B968" t="s">
        <v>1212</v>
      </c>
      <c r="C968">
        <v>1</v>
      </c>
      <c r="D968" s="1">
        <v>44070.600358796299</v>
      </c>
      <c r="E968" t="s">
        <v>3015</v>
      </c>
      <c r="F968" t="s">
        <v>273</v>
      </c>
      <c r="G968" t="s">
        <v>2994</v>
      </c>
      <c r="H968" t="s">
        <v>275</v>
      </c>
      <c r="I968" t="s">
        <v>29</v>
      </c>
      <c r="J968">
        <v>1</v>
      </c>
      <c r="K968">
        <f>1-888-526-3661</f>
        <v>-5074</v>
      </c>
      <c r="L968" t="s">
        <v>3016</v>
      </c>
      <c r="M968" t="s">
        <v>3017</v>
      </c>
      <c r="N968" t="s">
        <v>278</v>
      </c>
      <c r="O968" t="s">
        <v>134</v>
      </c>
      <c r="P968" t="s">
        <v>618</v>
      </c>
      <c r="Q968">
        <v>52</v>
      </c>
      <c r="R968">
        <v>-7.9212000000000005E-2</v>
      </c>
    </row>
    <row r="969" spans="1:18" x14ac:dyDescent="0.2">
      <c r="A969" t="s">
        <v>270</v>
      </c>
      <c r="B969" t="s">
        <v>1212</v>
      </c>
      <c r="C969">
        <v>1</v>
      </c>
      <c r="D969" s="1">
        <v>44053.291435185187</v>
      </c>
      <c r="E969" t="s">
        <v>3018</v>
      </c>
      <c r="F969" t="s">
        <v>273</v>
      </c>
      <c r="G969" t="s">
        <v>2994</v>
      </c>
      <c r="H969" t="s">
        <v>275</v>
      </c>
      <c r="I969" t="s">
        <v>29</v>
      </c>
      <c r="J969">
        <v>1</v>
      </c>
      <c r="K969">
        <f>1-866-788-5605</f>
        <v>-7258</v>
      </c>
      <c r="L969" t="s">
        <v>3019</v>
      </c>
      <c r="M969" t="s">
        <v>3020</v>
      </c>
      <c r="N969" t="s">
        <v>278</v>
      </c>
      <c r="O969" t="s">
        <v>134</v>
      </c>
      <c r="P969" t="s">
        <v>618</v>
      </c>
      <c r="Q969">
        <v>52</v>
      </c>
      <c r="R969">
        <v>-7.9212000000000005E-2</v>
      </c>
    </row>
    <row r="970" spans="1:18" x14ac:dyDescent="0.2">
      <c r="A970" t="s">
        <v>270</v>
      </c>
      <c r="B970" t="s">
        <v>1212</v>
      </c>
      <c r="C970">
        <v>1</v>
      </c>
      <c r="D970" s="1">
        <v>44053.291435185187</v>
      </c>
      <c r="E970" t="s">
        <v>3018</v>
      </c>
      <c r="F970" t="s">
        <v>273</v>
      </c>
      <c r="G970" t="s">
        <v>2994</v>
      </c>
      <c r="H970" t="s">
        <v>275</v>
      </c>
      <c r="I970" t="s">
        <v>29</v>
      </c>
      <c r="J970">
        <v>1</v>
      </c>
      <c r="K970">
        <f>1-866-788-5605</f>
        <v>-7258</v>
      </c>
      <c r="L970" t="s">
        <v>3021</v>
      </c>
      <c r="M970" t="s">
        <v>3020</v>
      </c>
      <c r="N970" t="s">
        <v>278</v>
      </c>
      <c r="O970" t="s">
        <v>134</v>
      </c>
      <c r="P970" t="s">
        <v>618</v>
      </c>
      <c r="Q970">
        <v>52</v>
      </c>
      <c r="R970">
        <v>-7.9212000000000005E-2</v>
      </c>
    </row>
    <row r="971" spans="1:18" x14ac:dyDescent="0.2">
      <c r="A971" t="s">
        <v>270</v>
      </c>
      <c r="B971" t="s">
        <v>1212</v>
      </c>
      <c r="C971">
        <v>1</v>
      </c>
      <c r="D971" s="1">
        <v>44042.382881944446</v>
      </c>
      <c r="E971" t="s">
        <v>3022</v>
      </c>
      <c r="F971" t="s">
        <v>273</v>
      </c>
      <c r="G971" t="s">
        <v>2994</v>
      </c>
      <c r="H971" t="s">
        <v>275</v>
      </c>
      <c r="I971" t="s">
        <v>29</v>
      </c>
      <c r="J971">
        <v>1</v>
      </c>
      <c r="K971">
        <f>1-888-524-9927</f>
        <v>-11338</v>
      </c>
      <c r="L971" t="s">
        <v>3023</v>
      </c>
      <c r="M971" t="s">
        <v>3024</v>
      </c>
      <c r="N971" t="s">
        <v>278</v>
      </c>
      <c r="O971" t="s">
        <v>134</v>
      </c>
      <c r="P971" t="s">
        <v>618</v>
      </c>
      <c r="Q971">
        <v>52</v>
      </c>
      <c r="R971">
        <v>-7.9212000000000005E-2</v>
      </c>
    </row>
    <row r="972" spans="1:18" x14ac:dyDescent="0.2">
      <c r="A972" t="s">
        <v>270</v>
      </c>
      <c r="B972" t="s">
        <v>1212</v>
      </c>
      <c r="C972">
        <v>1</v>
      </c>
      <c r="D972" s="1">
        <v>43987.618333333332</v>
      </c>
      <c r="E972" t="s">
        <v>3025</v>
      </c>
      <c r="F972" t="s">
        <v>273</v>
      </c>
      <c r="G972" t="s">
        <v>2994</v>
      </c>
      <c r="H972" t="s">
        <v>275</v>
      </c>
      <c r="I972" t="s">
        <v>29</v>
      </c>
      <c r="J972">
        <v>1</v>
      </c>
      <c r="K972">
        <f>1-833-922-2143</f>
        <v>-3897</v>
      </c>
      <c r="L972" t="s">
        <v>3026</v>
      </c>
      <c r="M972" t="s">
        <v>3027</v>
      </c>
      <c r="N972" t="s">
        <v>278</v>
      </c>
      <c r="O972" t="s">
        <v>134</v>
      </c>
      <c r="P972" t="s">
        <v>618</v>
      </c>
      <c r="Q972">
        <v>52</v>
      </c>
      <c r="R972">
        <v>-7.9212000000000005E-2</v>
      </c>
    </row>
    <row r="973" spans="1:18" x14ac:dyDescent="0.2">
      <c r="A973" t="s">
        <v>270</v>
      </c>
      <c r="B973" t="s">
        <v>1212</v>
      </c>
      <c r="C973">
        <v>1</v>
      </c>
      <c r="D973" s="1">
        <v>43982.597175925926</v>
      </c>
      <c r="E973" t="s">
        <v>3025</v>
      </c>
      <c r="F973" t="s">
        <v>273</v>
      </c>
      <c r="G973" t="s">
        <v>2994</v>
      </c>
      <c r="H973" t="s">
        <v>275</v>
      </c>
      <c r="I973" t="s">
        <v>29</v>
      </c>
      <c r="J973">
        <v>1</v>
      </c>
      <c r="K973">
        <f>1-833-922-2143</f>
        <v>-3897</v>
      </c>
      <c r="L973" t="s">
        <v>3028</v>
      </c>
      <c r="M973" t="s">
        <v>3029</v>
      </c>
      <c r="N973" t="s">
        <v>278</v>
      </c>
      <c r="O973" t="s">
        <v>28</v>
      </c>
      <c r="P973" t="s">
        <v>618</v>
      </c>
      <c r="Q973">
        <v>52</v>
      </c>
      <c r="R973">
        <v>-7.9212000000000005E-2</v>
      </c>
    </row>
    <row r="974" spans="1:18" x14ac:dyDescent="0.2">
      <c r="A974" t="s">
        <v>439</v>
      </c>
      <c r="B974" t="s">
        <v>440</v>
      </c>
      <c r="C974">
        <v>1</v>
      </c>
      <c r="D974" s="1">
        <v>43982.847337962965</v>
      </c>
      <c r="E974" t="s">
        <v>3030</v>
      </c>
      <c r="F974" t="s">
        <v>442</v>
      </c>
      <c r="G974" t="s">
        <v>3031</v>
      </c>
      <c r="H974" t="s">
        <v>444</v>
      </c>
      <c r="I974" t="s">
        <v>29</v>
      </c>
      <c r="J974">
        <v>1</v>
      </c>
      <c r="K974">
        <f>1-844-228-8267</f>
        <v>-9338</v>
      </c>
      <c r="L974" t="s">
        <v>3032</v>
      </c>
      <c r="M974" t="s">
        <v>3033</v>
      </c>
      <c r="N974" t="s">
        <v>447</v>
      </c>
      <c r="O974" t="s">
        <v>28</v>
      </c>
      <c r="P974" t="s">
        <v>29</v>
      </c>
      <c r="Q974">
        <v>39</v>
      </c>
      <c r="R974">
        <v>-77.487399999999994</v>
      </c>
    </row>
    <row r="975" spans="1:18" x14ac:dyDescent="0.2">
      <c r="A975" t="s">
        <v>2225</v>
      </c>
      <c r="B975" t="s">
        <v>2226</v>
      </c>
      <c r="C975">
        <v>44</v>
      </c>
      <c r="D975" s="1">
        <v>44001.715370370373</v>
      </c>
      <c r="E975" t="s">
        <v>3034</v>
      </c>
      <c r="F975" t="s">
        <v>2228</v>
      </c>
      <c r="G975" t="s">
        <v>3035</v>
      </c>
      <c r="H975" t="s">
        <v>2230</v>
      </c>
      <c r="I975" t="s">
        <v>618</v>
      </c>
      <c r="J975">
        <v>44</v>
      </c>
      <c r="K975">
        <f t="shared" ref="K975:K983" si="9">44-808-143-3684</f>
        <v>-4591</v>
      </c>
      <c r="L975" t="s">
        <v>3036</v>
      </c>
      <c r="M975" t="s">
        <v>3037</v>
      </c>
      <c r="N975" t="s">
        <v>2475</v>
      </c>
      <c r="O975" t="s">
        <v>28</v>
      </c>
      <c r="P975" t="s">
        <v>24</v>
      </c>
      <c r="Q975">
        <v>50</v>
      </c>
      <c r="R975">
        <v>12.365</v>
      </c>
    </row>
    <row r="976" spans="1:18" x14ac:dyDescent="0.2">
      <c r="A976" t="s">
        <v>2225</v>
      </c>
      <c r="B976" t="s">
        <v>2226</v>
      </c>
      <c r="C976">
        <v>44</v>
      </c>
      <c r="D976" s="1">
        <v>44001.564120370371</v>
      </c>
      <c r="E976" t="s">
        <v>3038</v>
      </c>
      <c r="F976" t="s">
        <v>2228</v>
      </c>
      <c r="G976" t="s">
        <v>3035</v>
      </c>
      <c r="H976" t="s">
        <v>2230</v>
      </c>
      <c r="I976" t="s">
        <v>618</v>
      </c>
      <c r="J976">
        <v>44</v>
      </c>
      <c r="K976">
        <f t="shared" si="9"/>
        <v>-4591</v>
      </c>
      <c r="L976" t="s">
        <v>3039</v>
      </c>
      <c r="M976" t="s">
        <v>3040</v>
      </c>
      <c r="N976" t="s">
        <v>2475</v>
      </c>
      <c r="O976" t="s">
        <v>28</v>
      </c>
      <c r="P976" t="s">
        <v>24</v>
      </c>
      <c r="Q976">
        <v>50</v>
      </c>
      <c r="R976">
        <v>12.365</v>
      </c>
    </row>
    <row r="977" spans="1:18" x14ac:dyDescent="0.2">
      <c r="A977" t="s">
        <v>2225</v>
      </c>
      <c r="B977" t="s">
        <v>2226</v>
      </c>
      <c r="C977">
        <v>44</v>
      </c>
      <c r="D977" s="1">
        <v>43999.699803240743</v>
      </c>
      <c r="E977" t="s">
        <v>3041</v>
      </c>
      <c r="F977" t="s">
        <v>2228</v>
      </c>
      <c r="G977" t="s">
        <v>3035</v>
      </c>
      <c r="H977" t="s">
        <v>2230</v>
      </c>
      <c r="I977" t="s">
        <v>618</v>
      </c>
      <c r="J977">
        <v>44</v>
      </c>
      <c r="K977">
        <f t="shared" si="9"/>
        <v>-4591</v>
      </c>
      <c r="L977" t="s">
        <v>3042</v>
      </c>
      <c r="M977" t="s">
        <v>3043</v>
      </c>
      <c r="N977" t="s">
        <v>2475</v>
      </c>
      <c r="O977" t="s">
        <v>28</v>
      </c>
      <c r="P977" t="s">
        <v>24</v>
      </c>
      <c r="Q977">
        <v>50</v>
      </c>
      <c r="R977">
        <v>12.365</v>
      </c>
    </row>
    <row r="978" spans="1:18" x14ac:dyDescent="0.2">
      <c r="A978" t="s">
        <v>2225</v>
      </c>
      <c r="B978" t="s">
        <v>2226</v>
      </c>
      <c r="C978">
        <v>44</v>
      </c>
      <c r="D978" s="1">
        <v>43998.473900462966</v>
      </c>
      <c r="E978" t="s">
        <v>3044</v>
      </c>
      <c r="F978" t="s">
        <v>2228</v>
      </c>
      <c r="G978" t="s">
        <v>3035</v>
      </c>
      <c r="H978" t="s">
        <v>2230</v>
      </c>
      <c r="I978" t="s">
        <v>618</v>
      </c>
      <c r="J978">
        <v>44</v>
      </c>
      <c r="K978">
        <f t="shared" si="9"/>
        <v>-4591</v>
      </c>
      <c r="L978" t="s">
        <v>3045</v>
      </c>
      <c r="M978" t="s">
        <v>3046</v>
      </c>
      <c r="N978" t="s">
        <v>2475</v>
      </c>
      <c r="O978" t="s">
        <v>28</v>
      </c>
      <c r="P978" t="s">
        <v>24</v>
      </c>
      <c r="Q978">
        <v>50</v>
      </c>
      <c r="R978">
        <v>12.365</v>
      </c>
    </row>
    <row r="979" spans="1:18" x14ac:dyDescent="0.2">
      <c r="A979" t="s">
        <v>2225</v>
      </c>
      <c r="B979" t="s">
        <v>2226</v>
      </c>
      <c r="C979">
        <v>44</v>
      </c>
      <c r="D979" s="1">
        <v>43997.593807870369</v>
      </c>
      <c r="E979" t="s">
        <v>3047</v>
      </c>
      <c r="F979" t="s">
        <v>2228</v>
      </c>
      <c r="G979" t="s">
        <v>3035</v>
      </c>
      <c r="H979" t="s">
        <v>2230</v>
      </c>
      <c r="I979" t="s">
        <v>618</v>
      </c>
      <c r="J979">
        <v>44</v>
      </c>
      <c r="K979">
        <f t="shared" si="9"/>
        <v>-4591</v>
      </c>
      <c r="L979" t="s">
        <v>3048</v>
      </c>
      <c r="M979" t="s">
        <v>3049</v>
      </c>
      <c r="N979" t="s">
        <v>2475</v>
      </c>
      <c r="O979" t="s">
        <v>28</v>
      </c>
      <c r="P979" t="s">
        <v>24</v>
      </c>
      <c r="Q979">
        <v>50</v>
      </c>
      <c r="R979">
        <v>12.365</v>
      </c>
    </row>
    <row r="980" spans="1:18" x14ac:dyDescent="0.2">
      <c r="A980" t="s">
        <v>2225</v>
      </c>
      <c r="B980" t="s">
        <v>2226</v>
      </c>
      <c r="C980">
        <v>44</v>
      </c>
      <c r="D980" s="1">
        <v>43997.424629629626</v>
      </c>
      <c r="E980" t="s">
        <v>3050</v>
      </c>
      <c r="F980" t="s">
        <v>2228</v>
      </c>
      <c r="G980" t="s">
        <v>3035</v>
      </c>
      <c r="H980" t="s">
        <v>2230</v>
      </c>
      <c r="I980" t="s">
        <v>618</v>
      </c>
      <c r="J980">
        <v>44</v>
      </c>
      <c r="K980">
        <f t="shared" si="9"/>
        <v>-4591</v>
      </c>
      <c r="L980" t="s">
        <v>3051</v>
      </c>
      <c r="M980" t="s">
        <v>3052</v>
      </c>
      <c r="N980" t="s">
        <v>2475</v>
      </c>
      <c r="O980" t="s">
        <v>28</v>
      </c>
      <c r="P980" t="s">
        <v>24</v>
      </c>
      <c r="Q980">
        <v>50</v>
      </c>
      <c r="R980">
        <v>12.365</v>
      </c>
    </row>
    <row r="981" spans="1:18" x14ac:dyDescent="0.2">
      <c r="A981" t="s">
        <v>2225</v>
      </c>
      <c r="B981" t="s">
        <v>2226</v>
      </c>
      <c r="C981">
        <v>44</v>
      </c>
      <c r="D981" s="1">
        <v>43992.474641203706</v>
      </c>
      <c r="E981" t="s">
        <v>3053</v>
      </c>
      <c r="F981" t="s">
        <v>2228</v>
      </c>
      <c r="G981" t="s">
        <v>3035</v>
      </c>
      <c r="H981" t="s">
        <v>2230</v>
      </c>
      <c r="I981" t="s">
        <v>618</v>
      </c>
      <c r="J981">
        <v>44</v>
      </c>
      <c r="K981">
        <f t="shared" si="9"/>
        <v>-4591</v>
      </c>
      <c r="L981" t="s">
        <v>3054</v>
      </c>
      <c r="M981" t="s">
        <v>3055</v>
      </c>
      <c r="N981" t="s">
        <v>2475</v>
      </c>
      <c r="O981" t="s">
        <v>28</v>
      </c>
      <c r="P981" t="s">
        <v>24</v>
      </c>
      <c r="Q981">
        <v>50</v>
      </c>
      <c r="R981">
        <v>12.365</v>
      </c>
    </row>
    <row r="982" spans="1:18" x14ac:dyDescent="0.2">
      <c r="A982" t="s">
        <v>2225</v>
      </c>
      <c r="B982" t="s">
        <v>2226</v>
      </c>
      <c r="C982">
        <v>44</v>
      </c>
      <c r="D982" s="1">
        <v>43991.610567129632</v>
      </c>
      <c r="E982" t="s">
        <v>3056</v>
      </c>
      <c r="F982" t="s">
        <v>2228</v>
      </c>
      <c r="G982" t="s">
        <v>3035</v>
      </c>
      <c r="H982" t="s">
        <v>2230</v>
      </c>
      <c r="I982" t="s">
        <v>618</v>
      </c>
      <c r="J982">
        <v>44</v>
      </c>
      <c r="K982">
        <f t="shared" si="9"/>
        <v>-4591</v>
      </c>
      <c r="L982" t="s">
        <v>3057</v>
      </c>
      <c r="M982" t="s">
        <v>3058</v>
      </c>
      <c r="N982" t="s">
        <v>2475</v>
      </c>
      <c r="O982" t="s">
        <v>28</v>
      </c>
      <c r="P982" t="s">
        <v>24</v>
      </c>
      <c r="Q982">
        <v>50</v>
      </c>
      <c r="R982">
        <v>12.365</v>
      </c>
    </row>
    <row r="983" spans="1:18" x14ac:dyDescent="0.2">
      <c r="A983" t="s">
        <v>2225</v>
      </c>
      <c r="B983" t="s">
        <v>2226</v>
      </c>
      <c r="C983">
        <v>44</v>
      </c>
      <c r="D983" s="1">
        <v>43991.502986111111</v>
      </c>
      <c r="E983" t="s">
        <v>3059</v>
      </c>
      <c r="F983" t="s">
        <v>2228</v>
      </c>
      <c r="G983" t="s">
        <v>3035</v>
      </c>
      <c r="H983" t="s">
        <v>2230</v>
      </c>
      <c r="I983" t="s">
        <v>618</v>
      </c>
      <c r="J983">
        <v>44</v>
      </c>
      <c r="K983">
        <f t="shared" si="9"/>
        <v>-4591</v>
      </c>
      <c r="L983" t="s">
        <v>3060</v>
      </c>
      <c r="M983" t="s">
        <v>3061</v>
      </c>
      <c r="N983" t="s">
        <v>2475</v>
      </c>
      <c r="O983" t="s">
        <v>28</v>
      </c>
      <c r="P983" t="s">
        <v>24</v>
      </c>
      <c r="Q983">
        <v>50</v>
      </c>
      <c r="R983">
        <v>12.365</v>
      </c>
    </row>
    <row r="984" spans="1:18" x14ac:dyDescent="0.2">
      <c r="A984" t="s">
        <v>2225</v>
      </c>
      <c r="B984" t="s">
        <v>2226</v>
      </c>
      <c r="C984">
        <v>44</v>
      </c>
      <c r="D984" s="1">
        <v>43990.432025462964</v>
      </c>
      <c r="E984" t="s">
        <v>3062</v>
      </c>
      <c r="F984" t="s">
        <v>2228</v>
      </c>
      <c r="G984" t="s">
        <v>3035</v>
      </c>
      <c r="H984" t="s">
        <v>2230</v>
      </c>
      <c r="I984" t="s">
        <v>618</v>
      </c>
      <c r="J984">
        <v>44</v>
      </c>
      <c r="K984">
        <f>44-800-15-4654</f>
        <v>-5425</v>
      </c>
      <c r="L984" t="s">
        <v>3063</v>
      </c>
      <c r="M984" t="s">
        <v>3064</v>
      </c>
      <c r="N984" t="s">
        <v>2475</v>
      </c>
      <c r="O984" t="s">
        <v>28</v>
      </c>
      <c r="P984" t="s">
        <v>24</v>
      </c>
      <c r="Q984">
        <v>50</v>
      </c>
      <c r="R984">
        <v>12.365</v>
      </c>
    </row>
    <row r="985" spans="1:18" x14ac:dyDescent="0.2">
      <c r="A985" t="s">
        <v>2225</v>
      </c>
      <c r="B985" t="s">
        <v>2226</v>
      </c>
      <c r="C985">
        <v>44</v>
      </c>
      <c r="D985" s="1">
        <v>44000.418865740743</v>
      </c>
      <c r="E985" t="s">
        <v>3065</v>
      </c>
      <c r="F985" t="s">
        <v>2228</v>
      </c>
      <c r="G985" t="s">
        <v>3035</v>
      </c>
      <c r="H985" t="s">
        <v>2230</v>
      </c>
      <c r="I985" t="s">
        <v>618</v>
      </c>
      <c r="J985">
        <v>44</v>
      </c>
      <c r="K985">
        <f>44-808-143-3684</f>
        <v>-4591</v>
      </c>
      <c r="L985" t="s">
        <v>3066</v>
      </c>
      <c r="M985" t="s">
        <v>3067</v>
      </c>
      <c r="N985" t="s">
        <v>2475</v>
      </c>
      <c r="O985" t="s">
        <v>28</v>
      </c>
      <c r="P985" t="s">
        <v>24</v>
      </c>
      <c r="Q985">
        <v>50</v>
      </c>
      <c r="R985">
        <v>12.365</v>
      </c>
    </row>
    <row r="986" spans="1:18" x14ac:dyDescent="0.2">
      <c r="A986" t="s">
        <v>2225</v>
      </c>
      <c r="B986" t="s">
        <v>2226</v>
      </c>
      <c r="C986">
        <v>44</v>
      </c>
      <c r="D986" s="1">
        <v>43987.524351851855</v>
      </c>
      <c r="E986" t="s">
        <v>3062</v>
      </c>
      <c r="F986" t="s">
        <v>2228</v>
      </c>
      <c r="G986" t="s">
        <v>3035</v>
      </c>
      <c r="H986" t="s">
        <v>2230</v>
      </c>
      <c r="I986" t="s">
        <v>618</v>
      </c>
      <c r="J986">
        <v>44</v>
      </c>
      <c r="K986">
        <f>44-800-15-4654</f>
        <v>-5425</v>
      </c>
      <c r="L986" t="s">
        <v>3068</v>
      </c>
      <c r="M986" t="s">
        <v>3069</v>
      </c>
      <c r="N986" t="s">
        <v>2475</v>
      </c>
      <c r="O986" t="s">
        <v>28</v>
      </c>
      <c r="P986" t="s">
        <v>24</v>
      </c>
      <c r="Q986">
        <v>50</v>
      </c>
      <c r="R986">
        <v>12.365</v>
      </c>
    </row>
    <row r="987" spans="1:18" x14ac:dyDescent="0.2">
      <c r="A987" t="s">
        <v>2225</v>
      </c>
      <c r="B987" t="s">
        <v>2226</v>
      </c>
      <c r="C987">
        <v>44</v>
      </c>
      <c r="D987" s="1">
        <v>43987.477013888885</v>
      </c>
      <c r="E987" t="s">
        <v>3062</v>
      </c>
      <c r="F987" t="s">
        <v>2228</v>
      </c>
      <c r="G987" t="s">
        <v>3035</v>
      </c>
      <c r="H987" t="s">
        <v>2230</v>
      </c>
      <c r="I987" t="s">
        <v>618</v>
      </c>
      <c r="J987">
        <v>44</v>
      </c>
      <c r="K987">
        <f>44-800-15-4654</f>
        <v>-5425</v>
      </c>
      <c r="L987" t="s">
        <v>3070</v>
      </c>
      <c r="M987" t="s">
        <v>3071</v>
      </c>
      <c r="N987" t="s">
        <v>2475</v>
      </c>
      <c r="O987" t="s">
        <v>28</v>
      </c>
      <c r="P987" t="s">
        <v>24</v>
      </c>
      <c r="Q987">
        <v>50</v>
      </c>
      <c r="R987">
        <v>12.365</v>
      </c>
    </row>
    <row r="988" spans="1:18" x14ac:dyDescent="0.2">
      <c r="A988" t="s">
        <v>2225</v>
      </c>
      <c r="B988" t="s">
        <v>2226</v>
      </c>
      <c r="C988">
        <v>44</v>
      </c>
      <c r="D988" s="1">
        <v>43986.589328703703</v>
      </c>
      <c r="E988" t="s">
        <v>3072</v>
      </c>
      <c r="F988" t="s">
        <v>2228</v>
      </c>
      <c r="G988" t="s">
        <v>3035</v>
      </c>
      <c r="H988" t="s">
        <v>2230</v>
      </c>
      <c r="I988" t="s">
        <v>618</v>
      </c>
      <c r="J988">
        <v>44</v>
      </c>
      <c r="K988">
        <f>44-800-15-4654</f>
        <v>-5425</v>
      </c>
      <c r="L988" t="s">
        <v>3073</v>
      </c>
      <c r="M988" t="s">
        <v>3074</v>
      </c>
      <c r="N988" t="s">
        <v>2475</v>
      </c>
      <c r="O988" t="s">
        <v>28</v>
      </c>
      <c r="P988" t="s">
        <v>24</v>
      </c>
      <c r="Q988">
        <v>50</v>
      </c>
      <c r="R988">
        <v>12.365</v>
      </c>
    </row>
    <row r="989" spans="1:18" x14ac:dyDescent="0.2">
      <c r="A989" t="s">
        <v>2225</v>
      </c>
      <c r="B989" t="s">
        <v>2226</v>
      </c>
      <c r="C989">
        <v>44</v>
      </c>
      <c r="D989" s="1">
        <v>43986.467835648145</v>
      </c>
      <c r="E989" t="s">
        <v>3075</v>
      </c>
      <c r="F989" t="s">
        <v>2228</v>
      </c>
      <c r="G989" t="s">
        <v>3035</v>
      </c>
      <c r="H989" t="s">
        <v>2230</v>
      </c>
      <c r="I989" t="s">
        <v>618</v>
      </c>
      <c r="J989">
        <v>44</v>
      </c>
      <c r="K989">
        <f>44-800-15-4654</f>
        <v>-5425</v>
      </c>
      <c r="L989" t="s">
        <v>3076</v>
      </c>
      <c r="M989" t="s">
        <v>3077</v>
      </c>
      <c r="N989" t="s">
        <v>2475</v>
      </c>
      <c r="O989" t="s">
        <v>28</v>
      </c>
      <c r="P989" t="s">
        <v>24</v>
      </c>
      <c r="Q989">
        <v>50</v>
      </c>
      <c r="R989">
        <v>12.365</v>
      </c>
    </row>
    <row r="990" spans="1:18" x14ac:dyDescent="0.2">
      <c r="A990" t="s">
        <v>2225</v>
      </c>
      <c r="B990" t="s">
        <v>2226</v>
      </c>
      <c r="C990">
        <v>61</v>
      </c>
      <c r="D990" s="1">
        <v>43985.4140162037</v>
      </c>
      <c r="E990" t="s">
        <v>3078</v>
      </c>
      <c r="F990" t="s">
        <v>2228</v>
      </c>
      <c r="G990" t="s">
        <v>3035</v>
      </c>
      <c r="H990" t="s">
        <v>2230</v>
      </c>
      <c r="I990" t="s">
        <v>782</v>
      </c>
      <c r="J990">
        <v>61</v>
      </c>
      <c r="K990">
        <f>61-800-15-4654</f>
        <v>-5408</v>
      </c>
      <c r="L990" t="s">
        <v>3079</v>
      </c>
      <c r="M990" t="s">
        <v>3080</v>
      </c>
      <c r="N990" t="s">
        <v>2475</v>
      </c>
      <c r="O990" t="s">
        <v>28</v>
      </c>
      <c r="P990" t="s">
        <v>24</v>
      </c>
      <c r="Q990">
        <v>50</v>
      </c>
      <c r="R990">
        <v>12.365</v>
      </c>
    </row>
    <row r="991" spans="1:18" x14ac:dyDescent="0.2">
      <c r="A991" t="s">
        <v>2225</v>
      </c>
      <c r="B991" t="s">
        <v>2226</v>
      </c>
      <c r="C991">
        <v>49</v>
      </c>
      <c r="D991" s="1">
        <v>43983.742986111109</v>
      </c>
      <c r="E991" t="s">
        <v>3081</v>
      </c>
      <c r="F991" t="s">
        <v>2228</v>
      </c>
      <c r="G991" t="s">
        <v>3035</v>
      </c>
      <c r="H991" t="s">
        <v>2230</v>
      </c>
      <c r="I991" t="s">
        <v>24</v>
      </c>
      <c r="J991">
        <v>49</v>
      </c>
      <c r="K991">
        <f>49-800-15-4654</f>
        <v>-5420</v>
      </c>
      <c r="L991" t="s">
        <v>3082</v>
      </c>
      <c r="M991" t="s">
        <v>3083</v>
      </c>
      <c r="N991" t="s">
        <v>2475</v>
      </c>
      <c r="O991" t="s">
        <v>28</v>
      </c>
      <c r="P991" t="s">
        <v>24</v>
      </c>
      <c r="Q991">
        <v>50</v>
      </c>
      <c r="R991">
        <v>12.365</v>
      </c>
    </row>
    <row r="992" spans="1:18" x14ac:dyDescent="0.2">
      <c r="A992" t="s">
        <v>675</v>
      </c>
      <c r="B992" t="s">
        <v>1212</v>
      </c>
      <c r="C992">
        <v>49</v>
      </c>
      <c r="D992" s="1">
        <v>43987.624583333331</v>
      </c>
      <c r="E992" t="s">
        <v>3084</v>
      </c>
      <c r="F992" t="s">
        <v>1396</v>
      </c>
      <c r="G992" t="s">
        <v>3085</v>
      </c>
      <c r="H992" t="s">
        <v>680</v>
      </c>
      <c r="I992" t="s">
        <v>24</v>
      </c>
      <c r="J992">
        <v>49</v>
      </c>
      <c r="K992">
        <f>49-421-3658-3158</f>
        <v>-7188</v>
      </c>
      <c r="L992" t="s">
        <v>3086</v>
      </c>
      <c r="M992" t="s">
        <v>3087</v>
      </c>
      <c r="N992" t="s">
        <v>452</v>
      </c>
      <c r="O992" t="s">
        <v>28</v>
      </c>
      <c r="P992" t="s">
        <v>618</v>
      </c>
      <c r="Q992">
        <v>52</v>
      </c>
      <c r="R992">
        <v>-0.12775800000000001</v>
      </c>
    </row>
    <row r="993" spans="1:18" x14ac:dyDescent="0.2">
      <c r="A993" t="s">
        <v>675</v>
      </c>
      <c r="B993" t="s">
        <v>1212</v>
      </c>
      <c r="C993">
        <v>49</v>
      </c>
      <c r="D993" s="1">
        <v>43985.577546296299</v>
      </c>
      <c r="E993" t="s">
        <v>3088</v>
      </c>
      <c r="F993" t="s">
        <v>1396</v>
      </c>
      <c r="G993" t="s">
        <v>3085</v>
      </c>
      <c r="H993" t="s">
        <v>680</v>
      </c>
      <c r="I993" t="s">
        <v>24</v>
      </c>
      <c r="J993">
        <v>49</v>
      </c>
      <c r="K993">
        <f>49-421-3658-3158</f>
        <v>-7188</v>
      </c>
      <c r="L993" t="s">
        <v>3089</v>
      </c>
      <c r="M993" t="s">
        <v>3090</v>
      </c>
      <c r="N993" t="s">
        <v>452</v>
      </c>
      <c r="O993" t="s">
        <v>28</v>
      </c>
      <c r="P993" t="s">
        <v>618</v>
      </c>
      <c r="Q993">
        <v>52</v>
      </c>
      <c r="R993">
        <v>-0.12775800000000001</v>
      </c>
    </row>
    <row r="994" spans="1:18" x14ac:dyDescent="0.2">
      <c r="A994" t="s">
        <v>675</v>
      </c>
      <c r="B994" t="s">
        <v>1212</v>
      </c>
      <c r="C994">
        <v>49</v>
      </c>
      <c r="D994" s="1">
        <v>43984.566863425927</v>
      </c>
      <c r="E994" t="s">
        <v>3091</v>
      </c>
      <c r="F994" t="s">
        <v>1396</v>
      </c>
      <c r="G994" t="s">
        <v>3085</v>
      </c>
      <c r="H994" t="s">
        <v>680</v>
      </c>
      <c r="I994" t="s">
        <v>24</v>
      </c>
      <c r="J994">
        <v>49</v>
      </c>
      <c r="K994">
        <f>49-421-3658-3158</f>
        <v>-7188</v>
      </c>
      <c r="L994" t="s">
        <v>3092</v>
      </c>
      <c r="M994" t="s">
        <v>3093</v>
      </c>
      <c r="N994" t="s">
        <v>452</v>
      </c>
      <c r="O994" t="s">
        <v>28</v>
      </c>
      <c r="P994" t="s">
        <v>618</v>
      </c>
      <c r="Q994">
        <v>52</v>
      </c>
      <c r="R994">
        <v>-0.12775800000000001</v>
      </c>
    </row>
    <row r="995" spans="1:18" x14ac:dyDescent="0.2">
      <c r="A995" t="s">
        <v>439</v>
      </c>
      <c r="B995" t="s">
        <v>3094</v>
      </c>
      <c r="C995">
        <v>1</v>
      </c>
      <c r="D995" s="1">
        <v>44125.906782407408</v>
      </c>
      <c r="E995" t="s">
        <v>3095</v>
      </c>
      <c r="F995" t="s">
        <v>442</v>
      </c>
      <c r="G995" t="s">
        <v>3096</v>
      </c>
      <c r="H995" t="s">
        <v>444</v>
      </c>
      <c r="I995" t="s">
        <v>29</v>
      </c>
      <c r="J995">
        <v>1</v>
      </c>
      <c r="K995">
        <f>1-888-382-3958</f>
        <v>-5227</v>
      </c>
      <c r="L995" t="s">
        <v>3097</v>
      </c>
      <c r="M995" t="s">
        <v>3098</v>
      </c>
      <c r="N995" t="s">
        <v>1645</v>
      </c>
      <c r="O995" t="s">
        <v>28</v>
      </c>
      <c r="P995" t="s">
        <v>2268</v>
      </c>
      <c r="Q995">
        <v>46</v>
      </c>
      <c r="R995">
        <v>-73.567300000000003</v>
      </c>
    </row>
    <row r="996" spans="1:18" x14ac:dyDescent="0.2">
      <c r="A996" t="s">
        <v>439</v>
      </c>
      <c r="B996" t="s">
        <v>440</v>
      </c>
      <c r="C996">
        <v>1</v>
      </c>
      <c r="D996" s="1">
        <v>43984.793680555558</v>
      </c>
      <c r="E996" t="s">
        <v>3099</v>
      </c>
      <c r="F996" t="s">
        <v>442</v>
      </c>
      <c r="G996" t="s">
        <v>3096</v>
      </c>
      <c r="H996" t="s">
        <v>444</v>
      </c>
      <c r="I996" t="s">
        <v>29</v>
      </c>
      <c r="J996">
        <v>1</v>
      </c>
      <c r="K996">
        <f>1-800-448-3182</f>
        <v>-4429</v>
      </c>
      <c r="L996" t="s">
        <v>3100</v>
      </c>
      <c r="M996" t="s">
        <v>3101</v>
      </c>
      <c r="N996" t="s">
        <v>447</v>
      </c>
      <c r="O996" t="s">
        <v>28</v>
      </c>
      <c r="P996" t="s">
        <v>29</v>
      </c>
      <c r="Q996">
        <v>39</v>
      </c>
      <c r="R996">
        <v>-77.487399999999994</v>
      </c>
    </row>
    <row r="997" spans="1:18" x14ac:dyDescent="0.2">
      <c r="A997" t="s">
        <v>439</v>
      </c>
      <c r="B997" t="s">
        <v>440</v>
      </c>
      <c r="C997">
        <v>1</v>
      </c>
      <c r="D997" s="1">
        <v>43984.801064814812</v>
      </c>
      <c r="E997" t="s">
        <v>3102</v>
      </c>
      <c r="F997" t="s">
        <v>442</v>
      </c>
      <c r="G997" t="s">
        <v>3103</v>
      </c>
      <c r="H997" t="s">
        <v>444</v>
      </c>
      <c r="I997" t="s">
        <v>29</v>
      </c>
      <c r="J997">
        <v>1</v>
      </c>
      <c r="K997">
        <f>1-888-52+1-1960</f>
        <v>-2898</v>
      </c>
      <c r="L997" t="s">
        <v>3104</v>
      </c>
      <c r="M997" t="s">
        <v>3105</v>
      </c>
      <c r="N997" t="s">
        <v>452</v>
      </c>
      <c r="O997" t="s">
        <v>28</v>
      </c>
      <c r="P997" t="s">
        <v>29</v>
      </c>
      <c r="Q997">
        <v>39</v>
      </c>
      <c r="R997">
        <v>-77.487399999999994</v>
      </c>
    </row>
    <row r="998" spans="1:18" x14ac:dyDescent="0.2">
      <c r="A998" t="s">
        <v>675</v>
      </c>
      <c r="B998" t="s">
        <v>676</v>
      </c>
      <c r="C998">
        <v>61</v>
      </c>
      <c r="D998" s="1">
        <v>43985.369131944448</v>
      </c>
      <c r="E998" t="s">
        <v>3106</v>
      </c>
      <c r="F998" t="s">
        <v>3107</v>
      </c>
      <c r="G998" t="s">
        <v>3108</v>
      </c>
      <c r="H998" t="s">
        <v>680</v>
      </c>
      <c r="I998" t="s">
        <v>782</v>
      </c>
      <c r="J998">
        <v>61</v>
      </c>
      <c r="K998" t="s">
        <v>3109</v>
      </c>
      <c r="L998" t="s">
        <v>3110</v>
      </c>
      <c r="M998" t="s">
        <v>3111</v>
      </c>
      <c r="N998" t="s">
        <v>1645</v>
      </c>
      <c r="O998" t="s">
        <v>28</v>
      </c>
      <c r="P998" t="s">
        <v>29</v>
      </c>
      <c r="Q998">
        <v>33</v>
      </c>
      <c r="R998">
        <v>-99.999999000000003</v>
      </c>
    </row>
    <row r="999" spans="1:18" x14ac:dyDescent="0.2">
      <c r="A999" t="s">
        <v>270</v>
      </c>
      <c r="B999" t="s">
        <v>271</v>
      </c>
      <c r="C999">
        <v>33</v>
      </c>
      <c r="D999" s="1">
        <v>44196.868842592594</v>
      </c>
      <c r="E999" t="s">
        <v>3112</v>
      </c>
      <c r="F999" t="s">
        <v>273</v>
      </c>
      <c r="G999" t="s">
        <v>3113</v>
      </c>
      <c r="H999" t="s">
        <v>275</v>
      </c>
      <c r="I999" t="s">
        <v>292</v>
      </c>
      <c r="J999">
        <v>33</v>
      </c>
      <c r="K999">
        <f t="shared" ref="K999:K1005" si="10">33-7-55-53-87-14</f>
        <v>-183</v>
      </c>
      <c r="L999" t="s">
        <v>3114</v>
      </c>
      <c r="M999" t="s">
        <v>3115</v>
      </c>
      <c r="N999" t="s">
        <v>278</v>
      </c>
      <c r="O999" t="s">
        <v>134</v>
      </c>
      <c r="P999" t="s">
        <v>29</v>
      </c>
      <c r="Q999">
        <v>42</v>
      </c>
      <c r="R999">
        <v>-93.620800000000003</v>
      </c>
    </row>
    <row r="1000" spans="1:18" x14ac:dyDescent="0.2">
      <c r="A1000" t="s">
        <v>270</v>
      </c>
      <c r="B1000" t="s">
        <v>271</v>
      </c>
      <c r="C1000">
        <v>33</v>
      </c>
      <c r="D1000" s="1">
        <v>44196.004930555559</v>
      </c>
      <c r="E1000" t="s">
        <v>3116</v>
      </c>
      <c r="F1000" t="s">
        <v>273</v>
      </c>
      <c r="G1000" t="s">
        <v>3113</v>
      </c>
      <c r="H1000" t="s">
        <v>275</v>
      </c>
      <c r="I1000" t="s">
        <v>292</v>
      </c>
      <c r="J1000">
        <v>33</v>
      </c>
      <c r="K1000">
        <f t="shared" si="10"/>
        <v>-183</v>
      </c>
      <c r="L1000" t="s">
        <v>3117</v>
      </c>
      <c r="M1000" t="s">
        <v>3118</v>
      </c>
      <c r="N1000" t="s">
        <v>278</v>
      </c>
      <c r="O1000" t="s">
        <v>134</v>
      </c>
      <c r="P1000" t="s">
        <v>29</v>
      </c>
      <c r="Q1000">
        <v>42</v>
      </c>
      <c r="R1000">
        <v>-93.620800000000003</v>
      </c>
    </row>
    <row r="1001" spans="1:18" x14ac:dyDescent="0.2">
      <c r="A1001" t="s">
        <v>270</v>
      </c>
      <c r="B1001" t="s">
        <v>271</v>
      </c>
      <c r="C1001">
        <v>33</v>
      </c>
      <c r="D1001" s="1">
        <v>44195.86341435185</v>
      </c>
      <c r="E1001" t="s">
        <v>3119</v>
      </c>
      <c r="F1001" t="s">
        <v>273</v>
      </c>
      <c r="G1001" t="s">
        <v>3113</v>
      </c>
      <c r="H1001" t="s">
        <v>275</v>
      </c>
      <c r="I1001" t="s">
        <v>292</v>
      </c>
      <c r="J1001">
        <v>33</v>
      </c>
      <c r="K1001">
        <f t="shared" si="10"/>
        <v>-183</v>
      </c>
      <c r="L1001" t="s">
        <v>3120</v>
      </c>
      <c r="M1001" t="s">
        <v>3121</v>
      </c>
      <c r="N1001" t="s">
        <v>278</v>
      </c>
      <c r="O1001" t="s">
        <v>134</v>
      </c>
      <c r="P1001" t="s">
        <v>29</v>
      </c>
      <c r="Q1001">
        <v>42</v>
      </c>
      <c r="R1001">
        <v>-93.620800000000003</v>
      </c>
    </row>
    <row r="1002" spans="1:18" x14ac:dyDescent="0.2">
      <c r="A1002" t="s">
        <v>270</v>
      </c>
      <c r="B1002" t="s">
        <v>271</v>
      </c>
      <c r="C1002">
        <v>33</v>
      </c>
      <c r="D1002" s="1">
        <v>44195.863356481481</v>
      </c>
      <c r="E1002" t="s">
        <v>3122</v>
      </c>
      <c r="F1002" t="s">
        <v>273</v>
      </c>
      <c r="G1002" t="s">
        <v>3113</v>
      </c>
      <c r="H1002" t="s">
        <v>275</v>
      </c>
      <c r="I1002" t="s">
        <v>292</v>
      </c>
      <c r="J1002">
        <v>33</v>
      </c>
      <c r="K1002">
        <f t="shared" si="10"/>
        <v>-183</v>
      </c>
      <c r="L1002" t="s">
        <v>3123</v>
      </c>
      <c r="M1002" t="s">
        <v>3124</v>
      </c>
      <c r="N1002" t="s">
        <v>278</v>
      </c>
      <c r="O1002" t="s">
        <v>134</v>
      </c>
      <c r="P1002" t="s">
        <v>29</v>
      </c>
      <c r="Q1002">
        <v>42</v>
      </c>
      <c r="R1002">
        <v>-93.620800000000003</v>
      </c>
    </row>
    <row r="1003" spans="1:18" x14ac:dyDescent="0.2">
      <c r="A1003" t="s">
        <v>270</v>
      </c>
      <c r="B1003" t="s">
        <v>271</v>
      </c>
      <c r="C1003">
        <v>33</v>
      </c>
      <c r="D1003" s="1">
        <v>44195.863310185188</v>
      </c>
      <c r="E1003" t="s">
        <v>3125</v>
      </c>
      <c r="F1003" t="s">
        <v>273</v>
      </c>
      <c r="G1003" t="s">
        <v>3113</v>
      </c>
      <c r="H1003" t="s">
        <v>275</v>
      </c>
      <c r="I1003" t="s">
        <v>292</v>
      </c>
      <c r="J1003">
        <v>33</v>
      </c>
      <c r="K1003">
        <f t="shared" si="10"/>
        <v>-183</v>
      </c>
      <c r="L1003" t="s">
        <v>3126</v>
      </c>
      <c r="M1003" t="s">
        <v>3127</v>
      </c>
      <c r="N1003" t="s">
        <v>278</v>
      </c>
      <c r="O1003" t="s">
        <v>134</v>
      </c>
      <c r="P1003" t="s">
        <v>29</v>
      </c>
      <c r="Q1003">
        <v>42</v>
      </c>
      <c r="R1003">
        <v>-93.620800000000003</v>
      </c>
    </row>
    <row r="1004" spans="1:18" x14ac:dyDescent="0.2">
      <c r="A1004" t="s">
        <v>270</v>
      </c>
      <c r="B1004" t="s">
        <v>271</v>
      </c>
      <c r="C1004">
        <v>33</v>
      </c>
      <c r="D1004" s="1">
        <v>44194.763009259259</v>
      </c>
      <c r="E1004" t="s">
        <v>3128</v>
      </c>
      <c r="F1004" t="s">
        <v>273</v>
      </c>
      <c r="G1004" t="s">
        <v>3113</v>
      </c>
      <c r="H1004" t="s">
        <v>275</v>
      </c>
      <c r="I1004" t="s">
        <v>292</v>
      </c>
      <c r="J1004">
        <v>33</v>
      </c>
      <c r="K1004">
        <f t="shared" si="10"/>
        <v>-183</v>
      </c>
      <c r="L1004" t="s">
        <v>3129</v>
      </c>
      <c r="M1004" t="s">
        <v>3130</v>
      </c>
      <c r="N1004" t="s">
        <v>278</v>
      </c>
      <c r="O1004" t="s">
        <v>134</v>
      </c>
      <c r="P1004" t="s">
        <v>29</v>
      </c>
      <c r="Q1004">
        <v>42</v>
      </c>
      <c r="R1004">
        <v>-93.620800000000003</v>
      </c>
    </row>
    <row r="1005" spans="1:18" x14ac:dyDescent="0.2">
      <c r="A1005" t="s">
        <v>270</v>
      </c>
      <c r="B1005" t="s">
        <v>271</v>
      </c>
      <c r="C1005">
        <v>33</v>
      </c>
      <c r="D1005" s="1">
        <v>44194.76295138889</v>
      </c>
      <c r="E1005" t="s">
        <v>3131</v>
      </c>
      <c r="F1005" t="s">
        <v>273</v>
      </c>
      <c r="G1005" t="s">
        <v>3113</v>
      </c>
      <c r="H1005" t="s">
        <v>275</v>
      </c>
      <c r="I1005" t="s">
        <v>292</v>
      </c>
      <c r="J1005">
        <v>33</v>
      </c>
      <c r="K1005">
        <f t="shared" si="10"/>
        <v>-183</v>
      </c>
      <c r="L1005" t="s">
        <v>3132</v>
      </c>
      <c r="M1005" t="s">
        <v>3133</v>
      </c>
      <c r="N1005" t="s">
        <v>278</v>
      </c>
      <c r="O1005" t="s">
        <v>134</v>
      </c>
      <c r="P1005" t="s">
        <v>29</v>
      </c>
      <c r="Q1005">
        <v>42</v>
      </c>
      <c r="R1005">
        <v>-93.620800000000003</v>
      </c>
    </row>
    <row r="1006" spans="1:18" x14ac:dyDescent="0.2">
      <c r="A1006" t="s">
        <v>270</v>
      </c>
      <c r="B1006" t="s">
        <v>271</v>
      </c>
      <c r="C1006">
        <v>1</v>
      </c>
      <c r="D1006" s="1">
        <v>44103.761967592596</v>
      </c>
      <c r="E1006" t="s">
        <v>3134</v>
      </c>
      <c r="F1006" t="s">
        <v>273</v>
      </c>
      <c r="G1006" t="s">
        <v>3113</v>
      </c>
      <c r="H1006" t="s">
        <v>275</v>
      </c>
      <c r="I1006" t="s">
        <v>29</v>
      </c>
      <c r="J1006">
        <v>1</v>
      </c>
      <c r="K1006">
        <f>1-888-210-6654</f>
        <v>-7751</v>
      </c>
      <c r="L1006" t="s">
        <v>3135</v>
      </c>
      <c r="M1006" t="s">
        <v>3136</v>
      </c>
      <c r="N1006" t="s">
        <v>278</v>
      </c>
      <c r="O1006" t="s">
        <v>134</v>
      </c>
      <c r="P1006" t="s">
        <v>29</v>
      </c>
      <c r="Q1006">
        <v>42</v>
      </c>
      <c r="R1006">
        <v>-93.620800000000003</v>
      </c>
    </row>
    <row r="1007" spans="1:18" x14ac:dyDescent="0.2">
      <c r="A1007" t="s">
        <v>270</v>
      </c>
      <c r="B1007" t="s">
        <v>271</v>
      </c>
      <c r="C1007">
        <v>1</v>
      </c>
      <c r="D1007" s="1">
        <v>44102.823125000003</v>
      </c>
      <c r="E1007" t="s">
        <v>3137</v>
      </c>
      <c r="F1007" t="s">
        <v>273</v>
      </c>
      <c r="G1007" t="s">
        <v>3113</v>
      </c>
      <c r="H1007" t="s">
        <v>275</v>
      </c>
      <c r="I1007" t="s">
        <v>29</v>
      </c>
      <c r="J1007">
        <v>1</v>
      </c>
      <c r="K1007">
        <f>1-888-250-5625</f>
        <v>-6762</v>
      </c>
      <c r="L1007" t="s">
        <v>3138</v>
      </c>
      <c r="M1007" t="s">
        <v>3139</v>
      </c>
      <c r="N1007" t="s">
        <v>278</v>
      </c>
      <c r="O1007" t="s">
        <v>28</v>
      </c>
      <c r="P1007" t="s">
        <v>29</v>
      </c>
      <c r="Q1007">
        <v>42</v>
      </c>
      <c r="R1007">
        <v>-93.620800000000003</v>
      </c>
    </row>
    <row r="1008" spans="1:18" x14ac:dyDescent="0.2">
      <c r="A1008" t="s">
        <v>270</v>
      </c>
      <c r="B1008" t="s">
        <v>271</v>
      </c>
      <c r="C1008">
        <v>1</v>
      </c>
      <c r="D1008" s="1">
        <v>44090.41510416667</v>
      </c>
      <c r="E1008" t="s">
        <v>3140</v>
      </c>
      <c r="F1008" t="s">
        <v>273</v>
      </c>
      <c r="G1008" t="s">
        <v>3113</v>
      </c>
      <c r="H1008" t="s">
        <v>275</v>
      </c>
      <c r="I1008" t="s">
        <v>29</v>
      </c>
      <c r="J1008">
        <v>1</v>
      </c>
      <c r="K1008">
        <f>1-844-293-8713</f>
        <v>-9849</v>
      </c>
      <c r="L1008" t="s">
        <v>3141</v>
      </c>
      <c r="M1008" t="s">
        <v>3142</v>
      </c>
      <c r="N1008" t="s">
        <v>278</v>
      </c>
      <c r="O1008" t="s">
        <v>28</v>
      </c>
      <c r="P1008" t="s">
        <v>29</v>
      </c>
      <c r="Q1008">
        <v>42</v>
      </c>
      <c r="R1008">
        <v>-93.620800000000003</v>
      </c>
    </row>
    <row r="1009" spans="1:18" x14ac:dyDescent="0.2">
      <c r="A1009" t="s">
        <v>270</v>
      </c>
      <c r="B1009" t="s">
        <v>271</v>
      </c>
      <c r="C1009">
        <v>1</v>
      </c>
      <c r="D1009" s="1">
        <v>44089.431643518517</v>
      </c>
      <c r="E1009" t="s">
        <v>3143</v>
      </c>
      <c r="F1009" t="s">
        <v>273</v>
      </c>
      <c r="G1009" t="s">
        <v>3113</v>
      </c>
      <c r="H1009" t="s">
        <v>275</v>
      </c>
      <c r="I1009" t="s">
        <v>29</v>
      </c>
      <c r="J1009">
        <v>1</v>
      </c>
      <c r="K1009">
        <f>1-844-210-4337</f>
        <v>-5390</v>
      </c>
      <c r="L1009" t="s">
        <v>3144</v>
      </c>
      <c r="M1009" t="s">
        <v>3145</v>
      </c>
      <c r="N1009" t="s">
        <v>278</v>
      </c>
      <c r="O1009" t="s">
        <v>28</v>
      </c>
      <c r="P1009" t="s">
        <v>29</v>
      </c>
      <c r="Q1009">
        <v>42</v>
      </c>
      <c r="R1009">
        <v>-93.620800000000003</v>
      </c>
    </row>
    <row r="1010" spans="1:18" x14ac:dyDescent="0.2">
      <c r="A1010" t="s">
        <v>270</v>
      </c>
      <c r="B1010" t="s">
        <v>271</v>
      </c>
      <c r="C1010">
        <v>1</v>
      </c>
      <c r="D1010" s="1">
        <v>44088.77175925926</v>
      </c>
      <c r="E1010" t="s">
        <v>3146</v>
      </c>
      <c r="F1010" t="s">
        <v>273</v>
      </c>
      <c r="G1010" t="s">
        <v>3113</v>
      </c>
      <c r="H1010" t="s">
        <v>275</v>
      </c>
      <c r="I1010" t="s">
        <v>29</v>
      </c>
      <c r="J1010">
        <v>1</v>
      </c>
      <c r="K1010">
        <f>1-844-212-7353</f>
        <v>-8408</v>
      </c>
      <c r="L1010" t="s">
        <v>3147</v>
      </c>
      <c r="M1010" t="s">
        <v>3148</v>
      </c>
      <c r="N1010" t="s">
        <v>278</v>
      </c>
      <c r="O1010" t="s">
        <v>28</v>
      </c>
      <c r="P1010" t="s">
        <v>29</v>
      </c>
      <c r="Q1010">
        <v>42</v>
      </c>
      <c r="R1010">
        <v>-93.620800000000003</v>
      </c>
    </row>
    <row r="1011" spans="1:18" x14ac:dyDescent="0.2">
      <c r="A1011" t="s">
        <v>270</v>
      </c>
      <c r="B1011" t="s">
        <v>271</v>
      </c>
      <c r="C1011">
        <v>1</v>
      </c>
      <c r="D1011" s="1">
        <v>44089.430625000001</v>
      </c>
      <c r="E1011" t="s">
        <v>3149</v>
      </c>
      <c r="F1011" t="s">
        <v>273</v>
      </c>
      <c r="G1011" t="s">
        <v>3113</v>
      </c>
      <c r="H1011" t="s">
        <v>275</v>
      </c>
      <c r="I1011" t="s">
        <v>29</v>
      </c>
      <c r="J1011">
        <v>1</v>
      </c>
      <c r="K1011">
        <f>1-844-210-4337</f>
        <v>-5390</v>
      </c>
      <c r="L1011" t="s">
        <v>3150</v>
      </c>
      <c r="M1011" t="s">
        <v>3151</v>
      </c>
      <c r="N1011" t="s">
        <v>278</v>
      </c>
      <c r="O1011" t="s">
        <v>28</v>
      </c>
      <c r="P1011" t="s">
        <v>29</v>
      </c>
      <c r="Q1011">
        <v>42</v>
      </c>
      <c r="R1011">
        <v>-93.620800000000003</v>
      </c>
    </row>
    <row r="1012" spans="1:18" x14ac:dyDescent="0.2">
      <c r="A1012" t="s">
        <v>270</v>
      </c>
      <c r="B1012" t="s">
        <v>271</v>
      </c>
      <c r="C1012">
        <v>1</v>
      </c>
      <c r="D1012" s="1">
        <v>44083.830150462964</v>
      </c>
      <c r="E1012" t="s">
        <v>3152</v>
      </c>
      <c r="F1012" t="s">
        <v>273</v>
      </c>
      <c r="G1012" t="s">
        <v>3113</v>
      </c>
      <c r="H1012" t="s">
        <v>275</v>
      </c>
      <c r="I1012" t="s">
        <v>29</v>
      </c>
      <c r="J1012">
        <v>1</v>
      </c>
      <c r="K1012">
        <f>1-888-585-6916</f>
        <v>-8388</v>
      </c>
      <c r="L1012" t="s">
        <v>3153</v>
      </c>
      <c r="M1012" t="s">
        <v>3154</v>
      </c>
      <c r="N1012" t="s">
        <v>278</v>
      </c>
      <c r="O1012" t="s">
        <v>28</v>
      </c>
      <c r="P1012" t="s">
        <v>29</v>
      </c>
      <c r="Q1012">
        <v>42</v>
      </c>
      <c r="R1012">
        <v>-93.620800000000003</v>
      </c>
    </row>
    <row r="1013" spans="1:18" x14ac:dyDescent="0.2">
      <c r="A1013" t="s">
        <v>270</v>
      </c>
      <c r="B1013" t="s">
        <v>271</v>
      </c>
      <c r="C1013">
        <v>1</v>
      </c>
      <c r="D1013" s="1">
        <v>44073.926620370374</v>
      </c>
      <c r="E1013" t="s">
        <v>3155</v>
      </c>
      <c r="F1013" t="s">
        <v>273</v>
      </c>
      <c r="G1013" t="s">
        <v>3113</v>
      </c>
      <c r="H1013" t="s">
        <v>275</v>
      </c>
      <c r="I1013" t="s">
        <v>29</v>
      </c>
      <c r="J1013">
        <v>1</v>
      </c>
      <c r="K1013">
        <f>1-888-526-3661</f>
        <v>-5074</v>
      </c>
      <c r="L1013" t="s">
        <v>3156</v>
      </c>
      <c r="M1013" t="s">
        <v>3157</v>
      </c>
      <c r="N1013" t="s">
        <v>278</v>
      </c>
      <c r="O1013" t="s">
        <v>134</v>
      </c>
      <c r="P1013" t="s">
        <v>29</v>
      </c>
      <c r="Q1013">
        <v>42</v>
      </c>
      <c r="R1013">
        <v>-93.620800000000003</v>
      </c>
    </row>
    <row r="1014" spans="1:18" x14ac:dyDescent="0.2">
      <c r="A1014" t="s">
        <v>270</v>
      </c>
      <c r="B1014" t="s">
        <v>271</v>
      </c>
      <c r="C1014">
        <v>1</v>
      </c>
      <c r="D1014" s="1">
        <v>44073.925879629627</v>
      </c>
      <c r="E1014" t="s">
        <v>3158</v>
      </c>
      <c r="F1014" t="s">
        <v>273</v>
      </c>
      <c r="G1014" t="s">
        <v>3113</v>
      </c>
      <c r="H1014" t="s">
        <v>275</v>
      </c>
      <c r="I1014" t="s">
        <v>29</v>
      </c>
      <c r="J1014">
        <v>1</v>
      </c>
      <c r="K1014">
        <f>1-888-538-1073</f>
        <v>-2498</v>
      </c>
      <c r="L1014" t="s">
        <v>3159</v>
      </c>
      <c r="M1014" t="s">
        <v>3160</v>
      </c>
      <c r="N1014" t="s">
        <v>278</v>
      </c>
      <c r="O1014" t="s">
        <v>134</v>
      </c>
      <c r="P1014" t="s">
        <v>29</v>
      </c>
      <c r="Q1014">
        <v>42</v>
      </c>
      <c r="R1014">
        <v>-93.620800000000003</v>
      </c>
    </row>
    <row r="1015" spans="1:18" x14ac:dyDescent="0.2">
      <c r="A1015" t="s">
        <v>270</v>
      </c>
      <c r="B1015" t="s">
        <v>271</v>
      </c>
      <c r="C1015">
        <v>1</v>
      </c>
      <c r="D1015" s="1">
        <v>44072.867442129631</v>
      </c>
      <c r="E1015" t="s">
        <v>3161</v>
      </c>
      <c r="F1015" t="s">
        <v>273</v>
      </c>
      <c r="G1015" t="s">
        <v>3113</v>
      </c>
      <c r="H1015" t="s">
        <v>275</v>
      </c>
      <c r="I1015" t="s">
        <v>29</v>
      </c>
      <c r="J1015">
        <v>1</v>
      </c>
      <c r="K1015">
        <f>1-888-604-806</f>
        <v>-2297</v>
      </c>
      <c r="L1015" t="s">
        <v>3162</v>
      </c>
      <c r="M1015" t="s">
        <v>3163</v>
      </c>
      <c r="N1015" t="s">
        <v>278</v>
      </c>
      <c r="O1015" t="s">
        <v>134</v>
      </c>
      <c r="P1015" t="s">
        <v>29</v>
      </c>
      <c r="Q1015">
        <v>42</v>
      </c>
      <c r="R1015">
        <v>-93.620800000000003</v>
      </c>
    </row>
    <row r="1016" spans="1:18" x14ac:dyDescent="0.2">
      <c r="A1016" t="s">
        <v>270</v>
      </c>
      <c r="B1016" t="s">
        <v>271</v>
      </c>
      <c r="C1016">
        <v>1</v>
      </c>
      <c r="D1016" s="1">
        <v>44072.8672337963</v>
      </c>
      <c r="E1016" t="s">
        <v>3164</v>
      </c>
      <c r="F1016" t="s">
        <v>273</v>
      </c>
      <c r="G1016" t="s">
        <v>3113</v>
      </c>
      <c r="H1016" t="s">
        <v>275</v>
      </c>
      <c r="I1016" t="s">
        <v>29</v>
      </c>
      <c r="J1016">
        <v>1</v>
      </c>
      <c r="K1016">
        <f>1-888-604-806</f>
        <v>-2297</v>
      </c>
      <c r="L1016" t="s">
        <v>3165</v>
      </c>
      <c r="M1016" t="s">
        <v>3166</v>
      </c>
      <c r="N1016" t="s">
        <v>278</v>
      </c>
      <c r="O1016" t="s">
        <v>134</v>
      </c>
      <c r="P1016" t="s">
        <v>29</v>
      </c>
      <c r="Q1016">
        <v>42</v>
      </c>
      <c r="R1016">
        <v>-93.620800000000003</v>
      </c>
    </row>
    <row r="1017" spans="1:18" x14ac:dyDescent="0.2">
      <c r="A1017" t="s">
        <v>270</v>
      </c>
      <c r="B1017" t="s">
        <v>271</v>
      </c>
      <c r="C1017">
        <v>1</v>
      </c>
      <c r="D1017" s="1">
        <v>44072.864942129629</v>
      </c>
      <c r="E1017" t="s">
        <v>3167</v>
      </c>
      <c r="F1017" t="s">
        <v>273</v>
      </c>
      <c r="G1017" t="s">
        <v>3113</v>
      </c>
      <c r="H1017" t="s">
        <v>275</v>
      </c>
      <c r="I1017" t="s">
        <v>29</v>
      </c>
      <c r="J1017">
        <v>1</v>
      </c>
      <c r="K1017">
        <f>1-888-650-4670</f>
        <v>-6207</v>
      </c>
      <c r="L1017" t="s">
        <v>3168</v>
      </c>
      <c r="M1017" t="s">
        <v>3169</v>
      </c>
      <c r="N1017" t="s">
        <v>278</v>
      </c>
      <c r="O1017" t="s">
        <v>134</v>
      </c>
      <c r="P1017" t="s">
        <v>29</v>
      </c>
      <c r="Q1017">
        <v>42</v>
      </c>
      <c r="R1017">
        <v>-93.620800000000003</v>
      </c>
    </row>
    <row r="1018" spans="1:18" x14ac:dyDescent="0.2">
      <c r="A1018" t="s">
        <v>270</v>
      </c>
      <c r="B1018" t="s">
        <v>271</v>
      </c>
      <c r="C1018">
        <v>1</v>
      </c>
      <c r="D1018" s="1">
        <v>44071.906423611108</v>
      </c>
      <c r="E1018" t="s">
        <v>3170</v>
      </c>
      <c r="F1018" t="s">
        <v>273</v>
      </c>
      <c r="G1018" t="s">
        <v>3113</v>
      </c>
      <c r="H1018" t="s">
        <v>275</v>
      </c>
      <c r="I1018" t="s">
        <v>29</v>
      </c>
      <c r="J1018">
        <v>1</v>
      </c>
      <c r="K1018">
        <f>1-888-803-850</f>
        <v>-2540</v>
      </c>
      <c r="L1018" t="s">
        <v>3171</v>
      </c>
      <c r="M1018" t="s">
        <v>3172</v>
      </c>
      <c r="N1018" t="s">
        <v>278</v>
      </c>
      <c r="O1018" t="s">
        <v>134</v>
      </c>
      <c r="P1018" t="s">
        <v>29</v>
      </c>
      <c r="Q1018">
        <v>42</v>
      </c>
      <c r="R1018">
        <v>-93.620800000000003</v>
      </c>
    </row>
    <row r="1019" spans="1:18" x14ac:dyDescent="0.2">
      <c r="A1019" t="s">
        <v>270</v>
      </c>
      <c r="B1019" t="s">
        <v>271</v>
      </c>
      <c r="C1019">
        <v>1</v>
      </c>
      <c r="D1019" s="1">
        <v>44071.903738425928</v>
      </c>
      <c r="E1019" t="s">
        <v>3173</v>
      </c>
      <c r="F1019" t="s">
        <v>273</v>
      </c>
      <c r="G1019" t="s">
        <v>3113</v>
      </c>
      <c r="H1019" t="s">
        <v>275</v>
      </c>
      <c r="I1019" t="s">
        <v>29</v>
      </c>
      <c r="J1019">
        <v>1</v>
      </c>
      <c r="K1019">
        <f>1-888-686-474</f>
        <v>-2047</v>
      </c>
      <c r="L1019" t="s">
        <v>3174</v>
      </c>
      <c r="M1019" t="s">
        <v>3175</v>
      </c>
      <c r="N1019" t="s">
        <v>278</v>
      </c>
      <c r="O1019" t="s">
        <v>134</v>
      </c>
      <c r="P1019" t="s">
        <v>29</v>
      </c>
      <c r="Q1019">
        <v>42</v>
      </c>
      <c r="R1019">
        <v>-93.620800000000003</v>
      </c>
    </row>
    <row r="1020" spans="1:18" x14ac:dyDescent="0.2">
      <c r="A1020" t="s">
        <v>270</v>
      </c>
      <c r="B1020" t="s">
        <v>271</v>
      </c>
      <c r="C1020">
        <v>1</v>
      </c>
      <c r="D1020" s="1">
        <v>44071.830659722225</v>
      </c>
      <c r="E1020" t="s">
        <v>3176</v>
      </c>
      <c r="F1020" t="s">
        <v>273</v>
      </c>
      <c r="G1020" t="s">
        <v>3113</v>
      </c>
      <c r="H1020" t="s">
        <v>275</v>
      </c>
      <c r="I1020" t="s">
        <v>29</v>
      </c>
      <c r="J1020">
        <v>1</v>
      </c>
      <c r="K1020">
        <f>1-888-607-419</f>
        <v>-1913</v>
      </c>
      <c r="L1020" t="s">
        <v>3177</v>
      </c>
      <c r="M1020" t="s">
        <v>3178</v>
      </c>
      <c r="N1020" t="s">
        <v>278</v>
      </c>
      <c r="O1020" t="s">
        <v>28</v>
      </c>
      <c r="P1020" t="s">
        <v>29</v>
      </c>
      <c r="Q1020">
        <v>42</v>
      </c>
      <c r="R1020">
        <v>-93.620800000000003</v>
      </c>
    </row>
    <row r="1021" spans="1:18" x14ac:dyDescent="0.2">
      <c r="A1021" t="s">
        <v>270</v>
      </c>
      <c r="B1021" t="s">
        <v>271</v>
      </c>
      <c r="C1021">
        <v>1</v>
      </c>
      <c r="D1021" s="1">
        <v>44070.869375000002</v>
      </c>
      <c r="E1021" t="s">
        <v>3179</v>
      </c>
      <c r="F1021" t="s">
        <v>273</v>
      </c>
      <c r="G1021" t="s">
        <v>3113</v>
      </c>
      <c r="H1021" t="s">
        <v>275</v>
      </c>
      <c r="I1021" t="s">
        <v>29</v>
      </c>
      <c r="J1021">
        <v>1</v>
      </c>
      <c r="K1021">
        <f>1-888-441-3235</f>
        <v>-4563</v>
      </c>
      <c r="L1021" t="s">
        <v>3180</v>
      </c>
      <c r="M1021" t="s">
        <v>3181</v>
      </c>
      <c r="N1021" t="s">
        <v>278</v>
      </c>
      <c r="O1021" t="s">
        <v>134</v>
      </c>
      <c r="P1021" t="s">
        <v>29</v>
      </c>
      <c r="Q1021">
        <v>42</v>
      </c>
      <c r="R1021">
        <v>-93.620800000000003</v>
      </c>
    </row>
    <row r="1022" spans="1:18" x14ac:dyDescent="0.2">
      <c r="A1022" t="s">
        <v>270</v>
      </c>
      <c r="B1022" t="s">
        <v>271</v>
      </c>
      <c r="C1022">
        <v>1</v>
      </c>
      <c r="D1022" s="1">
        <v>44070.599768518521</v>
      </c>
      <c r="E1022" t="s">
        <v>3182</v>
      </c>
      <c r="F1022" t="s">
        <v>273</v>
      </c>
      <c r="G1022" t="s">
        <v>3113</v>
      </c>
      <c r="H1022" t="s">
        <v>275</v>
      </c>
      <c r="I1022" t="s">
        <v>29</v>
      </c>
      <c r="J1022">
        <v>1</v>
      </c>
      <c r="K1022">
        <f>1-888-530-1472</f>
        <v>-2889</v>
      </c>
      <c r="L1022" t="s">
        <v>3183</v>
      </c>
      <c r="M1022" t="s">
        <v>3184</v>
      </c>
      <c r="N1022" t="s">
        <v>278</v>
      </c>
      <c r="O1022" t="s">
        <v>134</v>
      </c>
      <c r="P1022" t="s">
        <v>29</v>
      </c>
      <c r="Q1022">
        <v>42</v>
      </c>
      <c r="R1022">
        <v>-93.620800000000003</v>
      </c>
    </row>
    <row r="1023" spans="1:18" x14ac:dyDescent="0.2">
      <c r="A1023" t="s">
        <v>270</v>
      </c>
      <c r="B1023" t="s">
        <v>271</v>
      </c>
      <c r="C1023">
        <v>1</v>
      </c>
      <c r="D1023" s="1">
        <v>44064.446342592593</v>
      </c>
      <c r="E1023" t="s">
        <v>3185</v>
      </c>
      <c r="F1023" t="s">
        <v>273</v>
      </c>
      <c r="G1023" t="s">
        <v>3113</v>
      </c>
      <c r="H1023" t="s">
        <v>275</v>
      </c>
      <c r="I1023" t="s">
        <v>29</v>
      </c>
      <c r="J1023">
        <v>1</v>
      </c>
      <c r="K1023">
        <f>1-888-655-2343</f>
        <v>-3885</v>
      </c>
      <c r="L1023" t="s">
        <v>3186</v>
      </c>
      <c r="M1023" t="s">
        <v>3187</v>
      </c>
      <c r="N1023" t="s">
        <v>278</v>
      </c>
      <c r="O1023" t="s">
        <v>134</v>
      </c>
      <c r="P1023" t="s">
        <v>29</v>
      </c>
      <c r="Q1023">
        <v>42</v>
      </c>
      <c r="R1023">
        <v>-93.620800000000003</v>
      </c>
    </row>
    <row r="1024" spans="1:18" x14ac:dyDescent="0.2">
      <c r="A1024" t="s">
        <v>270</v>
      </c>
      <c r="B1024" t="s">
        <v>271</v>
      </c>
      <c r="C1024">
        <v>1</v>
      </c>
      <c r="D1024" s="1">
        <v>44053.715752314813</v>
      </c>
      <c r="E1024" t="s">
        <v>3188</v>
      </c>
      <c r="F1024" t="s">
        <v>273</v>
      </c>
      <c r="G1024" t="s">
        <v>3113</v>
      </c>
      <c r="H1024" t="s">
        <v>275</v>
      </c>
      <c r="I1024" t="s">
        <v>29</v>
      </c>
      <c r="J1024">
        <v>1</v>
      </c>
      <c r="K1024">
        <f>1-888-530-1970</f>
        <v>-3387</v>
      </c>
      <c r="L1024" t="s">
        <v>3189</v>
      </c>
      <c r="M1024" t="s">
        <v>3190</v>
      </c>
      <c r="N1024" t="s">
        <v>278</v>
      </c>
      <c r="O1024" t="s">
        <v>134</v>
      </c>
      <c r="P1024" t="s">
        <v>29</v>
      </c>
      <c r="Q1024">
        <v>42</v>
      </c>
      <c r="R1024">
        <v>-93.620800000000003</v>
      </c>
    </row>
    <row r="1025" spans="1:18" x14ac:dyDescent="0.2">
      <c r="A1025" t="s">
        <v>270</v>
      </c>
      <c r="B1025" t="s">
        <v>271</v>
      </c>
      <c r="C1025">
        <v>1</v>
      </c>
      <c r="D1025" s="1">
        <v>44053.714155092595</v>
      </c>
      <c r="E1025" t="s">
        <v>3191</v>
      </c>
      <c r="F1025" t="s">
        <v>273</v>
      </c>
      <c r="G1025" t="s">
        <v>3113</v>
      </c>
      <c r="H1025" t="s">
        <v>275</v>
      </c>
      <c r="I1025" t="s">
        <v>29</v>
      </c>
      <c r="J1025">
        <v>1</v>
      </c>
      <c r="K1025">
        <f>1-866-702-3639</f>
        <v>-5206</v>
      </c>
      <c r="L1025" t="s">
        <v>3192</v>
      </c>
      <c r="M1025" t="s">
        <v>3193</v>
      </c>
      <c r="N1025" t="s">
        <v>278</v>
      </c>
      <c r="O1025" t="s">
        <v>134</v>
      </c>
      <c r="P1025" t="s">
        <v>29</v>
      </c>
      <c r="Q1025">
        <v>42</v>
      </c>
      <c r="R1025">
        <v>-93.620800000000003</v>
      </c>
    </row>
    <row r="1026" spans="1:18" x14ac:dyDescent="0.2">
      <c r="A1026" t="s">
        <v>270</v>
      </c>
      <c r="B1026" t="s">
        <v>271</v>
      </c>
      <c r="C1026">
        <v>1</v>
      </c>
      <c r="D1026" s="1">
        <v>44053.321284722224</v>
      </c>
      <c r="E1026" t="s">
        <v>3194</v>
      </c>
      <c r="F1026" t="s">
        <v>273</v>
      </c>
      <c r="G1026" t="s">
        <v>3113</v>
      </c>
      <c r="H1026" t="s">
        <v>275</v>
      </c>
      <c r="I1026" t="s">
        <v>29</v>
      </c>
      <c r="J1026">
        <v>1</v>
      </c>
      <c r="K1026">
        <f>1-866-702-3639</f>
        <v>-5206</v>
      </c>
      <c r="L1026" t="s">
        <v>3195</v>
      </c>
      <c r="M1026" t="s">
        <v>3196</v>
      </c>
      <c r="N1026" t="s">
        <v>278</v>
      </c>
      <c r="O1026" t="s">
        <v>134</v>
      </c>
      <c r="P1026" t="s">
        <v>29</v>
      </c>
      <c r="Q1026">
        <v>42</v>
      </c>
      <c r="R1026">
        <v>-93.620800000000003</v>
      </c>
    </row>
    <row r="1027" spans="1:18" x14ac:dyDescent="0.2">
      <c r="A1027" t="s">
        <v>270</v>
      </c>
      <c r="B1027" t="s">
        <v>271</v>
      </c>
      <c r="C1027">
        <v>1</v>
      </c>
      <c r="D1027" s="1">
        <v>44041.514224537037</v>
      </c>
      <c r="E1027" t="s">
        <v>3197</v>
      </c>
      <c r="F1027" t="s">
        <v>273</v>
      </c>
      <c r="G1027" t="s">
        <v>3113</v>
      </c>
      <c r="H1027" t="s">
        <v>275</v>
      </c>
      <c r="I1027" t="s">
        <v>29</v>
      </c>
      <c r="J1027">
        <v>1</v>
      </c>
      <c r="K1027">
        <f>1-888-539-3185</f>
        <v>-4611</v>
      </c>
      <c r="L1027" t="s">
        <v>3198</v>
      </c>
      <c r="M1027" t="s">
        <v>3199</v>
      </c>
      <c r="N1027" t="s">
        <v>278</v>
      </c>
      <c r="O1027" t="s">
        <v>134</v>
      </c>
      <c r="P1027" t="s">
        <v>29</v>
      </c>
      <c r="Q1027">
        <v>42</v>
      </c>
      <c r="R1027">
        <v>-93.620800000000003</v>
      </c>
    </row>
    <row r="1028" spans="1:18" x14ac:dyDescent="0.2">
      <c r="A1028" t="s">
        <v>270</v>
      </c>
      <c r="B1028" t="s">
        <v>271</v>
      </c>
      <c r="C1028">
        <v>1</v>
      </c>
      <c r="D1028" s="1">
        <v>44036.617546296293</v>
      </c>
      <c r="E1028" t="s">
        <v>3200</v>
      </c>
      <c r="F1028" t="s">
        <v>273</v>
      </c>
      <c r="G1028" t="s">
        <v>3113</v>
      </c>
      <c r="H1028" t="s">
        <v>275</v>
      </c>
      <c r="I1028" t="s">
        <v>29</v>
      </c>
      <c r="J1028">
        <v>1</v>
      </c>
      <c r="K1028">
        <f>1-888-537-9622</f>
        <v>-11046</v>
      </c>
      <c r="L1028" t="s">
        <v>3201</v>
      </c>
      <c r="M1028" t="s">
        <v>3202</v>
      </c>
      <c r="N1028" t="s">
        <v>278</v>
      </c>
      <c r="O1028" t="s">
        <v>134</v>
      </c>
      <c r="P1028" t="s">
        <v>29</v>
      </c>
      <c r="Q1028">
        <v>42</v>
      </c>
      <c r="R1028">
        <v>-93.620800000000003</v>
      </c>
    </row>
    <row r="1029" spans="1:18" x14ac:dyDescent="0.2">
      <c r="A1029" t="s">
        <v>270</v>
      </c>
      <c r="B1029" t="s">
        <v>271</v>
      </c>
      <c r="C1029">
        <v>1</v>
      </c>
      <c r="D1029" s="1">
        <v>44028.92260416667</v>
      </c>
      <c r="E1029" t="s">
        <v>3203</v>
      </c>
      <c r="F1029" t="s">
        <v>273</v>
      </c>
      <c r="G1029" t="s">
        <v>3113</v>
      </c>
      <c r="H1029" t="s">
        <v>275</v>
      </c>
      <c r="I1029" t="s">
        <v>29</v>
      </c>
      <c r="J1029">
        <v>1</v>
      </c>
      <c r="K1029">
        <f>1-844-420-3801</f>
        <v>-5064</v>
      </c>
      <c r="L1029" t="s">
        <v>3204</v>
      </c>
      <c r="M1029" t="s">
        <v>3205</v>
      </c>
      <c r="N1029" t="s">
        <v>278</v>
      </c>
      <c r="O1029" t="s">
        <v>134</v>
      </c>
      <c r="P1029" t="s">
        <v>29</v>
      </c>
      <c r="Q1029">
        <v>42</v>
      </c>
      <c r="R1029">
        <v>-93.620800000000003</v>
      </c>
    </row>
    <row r="1030" spans="1:18" x14ac:dyDescent="0.2">
      <c r="A1030" t="s">
        <v>270</v>
      </c>
      <c r="B1030" t="s">
        <v>271</v>
      </c>
      <c r="C1030">
        <v>1</v>
      </c>
      <c r="D1030" s="1">
        <v>43988.453703703701</v>
      </c>
      <c r="E1030" t="s">
        <v>3206</v>
      </c>
      <c r="F1030" t="s">
        <v>273</v>
      </c>
      <c r="G1030" t="s">
        <v>3113</v>
      </c>
      <c r="H1030" t="s">
        <v>275</v>
      </c>
      <c r="I1030" t="s">
        <v>29</v>
      </c>
      <c r="J1030">
        <v>1</v>
      </c>
      <c r="K1030">
        <f>1-855-518-5533</f>
        <v>-6905</v>
      </c>
      <c r="L1030" t="s">
        <v>3207</v>
      </c>
      <c r="M1030" t="s">
        <v>3208</v>
      </c>
      <c r="N1030" t="s">
        <v>278</v>
      </c>
      <c r="O1030" t="s">
        <v>28</v>
      </c>
      <c r="P1030" t="s">
        <v>29</v>
      </c>
      <c r="Q1030">
        <v>42</v>
      </c>
      <c r="R1030">
        <v>-93.620800000000003</v>
      </c>
    </row>
    <row r="1031" spans="1:18" x14ac:dyDescent="0.2">
      <c r="A1031" t="s">
        <v>270</v>
      </c>
      <c r="B1031" t="s">
        <v>271</v>
      </c>
      <c r="C1031">
        <v>1</v>
      </c>
      <c r="D1031" s="1">
        <v>43989.427893518521</v>
      </c>
      <c r="E1031" t="s">
        <v>3209</v>
      </c>
      <c r="F1031" t="s">
        <v>273</v>
      </c>
      <c r="G1031" t="s">
        <v>3113</v>
      </c>
      <c r="H1031" t="s">
        <v>275</v>
      </c>
      <c r="I1031" t="s">
        <v>29</v>
      </c>
      <c r="J1031">
        <v>1</v>
      </c>
      <c r="K1031">
        <f>1-855-518-5533</f>
        <v>-6905</v>
      </c>
      <c r="L1031" t="s">
        <v>3210</v>
      </c>
      <c r="M1031" t="s">
        <v>3211</v>
      </c>
      <c r="N1031" t="s">
        <v>278</v>
      </c>
      <c r="O1031" t="s">
        <v>28</v>
      </c>
      <c r="P1031" t="s">
        <v>29</v>
      </c>
      <c r="Q1031">
        <v>42</v>
      </c>
      <c r="R1031">
        <v>-93.620800000000003</v>
      </c>
    </row>
    <row r="1032" spans="1:18" x14ac:dyDescent="0.2">
      <c r="A1032" t="s">
        <v>270</v>
      </c>
      <c r="B1032" t="s">
        <v>271</v>
      </c>
      <c r="C1032">
        <v>1</v>
      </c>
      <c r="D1032" s="1">
        <v>43989.427604166667</v>
      </c>
      <c r="E1032" t="s">
        <v>3212</v>
      </c>
      <c r="F1032" t="s">
        <v>273</v>
      </c>
      <c r="G1032" t="s">
        <v>3113</v>
      </c>
      <c r="H1032" t="s">
        <v>275</v>
      </c>
      <c r="I1032" t="s">
        <v>29</v>
      </c>
      <c r="J1032">
        <v>1</v>
      </c>
      <c r="K1032">
        <f>1-855-518-5533</f>
        <v>-6905</v>
      </c>
      <c r="L1032" t="s">
        <v>3213</v>
      </c>
      <c r="M1032" t="s">
        <v>3214</v>
      </c>
      <c r="N1032" t="s">
        <v>278</v>
      </c>
      <c r="O1032" t="s">
        <v>28</v>
      </c>
      <c r="P1032" t="s">
        <v>29</v>
      </c>
      <c r="Q1032">
        <v>42</v>
      </c>
      <c r="R1032">
        <v>-93.620800000000003</v>
      </c>
    </row>
    <row r="1033" spans="1:18" x14ac:dyDescent="0.2">
      <c r="A1033" t="s">
        <v>270</v>
      </c>
      <c r="B1033" t="s">
        <v>271</v>
      </c>
      <c r="C1033">
        <v>1</v>
      </c>
      <c r="D1033" s="1">
        <v>43989.254571759258</v>
      </c>
      <c r="E1033" t="s">
        <v>3215</v>
      </c>
      <c r="F1033" t="s">
        <v>273</v>
      </c>
      <c r="G1033" t="s">
        <v>3113</v>
      </c>
      <c r="H1033" t="s">
        <v>275</v>
      </c>
      <c r="I1033" t="s">
        <v>29</v>
      </c>
      <c r="J1033">
        <v>1</v>
      </c>
      <c r="K1033">
        <f>1-855-518-5533</f>
        <v>-6905</v>
      </c>
      <c r="L1033" t="s">
        <v>3216</v>
      </c>
      <c r="M1033" t="s">
        <v>3217</v>
      </c>
      <c r="N1033" t="s">
        <v>278</v>
      </c>
      <c r="O1033" t="s">
        <v>28</v>
      </c>
      <c r="P1033" t="s">
        <v>29</v>
      </c>
      <c r="Q1033">
        <v>42</v>
      </c>
      <c r="R1033">
        <v>-93.620800000000003</v>
      </c>
    </row>
    <row r="1034" spans="1:18" x14ac:dyDescent="0.2">
      <c r="A1034" t="s">
        <v>270</v>
      </c>
      <c r="B1034" t="s">
        <v>271</v>
      </c>
      <c r="C1034">
        <v>1</v>
      </c>
      <c r="D1034" s="1">
        <v>43988.452037037037</v>
      </c>
      <c r="E1034" t="s">
        <v>3218</v>
      </c>
      <c r="F1034" t="s">
        <v>273</v>
      </c>
      <c r="G1034" t="s">
        <v>3113</v>
      </c>
      <c r="H1034" t="s">
        <v>275</v>
      </c>
      <c r="I1034" t="s">
        <v>29</v>
      </c>
      <c r="J1034">
        <v>1</v>
      </c>
      <c r="K1034">
        <f>1-855-518-5533</f>
        <v>-6905</v>
      </c>
      <c r="L1034" t="s">
        <v>3219</v>
      </c>
      <c r="M1034" t="s">
        <v>3220</v>
      </c>
      <c r="N1034" t="s">
        <v>278</v>
      </c>
      <c r="O1034" t="s">
        <v>28</v>
      </c>
      <c r="P1034" t="s">
        <v>29</v>
      </c>
      <c r="Q1034">
        <v>42</v>
      </c>
      <c r="R1034">
        <v>-93.620800000000003</v>
      </c>
    </row>
    <row r="1035" spans="1:18" x14ac:dyDescent="0.2">
      <c r="A1035" t="s">
        <v>270</v>
      </c>
      <c r="B1035" t="s">
        <v>271</v>
      </c>
      <c r="C1035">
        <v>81</v>
      </c>
      <c r="D1035" s="1">
        <v>43990.356215277781</v>
      </c>
      <c r="E1035" t="s">
        <v>3221</v>
      </c>
      <c r="F1035" t="s">
        <v>273</v>
      </c>
      <c r="G1035" t="s">
        <v>3113</v>
      </c>
      <c r="H1035" t="s">
        <v>275</v>
      </c>
      <c r="I1035" t="s">
        <v>53</v>
      </c>
      <c r="J1035">
        <v>81</v>
      </c>
      <c r="K1035">
        <f>81-50-5539-3408</f>
        <v>-8916</v>
      </c>
      <c r="L1035" t="s">
        <v>3222</v>
      </c>
      <c r="M1035" t="s">
        <v>3223</v>
      </c>
      <c r="N1035" t="s">
        <v>278</v>
      </c>
      <c r="O1035" t="s">
        <v>134</v>
      </c>
      <c r="P1035" t="s">
        <v>29</v>
      </c>
      <c r="Q1035">
        <v>42</v>
      </c>
      <c r="R1035">
        <v>-93.620800000000003</v>
      </c>
    </row>
    <row r="1036" spans="1:18" x14ac:dyDescent="0.2">
      <c r="A1036" t="s">
        <v>270</v>
      </c>
      <c r="B1036" t="s">
        <v>271</v>
      </c>
      <c r="C1036">
        <v>61</v>
      </c>
      <c r="D1036" s="1">
        <v>43987.612939814811</v>
      </c>
      <c r="E1036" t="s">
        <v>3224</v>
      </c>
      <c r="F1036" t="s">
        <v>273</v>
      </c>
      <c r="G1036" t="s">
        <v>3113</v>
      </c>
      <c r="H1036" t="s">
        <v>275</v>
      </c>
      <c r="I1036" t="s">
        <v>782</v>
      </c>
      <c r="J1036">
        <v>61</v>
      </c>
      <c r="K1036">
        <f>61-1800-862-86</f>
        <v>-2687</v>
      </c>
      <c r="L1036" t="s">
        <v>3225</v>
      </c>
      <c r="M1036" t="s">
        <v>3226</v>
      </c>
      <c r="N1036" t="s">
        <v>278</v>
      </c>
      <c r="O1036" t="s">
        <v>28</v>
      </c>
      <c r="P1036" t="s">
        <v>29</v>
      </c>
      <c r="Q1036">
        <v>42</v>
      </c>
      <c r="R1036">
        <v>-93.620800000000003</v>
      </c>
    </row>
    <row r="1037" spans="1:18" x14ac:dyDescent="0.2">
      <c r="A1037" t="s">
        <v>270</v>
      </c>
      <c r="B1037" t="s">
        <v>271</v>
      </c>
      <c r="C1037">
        <v>61</v>
      </c>
      <c r="D1037" s="1">
        <v>43987.612534722219</v>
      </c>
      <c r="E1037" t="s">
        <v>3227</v>
      </c>
      <c r="F1037" t="s">
        <v>273</v>
      </c>
      <c r="G1037" t="s">
        <v>3113</v>
      </c>
      <c r="H1037" t="s">
        <v>275</v>
      </c>
      <c r="I1037" t="s">
        <v>782</v>
      </c>
      <c r="J1037">
        <v>61</v>
      </c>
      <c r="K1037">
        <f>61-1800-862-86</f>
        <v>-2687</v>
      </c>
      <c r="L1037" t="s">
        <v>3228</v>
      </c>
      <c r="M1037" t="s">
        <v>3229</v>
      </c>
      <c r="N1037" t="s">
        <v>278</v>
      </c>
      <c r="O1037" t="s">
        <v>28</v>
      </c>
      <c r="P1037" t="s">
        <v>29</v>
      </c>
      <c r="Q1037">
        <v>42</v>
      </c>
      <c r="R1037">
        <v>-93.620800000000003</v>
      </c>
    </row>
    <row r="1038" spans="1:18" x14ac:dyDescent="0.2">
      <c r="A1038" t="s">
        <v>270</v>
      </c>
      <c r="B1038" t="s">
        <v>271</v>
      </c>
      <c r="C1038">
        <v>61</v>
      </c>
      <c r="D1038" s="1">
        <v>43987.612430555557</v>
      </c>
      <c r="E1038" t="s">
        <v>3230</v>
      </c>
      <c r="F1038" t="s">
        <v>273</v>
      </c>
      <c r="G1038" t="s">
        <v>3113</v>
      </c>
      <c r="H1038" t="s">
        <v>275</v>
      </c>
      <c r="I1038" t="s">
        <v>782</v>
      </c>
      <c r="J1038">
        <v>61</v>
      </c>
      <c r="K1038">
        <f>61-1800-862-86</f>
        <v>-2687</v>
      </c>
      <c r="L1038" t="s">
        <v>3231</v>
      </c>
      <c r="M1038" t="s">
        <v>3232</v>
      </c>
      <c r="N1038" t="s">
        <v>278</v>
      </c>
      <c r="O1038" t="s">
        <v>28</v>
      </c>
      <c r="P1038" t="s">
        <v>29</v>
      </c>
      <c r="Q1038">
        <v>42</v>
      </c>
      <c r="R1038">
        <v>-93.620800000000003</v>
      </c>
    </row>
    <row r="1039" spans="1:18" x14ac:dyDescent="0.2">
      <c r="A1039" t="s">
        <v>270</v>
      </c>
      <c r="B1039" t="s">
        <v>271</v>
      </c>
      <c r="C1039">
        <v>61</v>
      </c>
      <c r="D1039" s="1">
        <v>43986.981493055559</v>
      </c>
      <c r="E1039" t="s">
        <v>3224</v>
      </c>
      <c r="F1039" t="s">
        <v>273</v>
      </c>
      <c r="G1039" t="s">
        <v>3113</v>
      </c>
      <c r="H1039" t="s">
        <v>275</v>
      </c>
      <c r="I1039" t="s">
        <v>782</v>
      </c>
      <c r="J1039">
        <v>61</v>
      </c>
      <c r="K1039" t="s">
        <v>3233</v>
      </c>
      <c r="L1039" t="s">
        <v>3234</v>
      </c>
      <c r="M1039" t="s">
        <v>3235</v>
      </c>
      <c r="N1039" t="s">
        <v>278</v>
      </c>
      <c r="O1039" t="s">
        <v>28</v>
      </c>
      <c r="P1039" t="s">
        <v>29</v>
      </c>
      <c r="Q1039">
        <v>42</v>
      </c>
      <c r="R1039">
        <v>-93.620800000000003</v>
      </c>
    </row>
    <row r="1040" spans="1:18" x14ac:dyDescent="0.2">
      <c r="A1040" t="s">
        <v>270</v>
      </c>
      <c r="B1040" t="s">
        <v>271</v>
      </c>
      <c r="C1040">
        <v>61</v>
      </c>
      <c r="D1040" s="1">
        <v>43986.98097222222</v>
      </c>
      <c r="E1040" t="s">
        <v>3236</v>
      </c>
      <c r="F1040" t="s">
        <v>273</v>
      </c>
      <c r="G1040" t="s">
        <v>3113</v>
      </c>
      <c r="H1040" t="s">
        <v>275</v>
      </c>
      <c r="I1040" t="s">
        <v>782</v>
      </c>
      <c r="J1040">
        <v>61</v>
      </c>
      <c r="K1040" t="s">
        <v>3233</v>
      </c>
      <c r="L1040" t="s">
        <v>3237</v>
      </c>
      <c r="M1040" t="s">
        <v>3238</v>
      </c>
      <c r="N1040" t="s">
        <v>278</v>
      </c>
      <c r="O1040" t="s">
        <v>28</v>
      </c>
      <c r="P1040" t="s">
        <v>29</v>
      </c>
      <c r="Q1040">
        <v>42</v>
      </c>
      <c r="R1040">
        <v>-93.620800000000003</v>
      </c>
    </row>
    <row r="1041" spans="1:18" x14ac:dyDescent="0.2">
      <c r="A1041" t="s">
        <v>270</v>
      </c>
      <c r="B1041" t="s">
        <v>271</v>
      </c>
      <c r="C1041">
        <v>61</v>
      </c>
      <c r="D1041" s="1">
        <v>43985.369525462964</v>
      </c>
      <c r="E1041" t="s">
        <v>3239</v>
      </c>
      <c r="F1041" t="s">
        <v>273</v>
      </c>
      <c r="G1041" t="s">
        <v>3113</v>
      </c>
      <c r="H1041" t="s">
        <v>275</v>
      </c>
      <c r="I1041" t="s">
        <v>782</v>
      </c>
      <c r="J1041">
        <v>61</v>
      </c>
      <c r="K1041" t="s">
        <v>3233</v>
      </c>
      <c r="L1041" t="s">
        <v>3240</v>
      </c>
      <c r="M1041" t="s">
        <v>3241</v>
      </c>
      <c r="N1041" t="s">
        <v>278</v>
      </c>
      <c r="O1041" t="s">
        <v>28</v>
      </c>
      <c r="P1041" t="s">
        <v>29</v>
      </c>
      <c r="Q1041">
        <v>42</v>
      </c>
      <c r="R1041">
        <v>-93.620800000000003</v>
      </c>
    </row>
    <row r="1042" spans="1:18" x14ac:dyDescent="0.2">
      <c r="A1042" t="s">
        <v>663</v>
      </c>
      <c r="B1042" t="s">
        <v>2500</v>
      </c>
      <c r="C1042">
        <v>1</v>
      </c>
      <c r="D1042" s="1">
        <v>43985.370821759258</v>
      </c>
      <c r="E1042" t="s">
        <v>3242</v>
      </c>
      <c r="F1042" t="s">
        <v>2495</v>
      </c>
      <c r="G1042" t="s">
        <v>3242</v>
      </c>
      <c r="H1042" t="s">
        <v>667</v>
      </c>
      <c r="I1042" t="s">
        <v>29</v>
      </c>
      <c r="J1042">
        <v>1</v>
      </c>
      <c r="K1042">
        <f>1-800-53+1-607</f>
        <v>-1458</v>
      </c>
      <c r="L1042" t="s">
        <v>3243</v>
      </c>
      <c r="M1042" t="s">
        <v>3244</v>
      </c>
      <c r="N1042">
        <v>83</v>
      </c>
      <c r="O1042" t="s">
        <v>134</v>
      </c>
      <c r="P1042" t="s">
        <v>2500</v>
      </c>
      <c r="Q1042">
        <v>1</v>
      </c>
      <c r="R1042">
        <v>99.999999000000003</v>
      </c>
    </row>
    <row r="1043" spans="1:18" x14ac:dyDescent="0.2">
      <c r="A1043" t="s">
        <v>663</v>
      </c>
      <c r="B1043" t="s">
        <v>3245</v>
      </c>
      <c r="C1043">
        <v>61</v>
      </c>
      <c r="D1043" s="1">
        <v>43985.52511574074</v>
      </c>
      <c r="E1043" t="s">
        <v>3246</v>
      </c>
      <c r="F1043" t="s">
        <v>666</v>
      </c>
      <c r="G1043" t="s">
        <v>3247</v>
      </c>
      <c r="H1043" t="s">
        <v>667</v>
      </c>
      <c r="I1043" t="s">
        <v>782</v>
      </c>
      <c r="J1043">
        <v>61</v>
      </c>
      <c r="K1043">
        <f>61-808-101-7269</f>
        <v>-8117</v>
      </c>
      <c r="L1043" t="s">
        <v>3248</v>
      </c>
      <c r="M1043" t="s">
        <v>3249</v>
      </c>
      <c r="N1043" t="s">
        <v>1645</v>
      </c>
      <c r="O1043" t="s">
        <v>28</v>
      </c>
      <c r="P1043" t="s">
        <v>29</v>
      </c>
      <c r="Q1043">
        <v>41</v>
      </c>
      <c r="R1043">
        <v>-74.140299999999996</v>
      </c>
    </row>
    <row r="1044" spans="1:18" x14ac:dyDescent="0.2">
      <c r="A1044" t="s">
        <v>439</v>
      </c>
      <c r="B1044" t="s">
        <v>440</v>
      </c>
      <c r="C1044">
        <v>1</v>
      </c>
      <c r="D1044" s="1">
        <v>43985.780995370369</v>
      </c>
      <c r="E1044" t="s">
        <v>3250</v>
      </c>
      <c r="F1044" t="s">
        <v>442</v>
      </c>
      <c r="G1044" t="s">
        <v>3251</v>
      </c>
      <c r="H1044" t="s">
        <v>444</v>
      </c>
      <c r="I1044" t="s">
        <v>29</v>
      </c>
      <c r="J1044">
        <v>1</v>
      </c>
      <c r="K1044">
        <f>1-833-884-4040</f>
        <v>-5756</v>
      </c>
      <c r="L1044" t="s">
        <v>3252</v>
      </c>
      <c r="M1044" t="s">
        <v>3253</v>
      </c>
      <c r="N1044" t="s">
        <v>452</v>
      </c>
      <c r="O1044" t="s">
        <v>28</v>
      </c>
      <c r="P1044" t="s">
        <v>29</v>
      </c>
      <c r="Q1044">
        <v>39</v>
      </c>
      <c r="R1044">
        <v>-77.487399999999994</v>
      </c>
    </row>
    <row r="1045" spans="1:18" x14ac:dyDescent="0.2">
      <c r="A1045" t="s">
        <v>439</v>
      </c>
      <c r="B1045" t="s">
        <v>440</v>
      </c>
      <c r="C1045">
        <v>1</v>
      </c>
      <c r="D1045" s="1">
        <v>43986.019606481481</v>
      </c>
      <c r="E1045" t="s">
        <v>3254</v>
      </c>
      <c r="F1045" t="s">
        <v>442</v>
      </c>
      <c r="G1045" t="s">
        <v>3255</v>
      </c>
      <c r="H1045" t="s">
        <v>444</v>
      </c>
      <c r="I1045" t="s">
        <v>29</v>
      </c>
      <c r="J1045">
        <v>1</v>
      </c>
      <c r="K1045">
        <f>1-844-303-692</f>
        <v>-1838</v>
      </c>
      <c r="L1045" t="s">
        <v>3256</v>
      </c>
      <c r="M1045" t="s">
        <v>3257</v>
      </c>
      <c r="N1045" t="s">
        <v>213</v>
      </c>
      <c r="O1045" t="s">
        <v>28</v>
      </c>
      <c r="P1045" t="s">
        <v>29</v>
      </c>
      <c r="Q1045">
        <v>39</v>
      </c>
      <c r="R1045">
        <v>-77.487399999999994</v>
      </c>
    </row>
    <row r="1046" spans="1:18" x14ac:dyDescent="0.2">
      <c r="A1046" t="s">
        <v>1200</v>
      </c>
      <c r="B1046" t="s">
        <v>1201</v>
      </c>
      <c r="C1046">
        <v>34</v>
      </c>
      <c r="D1046" s="1">
        <v>43999.519918981481</v>
      </c>
      <c r="E1046" t="s">
        <v>3258</v>
      </c>
      <c r="F1046" t="s">
        <v>1203</v>
      </c>
      <c r="G1046" t="s">
        <v>3259</v>
      </c>
      <c r="H1046" t="s">
        <v>1205</v>
      </c>
      <c r="I1046" t="s">
        <v>700</v>
      </c>
      <c r="J1046">
        <v>34</v>
      </c>
      <c r="K1046">
        <f>34-900-649-691</f>
        <v>-2206</v>
      </c>
      <c r="L1046" t="s">
        <v>3260</v>
      </c>
      <c r="M1046" t="s">
        <v>3261</v>
      </c>
      <c r="N1046" t="s">
        <v>213</v>
      </c>
      <c r="O1046" t="s">
        <v>28</v>
      </c>
      <c r="P1046" t="s">
        <v>29</v>
      </c>
      <c r="Q1046">
        <v>34</v>
      </c>
      <c r="R1046">
        <v>-99.999999000000003</v>
      </c>
    </row>
    <row r="1047" spans="1:18" x14ac:dyDescent="0.2">
      <c r="A1047" t="s">
        <v>1200</v>
      </c>
      <c r="B1047" t="s">
        <v>1201</v>
      </c>
      <c r="C1047">
        <v>1</v>
      </c>
      <c r="D1047" s="1">
        <v>43987.616736111115</v>
      </c>
      <c r="E1047" t="s">
        <v>3262</v>
      </c>
      <c r="F1047" t="s">
        <v>1203</v>
      </c>
      <c r="G1047" t="s">
        <v>3259</v>
      </c>
      <c r="H1047" t="s">
        <v>1205</v>
      </c>
      <c r="I1047" t="s">
        <v>29</v>
      </c>
      <c r="J1047">
        <v>1</v>
      </c>
      <c r="K1047">
        <f>1-888-888-8888</f>
        <v>-10663</v>
      </c>
      <c r="L1047" t="s">
        <v>3263</v>
      </c>
      <c r="M1047" t="s">
        <v>3264</v>
      </c>
      <c r="N1047" t="s">
        <v>213</v>
      </c>
      <c r="O1047" t="s">
        <v>28</v>
      </c>
      <c r="P1047" t="s">
        <v>29</v>
      </c>
      <c r="Q1047">
        <v>34</v>
      </c>
      <c r="R1047">
        <v>-99.999999000000003</v>
      </c>
    </row>
    <row r="1048" spans="1:18" x14ac:dyDescent="0.2">
      <c r="A1048" t="s">
        <v>1200</v>
      </c>
      <c r="B1048" t="s">
        <v>1201</v>
      </c>
      <c r="C1048">
        <v>1</v>
      </c>
      <c r="D1048" s="1">
        <v>43987.610879629632</v>
      </c>
      <c r="E1048" t="s">
        <v>3262</v>
      </c>
      <c r="F1048" t="s">
        <v>1203</v>
      </c>
      <c r="G1048" t="s">
        <v>3259</v>
      </c>
      <c r="H1048" t="s">
        <v>1205</v>
      </c>
      <c r="I1048" t="s">
        <v>29</v>
      </c>
      <c r="J1048">
        <v>1</v>
      </c>
      <c r="K1048">
        <f>1-888-888-8888</f>
        <v>-10663</v>
      </c>
      <c r="L1048" t="s">
        <v>3265</v>
      </c>
      <c r="M1048" t="s">
        <v>3266</v>
      </c>
      <c r="N1048" t="s">
        <v>213</v>
      </c>
      <c r="O1048" t="s">
        <v>28</v>
      </c>
      <c r="P1048" t="s">
        <v>29</v>
      </c>
      <c r="Q1048">
        <v>34</v>
      </c>
      <c r="R1048">
        <v>-99.999999000000003</v>
      </c>
    </row>
    <row r="1049" spans="1:18" x14ac:dyDescent="0.2">
      <c r="A1049" t="s">
        <v>1200</v>
      </c>
      <c r="B1049" t="s">
        <v>1201</v>
      </c>
      <c r="C1049">
        <v>1</v>
      </c>
      <c r="D1049" s="1">
        <v>43987.610763888886</v>
      </c>
      <c r="E1049" t="s">
        <v>3262</v>
      </c>
      <c r="F1049" t="s">
        <v>1203</v>
      </c>
      <c r="G1049" t="s">
        <v>3259</v>
      </c>
      <c r="H1049" t="s">
        <v>1205</v>
      </c>
      <c r="I1049" t="s">
        <v>29</v>
      </c>
      <c r="J1049">
        <v>1</v>
      </c>
      <c r="K1049">
        <f>1-888-888-8888</f>
        <v>-10663</v>
      </c>
      <c r="L1049" t="s">
        <v>3267</v>
      </c>
      <c r="M1049" t="s">
        <v>3268</v>
      </c>
      <c r="N1049" t="s">
        <v>213</v>
      </c>
      <c r="O1049" t="s">
        <v>28</v>
      </c>
      <c r="P1049" t="s">
        <v>29</v>
      </c>
      <c r="Q1049">
        <v>34</v>
      </c>
      <c r="R1049">
        <v>-99.999999000000003</v>
      </c>
    </row>
    <row r="1050" spans="1:18" x14ac:dyDescent="0.2">
      <c r="A1050" t="s">
        <v>1200</v>
      </c>
      <c r="B1050" t="s">
        <v>1201</v>
      </c>
      <c r="C1050">
        <v>1</v>
      </c>
      <c r="D1050" s="1">
        <v>43987.549826388888</v>
      </c>
      <c r="E1050" t="s">
        <v>3269</v>
      </c>
      <c r="F1050" t="s">
        <v>1203</v>
      </c>
      <c r="G1050" t="s">
        <v>3259</v>
      </c>
      <c r="H1050" t="s">
        <v>1205</v>
      </c>
      <c r="I1050" t="s">
        <v>29</v>
      </c>
      <c r="J1050">
        <v>1</v>
      </c>
      <c r="K1050">
        <f>1-888-888-8888</f>
        <v>-10663</v>
      </c>
      <c r="L1050" t="s">
        <v>3270</v>
      </c>
      <c r="M1050" t="s">
        <v>3271</v>
      </c>
      <c r="N1050" t="s">
        <v>213</v>
      </c>
      <c r="O1050" t="s">
        <v>28</v>
      </c>
      <c r="P1050" t="s">
        <v>29</v>
      </c>
      <c r="Q1050">
        <v>34</v>
      </c>
      <c r="R1050">
        <v>-99.999999000000003</v>
      </c>
    </row>
    <row r="1051" spans="1:18" x14ac:dyDescent="0.2">
      <c r="A1051" t="s">
        <v>1200</v>
      </c>
      <c r="B1051" t="s">
        <v>1201</v>
      </c>
      <c r="C1051">
        <v>1</v>
      </c>
      <c r="D1051" s="1">
        <v>43986.4690162037</v>
      </c>
      <c r="E1051" t="s">
        <v>3262</v>
      </c>
      <c r="F1051" t="s">
        <v>1203</v>
      </c>
      <c r="G1051" t="s">
        <v>3259</v>
      </c>
      <c r="H1051" t="s">
        <v>1205</v>
      </c>
      <c r="I1051" t="s">
        <v>29</v>
      </c>
      <c r="J1051">
        <v>1</v>
      </c>
      <c r="K1051">
        <f>1-888-888-8888</f>
        <v>-10663</v>
      </c>
      <c r="L1051" t="s">
        <v>3272</v>
      </c>
      <c r="M1051" t="s">
        <v>3273</v>
      </c>
      <c r="N1051" t="s">
        <v>213</v>
      </c>
      <c r="O1051" t="s">
        <v>28</v>
      </c>
      <c r="P1051" t="s">
        <v>29</v>
      </c>
      <c r="Q1051">
        <v>34</v>
      </c>
      <c r="R1051">
        <v>-99.999999000000003</v>
      </c>
    </row>
    <row r="1052" spans="1:18" x14ac:dyDescent="0.2">
      <c r="A1052" t="s">
        <v>439</v>
      </c>
      <c r="B1052" t="s">
        <v>440</v>
      </c>
      <c r="C1052">
        <v>1</v>
      </c>
      <c r="D1052" s="1">
        <v>43986.790613425925</v>
      </c>
      <c r="E1052" t="s">
        <v>3274</v>
      </c>
      <c r="F1052" t="s">
        <v>442</v>
      </c>
      <c r="G1052" t="s">
        <v>3275</v>
      </c>
      <c r="H1052" t="s">
        <v>444</v>
      </c>
      <c r="I1052" t="s">
        <v>29</v>
      </c>
      <c r="J1052">
        <v>1</v>
      </c>
      <c r="K1052">
        <f>1-800-957-4660</f>
        <v>-6416</v>
      </c>
      <c r="L1052" t="s">
        <v>3276</v>
      </c>
      <c r="M1052" t="s">
        <v>3277</v>
      </c>
      <c r="N1052" t="s">
        <v>2475</v>
      </c>
      <c r="O1052" t="s">
        <v>28</v>
      </c>
      <c r="P1052" t="s">
        <v>29</v>
      </c>
      <c r="Q1052">
        <v>39</v>
      </c>
      <c r="R1052">
        <v>-77.487399999999994</v>
      </c>
    </row>
    <row r="1053" spans="1:18" x14ac:dyDescent="0.2">
      <c r="A1053" t="s">
        <v>1637</v>
      </c>
      <c r="B1053" t="s">
        <v>1638</v>
      </c>
      <c r="C1053">
        <v>1</v>
      </c>
      <c r="D1053" s="1">
        <v>44229.787465277775</v>
      </c>
      <c r="E1053" t="s">
        <v>3278</v>
      </c>
      <c r="F1053" t="s">
        <v>1640</v>
      </c>
      <c r="G1053" t="s">
        <v>3279</v>
      </c>
      <c r="H1053" t="s">
        <v>1642</v>
      </c>
      <c r="I1053" t="s">
        <v>29</v>
      </c>
      <c r="J1053">
        <v>1</v>
      </c>
      <c r="K1053">
        <f t="shared" ref="K1053:K1058" si="11">1-888-473-6667</f>
        <v>-8027</v>
      </c>
      <c r="L1053" t="s">
        <v>3280</v>
      </c>
      <c r="M1053" t="s">
        <v>3281</v>
      </c>
      <c r="N1053" t="s">
        <v>3282</v>
      </c>
      <c r="O1053" t="s">
        <v>134</v>
      </c>
      <c r="P1053" t="s">
        <v>292</v>
      </c>
      <c r="Q1053">
        <v>49</v>
      </c>
      <c r="R1053">
        <v>2.3281000000000001</v>
      </c>
    </row>
    <row r="1054" spans="1:18" x14ac:dyDescent="0.2">
      <c r="A1054" t="s">
        <v>1637</v>
      </c>
      <c r="B1054" t="s">
        <v>1638</v>
      </c>
      <c r="C1054">
        <v>1</v>
      </c>
      <c r="D1054" s="1">
        <v>44229.787418981483</v>
      </c>
      <c r="E1054" t="s">
        <v>3283</v>
      </c>
      <c r="F1054" t="s">
        <v>1640</v>
      </c>
      <c r="G1054" t="s">
        <v>3279</v>
      </c>
      <c r="H1054" t="s">
        <v>1642</v>
      </c>
      <c r="I1054" t="s">
        <v>29</v>
      </c>
      <c r="J1054">
        <v>1</v>
      </c>
      <c r="K1054">
        <f t="shared" si="11"/>
        <v>-8027</v>
      </c>
      <c r="L1054" t="s">
        <v>3284</v>
      </c>
      <c r="M1054" t="s">
        <v>3285</v>
      </c>
      <c r="N1054" t="s">
        <v>452</v>
      </c>
      <c r="O1054" t="s">
        <v>134</v>
      </c>
      <c r="P1054" t="s">
        <v>292</v>
      </c>
      <c r="Q1054">
        <v>49</v>
      </c>
      <c r="R1054">
        <v>2.3281000000000001</v>
      </c>
    </row>
    <row r="1055" spans="1:18" x14ac:dyDescent="0.2">
      <c r="A1055" t="s">
        <v>1637</v>
      </c>
      <c r="B1055" t="s">
        <v>1638</v>
      </c>
      <c r="C1055">
        <v>1</v>
      </c>
      <c r="D1055" s="1">
        <v>44229.78738425926</v>
      </c>
      <c r="E1055" t="s">
        <v>3286</v>
      </c>
      <c r="F1055" t="s">
        <v>1640</v>
      </c>
      <c r="G1055" t="s">
        <v>3279</v>
      </c>
      <c r="H1055" t="s">
        <v>1642</v>
      </c>
      <c r="I1055" t="s">
        <v>29</v>
      </c>
      <c r="J1055">
        <v>1</v>
      </c>
      <c r="K1055">
        <f t="shared" si="11"/>
        <v>-8027</v>
      </c>
      <c r="L1055" t="s">
        <v>3287</v>
      </c>
      <c r="M1055" t="s">
        <v>3288</v>
      </c>
      <c r="N1055" t="s">
        <v>452</v>
      </c>
      <c r="O1055" t="s">
        <v>134</v>
      </c>
      <c r="P1055" t="s">
        <v>292</v>
      </c>
      <c r="Q1055">
        <v>49</v>
      </c>
      <c r="R1055">
        <v>2.3281000000000001</v>
      </c>
    </row>
    <row r="1056" spans="1:18" x14ac:dyDescent="0.2">
      <c r="A1056" t="s">
        <v>1637</v>
      </c>
      <c r="B1056" t="s">
        <v>1638</v>
      </c>
      <c r="C1056">
        <v>1</v>
      </c>
      <c r="D1056" s="1">
        <v>44229.78733796296</v>
      </c>
      <c r="E1056" t="s">
        <v>3289</v>
      </c>
      <c r="F1056" t="s">
        <v>1640</v>
      </c>
      <c r="G1056" t="s">
        <v>3279</v>
      </c>
      <c r="H1056" t="s">
        <v>1642</v>
      </c>
      <c r="I1056" t="s">
        <v>29</v>
      </c>
      <c r="J1056">
        <v>1</v>
      </c>
      <c r="K1056">
        <f t="shared" si="11"/>
        <v>-8027</v>
      </c>
      <c r="L1056" t="s">
        <v>3290</v>
      </c>
      <c r="M1056" t="s">
        <v>3291</v>
      </c>
      <c r="N1056" t="s">
        <v>452</v>
      </c>
      <c r="O1056" t="s">
        <v>134</v>
      </c>
      <c r="P1056" t="s">
        <v>292</v>
      </c>
      <c r="Q1056">
        <v>49</v>
      </c>
      <c r="R1056">
        <v>2.3281000000000001</v>
      </c>
    </row>
    <row r="1057" spans="1:18" x14ac:dyDescent="0.2">
      <c r="A1057" t="s">
        <v>1637</v>
      </c>
      <c r="B1057" t="s">
        <v>1638</v>
      </c>
      <c r="C1057">
        <v>1</v>
      </c>
      <c r="D1057" s="1">
        <v>44229.787303240744</v>
      </c>
      <c r="E1057" t="s">
        <v>3292</v>
      </c>
      <c r="F1057" t="s">
        <v>1640</v>
      </c>
      <c r="G1057" t="s">
        <v>3279</v>
      </c>
      <c r="H1057" t="s">
        <v>1642</v>
      </c>
      <c r="I1057" t="s">
        <v>29</v>
      </c>
      <c r="J1057">
        <v>1</v>
      </c>
      <c r="K1057">
        <f t="shared" si="11"/>
        <v>-8027</v>
      </c>
      <c r="L1057" t="s">
        <v>3293</v>
      </c>
      <c r="M1057" t="s">
        <v>3294</v>
      </c>
      <c r="N1057" t="s">
        <v>3295</v>
      </c>
      <c r="O1057" t="s">
        <v>134</v>
      </c>
      <c r="P1057" t="s">
        <v>292</v>
      </c>
      <c r="Q1057">
        <v>49</v>
      </c>
      <c r="R1057">
        <v>2.3281000000000001</v>
      </c>
    </row>
    <row r="1058" spans="1:18" x14ac:dyDescent="0.2">
      <c r="A1058" t="s">
        <v>1637</v>
      </c>
      <c r="B1058" t="s">
        <v>1638</v>
      </c>
      <c r="C1058">
        <v>1</v>
      </c>
      <c r="D1058" s="1">
        <v>44229.787256944444</v>
      </c>
      <c r="E1058" t="s">
        <v>3296</v>
      </c>
      <c r="F1058" t="s">
        <v>1640</v>
      </c>
      <c r="G1058" t="s">
        <v>3279</v>
      </c>
      <c r="H1058" t="s">
        <v>1642</v>
      </c>
      <c r="I1058" t="s">
        <v>29</v>
      </c>
      <c r="J1058">
        <v>1</v>
      </c>
      <c r="K1058">
        <f t="shared" si="11"/>
        <v>-8027</v>
      </c>
      <c r="L1058" t="s">
        <v>3297</v>
      </c>
      <c r="M1058" t="s">
        <v>3298</v>
      </c>
      <c r="N1058" t="s">
        <v>3295</v>
      </c>
      <c r="O1058" t="s">
        <v>134</v>
      </c>
      <c r="P1058" t="s">
        <v>292</v>
      </c>
      <c r="Q1058">
        <v>49</v>
      </c>
      <c r="R1058">
        <v>2.3281000000000001</v>
      </c>
    </row>
    <row r="1059" spans="1:18" x14ac:dyDescent="0.2">
      <c r="A1059" t="s">
        <v>1637</v>
      </c>
      <c r="B1059" t="s">
        <v>1638</v>
      </c>
      <c r="C1059">
        <v>1</v>
      </c>
      <c r="D1059" s="1">
        <v>44229.7812962963</v>
      </c>
      <c r="E1059" t="s">
        <v>3299</v>
      </c>
      <c r="F1059" t="s">
        <v>1640</v>
      </c>
      <c r="G1059" t="s">
        <v>3279</v>
      </c>
      <c r="H1059" t="s">
        <v>1642</v>
      </c>
      <c r="I1059" t="s">
        <v>29</v>
      </c>
      <c r="J1059">
        <v>1</v>
      </c>
      <c r="K1059">
        <f>1-844-244-9710</f>
        <v>-10797</v>
      </c>
      <c r="L1059" t="s">
        <v>3300</v>
      </c>
      <c r="M1059" t="s">
        <v>3301</v>
      </c>
      <c r="N1059" t="s">
        <v>3282</v>
      </c>
      <c r="O1059" t="s">
        <v>134</v>
      </c>
      <c r="P1059" t="s">
        <v>292</v>
      </c>
      <c r="Q1059">
        <v>49</v>
      </c>
      <c r="R1059">
        <v>2.3281000000000001</v>
      </c>
    </row>
    <row r="1060" spans="1:18" x14ac:dyDescent="0.2">
      <c r="A1060" t="s">
        <v>1637</v>
      </c>
      <c r="B1060" t="s">
        <v>1638</v>
      </c>
      <c r="C1060">
        <v>1</v>
      </c>
      <c r="D1060" s="1">
        <v>44227.782152777778</v>
      </c>
      <c r="E1060" t="s">
        <v>3302</v>
      </c>
      <c r="F1060" t="s">
        <v>1640</v>
      </c>
      <c r="G1060" t="s">
        <v>3279</v>
      </c>
      <c r="H1060" t="s">
        <v>1642</v>
      </c>
      <c r="I1060" t="s">
        <v>29</v>
      </c>
      <c r="J1060">
        <v>1</v>
      </c>
      <c r="K1060">
        <f>1-844-244-9740</f>
        <v>-10827</v>
      </c>
      <c r="L1060" t="s">
        <v>3303</v>
      </c>
      <c r="M1060" t="s">
        <v>3304</v>
      </c>
      <c r="N1060" t="s">
        <v>3305</v>
      </c>
      <c r="O1060" t="s">
        <v>134</v>
      </c>
      <c r="P1060" t="s">
        <v>292</v>
      </c>
      <c r="Q1060">
        <v>49</v>
      </c>
      <c r="R1060">
        <v>2.3281000000000001</v>
      </c>
    </row>
    <row r="1061" spans="1:18" x14ac:dyDescent="0.2">
      <c r="A1061" t="s">
        <v>1637</v>
      </c>
      <c r="B1061" t="s">
        <v>1638</v>
      </c>
      <c r="C1061">
        <v>1</v>
      </c>
      <c r="D1061" s="1">
        <v>44227.789930555555</v>
      </c>
      <c r="E1061" t="s">
        <v>3306</v>
      </c>
      <c r="F1061" t="s">
        <v>1640</v>
      </c>
      <c r="G1061" t="s">
        <v>3279</v>
      </c>
      <c r="H1061" t="s">
        <v>1642</v>
      </c>
      <c r="I1061" t="s">
        <v>29</v>
      </c>
      <c r="J1061">
        <v>1</v>
      </c>
      <c r="K1061">
        <f>1-844-244-9740</f>
        <v>-10827</v>
      </c>
      <c r="L1061" t="s">
        <v>3307</v>
      </c>
      <c r="M1061" t="s">
        <v>3308</v>
      </c>
      <c r="N1061" t="s">
        <v>452</v>
      </c>
      <c r="O1061" t="s">
        <v>134</v>
      </c>
      <c r="P1061" t="s">
        <v>292</v>
      </c>
      <c r="Q1061">
        <v>49</v>
      </c>
      <c r="R1061">
        <v>2.3281000000000001</v>
      </c>
    </row>
    <row r="1062" spans="1:18" x14ac:dyDescent="0.2">
      <c r="A1062" t="s">
        <v>1637</v>
      </c>
      <c r="B1062" t="s">
        <v>1638</v>
      </c>
      <c r="C1062">
        <v>1</v>
      </c>
      <c r="D1062" s="1">
        <v>44170.50273148148</v>
      </c>
      <c r="E1062" t="s">
        <v>3309</v>
      </c>
      <c r="F1062" t="s">
        <v>1640</v>
      </c>
      <c r="G1062" t="s">
        <v>3279</v>
      </c>
      <c r="H1062" t="s">
        <v>1642</v>
      </c>
      <c r="I1062" t="s">
        <v>29</v>
      </c>
      <c r="J1062">
        <v>1</v>
      </c>
      <c r="K1062">
        <f>1-888-450-8577</f>
        <v>-9914</v>
      </c>
      <c r="L1062" t="s">
        <v>3310</v>
      </c>
      <c r="M1062" t="s">
        <v>3311</v>
      </c>
      <c r="N1062" t="s">
        <v>1645</v>
      </c>
      <c r="O1062" t="s">
        <v>134</v>
      </c>
      <c r="P1062" t="s">
        <v>292</v>
      </c>
      <c r="Q1062">
        <v>49</v>
      </c>
      <c r="R1062">
        <v>2.3281000000000001</v>
      </c>
    </row>
    <row r="1063" spans="1:18" x14ac:dyDescent="0.2">
      <c r="A1063" t="s">
        <v>1637</v>
      </c>
      <c r="B1063" t="s">
        <v>1638</v>
      </c>
      <c r="C1063">
        <v>1</v>
      </c>
      <c r="D1063" s="1">
        <v>44170.502187500002</v>
      </c>
      <c r="E1063" t="s">
        <v>3312</v>
      </c>
      <c r="F1063" t="s">
        <v>1640</v>
      </c>
      <c r="G1063" t="s">
        <v>3279</v>
      </c>
      <c r="H1063" t="s">
        <v>1642</v>
      </c>
      <c r="I1063" t="s">
        <v>29</v>
      </c>
      <c r="J1063">
        <v>1</v>
      </c>
      <c r="K1063">
        <f>1-888-451-8924</f>
        <v>-10262</v>
      </c>
      <c r="L1063" t="s">
        <v>3313</v>
      </c>
      <c r="M1063" t="s">
        <v>3314</v>
      </c>
      <c r="N1063" t="s">
        <v>2475</v>
      </c>
      <c r="O1063" t="s">
        <v>134</v>
      </c>
      <c r="P1063" t="s">
        <v>292</v>
      </c>
      <c r="Q1063">
        <v>49</v>
      </c>
      <c r="R1063">
        <v>2.3281000000000001</v>
      </c>
    </row>
    <row r="1064" spans="1:18" x14ac:dyDescent="0.2">
      <c r="A1064" t="s">
        <v>1637</v>
      </c>
      <c r="B1064" t="s">
        <v>1638</v>
      </c>
      <c r="C1064">
        <v>1</v>
      </c>
      <c r="D1064" s="1">
        <v>44170.50199074074</v>
      </c>
      <c r="E1064" t="s">
        <v>3315</v>
      </c>
      <c r="F1064" t="s">
        <v>1640</v>
      </c>
      <c r="G1064" t="s">
        <v>3279</v>
      </c>
      <c r="H1064" t="s">
        <v>1642</v>
      </c>
      <c r="I1064" t="s">
        <v>29</v>
      </c>
      <c r="J1064">
        <v>1</v>
      </c>
      <c r="K1064">
        <f>1-888-443-6390</f>
        <v>-7720</v>
      </c>
      <c r="L1064" t="s">
        <v>3316</v>
      </c>
      <c r="M1064" t="s">
        <v>3317</v>
      </c>
      <c r="N1064" t="s">
        <v>1645</v>
      </c>
      <c r="O1064" t="s">
        <v>134</v>
      </c>
      <c r="P1064" t="s">
        <v>292</v>
      </c>
      <c r="Q1064">
        <v>49</v>
      </c>
      <c r="R1064">
        <v>2.3281000000000001</v>
      </c>
    </row>
    <row r="1065" spans="1:18" x14ac:dyDescent="0.2">
      <c r="A1065" t="s">
        <v>1637</v>
      </c>
      <c r="B1065" t="s">
        <v>1638</v>
      </c>
      <c r="C1065">
        <v>1</v>
      </c>
      <c r="D1065" s="1">
        <v>44169.769282407404</v>
      </c>
      <c r="E1065" t="s">
        <v>3318</v>
      </c>
      <c r="F1065" t="s">
        <v>1640</v>
      </c>
      <c r="G1065" t="s">
        <v>3279</v>
      </c>
      <c r="H1065" t="s">
        <v>1642</v>
      </c>
      <c r="I1065" t="s">
        <v>29</v>
      </c>
      <c r="J1065">
        <v>1</v>
      </c>
      <c r="K1065">
        <f>1-888-443-6390</f>
        <v>-7720</v>
      </c>
      <c r="L1065" t="s">
        <v>3319</v>
      </c>
      <c r="M1065" t="s">
        <v>3320</v>
      </c>
      <c r="N1065" t="s">
        <v>36</v>
      </c>
      <c r="O1065" t="s">
        <v>134</v>
      </c>
      <c r="P1065" t="s">
        <v>292</v>
      </c>
      <c r="Q1065">
        <v>49</v>
      </c>
      <c r="R1065">
        <v>2.3281000000000001</v>
      </c>
    </row>
    <row r="1066" spans="1:18" x14ac:dyDescent="0.2">
      <c r="A1066" t="s">
        <v>1637</v>
      </c>
      <c r="B1066" t="s">
        <v>1638</v>
      </c>
      <c r="C1066">
        <v>1</v>
      </c>
      <c r="D1066" s="1">
        <v>44141.781145833331</v>
      </c>
      <c r="E1066" t="s">
        <v>3321</v>
      </c>
      <c r="F1066" t="s">
        <v>1640</v>
      </c>
      <c r="G1066" t="s">
        <v>3279</v>
      </c>
      <c r="H1066" t="s">
        <v>1642</v>
      </c>
      <c r="I1066" t="s">
        <v>29</v>
      </c>
      <c r="J1066">
        <v>1</v>
      </c>
      <c r="K1066">
        <f>1-877-249-8366</f>
        <v>-9491</v>
      </c>
      <c r="L1066" t="s">
        <v>3322</v>
      </c>
      <c r="M1066" t="s">
        <v>3323</v>
      </c>
      <c r="N1066" t="s">
        <v>452</v>
      </c>
      <c r="O1066" t="s">
        <v>134</v>
      </c>
      <c r="P1066" t="s">
        <v>292</v>
      </c>
      <c r="Q1066">
        <v>49</v>
      </c>
      <c r="R1066">
        <v>2.3281000000000001</v>
      </c>
    </row>
    <row r="1067" spans="1:18" x14ac:dyDescent="0.2">
      <c r="A1067" t="s">
        <v>1637</v>
      </c>
      <c r="B1067" t="s">
        <v>1638</v>
      </c>
      <c r="C1067">
        <v>1</v>
      </c>
      <c r="D1067" s="1">
        <v>44124.986979166664</v>
      </c>
      <c r="E1067" t="s">
        <v>3324</v>
      </c>
      <c r="F1067" t="s">
        <v>1640</v>
      </c>
      <c r="G1067" t="s">
        <v>3279</v>
      </c>
      <c r="H1067" t="s">
        <v>1642</v>
      </c>
      <c r="I1067" t="s">
        <v>29</v>
      </c>
      <c r="J1067">
        <v>1</v>
      </c>
      <c r="K1067">
        <f>1-888-869-8248</f>
        <v>-10004</v>
      </c>
      <c r="L1067" t="s">
        <v>3325</v>
      </c>
      <c r="M1067" t="s">
        <v>3326</v>
      </c>
      <c r="N1067" t="s">
        <v>2475</v>
      </c>
      <c r="O1067" t="s">
        <v>134</v>
      </c>
      <c r="P1067" t="s">
        <v>292</v>
      </c>
      <c r="Q1067">
        <v>49</v>
      </c>
      <c r="R1067">
        <v>2.3281000000000001</v>
      </c>
    </row>
    <row r="1068" spans="1:18" x14ac:dyDescent="0.2">
      <c r="A1068" t="s">
        <v>1637</v>
      </c>
      <c r="B1068" t="s">
        <v>1638</v>
      </c>
      <c r="C1068">
        <v>1</v>
      </c>
      <c r="D1068" s="1">
        <v>44082.773993055554</v>
      </c>
      <c r="E1068" t="s">
        <v>3327</v>
      </c>
      <c r="F1068" t="s">
        <v>1640</v>
      </c>
      <c r="G1068" t="s">
        <v>3279</v>
      </c>
      <c r="H1068" t="s">
        <v>1642</v>
      </c>
      <c r="I1068" t="s">
        <v>29</v>
      </c>
      <c r="J1068">
        <v>1</v>
      </c>
      <c r="K1068">
        <f>1-888-824-652</f>
        <v>-2363</v>
      </c>
      <c r="L1068" t="s">
        <v>3328</v>
      </c>
      <c r="M1068" t="s">
        <v>3329</v>
      </c>
      <c r="N1068" t="s">
        <v>1645</v>
      </c>
      <c r="O1068" t="s">
        <v>134</v>
      </c>
      <c r="P1068" t="s">
        <v>292</v>
      </c>
      <c r="Q1068">
        <v>49</v>
      </c>
      <c r="R1068">
        <v>2.3281000000000001</v>
      </c>
    </row>
    <row r="1069" spans="1:18" x14ac:dyDescent="0.2">
      <c r="A1069" t="s">
        <v>1637</v>
      </c>
      <c r="B1069" t="s">
        <v>1638</v>
      </c>
      <c r="C1069">
        <v>1</v>
      </c>
      <c r="D1069" s="1">
        <v>44082.773877314816</v>
      </c>
      <c r="E1069" t="s">
        <v>3330</v>
      </c>
      <c r="F1069" t="s">
        <v>1640</v>
      </c>
      <c r="G1069" t="s">
        <v>3279</v>
      </c>
      <c r="H1069" t="s">
        <v>1642</v>
      </c>
      <c r="I1069" t="s">
        <v>29</v>
      </c>
      <c r="J1069">
        <v>1</v>
      </c>
      <c r="K1069">
        <f>1-888-405-9588</f>
        <v>-10880</v>
      </c>
      <c r="L1069" t="s">
        <v>3331</v>
      </c>
      <c r="M1069" t="s">
        <v>3332</v>
      </c>
      <c r="N1069" t="s">
        <v>36</v>
      </c>
      <c r="O1069" t="s">
        <v>134</v>
      </c>
      <c r="P1069" t="s">
        <v>292</v>
      </c>
      <c r="Q1069">
        <v>49</v>
      </c>
      <c r="R1069">
        <v>2.3281000000000001</v>
      </c>
    </row>
    <row r="1070" spans="1:18" x14ac:dyDescent="0.2">
      <c r="A1070" t="s">
        <v>1637</v>
      </c>
      <c r="B1070" t="s">
        <v>1638</v>
      </c>
      <c r="C1070">
        <v>1</v>
      </c>
      <c r="D1070" s="1">
        <v>44082.773680555554</v>
      </c>
      <c r="E1070" t="s">
        <v>3333</v>
      </c>
      <c r="F1070" t="s">
        <v>1640</v>
      </c>
      <c r="G1070" t="s">
        <v>3279</v>
      </c>
      <c r="H1070" t="s">
        <v>1642</v>
      </c>
      <c r="I1070" t="s">
        <v>29</v>
      </c>
      <c r="J1070">
        <v>1</v>
      </c>
      <c r="K1070">
        <f>1-888-824-652</f>
        <v>-2363</v>
      </c>
      <c r="L1070" t="s">
        <v>3334</v>
      </c>
      <c r="M1070" t="s">
        <v>3335</v>
      </c>
      <c r="N1070" t="s">
        <v>36</v>
      </c>
      <c r="O1070" t="s">
        <v>134</v>
      </c>
      <c r="P1070" t="s">
        <v>292</v>
      </c>
      <c r="Q1070">
        <v>49</v>
      </c>
      <c r="R1070">
        <v>2.3281000000000001</v>
      </c>
    </row>
    <row r="1071" spans="1:18" x14ac:dyDescent="0.2">
      <c r="A1071" t="s">
        <v>1637</v>
      </c>
      <c r="B1071" t="s">
        <v>1638</v>
      </c>
      <c r="C1071">
        <v>1</v>
      </c>
      <c r="D1071" s="1">
        <v>44082.773645833331</v>
      </c>
      <c r="E1071" t="s">
        <v>3336</v>
      </c>
      <c r="F1071" t="s">
        <v>1640</v>
      </c>
      <c r="G1071" t="s">
        <v>3279</v>
      </c>
      <c r="H1071" t="s">
        <v>1642</v>
      </c>
      <c r="I1071" t="s">
        <v>29</v>
      </c>
      <c r="J1071">
        <v>1</v>
      </c>
      <c r="K1071">
        <f>1-888-405-9588</f>
        <v>-10880</v>
      </c>
      <c r="L1071" t="s">
        <v>3337</v>
      </c>
      <c r="M1071" t="s">
        <v>3338</v>
      </c>
      <c r="N1071" t="s">
        <v>36</v>
      </c>
      <c r="O1071" t="s">
        <v>134</v>
      </c>
      <c r="P1071" t="s">
        <v>292</v>
      </c>
      <c r="Q1071">
        <v>49</v>
      </c>
      <c r="R1071">
        <v>2.3281000000000001</v>
      </c>
    </row>
    <row r="1072" spans="1:18" x14ac:dyDescent="0.2">
      <c r="A1072" t="s">
        <v>1637</v>
      </c>
      <c r="B1072" t="s">
        <v>1638</v>
      </c>
      <c r="C1072">
        <v>1</v>
      </c>
      <c r="D1072" s="1">
        <v>44082.773414351854</v>
      </c>
      <c r="E1072" t="s">
        <v>3339</v>
      </c>
      <c r="F1072" t="s">
        <v>1640</v>
      </c>
      <c r="G1072" t="s">
        <v>3279</v>
      </c>
      <c r="H1072" t="s">
        <v>1642</v>
      </c>
      <c r="I1072" t="s">
        <v>29</v>
      </c>
      <c r="J1072">
        <v>1</v>
      </c>
      <c r="K1072">
        <f>1-888-824-652</f>
        <v>-2363</v>
      </c>
      <c r="L1072" t="s">
        <v>3340</v>
      </c>
      <c r="M1072" t="s">
        <v>3341</v>
      </c>
      <c r="N1072" t="s">
        <v>2475</v>
      </c>
      <c r="O1072" t="s">
        <v>134</v>
      </c>
      <c r="P1072" t="s">
        <v>292</v>
      </c>
      <c r="Q1072">
        <v>49</v>
      </c>
      <c r="R1072">
        <v>2.3281000000000001</v>
      </c>
    </row>
    <row r="1073" spans="1:18" x14ac:dyDescent="0.2">
      <c r="A1073" t="s">
        <v>1637</v>
      </c>
      <c r="B1073" t="s">
        <v>1638</v>
      </c>
      <c r="C1073">
        <v>1</v>
      </c>
      <c r="D1073" s="1">
        <v>44082.773217592592</v>
      </c>
      <c r="E1073" t="s">
        <v>3342</v>
      </c>
      <c r="F1073" t="s">
        <v>1640</v>
      </c>
      <c r="G1073" t="s">
        <v>3279</v>
      </c>
      <c r="H1073" t="s">
        <v>1642</v>
      </c>
      <c r="I1073" t="s">
        <v>29</v>
      </c>
      <c r="J1073">
        <v>1</v>
      </c>
      <c r="K1073">
        <f>1-888-405-9588</f>
        <v>-10880</v>
      </c>
      <c r="L1073" t="s">
        <v>3343</v>
      </c>
      <c r="M1073" t="s">
        <v>3344</v>
      </c>
      <c r="N1073" t="s">
        <v>452</v>
      </c>
      <c r="O1073" t="s">
        <v>134</v>
      </c>
      <c r="P1073" t="s">
        <v>292</v>
      </c>
      <c r="Q1073">
        <v>49</v>
      </c>
      <c r="R1073">
        <v>2.3281000000000001</v>
      </c>
    </row>
    <row r="1074" spans="1:18" x14ac:dyDescent="0.2">
      <c r="A1074" t="s">
        <v>1637</v>
      </c>
      <c r="B1074" t="s">
        <v>1638</v>
      </c>
      <c r="C1074">
        <v>1</v>
      </c>
      <c r="D1074" s="1">
        <v>44065.980439814812</v>
      </c>
      <c r="E1074" t="s">
        <v>3345</v>
      </c>
      <c r="F1074" t="s">
        <v>1640</v>
      </c>
      <c r="G1074" t="s">
        <v>3279</v>
      </c>
      <c r="H1074" t="s">
        <v>1642</v>
      </c>
      <c r="I1074" t="s">
        <v>29</v>
      </c>
      <c r="J1074">
        <v>1</v>
      </c>
      <c r="K1074">
        <f>1-888-405-7554</f>
        <v>-8846</v>
      </c>
      <c r="L1074" t="s">
        <v>3346</v>
      </c>
      <c r="M1074" t="s">
        <v>3347</v>
      </c>
      <c r="N1074" t="s">
        <v>36</v>
      </c>
      <c r="O1074" t="s">
        <v>134</v>
      </c>
      <c r="P1074" t="s">
        <v>292</v>
      </c>
      <c r="Q1074">
        <v>49</v>
      </c>
      <c r="R1074">
        <v>2.3281000000000001</v>
      </c>
    </row>
    <row r="1075" spans="1:18" x14ac:dyDescent="0.2">
      <c r="A1075" t="s">
        <v>1637</v>
      </c>
      <c r="B1075" t="s">
        <v>1638</v>
      </c>
      <c r="C1075">
        <v>1</v>
      </c>
      <c r="D1075" s="1">
        <v>44065.918703703705</v>
      </c>
      <c r="E1075" t="s">
        <v>3348</v>
      </c>
      <c r="F1075" t="s">
        <v>1640</v>
      </c>
      <c r="G1075" t="s">
        <v>3279</v>
      </c>
      <c r="H1075" t="s">
        <v>1642</v>
      </c>
      <c r="I1075" t="s">
        <v>29</v>
      </c>
      <c r="J1075">
        <v>1</v>
      </c>
      <c r="K1075">
        <f>1-888-775-1589</f>
        <v>-3251</v>
      </c>
      <c r="L1075" t="s">
        <v>3349</v>
      </c>
      <c r="M1075" t="s">
        <v>3350</v>
      </c>
      <c r="N1075" t="s">
        <v>36</v>
      </c>
      <c r="O1075" t="s">
        <v>134</v>
      </c>
      <c r="P1075" t="s">
        <v>292</v>
      </c>
      <c r="Q1075">
        <v>49</v>
      </c>
      <c r="R1075">
        <v>2.3281000000000001</v>
      </c>
    </row>
    <row r="1076" spans="1:18" x14ac:dyDescent="0.2">
      <c r="A1076" t="s">
        <v>1637</v>
      </c>
      <c r="B1076" t="s">
        <v>1638</v>
      </c>
      <c r="C1076">
        <v>1</v>
      </c>
      <c r="D1076" s="1">
        <v>44028.951168981483</v>
      </c>
      <c r="E1076" t="s">
        <v>3351</v>
      </c>
      <c r="F1076" t="s">
        <v>1640</v>
      </c>
      <c r="G1076" t="s">
        <v>3279</v>
      </c>
      <c r="H1076" t="s">
        <v>1642</v>
      </c>
      <c r="I1076" t="s">
        <v>29</v>
      </c>
      <c r="J1076">
        <v>1</v>
      </c>
      <c r="K1076">
        <f>1-888-407-4116</f>
        <v>-5410</v>
      </c>
      <c r="L1076" t="s">
        <v>3352</v>
      </c>
      <c r="M1076" t="s">
        <v>3353</v>
      </c>
      <c r="N1076" t="s">
        <v>1645</v>
      </c>
      <c r="O1076" t="s">
        <v>134</v>
      </c>
      <c r="P1076" t="s">
        <v>292</v>
      </c>
      <c r="Q1076">
        <v>49</v>
      </c>
      <c r="R1076">
        <v>2.3281000000000001</v>
      </c>
    </row>
    <row r="1077" spans="1:18" x14ac:dyDescent="0.2">
      <c r="A1077" t="s">
        <v>1637</v>
      </c>
      <c r="B1077" t="s">
        <v>1638</v>
      </c>
      <c r="C1077">
        <v>1</v>
      </c>
      <c r="D1077" s="1">
        <v>44028.910624999997</v>
      </c>
      <c r="E1077" t="s">
        <v>3354</v>
      </c>
      <c r="F1077" t="s">
        <v>1640</v>
      </c>
      <c r="G1077" t="s">
        <v>3279</v>
      </c>
      <c r="H1077" t="s">
        <v>1642</v>
      </c>
      <c r="I1077" t="s">
        <v>29</v>
      </c>
      <c r="J1077">
        <v>1</v>
      </c>
      <c r="K1077">
        <f>1-888-832-4931</f>
        <v>-6650</v>
      </c>
      <c r="L1077" t="s">
        <v>3355</v>
      </c>
      <c r="M1077" t="s">
        <v>3356</v>
      </c>
      <c r="N1077" t="s">
        <v>2475</v>
      </c>
      <c r="O1077" t="s">
        <v>134</v>
      </c>
      <c r="P1077" t="s">
        <v>292</v>
      </c>
      <c r="Q1077">
        <v>49</v>
      </c>
      <c r="R1077">
        <v>2.3281000000000001</v>
      </c>
    </row>
    <row r="1078" spans="1:18" x14ac:dyDescent="0.2">
      <c r="A1078" t="s">
        <v>1637</v>
      </c>
      <c r="B1078" t="s">
        <v>1638</v>
      </c>
      <c r="C1078">
        <v>1</v>
      </c>
      <c r="D1078" s="1">
        <v>44028.81627314815</v>
      </c>
      <c r="E1078" t="s">
        <v>3357</v>
      </c>
      <c r="F1078" t="s">
        <v>1640</v>
      </c>
      <c r="G1078" t="s">
        <v>3279</v>
      </c>
      <c r="H1078" t="s">
        <v>1642</v>
      </c>
      <c r="I1078" t="s">
        <v>29</v>
      </c>
      <c r="J1078">
        <v>1</v>
      </c>
      <c r="K1078">
        <f>1-888-407-9542</f>
        <v>-10836</v>
      </c>
      <c r="L1078" t="s">
        <v>3358</v>
      </c>
      <c r="M1078" t="s">
        <v>3359</v>
      </c>
      <c r="N1078" t="s">
        <v>1645</v>
      </c>
      <c r="O1078" t="s">
        <v>134</v>
      </c>
      <c r="P1078" t="s">
        <v>292</v>
      </c>
      <c r="Q1078">
        <v>49</v>
      </c>
      <c r="R1078">
        <v>2.3281000000000001</v>
      </c>
    </row>
    <row r="1079" spans="1:18" x14ac:dyDescent="0.2">
      <c r="A1079" t="s">
        <v>1637</v>
      </c>
      <c r="B1079" t="s">
        <v>1638</v>
      </c>
      <c r="C1079">
        <v>1</v>
      </c>
      <c r="D1079" s="1">
        <v>44028.798645833333</v>
      </c>
      <c r="E1079" t="s">
        <v>3360</v>
      </c>
      <c r="F1079" t="s">
        <v>1640</v>
      </c>
      <c r="G1079" t="s">
        <v>3279</v>
      </c>
      <c r="H1079" t="s">
        <v>1642</v>
      </c>
      <c r="I1079" t="s">
        <v>29</v>
      </c>
      <c r="J1079">
        <v>1</v>
      </c>
      <c r="K1079">
        <f>1-888-860-510</f>
        <v>-2257</v>
      </c>
      <c r="L1079" t="s">
        <v>3361</v>
      </c>
      <c r="M1079" t="s">
        <v>3362</v>
      </c>
      <c r="N1079" t="s">
        <v>36</v>
      </c>
      <c r="O1079" t="s">
        <v>134</v>
      </c>
      <c r="P1079" t="s">
        <v>292</v>
      </c>
      <c r="Q1079">
        <v>49</v>
      </c>
      <c r="R1079">
        <v>2.3281000000000001</v>
      </c>
    </row>
    <row r="1080" spans="1:18" x14ac:dyDescent="0.2">
      <c r="A1080" t="s">
        <v>1637</v>
      </c>
      <c r="B1080" t="s">
        <v>1638</v>
      </c>
      <c r="C1080">
        <v>1</v>
      </c>
      <c r="D1080" s="1">
        <v>44028.775196759256</v>
      </c>
      <c r="E1080" t="s">
        <v>3360</v>
      </c>
      <c r="F1080" t="s">
        <v>1640</v>
      </c>
      <c r="G1080" t="s">
        <v>3279</v>
      </c>
      <c r="H1080" t="s">
        <v>1642</v>
      </c>
      <c r="I1080" t="s">
        <v>29</v>
      </c>
      <c r="J1080">
        <v>1</v>
      </c>
      <c r="K1080">
        <f>1-888-642-492</f>
        <v>-2021</v>
      </c>
      <c r="L1080" t="s">
        <v>3363</v>
      </c>
      <c r="M1080" t="s">
        <v>3364</v>
      </c>
      <c r="N1080" t="s">
        <v>36</v>
      </c>
      <c r="O1080" t="s">
        <v>134</v>
      </c>
      <c r="P1080" t="s">
        <v>292</v>
      </c>
      <c r="Q1080">
        <v>49</v>
      </c>
      <c r="R1080">
        <v>2.3281000000000001</v>
      </c>
    </row>
    <row r="1081" spans="1:18" x14ac:dyDescent="0.2">
      <c r="A1081" t="s">
        <v>1637</v>
      </c>
      <c r="B1081" t="s">
        <v>1638</v>
      </c>
      <c r="C1081">
        <v>1</v>
      </c>
      <c r="D1081" s="1">
        <v>44023.937650462962</v>
      </c>
      <c r="E1081" t="s">
        <v>3365</v>
      </c>
      <c r="F1081" t="s">
        <v>1640</v>
      </c>
      <c r="G1081" t="s">
        <v>3279</v>
      </c>
      <c r="H1081" t="s">
        <v>1642</v>
      </c>
      <c r="I1081" t="s">
        <v>29</v>
      </c>
      <c r="J1081">
        <v>1</v>
      </c>
      <c r="K1081">
        <f>1-888-655-6420</f>
        <v>-7962</v>
      </c>
      <c r="L1081" t="s">
        <v>3366</v>
      </c>
      <c r="M1081" t="s">
        <v>3367</v>
      </c>
      <c r="N1081" t="s">
        <v>1645</v>
      </c>
      <c r="O1081" t="s">
        <v>134</v>
      </c>
      <c r="P1081" t="s">
        <v>292</v>
      </c>
      <c r="Q1081">
        <v>49</v>
      </c>
      <c r="R1081">
        <v>2.3281000000000001</v>
      </c>
    </row>
    <row r="1082" spans="1:18" x14ac:dyDescent="0.2">
      <c r="A1082" t="s">
        <v>1637</v>
      </c>
      <c r="B1082" t="s">
        <v>1638</v>
      </c>
      <c r="C1082">
        <v>1</v>
      </c>
      <c r="D1082" s="1">
        <v>44023.90215277778</v>
      </c>
      <c r="E1082" t="s">
        <v>3368</v>
      </c>
      <c r="F1082" t="s">
        <v>1640</v>
      </c>
      <c r="G1082" t="s">
        <v>3279</v>
      </c>
      <c r="H1082" t="s">
        <v>1642</v>
      </c>
      <c r="I1082" t="s">
        <v>29</v>
      </c>
      <c r="J1082">
        <v>1</v>
      </c>
      <c r="K1082">
        <f>1-888-405-3166</f>
        <v>-4458</v>
      </c>
      <c r="L1082" t="s">
        <v>3369</v>
      </c>
      <c r="M1082" t="s">
        <v>3370</v>
      </c>
      <c r="N1082" t="s">
        <v>36</v>
      </c>
      <c r="O1082" t="s">
        <v>134</v>
      </c>
      <c r="P1082" t="s">
        <v>292</v>
      </c>
      <c r="Q1082">
        <v>49</v>
      </c>
      <c r="R1082">
        <v>2.3281000000000001</v>
      </c>
    </row>
    <row r="1083" spans="1:18" x14ac:dyDescent="0.2">
      <c r="A1083" t="s">
        <v>1637</v>
      </c>
      <c r="B1083" t="s">
        <v>1638</v>
      </c>
      <c r="C1083">
        <v>1</v>
      </c>
      <c r="D1083" s="1">
        <v>44023.887037037035</v>
      </c>
      <c r="E1083" t="s">
        <v>3368</v>
      </c>
      <c r="F1083" t="s">
        <v>1640</v>
      </c>
      <c r="G1083" t="s">
        <v>3279</v>
      </c>
      <c r="H1083" t="s">
        <v>1642</v>
      </c>
      <c r="I1083" t="s">
        <v>29</v>
      </c>
      <c r="J1083">
        <v>1</v>
      </c>
      <c r="K1083">
        <f>1-888-601-2041</f>
        <v>-3529</v>
      </c>
      <c r="L1083" t="s">
        <v>3371</v>
      </c>
      <c r="M1083" t="s">
        <v>3372</v>
      </c>
      <c r="N1083" t="s">
        <v>36</v>
      </c>
      <c r="O1083" t="s">
        <v>134</v>
      </c>
      <c r="P1083" t="s">
        <v>292</v>
      </c>
      <c r="Q1083">
        <v>49</v>
      </c>
      <c r="R1083">
        <v>2.3281000000000001</v>
      </c>
    </row>
    <row r="1084" spans="1:18" x14ac:dyDescent="0.2">
      <c r="A1084" t="s">
        <v>1637</v>
      </c>
      <c r="B1084" t="s">
        <v>1638</v>
      </c>
      <c r="C1084">
        <v>1</v>
      </c>
      <c r="D1084" s="1">
        <v>44023.816307870373</v>
      </c>
      <c r="E1084" t="s">
        <v>3373</v>
      </c>
      <c r="F1084" t="s">
        <v>1640</v>
      </c>
      <c r="G1084" t="s">
        <v>3279</v>
      </c>
      <c r="H1084" t="s">
        <v>1642</v>
      </c>
      <c r="I1084" t="s">
        <v>29</v>
      </c>
      <c r="J1084">
        <v>1</v>
      </c>
      <c r="K1084">
        <f>1-888-406-9862</f>
        <v>-11155</v>
      </c>
      <c r="L1084" t="s">
        <v>3374</v>
      </c>
      <c r="M1084" t="s">
        <v>3375</v>
      </c>
      <c r="N1084" t="s">
        <v>1645</v>
      </c>
      <c r="O1084" t="s">
        <v>134</v>
      </c>
      <c r="P1084" t="s">
        <v>292</v>
      </c>
      <c r="Q1084">
        <v>49</v>
      </c>
      <c r="R1084">
        <v>2.3281000000000001</v>
      </c>
    </row>
    <row r="1085" spans="1:18" x14ac:dyDescent="0.2">
      <c r="A1085" t="s">
        <v>1637</v>
      </c>
      <c r="B1085" t="s">
        <v>1638</v>
      </c>
      <c r="C1085">
        <v>1</v>
      </c>
      <c r="D1085" s="1">
        <v>43991.896504629629</v>
      </c>
      <c r="E1085" t="s">
        <v>3376</v>
      </c>
      <c r="F1085" t="s">
        <v>1640</v>
      </c>
      <c r="G1085" t="s">
        <v>3279</v>
      </c>
      <c r="H1085" t="s">
        <v>1642</v>
      </c>
      <c r="I1085" t="s">
        <v>29</v>
      </c>
      <c r="J1085">
        <v>1</v>
      </c>
      <c r="K1085">
        <f>1-888-690-8115</f>
        <v>-9692</v>
      </c>
      <c r="L1085" t="s">
        <v>3377</v>
      </c>
      <c r="M1085" t="s">
        <v>3378</v>
      </c>
      <c r="N1085" t="s">
        <v>1645</v>
      </c>
      <c r="O1085" t="s">
        <v>134</v>
      </c>
      <c r="P1085" t="s">
        <v>292</v>
      </c>
      <c r="Q1085">
        <v>49</v>
      </c>
      <c r="R1085">
        <v>2.3281000000000001</v>
      </c>
    </row>
    <row r="1086" spans="1:18" x14ac:dyDescent="0.2">
      <c r="A1086" t="s">
        <v>1637</v>
      </c>
      <c r="B1086" t="s">
        <v>1638</v>
      </c>
      <c r="C1086">
        <v>1</v>
      </c>
      <c r="D1086" s="1">
        <v>43986.963275462964</v>
      </c>
      <c r="E1086" t="s">
        <v>3379</v>
      </c>
      <c r="F1086" t="s">
        <v>1640</v>
      </c>
      <c r="G1086" t="s">
        <v>3279</v>
      </c>
      <c r="H1086" t="s">
        <v>1642</v>
      </c>
      <c r="I1086" t="s">
        <v>29</v>
      </c>
      <c r="J1086">
        <v>1</v>
      </c>
      <c r="K1086">
        <f>1-888-70+1-556</f>
        <v>-1512</v>
      </c>
      <c r="L1086" t="s">
        <v>3380</v>
      </c>
      <c r="M1086" t="s">
        <v>3381</v>
      </c>
      <c r="N1086" t="s">
        <v>1645</v>
      </c>
      <c r="O1086" t="s">
        <v>134</v>
      </c>
      <c r="P1086" t="s">
        <v>292</v>
      </c>
      <c r="Q1086">
        <v>49</v>
      </c>
      <c r="R1086">
        <v>2.3281000000000001</v>
      </c>
    </row>
    <row r="1087" spans="1:18" x14ac:dyDescent="0.2">
      <c r="A1087" t="s">
        <v>1637</v>
      </c>
      <c r="B1087" t="s">
        <v>1638</v>
      </c>
      <c r="C1087">
        <v>1</v>
      </c>
      <c r="D1087" s="1">
        <v>43986.814571759256</v>
      </c>
      <c r="E1087" t="s">
        <v>3382</v>
      </c>
      <c r="F1087" t="s">
        <v>1640</v>
      </c>
      <c r="G1087" t="s">
        <v>3279</v>
      </c>
      <c r="H1087" t="s">
        <v>1642</v>
      </c>
      <c r="I1087" t="s">
        <v>29</v>
      </c>
      <c r="J1087">
        <v>1</v>
      </c>
      <c r="K1087">
        <f>1-888-406-9018</f>
        <v>-10311</v>
      </c>
      <c r="L1087" t="s">
        <v>3383</v>
      </c>
      <c r="M1087" t="s">
        <v>3384</v>
      </c>
      <c r="N1087" t="s">
        <v>1645</v>
      </c>
      <c r="O1087" t="s">
        <v>134</v>
      </c>
      <c r="P1087" t="s">
        <v>292</v>
      </c>
      <c r="Q1087">
        <v>49</v>
      </c>
      <c r="R1087">
        <v>2.3281000000000001</v>
      </c>
    </row>
    <row r="1088" spans="1:18" x14ac:dyDescent="0.2">
      <c r="A1088" t="s">
        <v>663</v>
      </c>
      <c r="B1088" t="s">
        <v>3385</v>
      </c>
      <c r="C1088">
        <v>44</v>
      </c>
      <c r="D1088" s="1">
        <v>43987.614502314813</v>
      </c>
      <c r="E1088" t="s">
        <v>3386</v>
      </c>
      <c r="F1088" t="s">
        <v>666</v>
      </c>
      <c r="G1088" t="s">
        <v>3387</v>
      </c>
      <c r="H1088" t="s">
        <v>667</v>
      </c>
      <c r="I1088" t="s">
        <v>618</v>
      </c>
      <c r="J1088">
        <v>44</v>
      </c>
      <c r="K1088">
        <f>44-808-101-7269</f>
        <v>-8134</v>
      </c>
      <c r="L1088" t="s">
        <v>3388</v>
      </c>
      <c r="M1088" t="s">
        <v>3389</v>
      </c>
      <c r="N1088" t="s">
        <v>1645</v>
      </c>
      <c r="O1088" t="s">
        <v>28</v>
      </c>
      <c r="P1088" t="s">
        <v>29</v>
      </c>
      <c r="Q1088">
        <v>41</v>
      </c>
      <c r="R1088">
        <v>-74.002899999999997</v>
      </c>
    </row>
    <row r="1089" spans="1:18" x14ac:dyDescent="0.2">
      <c r="A1089" t="s">
        <v>663</v>
      </c>
      <c r="B1089" t="s">
        <v>3385</v>
      </c>
      <c r="C1089">
        <v>44</v>
      </c>
      <c r="D1089" s="1">
        <v>43987.522847222222</v>
      </c>
      <c r="E1089" t="s">
        <v>3386</v>
      </c>
      <c r="F1089" t="s">
        <v>666</v>
      </c>
      <c r="G1089" t="s">
        <v>3387</v>
      </c>
      <c r="H1089" t="s">
        <v>667</v>
      </c>
      <c r="I1089" t="s">
        <v>618</v>
      </c>
      <c r="J1089">
        <v>44</v>
      </c>
      <c r="K1089">
        <f>44-808-101-7269</f>
        <v>-8134</v>
      </c>
      <c r="L1089" t="s">
        <v>3390</v>
      </c>
      <c r="M1089" t="s">
        <v>3391</v>
      </c>
      <c r="N1089" t="s">
        <v>1645</v>
      </c>
      <c r="O1089" t="s">
        <v>28</v>
      </c>
      <c r="P1089" t="s">
        <v>29</v>
      </c>
      <c r="Q1089">
        <v>41</v>
      </c>
      <c r="R1089">
        <v>-74.002899999999997</v>
      </c>
    </row>
    <row r="1090" spans="1:18" x14ac:dyDescent="0.2">
      <c r="A1090" t="s">
        <v>675</v>
      </c>
      <c r="B1090" t="s">
        <v>1212</v>
      </c>
      <c r="C1090">
        <v>49</v>
      </c>
      <c r="D1090" s="1">
        <v>43993.469594907408</v>
      </c>
      <c r="E1090" t="s">
        <v>3392</v>
      </c>
      <c r="F1090" t="s">
        <v>1396</v>
      </c>
      <c r="G1090" t="s">
        <v>3393</v>
      </c>
      <c r="H1090" t="s">
        <v>680</v>
      </c>
      <c r="I1090" t="s">
        <v>24</v>
      </c>
      <c r="J1090">
        <v>49</v>
      </c>
      <c r="K1090">
        <f>49-421-3658-3158</f>
        <v>-7188</v>
      </c>
      <c r="L1090" t="s">
        <v>3394</v>
      </c>
      <c r="M1090" t="s">
        <v>3395</v>
      </c>
      <c r="N1090" t="s">
        <v>452</v>
      </c>
      <c r="O1090" t="s">
        <v>28</v>
      </c>
      <c r="P1090" t="s">
        <v>618</v>
      </c>
      <c r="Q1090">
        <v>52</v>
      </c>
      <c r="R1090">
        <v>-0.12775800000000001</v>
      </c>
    </row>
    <row r="1091" spans="1:18" x14ac:dyDescent="0.2">
      <c r="A1091" t="s">
        <v>675</v>
      </c>
      <c r="B1091" t="s">
        <v>1212</v>
      </c>
      <c r="C1091">
        <v>49</v>
      </c>
      <c r="D1091" s="1">
        <v>43990.542175925926</v>
      </c>
      <c r="E1091" t="s">
        <v>3396</v>
      </c>
      <c r="F1091" t="s">
        <v>1396</v>
      </c>
      <c r="G1091" t="s">
        <v>3393</v>
      </c>
      <c r="H1091" t="s">
        <v>680</v>
      </c>
      <c r="I1091" t="s">
        <v>24</v>
      </c>
      <c r="J1091">
        <v>49</v>
      </c>
      <c r="K1091">
        <f>49-800-7237981</f>
        <v>-7238732</v>
      </c>
      <c r="L1091" t="s">
        <v>3397</v>
      </c>
      <c r="M1091" t="s">
        <v>3398</v>
      </c>
      <c r="N1091" t="s">
        <v>452</v>
      </c>
      <c r="O1091" t="s">
        <v>28</v>
      </c>
      <c r="P1091" t="s">
        <v>618</v>
      </c>
      <c r="Q1091">
        <v>52</v>
      </c>
      <c r="R1091">
        <v>-0.12775800000000001</v>
      </c>
    </row>
    <row r="1092" spans="1:18" x14ac:dyDescent="0.2">
      <c r="A1092" t="s">
        <v>675</v>
      </c>
      <c r="B1092" t="s">
        <v>1212</v>
      </c>
      <c r="C1092">
        <v>49</v>
      </c>
      <c r="D1092" s="1">
        <v>43990.488819444443</v>
      </c>
      <c r="E1092" t="s">
        <v>3399</v>
      </c>
      <c r="F1092" t="s">
        <v>1396</v>
      </c>
      <c r="G1092" t="s">
        <v>3393</v>
      </c>
      <c r="H1092" t="s">
        <v>680</v>
      </c>
      <c r="I1092" t="s">
        <v>24</v>
      </c>
      <c r="J1092">
        <v>49</v>
      </c>
      <c r="K1092">
        <f>49-800-7237981</f>
        <v>-7238732</v>
      </c>
      <c r="L1092" t="s">
        <v>3400</v>
      </c>
      <c r="M1092" t="s">
        <v>3401</v>
      </c>
      <c r="N1092" t="s">
        <v>452</v>
      </c>
      <c r="O1092" t="s">
        <v>28</v>
      </c>
      <c r="P1092" t="s">
        <v>618</v>
      </c>
      <c r="Q1092">
        <v>52</v>
      </c>
      <c r="R1092">
        <v>-0.12775800000000001</v>
      </c>
    </row>
    <row r="1093" spans="1:18" x14ac:dyDescent="0.2">
      <c r="A1093" t="s">
        <v>18</v>
      </c>
      <c r="B1093" t="s">
        <v>462</v>
      </c>
      <c r="C1093">
        <v>1</v>
      </c>
      <c r="D1093" s="1">
        <v>44041.802615740744</v>
      </c>
      <c r="E1093" t="s">
        <v>3402</v>
      </c>
      <c r="F1093" t="s">
        <v>464</v>
      </c>
      <c r="G1093" t="s">
        <v>3403</v>
      </c>
      <c r="H1093" t="s">
        <v>466</v>
      </c>
      <c r="I1093" t="s">
        <v>29</v>
      </c>
      <c r="J1093">
        <v>1</v>
      </c>
      <c r="K1093">
        <f>1-888-718-339</f>
        <v>-1944</v>
      </c>
      <c r="L1093" t="s">
        <v>3404</v>
      </c>
      <c r="M1093" t="s">
        <v>3405</v>
      </c>
      <c r="N1093" t="s">
        <v>36</v>
      </c>
      <c r="O1093" t="s">
        <v>28</v>
      </c>
      <c r="P1093" t="s">
        <v>29</v>
      </c>
      <c r="Q1093">
        <v>40</v>
      </c>
      <c r="R1093">
        <v>-99.999999000000003</v>
      </c>
    </row>
    <row r="1094" spans="1:18" x14ac:dyDescent="0.2">
      <c r="A1094" t="s">
        <v>18</v>
      </c>
      <c r="B1094" t="s">
        <v>462</v>
      </c>
      <c r="C1094">
        <v>1</v>
      </c>
      <c r="D1094" s="1">
        <v>44030.019791666666</v>
      </c>
      <c r="E1094" t="s">
        <v>3406</v>
      </c>
      <c r="F1094" t="s">
        <v>464</v>
      </c>
      <c r="G1094" t="s">
        <v>3403</v>
      </c>
      <c r="H1094" t="s">
        <v>466</v>
      </c>
      <c r="I1094" t="s">
        <v>29</v>
      </c>
      <c r="J1094">
        <v>1</v>
      </c>
      <c r="K1094">
        <f>1-888-718-339</f>
        <v>-1944</v>
      </c>
      <c r="L1094" t="s">
        <v>3407</v>
      </c>
      <c r="M1094" t="s">
        <v>3408</v>
      </c>
      <c r="N1094" t="s">
        <v>36</v>
      </c>
      <c r="O1094" t="s">
        <v>28</v>
      </c>
      <c r="P1094" t="s">
        <v>29</v>
      </c>
      <c r="Q1094">
        <v>40</v>
      </c>
      <c r="R1094">
        <v>-99.999999000000003</v>
      </c>
    </row>
    <row r="1095" spans="1:18" x14ac:dyDescent="0.2">
      <c r="A1095" t="s">
        <v>18</v>
      </c>
      <c r="B1095" t="s">
        <v>462</v>
      </c>
      <c r="C1095">
        <v>1</v>
      </c>
      <c r="D1095" s="1">
        <v>44015.89471064815</v>
      </c>
      <c r="E1095" t="s">
        <v>3409</v>
      </c>
      <c r="F1095" t="s">
        <v>464</v>
      </c>
      <c r="G1095" t="s">
        <v>3403</v>
      </c>
      <c r="H1095" t="s">
        <v>466</v>
      </c>
      <c r="I1095" t="s">
        <v>29</v>
      </c>
      <c r="J1095">
        <v>1</v>
      </c>
      <c r="K1095">
        <f>1-800-283-9650</f>
        <v>-10732</v>
      </c>
      <c r="L1095" t="s">
        <v>3410</v>
      </c>
      <c r="M1095" t="s">
        <v>3411</v>
      </c>
      <c r="N1095" t="s">
        <v>36</v>
      </c>
      <c r="O1095" t="s">
        <v>28</v>
      </c>
      <c r="P1095" t="s">
        <v>29</v>
      </c>
      <c r="Q1095">
        <v>40</v>
      </c>
      <c r="R1095">
        <v>-99.999999000000003</v>
      </c>
    </row>
    <row r="1096" spans="1:18" x14ac:dyDescent="0.2">
      <c r="A1096" t="s">
        <v>18</v>
      </c>
      <c r="B1096" t="s">
        <v>19</v>
      </c>
      <c r="C1096">
        <v>1</v>
      </c>
      <c r="D1096" s="1">
        <v>44000.988541666666</v>
      </c>
      <c r="E1096" t="s">
        <v>3412</v>
      </c>
      <c r="F1096" t="s">
        <v>464</v>
      </c>
      <c r="G1096" t="s">
        <v>3403</v>
      </c>
      <c r="H1096" t="s">
        <v>466</v>
      </c>
      <c r="I1096" t="s">
        <v>29</v>
      </c>
      <c r="J1096">
        <v>1</v>
      </c>
      <c r="K1096">
        <f>1-844-292-5530</f>
        <v>-6665</v>
      </c>
      <c r="L1096" t="s">
        <v>3413</v>
      </c>
      <c r="M1096" t="s">
        <v>3414</v>
      </c>
      <c r="N1096" t="s">
        <v>2475</v>
      </c>
      <c r="O1096" t="s">
        <v>28</v>
      </c>
      <c r="P1096" t="s">
        <v>29</v>
      </c>
      <c r="Q1096">
        <v>30</v>
      </c>
      <c r="R1096">
        <v>-95.369799999999998</v>
      </c>
    </row>
    <row r="1097" spans="1:18" x14ac:dyDescent="0.2">
      <c r="A1097" t="s">
        <v>18</v>
      </c>
      <c r="B1097" t="s">
        <v>19</v>
      </c>
      <c r="C1097">
        <v>1</v>
      </c>
      <c r="D1097" s="1">
        <v>43987.8358912037</v>
      </c>
      <c r="E1097" t="s">
        <v>3415</v>
      </c>
      <c r="F1097" t="s">
        <v>464</v>
      </c>
      <c r="G1097" t="s">
        <v>3403</v>
      </c>
      <c r="H1097" t="s">
        <v>466</v>
      </c>
      <c r="I1097" t="s">
        <v>29</v>
      </c>
      <c r="J1097">
        <v>1</v>
      </c>
      <c r="K1097">
        <f>1-844-416-7278</f>
        <v>-8537</v>
      </c>
      <c r="L1097" t="s">
        <v>3416</v>
      </c>
      <c r="M1097" t="s">
        <v>3417</v>
      </c>
      <c r="N1097" t="s">
        <v>36</v>
      </c>
      <c r="O1097" t="s">
        <v>28</v>
      </c>
      <c r="P1097" t="s">
        <v>29</v>
      </c>
      <c r="Q1097">
        <v>30</v>
      </c>
      <c r="R1097">
        <v>-95.369799999999998</v>
      </c>
    </row>
    <row r="1098" spans="1:18" x14ac:dyDescent="0.2">
      <c r="A1098" t="s">
        <v>18</v>
      </c>
      <c r="B1098" t="s">
        <v>19</v>
      </c>
      <c r="C1098">
        <v>1</v>
      </c>
      <c r="D1098" s="1">
        <v>43987.835960648146</v>
      </c>
      <c r="E1098" t="s">
        <v>3415</v>
      </c>
      <c r="F1098" t="s">
        <v>464</v>
      </c>
      <c r="G1098" t="s">
        <v>3403</v>
      </c>
      <c r="H1098" t="s">
        <v>466</v>
      </c>
      <c r="I1098" t="s">
        <v>29</v>
      </c>
      <c r="J1098">
        <v>1</v>
      </c>
      <c r="K1098">
        <f>1-844-416-7278</f>
        <v>-8537</v>
      </c>
      <c r="L1098" t="s">
        <v>3418</v>
      </c>
      <c r="M1098" t="s">
        <v>3419</v>
      </c>
      <c r="N1098" t="s">
        <v>36</v>
      </c>
      <c r="O1098" t="s">
        <v>28</v>
      </c>
      <c r="P1098" t="s">
        <v>29</v>
      </c>
      <c r="Q1098">
        <v>30</v>
      </c>
      <c r="R1098">
        <v>-95.369799999999998</v>
      </c>
    </row>
    <row r="1099" spans="1:18" x14ac:dyDescent="0.2">
      <c r="A1099" t="s">
        <v>3420</v>
      </c>
      <c r="B1099" t="s">
        <v>440</v>
      </c>
      <c r="C1099">
        <v>49</v>
      </c>
      <c r="D1099" s="1">
        <v>43987.590497685182</v>
      </c>
      <c r="E1099" t="s">
        <v>3421</v>
      </c>
      <c r="F1099" t="s">
        <v>3422</v>
      </c>
      <c r="G1099" t="s">
        <v>3421</v>
      </c>
      <c r="H1099" t="s">
        <v>3423</v>
      </c>
      <c r="I1099" t="s">
        <v>24</v>
      </c>
      <c r="J1099">
        <v>49</v>
      </c>
      <c r="K1099">
        <f>49-800-182-6614</f>
        <v>-7547</v>
      </c>
      <c r="L1099" t="s">
        <v>3424</v>
      </c>
      <c r="M1099" t="s">
        <v>3425</v>
      </c>
      <c r="N1099">
        <v>29</v>
      </c>
      <c r="O1099" t="s">
        <v>134</v>
      </c>
      <c r="P1099" t="s">
        <v>29</v>
      </c>
      <c r="Q1099">
        <v>39</v>
      </c>
      <c r="R1099">
        <v>-77.487399999999994</v>
      </c>
    </row>
    <row r="1100" spans="1:18" x14ac:dyDescent="0.2">
      <c r="A1100" t="s">
        <v>18</v>
      </c>
      <c r="B1100" t="s">
        <v>3426</v>
      </c>
      <c r="C1100">
        <v>49</v>
      </c>
      <c r="D1100" s="1">
        <v>44050.489814814813</v>
      </c>
      <c r="E1100" t="s">
        <v>3427</v>
      </c>
      <c r="F1100" t="s">
        <v>464</v>
      </c>
      <c r="G1100" t="s">
        <v>3428</v>
      </c>
      <c r="H1100" t="s">
        <v>466</v>
      </c>
      <c r="I1100" t="s">
        <v>24</v>
      </c>
      <c r="J1100">
        <v>49</v>
      </c>
      <c r="K1100">
        <f>49-30-5683-8102</f>
        <v>-13766</v>
      </c>
      <c r="L1100" t="s">
        <v>3429</v>
      </c>
      <c r="M1100" t="s">
        <v>3430</v>
      </c>
      <c r="N1100" t="s">
        <v>213</v>
      </c>
      <c r="O1100" t="s">
        <v>134</v>
      </c>
      <c r="P1100" t="s">
        <v>29</v>
      </c>
      <c r="Q1100">
        <v>42</v>
      </c>
      <c r="R1100">
        <v>-71.1935</v>
      </c>
    </row>
    <row r="1101" spans="1:18" x14ac:dyDescent="0.2">
      <c r="A1101" t="s">
        <v>18</v>
      </c>
      <c r="B1101" t="s">
        <v>3426</v>
      </c>
      <c r="C1101">
        <v>43</v>
      </c>
      <c r="D1101" s="1">
        <v>44049.932615740741</v>
      </c>
      <c r="E1101" t="s">
        <v>3431</v>
      </c>
      <c r="F1101" t="s">
        <v>464</v>
      </c>
      <c r="G1101" t="s">
        <v>3428</v>
      </c>
      <c r="H1101" t="s">
        <v>466</v>
      </c>
      <c r="I1101" t="s">
        <v>3432</v>
      </c>
      <c r="J1101">
        <v>43</v>
      </c>
      <c r="K1101">
        <f>43-670-308-150</f>
        <v>-1085</v>
      </c>
      <c r="L1101" t="s">
        <v>3433</v>
      </c>
      <c r="M1101" t="s">
        <v>3434</v>
      </c>
      <c r="N1101" t="s">
        <v>213</v>
      </c>
      <c r="O1101" t="s">
        <v>134</v>
      </c>
      <c r="P1101" t="s">
        <v>29</v>
      </c>
      <c r="Q1101">
        <v>42</v>
      </c>
      <c r="R1101">
        <v>-71.1935</v>
      </c>
    </row>
    <row r="1102" spans="1:18" x14ac:dyDescent="0.2">
      <c r="A1102" t="s">
        <v>18</v>
      </c>
      <c r="B1102" t="s">
        <v>3426</v>
      </c>
      <c r="C1102">
        <v>49</v>
      </c>
      <c r="D1102" s="1">
        <v>44049.932280092595</v>
      </c>
      <c r="E1102" t="s">
        <v>3435</v>
      </c>
      <c r="F1102" t="s">
        <v>464</v>
      </c>
      <c r="G1102" t="s">
        <v>3428</v>
      </c>
      <c r="H1102" t="s">
        <v>466</v>
      </c>
      <c r="I1102" t="s">
        <v>24</v>
      </c>
      <c r="J1102">
        <v>49</v>
      </c>
      <c r="K1102">
        <f>49-30-5683-8102</f>
        <v>-13766</v>
      </c>
      <c r="L1102" t="s">
        <v>3436</v>
      </c>
      <c r="M1102" t="s">
        <v>3437</v>
      </c>
      <c r="N1102" t="s">
        <v>674</v>
      </c>
      <c r="O1102" t="s">
        <v>134</v>
      </c>
      <c r="P1102" t="s">
        <v>29</v>
      </c>
      <c r="Q1102">
        <v>42</v>
      </c>
      <c r="R1102">
        <v>-71.1935</v>
      </c>
    </row>
    <row r="1103" spans="1:18" x14ac:dyDescent="0.2">
      <c r="A1103" t="s">
        <v>18</v>
      </c>
      <c r="B1103" t="s">
        <v>3426</v>
      </c>
      <c r="C1103">
        <v>49</v>
      </c>
      <c r="D1103" s="1">
        <v>44049.930717592593</v>
      </c>
      <c r="E1103" t="s">
        <v>3438</v>
      </c>
      <c r="F1103" t="s">
        <v>464</v>
      </c>
      <c r="G1103" t="s">
        <v>3428</v>
      </c>
      <c r="H1103" t="s">
        <v>466</v>
      </c>
      <c r="I1103" t="s">
        <v>24</v>
      </c>
      <c r="J1103">
        <v>49</v>
      </c>
      <c r="K1103">
        <f>49-30-5683-8102</f>
        <v>-13766</v>
      </c>
      <c r="L1103" t="s">
        <v>3439</v>
      </c>
      <c r="M1103" t="s">
        <v>3440</v>
      </c>
      <c r="N1103" t="s">
        <v>3441</v>
      </c>
      <c r="O1103" t="s">
        <v>134</v>
      </c>
      <c r="P1103" t="s">
        <v>29</v>
      </c>
      <c r="Q1103">
        <v>42</v>
      </c>
      <c r="R1103">
        <v>-71.1935</v>
      </c>
    </row>
    <row r="1104" spans="1:18" x14ac:dyDescent="0.2">
      <c r="A1104" t="s">
        <v>18</v>
      </c>
      <c r="B1104" t="s">
        <v>3426</v>
      </c>
      <c r="C1104">
        <v>49</v>
      </c>
      <c r="D1104" s="1">
        <v>44049.927372685182</v>
      </c>
      <c r="E1104" t="s">
        <v>3442</v>
      </c>
      <c r="F1104" t="s">
        <v>464</v>
      </c>
      <c r="G1104" t="s">
        <v>3428</v>
      </c>
      <c r="H1104" t="s">
        <v>466</v>
      </c>
      <c r="I1104" t="s">
        <v>24</v>
      </c>
      <c r="J1104">
        <v>49</v>
      </c>
      <c r="K1104">
        <f>49-30-5683-8102</f>
        <v>-13766</v>
      </c>
      <c r="L1104" t="s">
        <v>3443</v>
      </c>
      <c r="M1104" t="s">
        <v>3444</v>
      </c>
      <c r="N1104" t="s">
        <v>3441</v>
      </c>
      <c r="O1104" t="s">
        <v>134</v>
      </c>
      <c r="P1104" t="s">
        <v>29</v>
      </c>
      <c r="Q1104">
        <v>42</v>
      </c>
      <c r="R1104">
        <v>-71.1935</v>
      </c>
    </row>
    <row r="1105" spans="1:18" x14ac:dyDescent="0.2">
      <c r="A1105" t="s">
        <v>18</v>
      </c>
      <c r="B1105" t="s">
        <v>3426</v>
      </c>
      <c r="C1105">
        <v>1</v>
      </c>
      <c r="D1105" s="1">
        <v>44048.860127314816</v>
      </c>
      <c r="E1105" t="s">
        <v>3445</v>
      </c>
      <c r="F1105" t="s">
        <v>464</v>
      </c>
      <c r="G1105" t="s">
        <v>3428</v>
      </c>
      <c r="H1105" t="s">
        <v>466</v>
      </c>
      <c r="I1105" t="s">
        <v>29</v>
      </c>
      <c r="J1105">
        <v>1</v>
      </c>
      <c r="K1105">
        <f>1-855-948-3795</f>
        <v>-5597</v>
      </c>
      <c r="L1105" t="s">
        <v>3446</v>
      </c>
      <c r="M1105" t="s">
        <v>3447</v>
      </c>
      <c r="N1105" t="s">
        <v>447</v>
      </c>
      <c r="O1105" t="s">
        <v>134</v>
      </c>
      <c r="P1105" t="s">
        <v>29</v>
      </c>
      <c r="Q1105">
        <v>42</v>
      </c>
      <c r="R1105">
        <v>-71.1935</v>
      </c>
    </row>
    <row r="1106" spans="1:18" x14ac:dyDescent="0.2">
      <c r="A1106" t="s">
        <v>18</v>
      </c>
      <c r="B1106" t="s">
        <v>3426</v>
      </c>
      <c r="C1106">
        <v>1</v>
      </c>
      <c r="D1106" s="1">
        <v>44048.85974537037</v>
      </c>
      <c r="E1106" t="s">
        <v>3448</v>
      </c>
      <c r="F1106" t="s">
        <v>464</v>
      </c>
      <c r="G1106" t="s">
        <v>3428</v>
      </c>
      <c r="H1106" t="s">
        <v>466</v>
      </c>
      <c r="I1106" t="s">
        <v>29</v>
      </c>
      <c r="J1106">
        <v>1</v>
      </c>
      <c r="K1106">
        <f>1-855-948-3795</f>
        <v>-5597</v>
      </c>
      <c r="L1106" t="s">
        <v>3449</v>
      </c>
      <c r="M1106" t="s">
        <v>3450</v>
      </c>
      <c r="N1106" t="s">
        <v>3441</v>
      </c>
      <c r="O1106" t="s">
        <v>134</v>
      </c>
      <c r="P1106" t="s">
        <v>29</v>
      </c>
      <c r="Q1106">
        <v>42</v>
      </c>
      <c r="R1106">
        <v>-71.1935</v>
      </c>
    </row>
    <row r="1107" spans="1:18" x14ac:dyDescent="0.2">
      <c r="A1107" t="s">
        <v>18</v>
      </c>
      <c r="B1107" t="s">
        <v>3426</v>
      </c>
      <c r="C1107">
        <v>43</v>
      </c>
      <c r="D1107" s="1">
        <v>44048.859074074076</v>
      </c>
      <c r="E1107" t="s">
        <v>3451</v>
      </c>
      <c r="F1107" t="s">
        <v>464</v>
      </c>
      <c r="G1107" t="s">
        <v>3428</v>
      </c>
      <c r="H1107" t="s">
        <v>466</v>
      </c>
      <c r="I1107" t="s">
        <v>3432</v>
      </c>
      <c r="J1107">
        <v>43</v>
      </c>
      <c r="K1107">
        <f>43-670-308-150</f>
        <v>-1085</v>
      </c>
      <c r="L1107" t="s">
        <v>3452</v>
      </c>
      <c r="M1107" t="s">
        <v>3453</v>
      </c>
      <c r="N1107" t="s">
        <v>3454</v>
      </c>
      <c r="O1107" t="s">
        <v>134</v>
      </c>
      <c r="P1107" t="s">
        <v>29</v>
      </c>
      <c r="Q1107">
        <v>42</v>
      </c>
      <c r="R1107">
        <v>-71.1935</v>
      </c>
    </row>
    <row r="1108" spans="1:18" x14ac:dyDescent="0.2">
      <c r="A1108" t="s">
        <v>18</v>
      </c>
      <c r="B1108" t="s">
        <v>3426</v>
      </c>
      <c r="C1108">
        <v>1</v>
      </c>
      <c r="D1108" s="1">
        <v>44048.536840277775</v>
      </c>
      <c r="E1108" t="s">
        <v>3455</v>
      </c>
      <c r="F1108" t="s">
        <v>464</v>
      </c>
      <c r="G1108" t="s">
        <v>3428</v>
      </c>
      <c r="H1108" t="s">
        <v>466</v>
      </c>
      <c r="I1108" t="s">
        <v>29</v>
      </c>
      <c r="J1108">
        <v>1</v>
      </c>
      <c r="K1108">
        <f>1-855-948-3795</f>
        <v>-5597</v>
      </c>
      <c r="L1108" t="s">
        <v>3456</v>
      </c>
      <c r="M1108" t="s">
        <v>3457</v>
      </c>
      <c r="N1108" t="s">
        <v>3454</v>
      </c>
      <c r="O1108" t="s">
        <v>134</v>
      </c>
      <c r="P1108" t="s">
        <v>29</v>
      </c>
      <c r="Q1108">
        <v>42</v>
      </c>
      <c r="R1108">
        <v>-71.1935</v>
      </c>
    </row>
    <row r="1109" spans="1:18" x14ac:dyDescent="0.2">
      <c r="A1109" t="s">
        <v>18</v>
      </c>
      <c r="B1109" t="s">
        <v>3426</v>
      </c>
      <c r="C1109">
        <v>1</v>
      </c>
      <c r="D1109" s="1">
        <v>44048.536249999997</v>
      </c>
      <c r="E1109" t="s">
        <v>3458</v>
      </c>
      <c r="F1109" t="s">
        <v>464</v>
      </c>
      <c r="G1109" t="s">
        <v>3428</v>
      </c>
      <c r="H1109" t="s">
        <v>466</v>
      </c>
      <c r="I1109" t="s">
        <v>29</v>
      </c>
      <c r="J1109">
        <v>1</v>
      </c>
      <c r="K1109">
        <f>1-855-948-3795</f>
        <v>-5597</v>
      </c>
      <c r="L1109" t="s">
        <v>3459</v>
      </c>
      <c r="M1109" t="s">
        <v>3460</v>
      </c>
      <c r="N1109" t="s">
        <v>447</v>
      </c>
      <c r="O1109" t="s">
        <v>134</v>
      </c>
      <c r="P1109" t="s">
        <v>29</v>
      </c>
      <c r="Q1109">
        <v>42</v>
      </c>
      <c r="R1109">
        <v>-71.1935</v>
      </c>
    </row>
    <row r="1110" spans="1:18" x14ac:dyDescent="0.2">
      <c r="A1110" t="s">
        <v>18</v>
      </c>
      <c r="B1110" t="s">
        <v>3426</v>
      </c>
      <c r="C1110">
        <v>1</v>
      </c>
      <c r="D1110" s="1">
        <v>44048.535810185182</v>
      </c>
      <c r="E1110" t="s">
        <v>3461</v>
      </c>
      <c r="F1110" t="s">
        <v>464</v>
      </c>
      <c r="G1110" t="s">
        <v>3428</v>
      </c>
      <c r="H1110" t="s">
        <v>466</v>
      </c>
      <c r="I1110" t="s">
        <v>29</v>
      </c>
      <c r="J1110">
        <v>1</v>
      </c>
      <c r="K1110">
        <f>1-855-948-3795</f>
        <v>-5597</v>
      </c>
      <c r="L1110" t="s">
        <v>3462</v>
      </c>
      <c r="M1110" t="s">
        <v>3463</v>
      </c>
      <c r="N1110" t="s">
        <v>213</v>
      </c>
      <c r="O1110" t="s">
        <v>134</v>
      </c>
      <c r="P1110" t="s">
        <v>29</v>
      </c>
      <c r="Q1110">
        <v>42</v>
      </c>
      <c r="R1110">
        <v>-71.1935</v>
      </c>
    </row>
    <row r="1111" spans="1:18" x14ac:dyDescent="0.2">
      <c r="A1111" t="s">
        <v>18</v>
      </c>
      <c r="B1111" t="s">
        <v>3426</v>
      </c>
      <c r="C1111">
        <v>1</v>
      </c>
      <c r="D1111" s="1">
        <v>44048.535208333335</v>
      </c>
      <c r="E1111" t="s">
        <v>3464</v>
      </c>
      <c r="F1111" t="s">
        <v>464</v>
      </c>
      <c r="G1111" t="s">
        <v>3428</v>
      </c>
      <c r="H1111" t="s">
        <v>466</v>
      </c>
      <c r="I1111" t="s">
        <v>29</v>
      </c>
      <c r="J1111">
        <v>1</v>
      </c>
      <c r="K1111">
        <f>1-855-948-3795</f>
        <v>-5597</v>
      </c>
      <c r="L1111" t="s">
        <v>3465</v>
      </c>
      <c r="M1111" t="s">
        <v>3466</v>
      </c>
      <c r="N1111" t="s">
        <v>3441</v>
      </c>
      <c r="O1111" t="s">
        <v>134</v>
      </c>
      <c r="P1111" t="s">
        <v>29</v>
      </c>
      <c r="Q1111">
        <v>42</v>
      </c>
      <c r="R1111">
        <v>-71.1935</v>
      </c>
    </row>
    <row r="1112" spans="1:18" x14ac:dyDescent="0.2">
      <c r="A1112" t="s">
        <v>18</v>
      </c>
      <c r="B1112" t="s">
        <v>3426</v>
      </c>
      <c r="C1112">
        <v>43</v>
      </c>
      <c r="D1112" s="1">
        <v>44048.525138888886</v>
      </c>
      <c r="E1112" t="s">
        <v>3467</v>
      </c>
      <c r="F1112" t="s">
        <v>464</v>
      </c>
      <c r="G1112" t="s">
        <v>3428</v>
      </c>
      <c r="H1112" t="s">
        <v>466</v>
      </c>
      <c r="I1112" t="s">
        <v>3432</v>
      </c>
      <c r="J1112">
        <v>43</v>
      </c>
      <c r="K1112">
        <f>43-670-308-150</f>
        <v>-1085</v>
      </c>
      <c r="L1112" t="s">
        <v>3468</v>
      </c>
      <c r="M1112" t="s">
        <v>3469</v>
      </c>
      <c r="N1112" t="s">
        <v>674</v>
      </c>
      <c r="O1112" t="s">
        <v>134</v>
      </c>
      <c r="P1112" t="s">
        <v>29</v>
      </c>
      <c r="Q1112">
        <v>42</v>
      </c>
      <c r="R1112">
        <v>-71.1935</v>
      </c>
    </row>
    <row r="1113" spans="1:18" x14ac:dyDescent="0.2">
      <c r="A1113" t="s">
        <v>18</v>
      </c>
      <c r="B1113" t="s">
        <v>3426</v>
      </c>
      <c r="C1113">
        <v>43</v>
      </c>
      <c r="D1113" s="1">
        <v>44043.673379629632</v>
      </c>
      <c r="E1113" t="s">
        <v>3470</v>
      </c>
      <c r="F1113" t="s">
        <v>464</v>
      </c>
      <c r="G1113" t="s">
        <v>3428</v>
      </c>
      <c r="H1113" t="s">
        <v>466</v>
      </c>
      <c r="I1113" t="s">
        <v>3432</v>
      </c>
      <c r="J1113">
        <v>43</v>
      </c>
      <c r="K1113">
        <f>43-670-308-150</f>
        <v>-1085</v>
      </c>
      <c r="L1113" t="s">
        <v>3471</v>
      </c>
      <c r="M1113" t="s">
        <v>3472</v>
      </c>
      <c r="N1113" t="s">
        <v>447</v>
      </c>
      <c r="O1113" t="s">
        <v>134</v>
      </c>
      <c r="P1113" t="s">
        <v>29</v>
      </c>
      <c r="Q1113">
        <v>42</v>
      </c>
      <c r="R1113">
        <v>-71.1935</v>
      </c>
    </row>
    <row r="1114" spans="1:18" x14ac:dyDescent="0.2">
      <c r="A1114" t="s">
        <v>18</v>
      </c>
      <c r="B1114" t="s">
        <v>3426</v>
      </c>
      <c r="C1114">
        <v>49</v>
      </c>
      <c r="D1114" s="1">
        <v>44043.672569444447</v>
      </c>
      <c r="E1114" t="s">
        <v>3473</v>
      </c>
      <c r="F1114" t="s">
        <v>464</v>
      </c>
      <c r="G1114" t="s">
        <v>3428</v>
      </c>
      <c r="H1114" t="s">
        <v>466</v>
      </c>
      <c r="I1114" t="s">
        <v>24</v>
      </c>
      <c r="J1114">
        <v>49</v>
      </c>
      <c r="K1114">
        <f>49-3222-109-751</f>
        <v>-4033</v>
      </c>
      <c r="L1114" t="s">
        <v>3474</v>
      </c>
      <c r="M1114" t="s">
        <v>3475</v>
      </c>
      <c r="N1114" t="s">
        <v>3441</v>
      </c>
      <c r="O1114" t="s">
        <v>134</v>
      </c>
      <c r="P1114" t="s">
        <v>29</v>
      </c>
      <c r="Q1114">
        <v>42</v>
      </c>
      <c r="R1114">
        <v>-71.1935</v>
      </c>
    </row>
    <row r="1115" spans="1:18" x14ac:dyDescent="0.2">
      <c r="A1115" t="s">
        <v>18</v>
      </c>
      <c r="B1115" t="s">
        <v>3426</v>
      </c>
      <c r="C1115">
        <v>49</v>
      </c>
      <c r="D1115" s="1">
        <v>44043.672523148147</v>
      </c>
      <c r="E1115" t="s">
        <v>3476</v>
      </c>
      <c r="F1115" t="s">
        <v>464</v>
      </c>
      <c r="G1115" t="s">
        <v>3428</v>
      </c>
      <c r="H1115" t="s">
        <v>466</v>
      </c>
      <c r="I1115" t="s">
        <v>24</v>
      </c>
      <c r="J1115">
        <v>49</v>
      </c>
      <c r="K1115">
        <f>49-3222-109-751</f>
        <v>-4033</v>
      </c>
      <c r="L1115" t="s">
        <v>3477</v>
      </c>
      <c r="M1115" t="s">
        <v>3478</v>
      </c>
      <c r="N1115" t="s">
        <v>674</v>
      </c>
      <c r="O1115" t="s">
        <v>134</v>
      </c>
      <c r="P1115" t="s">
        <v>29</v>
      </c>
      <c r="Q1115">
        <v>42</v>
      </c>
      <c r="R1115">
        <v>-71.1935</v>
      </c>
    </row>
    <row r="1116" spans="1:18" x14ac:dyDescent="0.2">
      <c r="A1116" t="s">
        <v>18</v>
      </c>
      <c r="B1116" t="s">
        <v>3426</v>
      </c>
      <c r="C1116">
        <v>43</v>
      </c>
      <c r="D1116" s="1">
        <v>44043.670578703706</v>
      </c>
      <c r="E1116" t="s">
        <v>3479</v>
      </c>
      <c r="F1116" t="s">
        <v>464</v>
      </c>
      <c r="G1116" t="s">
        <v>3428</v>
      </c>
      <c r="H1116" t="s">
        <v>466</v>
      </c>
      <c r="I1116" t="s">
        <v>3432</v>
      </c>
      <c r="J1116">
        <v>43</v>
      </c>
      <c r="K1116">
        <f>43-670-308-150</f>
        <v>-1085</v>
      </c>
      <c r="L1116" t="s">
        <v>3480</v>
      </c>
      <c r="M1116" t="s">
        <v>3481</v>
      </c>
      <c r="N1116" t="s">
        <v>447</v>
      </c>
      <c r="O1116" t="s">
        <v>134</v>
      </c>
      <c r="P1116" t="s">
        <v>29</v>
      </c>
      <c r="Q1116">
        <v>42</v>
      </c>
      <c r="R1116">
        <v>-71.1935</v>
      </c>
    </row>
    <row r="1117" spans="1:18" x14ac:dyDescent="0.2">
      <c r="A1117" t="s">
        <v>18</v>
      </c>
      <c r="B1117" t="s">
        <v>3426</v>
      </c>
      <c r="C1117">
        <v>43</v>
      </c>
      <c r="D1117" s="1">
        <v>44043.529583333337</v>
      </c>
      <c r="E1117" t="s">
        <v>3482</v>
      </c>
      <c r="F1117" t="s">
        <v>464</v>
      </c>
      <c r="G1117" t="s">
        <v>3428</v>
      </c>
      <c r="H1117" t="s">
        <v>466</v>
      </c>
      <c r="I1117" t="s">
        <v>3432</v>
      </c>
      <c r="J1117">
        <v>43</v>
      </c>
      <c r="K1117">
        <f>43-670-308-150</f>
        <v>-1085</v>
      </c>
      <c r="L1117" t="s">
        <v>3483</v>
      </c>
      <c r="M1117" t="s">
        <v>3484</v>
      </c>
      <c r="N1117" t="s">
        <v>3454</v>
      </c>
      <c r="O1117" t="s">
        <v>134</v>
      </c>
      <c r="P1117" t="s">
        <v>29</v>
      </c>
      <c r="Q1117">
        <v>42</v>
      </c>
      <c r="R1117">
        <v>-71.1935</v>
      </c>
    </row>
    <row r="1118" spans="1:18" x14ac:dyDescent="0.2">
      <c r="A1118" t="s">
        <v>18</v>
      </c>
      <c r="B1118" t="s">
        <v>3426</v>
      </c>
      <c r="C1118">
        <v>43</v>
      </c>
      <c r="D1118" s="1">
        <v>44042.727523148147</v>
      </c>
      <c r="E1118" t="s">
        <v>3485</v>
      </c>
      <c r="F1118" t="s">
        <v>464</v>
      </c>
      <c r="G1118" t="s">
        <v>3428</v>
      </c>
      <c r="H1118" t="s">
        <v>466</v>
      </c>
      <c r="I1118" t="s">
        <v>3432</v>
      </c>
      <c r="J1118">
        <v>43</v>
      </c>
      <c r="K1118">
        <f>43-670-308-150</f>
        <v>-1085</v>
      </c>
      <c r="L1118" t="s">
        <v>3486</v>
      </c>
      <c r="M1118" t="s">
        <v>3487</v>
      </c>
      <c r="N1118" t="s">
        <v>213</v>
      </c>
      <c r="O1118" t="s">
        <v>134</v>
      </c>
      <c r="P1118" t="s">
        <v>29</v>
      </c>
      <c r="Q1118">
        <v>42</v>
      </c>
      <c r="R1118">
        <v>-71.1935</v>
      </c>
    </row>
    <row r="1119" spans="1:18" x14ac:dyDescent="0.2">
      <c r="A1119" t="s">
        <v>18</v>
      </c>
      <c r="B1119" t="s">
        <v>3426</v>
      </c>
      <c r="C1119">
        <v>43</v>
      </c>
      <c r="D1119" s="1">
        <v>44042.727268518516</v>
      </c>
      <c r="E1119" t="s">
        <v>3488</v>
      </c>
      <c r="F1119" t="s">
        <v>464</v>
      </c>
      <c r="G1119" t="s">
        <v>3428</v>
      </c>
      <c r="H1119" t="s">
        <v>466</v>
      </c>
      <c r="I1119" t="s">
        <v>3432</v>
      </c>
      <c r="J1119">
        <v>43</v>
      </c>
      <c r="K1119">
        <f>43-670-308-150</f>
        <v>-1085</v>
      </c>
      <c r="L1119" t="s">
        <v>3489</v>
      </c>
      <c r="M1119" t="s">
        <v>3490</v>
      </c>
      <c r="N1119" t="s">
        <v>213</v>
      </c>
      <c r="O1119" t="s">
        <v>134</v>
      </c>
      <c r="P1119" t="s">
        <v>29</v>
      </c>
      <c r="Q1119">
        <v>42</v>
      </c>
      <c r="R1119">
        <v>-71.1935</v>
      </c>
    </row>
    <row r="1120" spans="1:18" x14ac:dyDescent="0.2">
      <c r="A1120" t="s">
        <v>18</v>
      </c>
      <c r="B1120" t="s">
        <v>3426</v>
      </c>
      <c r="C1120">
        <v>49</v>
      </c>
      <c r="D1120" s="1">
        <v>44042.726620370369</v>
      </c>
      <c r="E1120" t="s">
        <v>3491</v>
      </c>
      <c r="F1120" t="s">
        <v>464</v>
      </c>
      <c r="G1120" t="s">
        <v>3428</v>
      </c>
      <c r="H1120" t="s">
        <v>466</v>
      </c>
      <c r="I1120" t="s">
        <v>24</v>
      </c>
      <c r="J1120">
        <v>49</v>
      </c>
      <c r="K1120">
        <f>49-3221-300-1</f>
        <v>-3473</v>
      </c>
      <c r="L1120" t="s">
        <v>3492</v>
      </c>
      <c r="M1120" t="s">
        <v>3493</v>
      </c>
      <c r="N1120" t="s">
        <v>3441</v>
      </c>
      <c r="O1120" t="s">
        <v>134</v>
      </c>
      <c r="P1120" t="s">
        <v>29</v>
      </c>
      <c r="Q1120">
        <v>42</v>
      </c>
      <c r="R1120">
        <v>-71.1935</v>
      </c>
    </row>
    <row r="1121" spans="1:18" x14ac:dyDescent="0.2">
      <c r="A1121" t="s">
        <v>18</v>
      </c>
      <c r="B1121" t="s">
        <v>3426</v>
      </c>
      <c r="C1121">
        <v>49</v>
      </c>
      <c r="D1121" s="1">
        <v>44041.671099537038</v>
      </c>
      <c r="E1121" t="s">
        <v>3494</v>
      </c>
      <c r="F1121" t="s">
        <v>464</v>
      </c>
      <c r="G1121" t="s">
        <v>3428</v>
      </c>
      <c r="H1121" t="s">
        <v>466</v>
      </c>
      <c r="I1121" t="s">
        <v>24</v>
      </c>
      <c r="J1121">
        <v>49</v>
      </c>
      <c r="K1121">
        <f>49-3221-300-1</f>
        <v>-3473</v>
      </c>
      <c r="L1121" t="s">
        <v>3495</v>
      </c>
      <c r="M1121" t="s">
        <v>3496</v>
      </c>
      <c r="N1121" t="s">
        <v>447</v>
      </c>
      <c r="O1121" t="s">
        <v>134</v>
      </c>
      <c r="P1121" t="s">
        <v>29</v>
      </c>
      <c r="Q1121">
        <v>42</v>
      </c>
      <c r="R1121">
        <v>-71.1935</v>
      </c>
    </row>
    <row r="1122" spans="1:18" x14ac:dyDescent="0.2">
      <c r="A1122" t="s">
        <v>18</v>
      </c>
      <c r="B1122" t="s">
        <v>3426</v>
      </c>
      <c r="C1122">
        <v>43</v>
      </c>
      <c r="D1122" s="1">
        <v>44041.670034722221</v>
      </c>
      <c r="E1122" t="s">
        <v>3497</v>
      </c>
      <c r="F1122" t="s">
        <v>464</v>
      </c>
      <c r="G1122" t="s">
        <v>3428</v>
      </c>
      <c r="H1122" t="s">
        <v>466</v>
      </c>
      <c r="I1122" t="s">
        <v>3432</v>
      </c>
      <c r="J1122">
        <v>43</v>
      </c>
      <c r="K1122">
        <f t="shared" ref="K1122:K1132" si="12">43-670-308-150</f>
        <v>-1085</v>
      </c>
      <c r="L1122" t="s">
        <v>3498</v>
      </c>
      <c r="M1122" t="s">
        <v>3499</v>
      </c>
      <c r="N1122" t="s">
        <v>3441</v>
      </c>
      <c r="O1122" t="s">
        <v>134</v>
      </c>
      <c r="P1122" t="s">
        <v>29</v>
      </c>
      <c r="Q1122">
        <v>42</v>
      </c>
      <c r="R1122">
        <v>-71.1935</v>
      </c>
    </row>
    <row r="1123" spans="1:18" x14ac:dyDescent="0.2">
      <c r="A1123" t="s">
        <v>18</v>
      </c>
      <c r="B1123" t="s">
        <v>3426</v>
      </c>
      <c r="C1123">
        <v>43</v>
      </c>
      <c r="D1123" s="1">
        <v>44041.534513888888</v>
      </c>
      <c r="E1123" t="s">
        <v>3500</v>
      </c>
      <c r="F1123" t="s">
        <v>464</v>
      </c>
      <c r="G1123" t="s">
        <v>3428</v>
      </c>
      <c r="H1123" t="s">
        <v>466</v>
      </c>
      <c r="I1123" t="s">
        <v>3432</v>
      </c>
      <c r="J1123">
        <v>43</v>
      </c>
      <c r="K1123">
        <f t="shared" si="12"/>
        <v>-1085</v>
      </c>
      <c r="L1123" t="s">
        <v>3501</v>
      </c>
      <c r="M1123" t="s">
        <v>3502</v>
      </c>
      <c r="N1123" t="s">
        <v>674</v>
      </c>
      <c r="O1123" t="s">
        <v>134</v>
      </c>
      <c r="P1123" t="s">
        <v>29</v>
      </c>
      <c r="Q1123">
        <v>42</v>
      </c>
      <c r="R1123">
        <v>-71.1935</v>
      </c>
    </row>
    <row r="1124" spans="1:18" x14ac:dyDescent="0.2">
      <c r="A1124" t="s">
        <v>18</v>
      </c>
      <c r="B1124" t="s">
        <v>3426</v>
      </c>
      <c r="C1124">
        <v>43</v>
      </c>
      <c r="D1124" s="1">
        <v>44040.734259259261</v>
      </c>
      <c r="E1124" t="s">
        <v>3503</v>
      </c>
      <c r="F1124" t="s">
        <v>464</v>
      </c>
      <c r="G1124" t="s">
        <v>3428</v>
      </c>
      <c r="H1124" t="s">
        <v>466</v>
      </c>
      <c r="I1124" t="s">
        <v>3432</v>
      </c>
      <c r="J1124">
        <v>43</v>
      </c>
      <c r="K1124">
        <f t="shared" si="12"/>
        <v>-1085</v>
      </c>
      <c r="L1124" t="s">
        <v>3504</v>
      </c>
      <c r="M1124" t="s">
        <v>3505</v>
      </c>
      <c r="N1124" t="s">
        <v>3441</v>
      </c>
      <c r="O1124" t="s">
        <v>134</v>
      </c>
      <c r="P1124" t="s">
        <v>29</v>
      </c>
      <c r="Q1124">
        <v>42</v>
      </c>
      <c r="R1124">
        <v>-71.1935</v>
      </c>
    </row>
    <row r="1125" spans="1:18" x14ac:dyDescent="0.2">
      <c r="A1125" t="s">
        <v>18</v>
      </c>
      <c r="B1125" t="s">
        <v>3426</v>
      </c>
      <c r="C1125">
        <v>43</v>
      </c>
      <c r="D1125" s="1">
        <v>44040.668993055559</v>
      </c>
      <c r="E1125" t="s">
        <v>3506</v>
      </c>
      <c r="F1125" t="s">
        <v>464</v>
      </c>
      <c r="G1125" t="s">
        <v>3428</v>
      </c>
      <c r="H1125" t="s">
        <v>466</v>
      </c>
      <c r="I1125" t="s">
        <v>3432</v>
      </c>
      <c r="J1125">
        <v>43</v>
      </c>
      <c r="K1125">
        <f t="shared" si="12"/>
        <v>-1085</v>
      </c>
      <c r="L1125" t="s">
        <v>3507</v>
      </c>
      <c r="M1125" t="s">
        <v>3508</v>
      </c>
      <c r="N1125" t="s">
        <v>674</v>
      </c>
      <c r="O1125" t="s">
        <v>134</v>
      </c>
      <c r="P1125" t="s">
        <v>29</v>
      </c>
      <c r="Q1125">
        <v>42</v>
      </c>
      <c r="R1125">
        <v>-71.1935</v>
      </c>
    </row>
    <row r="1126" spans="1:18" x14ac:dyDescent="0.2">
      <c r="A1126" t="s">
        <v>18</v>
      </c>
      <c r="B1126" t="s">
        <v>3426</v>
      </c>
      <c r="C1126">
        <v>43</v>
      </c>
      <c r="D1126" s="1">
        <v>44040.663321759261</v>
      </c>
      <c r="E1126" t="s">
        <v>3509</v>
      </c>
      <c r="F1126" t="s">
        <v>464</v>
      </c>
      <c r="G1126" t="s">
        <v>3428</v>
      </c>
      <c r="H1126" t="s">
        <v>466</v>
      </c>
      <c r="I1126" t="s">
        <v>3432</v>
      </c>
      <c r="J1126">
        <v>43</v>
      </c>
      <c r="K1126">
        <f t="shared" si="12"/>
        <v>-1085</v>
      </c>
      <c r="L1126" t="s">
        <v>3510</v>
      </c>
      <c r="M1126" t="s">
        <v>3511</v>
      </c>
      <c r="N1126" t="s">
        <v>674</v>
      </c>
      <c r="O1126" t="s">
        <v>134</v>
      </c>
      <c r="P1126" t="s">
        <v>29</v>
      </c>
      <c r="Q1126">
        <v>42</v>
      </c>
      <c r="R1126">
        <v>-71.1935</v>
      </c>
    </row>
    <row r="1127" spans="1:18" x14ac:dyDescent="0.2">
      <c r="A1127" t="s">
        <v>18</v>
      </c>
      <c r="B1127" t="s">
        <v>3426</v>
      </c>
      <c r="C1127">
        <v>43</v>
      </c>
      <c r="D1127" s="1">
        <v>44040.733981481484</v>
      </c>
      <c r="E1127" t="s">
        <v>3512</v>
      </c>
      <c r="F1127" t="s">
        <v>464</v>
      </c>
      <c r="G1127" t="s">
        <v>3428</v>
      </c>
      <c r="H1127" t="s">
        <v>466</v>
      </c>
      <c r="I1127" t="s">
        <v>3432</v>
      </c>
      <c r="J1127">
        <v>43</v>
      </c>
      <c r="K1127">
        <f t="shared" si="12"/>
        <v>-1085</v>
      </c>
      <c r="L1127" t="s">
        <v>3513</v>
      </c>
      <c r="M1127" t="s">
        <v>3514</v>
      </c>
      <c r="N1127" t="s">
        <v>3441</v>
      </c>
      <c r="O1127" t="s">
        <v>134</v>
      </c>
      <c r="P1127" t="s">
        <v>29</v>
      </c>
      <c r="Q1127">
        <v>42</v>
      </c>
      <c r="R1127">
        <v>-71.1935</v>
      </c>
    </row>
    <row r="1128" spans="1:18" x14ac:dyDescent="0.2">
      <c r="A1128" t="s">
        <v>18</v>
      </c>
      <c r="B1128" t="s">
        <v>3426</v>
      </c>
      <c r="C1128">
        <v>43</v>
      </c>
      <c r="D1128" s="1">
        <v>44039.738194444442</v>
      </c>
      <c r="E1128" t="s">
        <v>3515</v>
      </c>
      <c r="F1128" t="s">
        <v>464</v>
      </c>
      <c r="G1128" t="s">
        <v>3428</v>
      </c>
      <c r="H1128" t="s">
        <v>466</v>
      </c>
      <c r="I1128" t="s">
        <v>3432</v>
      </c>
      <c r="J1128">
        <v>43</v>
      </c>
      <c r="K1128">
        <f t="shared" si="12"/>
        <v>-1085</v>
      </c>
      <c r="L1128" t="s">
        <v>3516</v>
      </c>
      <c r="M1128" t="s">
        <v>3517</v>
      </c>
      <c r="N1128" t="s">
        <v>3454</v>
      </c>
      <c r="O1128" t="s">
        <v>134</v>
      </c>
      <c r="P1128" t="s">
        <v>29</v>
      </c>
      <c r="Q1128">
        <v>42</v>
      </c>
      <c r="R1128">
        <v>-71.1935</v>
      </c>
    </row>
    <row r="1129" spans="1:18" x14ac:dyDescent="0.2">
      <c r="A1129" t="s">
        <v>18</v>
      </c>
      <c r="B1129" t="s">
        <v>3426</v>
      </c>
      <c r="C1129">
        <v>43</v>
      </c>
      <c r="D1129" s="1">
        <v>44039.724479166667</v>
      </c>
      <c r="E1129" t="s">
        <v>3518</v>
      </c>
      <c r="F1129" t="s">
        <v>464</v>
      </c>
      <c r="G1129" t="s">
        <v>3428</v>
      </c>
      <c r="H1129" t="s">
        <v>466</v>
      </c>
      <c r="I1129" t="s">
        <v>3432</v>
      </c>
      <c r="J1129">
        <v>43</v>
      </c>
      <c r="K1129">
        <f t="shared" si="12"/>
        <v>-1085</v>
      </c>
      <c r="L1129" t="s">
        <v>3519</v>
      </c>
      <c r="M1129" t="s">
        <v>3520</v>
      </c>
      <c r="N1129" t="s">
        <v>3454</v>
      </c>
      <c r="O1129" t="s">
        <v>134</v>
      </c>
      <c r="P1129" t="s">
        <v>29</v>
      </c>
      <c r="Q1129">
        <v>42</v>
      </c>
      <c r="R1129">
        <v>-71.1935</v>
      </c>
    </row>
    <row r="1130" spans="1:18" x14ac:dyDescent="0.2">
      <c r="A1130" t="s">
        <v>18</v>
      </c>
      <c r="B1130" t="s">
        <v>3426</v>
      </c>
      <c r="C1130">
        <v>43</v>
      </c>
      <c r="D1130" s="1">
        <v>44038.66</v>
      </c>
      <c r="E1130" t="s">
        <v>3521</v>
      </c>
      <c r="F1130" t="s">
        <v>464</v>
      </c>
      <c r="G1130" t="s">
        <v>3428</v>
      </c>
      <c r="H1130" t="s">
        <v>466</v>
      </c>
      <c r="I1130" t="s">
        <v>3432</v>
      </c>
      <c r="J1130">
        <v>43</v>
      </c>
      <c r="K1130">
        <f t="shared" si="12"/>
        <v>-1085</v>
      </c>
      <c r="L1130" t="s">
        <v>3522</v>
      </c>
      <c r="M1130" t="s">
        <v>3523</v>
      </c>
      <c r="N1130" t="s">
        <v>447</v>
      </c>
      <c r="O1130" t="s">
        <v>134</v>
      </c>
      <c r="P1130" t="s">
        <v>29</v>
      </c>
      <c r="Q1130">
        <v>42</v>
      </c>
      <c r="R1130">
        <v>-71.1935</v>
      </c>
    </row>
    <row r="1131" spans="1:18" x14ac:dyDescent="0.2">
      <c r="A1131" t="s">
        <v>18</v>
      </c>
      <c r="B1131" t="s">
        <v>3426</v>
      </c>
      <c r="C1131">
        <v>43</v>
      </c>
      <c r="D1131" s="1">
        <v>44036.76972222222</v>
      </c>
      <c r="E1131" t="s">
        <v>3524</v>
      </c>
      <c r="F1131" t="s">
        <v>464</v>
      </c>
      <c r="G1131" t="s">
        <v>3428</v>
      </c>
      <c r="H1131" t="s">
        <v>466</v>
      </c>
      <c r="I1131" t="s">
        <v>3432</v>
      </c>
      <c r="J1131">
        <v>43</v>
      </c>
      <c r="K1131">
        <f t="shared" si="12"/>
        <v>-1085</v>
      </c>
      <c r="L1131" t="s">
        <v>3525</v>
      </c>
      <c r="M1131" t="s">
        <v>3526</v>
      </c>
      <c r="N1131" t="s">
        <v>674</v>
      </c>
      <c r="O1131" t="s">
        <v>134</v>
      </c>
      <c r="P1131" t="s">
        <v>29</v>
      </c>
      <c r="Q1131">
        <v>42</v>
      </c>
      <c r="R1131">
        <v>-71.1935</v>
      </c>
    </row>
    <row r="1132" spans="1:18" x14ac:dyDescent="0.2">
      <c r="A1132" t="s">
        <v>18</v>
      </c>
      <c r="B1132" t="s">
        <v>3426</v>
      </c>
      <c r="C1132">
        <v>43</v>
      </c>
      <c r="D1132" s="1">
        <v>44036.769363425927</v>
      </c>
      <c r="E1132" t="s">
        <v>3527</v>
      </c>
      <c r="F1132" t="s">
        <v>464</v>
      </c>
      <c r="G1132" t="s">
        <v>3428</v>
      </c>
      <c r="H1132" t="s">
        <v>466</v>
      </c>
      <c r="I1132" t="s">
        <v>3432</v>
      </c>
      <c r="J1132">
        <v>43</v>
      </c>
      <c r="K1132">
        <f t="shared" si="12"/>
        <v>-1085</v>
      </c>
      <c r="L1132" t="s">
        <v>3528</v>
      </c>
      <c r="M1132" t="s">
        <v>3529</v>
      </c>
      <c r="N1132" t="s">
        <v>3441</v>
      </c>
      <c r="O1132" t="s">
        <v>134</v>
      </c>
      <c r="P1132" t="s">
        <v>29</v>
      </c>
      <c r="Q1132">
        <v>42</v>
      </c>
      <c r="R1132">
        <v>-71.1935</v>
      </c>
    </row>
    <row r="1133" spans="1:18" x14ac:dyDescent="0.2">
      <c r="A1133" t="s">
        <v>18</v>
      </c>
      <c r="B1133" t="s">
        <v>3426</v>
      </c>
      <c r="C1133">
        <v>1</v>
      </c>
      <c r="D1133" s="1">
        <v>44036.768078703702</v>
      </c>
      <c r="E1133" t="s">
        <v>3530</v>
      </c>
      <c r="F1133" t="s">
        <v>464</v>
      </c>
      <c r="G1133" t="s">
        <v>3428</v>
      </c>
      <c r="H1133" t="s">
        <v>466</v>
      </c>
      <c r="I1133" t="s">
        <v>29</v>
      </c>
      <c r="J1133">
        <v>1</v>
      </c>
      <c r="K1133">
        <f>1-866-735-3054</f>
        <v>-4654</v>
      </c>
      <c r="L1133" t="s">
        <v>3531</v>
      </c>
      <c r="M1133" t="s">
        <v>3532</v>
      </c>
      <c r="N1133" t="s">
        <v>447</v>
      </c>
      <c r="O1133" t="s">
        <v>134</v>
      </c>
      <c r="P1133" t="s">
        <v>29</v>
      </c>
      <c r="Q1133">
        <v>42</v>
      </c>
      <c r="R1133">
        <v>-71.1935</v>
      </c>
    </row>
    <row r="1134" spans="1:18" x14ac:dyDescent="0.2">
      <c r="A1134" t="s">
        <v>18</v>
      </c>
      <c r="B1134" t="s">
        <v>3426</v>
      </c>
      <c r="C1134">
        <v>1</v>
      </c>
      <c r="D1134" s="1">
        <v>44036.767881944441</v>
      </c>
      <c r="E1134" t="s">
        <v>3533</v>
      </c>
      <c r="F1134" t="s">
        <v>464</v>
      </c>
      <c r="G1134" t="s">
        <v>3428</v>
      </c>
      <c r="H1134" t="s">
        <v>466</v>
      </c>
      <c r="I1134" t="s">
        <v>29</v>
      </c>
      <c r="J1134">
        <v>1</v>
      </c>
      <c r="K1134">
        <f>1-866-735-3054</f>
        <v>-4654</v>
      </c>
      <c r="L1134" t="s">
        <v>3534</v>
      </c>
      <c r="M1134" t="s">
        <v>3535</v>
      </c>
      <c r="N1134" t="s">
        <v>447</v>
      </c>
      <c r="O1134" t="s">
        <v>134</v>
      </c>
      <c r="P1134" t="s">
        <v>29</v>
      </c>
      <c r="Q1134">
        <v>42</v>
      </c>
      <c r="R1134">
        <v>-71.1935</v>
      </c>
    </row>
    <row r="1135" spans="1:18" x14ac:dyDescent="0.2">
      <c r="A1135" t="s">
        <v>18</v>
      </c>
      <c r="B1135" t="s">
        <v>3426</v>
      </c>
      <c r="C1135">
        <v>43</v>
      </c>
      <c r="D1135" s="1">
        <v>44036.766736111109</v>
      </c>
      <c r="E1135" t="s">
        <v>3536</v>
      </c>
      <c r="F1135" t="s">
        <v>464</v>
      </c>
      <c r="G1135" t="s">
        <v>3428</v>
      </c>
      <c r="H1135" t="s">
        <v>466</v>
      </c>
      <c r="I1135" t="s">
        <v>3432</v>
      </c>
      <c r="J1135">
        <v>43</v>
      </c>
      <c r="K1135">
        <f>43-670-308-150</f>
        <v>-1085</v>
      </c>
      <c r="L1135" t="s">
        <v>3537</v>
      </c>
      <c r="M1135" t="s">
        <v>3538</v>
      </c>
      <c r="N1135" t="s">
        <v>3441</v>
      </c>
      <c r="O1135" t="s">
        <v>134</v>
      </c>
      <c r="P1135" t="s">
        <v>29</v>
      </c>
      <c r="Q1135">
        <v>42</v>
      </c>
      <c r="R1135">
        <v>-71.1935</v>
      </c>
    </row>
    <row r="1136" spans="1:18" x14ac:dyDescent="0.2">
      <c r="A1136" t="s">
        <v>18</v>
      </c>
      <c r="B1136" t="s">
        <v>3426</v>
      </c>
      <c r="C1136">
        <v>43</v>
      </c>
      <c r="D1136" s="1">
        <v>44034.903425925928</v>
      </c>
      <c r="E1136" t="s">
        <v>3539</v>
      </c>
      <c r="F1136" t="s">
        <v>464</v>
      </c>
      <c r="G1136" t="s">
        <v>3428</v>
      </c>
      <c r="H1136" t="s">
        <v>466</v>
      </c>
      <c r="I1136" t="s">
        <v>3432</v>
      </c>
      <c r="J1136">
        <v>43</v>
      </c>
      <c r="K1136">
        <f>43-670-308-150</f>
        <v>-1085</v>
      </c>
      <c r="L1136" t="s">
        <v>3540</v>
      </c>
      <c r="M1136" t="s">
        <v>3541</v>
      </c>
      <c r="N1136" t="s">
        <v>213</v>
      </c>
      <c r="O1136" t="s">
        <v>134</v>
      </c>
      <c r="P1136" t="s">
        <v>29</v>
      </c>
      <c r="Q1136">
        <v>42</v>
      </c>
      <c r="R1136">
        <v>-71.1935</v>
      </c>
    </row>
    <row r="1137" spans="1:18" x14ac:dyDescent="0.2">
      <c r="A1137" t="s">
        <v>18</v>
      </c>
      <c r="B1137" t="s">
        <v>3426</v>
      </c>
      <c r="C1137">
        <v>43</v>
      </c>
      <c r="D1137" s="1">
        <v>44034.902997685182</v>
      </c>
      <c r="E1137" t="s">
        <v>3533</v>
      </c>
      <c r="F1137" t="s">
        <v>464</v>
      </c>
      <c r="G1137" t="s">
        <v>3428</v>
      </c>
      <c r="H1137" t="s">
        <v>466</v>
      </c>
      <c r="I1137" t="s">
        <v>3432</v>
      </c>
      <c r="J1137">
        <v>43</v>
      </c>
      <c r="K1137">
        <f>43-670-308-150</f>
        <v>-1085</v>
      </c>
      <c r="L1137" t="s">
        <v>3542</v>
      </c>
      <c r="M1137" t="s">
        <v>3543</v>
      </c>
      <c r="N1137" t="s">
        <v>447</v>
      </c>
      <c r="O1137" t="s">
        <v>134</v>
      </c>
      <c r="P1137" t="s">
        <v>29</v>
      </c>
      <c r="Q1137">
        <v>42</v>
      </c>
      <c r="R1137">
        <v>-71.1935</v>
      </c>
    </row>
    <row r="1138" spans="1:18" x14ac:dyDescent="0.2">
      <c r="A1138" t="s">
        <v>18</v>
      </c>
      <c r="B1138" t="s">
        <v>3426</v>
      </c>
      <c r="C1138">
        <v>49</v>
      </c>
      <c r="D1138" s="1">
        <v>44034.707824074074</v>
      </c>
      <c r="E1138" t="s">
        <v>3544</v>
      </c>
      <c r="F1138" t="s">
        <v>464</v>
      </c>
      <c r="G1138" t="s">
        <v>3428</v>
      </c>
      <c r="H1138" t="s">
        <v>466</v>
      </c>
      <c r="I1138" t="s">
        <v>24</v>
      </c>
      <c r="J1138">
        <v>49</v>
      </c>
      <c r="K1138">
        <f>49-3221-300-1</f>
        <v>-3473</v>
      </c>
      <c r="L1138" t="s">
        <v>3545</v>
      </c>
      <c r="M1138" t="s">
        <v>3546</v>
      </c>
      <c r="N1138" t="s">
        <v>3454</v>
      </c>
      <c r="O1138" t="s">
        <v>134</v>
      </c>
      <c r="P1138" t="s">
        <v>29</v>
      </c>
      <c r="Q1138">
        <v>42</v>
      </c>
      <c r="R1138">
        <v>-71.1935</v>
      </c>
    </row>
    <row r="1139" spans="1:18" x14ac:dyDescent="0.2">
      <c r="A1139" t="s">
        <v>18</v>
      </c>
      <c r="B1139" t="s">
        <v>3426</v>
      </c>
      <c r="C1139">
        <v>43</v>
      </c>
      <c r="D1139" s="1">
        <v>44034.707291666666</v>
      </c>
      <c r="E1139" t="s">
        <v>3547</v>
      </c>
      <c r="F1139" t="s">
        <v>464</v>
      </c>
      <c r="G1139" t="s">
        <v>3428</v>
      </c>
      <c r="H1139" t="s">
        <v>466</v>
      </c>
      <c r="I1139" t="s">
        <v>3432</v>
      </c>
      <c r="J1139">
        <v>43</v>
      </c>
      <c r="K1139">
        <f>43-670-308-150</f>
        <v>-1085</v>
      </c>
      <c r="L1139" t="s">
        <v>3548</v>
      </c>
      <c r="M1139" t="s">
        <v>3549</v>
      </c>
      <c r="N1139" t="s">
        <v>674</v>
      </c>
      <c r="O1139" t="s">
        <v>134</v>
      </c>
      <c r="P1139" t="s">
        <v>29</v>
      </c>
      <c r="Q1139">
        <v>42</v>
      </c>
      <c r="R1139">
        <v>-71.1935</v>
      </c>
    </row>
    <row r="1140" spans="1:18" x14ac:dyDescent="0.2">
      <c r="A1140" t="s">
        <v>18</v>
      </c>
      <c r="B1140" t="s">
        <v>3426</v>
      </c>
      <c r="C1140">
        <v>43</v>
      </c>
      <c r="D1140" s="1">
        <v>44034.706932870373</v>
      </c>
      <c r="E1140" t="s">
        <v>3550</v>
      </c>
      <c r="F1140" t="s">
        <v>464</v>
      </c>
      <c r="G1140" t="s">
        <v>3428</v>
      </c>
      <c r="H1140" t="s">
        <v>466</v>
      </c>
      <c r="I1140" t="s">
        <v>3432</v>
      </c>
      <c r="J1140">
        <v>43</v>
      </c>
      <c r="K1140">
        <f>43-670-308-150</f>
        <v>-1085</v>
      </c>
      <c r="L1140" t="s">
        <v>3551</v>
      </c>
      <c r="M1140" t="s">
        <v>3552</v>
      </c>
      <c r="N1140" t="s">
        <v>447</v>
      </c>
      <c r="O1140" t="s">
        <v>134</v>
      </c>
      <c r="P1140" t="s">
        <v>29</v>
      </c>
      <c r="Q1140">
        <v>42</v>
      </c>
      <c r="R1140">
        <v>-71.1935</v>
      </c>
    </row>
    <row r="1141" spans="1:18" x14ac:dyDescent="0.2">
      <c r="A1141" t="s">
        <v>18</v>
      </c>
      <c r="B1141" t="s">
        <v>3426</v>
      </c>
      <c r="C1141">
        <v>43</v>
      </c>
      <c r="D1141" s="1">
        <v>44034.706736111111</v>
      </c>
      <c r="E1141" t="s">
        <v>3553</v>
      </c>
      <c r="F1141" t="s">
        <v>464</v>
      </c>
      <c r="G1141" t="s">
        <v>3428</v>
      </c>
      <c r="H1141" t="s">
        <v>466</v>
      </c>
      <c r="I1141" t="s">
        <v>3432</v>
      </c>
      <c r="J1141">
        <v>43</v>
      </c>
      <c r="K1141">
        <f>43-670-308-150</f>
        <v>-1085</v>
      </c>
      <c r="L1141" t="s">
        <v>3554</v>
      </c>
      <c r="M1141" t="s">
        <v>3555</v>
      </c>
      <c r="N1141" t="s">
        <v>213</v>
      </c>
      <c r="O1141" t="s">
        <v>134</v>
      </c>
      <c r="P1141" t="s">
        <v>29</v>
      </c>
      <c r="Q1141">
        <v>42</v>
      </c>
      <c r="R1141">
        <v>-71.1935</v>
      </c>
    </row>
    <row r="1142" spans="1:18" x14ac:dyDescent="0.2">
      <c r="A1142" t="s">
        <v>18</v>
      </c>
      <c r="B1142" t="s">
        <v>3426</v>
      </c>
      <c r="C1142">
        <v>43</v>
      </c>
      <c r="D1142" s="1">
        <v>44034.626006944447</v>
      </c>
      <c r="E1142" t="s">
        <v>3556</v>
      </c>
      <c r="F1142" t="s">
        <v>464</v>
      </c>
      <c r="G1142" t="s">
        <v>3428</v>
      </c>
      <c r="H1142" t="s">
        <v>466</v>
      </c>
      <c r="I1142" t="s">
        <v>3432</v>
      </c>
      <c r="J1142">
        <v>43</v>
      </c>
      <c r="K1142">
        <f>43-670-308-150</f>
        <v>-1085</v>
      </c>
      <c r="L1142" t="s">
        <v>3557</v>
      </c>
      <c r="M1142" t="s">
        <v>3558</v>
      </c>
      <c r="N1142" t="s">
        <v>3441</v>
      </c>
      <c r="O1142" t="s">
        <v>134</v>
      </c>
      <c r="P1142" t="s">
        <v>29</v>
      </c>
      <c r="Q1142">
        <v>42</v>
      </c>
      <c r="R1142">
        <v>-71.1935</v>
      </c>
    </row>
    <row r="1143" spans="1:18" x14ac:dyDescent="0.2">
      <c r="A1143" t="s">
        <v>18</v>
      </c>
      <c r="B1143" t="s">
        <v>3426</v>
      </c>
      <c r="C1143">
        <v>43</v>
      </c>
      <c r="D1143" s="1">
        <v>43999.519803240742</v>
      </c>
      <c r="E1143" t="s">
        <v>3559</v>
      </c>
      <c r="F1143" t="s">
        <v>464</v>
      </c>
      <c r="G1143" t="s">
        <v>3428</v>
      </c>
      <c r="H1143" t="s">
        <v>466</v>
      </c>
      <c r="I1143" t="s">
        <v>3432</v>
      </c>
      <c r="J1143">
        <v>43</v>
      </c>
      <c r="K1143">
        <f t="shared" ref="K1143:K1148" si="13">43-800-10-62</f>
        <v>-829</v>
      </c>
      <c r="L1143" t="s">
        <v>3560</v>
      </c>
      <c r="M1143" t="s">
        <v>3561</v>
      </c>
      <c r="N1143" t="s">
        <v>447</v>
      </c>
      <c r="O1143" t="s">
        <v>134</v>
      </c>
      <c r="P1143" t="s">
        <v>29</v>
      </c>
      <c r="Q1143">
        <v>42</v>
      </c>
      <c r="R1143">
        <v>-71.1935</v>
      </c>
    </row>
    <row r="1144" spans="1:18" x14ac:dyDescent="0.2">
      <c r="A1144" t="s">
        <v>18</v>
      </c>
      <c r="B1144" t="s">
        <v>3426</v>
      </c>
      <c r="C1144">
        <v>43</v>
      </c>
      <c r="D1144" s="1">
        <v>43997.602303240739</v>
      </c>
      <c r="E1144" t="s">
        <v>3562</v>
      </c>
      <c r="F1144" t="s">
        <v>464</v>
      </c>
      <c r="G1144" t="s">
        <v>3428</v>
      </c>
      <c r="H1144" t="s">
        <v>466</v>
      </c>
      <c r="I1144" t="s">
        <v>3432</v>
      </c>
      <c r="J1144">
        <v>43</v>
      </c>
      <c r="K1144">
        <f t="shared" si="13"/>
        <v>-829</v>
      </c>
      <c r="L1144" t="s">
        <v>3563</v>
      </c>
      <c r="M1144" t="s">
        <v>3564</v>
      </c>
      <c r="N1144" t="s">
        <v>447</v>
      </c>
      <c r="O1144" t="s">
        <v>134</v>
      </c>
      <c r="P1144" t="s">
        <v>29</v>
      </c>
      <c r="Q1144">
        <v>42</v>
      </c>
      <c r="R1144">
        <v>-71.1935</v>
      </c>
    </row>
    <row r="1145" spans="1:18" x14ac:dyDescent="0.2">
      <c r="A1145" t="s">
        <v>18</v>
      </c>
      <c r="B1145" t="s">
        <v>3426</v>
      </c>
      <c r="C1145">
        <v>43</v>
      </c>
      <c r="D1145" s="1">
        <v>43995.626030092593</v>
      </c>
      <c r="E1145" t="s">
        <v>3565</v>
      </c>
      <c r="F1145" t="s">
        <v>464</v>
      </c>
      <c r="G1145" t="s">
        <v>3428</v>
      </c>
      <c r="H1145" t="s">
        <v>466</v>
      </c>
      <c r="I1145" t="s">
        <v>3432</v>
      </c>
      <c r="J1145">
        <v>43</v>
      </c>
      <c r="K1145">
        <f t="shared" si="13"/>
        <v>-829</v>
      </c>
      <c r="L1145" t="s">
        <v>3566</v>
      </c>
      <c r="M1145" t="s">
        <v>3567</v>
      </c>
      <c r="N1145" t="s">
        <v>3441</v>
      </c>
      <c r="O1145" t="s">
        <v>134</v>
      </c>
      <c r="P1145" t="s">
        <v>29</v>
      </c>
      <c r="Q1145">
        <v>42</v>
      </c>
      <c r="R1145">
        <v>-71.1935</v>
      </c>
    </row>
    <row r="1146" spans="1:18" x14ac:dyDescent="0.2">
      <c r="A1146" t="s">
        <v>18</v>
      </c>
      <c r="B1146" t="s">
        <v>3426</v>
      </c>
      <c r="C1146">
        <v>43</v>
      </c>
      <c r="D1146" s="1">
        <v>43992.519155092596</v>
      </c>
      <c r="E1146" t="s">
        <v>3568</v>
      </c>
      <c r="F1146" t="s">
        <v>464</v>
      </c>
      <c r="G1146" t="s">
        <v>3428</v>
      </c>
      <c r="H1146" t="s">
        <v>466</v>
      </c>
      <c r="I1146" t="s">
        <v>3432</v>
      </c>
      <c r="J1146">
        <v>43</v>
      </c>
      <c r="K1146">
        <f t="shared" si="13"/>
        <v>-829</v>
      </c>
      <c r="L1146" t="s">
        <v>3569</v>
      </c>
      <c r="M1146" t="s">
        <v>3570</v>
      </c>
      <c r="N1146" t="s">
        <v>447</v>
      </c>
      <c r="O1146" t="s">
        <v>134</v>
      </c>
      <c r="P1146" t="s">
        <v>29</v>
      </c>
      <c r="Q1146">
        <v>42</v>
      </c>
      <c r="R1146">
        <v>-71.1935</v>
      </c>
    </row>
    <row r="1147" spans="1:18" x14ac:dyDescent="0.2">
      <c r="A1147" t="s">
        <v>18</v>
      </c>
      <c r="B1147" t="s">
        <v>3426</v>
      </c>
      <c r="C1147">
        <v>43</v>
      </c>
      <c r="D1147" s="1">
        <v>43991.61451388889</v>
      </c>
      <c r="E1147" t="s">
        <v>3571</v>
      </c>
      <c r="F1147" t="s">
        <v>464</v>
      </c>
      <c r="G1147" t="s">
        <v>3428</v>
      </c>
      <c r="H1147" t="s">
        <v>466</v>
      </c>
      <c r="I1147" t="s">
        <v>3432</v>
      </c>
      <c r="J1147">
        <v>43</v>
      </c>
      <c r="K1147">
        <f t="shared" si="13"/>
        <v>-829</v>
      </c>
      <c r="L1147" t="s">
        <v>3572</v>
      </c>
      <c r="M1147" t="s">
        <v>3573</v>
      </c>
      <c r="N1147" t="s">
        <v>3454</v>
      </c>
      <c r="O1147" t="s">
        <v>134</v>
      </c>
      <c r="P1147" t="s">
        <v>29</v>
      </c>
      <c r="Q1147">
        <v>42</v>
      </c>
      <c r="R1147">
        <v>-71.1935</v>
      </c>
    </row>
    <row r="1148" spans="1:18" x14ac:dyDescent="0.2">
      <c r="A1148" t="s">
        <v>18</v>
      </c>
      <c r="B1148" t="s">
        <v>3426</v>
      </c>
      <c r="C1148">
        <v>43</v>
      </c>
      <c r="D1148" s="1">
        <v>43990.655046296299</v>
      </c>
      <c r="E1148" t="s">
        <v>3574</v>
      </c>
      <c r="F1148" t="s">
        <v>464</v>
      </c>
      <c r="G1148" t="s">
        <v>3428</v>
      </c>
      <c r="H1148" t="s">
        <v>466</v>
      </c>
      <c r="I1148" t="s">
        <v>3432</v>
      </c>
      <c r="J1148">
        <v>43</v>
      </c>
      <c r="K1148">
        <f t="shared" si="13"/>
        <v>-829</v>
      </c>
      <c r="L1148" t="s">
        <v>3575</v>
      </c>
      <c r="M1148" t="s">
        <v>3576</v>
      </c>
      <c r="N1148" t="s">
        <v>3454</v>
      </c>
      <c r="O1148" t="s">
        <v>134</v>
      </c>
      <c r="P1148" t="s">
        <v>29</v>
      </c>
      <c r="Q1148">
        <v>42</v>
      </c>
      <c r="R1148">
        <v>-71.1935</v>
      </c>
    </row>
    <row r="1149" spans="1:18" x14ac:dyDescent="0.2">
      <c r="A1149" t="s">
        <v>18</v>
      </c>
      <c r="B1149" t="s">
        <v>3426</v>
      </c>
      <c r="C1149">
        <v>43</v>
      </c>
      <c r="D1149" s="1">
        <v>43988.614745370367</v>
      </c>
      <c r="E1149" t="s">
        <v>3577</v>
      </c>
      <c r="F1149" t="s">
        <v>464</v>
      </c>
      <c r="G1149" t="s">
        <v>3428</v>
      </c>
      <c r="H1149" t="s">
        <v>466</v>
      </c>
      <c r="I1149" t="s">
        <v>3432</v>
      </c>
      <c r="J1149">
        <v>43</v>
      </c>
      <c r="K1149">
        <f>43-670-308-1568</f>
        <v>-2503</v>
      </c>
      <c r="L1149" t="s">
        <v>3578</v>
      </c>
      <c r="M1149" t="s">
        <v>3579</v>
      </c>
      <c r="N1149" t="s">
        <v>447</v>
      </c>
      <c r="O1149" t="s">
        <v>134</v>
      </c>
      <c r="P1149" t="s">
        <v>29</v>
      </c>
      <c r="Q1149">
        <v>42</v>
      </c>
      <c r="R1149">
        <v>-71.1935</v>
      </c>
    </row>
    <row r="1150" spans="1:18" x14ac:dyDescent="0.2">
      <c r="A1150" t="s">
        <v>18</v>
      </c>
      <c r="B1150" t="s">
        <v>3426</v>
      </c>
      <c r="C1150">
        <v>43</v>
      </c>
      <c r="D1150" s="1">
        <v>43987.696481481478</v>
      </c>
      <c r="E1150" t="s">
        <v>3580</v>
      </c>
      <c r="F1150" t="s">
        <v>464</v>
      </c>
      <c r="G1150" t="s">
        <v>3428</v>
      </c>
      <c r="H1150" t="s">
        <v>466</v>
      </c>
      <c r="I1150" t="s">
        <v>3432</v>
      </c>
      <c r="J1150">
        <v>43</v>
      </c>
      <c r="K1150">
        <f>43-670-308-1568</f>
        <v>-2503</v>
      </c>
      <c r="L1150" t="s">
        <v>3581</v>
      </c>
      <c r="M1150" t="s">
        <v>3582</v>
      </c>
      <c r="N1150" t="s">
        <v>447</v>
      </c>
      <c r="O1150" t="s">
        <v>134</v>
      </c>
      <c r="P1150" t="s">
        <v>29</v>
      </c>
      <c r="Q1150">
        <v>42</v>
      </c>
      <c r="R1150">
        <v>-71.1935</v>
      </c>
    </row>
    <row r="1151" spans="1:18" x14ac:dyDescent="0.2">
      <c r="A1151" t="s">
        <v>18</v>
      </c>
      <c r="B1151" t="s">
        <v>3426</v>
      </c>
      <c r="C1151">
        <v>43</v>
      </c>
      <c r="D1151" s="1">
        <v>43990.438784722224</v>
      </c>
      <c r="E1151" t="s">
        <v>3583</v>
      </c>
      <c r="F1151" t="s">
        <v>464</v>
      </c>
      <c r="G1151" t="s">
        <v>3428</v>
      </c>
      <c r="H1151" t="s">
        <v>466</v>
      </c>
      <c r="I1151" t="s">
        <v>3432</v>
      </c>
      <c r="J1151">
        <v>43</v>
      </c>
      <c r="K1151">
        <f>43-800-10-62</f>
        <v>-829</v>
      </c>
      <c r="L1151" t="s">
        <v>3584</v>
      </c>
      <c r="M1151" t="s">
        <v>3585</v>
      </c>
      <c r="N1151" t="s">
        <v>3441</v>
      </c>
      <c r="O1151" t="s">
        <v>134</v>
      </c>
      <c r="P1151" t="s">
        <v>29</v>
      </c>
      <c r="Q1151">
        <v>42</v>
      </c>
      <c r="R1151">
        <v>-71.1935</v>
      </c>
    </row>
    <row r="1152" spans="1:18" x14ac:dyDescent="0.2">
      <c r="A1152" t="s">
        <v>270</v>
      </c>
      <c r="B1152" t="s">
        <v>3586</v>
      </c>
      <c r="C1152">
        <v>1</v>
      </c>
      <c r="D1152" s="1">
        <v>44379.76017361111</v>
      </c>
      <c r="E1152" t="s">
        <v>3587</v>
      </c>
      <c r="F1152" t="s">
        <v>273</v>
      </c>
      <c r="G1152" t="s">
        <v>3588</v>
      </c>
      <c r="H1152" t="s">
        <v>275</v>
      </c>
      <c r="I1152" t="s">
        <v>29</v>
      </c>
      <c r="J1152">
        <v>1</v>
      </c>
      <c r="K1152">
        <f>1-888-214-9133</f>
        <v>-10234</v>
      </c>
      <c r="L1152" t="s">
        <v>3589</v>
      </c>
      <c r="M1152" t="s">
        <v>3590</v>
      </c>
      <c r="N1152" t="s">
        <v>278</v>
      </c>
      <c r="O1152" t="s">
        <v>28</v>
      </c>
      <c r="P1152" t="s">
        <v>782</v>
      </c>
      <c r="Q1152">
        <v>-35</v>
      </c>
      <c r="R1152">
        <v>99.999999000000003</v>
      </c>
    </row>
    <row r="1153" spans="1:18" x14ac:dyDescent="0.2">
      <c r="A1153" t="s">
        <v>270</v>
      </c>
      <c r="B1153" t="s">
        <v>3586</v>
      </c>
      <c r="C1153">
        <v>1</v>
      </c>
      <c r="D1153" s="1">
        <v>44378.95008101852</v>
      </c>
      <c r="E1153" t="s">
        <v>3591</v>
      </c>
      <c r="F1153" t="s">
        <v>273</v>
      </c>
      <c r="G1153" t="s">
        <v>3588</v>
      </c>
      <c r="H1153" t="s">
        <v>275</v>
      </c>
      <c r="I1153" t="s">
        <v>29</v>
      </c>
      <c r="J1153">
        <v>1</v>
      </c>
      <c r="K1153">
        <f>1-888-335-7469</f>
        <v>-8691</v>
      </c>
      <c r="L1153" t="s">
        <v>3592</v>
      </c>
      <c r="M1153" t="s">
        <v>3593</v>
      </c>
      <c r="N1153" t="s">
        <v>278</v>
      </c>
      <c r="O1153" t="s">
        <v>28</v>
      </c>
      <c r="P1153" t="s">
        <v>782</v>
      </c>
      <c r="Q1153">
        <v>-35</v>
      </c>
      <c r="R1153">
        <v>99.999999000000003</v>
      </c>
    </row>
    <row r="1154" spans="1:18" x14ac:dyDescent="0.2">
      <c r="A1154" t="s">
        <v>270</v>
      </c>
      <c r="B1154" t="s">
        <v>3586</v>
      </c>
      <c r="C1154">
        <v>1</v>
      </c>
      <c r="D1154" s="1">
        <v>44378.788217592592</v>
      </c>
      <c r="E1154" t="s">
        <v>3594</v>
      </c>
      <c r="F1154" t="s">
        <v>273</v>
      </c>
      <c r="G1154" t="s">
        <v>3588</v>
      </c>
      <c r="H1154" t="s">
        <v>275</v>
      </c>
      <c r="I1154" t="s">
        <v>29</v>
      </c>
      <c r="J1154">
        <v>1</v>
      </c>
      <c r="K1154">
        <f>1-888-308-5875</f>
        <v>-7070</v>
      </c>
      <c r="L1154" t="s">
        <v>3595</v>
      </c>
      <c r="M1154" t="s">
        <v>3596</v>
      </c>
      <c r="N1154" t="s">
        <v>278</v>
      </c>
      <c r="O1154" t="s">
        <v>28</v>
      </c>
      <c r="P1154" t="s">
        <v>782</v>
      </c>
      <c r="Q1154">
        <v>-35</v>
      </c>
      <c r="R1154">
        <v>99.999999000000003</v>
      </c>
    </row>
    <row r="1155" spans="1:18" x14ac:dyDescent="0.2">
      <c r="A1155" t="s">
        <v>270</v>
      </c>
      <c r="B1155" t="s">
        <v>3586</v>
      </c>
      <c r="C1155">
        <v>1</v>
      </c>
      <c r="D1155" s="1">
        <v>44378.784236111111</v>
      </c>
      <c r="E1155" t="s">
        <v>3597</v>
      </c>
      <c r="F1155" t="s">
        <v>273</v>
      </c>
      <c r="G1155" t="s">
        <v>3588</v>
      </c>
      <c r="H1155" t="s">
        <v>275</v>
      </c>
      <c r="I1155" t="s">
        <v>29</v>
      </c>
      <c r="J1155">
        <v>1</v>
      </c>
      <c r="K1155">
        <f>1-888-308-5126</f>
        <v>-6321</v>
      </c>
      <c r="L1155" t="s">
        <v>3598</v>
      </c>
      <c r="M1155" t="s">
        <v>3599</v>
      </c>
      <c r="N1155" t="s">
        <v>278</v>
      </c>
      <c r="O1155" t="s">
        <v>28</v>
      </c>
      <c r="P1155" t="s">
        <v>782</v>
      </c>
      <c r="Q1155">
        <v>-35</v>
      </c>
      <c r="R1155">
        <v>99.999999000000003</v>
      </c>
    </row>
    <row r="1156" spans="1:18" x14ac:dyDescent="0.2">
      <c r="A1156" t="s">
        <v>270</v>
      </c>
      <c r="B1156" t="s">
        <v>3586</v>
      </c>
      <c r="C1156">
        <v>1</v>
      </c>
      <c r="D1156" s="1">
        <v>44378.774467592593</v>
      </c>
      <c r="E1156" t="s">
        <v>3600</v>
      </c>
      <c r="F1156" t="s">
        <v>273</v>
      </c>
      <c r="G1156" t="s">
        <v>3588</v>
      </c>
      <c r="H1156" t="s">
        <v>275</v>
      </c>
      <c r="I1156" t="s">
        <v>29</v>
      </c>
      <c r="J1156">
        <v>1</v>
      </c>
      <c r="K1156">
        <f>1-888-308-5118</f>
        <v>-6313</v>
      </c>
      <c r="L1156" t="s">
        <v>3601</v>
      </c>
      <c r="M1156" t="s">
        <v>3602</v>
      </c>
      <c r="N1156" t="s">
        <v>278</v>
      </c>
      <c r="O1156" t="s">
        <v>28</v>
      </c>
      <c r="P1156" t="s">
        <v>782</v>
      </c>
      <c r="Q1156">
        <v>-35</v>
      </c>
      <c r="R1156">
        <v>99.999999000000003</v>
      </c>
    </row>
    <row r="1157" spans="1:18" x14ac:dyDescent="0.2">
      <c r="A1157" t="s">
        <v>270</v>
      </c>
      <c r="B1157" t="s">
        <v>3586</v>
      </c>
      <c r="C1157">
        <v>1</v>
      </c>
      <c r="D1157" s="1">
        <v>44377.789363425924</v>
      </c>
      <c r="E1157" t="s">
        <v>3603</v>
      </c>
      <c r="F1157" t="s">
        <v>273</v>
      </c>
      <c r="G1157" t="s">
        <v>3588</v>
      </c>
      <c r="H1157" t="s">
        <v>275</v>
      </c>
      <c r="I1157" t="s">
        <v>29</v>
      </c>
      <c r="J1157">
        <v>1</v>
      </c>
      <c r="K1157">
        <f>1-866-293-6997</f>
        <v>-8155</v>
      </c>
      <c r="L1157" t="s">
        <v>3604</v>
      </c>
      <c r="M1157" t="s">
        <v>3605</v>
      </c>
      <c r="N1157" t="s">
        <v>278</v>
      </c>
      <c r="O1157" t="s">
        <v>28</v>
      </c>
      <c r="P1157" t="s">
        <v>782</v>
      </c>
      <c r="Q1157">
        <v>-35</v>
      </c>
      <c r="R1157">
        <v>99.999999000000003</v>
      </c>
    </row>
    <row r="1158" spans="1:18" x14ac:dyDescent="0.2">
      <c r="A1158" t="s">
        <v>270</v>
      </c>
      <c r="B1158" t="s">
        <v>3586</v>
      </c>
      <c r="C1158">
        <v>1</v>
      </c>
      <c r="D1158" s="1">
        <v>44372.847361111111</v>
      </c>
      <c r="E1158" t="s">
        <v>3606</v>
      </c>
      <c r="F1158" t="s">
        <v>273</v>
      </c>
      <c r="G1158" t="s">
        <v>3588</v>
      </c>
      <c r="H1158" t="s">
        <v>275</v>
      </c>
      <c r="I1158" t="s">
        <v>29</v>
      </c>
      <c r="J1158">
        <v>1</v>
      </c>
      <c r="K1158">
        <f>1-844-389-1642</f>
        <v>-2874</v>
      </c>
      <c r="L1158" t="s">
        <v>3607</v>
      </c>
      <c r="M1158" t="s">
        <v>3608</v>
      </c>
      <c r="N1158" t="s">
        <v>278</v>
      </c>
      <c r="O1158" t="s">
        <v>28</v>
      </c>
      <c r="P1158" t="s">
        <v>782</v>
      </c>
      <c r="Q1158">
        <v>-35</v>
      </c>
      <c r="R1158">
        <v>99.999999000000003</v>
      </c>
    </row>
    <row r="1159" spans="1:18" x14ac:dyDescent="0.2">
      <c r="A1159" t="s">
        <v>270</v>
      </c>
      <c r="B1159" t="s">
        <v>3586</v>
      </c>
      <c r="C1159">
        <v>1</v>
      </c>
      <c r="D1159" s="1">
        <v>44372.821076388886</v>
      </c>
      <c r="E1159" t="s">
        <v>3609</v>
      </c>
      <c r="F1159" t="s">
        <v>273</v>
      </c>
      <c r="G1159" t="s">
        <v>3588</v>
      </c>
      <c r="H1159" t="s">
        <v>275</v>
      </c>
      <c r="I1159" t="s">
        <v>29</v>
      </c>
      <c r="J1159">
        <v>1</v>
      </c>
      <c r="K1159">
        <f>1-844-386-4891</f>
        <v>-6120</v>
      </c>
      <c r="L1159" t="s">
        <v>3610</v>
      </c>
      <c r="M1159" t="s">
        <v>3611</v>
      </c>
      <c r="N1159" t="s">
        <v>278</v>
      </c>
      <c r="O1159" t="s">
        <v>134</v>
      </c>
      <c r="P1159" t="s">
        <v>782</v>
      </c>
      <c r="Q1159">
        <v>-35</v>
      </c>
      <c r="R1159">
        <v>99.999999000000003</v>
      </c>
    </row>
    <row r="1160" spans="1:18" x14ac:dyDescent="0.2">
      <c r="A1160" t="s">
        <v>270</v>
      </c>
      <c r="B1160" t="s">
        <v>3586</v>
      </c>
      <c r="C1160">
        <v>1</v>
      </c>
      <c r="D1160" s="1">
        <v>44369.812071759261</v>
      </c>
      <c r="E1160" t="s">
        <v>3612</v>
      </c>
      <c r="F1160" t="s">
        <v>273</v>
      </c>
      <c r="G1160" t="s">
        <v>3588</v>
      </c>
      <c r="H1160" t="s">
        <v>275</v>
      </c>
      <c r="I1160" t="s">
        <v>29</v>
      </c>
      <c r="J1160">
        <v>1</v>
      </c>
      <c r="K1160">
        <f>1-866-309-6641</f>
        <v>-7815</v>
      </c>
      <c r="L1160" t="s">
        <v>3613</v>
      </c>
      <c r="M1160" t="s">
        <v>3614</v>
      </c>
      <c r="N1160" t="s">
        <v>278</v>
      </c>
      <c r="O1160" t="s">
        <v>28</v>
      </c>
      <c r="P1160" t="s">
        <v>782</v>
      </c>
      <c r="Q1160">
        <v>-35</v>
      </c>
      <c r="R1160">
        <v>99.999999000000003</v>
      </c>
    </row>
    <row r="1161" spans="1:18" x14ac:dyDescent="0.2">
      <c r="A1161" t="s">
        <v>270</v>
      </c>
      <c r="B1161" t="s">
        <v>3586</v>
      </c>
      <c r="C1161">
        <v>1</v>
      </c>
      <c r="D1161" s="1">
        <v>44369.785011574073</v>
      </c>
      <c r="E1161" t="s">
        <v>3615</v>
      </c>
      <c r="F1161" t="s">
        <v>273</v>
      </c>
      <c r="G1161" t="s">
        <v>3588</v>
      </c>
      <c r="H1161" t="s">
        <v>275</v>
      </c>
      <c r="I1161" t="s">
        <v>29</v>
      </c>
      <c r="J1161">
        <v>1</v>
      </c>
      <c r="K1161">
        <f>1-866-308-8138</f>
        <v>-9311</v>
      </c>
      <c r="L1161" t="s">
        <v>3616</v>
      </c>
      <c r="M1161" t="s">
        <v>3617</v>
      </c>
      <c r="N1161" t="s">
        <v>278</v>
      </c>
      <c r="O1161" t="s">
        <v>28</v>
      </c>
      <c r="P1161" t="s">
        <v>782</v>
      </c>
      <c r="Q1161">
        <v>-35</v>
      </c>
      <c r="R1161">
        <v>99.999999000000003</v>
      </c>
    </row>
    <row r="1162" spans="1:18" x14ac:dyDescent="0.2">
      <c r="A1162" t="s">
        <v>270</v>
      </c>
      <c r="B1162" t="s">
        <v>3586</v>
      </c>
      <c r="C1162">
        <v>1</v>
      </c>
      <c r="D1162" s="1">
        <v>44369.763240740744</v>
      </c>
      <c r="E1162" t="s">
        <v>3618</v>
      </c>
      <c r="F1162" t="s">
        <v>273</v>
      </c>
      <c r="G1162" t="s">
        <v>3588</v>
      </c>
      <c r="H1162" t="s">
        <v>275</v>
      </c>
      <c r="I1162" t="s">
        <v>29</v>
      </c>
      <c r="J1162">
        <v>1</v>
      </c>
      <c r="K1162">
        <f>1-866-300-9782</f>
        <v>-10947</v>
      </c>
      <c r="L1162" t="s">
        <v>3619</v>
      </c>
      <c r="M1162" t="s">
        <v>3620</v>
      </c>
      <c r="N1162" t="s">
        <v>278</v>
      </c>
      <c r="O1162" t="s">
        <v>28</v>
      </c>
      <c r="P1162" t="s">
        <v>782</v>
      </c>
      <c r="Q1162">
        <v>-35</v>
      </c>
      <c r="R1162">
        <v>99.999999000000003</v>
      </c>
    </row>
    <row r="1163" spans="1:18" x14ac:dyDescent="0.2">
      <c r="A1163" t="s">
        <v>270</v>
      </c>
      <c r="B1163" t="s">
        <v>3586</v>
      </c>
      <c r="C1163">
        <v>1</v>
      </c>
      <c r="D1163" s="1">
        <v>44369.761805555558</v>
      </c>
      <c r="E1163" t="s">
        <v>3621</v>
      </c>
      <c r="F1163" t="s">
        <v>273</v>
      </c>
      <c r="G1163" t="s">
        <v>3588</v>
      </c>
      <c r="H1163" t="s">
        <v>275</v>
      </c>
      <c r="I1163" t="s">
        <v>29</v>
      </c>
      <c r="J1163">
        <v>1</v>
      </c>
      <c r="K1163">
        <f>1-866-300-9782</f>
        <v>-10947</v>
      </c>
      <c r="L1163" t="s">
        <v>3622</v>
      </c>
      <c r="M1163" t="s">
        <v>3623</v>
      </c>
      <c r="N1163" t="s">
        <v>278</v>
      </c>
      <c r="O1163" t="s">
        <v>28</v>
      </c>
      <c r="P1163" t="s">
        <v>782</v>
      </c>
      <c r="Q1163">
        <v>-35</v>
      </c>
      <c r="R1163">
        <v>99.999999000000003</v>
      </c>
    </row>
    <row r="1164" spans="1:18" x14ac:dyDescent="0.2">
      <c r="A1164" t="s">
        <v>270</v>
      </c>
      <c r="B1164" t="s">
        <v>3586</v>
      </c>
      <c r="C1164">
        <v>1</v>
      </c>
      <c r="D1164" s="1">
        <v>44368.835034722222</v>
      </c>
      <c r="E1164" t="s">
        <v>3624</v>
      </c>
      <c r="F1164" t="s">
        <v>273</v>
      </c>
      <c r="G1164" t="s">
        <v>3588</v>
      </c>
      <c r="H1164" t="s">
        <v>275</v>
      </c>
      <c r="I1164" t="s">
        <v>29</v>
      </c>
      <c r="J1164">
        <v>1</v>
      </c>
      <c r="K1164">
        <f>1-866-323-8007</f>
        <v>-9195</v>
      </c>
      <c r="L1164" t="s">
        <v>3625</v>
      </c>
      <c r="M1164" t="s">
        <v>3626</v>
      </c>
      <c r="N1164" t="s">
        <v>278</v>
      </c>
      <c r="O1164" t="s">
        <v>28</v>
      </c>
      <c r="P1164" t="s">
        <v>782</v>
      </c>
      <c r="Q1164">
        <v>-35</v>
      </c>
      <c r="R1164">
        <v>99.999999000000003</v>
      </c>
    </row>
    <row r="1165" spans="1:18" x14ac:dyDescent="0.2">
      <c r="A1165" t="s">
        <v>270</v>
      </c>
      <c r="B1165" t="s">
        <v>3586</v>
      </c>
      <c r="C1165">
        <v>1</v>
      </c>
      <c r="D1165" s="1">
        <v>44365.851898148147</v>
      </c>
      <c r="E1165" t="s">
        <v>3627</v>
      </c>
      <c r="F1165" t="s">
        <v>273</v>
      </c>
      <c r="G1165" t="s">
        <v>3588</v>
      </c>
      <c r="H1165" t="s">
        <v>275</v>
      </c>
      <c r="I1165" t="s">
        <v>29</v>
      </c>
      <c r="J1165">
        <v>1</v>
      </c>
      <c r="K1165">
        <f>1-866-340-4366</f>
        <v>-5571</v>
      </c>
      <c r="L1165" t="s">
        <v>3628</v>
      </c>
      <c r="M1165" t="s">
        <v>3629</v>
      </c>
      <c r="N1165" t="s">
        <v>278</v>
      </c>
      <c r="O1165" t="s">
        <v>28</v>
      </c>
      <c r="P1165" t="s">
        <v>782</v>
      </c>
      <c r="Q1165">
        <v>-35</v>
      </c>
      <c r="R1165">
        <v>99.999999000000003</v>
      </c>
    </row>
    <row r="1166" spans="1:18" x14ac:dyDescent="0.2">
      <c r="A1166" t="s">
        <v>270</v>
      </c>
      <c r="B1166" t="s">
        <v>3586</v>
      </c>
      <c r="C1166">
        <v>1</v>
      </c>
      <c r="D1166" s="1">
        <v>44365.790023148147</v>
      </c>
      <c r="E1166" t="s">
        <v>3630</v>
      </c>
      <c r="F1166" t="s">
        <v>273</v>
      </c>
      <c r="G1166" t="s">
        <v>3588</v>
      </c>
      <c r="H1166" t="s">
        <v>275</v>
      </c>
      <c r="I1166" t="s">
        <v>29</v>
      </c>
      <c r="J1166">
        <v>1</v>
      </c>
      <c r="K1166">
        <f>1-866-341-9208</f>
        <v>-10414</v>
      </c>
      <c r="L1166" t="s">
        <v>3631</v>
      </c>
      <c r="M1166" t="s">
        <v>3632</v>
      </c>
      <c r="N1166" t="s">
        <v>278</v>
      </c>
      <c r="O1166" t="s">
        <v>28</v>
      </c>
      <c r="P1166" t="s">
        <v>782</v>
      </c>
      <c r="Q1166">
        <v>-35</v>
      </c>
      <c r="R1166">
        <v>99.999999000000003</v>
      </c>
    </row>
    <row r="1167" spans="1:18" x14ac:dyDescent="0.2">
      <c r="A1167" t="s">
        <v>270</v>
      </c>
      <c r="B1167" t="s">
        <v>3586</v>
      </c>
      <c r="C1167">
        <v>1</v>
      </c>
      <c r="D1167" s="1">
        <v>44364.777442129627</v>
      </c>
      <c r="E1167" t="s">
        <v>3633</v>
      </c>
      <c r="F1167" t="s">
        <v>273</v>
      </c>
      <c r="G1167" t="s">
        <v>3588</v>
      </c>
      <c r="H1167" t="s">
        <v>275</v>
      </c>
      <c r="I1167" t="s">
        <v>29</v>
      </c>
      <c r="J1167">
        <v>1</v>
      </c>
      <c r="K1167">
        <f>1-866-373-8472</f>
        <v>-9710</v>
      </c>
      <c r="L1167" t="s">
        <v>3634</v>
      </c>
      <c r="M1167" t="s">
        <v>3635</v>
      </c>
      <c r="N1167" t="s">
        <v>278</v>
      </c>
      <c r="O1167" t="s">
        <v>28</v>
      </c>
      <c r="P1167" t="s">
        <v>782</v>
      </c>
      <c r="Q1167">
        <v>-35</v>
      </c>
      <c r="R1167">
        <v>99.999999000000003</v>
      </c>
    </row>
    <row r="1168" spans="1:18" x14ac:dyDescent="0.2">
      <c r="A1168" t="s">
        <v>270</v>
      </c>
      <c r="B1168" t="s">
        <v>3586</v>
      </c>
      <c r="C1168">
        <v>1</v>
      </c>
      <c r="D1168" s="1">
        <v>44309.756377314814</v>
      </c>
      <c r="E1168" t="s">
        <v>3636</v>
      </c>
      <c r="F1168" t="s">
        <v>273</v>
      </c>
      <c r="G1168" t="s">
        <v>3588</v>
      </c>
      <c r="H1168" t="s">
        <v>275</v>
      </c>
      <c r="I1168" t="s">
        <v>29</v>
      </c>
      <c r="J1168">
        <v>1</v>
      </c>
      <c r="K1168">
        <f>1-844-858-2183</f>
        <v>-3884</v>
      </c>
      <c r="L1168" t="s">
        <v>3637</v>
      </c>
      <c r="M1168" t="s">
        <v>3638</v>
      </c>
      <c r="N1168" t="s">
        <v>278</v>
      </c>
      <c r="O1168" t="s">
        <v>28</v>
      </c>
      <c r="P1168" t="s">
        <v>782</v>
      </c>
      <c r="Q1168">
        <v>-35</v>
      </c>
      <c r="R1168">
        <v>99.999999000000003</v>
      </c>
    </row>
    <row r="1169" spans="1:18" x14ac:dyDescent="0.2">
      <c r="A1169" t="s">
        <v>270</v>
      </c>
      <c r="B1169" t="s">
        <v>3586</v>
      </c>
      <c r="C1169">
        <v>1</v>
      </c>
      <c r="D1169" s="1">
        <v>44301.829687500001</v>
      </c>
      <c r="E1169" t="s">
        <v>3639</v>
      </c>
      <c r="F1169" t="s">
        <v>273</v>
      </c>
      <c r="G1169" t="s">
        <v>3588</v>
      </c>
      <c r="H1169" t="s">
        <v>275</v>
      </c>
      <c r="I1169" t="s">
        <v>29</v>
      </c>
      <c r="J1169">
        <v>1</v>
      </c>
      <c r="K1169">
        <f>1-888-278-463</f>
        <v>-1628</v>
      </c>
      <c r="L1169" t="s">
        <v>3640</v>
      </c>
      <c r="M1169" t="s">
        <v>3641</v>
      </c>
      <c r="N1169" t="s">
        <v>278</v>
      </c>
      <c r="O1169" t="s">
        <v>28</v>
      </c>
      <c r="P1169" t="s">
        <v>782</v>
      </c>
      <c r="Q1169">
        <v>-35</v>
      </c>
      <c r="R1169">
        <v>99.999999000000003</v>
      </c>
    </row>
    <row r="1170" spans="1:18" x14ac:dyDescent="0.2">
      <c r="A1170" t="s">
        <v>270</v>
      </c>
      <c r="B1170" t="s">
        <v>3586</v>
      </c>
      <c r="C1170">
        <v>1</v>
      </c>
      <c r="D1170" s="1">
        <v>44299.886678240742</v>
      </c>
      <c r="E1170" t="s">
        <v>3642</v>
      </c>
      <c r="F1170" t="s">
        <v>273</v>
      </c>
      <c r="G1170" t="s">
        <v>3588</v>
      </c>
      <c r="H1170" t="s">
        <v>275</v>
      </c>
      <c r="I1170" t="s">
        <v>29</v>
      </c>
      <c r="J1170">
        <v>1</v>
      </c>
      <c r="K1170">
        <f>1-888-308-1185</f>
        <v>-2380</v>
      </c>
      <c r="L1170" t="s">
        <v>3643</v>
      </c>
      <c r="M1170" t="s">
        <v>3644</v>
      </c>
      <c r="N1170" t="s">
        <v>278</v>
      </c>
      <c r="O1170" t="s">
        <v>28</v>
      </c>
      <c r="P1170" t="s">
        <v>782</v>
      </c>
      <c r="Q1170">
        <v>-35</v>
      </c>
      <c r="R1170">
        <v>99.999999000000003</v>
      </c>
    </row>
    <row r="1171" spans="1:18" x14ac:dyDescent="0.2">
      <c r="A1171" t="s">
        <v>270</v>
      </c>
      <c r="B1171" t="s">
        <v>3586</v>
      </c>
      <c r="C1171">
        <v>1</v>
      </c>
      <c r="D1171" s="1">
        <v>44280.806435185186</v>
      </c>
      <c r="E1171" t="s">
        <v>3645</v>
      </c>
      <c r="F1171" t="s">
        <v>273</v>
      </c>
      <c r="G1171" t="s">
        <v>3588</v>
      </c>
      <c r="H1171" t="s">
        <v>275</v>
      </c>
      <c r="I1171" t="s">
        <v>29</v>
      </c>
      <c r="J1171">
        <v>1</v>
      </c>
      <c r="K1171">
        <f>1-844-364-1587</f>
        <v>-2794</v>
      </c>
      <c r="L1171" t="s">
        <v>3646</v>
      </c>
      <c r="M1171" t="s">
        <v>3647</v>
      </c>
      <c r="N1171" t="s">
        <v>278</v>
      </c>
      <c r="O1171" t="s">
        <v>28</v>
      </c>
      <c r="P1171" t="s">
        <v>782</v>
      </c>
      <c r="Q1171">
        <v>-35</v>
      </c>
      <c r="R1171">
        <v>99.999999000000003</v>
      </c>
    </row>
    <row r="1172" spans="1:18" x14ac:dyDescent="0.2">
      <c r="A1172" t="s">
        <v>270</v>
      </c>
      <c r="B1172" t="s">
        <v>3586</v>
      </c>
      <c r="C1172">
        <v>1</v>
      </c>
      <c r="D1172" s="1">
        <v>44280.752662037034</v>
      </c>
      <c r="E1172" t="s">
        <v>3648</v>
      </c>
      <c r="F1172" t="s">
        <v>273</v>
      </c>
      <c r="G1172" t="s">
        <v>3588</v>
      </c>
      <c r="H1172" t="s">
        <v>275</v>
      </c>
      <c r="I1172" t="s">
        <v>29</v>
      </c>
      <c r="J1172">
        <v>1</v>
      </c>
      <c r="K1172">
        <f>1-844-384-9292</f>
        <v>-10519</v>
      </c>
      <c r="L1172" t="s">
        <v>3649</v>
      </c>
      <c r="M1172" t="s">
        <v>3650</v>
      </c>
      <c r="N1172" t="s">
        <v>278</v>
      </c>
      <c r="O1172" t="s">
        <v>28</v>
      </c>
      <c r="P1172" t="s">
        <v>782</v>
      </c>
      <c r="Q1172">
        <v>-35</v>
      </c>
      <c r="R1172">
        <v>99.999999000000003</v>
      </c>
    </row>
    <row r="1173" spans="1:18" x14ac:dyDescent="0.2">
      <c r="A1173" t="s">
        <v>270</v>
      </c>
      <c r="B1173" t="s">
        <v>3586</v>
      </c>
      <c r="C1173">
        <v>1</v>
      </c>
      <c r="D1173" s="1">
        <v>44279.825983796298</v>
      </c>
      <c r="E1173" t="s">
        <v>3651</v>
      </c>
      <c r="F1173" t="s">
        <v>273</v>
      </c>
      <c r="G1173" t="s">
        <v>3588</v>
      </c>
      <c r="H1173" t="s">
        <v>275</v>
      </c>
      <c r="I1173" t="s">
        <v>29</v>
      </c>
      <c r="J1173">
        <v>1</v>
      </c>
      <c r="K1173">
        <f>1-844-394-4714</f>
        <v>-5951</v>
      </c>
      <c r="L1173" t="s">
        <v>3652</v>
      </c>
      <c r="M1173" t="s">
        <v>3653</v>
      </c>
      <c r="N1173" t="s">
        <v>278</v>
      </c>
      <c r="O1173" t="s">
        <v>28</v>
      </c>
      <c r="P1173" t="s">
        <v>782</v>
      </c>
      <c r="Q1173">
        <v>-35</v>
      </c>
      <c r="R1173">
        <v>99.999999000000003</v>
      </c>
    </row>
    <row r="1174" spans="1:18" x14ac:dyDescent="0.2">
      <c r="A1174" t="s">
        <v>270</v>
      </c>
      <c r="B1174" t="s">
        <v>3586</v>
      </c>
      <c r="C1174">
        <v>1</v>
      </c>
      <c r="D1174" s="1">
        <v>44279.735856481479</v>
      </c>
      <c r="E1174" t="s">
        <v>3654</v>
      </c>
      <c r="F1174" t="s">
        <v>273</v>
      </c>
      <c r="G1174" t="s">
        <v>3588</v>
      </c>
      <c r="H1174" t="s">
        <v>275</v>
      </c>
      <c r="I1174" t="s">
        <v>29</v>
      </c>
      <c r="J1174">
        <v>1</v>
      </c>
      <c r="K1174">
        <f>1-844-400-5002</f>
        <v>-6245</v>
      </c>
      <c r="L1174" t="s">
        <v>3655</v>
      </c>
      <c r="M1174" t="s">
        <v>3656</v>
      </c>
      <c r="N1174" t="s">
        <v>278</v>
      </c>
      <c r="O1174" t="s">
        <v>28</v>
      </c>
      <c r="P1174" t="s">
        <v>782</v>
      </c>
      <c r="Q1174">
        <v>-35</v>
      </c>
      <c r="R1174">
        <v>99.999999000000003</v>
      </c>
    </row>
    <row r="1175" spans="1:18" x14ac:dyDescent="0.2">
      <c r="A1175" t="s">
        <v>270</v>
      </c>
      <c r="B1175" t="s">
        <v>3586</v>
      </c>
      <c r="C1175">
        <v>1</v>
      </c>
      <c r="D1175" s="1">
        <v>44277.757384259261</v>
      </c>
      <c r="E1175" t="s">
        <v>3657</v>
      </c>
      <c r="F1175" t="s">
        <v>273</v>
      </c>
      <c r="G1175" t="s">
        <v>3588</v>
      </c>
      <c r="H1175" t="s">
        <v>275</v>
      </c>
      <c r="I1175" t="s">
        <v>29</v>
      </c>
      <c r="J1175">
        <v>1</v>
      </c>
      <c r="K1175">
        <f>1-844-362-6838</f>
        <v>-8043</v>
      </c>
      <c r="L1175" t="s">
        <v>3658</v>
      </c>
      <c r="M1175" t="s">
        <v>3659</v>
      </c>
      <c r="N1175" t="s">
        <v>278</v>
      </c>
      <c r="O1175" t="s">
        <v>28</v>
      </c>
      <c r="P1175" t="s">
        <v>782</v>
      </c>
      <c r="Q1175">
        <v>-35</v>
      </c>
      <c r="R1175">
        <v>99.999999000000003</v>
      </c>
    </row>
    <row r="1176" spans="1:18" x14ac:dyDescent="0.2">
      <c r="A1176" t="s">
        <v>270</v>
      </c>
      <c r="B1176" t="s">
        <v>3586</v>
      </c>
      <c r="C1176">
        <v>1</v>
      </c>
      <c r="D1176" s="1">
        <v>44258.803298611114</v>
      </c>
      <c r="E1176" t="s">
        <v>3660</v>
      </c>
      <c r="F1176" t="s">
        <v>273</v>
      </c>
      <c r="G1176" t="s">
        <v>3588</v>
      </c>
      <c r="H1176" t="s">
        <v>275</v>
      </c>
      <c r="I1176" t="s">
        <v>29</v>
      </c>
      <c r="J1176">
        <v>1</v>
      </c>
      <c r="K1176">
        <f>1-844-262-675</f>
        <v>-1780</v>
      </c>
      <c r="L1176" t="s">
        <v>3661</v>
      </c>
      <c r="M1176" t="s">
        <v>3662</v>
      </c>
      <c r="N1176" t="s">
        <v>278</v>
      </c>
      <c r="O1176" t="s">
        <v>28</v>
      </c>
      <c r="P1176" t="s">
        <v>782</v>
      </c>
      <c r="Q1176">
        <v>-35</v>
      </c>
      <c r="R1176">
        <v>99.999999000000003</v>
      </c>
    </row>
    <row r="1177" spans="1:18" x14ac:dyDescent="0.2">
      <c r="A1177" t="s">
        <v>270</v>
      </c>
      <c r="B1177" t="s">
        <v>3586</v>
      </c>
      <c r="C1177">
        <v>1</v>
      </c>
      <c r="D1177" s="1">
        <v>44232.892395833333</v>
      </c>
      <c r="E1177" t="s">
        <v>3663</v>
      </c>
      <c r="F1177" t="s">
        <v>273</v>
      </c>
      <c r="G1177" t="s">
        <v>3588</v>
      </c>
      <c r="H1177" t="s">
        <v>275</v>
      </c>
      <c r="I1177" t="s">
        <v>29</v>
      </c>
      <c r="J1177">
        <v>1</v>
      </c>
      <c r="K1177">
        <f>1-888-521-851</f>
        <v>-2259</v>
      </c>
      <c r="L1177" t="s">
        <v>3664</v>
      </c>
      <c r="M1177" t="s">
        <v>3665</v>
      </c>
      <c r="N1177" t="s">
        <v>278</v>
      </c>
      <c r="O1177" t="s">
        <v>28</v>
      </c>
      <c r="P1177" t="s">
        <v>782</v>
      </c>
      <c r="Q1177">
        <v>-35</v>
      </c>
      <c r="R1177">
        <v>99.999999000000003</v>
      </c>
    </row>
    <row r="1178" spans="1:18" x14ac:dyDescent="0.2">
      <c r="A1178" t="s">
        <v>270</v>
      </c>
      <c r="B1178" t="s">
        <v>3586</v>
      </c>
      <c r="C1178">
        <v>1</v>
      </c>
      <c r="D1178" s="1">
        <v>44215.76321759259</v>
      </c>
      <c r="E1178" t="s">
        <v>3666</v>
      </c>
      <c r="F1178" t="s">
        <v>273</v>
      </c>
      <c r="G1178" t="s">
        <v>3588</v>
      </c>
      <c r="H1178" t="s">
        <v>275</v>
      </c>
      <c r="I1178" t="s">
        <v>29</v>
      </c>
      <c r="J1178">
        <v>1</v>
      </c>
      <c r="K1178">
        <f>1-888-334-1320</f>
        <v>-2541</v>
      </c>
      <c r="L1178">
        <v>6007148254721</v>
      </c>
      <c r="M1178" t="s">
        <v>3667</v>
      </c>
      <c r="N1178" t="s">
        <v>278</v>
      </c>
      <c r="O1178" t="s">
        <v>28</v>
      </c>
      <c r="P1178" t="s">
        <v>782</v>
      </c>
      <c r="Q1178">
        <v>-35</v>
      </c>
      <c r="R1178">
        <v>99.999999000000003</v>
      </c>
    </row>
    <row r="1179" spans="1:18" x14ac:dyDescent="0.2">
      <c r="A1179" t="s">
        <v>270</v>
      </c>
      <c r="B1179" t="s">
        <v>3586</v>
      </c>
      <c r="C1179">
        <v>1</v>
      </c>
      <c r="D1179" s="1">
        <v>44209.887048611112</v>
      </c>
      <c r="E1179" t="s">
        <v>3668</v>
      </c>
      <c r="F1179" t="s">
        <v>273</v>
      </c>
      <c r="G1179" t="s">
        <v>3588</v>
      </c>
      <c r="H1179" t="s">
        <v>275</v>
      </c>
      <c r="I1179" t="s">
        <v>29</v>
      </c>
      <c r="J1179">
        <v>1</v>
      </c>
      <c r="K1179">
        <f>1-888-308-5182</f>
        <v>-6377</v>
      </c>
      <c r="L1179" t="s">
        <v>3669</v>
      </c>
      <c r="M1179" t="s">
        <v>3670</v>
      </c>
      <c r="N1179" t="s">
        <v>278</v>
      </c>
      <c r="O1179" t="s">
        <v>28</v>
      </c>
      <c r="P1179" t="s">
        <v>782</v>
      </c>
      <c r="Q1179">
        <v>-35</v>
      </c>
      <c r="R1179">
        <v>99.999999000000003</v>
      </c>
    </row>
    <row r="1180" spans="1:18" x14ac:dyDescent="0.2">
      <c r="A1180" t="s">
        <v>270</v>
      </c>
      <c r="B1180" t="s">
        <v>3586</v>
      </c>
      <c r="C1180">
        <v>1</v>
      </c>
      <c r="D1180" s="1">
        <v>44209.802361111113</v>
      </c>
      <c r="E1180" t="s">
        <v>3671</v>
      </c>
      <c r="F1180" t="s">
        <v>273</v>
      </c>
      <c r="G1180" t="s">
        <v>3588</v>
      </c>
      <c r="H1180" t="s">
        <v>275</v>
      </c>
      <c r="I1180" t="s">
        <v>29</v>
      </c>
      <c r="J1180">
        <v>1</v>
      </c>
      <c r="K1180">
        <f>1-888-339-8643</f>
        <v>-9869</v>
      </c>
      <c r="L1180" t="s">
        <v>3672</v>
      </c>
      <c r="M1180" t="s">
        <v>3673</v>
      </c>
      <c r="N1180" t="s">
        <v>278</v>
      </c>
      <c r="O1180" t="s">
        <v>28</v>
      </c>
      <c r="P1180" t="s">
        <v>782</v>
      </c>
      <c r="Q1180">
        <v>-35</v>
      </c>
      <c r="R1180">
        <v>99.999999000000003</v>
      </c>
    </row>
    <row r="1181" spans="1:18" x14ac:dyDescent="0.2">
      <c r="A1181" t="s">
        <v>270</v>
      </c>
      <c r="B1181" t="s">
        <v>3586</v>
      </c>
      <c r="C1181">
        <v>1</v>
      </c>
      <c r="D1181" s="1">
        <v>44208.901284722226</v>
      </c>
      <c r="E1181" t="s">
        <v>3674</v>
      </c>
      <c r="F1181" t="s">
        <v>273</v>
      </c>
      <c r="G1181" t="s">
        <v>3588</v>
      </c>
      <c r="H1181" t="s">
        <v>275</v>
      </c>
      <c r="I1181" t="s">
        <v>29</v>
      </c>
      <c r="J1181">
        <v>1</v>
      </c>
      <c r="K1181">
        <f>1-888-327-6493</f>
        <v>-7707</v>
      </c>
      <c r="L1181" t="s">
        <v>3675</v>
      </c>
      <c r="M1181" t="s">
        <v>3676</v>
      </c>
      <c r="N1181" t="s">
        <v>278</v>
      </c>
      <c r="O1181" t="s">
        <v>28</v>
      </c>
      <c r="P1181" t="s">
        <v>782</v>
      </c>
      <c r="Q1181">
        <v>-35</v>
      </c>
      <c r="R1181">
        <v>99.999999000000003</v>
      </c>
    </row>
    <row r="1182" spans="1:18" x14ac:dyDescent="0.2">
      <c r="A1182" t="s">
        <v>270</v>
      </c>
      <c r="B1182" t="s">
        <v>3586</v>
      </c>
      <c r="C1182">
        <v>1</v>
      </c>
      <c r="D1182" s="1">
        <v>44207.801712962966</v>
      </c>
      <c r="E1182" t="s">
        <v>3677</v>
      </c>
      <c r="F1182" t="s">
        <v>273</v>
      </c>
      <c r="G1182" t="s">
        <v>3588</v>
      </c>
      <c r="H1182" t="s">
        <v>275</v>
      </c>
      <c r="I1182" t="s">
        <v>29</v>
      </c>
      <c r="J1182">
        <v>1</v>
      </c>
      <c r="K1182">
        <f>1-888-307-3103</f>
        <v>-4297</v>
      </c>
      <c r="L1182" t="s">
        <v>3678</v>
      </c>
      <c r="M1182" t="s">
        <v>3679</v>
      </c>
      <c r="N1182" t="s">
        <v>278</v>
      </c>
      <c r="O1182" t="s">
        <v>28</v>
      </c>
      <c r="P1182" t="s">
        <v>782</v>
      </c>
      <c r="Q1182">
        <v>-35</v>
      </c>
      <c r="R1182">
        <v>99.999999000000003</v>
      </c>
    </row>
    <row r="1183" spans="1:18" x14ac:dyDescent="0.2">
      <c r="A1183" t="s">
        <v>270</v>
      </c>
      <c r="B1183" t="s">
        <v>3586</v>
      </c>
      <c r="C1183">
        <v>1</v>
      </c>
      <c r="D1183" s="1">
        <v>44204.911226851851</v>
      </c>
      <c r="E1183" t="s">
        <v>3680</v>
      </c>
      <c r="F1183" t="s">
        <v>273</v>
      </c>
      <c r="G1183" t="s">
        <v>3588</v>
      </c>
      <c r="H1183" t="s">
        <v>275</v>
      </c>
      <c r="I1183" t="s">
        <v>29</v>
      </c>
      <c r="J1183">
        <v>1</v>
      </c>
      <c r="K1183">
        <f>1-888-598-3711</f>
        <v>-5196</v>
      </c>
      <c r="L1183" t="s">
        <v>3681</v>
      </c>
      <c r="M1183" t="s">
        <v>3682</v>
      </c>
      <c r="N1183" t="s">
        <v>278</v>
      </c>
      <c r="O1183" t="s">
        <v>28</v>
      </c>
      <c r="P1183" t="s">
        <v>782</v>
      </c>
      <c r="Q1183">
        <v>-35</v>
      </c>
      <c r="R1183">
        <v>99.999999000000003</v>
      </c>
    </row>
    <row r="1184" spans="1:18" x14ac:dyDescent="0.2">
      <c r="A1184" t="s">
        <v>270</v>
      </c>
      <c r="B1184" t="s">
        <v>3586</v>
      </c>
      <c r="C1184">
        <v>1</v>
      </c>
      <c r="D1184" s="1">
        <v>44204.883506944447</v>
      </c>
      <c r="E1184" t="s">
        <v>3683</v>
      </c>
      <c r="F1184" t="s">
        <v>273</v>
      </c>
      <c r="G1184" t="s">
        <v>3588</v>
      </c>
      <c r="H1184" t="s">
        <v>275</v>
      </c>
      <c r="I1184" t="s">
        <v>29</v>
      </c>
      <c r="J1184">
        <v>1</v>
      </c>
      <c r="K1184">
        <f>1-888-526-2814</f>
        <v>-4227</v>
      </c>
      <c r="L1184" t="s">
        <v>3684</v>
      </c>
      <c r="M1184" t="s">
        <v>3685</v>
      </c>
      <c r="N1184" t="s">
        <v>278</v>
      </c>
      <c r="O1184" t="s">
        <v>28</v>
      </c>
      <c r="P1184" t="s">
        <v>782</v>
      </c>
      <c r="Q1184">
        <v>-35</v>
      </c>
      <c r="R1184">
        <v>99.999999000000003</v>
      </c>
    </row>
    <row r="1185" spans="1:18" x14ac:dyDescent="0.2">
      <c r="A1185" t="s">
        <v>270</v>
      </c>
      <c r="B1185" t="s">
        <v>3586</v>
      </c>
      <c r="C1185">
        <v>1</v>
      </c>
      <c r="D1185" s="1">
        <v>44200.773599537039</v>
      </c>
      <c r="E1185" t="s">
        <v>3686</v>
      </c>
      <c r="F1185" t="s">
        <v>273</v>
      </c>
      <c r="G1185" t="s">
        <v>3588</v>
      </c>
      <c r="H1185" t="s">
        <v>275</v>
      </c>
      <c r="I1185" t="s">
        <v>29</v>
      </c>
      <c r="J1185">
        <v>1</v>
      </c>
      <c r="K1185">
        <f>1-888-279-3938</f>
        <v>-5104</v>
      </c>
      <c r="L1185" t="s">
        <v>3687</v>
      </c>
      <c r="M1185" t="s">
        <v>3688</v>
      </c>
      <c r="N1185" t="s">
        <v>278</v>
      </c>
      <c r="O1185" t="s">
        <v>28</v>
      </c>
      <c r="P1185" t="s">
        <v>782</v>
      </c>
      <c r="Q1185">
        <v>-35</v>
      </c>
      <c r="R1185">
        <v>99.999999000000003</v>
      </c>
    </row>
    <row r="1186" spans="1:18" x14ac:dyDescent="0.2">
      <c r="A1186" t="s">
        <v>270</v>
      </c>
      <c r="B1186" t="s">
        <v>3586</v>
      </c>
      <c r="C1186">
        <v>1</v>
      </c>
      <c r="D1186" s="1">
        <v>44187.881724537037</v>
      </c>
      <c r="E1186" t="s">
        <v>3689</v>
      </c>
      <c r="F1186" t="s">
        <v>273</v>
      </c>
      <c r="G1186" t="s">
        <v>3588</v>
      </c>
      <c r="H1186" t="s">
        <v>275</v>
      </c>
      <c r="I1186" t="s">
        <v>29</v>
      </c>
      <c r="J1186">
        <v>1</v>
      </c>
      <c r="K1186">
        <f>1-888-599-3015</f>
        <v>-4501</v>
      </c>
      <c r="L1186" t="s">
        <v>3690</v>
      </c>
      <c r="M1186" t="s">
        <v>3691</v>
      </c>
      <c r="N1186" t="s">
        <v>278</v>
      </c>
      <c r="O1186" t="s">
        <v>28</v>
      </c>
      <c r="P1186" t="s">
        <v>782</v>
      </c>
      <c r="Q1186">
        <v>-35</v>
      </c>
      <c r="R1186">
        <v>99.999999000000003</v>
      </c>
    </row>
    <row r="1187" spans="1:18" x14ac:dyDescent="0.2">
      <c r="A1187" t="s">
        <v>270</v>
      </c>
      <c r="B1187" t="s">
        <v>3586</v>
      </c>
      <c r="C1187">
        <v>1</v>
      </c>
      <c r="D1187" s="1">
        <v>44179.798113425924</v>
      </c>
      <c r="E1187" t="s">
        <v>3692</v>
      </c>
      <c r="F1187" t="s">
        <v>273</v>
      </c>
      <c r="G1187" t="s">
        <v>3588</v>
      </c>
      <c r="H1187" t="s">
        <v>275</v>
      </c>
      <c r="I1187" t="s">
        <v>29</v>
      </c>
      <c r="J1187">
        <v>1</v>
      </c>
      <c r="K1187">
        <f>1-888-210-6442</f>
        <v>-7539</v>
      </c>
      <c r="L1187" t="s">
        <v>3693</v>
      </c>
      <c r="M1187" t="s">
        <v>3694</v>
      </c>
      <c r="N1187" t="s">
        <v>278</v>
      </c>
      <c r="O1187" t="s">
        <v>134</v>
      </c>
      <c r="P1187" t="s">
        <v>782</v>
      </c>
      <c r="Q1187">
        <v>-35</v>
      </c>
      <c r="R1187">
        <v>99.999999000000003</v>
      </c>
    </row>
    <row r="1188" spans="1:18" x14ac:dyDescent="0.2">
      <c r="A1188" t="s">
        <v>270</v>
      </c>
      <c r="B1188" t="s">
        <v>3586</v>
      </c>
      <c r="C1188">
        <v>1</v>
      </c>
      <c r="D1188" s="1">
        <v>44179.782523148147</v>
      </c>
      <c r="E1188" t="s">
        <v>3695</v>
      </c>
      <c r="F1188" t="s">
        <v>273</v>
      </c>
      <c r="G1188" t="s">
        <v>3588</v>
      </c>
      <c r="H1188" t="s">
        <v>275</v>
      </c>
      <c r="I1188" t="s">
        <v>29</v>
      </c>
      <c r="J1188">
        <v>1</v>
      </c>
      <c r="K1188">
        <f>1-888-210-2707</f>
        <v>-3804</v>
      </c>
      <c r="L1188" t="s">
        <v>3696</v>
      </c>
      <c r="M1188" t="s">
        <v>3697</v>
      </c>
      <c r="N1188" t="s">
        <v>278</v>
      </c>
      <c r="O1188" t="s">
        <v>134</v>
      </c>
      <c r="P1188" t="s">
        <v>782</v>
      </c>
      <c r="Q1188">
        <v>-35</v>
      </c>
      <c r="R1188">
        <v>99.999999000000003</v>
      </c>
    </row>
    <row r="1189" spans="1:18" x14ac:dyDescent="0.2">
      <c r="A1189" t="s">
        <v>270</v>
      </c>
      <c r="B1189" t="s">
        <v>3586</v>
      </c>
      <c r="C1189">
        <v>1</v>
      </c>
      <c r="D1189" s="1">
        <v>44149.137962962966</v>
      </c>
      <c r="E1189" t="s">
        <v>3698</v>
      </c>
      <c r="F1189" t="s">
        <v>273</v>
      </c>
      <c r="G1189" t="s">
        <v>3588</v>
      </c>
      <c r="H1189" t="s">
        <v>275</v>
      </c>
      <c r="I1189" t="s">
        <v>29</v>
      </c>
      <c r="J1189">
        <v>1</v>
      </c>
      <c r="K1189">
        <f>1-844-293-617</f>
        <v>-1753</v>
      </c>
      <c r="L1189" t="s">
        <v>3699</v>
      </c>
      <c r="M1189" t="s">
        <v>3700</v>
      </c>
      <c r="N1189" t="s">
        <v>278</v>
      </c>
      <c r="O1189" t="s">
        <v>134</v>
      </c>
      <c r="P1189" t="s">
        <v>782</v>
      </c>
      <c r="Q1189">
        <v>-35</v>
      </c>
      <c r="R1189">
        <v>99.999999000000003</v>
      </c>
    </row>
    <row r="1190" spans="1:18" x14ac:dyDescent="0.2">
      <c r="A1190" t="s">
        <v>270</v>
      </c>
      <c r="B1190" t="s">
        <v>3586</v>
      </c>
      <c r="C1190">
        <v>1</v>
      </c>
      <c r="D1190" s="1">
        <v>44149.137326388889</v>
      </c>
      <c r="E1190" t="s">
        <v>3701</v>
      </c>
      <c r="F1190" t="s">
        <v>273</v>
      </c>
      <c r="G1190" t="s">
        <v>3588</v>
      </c>
      <c r="H1190" t="s">
        <v>275</v>
      </c>
      <c r="I1190" t="s">
        <v>29</v>
      </c>
      <c r="J1190">
        <v>1</v>
      </c>
      <c r="K1190">
        <f>1-844-293-617</f>
        <v>-1753</v>
      </c>
      <c r="L1190" t="s">
        <v>3702</v>
      </c>
      <c r="M1190" t="s">
        <v>3703</v>
      </c>
      <c r="N1190" t="s">
        <v>278</v>
      </c>
      <c r="O1190" t="s">
        <v>134</v>
      </c>
      <c r="P1190" t="s">
        <v>782</v>
      </c>
      <c r="Q1190">
        <v>-35</v>
      </c>
      <c r="R1190">
        <v>99.999999000000003</v>
      </c>
    </row>
    <row r="1191" spans="1:18" x14ac:dyDescent="0.2">
      <c r="A1191" t="s">
        <v>270</v>
      </c>
      <c r="B1191" t="s">
        <v>3586</v>
      </c>
      <c r="C1191">
        <v>1</v>
      </c>
      <c r="D1191" s="1">
        <v>44149.13721064815</v>
      </c>
      <c r="E1191" t="s">
        <v>3704</v>
      </c>
      <c r="F1191" t="s">
        <v>273</v>
      </c>
      <c r="G1191" t="s">
        <v>3588</v>
      </c>
      <c r="H1191" t="s">
        <v>275</v>
      </c>
      <c r="I1191" t="s">
        <v>29</v>
      </c>
      <c r="J1191">
        <v>1</v>
      </c>
      <c r="K1191">
        <f>1-844-293-617</f>
        <v>-1753</v>
      </c>
      <c r="L1191" t="s">
        <v>3705</v>
      </c>
      <c r="M1191" t="s">
        <v>3706</v>
      </c>
      <c r="N1191" t="s">
        <v>278</v>
      </c>
      <c r="O1191" t="s">
        <v>134</v>
      </c>
      <c r="P1191" t="s">
        <v>782</v>
      </c>
      <c r="Q1191">
        <v>-35</v>
      </c>
      <c r="R1191">
        <v>99.999999000000003</v>
      </c>
    </row>
    <row r="1192" spans="1:18" x14ac:dyDescent="0.2">
      <c r="A1192" t="s">
        <v>270</v>
      </c>
      <c r="B1192" t="s">
        <v>3586</v>
      </c>
      <c r="C1192">
        <v>1</v>
      </c>
      <c r="D1192" s="1">
        <v>44149.135127314818</v>
      </c>
      <c r="E1192" t="s">
        <v>3707</v>
      </c>
      <c r="F1192" t="s">
        <v>273</v>
      </c>
      <c r="G1192" t="s">
        <v>3588</v>
      </c>
      <c r="H1192" t="s">
        <v>275</v>
      </c>
      <c r="I1192" t="s">
        <v>29</v>
      </c>
      <c r="J1192">
        <v>1</v>
      </c>
      <c r="K1192">
        <f>1-844-295-6539</f>
        <v>-7677</v>
      </c>
      <c r="L1192" t="s">
        <v>3708</v>
      </c>
      <c r="M1192" t="s">
        <v>3709</v>
      </c>
      <c r="N1192" t="s">
        <v>278</v>
      </c>
      <c r="O1192" t="s">
        <v>134</v>
      </c>
      <c r="P1192" t="s">
        <v>782</v>
      </c>
      <c r="Q1192">
        <v>-35</v>
      </c>
      <c r="R1192">
        <v>99.999999000000003</v>
      </c>
    </row>
    <row r="1193" spans="1:18" x14ac:dyDescent="0.2">
      <c r="A1193" t="s">
        <v>270</v>
      </c>
      <c r="B1193" t="s">
        <v>3586</v>
      </c>
      <c r="C1193">
        <v>1</v>
      </c>
      <c r="D1193" s="1">
        <v>44149.134039351855</v>
      </c>
      <c r="E1193" t="s">
        <v>3710</v>
      </c>
      <c r="F1193" t="s">
        <v>273</v>
      </c>
      <c r="G1193" t="s">
        <v>3588</v>
      </c>
      <c r="H1193" t="s">
        <v>275</v>
      </c>
      <c r="I1193" t="s">
        <v>29</v>
      </c>
      <c r="J1193">
        <v>1</v>
      </c>
      <c r="K1193">
        <f>1-844-294-4812</f>
        <v>-5949</v>
      </c>
      <c r="L1193" t="s">
        <v>3711</v>
      </c>
      <c r="M1193" t="s">
        <v>3712</v>
      </c>
      <c r="N1193" t="s">
        <v>278</v>
      </c>
      <c r="O1193" t="s">
        <v>134</v>
      </c>
      <c r="P1193" t="s">
        <v>782</v>
      </c>
      <c r="Q1193">
        <v>-35</v>
      </c>
      <c r="R1193">
        <v>99.999999000000003</v>
      </c>
    </row>
    <row r="1194" spans="1:18" x14ac:dyDescent="0.2">
      <c r="A1194" t="s">
        <v>270</v>
      </c>
      <c r="B1194" t="s">
        <v>3586</v>
      </c>
      <c r="C1194">
        <v>1</v>
      </c>
      <c r="D1194" s="1">
        <v>44149.123784722222</v>
      </c>
      <c r="E1194" t="s">
        <v>3713</v>
      </c>
      <c r="F1194" t="s">
        <v>273</v>
      </c>
      <c r="G1194" t="s">
        <v>3588</v>
      </c>
      <c r="H1194" t="s">
        <v>275</v>
      </c>
      <c r="I1194" t="s">
        <v>29</v>
      </c>
      <c r="J1194">
        <v>1</v>
      </c>
      <c r="K1194">
        <f>1-844-295-5840</f>
        <v>-6978</v>
      </c>
      <c r="L1194" t="s">
        <v>3714</v>
      </c>
      <c r="M1194" t="s">
        <v>3715</v>
      </c>
      <c r="N1194" t="s">
        <v>278</v>
      </c>
      <c r="O1194" t="s">
        <v>134</v>
      </c>
      <c r="P1194" t="s">
        <v>782</v>
      </c>
      <c r="Q1194">
        <v>-35</v>
      </c>
      <c r="R1194">
        <v>99.999999000000003</v>
      </c>
    </row>
    <row r="1195" spans="1:18" x14ac:dyDescent="0.2">
      <c r="A1195" t="s">
        <v>270</v>
      </c>
      <c r="B1195" t="s">
        <v>3586</v>
      </c>
      <c r="C1195">
        <v>1</v>
      </c>
      <c r="D1195" s="1">
        <v>44149.123483796298</v>
      </c>
      <c r="E1195" t="s">
        <v>3716</v>
      </c>
      <c r="F1195" t="s">
        <v>273</v>
      </c>
      <c r="G1195" t="s">
        <v>3588</v>
      </c>
      <c r="H1195" t="s">
        <v>275</v>
      </c>
      <c r="I1195" t="s">
        <v>29</v>
      </c>
      <c r="J1195">
        <v>1</v>
      </c>
      <c r="K1195">
        <f>1-844-291-4316</f>
        <v>-5450</v>
      </c>
      <c r="L1195" t="s">
        <v>3717</v>
      </c>
      <c r="M1195" t="s">
        <v>3718</v>
      </c>
      <c r="N1195" t="s">
        <v>278</v>
      </c>
      <c r="O1195" t="s">
        <v>134</v>
      </c>
      <c r="P1195" t="s">
        <v>782</v>
      </c>
      <c r="Q1195">
        <v>-35</v>
      </c>
      <c r="R1195">
        <v>99.999999000000003</v>
      </c>
    </row>
    <row r="1196" spans="1:18" x14ac:dyDescent="0.2">
      <c r="A1196" t="s">
        <v>270</v>
      </c>
      <c r="B1196" t="s">
        <v>3586</v>
      </c>
      <c r="C1196">
        <v>1</v>
      </c>
      <c r="D1196" s="1">
        <v>44149.122835648152</v>
      </c>
      <c r="E1196" t="s">
        <v>3719</v>
      </c>
      <c r="F1196" t="s">
        <v>273</v>
      </c>
      <c r="G1196" t="s">
        <v>3588</v>
      </c>
      <c r="H1196" t="s">
        <v>275</v>
      </c>
      <c r="I1196" t="s">
        <v>29</v>
      </c>
      <c r="J1196">
        <v>1</v>
      </c>
      <c r="K1196">
        <f>1-844-290-7339</f>
        <v>-8472</v>
      </c>
      <c r="L1196" t="s">
        <v>3720</v>
      </c>
      <c r="M1196" t="s">
        <v>3721</v>
      </c>
      <c r="N1196" t="s">
        <v>278</v>
      </c>
      <c r="O1196" t="s">
        <v>134</v>
      </c>
      <c r="P1196" t="s">
        <v>782</v>
      </c>
      <c r="Q1196">
        <v>-35</v>
      </c>
      <c r="R1196">
        <v>99.999999000000003</v>
      </c>
    </row>
    <row r="1197" spans="1:18" x14ac:dyDescent="0.2">
      <c r="A1197" t="s">
        <v>270</v>
      </c>
      <c r="B1197" t="s">
        <v>3586</v>
      </c>
      <c r="C1197">
        <v>1</v>
      </c>
      <c r="D1197" s="1">
        <v>44144.768541666665</v>
      </c>
      <c r="E1197" t="s">
        <v>3722</v>
      </c>
      <c r="F1197" t="s">
        <v>273</v>
      </c>
      <c r="G1197" t="s">
        <v>3588</v>
      </c>
      <c r="H1197" t="s">
        <v>275</v>
      </c>
      <c r="I1197" t="s">
        <v>29</v>
      </c>
      <c r="J1197">
        <v>1</v>
      </c>
      <c r="K1197">
        <f>1-844-279-115</f>
        <v>-1237</v>
      </c>
      <c r="L1197" t="s">
        <v>3723</v>
      </c>
      <c r="M1197" t="s">
        <v>3724</v>
      </c>
      <c r="N1197" t="s">
        <v>278</v>
      </c>
      <c r="O1197" t="s">
        <v>28</v>
      </c>
      <c r="P1197" t="s">
        <v>782</v>
      </c>
      <c r="Q1197">
        <v>-35</v>
      </c>
      <c r="R1197">
        <v>99.999999000000003</v>
      </c>
    </row>
    <row r="1198" spans="1:18" x14ac:dyDescent="0.2">
      <c r="A1198" t="s">
        <v>270</v>
      </c>
      <c r="B1198" t="s">
        <v>3586</v>
      </c>
      <c r="C1198">
        <v>1</v>
      </c>
      <c r="D1198" s="1">
        <v>44140.793981481482</v>
      </c>
      <c r="E1198" t="s">
        <v>3725</v>
      </c>
      <c r="F1198" t="s">
        <v>273</v>
      </c>
      <c r="G1198" t="s">
        <v>3588</v>
      </c>
      <c r="H1198" t="s">
        <v>275</v>
      </c>
      <c r="I1198" t="s">
        <v>29</v>
      </c>
      <c r="J1198">
        <v>1</v>
      </c>
      <c r="K1198">
        <f>1-888-392-7351</f>
        <v>-8630</v>
      </c>
      <c r="L1198" t="s">
        <v>3726</v>
      </c>
      <c r="M1198" t="s">
        <v>3727</v>
      </c>
      <c r="N1198" t="s">
        <v>278</v>
      </c>
      <c r="O1198" t="s">
        <v>28</v>
      </c>
      <c r="P1198" t="s">
        <v>782</v>
      </c>
      <c r="Q1198">
        <v>-35</v>
      </c>
      <c r="R1198">
        <v>99.999999000000003</v>
      </c>
    </row>
    <row r="1199" spans="1:18" x14ac:dyDescent="0.2">
      <c r="A1199" t="s">
        <v>270</v>
      </c>
      <c r="B1199" t="s">
        <v>3586</v>
      </c>
      <c r="C1199">
        <v>1</v>
      </c>
      <c r="D1199" s="1">
        <v>44140.786458333336</v>
      </c>
      <c r="E1199" t="s">
        <v>3728</v>
      </c>
      <c r="F1199" t="s">
        <v>273</v>
      </c>
      <c r="G1199" t="s">
        <v>3588</v>
      </c>
      <c r="H1199" t="s">
        <v>275</v>
      </c>
      <c r="I1199" t="s">
        <v>29</v>
      </c>
      <c r="J1199">
        <v>1</v>
      </c>
      <c r="K1199">
        <f>1-888-392-6065</f>
        <v>-7344</v>
      </c>
      <c r="L1199" t="s">
        <v>3729</v>
      </c>
      <c r="M1199" t="s">
        <v>3730</v>
      </c>
      <c r="N1199" t="s">
        <v>278</v>
      </c>
      <c r="O1199" t="s">
        <v>28</v>
      </c>
      <c r="P1199" t="s">
        <v>782</v>
      </c>
      <c r="Q1199">
        <v>-35</v>
      </c>
      <c r="R1199">
        <v>99.999999000000003</v>
      </c>
    </row>
    <row r="1200" spans="1:18" x14ac:dyDescent="0.2">
      <c r="A1200" t="s">
        <v>270</v>
      </c>
      <c r="B1200" t="s">
        <v>3586</v>
      </c>
      <c r="C1200">
        <v>1</v>
      </c>
      <c r="D1200" s="1">
        <v>44140.7809375</v>
      </c>
      <c r="E1200" t="s">
        <v>3731</v>
      </c>
      <c r="F1200" t="s">
        <v>273</v>
      </c>
      <c r="G1200" t="s">
        <v>3588</v>
      </c>
      <c r="H1200" t="s">
        <v>275</v>
      </c>
      <c r="I1200" t="s">
        <v>29</v>
      </c>
      <c r="J1200">
        <v>1</v>
      </c>
      <c r="K1200">
        <f>1-888-397-7606</f>
        <v>-8890</v>
      </c>
      <c r="L1200" t="s">
        <v>3732</v>
      </c>
      <c r="M1200" t="s">
        <v>3733</v>
      </c>
      <c r="N1200" t="s">
        <v>278</v>
      </c>
      <c r="O1200" t="s">
        <v>28</v>
      </c>
      <c r="P1200" t="s">
        <v>782</v>
      </c>
      <c r="Q1200">
        <v>-35</v>
      </c>
      <c r="R1200">
        <v>99.999999000000003</v>
      </c>
    </row>
    <row r="1201" spans="1:18" x14ac:dyDescent="0.2">
      <c r="A1201" t="s">
        <v>270</v>
      </c>
      <c r="B1201" t="s">
        <v>3586</v>
      </c>
      <c r="C1201">
        <v>1</v>
      </c>
      <c r="D1201" s="1">
        <v>44140.778668981482</v>
      </c>
      <c r="E1201" t="s">
        <v>3734</v>
      </c>
      <c r="F1201" t="s">
        <v>273</v>
      </c>
      <c r="G1201" t="s">
        <v>3588</v>
      </c>
      <c r="H1201" t="s">
        <v>275</v>
      </c>
      <c r="I1201" t="s">
        <v>29</v>
      </c>
      <c r="J1201">
        <v>1</v>
      </c>
      <c r="K1201">
        <f>1-888-397-7606</f>
        <v>-8890</v>
      </c>
      <c r="L1201" t="s">
        <v>3735</v>
      </c>
      <c r="M1201" t="s">
        <v>3736</v>
      </c>
      <c r="N1201" t="s">
        <v>278</v>
      </c>
      <c r="O1201" t="s">
        <v>28</v>
      </c>
      <c r="P1201" t="s">
        <v>782</v>
      </c>
      <c r="Q1201">
        <v>-35</v>
      </c>
      <c r="R1201">
        <v>99.999999000000003</v>
      </c>
    </row>
    <row r="1202" spans="1:18" x14ac:dyDescent="0.2">
      <c r="A1202" t="s">
        <v>270</v>
      </c>
      <c r="B1202" t="s">
        <v>3586</v>
      </c>
      <c r="C1202">
        <v>1</v>
      </c>
      <c r="D1202" s="1">
        <v>44139.860671296294</v>
      </c>
      <c r="E1202" t="s">
        <v>3737</v>
      </c>
      <c r="F1202" t="s">
        <v>273</v>
      </c>
      <c r="G1202" t="s">
        <v>3588</v>
      </c>
      <c r="H1202" t="s">
        <v>275</v>
      </c>
      <c r="I1202" t="s">
        <v>29</v>
      </c>
      <c r="J1202">
        <v>1</v>
      </c>
      <c r="K1202">
        <f>1-888-349-239</f>
        <v>-1475</v>
      </c>
      <c r="L1202" t="s">
        <v>3738</v>
      </c>
      <c r="M1202" t="s">
        <v>3739</v>
      </c>
      <c r="N1202" t="s">
        <v>278</v>
      </c>
      <c r="O1202" t="s">
        <v>28</v>
      </c>
      <c r="P1202" t="s">
        <v>782</v>
      </c>
      <c r="Q1202">
        <v>-35</v>
      </c>
      <c r="R1202">
        <v>99.999999000000003</v>
      </c>
    </row>
    <row r="1203" spans="1:18" x14ac:dyDescent="0.2">
      <c r="A1203" t="s">
        <v>270</v>
      </c>
      <c r="B1203" t="s">
        <v>3586</v>
      </c>
      <c r="C1203">
        <v>1</v>
      </c>
      <c r="D1203" s="1">
        <v>44139.846655092595</v>
      </c>
      <c r="E1203" t="s">
        <v>3740</v>
      </c>
      <c r="F1203" t="s">
        <v>273</v>
      </c>
      <c r="G1203" t="s">
        <v>3588</v>
      </c>
      <c r="H1203" t="s">
        <v>275</v>
      </c>
      <c r="I1203" t="s">
        <v>29</v>
      </c>
      <c r="J1203">
        <v>1</v>
      </c>
      <c r="K1203">
        <f>1-888-392-1037</f>
        <v>-2316</v>
      </c>
      <c r="L1203" t="s">
        <v>3741</v>
      </c>
      <c r="M1203" t="s">
        <v>3742</v>
      </c>
      <c r="N1203" t="s">
        <v>278</v>
      </c>
      <c r="O1203" t="s">
        <v>28</v>
      </c>
      <c r="P1203" t="s">
        <v>782</v>
      </c>
      <c r="Q1203">
        <v>-35</v>
      </c>
      <c r="R1203">
        <v>99.999999000000003</v>
      </c>
    </row>
    <row r="1204" spans="1:18" x14ac:dyDescent="0.2">
      <c r="A1204" t="s">
        <v>270</v>
      </c>
      <c r="B1204" t="s">
        <v>3586</v>
      </c>
      <c r="C1204">
        <v>1</v>
      </c>
      <c r="D1204" s="1">
        <v>44134.844456018516</v>
      </c>
      <c r="E1204" t="s">
        <v>3743</v>
      </c>
      <c r="F1204" t="s">
        <v>273</v>
      </c>
      <c r="G1204" t="s">
        <v>3588</v>
      </c>
      <c r="H1204" t="s">
        <v>275</v>
      </c>
      <c r="I1204" t="s">
        <v>29</v>
      </c>
      <c r="J1204">
        <v>1</v>
      </c>
      <c r="K1204">
        <f>1-888-331-9245</f>
        <v>-10463</v>
      </c>
      <c r="L1204" t="s">
        <v>3744</v>
      </c>
      <c r="M1204" t="s">
        <v>3745</v>
      </c>
      <c r="N1204" t="s">
        <v>278</v>
      </c>
      <c r="O1204" t="s">
        <v>28</v>
      </c>
      <c r="P1204" t="s">
        <v>782</v>
      </c>
      <c r="Q1204">
        <v>-35</v>
      </c>
      <c r="R1204">
        <v>99.999999000000003</v>
      </c>
    </row>
    <row r="1205" spans="1:18" x14ac:dyDescent="0.2">
      <c r="A1205" t="s">
        <v>270</v>
      </c>
      <c r="B1205" t="s">
        <v>3586</v>
      </c>
      <c r="C1205">
        <v>1</v>
      </c>
      <c r="D1205" s="1">
        <v>44130.784733796296</v>
      </c>
      <c r="E1205" t="s">
        <v>3746</v>
      </c>
      <c r="F1205" t="s">
        <v>273</v>
      </c>
      <c r="G1205" t="s">
        <v>3588</v>
      </c>
      <c r="H1205" t="s">
        <v>275</v>
      </c>
      <c r="I1205" t="s">
        <v>29</v>
      </c>
      <c r="J1205">
        <v>1</v>
      </c>
      <c r="K1205">
        <f>1-888-396-1711</f>
        <v>-2994</v>
      </c>
      <c r="L1205" t="s">
        <v>3747</v>
      </c>
      <c r="M1205" t="s">
        <v>3748</v>
      </c>
      <c r="N1205" t="s">
        <v>278</v>
      </c>
      <c r="O1205" t="s">
        <v>28</v>
      </c>
      <c r="P1205" t="s">
        <v>782</v>
      </c>
      <c r="Q1205">
        <v>-35</v>
      </c>
      <c r="R1205">
        <v>99.999999000000003</v>
      </c>
    </row>
    <row r="1206" spans="1:18" x14ac:dyDescent="0.2">
      <c r="A1206" t="s">
        <v>270</v>
      </c>
      <c r="B1206" t="s">
        <v>3586</v>
      </c>
      <c r="C1206">
        <v>1</v>
      </c>
      <c r="D1206" s="1">
        <v>44124.894837962966</v>
      </c>
      <c r="E1206" t="s">
        <v>3749</v>
      </c>
      <c r="F1206" t="s">
        <v>273</v>
      </c>
      <c r="G1206" t="s">
        <v>3588</v>
      </c>
      <c r="H1206" t="s">
        <v>275</v>
      </c>
      <c r="I1206" t="s">
        <v>29</v>
      </c>
      <c r="J1206">
        <v>1</v>
      </c>
      <c r="K1206">
        <f>1-888-343-7687</f>
        <v>-8917</v>
      </c>
      <c r="L1206" t="s">
        <v>3750</v>
      </c>
      <c r="M1206" t="s">
        <v>3751</v>
      </c>
      <c r="N1206" t="s">
        <v>278</v>
      </c>
      <c r="O1206" t="s">
        <v>28</v>
      </c>
      <c r="P1206" t="s">
        <v>782</v>
      </c>
      <c r="Q1206">
        <v>-35</v>
      </c>
      <c r="R1206">
        <v>99.999999000000003</v>
      </c>
    </row>
    <row r="1207" spans="1:18" x14ac:dyDescent="0.2">
      <c r="A1207" t="s">
        <v>270</v>
      </c>
      <c r="B1207" t="s">
        <v>3586</v>
      </c>
      <c r="C1207">
        <v>1</v>
      </c>
      <c r="D1207" s="1">
        <v>44112.857777777775</v>
      </c>
      <c r="E1207" t="s">
        <v>3752</v>
      </c>
      <c r="F1207" t="s">
        <v>273</v>
      </c>
      <c r="G1207" t="s">
        <v>3588</v>
      </c>
      <c r="H1207" t="s">
        <v>275</v>
      </c>
      <c r="I1207" t="s">
        <v>29</v>
      </c>
      <c r="J1207">
        <v>1</v>
      </c>
      <c r="K1207">
        <f>1-803-937-4925</f>
        <v>-6664</v>
      </c>
      <c r="L1207" t="s">
        <v>3753</v>
      </c>
      <c r="M1207" t="s">
        <v>3754</v>
      </c>
      <c r="N1207" t="s">
        <v>278</v>
      </c>
      <c r="O1207" t="s">
        <v>28</v>
      </c>
      <c r="P1207" t="s">
        <v>782</v>
      </c>
      <c r="Q1207">
        <v>-35</v>
      </c>
      <c r="R1207">
        <v>99.999999000000003</v>
      </c>
    </row>
    <row r="1208" spans="1:18" x14ac:dyDescent="0.2">
      <c r="A1208" t="s">
        <v>270</v>
      </c>
      <c r="B1208" t="s">
        <v>3586</v>
      </c>
      <c r="C1208">
        <v>1</v>
      </c>
      <c r="D1208" s="1">
        <v>44112.826331018521</v>
      </c>
      <c r="E1208" t="s">
        <v>3755</v>
      </c>
      <c r="F1208" t="s">
        <v>273</v>
      </c>
      <c r="G1208" t="s">
        <v>3588</v>
      </c>
      <c r="H1208" t="s">
        <v>275</v>
      </c>
      <c r="I1208" t="s">
        <v>29</v>
      </c>
      <c r="J1208">
        <v>1</v>
      </c>
      <c r="K1208">
        <f>1-803-937-4925</f>
        <v>-6664</v>
      </c>
      <c r="L1208" t="s">
        <v>3756</v>
      </c>
      <c r="M1208" t="s">
        <v>3757</v>
      </c>
      <c r="N1208" t="s">
        <v>278</v>
      </c>
      <c r="O1208" t="s">
        <v>28</v>
      </c>
      <c r="P1208" t="s">
        <v>782</v>
      </c>
      <c r="Q1208">
        <v>-35</v>
      </c>
      <c r="R1208">
        <v>99.999999000000003</v>
      </c>
    </row>
    <row r="1209" spans="1:18" x14ac:dyDescent="0.2">
      <c r="A1209" t="s">
        <v>270</v>
      </c>
      <c r="B1209" t="s">
        <v>3586</v>
      </c>
      <c r="C1209">
        <v>1</v>
      </c>
      <c r="D1209" s="1">
        <v>44112.787800925929</v>
      </c>
      <c r="E1209" t="s">
        <v>3758</v>
      </c>
      <c r="F1209" t="s">
        <v>273</v>
      </c>
      <c r="G1209" t="s">
        <v>3588</v>
      </c>
      <c r="H1209" t="s">
        <v>275</v>
      </c>
      <c r="I1209" t="s">
        <v>29</v>
      </c>
      <c r="J1209">
        <v>1</v>
      </c>
      <c r="K1209">
        <f>1-888-334-1290</f>
        <v>-2511</v>
      </c>
      <c r="L1209" t="s">
        <v>3759</v>
      </c>
      <c r="M1209" t="s">
        <v>3760</v>
      </c>
      <c r="N1209" t="s">
        <v>278</v>
      </c>
      <c r="O1209" t="s">
        <v>28</v>
      </c>
      <c r="P1209" t="s">
        <v>782</v>
      </c>
      <c r="Q1209">
        <v>-35</v>
      </c>
      <c r="R1209">
        <v>99.999999000000003</v>
      </c>
    </row>
    <row r="1210" spans="1:18" x14ac:dyDescent="0.2">
      <c r="A1210" t="s">
        <v>270</v>
      </c>
      <c r="B1210" t="s">
        <v>3586</v>
      </c>
      <c r="C1210">
        <v>1</v>
      </c>
      <c r="D1210" s="1">
        <v>44111.749108796299</v>
      </c>
      <c r="E1210" t="s">
        <v>3761</v>
      </c>
      <c r="F1210" t="s">
        <v>273</v>
      </c>
      <c r="G1210" t="s">
        <v>3588</v>
      </c>
      <c r="H1210" t="s">
        <v>275</v>
      </c>
      <c r="I1210" t="s">
        <v>29</v>
      </c>
      <c r="J1210">
        <v>1</v>
      </c>
      <c r="K1210">
        <f>1-888-315-4509</f>
        <v>-5711</v>
      </c>
      <c r="L1210" t="s">
        <v>3762</v>
      </c>
      <c r="M1210" t="s">
        <v>3763</v>
      </c>
      <c r="N1210" t="s">
        <v>278</v>
      </c>
      <c r="O1210" t="s">
        <v>28</v>
      </c>
      <c r="P1210" t="s">
        <v>782</v>
      </c>
      <c r="Q1210">
        <v>-35</v>
      </c>
      <c r="R1210">
        <v>99.999999000000003</v>
      </c>
    </row>
    <row r="1211" spans="1:18" x14ac:dyDescent="0.2">
      <c r="A1211" t="s">
        <v>270</v>
      </c>
      <c r="B1211" t="s">
        <v>3586</v>
      </c>
      <c r="C1211">
        <v>1</v>
      </c>
      <c r="D1211" s="1">
        <v>44109.798541666663</v>
      </c>
      <c r="E1211" t="s">
        <v>3764</v>
      </c>
      <c r="F1211" t="s">
        <v>273</v>
      </c>
      <c r="G1211" t="s">
        <v>3588</v>
      </c>
      <c r="H1211" t="s">
        <v>275</v>
      </c>
      <c r="I1211" t="s">
        <v>29</v>
      </c>
      <c r="J1211">
        <v>1</v>
      </c>
      <c r="K1211">
        <f>1-888-308-1582</f>
        <v>-2777</v>
      </c>
      <c r="L1211" t="s">
        <v>3765</v>
      </c>
      <c r="M1211" t="s">
        <v>3766</v>
      </c>
      <c r="N1211" t="s">
        <v>278</v>
      </c>
      <c r="O1211" t="s">
        <v>28</v>
      </c>
      <c r="P1211" t="s">
        <v>782</v>
      </c>
      <c r="Q1211">
        <v>-35</v>
      </c>
      <c r="R1211">
        <v>99.999999000000003</v>
      </c>
    </row>
    <row r="1212" spans="1:18" x14ac:dyDescent="0.2">
      <c r="A1212" t="s">
        <v>270</v>
      </c>
      <c r="B1212" t="s">
        <v>3586</v>
      </c>
      <c r="C1212">
        <v>1</v>
      </c>
      <c r="D1212" s="1">
        <v>44106.935543981483</v>
      </c>
      <c r="E1212" t="s">
        <v>3767</v>
      </c>
      <c r="F1212" t="s">
        <v>273</v>
      </c>
      <c r="G1212" t="s">
        <v>3588</v>
      </c>
      <c r="H1212" t="s">
        <v>275</v>
      </c>
      <c r="I1212" t="s">
        <v>29</v>
      </c>
      <c r="J1212">
        <v>1</v>
      </c>
      <c r="K1212">
        <f>1-888-278-9830</f>
        <v>-10995</v>
      </c>
      <c r="L1212" t="s">
        <v>3768</v>
      </c>
      <c r="M1212" t="s">
        <v>3769</v>
      </c>
      <c r="N1212" t="s">
        <v>278</v>
      </c>
      <c r="O1212" t="s">
        <v>28</v>
      </c>
      <c r="P1212" t="s">
        <v>782</v>
      </c>
      <c r="Q1212">
        <v>-35</v>
      </c>
      <c r="R1212">
        <v>99.999999000000003</v>
      </c>
    </row>
    <row r="1213" spans="1:18" x14ac:dyDescent="0.2">
      <c r="A1213" t="s">
        <v>270</v>
      </c>
      <c r="B1213" t="s">
        <v>3586</v>
      </c>
      <c r="C1213">
        <v>1</v>
      </c>
      <c r="D1213" s="1">
        <v>44106.822870370372</v>
      </c>
      <c r="E1213" t="s">
        <v>3770</v>
      </c>
      <c r="F1213" t="s">
        <v>273</v>
      </c>
      <c r="G1213" t="s">
        <v>3588</v>
      </c>
      <c r="H1213" t="s">
        <v>275</v>
      </c>
      <c r="I1213" t="s">
        <v>29</v>
      </c>
      <c r="J1213">
        <v>1</v>
      </c>
      <c r="K1213">
        <f>1-888-202-4596</f>
        <v>-5685</v>
      </c>
      <c r="L1213" t="s">
        <v>3771</v>
      </c>
      <c r="M1213" t="s">
        <v>3772</v>
      </c>
      <c r="N1213" t="s">
        <v>278</v>
      </c>
      <c r="O1213" t="s">
        <v>28</v>
      </c>
      <c r="P1213" t="s">
        <v>782</v>
      </c>
      <c r="Q1213">
        <v>-35</v>
      </c>
      <c r="R1213">
        <v>99.999999000000003</v>
      </c>
    </row>
    <row r="1214" spans="1:18" x14ac:dyDescent="0.2">
      <c r="A1214" t="s">
        <v>270</v>
      </c>
      <c r="B1214" t="s">
        <v>3586</v>
      </c>
      <c r="C1214">
        <v>1</v>
      </c>
      <c r="D1214" s="1">
        <v>44104.826018518521</v>
      </c>
      <c r="E1214" t="s">
        <v>3773</v>
      </c>
      <c r="F1214" t="s">
        <v>273</v>
      </c>
      <c r="G1214" t="s">
        <v>3588</v>
      </c>
      <c r="H1214" t="s">
        <v>275</v>
      </c>
      <c r="I1214" t="s">
        <v>29</v>
      </c>
      <c r="J1214">
        <v>1</v>
      </c>
      <c r="K1214">
        <f>1-888-210-6286</f>
        <v>-7383</v>
      </c>
      <c r="L1214" t="s">
        <v>3774</v>
      </c>
      <c r="M1214" t="s">
        <v>3775</v>
      </c>
      <c r="N1214" t="s">
        <v>278</v>
      </c>
      <c r="O1214" t="s">
        <v>28</v>
      </c>
      <c r="P1214" t="s">
        <v>782</v>
      </c>
      <c r="Q1214">
        <v>-35</v>
      </c>
      <c r="R1214">
        <v>99.999999000000003</v>
      </c>
    </row>
    <row r="1215" spans="1:18" x14ac:dyDescent="0.2">
      <c r="A1215" t="s">
        <v>270</v>
      </c>
      <c r="B1215" t="s">
        <v>3586</v>
      </c>
      <c r="C1215">
        <v>1</v>
      </c>
      <c r="D1215" s="1">
        <v>44103.839305555557</v>
      </c>
      <c r="E1215" t="s">
        <v>3776</v>
      </c>
      <c r="F1215" t="s">
        <v>273</v>
      </c>
      <c r="G1215" t="s">
        <v>3588</v>
      </c>
      <c r="H1215" t="s">
        <v>275</v>
      </c>
      <c r="I1215" t="s">
        <v>29</v>
      </c>
      <c r="J1215">
        <v>1</v>
      </c>
      <c r="K1215">
        <f>1-888-211-8144</f>
        <v>-9242</v>
      </c>
      <c r="L1215" t="s">
        <v>3777</v>
      </c>
      <c r="M1215" t="s">
        <v>3778</v>
      </c>
      <c r="N1215" t="s">
        <v>278</v>
      </c>
      <c r="O1215" t="s">
        <v>28</v>
      </c>
      <c r="P1215" t="s">
        <v>782</v>
      </c>
      <c r="Q1215">
        <v>-35</v>
      </c>
      <c r="R1215">
        <v>99.999999000000003</v>
      </c>
    </row>
    <row r="1216" spans="1:18" x14ac:dyDescent="0.2">
      <c r="A1216" t="s">
        <v>270</v>
      </c>
      <c r="B1216" t="s">
        <v>3586</v>
      </c>
      <c r="C1216">
        <v>1</v>
      </c>
      <c r="D1216" s="1">
        <v>44103.763379629629</v>
      </c>
      <c r="E1216" t="s">
        <v>3779</v>
      </c>
      <c r="F1216" t="s">
        <v>273</v>
      </c>
      <c r="G1216" t="s">
        <v>3588</v>
      </c>
      <c r="H1216" t="s">
        <v>275</v>
      </c>
      <c r="I1216" t="s">
        <v>29</v>
      </c>
      <c r="J1216">
        <v>1</v>
      </c>
      <c r="K1216">
        <f>1-888-211-6160</f>
        <v>-7258</v>
      </c>
      <c r="L1216" t="s">
        <v>3780</v>
      </c>
      <c r="M1216" t="s">
        <v>3781</v>
      </c>
      <c r="N1216" t="s">
        <v>278</v>
      </c>
      <c r="O1216" t="s">
        <v>134</v>
      </c>
      <c r="P1216" t="s">
        <v>782</v>
      </c>
      <c r="Q1216">
        <v>-35</v>
      </c>
      <c r="R1216">
        <v>99.999999000000003</v>
      </c>
    </row>
    <row r="1217" spans="1:18" x14ac:dyDescent="0.2">
      <c r="A1217" t="s">
        <v>270</v>
      </c>
      <c r="B1217" t="s">
        <v>3586</v>
      </c>
      <c r="C1217">
        <v>1</v>
      </c>
      <c r="D1217" s="1">
        <v>44103.761770833335</v>
      </c>
      <c r="E1217" t="s">
        <v>3782</v>
      </c>
      <c r="F1217" t="s">
        <v>273</v>
      </c>
      <c r="G1217" t="s">
        <v>3588</v>
      </c>
      <c r="H1217" t="s">
        <v>275</v>
      </c>
      <c r="I1217" t="s">
        <v>29</v>
      </c>
      <c r="J1217">
        <v>1</v>
      </c>
      <c r="K1217">
        <f>1-888-210-6654</f>
        <v>-7751</v>
      </c>
      <c r="L1217" t="s">
        <v>3783</v>
      </c>
      <c r="M1217" t="s">
        <v>3784</v>
      </c>
      <c r="N1217" t="s">
        <v>278</v>
      </c>
      <c r="O1217" t="s">
        <v>134</v>
      </c>
      <c r="P1217" t="s">
        <v>782</v>
      </c>
      <c r="Q1217">
        <v>-35</v>
      </c>
      <c r="R1217">
        <v>99.999999000000003</v>
      </c>
    </row>
    <row r="1218" spans="1:18" x14ac:dyDescent="0.2">
      <c r="A1218" t="s">
        <v>270</v>
      </c>
      <c r="B1218" t="s">
        <v>3586</v>
      </c>
      <c r="C1218">
        <v>1</v>
      </c>
      <c r="D1218" s="1">
        <v>44102.823159722226</v>
      </c>
      <c r="E1218" t="s">
        <v>3785</v>
      </c>
      <c r="F1218" t="s">
        <v>273</v>
      </c>
      <c r="G1218" t="s">
        <v>3588</v>
      </c>
      <c r="H1218" t="s">
        <v>275</v>
      </c>
      <c r="I1218" t="s">
        <v>29</v>
      </c>
      <c r="J1218">
        <v>1</v>
      </c>
      <c r="K1218">
        <f>1-888-250-5625</f>
        <v>-6762</v>
      </c>
      <c r="L1218" t="s">
        <v>3786</v>
      </c>
      <c r="M1218" t="s">
        <v>3787</v>
      </c>
      <c r="N1218" t="s">
        <v>278</v>
      </c>
      <c r="O1218" t="s">
        <v>28</v>
      </c>
      <c r="P1218" t="s">
        <v>782</v>
      </c>
      <c r="Q1218">
        <v>-35</v>
      </c>
      <c r="R1218">
        <v>99.999999000000003</v>
      </c>
    </row>
    <row r="1219" spans="1:18" x14ac:dyDescent="0.2">
      <c r="A1219" t="s">
        <v>270</v>
      </c>
      <c r="B1219" t="s">
        <v>3586</v>
      </c>
      <c r="C1219">
        <v>1</v>
      </c>
      <c r="D1219" s="1">
        <v>44102.822812500002</v>
      </c>
      <c r="E1219" t="s">
        <v>3788</v>
      </c>
      <c r="F1219" t="s">
        <v>273</v>
      </c>
      <c r="G1219" t="s">
        <v>3588</v>
      </c>
      <c r="H1219" t="s">
        <v>275</v>
      </c>
      <c r="I1219" t="s">
        <v>29</v>
      </c>
      <c r="J1219">
        <v>1</v>
      </c>
      <c r="K1219">
        <f>1-888-228-8619</f>
        <v>-9734</v>
      </c>
      <c r="L1219" t="s">
        <v>3789</v>
      </c>
      <c r="M1219" t="s">
        <v>3790</v>
      </c>
      <c r="N1219" t="s">
        <v>278</v>
      </c>
      <c r="O1219" t="s">
        <v>28</v>
      </c>
      <c r="P1219" t="s">
        <v>782</v>
      </c>
      <c r="Q1219">
        <v>-35</v>
      </c>
      <c r="R1219">
        <v>99.999999000000003</v>
      </c>
    </row>
    <row r="1220" spans="1:18" x14ac:dyDescent="0.2">
      <c r="A1220" t="s">
        <v>270</v>
      </c>
      <c r="B1220" t="s">
        <v>3586</v>
      </c>
      <c r="C1220">
        <v>1</v>
      </c>
      <c r="D1220" s="1">
        <v>44102.793726851851</v>
      </c>
      <c r="E1220" t="s">
        <v>3791</v>
      </c>
      <c r="F1220" t="s">
        <v>273</v>
      </c>
      <c r="G1220" t="s">
        <v>3588</v>
      </c>
      <c r="H1220" t="s">
        <v>275</v>
      </c>
      <c r="I1220" t="s">
        <v>29</v>
      </c>
      <c r="J1220">
        <v>1</v>
      </c>
      <c r="K1220">
        <f>1-888-259-4874</f>
        <v>-6020</v>
      </c>
      <c r="L1220" t="s">
        <v>3792</v>
      </c>
      <c r="M1220" t="s">
        <v>3793</v>
      </c>
      <c r="N1220" t="s">
        <v>278</v>
      </c>
      <c r="O1220" t="s">
        <v>28</v>
      </c>
      <c r="P1220" t="s">
        <v>782</v>
      </c>
      <c r="Q1220">
        <v>-35</v>
      </c>
      <c r="R1220">
        <v>99.999999000000003</v>
      </c>
    </row>
    <row r="1221" spans="1:18" x14ac:dyDescent="0.2">
      <c r="A1221" t="s">
        <v>270</v>
      </c>
      <c r="B1221" t="s">
        <v>3586</v>
      </c>
      <c r="C1221">
        <v>1</v>
      </c>
      <c r="D1221" s="1">
        <v>44099.908414351848</v>
      </c>
      <c r="E1221" t="s">
        <v>3794</v>
      </c>
      <c r="F1221" t="s">
        <v>273</v>
      </c>
      <c r="G1221" t="s">
        <v>3588</v>
      </c>
      <c r="H1221" t="s">
        <v>275</v>
      </c>
      <c r="I1221" t="s">
        <v>29</v>
      </c>
      <c r="J1221">
        <v>1</v>
      </c>
      <c r="K1221">
        <f>1-888-252-1197</f>
        <v>-2336</v>
      </c>
      <c r="L1221" t="s">
        <v>3795</v>
      </c>
      <c r="M1221" t="s">
        <v>3796</v>
      </c>
      <c r="N1221" t="s">
        <v>278</v>
      </c>
      <c r="O1221" t="s">
        <v>28</v>
      </c>
      <c r="P1221" t="s">
        <v>782</v>
      </c>
      <c r="Q1221">
        <v>-35</v>
      </c>
      <c r="R1221">
        <v>99.999999000000003</v>
      </c>
    </row>
    <row r="1222" spans="1:18" x14ac:dyDescent="0.2">
      <c r="A1222" t="s">
        <v>270</v>
      </c>
      <c r="B1222" t="s">
        <v>3586</v>
      </c>
      <c r="C1222">
        <v>1</v>
      </c>
      <c r="D1222" s="1">
        <v>44099.906759259262</v>
      </c>
      <c r="E1222" t="s">
        <v>3797</v>
      </c>
      <c r="F1222" t="s">
        <v>273</v>
      </c>
      <c r="G1222" t="s">
        <v>3588</v>
      </c>
      <c r="H1222" t="s">
        <v>275</v>
      </c>
      <c r="I1222" t="s">
        <v>29</v>
      </c>
      <c r="J1222">
        <v>1</v>
      </c>
      <c r="K1222">
        <f>1-888-252-1197</f>
        <v>-2336</v>
      </c>
      <c r="L1222" t="s">
        <v>3798</v>
      </c>
      <c r="M1222" t="s">
        <v>3799</v>
      </c>
      <c r="N1222" t="s">
        <v>278</v>
      </c>
      <c r="O1222" t="s">
        <v>28</v>
      </c>
      <c r="P1222" t="s">
        <v>782</v>
      </c>
      <c r="Q1222">
        <v>-35</v>
      </c>
      <c r="R1222">
        <v>99.999999000000003</v>
      </c>
    </row>
    <row r="1223" spans="1:18" x14ac:dyDescent="0.2">
      <c r="A1223" t="s">
        <v>270</v>
      </c>
      <c r="B1223" t="s">
        <v>3586</v>
      </c>
      <c r="C1223">
        <v>1</v>
      </c>
      <c r="D1223" s="1">
        <v>44099.358402777776</v>
      </c>
      <c r="E1223" t="s">
        <v>3800</v>
      </c>
      <c r="F1223" t="s">
        <v>273</v>
      </c>
      <c r="G1223" t="s">
        <v>3588</v>
      </c>
      <c r="H1223" t="s">
        <v>275</v>
      </c>
      <c r="I1223" t="s">
        <v>29</v>
      </c>
      <c r="J1223">
        <v>1</v>
      </c>
      <c r="K1223">
        <f>1-888-254-1267</f>
        <v>-2408</v>
      </c>
      <c r="L1223" t="s">
        <v>3801</v>
      </c>
      <c r="M1223" t="s">
        <v>3802</v>
      </c>
      <c r="N1223" t="s">
        <v>278</v>
      </c>
      <c r="O1223" t="s">
        <v>28</v>
      </c>
      <c r="P1223" t="s">
        <v>782</v>
      </c>
      <c r="Q1223">
        <v>-35</v>
      </c>
      <c r="R1223">
        <v>99.999999000000003</v>
      </c>
    </row>
    <row r="1224" spans="1:18" x14ac:dyDescent="0.2">
      <c r="A1224" t="s">
        <v>270</v>
      </c>
      <c r="B1224" t="s">
        <v>3586</v>
      </c>
      <c r="C1224">
        <v>1</v>
      </c>
      <c r="D1224" s="1">
        <v>44098.786782407406</v>
      </c>
      <c r="E1224" t="s">
        <v>1961</v>
      </c>
      <c r="F1224" t="s">
        <v>273</v>
      </c>
      <c r="G1224" t="s">
        <v>3588</v>
      </c>
      <c r="H1224" t="s">
        <v>275</v>
      </c>
      <c r="I1224" t="s">
        <v>29</v>
      </c>
      <c r="J1224">
        <v>1</v>
      </c>
      <c r="K1224">
        <f>1-888-261-35</f>
        <v>-1183</v>
      </c>
      <c r="L1224" t="s">
        <v>3803</v>
      </c>
      <c r="M1224" t="s">
        <v>3804</v>
      </c>
      <c r="N1224" t="s">
        <v>278</v>
      </c>
      <c r="O1224" t="s">
        <v>28</v>
      </c>
      <c r="P1224" t="s">
        <v>782</v>
      </c>
      <c r="Q1224">
        <v>-35</v>
      </c>
      <c r="R1224">
        <v>99.999999000000003</v>
      </c>
    </row>
    <row r="1225" spans="1:18" x14ac:dyDescent="0.2">
      <c r="A1225" t="s">
        <v>270</v>
      </c>
      <c r="B1225" t="s">
        <v>3586</v>
      </c>
      <c r="C1225">
        <v>1</v>
      </c>
      <c r="D1225" s="1">
        <v>44096.837187500001</v>
      </c>
      <c r="E1225" t="s">
        <v>3805</v>
      </c>
      <c r="F1225" t="s">
        <v>273</v>
      </c>
      <c r="G1225" t="s">
        <v>3588</v>
      </c>
      <c r="H1225" t="s">
        <v>275</v>
      </c>
      <c r="I1225" t="s">
        <v>29</v>
      </c>
      <c r="J1225">
        <v>1</v>
      </c>
      <c r="K1225">
        <f>1-888-257-7505</f>
        <v>-8649</v>
      </c>
      <c r="L1225" t="s">
        <v>3806</v>
      </c>
      <c r="M1225" t="s">
        <v>3807</v>
      </c>
      <c r="N1225" t="s">
        <v>278</v>
      </c>
      <c r="O1225" t="s">
        <v>28</v>
      </c>
      <c r="P1225" t="s">
        <v>782</v>
      </c>
      <c r="Q1225">
        <v>-35</v>
      </c>
      <c r="R1225">
        <v>99.999999000000003</v>
      </c>
    </row>
    <row r="1226" spans="1:18" x14ac:dyDescent="0.2">
      <c r="A1226" t="s">
        <v>270</v>
      </c>
      <c r="B1226" t="s">
        <v>3586</v>
      </c>
      <c r="C1226">
        <v>1</v>
      </c>
      <c r="D1226" s="1">
        <v>44096.793553240743</v>
      </c>
      <c r="E1226" t="s">
        <v>3808</v>
      </c>
      <c r="F1226" t="s">
        <v>273</v>
      </c>
      <c r="G1226" t="s">
        <v>3588</v>
      </c>
      <c r="H1226" t="s">
        <v>275</v>
      </c>
      <c r="I1226" t="s">
        <v>29</v>
      </c>
      <c r="J1226">
        <v>1</v>
      </c>
      <c r="K1226">
        <f>1-888-210-6063</f>
        <v>-7160</v>
      </c>
      <c r="L1226" t="s">
        <v>3809</v>
      </c>
      <c r="M1226" t="s">
        <v>3810</v>
      </c>
      <c r="N1226" t="s">
        <v>278</v>
      </c>
      <c r="O1226" t="s">
        <v>28</v>
      </c>
      <c r="P1226" t="s">
        <v>782</v>
      </c>
      <c r="Q1226">
        <v>-35</v>
      </c>
      <c r="R1226">
        <v>99.999999000000003</v>
      </c>
    </row>
    <row r="1227" spans="1:18" x14ac:dyDescent="0.2">
      <c r="A1227" t="s">
        <v>270</v>
      </c>
      <c r="B1227" t="s">
        <v>3586</v>
      </c>
      <c r="C1227">
        <v>1</v>
      </c>
      <c r="D1227" s="1">
        <v>44096.369351851848</v>
      </c>
      <c r="E1227" t="s">
        <v>3811</v>
      </c>
      <c r="F1227" t="s">
        <v>273</v>
      </c>
      <c r="G1227" t="s">
        <v>3588</v>
      </c>
      <c r="H1227" t="s">
        <v>275</v>
      </c>
      <c r="I1227" t="s">
        <v>29</v>
      </c>
      <c r="J1227">
        <v>1</v>
      </c>
      <c r="K1227">
        <f>1-844-316-9077</f>
        <v>-10236</v>
      </c>
      <c r="L1227" t="s">
        <v>3812</v>
      </c>
      <c r="M1227" t="s">
        <v>3813</v>
      </c>
      <c r="N1227" t="s">
        <v>278</v>
      </c>
      <c r="O1227" t="s">
        <v>28</v>
      </c>
      <c r="P1227" t="s">
        <v>782</v>
      </c>
      <c r="Q1227">
        <v>-35</v>
      </c>
      <c r="R1227">
        <v>99.999999000000003</v>
      </c>
    </row>
    <row r="1228" spans="1:18" x14ac:dyDescent="0.2">
      <c r="A1228" t="s">
        <v>270</v>
      </c>
      <c r="B1228" t="s">
        <v>3586</v>
      </c>
      <c r="C1228">
        <v>1</v>
      </c>
      <c r="D1228" s="1">
        <v>44096.368796296294</v>
      </c>
      <c r="E1228" t="s">
        <v>3814</v>
      </c>
      <c r="F1228" t="s">
        <v>273</v>
      </c>
      <c r="G1228" t="s">
        <v>3588</v>
      </c>
      <c r="H1228" t="s">
        <v>275</v>
      </c>
      <c r="I1228" t="s">
        <v>29</v>
      </c>
      <c r="J1228">
        <v>1</v>
      </c>
      <c r="K1228">
        <f>1-844-305-9953</f>
        <v>-11101</v>
      </c>
      <c r="L1228" t="s">
        <v>3815</v>
      </c>
      <c r="M1228" t="s">
        <v>3816</v>
      </c>
      <c r="N1228" t="s">
        <v>278</v>
      </c>
      <c r="O1228" t="s">
        <v>28</v>
      </c>
      <c r="P1228" t="s">
        <v>782</v>
      </c>
      <c r="Q1228">
        <v>-35</v>
      </c>
      <c r="R1228">
        <v>99.999999000000003</v>
      </c>
    </row>
    <row r="1229" spans="1:18" x14ac:dyDescent="0.2">
      <c r="A1229" t="s">
        <v>270</v>
      </c>
      <c r="B1229" t="s">
        <v>3586</v>
      </c>
      <c r="C1229">
        <v>1</v>
      </c>
      <c r="D1229" s="1">
        <v>44096.368576388886</v>
      </c>
      <c r="E1229" t="s">
        <v>3817</v>
      </c>
      <c r="F1229" t="s">
        <v>273</v>
      </c>
      <c r="G1229" t="s">
        <v>3588</v>
      </c>
      <c r="H1229" t="s">
        <v>275</v>
      </c>
      <c r="I1229" t="s">
        <v>29</v>
      </c>
      <c r="J1229">
        <v>1</v>
      </c>
      <c r="K1229">
        <f>1-844-318-5957</f>
        <v>-7118</v>
      </c>
      <c r="L1229" t="s">
        <v>3818</v>
      </c>
      <c r="M1229" t="s">
        <v>3819</v>
      </c>
      <c r="N1229" t="s">
        <v>278</v>
      </c>
      <c r="O1229" t="s">
        <v>28</v>
      </c>
      <c r="P1229" t="s">
        <v>782</v>
      </c>
      <c r="Q1229">
        <v>-35</v>
      </c>
      <c r="R1229">
        <v>99.999999000000003</v>
      </c>
    </row>
    <row r="1230" spans="1:18" x14ac:dyDescent="0.2">
      <c r="A1230" t="s">
        <v>270</v>
      </c>
      <c r="B1230" t="s">
        <v>3586</v>
      </c>
      <c r="C1230">
        <v>1</v>
      </c>
      <c r="D1230" s="1">
        <v>44096.367824074077</v>
      </c>
      <c r="E1230" t="s">
        <v>3820</v>
      </c>
      <c r="F1230" t="s">
        <v>273</v>
      </c>
      <c r="G1230" t="s">
        <v>3588</v>
      </c>
      <c r="H1230" t="s">
        <v>275</v>
      </c>
      <c r="I1230" t="s">
        <v>29</v>
      </c>
      <c r="J1230">
        <v>1</v>
      </c>
      <c r="K1230">
        <f>1-844-305-9953</f>
        <v>-11101</v>
      </c>
      <c r="L1230" t="s">
        <v>3821</v>
      </c>
      <c r="M1230" t="s">
        <v>3822</v>
      </c>
      <c r="N1230" t="s">
        <v>278</v>
      </c>
      <c r="O1230" t="s">
        <v>28</v>
      </c>
      <c r="P1230" t="s">
        <v>782</v>
      </c>
      <c r="Q1230">
        <v>-35</v>
      </c>
      <c r="R1230">
        <v>99.999999000000003</v>
      </c>
    </row>
    <row r="1231" spans="1:18" x14ac:dyDescent="0.2">
      <c r="A1231" t="s">
        <v>270</v>
      </c>
      <c r="B1231" t="s">
        <v>3586</v>
      </c>
      <c r="C1231">
        <v>1</v>
      </c>
      <c r="D1231" s="1">
        <v>44096.367604166669</v>
      </c>
      <c r="E1231" t="s">
        <v>3823</v>
      </c>
      <c r="F1231" t="s">
        <v>273</v>
      </c>
      <c r="G1231" t="s">
        <v>3588</v>
      </c>
      <c r="H1231" t="s">
        <v>275</v>
      </c>
      <c r="I1231" t="s">
        <v>29</v>
      </c>
      <c r="J1231">
        <v>1</v>
      </c>
      <c r="K1231">
        <f>1-844-305-9953</f>
        <v>-11101</v>
      </c>
      <c r="L1231" t="s">
        <v>3824</v>
      </c>
      <c r="M1231" t="s">
        <v>3825</v>
      </c>
      <c r="N1231" t="s">
        <v>278</v>
      </c>
      <c r="O1231" t="s">
        <v>28</v>
      </c>
      <c r="P1231" t="s">
        <v>782</v>
      </c>
      <c r="Q1231">
        <v>-35</v>
      </c>
      <c r="R1231">
        <v>99.999999000000003</v>
      </c>
    </row>
    <row r="1232" spans="1:18" x14ac:dyDescent="0.2">
      <c r="A1232" t="s">
        <v>270</v>
      </c>
      <c r="B1232" t="s">
        <v>3586</v>
      </c>
      <c r="C1232">
        <v>1</v>
      </c>
      <c r="D1232" s="1">
        <v>44096.367581018516</v>
      </c>
      <c r="E1232" t="s">
        <v>3826</v>
      </c>
      <c r="F1232" t="s">
        <v>273</v>
      </c>
      <c r="G1232" t="s">
        <v>3588</v>
      </c>
      <c r="H1232" t="s">
        <v>275</v>
      </c>
      <c r="I1232" t="s">
        <v>29</v>
      </c>
      <c r="J1232">
        <v>1</v>
      </c>
      <c r="K1232">
        <f>1-844-309-2423</f>
        <v>-3575</v>
      </c>
      <c r="L1232" t="s">
        <v>3827</v>
      </c>
      <c r="M1232" t="s">
        <v>3828</v>
      </c>
      <c r="N1232" t="s">
        <v>278</v>
      </c>
      <c r="O1232" t="s">
        <v>28</v>
      </c>
      <c r="P1232" t="s">
        <v>782</v>
      </c>
      <c r="Q1232">
        <v>-35</v>
      </c>
      <c r="R1232">
        <v>99.999999000000003</v>
      </c>
    </row>
    <row r="1233" spans="1:18" x14ac:dyDescent="0.2">
      <c r="A1233" t="s">
        <v>270</v>
      </c>
      <c r="B1233" t="s">
        <v>3586</v>
      </c>
      <c r="C1233">
        <v>1</v>
      </c>
      <c r="D1233" s="1">
        <v>44096.36755787037</v>
      </c>
      <c r="E1233" t="s">
        <v>3826</v>
      </c>
      <c r="F1233" t="s">
        <v>273</v>
      </c>
      <c r="G1233" t="s">
        <v>3588</v>
      </c>
      <c r="H1233" t="s">
        <v>275</v>
      </c>
      <c r="I1233" t="s">
        <v>29</v>
      </c>
      <c r="J1233">
        <v>1</v>
      </c>
      <c r="K1233">
        <f>1-844-309-2423</f>
        <v>-3575</v>
      </c>
      <c r="L1233" t="s">
        <v>3829</v>
      </c>
      <c r="M1233" t="s">
        <v>3828</v>
      </c>
      <c r="N1233" t="s">
        <v>278</v>
      </c>
      <c r="O1233" t="s">
        <v>28</v>
      </c>
      <c r="P1233" t="s">
        <v>782</v>
      </c>
      <c r="Q1233">
        <v>-35</v>
      </c>
      <c r="R1233">
        <v>99.999999000000003</v>
      </c>
    </row>
    <row r="1234" spans="1:18" x14ac:dyDescent="0.2">
      <c r="A1234" t="s">
        <v>270</v>
      </c>
      <c r="B1234" t="s">
        <v>3586</v>
      </c>
      <c r="C1234">
        <v>1</v>
      </c>
      <c r="D1234" s="1">
        <v>44096.367071759261</v>
      </c>
      <c r="E1234" t="s">
        <v>3830</v>
      </c>
      <c r="F1234" t="s">
        <v>273</v>
      </c>
      <c r="G1234" t="s">
        <v>3588</v>
      </c>
      <c r="H1234" t="s">
        <v>275</v>
      </c>
      <c r="I1234" t="s">
        <v>29</v>
      </c>
      <c r="J1234">
        <v>1</v>
      </c>
      <c r="K1234">
        <f>1-844-309-2423</f>
        <v>-3575</v>
      </c>
      <c r="L1234" t="s">
        <v>3831</v>
      </c>
      <c r="M1234" t="s">
        <v>3832</v>
      </c>
      <c r="N1234" t="s">
        <v>278</v>
      </c>
      <c r="O1234" t="s">
        <v>28</v>
      </c>
      <c r="P1234" t="s">
        <v>782</v>
      </c>
      <c r="Q1234">
        <v>-35</v>
      </c>
      <c r="R1234">
        <v>99.999999000000003</v>
      </c>
    </row>
    <row r="1235" spans="1:18" x14ac:dyDescent="0.2">
      <c r="A1235" t="s">
        <v>270</v>
      </c>
      <c r="B1235" t="s">
        <v>3586</v>
      </c>
      <c r="C1235">
        <v>1</v>
      </c>
      <c r="D1235" s="1">
        <v>44096.366203703707</v>
      </c>
      <c r="E1235" t="s">
        <v>3833</v>
      </c>
      <c r="F1235" t="s">
        <v>273</v>
      </c>
      <c r="G1235" t="s">
        <v>3588</v>
      </c>
      <c r="H1235" t="s">
        <v>275</v>
      </c>
      <c r="I1235" t="s">
        <v>29</v>
      </c>
      <c r="J1235">
        <v>1</v>
      </c>
      <c r="K1235">
        <f>1-844-318-5957</f>
        <v>-7118</v>
      </c>
      <c r="L1235" t="s">
        <v>3834</v>
      </c>
      <c r="M1235" t="s">
        <v>3835</v>
      </c>
      <c r="N1235" t="s">
        <v>278</v>
      </c>
      <c r="O1235" t="s">
        <v>28</v>
      </c>
      <c r="P1235" t="s">
        <v>782</v>
      </c>
      <c r="Q1235">
        <v>-35</v>
      </c>
      <c r="R1235">
        <v>99.999999000000003</v>
      </c>
    </row>
    <row r="1236" spans="1:18" x14ac:dyDescent="0.2">
      <c r="A1236" t="s">
        <v>270</v>
      </c>
      <c r="B1236" t="s">
        <v>3586</v>
      </c>
      <c r="C1236">
        <v>1</v>
      </c>
      <c r="D1236" s="1">
        <v>44095.788888888892</v>
      </c>
      <c r="E1236" t="s">
        <v>3836</v>
      </c>
      <c r="F1236" t="s">
        <v>273</v>
      </c>
      <c r="G1236" t="s">
        <v>3588</v>
      </c>
      <c r="H1236" t="s">
        <v>275</v>
      </c>
      <c r="I1236" t="s">
        <v>29</v>
      </c>
      <c r="J1236">
        <v>1</v>
      </c>
      <c r="K1236">
        <f>1-844-316-9077</f>
        <v>-10236</v>
      </c>
      <c r="L1236" t="s">
        <v>3837</v>
      </c>
      <c r="M1236" t="s">
        <v>3838</v>
      </c>
      <c r="N1236" t="s">
        <v>278</v>
      </c>
      <c r="O1236" t="s">
        <v>28</v>
      </c>
      <c r="P1236" t="s">
        <v>782</v>
      </c>
      <c r="Q1236">
        <v>-35</v>
      </c>
      <c r="R1236">
        <v>99.999999000000003</v>
      </c>
    </row>
    <row r="1237" spans="1:18" x14ac:dyDescent="0.2">
      <c r="A1237" t="s">
        <v>270</v>
      </c>
      <c r="B1237" t="s">
        <v>3586</v>
      </c>
      <c r="C1237">
        <v>1</v>
      </c>
      <c r="D1237" s="1">
        <v>44095.784131944441</v>
      </c>
      <c r="E1237" t="s">
        <v>3839</v>
      </c>
      <c r="F1237" t="s">
        <v>273</v>
      </c>
      <c r="G1237" t="s">
        <v>3588</v>
      </c>
      <c r="H1237" t="s">
        <v>275</v>
      </c>
      <c r="I1237" t="s">
        <v>29</v>
      </c>
      <c r="J1237">
        <v>1</v>
      </c>
      <c r="K1237">
        <f>1-844-288-9111</f>
        <v>-10242</v>
      </c>
      <c r="L1237" t="s">
        <v>3840</v>
      </c>
      <c r="M1237" t="s">
        <v>3841</v>
      </c>
      <c r="N1237" t="s">
        <v>278</v>
      </c>
      <c r="O1237" t="s">
        <v>28</v>
      </c>
      <c r="P1237" t="s">
        <v>782</v>
      </c>
      <c r="Q1237">
        <v>-35</v>
      </c>
      <c r="R1237">
        <v>99.999999000000003</v>
      </c>
    </row>
    <row r="1238" spans="1:18" x14ac:dyDescent="0.2">
      <c r="A1238" t="s">
        <v>270</v>
      </c>
      <c r="B1238" t="s">
        <v>3586</v>
      </c>
      <c r="C1238">
        <v>1</v>
      </c>
      <c r="D1238" s="1">
        <v>44092.808564814812</v>
      </c>
      <c r="E1238" t="s">
        <v>3842</v>
      </c>
      <c r="F1238" t="s">
        <v>273</v>
      </c>
      <c r="G1238" t="s">
        <v>3588</v>
      </c>
      <c r="H1238" t="s">
        <v>275</v>
      </c>
      <c r="I1238" t="s">
        <v>29</v>
      </c>
      <c r="J1238">
        <v>1</v>
      </c>
      <c r="K1238">
        <f>1-844-309-2425</f>
        <v>-3577</v>
      </c>
      <c r="L1238" t="s">
        <v>3843</v>
      </c>
      <c r="M1238" t="s">
        <v>3844</v>
      </c>
      <c r="N1238" t="s">
        <v>278</v>
      </c>
      <c r="O1238" t="s">
        <v>28</v>
      </c>
      <c r="P1238" t="s">
        <v>782</v>
      </c>
      <c r="Q1238">
        <v>-35</v>
      </c>
      <c r="R1238">
        <v>99.999999000000003</v>
      </c>
    </row>
    <row r="1239" spans="1:18" x14ac:dyDescent="0.2">
      <c r="A1239" t="s">
        <v>270</v>
      </c>
      <c r="B1239" t="s">
        <v>3586</v>
      </c>
      <c r="C1239">
        <v>1</v>
      </c>
      <c r="D1239" s="1">
        <v>44090.993090277778</v>
      </c>
      <c r="E1239" t="s">
        <v>3845</v>
      </c>
      <c r="F1239" t="s">
        <v>273</v>
      </c>
      <c r="G1239" t="s">
        <v>3588</v>
      </c>
      <c r="H1239" t="s">
        <v>275</v>
      </c>
      <c r="I1239" t="s">
        <v>29</v>
      </c>
      <c r="J1239">
        <v>1</v>
      </c>
      <c r="K1239">
        <f>1-844-242-3148</f>
        <v>-4233</v>
      </c>
      <c r="L1239" t="s">
        <v>3846</v>
      </c>
      <c r="M1239" t="s">
        <v>3847</v>
      </c>
      <c r="N1239" t="s">
        <v>278</v>
      </c>
      <c r="O1239" t="s">
        <v>28</v>
      </c>
      <c r="P1239" t="s">
        <v>782</v>
      </c>
      <c r="Q1239">
        <v>-35</v>
      </c>
      <c r="R1239">
        <v>99.999999000000003</v>
      </c>
    </row>
    <row r="1240" spans="1:18" x14ac:dyDescent="0.2">
      <c r="A1240" t="s">
        <v>270</v>
      </c>
      <c r="B1240" t="s">
        <v>3586</v>
      </c>
      <c r="C1240">
        <v>1</v>
      </c>
      <c r="D1240" s="1">
        <v>44090.991793981484</v>
      </c>
      <c r="E1240" t="s">
        <v>3848</v>
      </c>
      <c r="F1240" t="s">
        <v>273</v>
      </c>
      <c r="G1240" t="s">
        <v>3588</v>
      </c>
      <c r="H1240" t="s">
        <v>275</v>
      </c>
      <c r="I1240" t="s">
        <v>29</v>
      </c>
      <c r="J1240">
        <v>1</v>
      </c>
      <c r="K1240">
        <f>1-844-242-3148</f>
        <v>-4233</v>
      </c>
      <c r="L1240" t="s">
        <v>3849</v>
      </c>
      <c r="M1240" t="s">
        <v>3850</v>
      </c>
      <c r="N1240" t="s">
        <v>278</v>
      </c>
      <c r="O1240" t="s">
        <v>28</v>
      </c>
      <c r="P1240" t="s">
        <v>782</v>
      </c>
      <c r="Q1240">
        <v>-35</v>
      </c>
      <c r="R1240">
        <v>99.999999000000003</v>
      </c>
    </row>
    <row r="1241" spans="1:18" x14ac:dyDescent="0.2">
      <c r="A1241" t="s">
        <v>270</v>
      </c>
      <c r="B1241" t="s">
        <v>3586</v>
      </c>
      <c r="C1241">
        <v>1</v>
      </c>
      <c r="D1241" s="1">
        <v>44090.991388888891</v>
      </c>
      <c r="E1241" t="s">
        <v>3851</v>
      </c>
      <c r="F1241" t="s">
        <v>273</v>
      </c>
      <c r="G1241" t="s">
        <v>3588</v>
      </c>
      <c r="H1241" t="s">
        <v>275</v>
      </c>
      <c r="I1241" t="s">
        <v>29</v>
      </c>
      <c r="J1241">
        <v>1</v>
      </c>
      <c r="K1241">
        <f>1-844-242-3148</f>
        <v>-4233</v>
      </c>
      <c r="L1241" t="s">
        <v>3852</v>
      </c>
      <c r="M1241" t="s">
        <v>3853</v>
      </c>
      <c r="N1241" t="s">
        <v>278</v>
      </c>
      <c r="O1241" t="s">
        <v>28</v>
      </c>
      <c r="P1241" t="s">
        <v>782</v>
      </c>
      <c r="Q1241">
        <v>-35</v>
      </c>
      <c r="R1241">
        <v>99.999999000000003</v>
      </c>
    </row>
    <row r="1242" spans="1:18" x14ac:dyDescent="0.2">
      <c r="A1242" t="s">
        <v>270</v>
      </c>
      <c r="B1242" t="s">
        <v>3586</v>
      </c>
      <c r="C1242">
        <v>1</v>
      </c>
      <c r="D1242" s="1">
        <v>44090.798877314817</v>
      </c>
      <c r="E1242" t="s">
        <v>3854</v>
      </c>
      <c r="F1242" t="s">
        <v>273</v>
      </c>
      <c r="G1242" t="s">
        <v>3588</v>
      </c>
      <c r="H1242" t="s">
        <v>275</v>
      </c>
      <c r="I1242" t="s">
        <v>29</v>
      </c>
      <c r="J1242">
        <v>1</v>
      </c>
      <c r="K1242">
        <f>1-844-221-2340</f>
        <v>-3404</v>
      </c>
      <c r="L1242" t="s">
        <v>3855</v>
      </c>
      <c r="M1242" t="s">
        <v>3856</v>
      </c>
      <c r="N1242" t="s">
        <v>278</v>
      </c>
      <c r="O1242" t="s">
        <v>28</v>
      </c>
      <c r="P1242" t="s">
        <v>782</v>
      </c>
      <c r="Q1242">
        <v>-35</v>
      </c>
      <c r="R1242">
        <v>99.999999000000003</v>
      </c>
    </row>
    <row r="1243" spans="1:18" x14ac:dyDescent="0.2">
      <c r="A1243" t="s">
        <v>270</v>
      </c>
      <c r="B1243" t="s">
        <v>3586</v>
      </c>
      <c r="C1243">
        <v>1</v>
      </c>
      <c r="D1243" s="1">
        <v>44090.798252314817</v>
      </c>
      <c r="E1243" t="s">
        <v>3857</v>
      </c>
      <c r="F1243" t="s">
        <v>273</v>
      </c>
      <c r="G1243" t="s">
        <v>3588</v>
      </c>
      <c r="H1243" t="s">
        <v>275</v>
      </c>
      <c r="I1243" t="s">
        <v>29</v>
      </c>
      <c r="J1243">
        <v>1</v>
      </c>
      <c r="K1243">
        <f>1-844-243-4064</f>
        <v>-5150</v>
      </c>
      <c r="L1243" t="s">
        <v>3858</v>
      </c>
      <c r="M1243" t="s">
        <v>3859</v>
      </c>
      <c r="N1243" t="s">
        <v>278</v>
      </c>
      <c r="O1243" t="s">
        <v>28</v>
      </c>
      <c r="P1243" t="s">
        <v>782</v>
      </c>
      <c r="Q1243">
        <v>-35</v>
      </c>
      <c r="R1243">
        <v>99.999999000000003</v>
      </c>
    </row>
    <row r="1244" spans="1:18" x14ac:dyDescent="0.2">
      <c r="A1244" t="s">
        <v>270</v>
      </c>
      <c r="B1244" t="s">
        <v>3586</v>
      </c>
      <c r="C1244">
        <v>1</v>
      </c>
      <c r="D1244" s="1">
        <v>44090.797465277778</v>
      </c>
      <c r="E1244" t="s">
        <v>3860</v>
      </c>
      <c r="F1244" t="s">
        <v>273</v>
      </c>
      <c r="G1244" t="s">
        <v>3588</v>
      </c>
      <c r="H1244" t="s">
        <v>275</v>
      </c>
      <c r="I1244" t="s">
        <v>29</v>
      </c>
      <c r="J1244">
        <v>1</v>
      </c>
      <c r="K1244">
        <f>1-844-243-4064</f>
        <v>-5150</v>
      </c>
      <c r="L1244" t="s">
        <v>3861</v>
      </c>
      <c r="M1244" t="s">
        <v>3862</v>
      </c>
      <c r="N1244" t="s">
        <v>278</v>
      </c>
      <c r="O1244" t="s">
        <v>28</v>
      </c>
      <c r="P1244" t="s">
        <v>782</v>
      </c>
      <c r="Q1244">
        <v>-35</v>
      </c>
      <c r="R1244">
        <v>99.999999000000003</v>
      </c>
    </row>
    <row r="1245" spans="1:18" x14ac:dyDescent="0.2">
      <c r="A1245" t="s">
        <v>270</v>
      </c>
      <c r="B1245" t="s">
        <v>3586</v>
      </c>
      <c r="C1245">
        <v>1</v>
      </c>
      <c r="D1245" s="1">
        <v>44090.416342592594</v>
      </c>
      <c r="E1245" t="s">
        <v>3863</v>
      </c>
      <c r="F1245" t="s">
        <v>273</v>
      </c>
      <c r="G1245" t="s">
        <v>3588</v>
      </c>
      <c r="H1245" t="s">
        <v>275</v>
      </c>
      <c r="I1245" t="s">
        <v>29</v>
      </c>
      <c r="J1245">
        <v>1</v>
      </c>
      <c r="K1245">
        <f>1-844-318-8589</f>
        <v>-9750</v>
      </c>
      <c r="L1245" t="s">
        <v>3864</v>
      </c>
      <c r="M1245" t="s">
        <v>3865</v>
      </c>
      <c r="N1245" t="s">
        <v>278</v>
      </c>
      <c r="O1245" t="s">
        <v>28</v>
      </c>
      <c r="P1245" t="s">
        <v>782</v>
      </c>
      <c r="Q1245">
        <v>-35</v>
      </c>
      <c r="R1245">
        <v>99.999999000000003</v>
      </c>
    </row>
    <row r="1246" spans="1:18" x14ac:dyDescent="0.2">
      <c r="A1246" t="s">
        <v>270</v>
      </c>
      <c r="B1246" t="s">
        <v>3586</v>
      </c>
      <c r="C1246">
        <v>1</v>
      </c>
      <c r="D1246" s="1">
        <v>44090.416122685187</v>
      </c>
      <c r="E1246" t="s">
        <v>3866</v>
      </c>
      <c r="F1246" t="s">
        <v>273</v>
      </c>
      <c r="G1246" t="s">
        <v>3588</v>
      </c>
      <c r="H1246" t="s">
        <v>275</v>
      </c>
      <c r="I1246" t="s">
        <v>29</v>
      </c>
      <c r="J1246">
        <v>1</v>
      </c>
      <c r="K1246">
        <f>1-844-254-8317</f>
        <v>-9414</v>
      </c>
      <c r="L1246" t="s">
        <v>3867</v>
      </c>
      <c r="M1246" t="s">
        <v>3868</v>
      </c>
      <c r="N1246" t="s">
        <v>278</v>
      </c>
      <c r="O1246" t="s">
        <v>28</v>
      </c>
      <c r="P1246" t="s">
        <v>782</v>
      </c>
      <c r="Q1246">
        <v>-35</v>
      </c>
      <c r="R1246">
        <v>99.999999000000003</v>
      </c>
    </row>
    <row r="1247" spans="1:18" x14ac:dyDescent="0.2">
      <c r="A1247" t="s">
        <v>270</v>
      </c>
      <c r="B1247" t="s">
        <v>3586</v>
      </c>
      <c r="C1247">
        <v>1</v>
      </c>
      <c r="D1247" s="1">
        <v>44090.415694444448</v>
      </c>
      <c r="E1247" t="s">
        <v>3869</v>
      </c>
      <c r="F1247" t="s">
        <v>273</v>
      </c>
      <c r="G1247" t="s">
        <v>3588</v>
      </c>
      <c r="H1247" t="s">
        <v>275</v>
      </c>
      <c r="I1247" t="s">
        <v>29</v>
      </c>
      <c r="J1247">
        <v>1</v>
      </c>
      <c r="K1247">
        <f>1-844-293-8713</f>
        <v>-9849</v>
      </c>
      <c r="L1247" t="s">
        <v>3870</v>
      </c>
      <c r="M1247" t="s">
        <v>3871</v>
      </c>
      <c r="N1247" t="s">
        <v>278</v>
      </c>
      <c r="O1247" t="s">
        <v>28</v>
      </c>
      <c r="P1247" t="s">
        <v>782</v>
      </c>
      <c r="Q1247">
        <v>-35</v>
      </c>
      <c r="R1247">
        <v>99.999999000000003</v>
      </c>
    </row>
    <row r="1248" spans="1:18" x14ac:dyDescent="0.2">
      <c r="A1248" t="s">
        <v>270</v>
      </c>
      <c r="B1248" t="s">
        <v>3586</v>
      </c>
      <c r="C1248">
        <v>1</v>
      </c>
      <c r="D1248" s="1">
        <v>44090.415462962963</v>
      </c>
      <c r="E1248" t="s">
        <v>3872</v>
      </c>
      <c r="F1248" t="s">
        <v>273</v>
      </c>
      <c r="G1248" t="s">
        <v>3588</v>
      </c>
      <c r="H1248" t="s">
        <v>275</v>
      </c>
      <c r="I1248" t="s">
        <v>29</v>
      </c>
      <c r="J1248">
        <v>1</v>
      </c>
      <c r="K1248">
        <f>1-844-293-8713</f>
        <v>-9849</v>
      </c>
      <c r="L1248" t="s">
        <v>3873</v>
      </c>
      <c r="M1248" t="s">
        <v>3874</v>
      </c>
      <c r="N1248" t="s">
        <v>278</v>
      </c>
      <c r="O1248" t="s">
        <v>28</v>
      </c>
      <c r="P1248" t="s">
        <v>782</v>
      </c>
      <c r="Q1248">
        <v>-35</v>
      </c>
      <c r="R1248">
        <v>99.999999000000003</v>
      </c>
    </row>
    <row r="1249" spans="1:18" x14ac:dyDescent="0.2">
      <c r="A1249" t="s">
        <v>270</v>
      </c>
      <c r="B1249" t="s">
        <v>3586</v>
      </c>
      <c r="C1249">
        <v>1</v>
      </c>
      <c r="D1249" s="1">
        <v>44090.415243055555</v>
      </c>
      <c r="E1249" t="s">
        <v>3875</v>
      </c>
      <c r="F1249" t="s">
        <v>273</v>
      </c>
      <c r="G1249" t="s">
        <v>3588</v>
      </c>
      <c r="H1249" t="s">
        <v>275</v>
      </c>
      <c r="I1249" t="s">
        <v>29</v>
      </c>
      <c r="J1249">
        <v>1</v>
      </c>
      <c r="K1249">
        <f>1-844-293-8713</f>
        <v>-9849</v>
      </c>
      <c r="L1249" t="s">
        <v>3876</v>
      </c>
      <c r="M1249" t="s">
        <v>3877</v>
      </c>
      <c r="N1249" t="s">
        <v>278</v>
      </c>
      <c r="O1249" t="s">
        <v>28</v>
      </c>
      <c r="P1249" t="s">
        <v>782</v>
      </c>
      <c r="Q1249">
        <v>-35</v>
      </c>
      <c r="R1249">
        <v>99.999999000000003</v>
      </c>
    </row>
    <row r="1250" spans="1:18" x14ac:dyDescent="0.2">
      <c r="A1250" t="s">
        <v>270</v>
      </c>
      <c r="B1250" t="s">
        <v>3586</v>
      </c>
      <c r="C1250">
        <v>1</v>
      </c>
      <c r="D1250" s="1">
        <v>44090.41443287037</v>
      </c>
      <c r="E1250" t="s">
        <v>3800</v>
      </c>
      <c r="F1250" t="s">
        <v>273</v>
      </c>
      <c r="G1250" t="s">
        <v>3588</v>
      </c>
      <c r="H1250" t="s">
        <v>275</v>
      </c>
      <c r="I1250" t="s">
        <v>29</v>
      </c>
      <c r="J1250">
        <v>1</v>
      </c>
      <c r="K1250">
        <f>1-844-311-7591</f>
        <v>-8745</v>
      </c>
      <c r="L1250" t="s">
        <v>3878</v>
      </c>
      <c r="M1250" t="s">
        <v>3879</v>
      </c>
      <c r="N1250" t="s">
        <v>278</v>
      </c>
      <c r="O1250" t="s">
        <v>28</v>
      </c>
      <c r="P1250" t="s">
        <v>782</v>
      </c>
      <c r="Q1250">
        <v>-35</v>
      </c>
      <c r="R1250">
        <v>99.999999000000003</v>
      </c>
    </row>
    <row r="1251" spans="1:18" x14ac:dyDescent="0.2">
      <c r="A1251" t="s">
        <v>270</v>
      </c>
      <c r="B1251" t="s">
        <v>3586</v>
      </c>
      <c r="C1251">
        <v>1</v>
      </c>
      <c r="D1251" s="1">
        <v>44089.810682870368</v>
      </c>
      <c r="E1251" t="s">
        <v>3880</v>
      </c>
      <c r="F1251" t="s">
        <v>273</v>
      </c>
      <c r="G1251" t="s">
        <v>3588</v>
      </c>
      <c r="H1251" t="s">
        <v>275</v>
      </c>
      <c r="I1251" t="s">
        <v>29</v>
      </c>
      <c r="J1251">
        <v>1</v>
      </c>
      <c r="K1251">
        <f>1-844-218-3888</f>
        <v>-4949</v>
      </c>
      <c r="L1251" t="s">
        <v>3881</v>
      </c>
      <c r="M1251" t="s">
        <v>3882</v>
      </c>
      <c r="N1251" t="s">
        <v>278</v>
      </c>
      <c r="O1251" t="s">
        <v>28</v>
      </c>
      <c r="P1251" t="s">
        <v>782</v>
      </c>
      <c r="Q1251">
        <v>-35</v>
      </c>
      <c r="R1251">
        <v>99.999999000000003</v>
      </c>
    </row>
    <row r="1252" spans="1:18" x14ac:dyDescent="0.2">
      <c r="A1252" t="s">
        <v>270</v>
      </c>
      <c r="B1252" t="s">
        <v>3586</v>
      </c>
      <c r="C1252">
        <v>1</v>
      </c>
      <c r="D1252" s="1">
        <v>44089.756493055553</v>
      </c>
      <c r="E1252" t="s">
        <v>3883</v>
      </c>
      <c r="F1252" t="s">
        <v>273</v>
      </c>
      <c r="G1252" t="s">
        <v>3588</v>
      </c>
      <c r="H1252" t="s">
        <v>275</v>
      </c>
      <c r="I1252" t="s">
        <v>29</v>
      </c>
      <c r="J1252">
        <v>1</v>
      </c>
      <c r="K1252">
        <f>1-844-218-3888</f>
        <v>-4949</v>
      </c>
      <c r="L1252" t="s">
        <v>3884</v>
      </c>
      <c r="M1252" t="s">
        <v>3885</v>
      </c>
      <c r="N1252" t="s">
        <v>278</v>
      </c>
      <c r="O1252" t="s">
        <v>28</v>
      </c>
      <c r="P1252" t="s">
        <v>782</v>
      </c>
      <c r="Q1252">
        <v>-35</v>
      </c>
      <c r="R1252">
        <v>99.999999000000003</v>
      </c>
    </row>
    <row r="1253" spans="1:18" x14ac:dyDescent="0.2">
      <c r="A1253" t="s">
        <v>270</v>
      </c>
      <c r="B1253" t="s">
        <v>3586</v>
      </c>
      <c r="C1253">
        <v>1</v>
      </c>
      <c r="D1253" s="1">
        <v>44089.431712962964</v>
      </c>
      <c r="E1253" t="s">
        <v>3886</v>
      </c>
      <c r="F1253" t="s">
        <v>273</v>
      </c>
      <c r="G1253" t="s">
        <v>3588</v>
      </c>
      <c r="H1253" t="s">
        <v>275</v>
      </c>
      <c r="I1253" t="s">
        <v>29</v>
      </c>
      <c r="J1253">
        <v>1</v>
      </c>
      <c r="K1253">
        <f>1-844-210-4337</f>
        <v>-5390</v>
      </c>
      <c r="L1253" t="s">
        <v>3887</v>
      </c>
      <c r="M1253" t="s">
        <v>3888</v>
      </c>
      <c r="N1253" t="s">
        <v>278</v>
      </c>
      <c r="O1253" t="s">
        <v>28</v>
      </c>
      <c r="P1253" t="s">
        <v>782</v>
      </c>
      <c r="Q1253">
        <v>-35</v>
      </c>
      <c r="R1253">
        <v>99.999999000000003</v>
      </c>
    </row>
    <row r="1254" spans="1:18" x14ac:dyDescent="0.2">
      <c r="A1254" t="s">
        <v>270</v>
      </c>
      <c r="B1254" t="s">
        <v>3586</v>
      </c>
      <c r="C1254">
        <v>1</v>
      </c>
      <c r="D1254" s="1">
        <v>44089.431574074071</v>
      </c>
      <c r="E1254" t="s">
        <v>3889</v>
      </c>
      <c r="F1254" t="s">
        <v>273</v>
      </c>
      <c r="G1254" t="s">
        <v>3588</v>
      </c>
      <c r="H1254" t="s">
        <v>275</v>
      </c>
      <c r="I1254" t="s">
        <v>29</v>
      </c>
      <c r="J1254">
        <v>1</v>
      </c>
      <c r="K1254">
        <f>1-844-210-4337</f>
        <v>-5390</v>
      </c>
      <c r="L1254" t="s">
        <v>3890</v>
      </c>
      <c r="M1254" t="s">
        <v>3891</v>
      </c>
      <c r="N1254" t="s">
        <v>278</v>
      </c>
      <c r="O1254" t="s">
        <v>28</v>
      </c>
      <c r="P1254" t="s">
        <v>782</v>
      </c>
      <c r="Q1254">
        <v>-35</v>
      </c>
      <c r="R1254">
        <v>99.999999000000003</v>
      </c>
    </row>
    <row r="1255" spans="1:18" x14ac:dyDescent="0.2">
      <c r="A1255" t="s">
        <v>270</v>
      </c>
      <c r="B1255" t="s">
        <v>3586</v>
      </c>
      <c r="C1255">
        <v>1</v>
      </c>
      <c r="D1255" s="1">
        <v>44089.431331018517</v>
      </c>
      <c r="E1255" t="s">
        <v>3892</v>
      </c>
      <c r="F1255" t="s">
        <v>273</v>
      </c>
      <c r="G1255" t="s">
        <v>3588</v>
      </c>
      <c r="H1255" t="s">
        <v>275</v>
      </c>
      <c r="I1255" t="s">
        <v>29</v>
      </c>
      <c r="J1255">
        <v>1</v>
      </c>
      <c r="K1255">
        <f>1-844-210-4337</f>
        <v>-5390</v>
      </c>
      <c r="L1255" t="s">
        <v>3893</v>
      </c>
      <c r="M1255" t="s">
        <v>3894</v>
      </c>
      <c r="N1255" t="s">
        <v>278</v>
      </c>
      <c r="O1255" t="s">
        <v>28</v>
      </c>
      <c r="P1255" t="s">
        <v>782</v>
      </c>
      <c r="Q1255">
        <v>-35</v>
      </c>
      <c r="R1255">
        <v>99.999999000000003</v>
      </c>
    </row>
    <row r="1256" spans="1:18" x14ac:dyDescent="0.2">
      <c r="A1256" t="s">
        <v>270</v>
      </c>
      <c r="B1256" t="s">
        <v>3586</v>
      </c>
      <c r="C1256">
        <v>1</v>
      </c>
      <c r="D1256" s="1">
        <v>44088.771724537037</v>
      </c>
      <c r="E1256" t="s">
        <v>3895</v>
      </c>
      <c r="F1256" t="s">
        <v>273</v>
      </c>
      <c r="G1256" t="s">
        <v>3588</v>
      </c>
      <c r="H1256" t="s">
        <v>275</v>
      </c>
      <c r="I1256" t="s">
        <v>29</v>
      </c>
      <c r="J1256">
        <v>1</v>
      </c>
      <c r="K1256">
        <f>1-844-212-7353</f>
        <v>-8408</v>
      </c>
      <c r="L1256" t="s">
        <v>3896</v>
      </c>
      <c r="M1256" t="s">
        <v>3897</v>
      </c>
      <c r="N1256" t="s">
        <v>278</v>
      </c>
      <c r="O1256" t="s">
        <v>28</v>
      </c>
      <c r="P1256" t="s">
        <v>782</v>
      </c>
      <c r="Q1256">
        <v>-35</v>
      </c>
      <c r="R1256">
        <v>99.999999000000003</v>
      </c>
    </row>
    <row r="1257" spans="1:18" x14ac:dyDescent="0.2">
      <c r="A1257" t="s">
        <v>270</v>
      </c>
      <c r="B1257" t="s">
        <v>3586</v>
      </c>
      <c r="C1257">
        <v>1</v>
      </c>
      <c r="D1257" s="1">
        <v>44089.430706018517</v>
      </c>
      <c r="E1257" t="s">
        <v>3898</v>
      </c>
      <c r="F1257" t="s">
        <v>273</v>
      </c>
      <c r="G1257" t="s">
        <v>3588</v>
      </c>
      <c r="H1257" t="s">
        <v>275</v>
      </c>
      <c r="I1257" t="s">
        <v>29</v>
      </c>
      <c r="J1257">
        <v>1</v>
      </c>
      <c r="K1257">
        <f>1-844-210-4337</f>
        <v>-5390</v>
      </c>
      <c r="L1257" t="s">
        <v>3899</v>
      </c>
      <c r="M1257" t="s">
        <v>3900</v>
      </c>
      <c r="N1257" t="s">
        <v>278</v>
      </c>
      <c r="O1257" t="s">
        <v>28</v>
      </c>
      <c r="P1257" t="s">
        <v>782</v>
      </c>
      <c r="Q1257">
        <v>-35</v>
      </c>
      <c r="R1257">
        <v>99.999999000000003</v>
      </c>
    </row>
    <row r="1258" spans="1:18" x14ac:dyDescent="0.2">
      <c r="A1258" t="s">
        <v>270</v>
      </c>
      <c r="B1258" t="s">
        <v>3586</v>
      </c>
      <c r="C1258">
        <v>1</v>
      </c>
      <c r="D1258" s="1">
        <v>44089.430532407408</v>
      </c>
      <c r="E1258" t="s">
        <v>3901</v>
      </c>
      <c r="F1258" t="s">
        <v>273</v>
      </c>
      <c r="G1258" t="s">
        <v>3588</v>
      </c>
      <c r="H1258" t="s">
        <v>275</v>
      </c>
      <c r="I1258" t="s">
        <v>29</v>
      </c>
      <c r="J1258">
        <v>1</v>
      </c>
      <c r="K1258">
        <f>1-844-210-4337</f>
        <v>-5390</v>
      </c>
      <c r="L1258" t="s">
        <v>3902</v>
      </c>
      <c r="M1258" t="s">
        <v>3903</v>
      </c>
      <c r="N1258" t="s">
        <v>278</v>
      </c>
      <c r="O1258" t="s">
        <v>28</v>
      </c>
      <c r="P1258" t="s">
        <v>782</v>
      </c>
      <c r="Q1258">
        <v>-35</v>
      </c>
      <c r="R1258">
        <v>99.999999000000003</v>
      </c>
    </row>
    <row r="1259" spans="1:18" x14ac:dyDescent="0.2">
      <c r="A1259" t="s">
        <v>270</v>
      </c>
      <c r="B1259" t="s">
        <v>3586</v>
      </c>
      <c r="C1259">
        <v>1</v>
      </c>
      <c r="D1259" s="1">
        <v>44088.775266203702</v>
      </c>
      <c r="E1259" t="s">
        <v>3904</v>
      </c>
      <c r="F1259" t="s">
        <v>273</v>
      </c>
      <c r="G1259" t="s">
        <v>3588</v>
      </c>
      <c r="H1259" t="s">
        <v>275</v>
      </c>
      <c r="I1259" t="s">
        <v>29</v>
      </c>
      <c r="J1259">
        <v>1</v>
      </c>
      <c r="K1259">
        <f>1-844-212-7353</f>
        <v>-8408</v>
      </c>
      <c r="L1259" t="s">
        <v>3905</v>
      </c>
      <c r="M1259" t="s">
        <v>3906</v>
      </c>
      <c r="N1259" t="s">
        <v>278</v>
      </c>
      <c r="O1259" t="s">
        <v>28</v>
      </c>
      <c r="P1259" t="s">
        <v>782</v>
      </c>
      <c r="Q1259">
        <v>-35</v>
      </c>
      <c r="R1259">
        <v>99.999999000000003</v>
      </c>
    </row>
    <row r="1260" spans="1:18" x14ac:dyDescent="0.2">
      <c r="A1260" t="s">
        <v>270</v>
      </c>
      <c r="B1260" t="s">
        <v>3586</v>
      </c>
      <c r="C1260">
        <v>1</v>
      </c>
      <c r="D1260" s="1">
        <v>44088.940995370373</v>
      </c>
      <c r="E1260" t="s">
        <v>3907</v>
      </c>
      <c r="F1260" t="s">
        <v>273</v>
      </c>
      <c r="G1260" t="s">
        <v>3588</v>
      </c>
      <c r="H1260" t="s">
        <v>275</v>
      </c>
      <c r="I1260" t="s">
        <v>29</v>
      </c>
      <c r="J1260">
        <v>1</v>
      </c>
      <c r="K1260">
        <f>1-844-225-7967</f>
        <v>-9035</v>
      </c>
      <c r="L1260" t="s">
        <v>3908</v>
      </c>
      <c r="M1260" t="s">
        <v>3909</v>
      </c>
      <c r="N1260" t="s">
        <v>278</v>
      </c>
      <c r="O1260" t="s">
        <v>28</v>
      </c>
      <c r="P1260" t="s">
        <v>782</v>
      </c>
      <c r="Q1260">
        <v>-35</v>
      </c>
      <c r="R1260">
        <v>99.999999000000003</v>
      </c>
    </row>
    <row r="1261" spans="1:18" x14ac:dyDescent="0.2">
      <c r="A1261" t="s">
        <v>270</v>
      </c>
      <c r="B1261" t="s">
        <v>3586</v>
      </c>
      <c r="C1261">
        <v>1</v>
      </c>
      <c r="D1261" s="1">
        <v>44088.941388888888</v>
      </c>
      <c r="E1261" t="s">
        <v>3910</v>
      </c>
      <c r="F1261" t="s">
        <v>273</v>
      </c>
      <c r="G1261" t="s">
        <v>3588</v>
      </c>
      <c r="H1261" t="s">
        <v>275</v>
      </c>
      <c r="I1261" t="s">
        <v>29</v>
      </c>
      <c r="J1261">
        <v>1</v>
      </c>
      <c r="K1261">
        <f>1-844-225-7967</f>
        <v>-9035</v>
      </c>
      <c r="L1261" t="s">
        <v>3911</v>
      </c>
      <c r="M1261" t="s">
        <v>3912</v>
      </c>
      <c r="N1261" t="s">
        <v>278</v>
      </c>
      <c r="O1261" t="s">
        <v>28</v>
      </c>
      <c r="P1261" t="s">
        <v>782</v>
      </c>
      <c r="Q1261">
        <v>-35</v>
      </c>
      <c r="R1261">
        <v>99.999999000000003</v>
      </c>
    </row>
    <row r="1262" spans="1:18" x14ac:dyDescent="0.2">
      <c r="A1262" t="s">
        <v>270</v>
      </c>
      <c r="B1262" t="s">
        <v>3586</v>
      </c>
      <c r="C1262">
        <v>1</v>
      </c>
      <c r="D1262" s="1">
        <v>44084.791365740741</v>
      </c>
      <c r="E1262" t="s">
        <v>3913</v>
      </c>
      <c r="F1262" t="s">
        <v>273</v>
      </c>
      <c r="G1262" t="s">
        <v>3588</v>
      </c>
      <c r="H1262" t="s">
        <v>275</v>
      </c>
      <c r="I1262" t="s">
        <v>29</v>
      </c>
      <c r="J1262">
        <v>1</v>
      </c>
      <c r="K1262">
        <f>1-844-318-7909</f>
        <v>-9070</v>
      </c>
      <c r="L1262" t="s">
        <v>3914</v>
      </c>
      <c r="M1262" t="s">
        <v>3915</v>
      </c>
      <c r="N1262" t="s">
        <v>278</v>
      </c>
      <c r="O1262" t="s">
        <v>28</v>
      </c>
      <c r="P1262" t="s">
        <v>782</v>
      </c>
      <c r="Q1262">
        <v>-35</v>
      </c>
      <c r="R1262">
        <v>99.999999000000003</v>
      </c>
    </row>
    <row r="1263" spans="1:18" x14ac:dyDescent="0.2">
      <c r="A1263" t="s">
        <v>270</v>
      </c>
      <c r="B1263" t="s">
        <v>3586</v>
      </c>
      <c r="C1263">
        <v>1</v>
      </c>
      <c r="D1263" s="1">
        <v>44084.781608796293</v>
      </c>
      <c r="E1263" t="s">
        <v>3916</v>
      </c>
      <c r="F1263" t="s">
        <v>273</v>
      </c>
      <c r="G1263" t="s">
        <v>3588</v>
      </c>
      <c r="H1263" t="s">
        <v>275</v>
      </c>
      <c r="I1263" t="s">
        <v>29</v>
      </c>
      <c r="J1263">
        <v>1</v>
      </c>
      <c r="K1263">
        <f>1-888-608-5109</f>
        <v>-6604</v>
      </c>
      <c r="L1263" t="s">
        <v>3917</v>
      </c>
      <c r="M1263" t="s">
        <v>3918</v>
      </c>
      <c r="N1263" t="s">
        <v>278</v>
      </c>
      <c r="O1263" t="s">
        <v>28</v>
      </c>
      <c r="P1263" t="s">
        <v>782</v>
      </c>
      <c r="Q1263">
        <v>-35</v>
      </c>
      <c r="R1263">
        <v>99.999999000000003</v>
      </c>
    </row>
    <row r="1264" spans="1:18" x14ac:dyDescent="0.2">
      <c r="A1264" t="s">
        <v>270</v>
      </c>
      <c r="B1264" t="s">
        <v>3586</v>
      </c>
      <c r="C1264">
        <v>1</v>
      </c>
      <c r="D1264" s="1">
        <v>44084.780092592591</v>
      </c>
      <c r="E1264" t="s">
        <v>3919</v>
      </c>
      <c r="F1264" t="s">
        <v>273</v>
      </c>
      <c r="G1264" t="s">
        <v>3588</v>
      </c>
      <c r="H1264" t="s">
        <v>275</v>
      </c>
      <c r="I1264" t="s">
        <v>29</v>
      </c>
      <c r="J1264">
        <v>1</v>
      </c>
      <c r="K1264">
        <f>1-888-608-5109</f>
        <v>-6604</v>
      </c>
      <c r="L1264" t="s">
        <v>3920</v>
      </c>
      <c r="M1264" t="s">
        <v>3921</v>
      </c>
      <c r="N1264" t="s">
        <v>278</v>
      </c>
      <c r="O1264" t="s">
        <v>28</v>
      </c>
      <c r="P1264" t="s">
        <v>782</v>
      </c>
      <c r="Q1264">
        <v>-35</v>
      </c>
      <c r="R1264">
        <v>99.999999000000003</v>
      </c>
    </row>
    <row r="1265" spans="1:18" x14ac:dyDescent="0.2">
      <c r="A1265" t="s">
        <v>270</v>
      </c>
      <c r="B1265" t="s">
        <v>3586</v>
      </c>
      <c r="C1265">
        <v>1</v>
      </c>
      <c r="D1265" s="1">
        <v>44083.830428240741</v>
      </c>
      <c r="E1265" t="s">
        <v>3922</v>
      </c>
      <c r="F1265" t="s">
        <v>273</v>
      </c>
      <c r="G1265" t="s">
        <v>3588</v>
      </c>
      <c r="H1265" t="s">
        <v>275</v>
      </c>
      <c r="I1265" t="s">
        <v>29</v>
      </c>
      <c r="J1265">
        <v>1</v>
      </c>
      <c r="K1265">
        <f>1-888-585-6916</f>
        <v>-8388</v>
      </c>
      <c r="L1265" t="s">
        <v>3923</v>
      </c>
      <c r="M1265" t="s">
        <v>3924</v>
      </c>
      <c r="N1265" t="s">
        <v>278</v>
      </c>
      <c r="O1265" t="s">
        <v>28</v>
      </c>
      <c r="P1265" t="s">
        <v>782</v>
      </c>
      <c r="Q1265">
        <v>-35</v>
      </c>
      <c r="R1265">
        <v>99.999999000000003</v>
      </c>
    </row>
    <row r="1266" spans="1:18" x14ac:dyDescent="0.2">
      <c r="A1266" t="s">
        <v>270</v>
      </c>
      <c r="B1266" t="s">
        <v>3586</v>
      </c>
      <c r="C1266">
        <v>1</v>
      </c>
      <c r="D1266" s="1">
        <v>44083.829143518517</v>
      </c>
      <c r="E1266" t="s">
        <v>3925</v>
      </c>
      <c r="F1266" t="s">
        <v>273</v>
      </c>
      <c r="G1266" t="s">
        <v>3588</v>
      </c>
      <c r="H1266" t="s">
        <v>275</v>
      </c>
      <c r="I1266" t="s">
        <v>29</v>
      </c>
      <c r="J1266">
        <v>1</v>
      </c>
      <c r="K1266">
        <f>1-888-592-7014</f>
        <v>-8493</v>
      </c>
      <c r="L1266" t="s">
        <v>3926</v>
      </c>
      <c r="M1266" t="s">
        <v>3927</v>
      </c>
      <c r="N1266" t="s">
        <v>278</v>
      </c>
      <c r="O1266" t="s">
        <v>28</v>
      </c>
      <c r="P1266" t="s">
        <v>782</v>
      </c>
      <c r="Q1266">
        <v>-35</v>
      </c>
      <c r="R1266">
        <v>99.999999000000003</v>
      </c>
    </row>
    <row r="1267" spans="1:18" x14ac:dyDescent="0.2">
      <c r="A1267" t="s">
        <v>270</v>
      </c>
      <c r="B1267" t="s">
        <v>3586</v>
      </c>
      <c r="C1267">
        <v>1</v>
      </c>
      <c r="D1267" s="1">
        <v>44083.81145833333</v>
      </c>
      <c r="E1267" t="s">
        <v>3928</v>
      </c>
      <c r="F1267" t="s">
        <v>273</v>
      </c>
      <c r="G1267" t="s">
        <v>3588</v>
      </c>
      <c r="H1267" t="s">
        <v>275</v>
      </c>
      <c r="I1267" t="s">
        <v>29</v>
      </c>
      <c r="J1267">
        <v>1</v>
      </c>
      <c r="K1267">
        <f>1-888-585-6916</f>
        <v>-8388</v>
      </c>
      <c r="L1267" t="s">
        <v>3929</v>
      </c>
      <c r="M1267" t="s">
        <v>3930</v>
      </c>
      <c r="N1267" t="s">
        <v>278</v>
      </c>
      <c r="O1267" t="s">
        <v>28</v>
      </c>
      <c r="P1267" t="s">
        <v>782</v>
      </c>
      <c r="Q1267">
        <v>-35</v>
      </c>
      <c r="R1267">
        <v>99.999999000000003</v>
      </c>
    </row>
    <row r="1268" spans="1:18" x14ac:dyDescent="0.2">
      <c r="A1268" t="s">
        <v>270</v>
      </c>
      <c r="B1268" t="s">
        <v>3586</v>
      </c>
      <c r="C1268">
        <v>1</v>
      </c>
      <c r="D1268" s="1">
        <v>44083.752303240741</v>
      </c>
      <c r="E1268" t="s">
        <v>3931</v>
      </c>
      <c r="F1268" t="s">
        <v>273</v>
      </c>
      <c r="G1268" t="s">
        <v>3588</v>
      </c>
      <c r="H1268" t="s">
        <v>275</v>
      </c>
      <c r="I1268" t="s">
        <v>29</v>
      </c>
      <c r="J1268">
        <v>1</v>
      </c>
      <c r="K1268">
        <f>1-888-599-5036</f>
        <v>-6522</v>
      </c>
      <c r="L1268" t="s">
        <v>3932</v>
      </c>
      <c r="M1268" t="s">
        <v>3933</v>
      </c>
      <c r="N1268" t="s">
        <v>278</v>
      </c>
      <c r="O1268" t="s">
        <v>28</v>
      </c>
      <c r="P1268" t="s">
        <v>782</v>
      </c>
      <c r="Q1268">
        <v>-35</v>
      </c>
      <c r="R1268">
        <v>99.999999000000003</v>
      </c>
    </row>
    <row r="1269" spans="1:18" x14ac:dyDescent="0.2">
      <c r="A1269" t="s">
        <v>270</v>
      </c>
      <c r="B1269" t="s">
        <v>3586</v>
      </c>
      <c r="C1269">
        <v>1</v>
      </c>
      <c r="D1269" s="1">
        <v>44082.946053240739</v>
      </c>
      <c r="E1269" t="s">
        <v>3934</v>
      </c>
      <c r="F1269" t="s">
        <v>273</v>
      </c>
      <c r="G1269" t="s">
        <v>3588</v>
      </c>
      <c r="H1269" t="s">
        <v>275</v>
      </c>
      <c r="I1269" t="s">
        <v>29</v>
      </c>
      <c r="J1269">
        <v>1</v>
      </c>
      <c r="K1269">
        <f>1-888-650-4886</f>
        <v>-6423</v>
      </c>
      <c r="L1269" t="s">
        <v>3935</v>
      </c>
      <c r="M1269" t="s">
        <v>3936</v>
      </c>
      <c r="N1269" t="s">
        <v>278</v>
      </c>
      <c r="O1269" t="s">
        <v>28</v>
      </c>
      <c r="P1269" t="s">
        <v>782</v>
      </c>
      <c r="Q1269">
        <v>-35</v>
      </c>
      <c r="R1269">
        <v>99.999999000000003</v>
      </c>
    </row>
    <row r="1270" spans="1:18" x14ac:dyDescent="0.2">
      <c r="A1270" t="s">
        <v>270</v>
      </c>
      <c r="B1270" t="s">
        <v>3586</v>
      </c>
      <c r="C1270">
        <v>1</v>
      </c>
      <c r="D1270" s="1">
        <v>44082.935995370368</v>
      </c>
      <c r="E1270" t="s">
        <v>3937</v>
      </c>
      <c r="F1270" t="s">
        <v>273</v>
      </c>
      <c r="G1270" t="s">
        <v>3588</v>
      </c>
      <c r="H1270" t="s">
        <v>275</v>
      </c>
      <c r="I1270" t="s">
        <v>29</v>
      </c>
      <c r="J1270">
        <v>1</v>
      </c>
      <c r="K1270">
        <f>1-888-599-8076</f>
        <v>-9562</v>
      </c>
      <c r="L1270" t="s">
        <v>3938</v>
      </c>
      <c r="M1270" t="s">
        <v>3939</v>
      </c>
      <c r="N1270" t="s">
        <v>278</v>
      </c>
      <c r="O1270" t="s">
        <v>28</v>
      </c>
      <c r="P1270" t="s">
        <v>782</v>
      </c>
      <c r="Q1270">
        <v>-35</v>
      </c>
      <c r="R1270">
        <v>99.999999000000003</v>
      </c>
    </row>
    <row r="1271" spans="1:18" x14ac:dyDescent="0.2">
      <c r="A1271" t="s">
        <v>270</v>
      </c>
      <c r="B1271" t="s">
        <v>3586</v>
      </c>
      <c r="C1271">
        <v>1</v>
      </c>
      <c r="D1271" s="1">
        <v>44078.857499999998</v>
      </c>
      <c r="E1271" t="s">
        <v>3940</v>
      </c>
      <c r="F1271" t="s">
        <v>273</v>
      </c>
      <c r="G1271" t="s">
        <v>3588</v>
      </c>
      <c r="H1271" t="s">
        <v>275</v>
      </c>
      <c r="I1271" t="s">
        <v>29</v>
      </c>
      <c r="J1271">
        <v>1</v>
      </c>
      <c r="K1271">
        <f>1-888-530-1472</f>
        <v>-2889</v>
      </c>
      <c r="L1271" t="s">
        <v>3941</v>
      </c>
      <c r="M1271" t="s">
        <v>3942</v>
      </c>
      <c r="N1271" t="s">
        <v>278</v>
      </c>
      <c r="O1271" t="s">
        <v>134</v>
      </c>
      <c r="P1271" t="s">
        <v>782</v>
      </c>
      <c r="Q1271">
        <v>-35</v>
      </c>
      <c r="R1271">
        <v>99.999999000000003</v>
      </c>
    </row>
    <row r="1272" spans="1:18" x14ac:dyDescent="0.2">
      <c r="A1272" t="s">
        <v>270</v>
      </c>
      <c r="B1272" t="s">
        <v>3586</v>
      </c>
      <c r="C1272">
        <v>1</v>
      </c>
      <c r="D1272" s="1">
        <v>44078.852222222224</v>
      </c>
      <c r="E1272" t="s">
        <v>3943</v>
      </c>
      <c r="F1272" t="s">
        <v>273</v>
      </c>
      <c r="G1272" t="s">
        <v>3588</v>
      </c>
      <c r="H1272" t="s">
        <v>275</v>
      </c>
      <c r="I1272" t="s">
        <v>29</v>
      </c>
      <c r="J1272">
        <v>1</v>
      </c>
      <c r="K1272">
        <f>1-866-754-7703</f>
        <v>-9322</v>
      </c>
      <c r="L1272" t="s">
        <v>3944</v>
      </c>
      <c r="M1272" t="s">
        <v>3945</v>
      </c>
      <c r="N1272" t="s">
        <v>278</v>
      </c>
      <c r="O1272" t="s">
        <v>134</v>
      </c>
      <c r="P1272" t="s">
        <v>782</v>
      </c>
      <c r="Q1272">
        <v>-35</v>
      </c>
      <c r="R1272">
        <v>99.999999000000003</v>
      </c>
    </row>
    <row r="1273" spans="1:18" x14ac:dyDescent="0.2">
      <c r="A1273" t="s">
        <v>270</v>
      </c>
      <c r="B1273" t="s">
        <v>3586</v>
      </c>
      <c r="C1273">
        <v>1</v>
      </c>
      <c r="D1273" s="1">
        <v>44078.851134259261</v>
      </c>
      <c r="E1273" t="s">
        <v>3946</v>
      </c>
      <c r="F1273" t="s">
        <v>273</v>
      </c>
      <c r="G1273" t="s">
        <v>3588</v>
      </c>
      <c r="H1273" t="s">
        <v>275</v>
      </c>
      <c r="I1273" t="s">
        <v>29</v>
      </c>
      <c r="J1273">
        <v>1</v>
      </c>
      <c r="K1273">
        <f>1-866-508-4958</f>
        <v>-6331</v>
      </c>
      <c r="L1273" t="s">
        <v>3947</v>
      </c>
      <c r="M1273" t="s">
        <v>3948</v>
      </c>
      <c r="N1273" t="s">
        <v>278</v>
      </c>
      <c r="O1273" t="s">
        <v>134</v>
      </c>
      <c r="P1273" t="s">
        <v>782</v>
      </c>
      <c r="Q1273">
        <v>-35</v>
      </c>
      <c r="R1273">
        <v>99.999999000000003</v>
      </c>
    </row>
    <row r="1274" spans="1:18" x14ac:dyDescent="0.2">
      <c r="A1274" t="s">
        <v>270</v>
      </c>
      <c r="B1274" t="s">
        <v>3586</v>
      </c>
      <c r="C1274">
        <v>1</v>
      </c>
      <c r="D1274" s="1">
        <v>44078.850046296298</v>
      </c>
      <c r="E1274" t="s">
        <v>3949</v>
      </c>
      <c r="F1274" t="s">
        <v>273</v>
      </c>
      <c r="G1274" t="s">
        <v>3588</v>
      </c>
      <c r="H1274" t="s">
        <v>275</v>
      </c>
      <c r="I1274" t="s">
        <v>29</v>
      </c>
      <c r="J1274">
        <v>1</v>
      </c>
      <c r="K1274">
        <f>1-866-759-9790</f>
        <v>-11414</v>
      </c>
      <c r="L1274" t="s">
        <v>3950</v>
      </c>
      <c r="M1274" t="s">
        <v>3951</v>
      </c>
      <c r="N1274" t="s">
        <v>278</v>
      </c>
      <c r="O1274" t="s">
        <v>134</v>
      </c>
      <c r="P1274" t="s">
        <v>782</v>
      </c>
      <c r="Q1274">
        <v>-35</v>
      </c>
      <c r="R1274">
        <v>99.999999000000003</v>
      </c>
    </row>
    <row r="1275" spans="1:18" x14ac:dyDescent="0.2">
      <c r="A1275" t="s">
        <v>270</v>
      </c>
      <c r="B1275" t="s">
        <v>3586</v>
      </c>
      <c r="C1275">
        <v>1</v>
      </c>
      <c r="D1275" s="1">
        <v>44078.848958333336</v>
      </c>
      <c r="E1275" t="s">
        <v>3952</v>
      </c>
      <c r="F1275" t="s">
        <v>273</v>
      </c>
      <c r="G1275" t="s">
        <v>3588</v>
      </c>
      <c r="H1275" t="s">
        <v>275</v>
      </c>
      <c r="I1275" t="s">
        <v>29</v>
      </c>
      <c r="J1275">
        <v>1</v>
      </c>
      <c r="K1275">
        <f>1-866-512-2889</f>
        <v>-4266</v>
      </c>
      <c r="L1275" t="s">
        <v>3953</v>
      </c>
      <c r="M1275" t="s">
        <v>3954</v>
      </c>
      <c r="N1275" t="s">
        <v>278</v>
      </c>
      <c r="O1275" t="s">
        <v>134</v>
      </c>
      <c r="P1275" t="s">
        <v>782</v>
      </c>
      <c r="Q1275">
        <v>-35</v>
      </c>
      <c r="R1275">
        <v>99.999999000000003</v>
      </c>
    </row>
    <row r="1276" spans="1:18" x14ac:dyDescent="0.2">
      <c r="A1276" t="s">
        <v>270</v>
      </c>
      <c r="B1276" t="s">
        <v>3586</v>
      </c>
      <c r="C1276">
        <v>1</v>
      </c>
      <c r="D1276" s="1">
        <v>44078.848101851851</v>
      </c>
      <c r="E1276" t="s">
        <v>3955</v>
      </c>
      <c r="F1276" t="s">
        <v>273</v>
      </c>
      <c r="G1276" t="s">
        <v>3588</v>
      </c>
      <c r="H1276" t="s">
        <v>275</v>
      </c>
      <c r="I1276" t="s">
        <v>29</v>
      </c>
      <c r="J1276">
        <v>1</v>
      </c>
      <c r="K1276">
        <f>1-866-754-7703</f>
        <v>-9322</v>
      </c>
      <c r="L1276" t="s">
        <v>3956</v>
      </c>
      <c r="M1276" t="s">
        <v>3957</v>
      </c>
      <c r="N1276" t="s">
        <v>278</v>
      </c>
      <c r="O1276" t="s">
        <v>134</v>
      </c>
      <c r="P1276" t="s">
        <v>782</v>
      </c>
      <c r="Q1276">
        <v>-35</v>
      </c>
      <c r="R1276">
        <v>99.999999000000003</v>
      </c>
    </row>
    <row r="1277" spans="1:18" x14ac:dyDescent="0.2">
      <c r="A1277" t="s">
        <v>270</v>
      </c>
      <c r="B1277" t="s">
        <v>3586</v>
      </c>
      <c r="C1277">
        <v>1</v>
      </c>
      <c r="D1277" s="1">
        <v>44075.760231481479</v>
      </c>
      <c r="E1277" t="s">
        <v>3958</v>
      </c>
      <c r="F1277" t="s">
        <v>273</v>
      </c>
      <c r="G1277" t="s">
        <v>3588</v>
      </c>
      <c r="H1277" t="s">
        <v>275</v>
      </c>
      <c r="I1277" t="s">
        <v>29</v>
      </c>
      <c r="J1277">
        <v>1</v>
      </c>
      <c r="K1277">
        <f>1-888-708-1143</f>
        <v>-2738</v>
      </c>
      <c r="L1277" t="s">
        <v>3959</v>
      </c>
      <c r="M1277" t="s">
        <v>3960</v>
      </c>
      <c r="N1277" t="s">
        <v>278</v>
      </c>
      <c r="O1277" t="s">
        <v>134</v>
      </c>
      <c r="P1277" t="s">
        <v>782</v>
      </c>
      <c r="Q1277">
        <v>-35</v>
      </c>
      <c r="R1277">
        <v>99.999999000000003</v>
      </c>
    </row>
    <row r="1278" spans="1:18" x14ac:dyDescent="0.2">
      <c r="A1278" t="s">
        <v>270</v>
      </c>
      <c r="B1278" t="s">
        <v>3586</v>
      </c>
      <c r="C1278">
        <v>1</v>
      </c>
      <c r="D1278" s="1">
        <v>44074.933981481481</v>
      </c>
      <c r="E1278" t="s">
        <v>3961</v>
      </c>
      <c r="F1278" t="s">
        <v>273</v>
      </c>
      <c r="G1278" t="s">
        <v>3588</v>
      </c>
      <c r="H1278" t="s">
        <v>275</v>
      </c>
      <c r="I1278" t="s">
        <v>29</v>
      </c>
      <c r="J1278">
        <v>1</v>
      </c>
      <c r="K1278">
        <f>1-888-655-2343</f>
        <v>-3885</v>
      </c>
      <c r="L1278" t="s">
        <v>3962</v>
      </c>
      <c r="M1278" t="s">
        <v>3963</v>
      </c>
      <c r="N1278" t="s">
        <v>278</v>
      </c>
      <c r="O1278" t="s">
        <v>134</v>
      </c>
      <c r="P1278" t="s">
        <v>782</v>
      </c>
      <c r="Q1278">
        <v>-35</v>
      </c>
      <c r="R1278">
        <v>99.999999000000003</v>
      </c>
    </row>
    <row r="1279" spans="1:18" x14ac:dyDescent="0.2">
      <c r="A1279" t="s">
        <v>270</v>
      </c>
      <c r="B1279" t="s">
        <v>3586</v>
      </c>
      <c r="C1279">
        <v>1</v>
      </c>
      <c r="D1279" s="1">
        <v>44075.759513888886</v>
      </c>
      <c r="E1279" t="s">
        <v>3964</v>
      </c>
      <c r="F1279" t="s">
        <v>273</v>
      </c>
      <c r="G1279" t="s">
        <v>3588</v>
      </c>
      <c r="H1279" t="s">
        <v>275</v>
      </c>
      <c r="I1279" t="s">
        <v>29</v>
      </c>
      <c r="J1279">
        <v>1</v>
      </c>
      <c r="K1279">
        <f>1-888-705-928</f>
        <v>-2520</v>
      </c>
      <c r="L1279" t="s">
        <v>3965</v>
      </c>
      <c r="M1279" t="s">
        <v>3966</v>
      </c>
      <c r="N1279" t="s">
        <v>278</v>
      </c>
      <c r="O1279" t="s">
        <v>134</v>
      </c>
      <c r="P1279" t="s">
        <v>782</v>
      </c>
      <c r="Q1279">
        <v>-35</v>
      </c>
      <c r="R1279">
        <v>99.999999000000003</v>
      </c>
    </row>
    <row r="1280" spans="1:18" x14ac:dyDescent="0.2">
      <c r="A1280" t="s">
        <v>270</v>
      </c>
      <c r="B1280" t="s">
        <v>3586</v>
      </c>
      <c r="C1280">
        <v>1</v>
      </c>
      <c r="D1280" s="1">
        <v>44074.929918981485</v>
      </c>
      <c r="E1280" t="s">
        <v>3967</v>
      </c>
      <c r="F1280" t="s">
        <v>273</v>
      </c>
      <c r="G1280" t="s">
        <v>3588</v>
      </c>
      <c r="H1280" t="s">
        <v>275</v>
      </c>
      <c r="I1280" t="s">
        <v>29</v>
      </c>
      <c r="J1280">
        <v>1</v>
      </c>
      <c r="K1280">
        <f>1-888-654-8048</f>
        <v>-9589</v>
      </c>
      <c r="L1280" t="s">
        <v>3968</v>
      </c>
      <c r="M1280" t="s">
        <v>3969</v>
      </c>
      <c r="N1280" t="s">
        <v>278</v>
      </c>
      <c r="O1280" t="s">
        <v>28</v>
      </c>
      <c r="P1280" t="s">
        <v>782</v>
      </c>
      <c r="Q1280">
        <v>-35</v>
      </c>
      <c r="R1280">
        <v>99.999999000000003</v>
      </c>
    </row>
    <row r="1281" spans="1:18" x14ac:dyDescent="0.2">
      <c r="A1281" t="s">
        <v>270</v>
      </c>
      <c r="B1281" t="s">
        <v>3586</v>
      </c>
      <c r="C1281">
        <v>1</v>
      </c>
      <c r="D1281" s="1">
        <v>44074.929699074077</v>
      </c>
      <c r="E1281" t="s">
        <v>3970</v>
      </c>
      <c r="F1281" t="s">
        <v>273</v>
      </c>
      <c r="G1281" t="s">
        <v>3588</v>
      </c>
      <c r="H1281" t="s">
        <v>275</v>
      </c>
      <c r="I1281" t="s">
        <v>29</v>
      </c>
      <c r="J1281">
        <v>1</v>
      </c>
      <c r="K1281">
        <f>1-888-654-8048</f>
        <v>-9589</v>
      </c>
      <c r="L1281" t="s">
        <v>3971</v>
      </c>
      <c r="M1281" t="s">
        <v>3972</v>
      </c>
      <c r="N1281" t="s">
        <v>278</v>
      </c>
      <c r="O1281" t="s">
        <v>28</v>
      </c>
      <c r="P1281" t="s">
        <v>782</v>
      </c>
      <c r="Q1281">
        <v>-35</v>
      </c>
      <c r="R1281">
        <v>99.999999000000003</v>
      </c>
    </row>
    <row r="1282" spans="1:18" x14ac:dyDescent="0.2">
      <c r="A1282" t="s">
        <v>270</v>
      </c>
      <c r="B1282" t="s">
        <v>3586</v>
      </c>
      <c r="C1282">
        <v>1</v>
      </c>
      <c r="D1282" s="1">
        <v>44074.928078703706</v>
      </c>
      <c r="E1282" t="s">
        <v>3973</v>
      </c>
      <c r="F1282" t="s">
        <v>273</v>
      </c>
      <c r="G1282" t="s">
        <v>3588</v>
      </c>
      <c r="H1282" t="s">
        <v>275</v>
      </c>
      <c r="I1282" t="s">
        <v>29</v>
      </c>
      <c r="J1282">
        <v>1</v>
      </c>
      <c r="K1282">
        <f>1-888-590-4165</f>
        <v>-5642</v>
      </c>
      <c r="L1282" t="s">
        <v>3974</v>
      </c>
      <c r="M1282" t="s">
        <v>3975</v>
      </c>
      <c r="N1282" t="s">
        <v>278</v>
      </c>
      <c r="O1282" t="s">
        <v>28</v>
      </c>
      <c r="P1282" t="s">
        <v>782</v>
      </c>
      <c r="Q1282">
        <v>-35</v>
      </c>
      <c r="R1282">
        <v>99.999999000000003</v>
      </c>
    </row>
    <row r="1283" spans="1:18" x14ac:dyDescent="0.2">
      <c r="A1283" t="s">
        <v>270</v>
      </c>
      <c r="B1283" t="s">
        <v>3586</v>
      </c>
      <c r="C1283">
        <v>1</v>
      </c>
      <c r="D1283" s="1">
        <v>44073.943310185183</v>
      </c>
      <c r="E1283" t="s">
        <v>3976</v>
      </c>
      <c r="F1283" t="s">
        <v>273</v>
      </c>
      <c r="G1283" t="s">
        <v>3588</v>
      </c>
      <c r="H1283" t="s">
        <v>275</v>
      </c>
      <c r="I1283" t="s">
        <v>29</v>
      </c>
      <c r="J1283">
        <v>1</v>
      </c>
      <c r="K1283">
        <f>1-888-655-2376</f>
        <v>-3918</v>
      </c>
      <c r="L1283" t="s">
        <v>3977</v>
      </c>
      <c r="M1283" t="s">
        <v>3978</v>
      </c>
      <c r="N1283" t="s">
        <v>278</v>
      </c>
      <c r="O1283" t="s">
        <v>134</v>
      </c>
      <c r="P1283" t="s">
        <v>782</v>
      </c>
      <c r="Q1283">
        <v>-35</v>
      </c>
      <c r="R1283">
        <v>99.999999000000003</v>
      </c>
    </row>
    <row r="1284" spans="1:18" x14ac:dyDescent="0.2">
      <c r="A1284" t="s">
        <v>270</v>
      </c>
      <c r="B1284" t="s">
        <v>3586</v>
      </c>
      <c r="C1284">
        <v>1</v>
      </c>
      <c r="D1284" s="1">
        <v>44073.942187499997</v>
      </c>
      <c r="E1284" t="s">
        <v>3979</v>
      </c>
      <c r="F1284" t="s">
        <v>273</v>
      </c>
      <c r="G1284" t="s">
        <v>3588</v>
      </c>
      <c r="H1284" t="s">
        <v>275</v>
      </c>
      <c r="I1284" t="s">
        <v>29</v>
      </c>
      <c r="J1284">
        <v>1</v>
      </c>
      <c r="K1284">
        <f>1-888-690-903</f>
        <v>-2480</v>
      </c>
      <c r="L1284" t="s">
        <v>3980</v>
      </c>
      <c r="M1284" t="s">
        <v>3981</v>
      </c>
      <c r="N1284" t="s">
        <v>278</v>
      </c>
      <c r="O1284" t="s">
        <v>134</v>
      </c>
      <c r="P1284" t="s">
        <v>782</v>
      </c>
      <c r="Q1284">
        <v>-35</v>
      </c>
      <c r="R1284">
        <v>99.999999000000003</v>
      </c>
    </row>
    <row r="1285" spans="1:18" x14ac:dyDescent="0.2">
      <c r="A1285" t="s">
        <v>270</v>
      </c>
      <c r="B1285" t="s">
        <v>3586</v>
      </c>
      <c r="C1285">
        <v>1</v>
      </c>
      <c r="D1285" s="1">
        <v>44073.941620370373</v>
      </c>
      <c r="E1285" t="s">
        <v>3982</v>
      </c>
      <c r="F1285" t="s">
        <v>273</v>
      </c>
      <c r="G1285" t="s">
        <v>3588</v>
      </c>
      <c r="H1285" t="s">
        <v>275</v>
      </c>
      <c r="I1285" t="s">
        <v>29</v>
      </c>
      <c r="J1285">
        <v>1</v>
      </c>
      <c r="K1285">
        <f>1-888-521-2495</f>
        <v>-3903</v>
      </c>
      <c r="L1285" t="s">
        <v>3983</v>
      </c>
      <c r="M1285" t="s">
        <v>3984</v>
      </c>
      <c r="N1285" t="s">
        <v>278</v>
      </c>
      <c r="O1285" t="s">
        <v>134</v>
      </c>
      <c r="P1285" t="s">
        <v>782</v>
      </c>
      <c r="Q1285">
        <v>-35</v>
      </c>
      <c r="R1285">
        <v>99.999999000000003</v>
      </c>
    </row>
    <row r="1286" spans="1:18" x14ac:dyDescent="0.2">
      <c r="A1286" t="s">
        <v>270</v>
      </c>
      <c r="B1286" t="s">
        <v>3586</v>
      </c>
      <c r="C1286">
        <v>1</v>
      </c>
      <c r="D1286" s="1">
        <v>44073.940520833334</v>
      </c>
      <c r="E1286" t="s">
        <v>3985</v>
      </c>
      <c r="F1286" t="s">
        <v>273</v>
      </c>
      <c r="G1286" t="s">
        <v>3588</v>
      </c>
      <c r="H1286" t="s">
        <v>275</v>
      </c>
      <c r="I1286" t="s">
        <v>29</v>
      </c>
      <c r="J1286">
        <v>1</v>
      </c>
      <c r="K1286">
        <f>1-888-851-688</f>
        <v>-2426</v>
      </c>
      <c r="L1286" t="s">
        <v>3986</v>
      </c>
      <c r="M1286" t="s">
        <v>3987</v>
      </c>
      <c r="N1286" t="s">
        <v>278</v>
      </c>
      <c r="O1286" t="s">
        <v>134</v>
      </c>
      <c r="P1286" t="s">
        <v>782</v>
      </c>
      <c r="Q1286">
        <v>-35</v>
      </c>
      <c r="R1286">
        <v>99.999999000000003</v>
      </c>
    </row>
    <row r="1287" spans="1:18" x14ac:dyDescent="0.2">
      <c r="A1287" t="s">
        <v>270</v>
      </c>
      <c r="B1287" t="s">
        <v>3586</v>
      </c>
      <c r="C1287">
        <v>1</v>
      </c>
      <c r="D1287" s="1">
        <v>44073.939988425926</v>
      </c>
      <c r="E1287" t="s">
        <v>3988</v>
      </c>
      <c r="F1287" t="s">
        <v>273</v>
      </c>
      <c r="G1287" t="s">
        <v>3588</v>
      </c>
      <c r="H1287" t="s">
        <v>275</v>
      </c>
      <c r="I1287" t="s">
        <v>29</v>
      </c>
      <c r="J1287">
        <v>1</v>
      </c>
      <c r="K1287">
        <f>1-888-383-551</f>
        <v>-1821</v>
      </c>
      <c r="L1287" t="s">
        <v>3989</v>
      </c>
      <c r="M1287" t="s">
        <v>3990</v>
      </c>
      <c r="N1287" t="s">
        <v>278</v>
      </c>
      <c r="O1287" t="s">
        <v>134</v>
      </c>
      <c r="P1287" t="s">
        <v>782</v>
      </c>
      <c r="Q1287">
        <v>-35</v>
      </c>
      <c r="R1287">
        <v>99.999999000000003</v>
      </c>
    </row>
    <row r="1288" spans="1:18" x14ac:dyDescent="0.2">
      <c r="A1288" t="s">
        <v>270</v>
      </c>
      <c r="B1288" t="s">
        <v>3586</v>
      </c>
      <c r="C1288">
        <v>1</v>
      </c>
      <c r="D1288" s="1">
        <v>44073.930104166669</v>
      </c>
      <c r="E1288" t="s">
        <v>3991</v>
      </c>
      <c r="F1288" t="s">
        <v>273</v>
      </c>
      <c r="G1288" t="s">
        <v>3588</v>
      </c>
      <c r="H1288" t="s">
        <v>275</v>
      </c>
      <c r="I1288" t="s">
        <v>29</v>
      </c>
      <c r="J1288">
        <v>1</v>
      </c>
      <c r="K1288">
        <f>1-888-534-316</f>
        <v>-1737</v>
      </c>
      <c r="L1288" t="s">
        <v>3992</v>
      </c>
      <c r="M1288" t="s">
        <v>3993</v>
      </c>
      <c r="N1288" t="s">
        <v>278</v>
      </c>
      <c r="O1288" t="s">
        <v>134</v>
      </c>
      <c r="P1288" t="s">
        <v>782</v>
      </c>
      <c r="Q1288">
        <v>-35</v>
      </c>
      <c r="R1288">
        <v>99.999999000000003</v>
      </c>
    </row>
    <row r="1289" spans="1:18" x14ac:dyDescent="0.2">
      <c r="A1289" t="s">
        <v>270</v>
      </c>
      <c r="B1289" t="s">
        <v>3586</v>
      </c>
      <c r="C1289">
        <v>1</v>
      </c>
      <c r="D1289" s="1">
        <v>44073.928483796299</v>
      </c>
      <c r="E1289" t="s">
        <v>3994</v>
      </c>
      <c r="F1289" t="s">
        <v>273</v>
      </c>
      <c r="G1289" t="s">
        <v>3588</v>
      </c>
      <c r="H1289" t="s">
        <v>275</v>
      </c>
      <c r="I1289" t="s">
        <v>29</v>
      </c>
      <c r="J1289">
        <v>1</v>
      </c>
      <c r="K1289">
        <f>1-888-531-9415</f>
        <v>-10833</v>
      </c>
      <c r="L1289" t="s">
        <v>3995</v>
      </c>
      <c r="M1289" t="s">
        <v>3996</v>
      </c>
      <c r="N1289" t="s">
        <v>278</v>
      </c>
      <c r="O1289" t="s">
        <v>134</v>
      </c>
      <c r="P1289" t="s">
        <v>782</v>
      </c>
      <c r="Q1289">
        <v>-35</v>
      </c>
      <c r="R1289">
        <v>99.999999000000003</v>
      </c>
    </row>
    <row r="1290" spans="1:18" x14ac:dyDescent="0.2">
      <c r="A1290" t="s">
        <v>270</v>
      </c>
      <c r="B1290" t="s">
        <v>3586</v>
      </c>
      <c r="C1290">
        <v>1</v>
      </c>
      <c r="D1290" s="1">
        <v>44073.927430555559</v>
      </c>
      <c r="E1290" t="s">
        <v>3997</v>
      </c>
      <c r="F1290" t="s">
        <v>273</v>
      </c>
      <c r="G1290" t="s">
        <v>3588</v>
      </c>
      <c r="H1290" t="s">
        <v>275</v>
      </c>
      <c r="I1290" t="s">
        <v>29</v>
      </c>
      <c r="J1290">
        <v>1</v>
      </c>
      <c r="K1290">
        <f>1-888-529-6205</f>
        <v>-7621</v>
      </c>
      <c r="L1290" t="s">
        <v>3998</v>
      </c>
      <c r="M1290" t="s">
        <v>3999</v>
      </c>
      <c r="N1290" t="s">
        <v>278</v>
      </c>
      <c r="O1290" t="s">
        <v>134</v>
      </c>
      <c r="P1290" t="s">
        <v>782</v>
      </c>
      <c r="Q1290">
        <v>-35</v>
      </c>
      <c r="R1290">
        <v>99.999999000000003</v>
      </c>
    </row>
    <row r="1291" spans="1:18" x14ac:dyDescent="0.2">
      <c r="A1291" t="s">
        <v>270</v>
      </c>
      <c r="B1291" t="s">
        <v>3586</v>
      </c>
      <c r="C1291">
        <v>1</v>
      </c>
      <c r="D1291" s="1">
        <v>44073.92628472222</v>
      </c>
      <c r="E1291" t="s">
        <v>4000</v>
      </c>
      <c r="F1291" t="s">
        <v>273</v>
      </c>
      <c r="G1291" t="s">
        <v>3588</v>
      </c>
      <c r="H1291" t="s">
        <v>275</v>
      </c>
      <c r="I1291" t="s">
        <v>29</v>
      </c>
      <c r="J1291">
        <v>1</v>
      </c>
      <c r="K1291">
        <f>1-888-538-1073</f>
        <v>-2498</v>
      </c>
      <c r="L1291" t="s">
        <v>4001</v>
      </c>
      <c r="M1291" t="s">
        <v>4002</v>
      </c>
      <c r="N1291" t="s">
        <v>278</v>
      </c>
      <c r="O1291" t="s">
        <v>134</v>
      </c>
      <c r="P1291" t="s">
        <v>782</v>
      </c>
      <c r="Q1291">
        <v>-35</v>
      </c>
      <c r="R1291">
        <v>99.999999000000003</v>
      </c>
    </row>
    <row r="1292" spans="1:18" x14ac:dyDescent="0.2">
      <c r="A1292" t="s">
        <v>270</v>
      </c>
      <c r="B1292" t="s">
        <v>3586</v>
      </c>
      <c r="C1292">
        <v>1</v>
      </c>
      <c r="D1292" s="1">
        <v>44073.063506944447</v>
      </c>
      <c r="E1292" t="s">
        <v>4003</v>
      </c>
      <c r="F1292" t="s">
        <v>273</v>
      </c>
      <c r="G1292" t="s">
        <v>3588</v>
      </c>
      <c r="H1292" t="s">
        <v>275</v>
      </c>
      <c r="I1292" t="s">
        <v>29</v>
      </c>
      <c r="J1292">
        <v>1</v>
      </c>
      <c r="K1292">
        <f>1-888-417-4066</f>
        <v>-5370</v>
      </c>
      <c r="L1292" t="s">
        <v>4004</v>
      </c>
      <c r="M1292" t="s">
        <v>4005</v>
      </c>
      <c r="N1292" t="s">
        <v>278</v>
      </c>
      <c r="O1292" t="s">
        <v>134</v>
      </c>
      <c r="P1292" t="s">
        <v>782</v>
      </c>
      <c r="Q1292">
        <v>-35</v>
      </c>
      <c r="R1292">
        <v>99.999999000000003</v>
      </c>
    </row>
    <row r="1293" spans="1:18" x14ac:dyDescent="0.2">
      <c r="A1293" t="s">
        <v>270</v>
      </c>
      <c r="B1293" t="s">
        <v>3586</v>
      </c>
      <c r="C1293">
        <v>1</v>
      </c>
      <c r="D1293" s="1">
        <v>44073.027766203704</v>
      </c>
      <c r="E1293" t="s">
        <v>4006</v>
      </c>
      <c r="F1293" t="s">
        <v>273</v>
      </c>
      <c r="G1293" t="s">
        <v>3588</v>
      </c>
      <c r="H1293" t="s">
        <v>275</v>
      </c>
      <c r="I1293" t="s">
        <v>29</v>
      </c>
      <c r="J1293">
        <v>1</v>
      </c>
      <c r="K1293">
        <f>1-888-417-4065</f>
        <v>-5369</v>
      </c>
      <c r="L1293" t="s">
        <v>4007</v>
      </c>
      <c r="M1293" t="s">
        <v>4008</v>
      </c>
      <c r="N1293" t="s">
        <v>278</v>
      </c>
      <c r="O1293" t="s">
        <v>134</v>
      </c>
      <c r="P1293" t="s">
        <v>782</v>
      </c>
      <c r="Q1293">
        <v>-35</v>
      </c>
      <c r="R1293">
        <v>99.999999000000003</v>
      </c>
    </row>
    <row r="1294" spans="1:18" x14ac:dyDescent="0.2">
      <c r="A1294" t="s">
        <v>270</v>
      </c>
      <c r="B1294" t="s">
        <v>3586</v>
      </c>
      <c r="C1294">
        <v>1</v>
      </c>
      <c r="D1294" s="1">
        <v>44073.026898148149</v>
      </c>
      <c r="E1294" t="s">
        <v>4009</v>
      </c>
      <c r="F1294" t="s">
        <v>273</v>
      </c>
      <c r="G1294" t="s">
        <v>3588</v>
      </c>
      <c r="H1294" t="s">
        <v>275</v>
      </c>
      <c r="I1294" t="s">
        <v>29</v>
      </c>
      <c r="J1294">
        <v>1</v>
      </c>
      <c r="K1294">
        <f>1-888-909-1336</f>
        <v>-3132</v>
      </c>
      <c r="L1294" t="s">
        <v>4010</v>
      </c>
      <c r="M1294" t="s">
        <v>4011</v>
      </c>
      <c r="N1294" t="s">
        <v>278</v>
      </c>
      <c r="O1294" t="s">
        <v>134</v>
      </c>
      <c r="P1294" t="s">
        <v>782</v>
      </c>
      <c r="Q1294">
        <v>-35</v>
      </c>
      <c r="R1294">
        <v>99.999999000000003</v>
      </c>
    </row>
    <row r="1295" spans="1:18" x14ac:dyDescent="0.2">
      <c r="A1295" t="s">
        <v>270</v>
      </c>
      <c r="B1295" t="s">
        <v>3586</v>
      </c>
      <c r="C1295">
        <v>1</v>
      </c>
      <c r="D1295" s="1">
        <v>44073.026053240741</v>
      </c>
      <c r="E1295" t="s">
        <v>4012</v>
      </c>
      <c r="F1295" t="s">
        <v>273</v>
      </c>
      <c r="G1295" t="s">
        <v>3588</v>
      </c>
      <c r="H1295" t="s">
        <v>275</v>
      </c>
      <c r="I1295" t="s">
        <v>29</v>
      </c>
      <c r="J1295">
        <v>1</v>
      </c>
      <c r="K1295">
        <f>1-888-705-882</f>
        <v>-2474</v>
      </c>
      <c r="L1295" t="s">
        <v>4013</v>
      </c>
      <c r="M1295" t="s">
        <v>4014</v>
      </c>
      <c r="N1295" t="s">
        <v>278</v>
      </c>
      <c r="O1295" t="s">
        <v>134</v>
      </c>
      <c r="P1295" t="s">
        <v>782</v>
      </c>
      <c r="Q1295">
        <v>-35</v>
      </c>
      <c r="R1295">
        <v>99.999999000000003</v>
      </c>
    </row>
    <row r="1296" spans="1:18" x14ac:dyDescent="0.2">
      <c r="A1296" t="s">
        <v>270</v>
      </c>
      <c r="B1296" t="s">
        <v>3586</v>
      </c>
      <c r="C1296">
        <v>1</v>
      </c>
      <c r="D1296" s="1">
        <v>44073.026006944441</v>
      </c>
      <c r="E1296" t="s">
        <v>4015</v>
      </c>
      <c r="F1296" t="s">
        <v>273</v>
      </c>
      <c r="G1296" t="s">
        <v>3588</v>
      </c>
      <c r="H1296" t="s">
        <v>275</v>
      </c>
      <c r="I1296" t="s">
        <v>29</v>
      </c>
      <c r="J1296">
        <v>1</v>
      </c>
      <c r="K1296">
        <f>1-888-705-882</f>
        <v>-2474</v>
      </c>
      <c r="L1296" t="s">
        <v>4016</v>
      </c>
      <c r="M1296" t="s">
        <v>4017</v>
      </c>
      <c r="N1296" t="s">
        <v>278</v>
      </c>
      <c r="O1296" t="s">
        <v>134</v>
      </c>
      <c r="P1296" t="s">
        <v>782</v>
      </c>
      <c r="Q1296">
        <v>-35</v>
      </c>
      <c r="R1296">
        <v>99.999999000000003</v>
      </c>
    </row>
    <row r="1297" spans="1:18" x14ac:dyDescent="0.2">
      <c r="A1297" t="s">
        <v>270</v>
      </c>
      <c r="B1297" t="s">
        <v>3586</v>
      </c>
      <c r="C1297">
        <v>1</v>
      </c>
      <c r="D1297" s="1">
        <v>44072.870173611111</v>
      </c>
      <c r="E1297" t="s">
        <v>4018</v>
      </c>
      <c r="F1297" t="s">
        <v>273</v>
      </c>
      <c r="G1297" t="s">
        <v>3588</v>
      </c>
      <c r="H1297" t="s">
        <v>275</v>
      </c>
      <c r="I1297" t="s">
        <v>29</v>
      </c>
      <c r="J1297">
        <v>1</v>
      </c>
      <c r="K1297">
        <f>1-888-662-8133</f>
        <v>-9682</v>
      </c>
      <c r="L1297" t="s">
        <v>4019</v>
      </c>
      <c r="M1297" t="s">
        <v>4020</v>
      </c>
      <c r="N1297" t="s">
        <v>278</v>
      </c>
      <c r="O1297" t="s">
        <v>134</v>
      </c>
      <c r="P1297" t="s">
        <v>782</v>
      </c>
      <c r="Q1297">
        <v>-35</v>
      </c>
      <c r="R1297">
        <v>99.999999000000003</v>
      </c>
    </row>
    <row r="1298" spans="1:18" x14ac:dyDescent="0.2">
      <c r="A1298" t="s">
        <v>270</v>
      </c>
      <c r="B1298" t="s">
        <v>3586</v>
      </c>
      <c r="C1298">
        <v>1</v>
      </c>
      <c r="D1298" s="1">
        <v>44072.869097222225</v>
      </c>
      <c r="E1298" t="s">
        <v>4021</v>
      </c>
      <c r="F1298" t="s">
        <v>273</v>
      </c>
      <c r="G1298" t="s">
        <v>3588</v>
      </c>
      <c r="H1298" t="s">
        <v>275</v>
      </c>
      <c r="I1298" t="s">
        <v>29</v>
      </c>
      <c r="J1298">
        <v>1</v>
      </c>
      <c r="K1298">
        <f>1-888-609-3819</f>
        <v>-5315</v>
      </c>
      <c r="L1298" t="s">
        <v>4022</v>
      </c>
      <c r="M1298" t="s">
        <v>4023</v>
      </c>
      <c r="N1298" t="s">
        <v>278</v>
      </c>
      <c r="O1298" t="s">
        <v>134</v>
      </c>
      <c r="P1298" t="s">
        <v>782</v>
      </c>
      <c r="Q1298">
        <v>-35</v>
      </c>
      <c r="R1298">
        <v>99.999999000000003</v>
      </c>
    </row>
    <row r="1299" spans="1:18" x14ac:dyDescent="0.2">
      <c r="A1299" t="s">
        <v>270</v>
      </c>
      <c r="B1299" t="s">
        <v>3586</v>
      </c>
      <c r="C1299">
        <v>1</v>
      </c>
      <c r="D1299" s="1">
        <v>44072.867511574077</v>
      </c>
      <c r="E1299" t="s">
        <v>4024</v>
      </c>
      <c r="F1299" t="s">
        <v>273</v>
      </c>
      <c r="G1299" t="s">
        <v>3588</v>
      </c>
      <c r="H1299" t="s">
        <v>275</v>
      </c>
      <c r="I1299" t="s">
        <v>29</v>
      </c>
      <c r="J1299">
        <v>1</v>
      </c>
      <c r="K1299">
        <f>1-888-604-806</f>
        <v>-2297</v>
      </c>
      <c r="L1299" t="s">
        <v>4025</v>
      </c>
      <c r="M1299" t="s">
        <v>4026</v>
      </c>
      <c r="N1299" t="s">
        <v>278</v>
      </c>
      <c r="O1299" t="s">
        <v>134</v>
      </c>
      <c r="P1299" t="s">
        <v>782</v>
      </c>
      <c r="Q1299">
        <v>-35</v>
      </c>
      <c r="R1299">
        <v>99.999999000000003</v>
      </c>
    </row>
    <row r="1300" spans="1:18" x14ac:dyDescent="0.2">
      <c r="A1300" t="s">
        <v>270</v>
      </c>
      <c r="B1300" t="s">
        <v>3586</v>
      </c>
      <c r="C1300">
        <v>1</v>
      </c>
      <c r="D1300" s="1">
        <v>44072.867013888892</v>
      </c>
      <c r="E1300" t="s">
        <v>4027</v>
      </c>
      <c r="F1300" t="s">
        <v>273</v>
      </c>
      <c r="G1300" t="s">
        <v>3588</v>
      </c>
      <c r="H1300" t="s">
        <v>275</v>
      </c>
      <c r="I1300" t="s">
        <v>29</v>
      </c>
      <c r="J1300">
        <v>1</v>
      </c>
      <c r="K1300">
        <f>1-888-604-806</f>
        <v>-2297</v>
      </c>
      <c r="L1300" t="s">
        <v>4028</v>
      </c>
      <c r="M1300" t="s">
        <v>4029</v>
      </c>
      <c r="N1300" t="s">
        <v>278</v>
      </c>
      <c r="O1300" t="s">
        <v>134</v>
      </c>
      <c r="P1300" t="s">
        <v>782</v>
      </c>
      <c r="Q1300">
        <v>-35</v>
      </c>
      <c r="R1300">
        <v>99.999999000000003</v>
      </c>
    </row>
    <row r="1301" spans="1:18" x14ac:dyDescent="0.2">
      <c r="A1301" t="s">
        <v>270</v>
      </c>
      <c r="B1301" t="s">
        <v>3586</v>
      </c>
      <c r="C1301">
        <v>1</v>
      </c>
      <c r="D1301" s="1">
        <v>44072.865937499999</v>
      </c>
      <c r="E1301" t="s">
        <v>4030</v>
      </c>
      <c r="F1301" t="s">
        <v>273</v>
      </c>
      <c r="G1301" t="s">
        <v>3588</v>
      </c>
      <c r="H1301" t="s">
        <v>275</v>
      </c>
      <c r="I1301" t="s">
        <v>29</v>
      </c>
      <c r="J1301">
        <v>1</v>
      </c>
      <c r="K1301">
        <f>1-888-604-806</f>
        <v>-2297</v>
      </c>
      <c r="L1301" t="s">
        <v>4031</v>
      </c>
      <c r="M1301" t="s">
        <v>4032</v>
      </c>
      <c r="N1301" t="s">
        <v>278</v>
      </c>
      <c r="O1301" t="s">
        <v>134</v>
      </c>
      <c r="P1301" t="s">
        <v>782</v>
      </c>
      <c r="Q1301">
        <v>-35</v>
      </c>
      <c r="R1301">
        <v>99.999999000000003</v>
      </c>
    </row>
    <row r="1302" spans="1:18" x14ac:dyDescent="0.2">
      <c r="A1302" t="s">
        <v>270</v>
      </c>
      <c r="B1302" t="s">
        <v>3586</v>
      </c>
      <c r="C1302">
        <v>1</v>
      </c>
      <c r="D1302" s="1">
        <v>44072.864768518521</v>
      </c>
      <c r="E1302" t="s">
        <v>4033</v>
      </c>
      <c r="F1302" t="s">
        <v>273</v>
      </c>
      <c r="G1302" t="s">
        <v>3588</v>
      </c>
      <c r="H1302" t="s">
        <v>275</v>
      </c>
      <c r="I1302" t="s">
        <v>29</v>
      </c>
      <c r="J1302">
        <v>1</v>
      </c>
      <c r="K1302">
        <f>1-888-650-4670</f>
        <v>-6207</v>
      </c>
      <c r="L1302" t="s">
        <v>4034</v>
      </c>
      <c r="M1302" t="s">
        <v>4035</v>
      </c>
      <c r="N1302" t="s">
        <v>278</v>
      </c>
      <c r="O1302" t="s">
        <v>134</v>
      </c>
      <c r="P1302" t="s">
        <v>782</v>
      </c>
      <c r="Q1302">
        <v>-35</v>
      </c>
      <c r="R1302">
        <v>99.999999000000003</v>
      </c>
    </row>
    <row r="1303" spans="1:18" x14ac:dyDescent="0.2">
      <c r="A1303" t="s">
        <v>270</v>
      </c>
      <c r="B1303" t="s">
        <v>3586</v>
      </c>
      <c r="C1303">
        <v>1</v>
      </c>
      <c r="D1303" s="1">
        <v>44072.863425925927</v>
      </c>
      <c r="E1303" t="s">
        <v>4036</v>
      </c>
      <c r="F1303" t="s">
        <v>273</v>
      </c>
      <c r="G1303" t="s">
        <v>3588</v>
      </c>
      <c r="H1303" t="s">
        <v>275</v>
      </c>
      <c r="I1303" t="s">
        <v>29</v>
      </c>
      <c r="J1303">
        <v>1</v>
      </c>
      <c r="K1303">
        <f>1-888-658-5805</f>
        <v>-7350</v>
      </c>
      <c r="L1303" t="s">
        <v>4037</v>
      </c>
      <c r="M1303" t="s">
        <v>4038</v>
      </c>
      <c r="N1303" t="s">
        <v>278</v>
      </c>
      <c r="O1303" t="s">
        <v>134</v>
      </c>
      <c r="P1303" t="s">
        <v>782</v>
      </c>
      <c r="Q1303">
        <v>-35</v>
      </c>
      <c r="R1303">
        <v>99.999999000000003</v>
      </c>
    </row>
    <row r="1304" spans="1:18" x14ac:dyDescent="0.2">
      <c r="A1304" t="s">
        <v>270</v>
      </c>
      <c r="B1304" t="s">
        <v>3586</v>
      </c>
      <c r="C1304">
        <v>1</v>
      </c>
      <c r="D1304" s="1">
        <v>44072.291064814817</v>
      </c>
      <c r="E1304" t="s">
        <v>4039</v>
      </c>
      <c r="F1304" t="s">
        <v>273</v>
      </c>
      <c r="G1304" t="s">
        <v>3588</v>
      </c>
      <c r="H1304" t="s">
        <v>275</v>
      </c>
      <c r="I1304" t="s">
        <v>29</v>
      </c>
      <c r="J1304">
        <v>1</v>
      </c>
      <c r="K1304">
        <f>1-888-658-5805</f>
        <v>-7350</v>
      </c>
      <c r="L1304" t="s">
        <v>4040</v>
      </c>
      <c r="M1304" t="s">
        <v>4041</v>
      </c>
      <c r="N1304" t="s">
        <v>278</v>
      </c>
      <c r="O1304" t="s">
        <v>134</v>
      </c>
      <c r="P1304" t="s">
        <v>782</v>
      </c>
      <c r="Q1304">
        <v>-35</v>
      </c>
      <c r="R1304">
        <v>99.999999000000003</v>
      </c>
    </row>
    <row r="1305" spans="1:18" x14ac:dyDescent="0.2">
      <c r="A1305" t="s">
        <v>270</v>
      </c>
      <c r="B1305" t="s">
        <v>3586</v>
      </c>
      <c r="C1305">
        <v>1</v>
      </c>
      <c r="D1305" s="1">
        <v>44071.976134259261</v>
      </c>
      <c r="E1305" t="s">
        <v>4042</v>
      </c>
      <c r="F1305" t="s">
        <v>273</v>
      </c>
      <c r="G1305" t="s">
        <v>3588</v>
      </c>
      <c r="H1305" t="s">
        <v>275</v>
      </c>
      <c r="I1305" t="s">
        <v>29</v>
      </c>
      <c r="J1305">
        <v>1</v>
      </c>
      <c r="K1305">
        <f>1-888-597-1530</f>
        <v>-3014</v>
      </c>
      <c r="L1305" t="s">
        <v>4043</v>
      </c>
      <c r="M1305" t="s">
        <v>4044</v>
      </c>
      <c r="N1305" t="s">
        <v>278</v>
      </c>
      <c r="O1305" t="s">
        <v>134</v>
      </c>
      <c r="P1305" t="s">
        <v>782</v>
      </c>
      <c r="Q1305">
        <v>-35</v>
      </c>
      <c r="R1305">
        <v>99.999999000000003</v>
      </c>
    </row>
    <row r="1306" spans="1:18" x14ac:dyDescent="0.2">
      <c r="A1306" t="s">
        <v>270</v>
      </c>
      <c r="B1306" t="s">
        <v>3586</v>
      </c>
      <c r="C1306">
        <v>1</v>
      </c>
      <c r="D1306" s="1">
        <v>44071.97556712963</v>
      </c>
      <c r="E1306" t="s">
        <v>4045</v>
      </c>
      <c r="F1306" t="s">
        <v>273</v>
      </c>
      <c r="G1306" t="s">
        <v>3588</v>
      </c>
      <c r="H1306" t="s">
        <v>275</v>
      </c>
      <c r="I1306" t="s">
        <v>29</v>
      </c>
      <c r="J1306">
        <v>1</v>
      </c>
      <c r="K1306">
        <f>1-888-598-1347</f>
        <v>-2832</v>
      </c>
      <c r="L1306" t="s">
        <v>4046</v>
      </c>
      <c r="M1306" t="s">
        <v>4047</v>
      </c>
      <c r="N1306" t="s">
        <v>278</v>
      </c>
      <c r="O1306" t="s">
        <v>134</v>
      </c>
      <c r="P1306" t="s">
        <v>782</v>
      </c>
      <c r="Q1306">
        <v>-35</v>
      </c>
      <c r="R1306">
        <v>99.999999000000003</v>
      </c>
    </row>
    <row r="1307" spans="1:18" x14ac:dyDescent="0.2">
      <c r="A1307" t="s">
        <v>270</v>
      </c>
      <c r="B1307" t="s">
        <v>3586</v>
      </c>
      <c r="C1307">
        <v>1</v>
      </c>
      <c r="D1307" s="1">
        <v>44071.974976851852</v>
      </c>
      <c r="E1307" t="s">
        <v>4048</v>
      </c>
      <c r="F1307" t="s">
        <v>273</v>
      </c>
      <c r="G1307" t="s">
        <v>3588</v>
      </c>
      <c r="H1307" t="s">
        <v>275</v>
      </c>
      <c r="I1307" t="s">
        <v>29</v>
      </c>
      <c r="J1307">
        <v>1</v>
      </c>
      <c r="K1307">
        <f>1-888-803-832</f>
        <v>-2522</v>
      </c>
      <c r="L1307" t="s">
        <v>4049</v>
      </c>
      <c r="M1307" t="s">
        <v>4050</v>
      </c>
      <c r="N1307" t="s">
        <v>278</v>
      </c>
      <c r="O1307" t="s">
        <v>134</v>
      </c>
      <c r="P1307" t="s">
        <v>782</v>
      </c>
      <c r="Q1307">
        <v>-35</v>
      </c>
      <c r="R1307">
        <v>99.999999000000003</v>
      </c>
    </row>
    <row r="1308" spans="1:18" x14ac:dyDescent="0.2">
      <c r="A1308" t="s">
        <v>270</v>
      </c>
      <c r="B1308" t="s">
        <v>3586</v>
      </c>
      <c r="C1308">
        <v>1</v>
      </c>
      <c r="D1308" s="1">
        <v>44071.974386574075</v>
      </c>
      <c r="E1308" t="s">
        <v>4051</v>
      </c>
      <c r="F1308" t="s">
        <v>273</v>
      </c>
      <c r="G1308" t="s">
        <v>3588</v>
      </c>
      <c r="H1308" t="s">
        <v>275</v>
      </c>
      <c r="I1308" t="s">
        <v>29</v>
      </c>
      <c r="J1308">
        <v>1</v>
      </c>
      <c r="K1308">
        <f>1-888-851-676</f>
        <v>-2414</v>
      </c>
      <c r="L1308" t="s">
        <v>4052</v>
      </c>
      <c r="M1308" t="s">
        <v>4053</v>
      </c>
      <c r="N1308" t="s">
        <v>278</v>
      </c>
      <c r="O1308" t="s">
        <v>134</v>
      </c>
      <c r="P1308" t="s">
        <v>782</v>
      </c>
      <c r="Q1308">
        <v>-35</v>
      </c>
      <c r="R1308">
        <v>99.999999000000003</v>
      </c>
    </row>
    <row r="1309" spans="1:18" x14ac:dyDescent="0.2">
      <c r="A1309" t="s">
        <v>270</v>
      </c>
      <c r="B1309" t="s">
        <v>3586</v>
      </c>
      <c r="C1309">
        <v>1</v>
      </c>
      <c r="D1309" s="1">
        <v>44071.97320601852</v>
      </c>
      <c r="E1309" t="s">
        <v>4054</v>
      </c>
      <c r="F1309" t="s">
        <v>273</v>
      </c>
      <c r="G1309" t="s">
        <v>3588</v>
      </c>
      <c r="H1309" t="s">
        <v>275</v>
      </c>
      <c r="I1309" t="s">
        <v>29</v>
      </c>
      <c r="J1309">
        <v>1</v>
      </c>
      <c r="K1309">
        <f>1-888-525-642</f>
        <v>-2054</v>
      </c>
      <c r="L1309" t="s">
        <v>4055</v>
      </c>
      <c r="M1309" t="s">
        <v>4056</v>
      </c>
      <c r="N1309" t="s">
        <v>278</v>
      </c>
      <c r="O1309" t="s">
        <v>134</v>
      </c>
      <c r="P1309" t="s">
        <v>782</v>
      </c>
      <c r="Q1309">
        <v>-35</v>
      </c>
      <c r="R1309">
        <v>99.999999000000003</v>
      </c>
    </row>
    <row r="1310" spans="1:18" x14ac:dyDescent="0.2">
      <c r="A1310" t="s">
        <v>270</v>
      </c>
      <c r="B1310" t="s">
        <v>3586</v>
      </c>
      <c r="C1310">
        <v>1</v>
      </c>
      <c r="D1310" s="1">
        <v>44071.915798611109</v>
      </c>
      <c r="E1310" t="s">
        <v>4057</v>
      </c>
      <c r="F1310" t="s">
        <v>273</v>
      </c>
      <c r="G1310" t="s">
        <v>3588</v>
      </c>
      <c r="H1310" t="s">
        <v>275</v>
      </c>
      <c r="I1310" t="s">
        <v>29</v>
      </c>
      <c r="J1310">
        <v>1</v>
      </c>
      <c r="K1310">
        <f>1-888-706-1244</f>
        <v>-2837</v>
      </c>
      <c r="L1310" t="s">
        <v>4058</v>
      </c>
      <c r="M1310" t="s">
        <v>4059</v>
      </c>
      <c r="N1310" t="s">
        <v>278</v>
      </c>
      <c r="O1310" t="s">
        <v>134</v>
      </c>
      <c r="P1310" t="s">
        <v>782</v>
      </c>
      <c r="Q1310">
        <v>-35</v>
      </c>
      <c r="R1310">
        <v>99.999999000000003</v>
      </c>
    </row>
    <row r="1311" spans="1:18" x14ac:dyDescent="0.2">
      <c r="A1311" t="s">
        <v>270</v>
      </c>
      <c r="B1311" t="s">
        <v>3586</v>
      </c>
      <c r="C1311">
        <v>1</v>
      </c>
      <c r="D1311" s="1">
        <v>44071.915335648147</v>
      </c>
      <c r="E1311" t="s">
        <v>4060</v>
      </c>
      <c r="F1311" t="s">
        <v>273</v>
      </c>
      <c r="G1311" t="s">
        <v>3588</v>
      </c>
      <c r="H1311" t="s">
        <v>275</v>
      </c>
      <c r="I1311" t="s">
        <v>29</v>
      </c>
      <c r="J1311">
        <v>1</v>
      </c>
      <c r="K1311">
        <f>1-888-312-1383</f>
        <v>-2582</v>
      </c>
      <c r="L1311" t="s">
        <v>4061</v>
      </c>
      <c r="M1311" t="s">
        <v>4062</v>
      </c>
      <c r="N1311" t="s">
        <v>278</v>
      </c>
      <c r="O1311" t="s">
        <v>134</v>
      </c>
      <c r="P1311" t="s">
        <v>782</v>
      </c>
      <c r="Q1311">
        <v>-35</v>
      </c>
      <c r="R1311">
        <v>99.999999000000003</v>
      </c>
    </row>
    <row r="1312" spans="1:18" x14ac:dyDescent="0.2">
      <c r="A1312" t="s">
        <v>270</v>
      </c>
      <c r="B1312" t="s">
        <v>3586</v>
      </c>
      <c r="C1312">
        <v>1</v>
      </c>
      <c r="D1312" s="1">
        <v>44071.906157407408</v>
      </c>
      <c r="E1312" t="s">
        <v>4063</v>
      </c>
      <c r="F1312" t="s">
        <v>273</v>
      </c>
      <c r="G1312" t="s">
        <v>3588</v>
      </c>
      <c r="H1312" t="s">
        <v>275</v>
      </c>
      <c r="I1312" t="s">
        <v>29</v>
      </c>
      <c r="J1312">
        <v>1</v>
      </c>
      <c r="K1312">
        <f>1-888-803-850</f>
        <v>-2540</v>
      </c>
      <c r="L1312" t="s">
        <v>4064</v>
      </c>
      <c r="M1312" t="s">
        <v>4065</v>
      </c>
      <c r="N1312" t="s">
        <v>278</v>
      </c>
      <c r="O1312" t="s">
        <v>134</v>
      </c>
      <c r="P1312" t="s">
        <v>782</v>
      </c>
      <c r="Q1312">
        <v>-35</v>
      </c>
      <c r="R1312">
        <v>99.999999000000003</v>
      </c>
    </row>
    <row r="1313" spans="1:18" x14ac:dyDescent="0.2">
      <c r="A1313" t="s">
        <v>270</v>
      </c>
      <c r="B1313" t="s">
        <v>3586</v>
      </c>
      <c r="C1313">
        <v>1</v>
      </c>
      <c r="D1313" s="1">
        <v>44071.905231481483</v>
      </c>
      <c r="E1313" t="s">
        <v>4066</v>
      </c>
      <c r="F1313" t="s">
        <v>273</v>
      </c>
      <c r="G1313" t="s">
        <v>3588</v>
      </c>
      <c r="H1313" t="s">
        <v>275</v>
      </c>
      <c r="I1313" t="s">
        <v>29</v>
      </c>
      <c r="J1313">
        <v>1</v>
      </c>
      <c r="K1313">
        <f>1-888-803-850</f>
        <v>-2540</v>
      </c>
      <c r="L1313" t="s">
        <v>4067</v>
      </c>
      <c r="M1313" t="s">
        <v>4068</v>
      </c>
      <c r="N1313" t="s">
        <v>278</v>
      </c>
      <c r="O1313" t="s">
        <v>134</v>
      </c>
      <c r="P1313" t="s">
        <v>782</v>
      </c>
      <c r="Q1313">
        <v>-35</v>
      </c>
      <c r="R1313">
        <v>99.999999000000003</v>
      </c>
    </row>
    <row r="1314" spans="1:18" x14ac:dyDescent="0.2">
      <c r="A1314" t="s">
        <v>270</v>
      </c>
      <c r="B1314" t="s">
        <v>3586</v>
      </c>
      <c r="C1314">
        <v>1</v>
      </c>
      <c r="D1314" s="1">
        <v>44071.904699074075</v>
      </c>
      <c r="E1314" t="s">
        <v>4069</v>
      </c>
      <c r="F1314" t="s">
        <v>273</v>
      </c>
      <c r="G1314" t="s">
        <v>3588</v>
      </c>
      <c r="H1314" t="s">
        <v>275</v>
      </c>
      <c r="I1314" t="s">
        <v>29</v>
      </c>
      <c r="J1314">
        <v>1</v>
      </c>
      <c r="K1314">
        <f>1-888-304-1408</f>
        <v>-2599</v>
      </c>
      <c r="L1314" t="s">
        <v>4070</v>
      </c>
      <c r="M1314" t="s">
        <v>4071</v>
      </c>
      <c r="N1314" t="s">
        <v>278</v>
      </c>
      <c r="O1314" t="s">
        <v>134</v>
      </c>
      <c r="P1314" t="s">
        <v>782</v>
      </c>
      <c r="Q1314">
        <v>-35</v>
      </c>
      <c r="R1314">
        <v>99.999999000000003</v>
      </c>
    </row>
    <row r="1315" spans="1:18" x14ac:dyDescent="0.2">
      <c r="A1315" t="s">
        <v>270</v>
      </c>
      <c r="B1315" t="s">
        <v>3586</v>
      </c>
      <c r="C1315">
        <v>1</v>
      </c>
      <c r="D1315" s="1">
        <v>44071.904224537036</v>
      </c>
      <c r="E1315" t="s">
        <v>4072</v>
      </c>
      <c r="F1315" t="s">
        <v>273</v>
      </c>
      <c r="G1315" t="s">
        <v>3588</v>
      </c>
      <c r="H1315" t="s">
        <v>275</v>
      </c>
      <c r="I1315" t="s">
        <v>29</v>
      </c>
      <c r="J1315">
        <v>1</v>
      </c>
      <c r="K1315">
        <f>1-888-383-569</f>
        <v>-1839</v>
      </c>
      <c r="L1315" t="s">
        <v>4073</v>
      </c>
      <c r="M1315" t="s">
        <v>4074</v>
      </c>
      <c r="N1315" t="s">
        <v>278</v>
      </c>
      <c r="O1315" t="s">
        <v>134</v>
      </c>
      <c r="P1315" t="s">
        <v>782</v>
      </c>
      <c r="Q1315">
        <v>-35</v>
      </c>
      <c r="R1315">
        <v>99.999999000000003</v>
      </c>
    </row>
    <row r="1316" spans="1:18" x14ac:dyDescent="0.2">
      <c r="A1316" t="s">
        <v>270</v>
      </c>
      <c r="B1316" t="s">
        <v>3586</v>
      </c>
      <c r="C1316">
        <v>1</v>
      </c>
      <c r="D1316" s="1">
        <v>44071.904050925928</v>
      </c>
      <c r="E1316" t="s">
        <v>4075</v>
      </c>
      <c r="F1316" t="s">
        <v>273</v>
      </c>
      <c r="G1316" t="s">
        <v>3588</v>
      </c>
      <c r="H1316" t="s">
        <v>275</v>
      </c>
      <c r="I1316" t="s">
        <v>29</v>
      </c>
      <c r="J1316">
        <v>1</v>
      </c>
      <c r="K1316">
        <f>1-888-851-587</f>
        <v>-2325</v>
      </c>
      <c r="L1316" t="s">
        <v>4076</v>
      </c>
      <c r="M1316" t="s">
        <v>4077</v>
      </c>
      <c r="N1316" t="s">
        <v>278</v>
      </c>
      <c r="O1316" t="s">
        <v>134</v>
      </c>
      <c r="P1316" t="s">
        <v>782</v>
      </c>
      <c r="Q1316">
        <v>-35</v>
      </c>
      <c r="R1316">
        <v>99.999999000000003</v>
      </c>
    </row>
    <row r="1317" spans="1:18" x14ac:dyDescent="0.2">
      <c r="A1317" t="s">
        <v>270</v>
      </c>
      <c r="B1317" t="s">
        <v>3586</v>
      </c>
      <c r="C1317">
        <v>1</v>
      </c>
      <c r="D1317" s="1">
        <v>44071.903182870374</v>
      </c>
      <c r="E1317" t="s">
        <v>4078</v>
      </c>
      <c r="F1317" t="s">
        <v>273</v>
      </c>
      <c r="G1317" t="s">
        <v>3588</v>
      </c>
      <c r="H1317" t="s">
        <v>275</v>
      </c>
      <c r="I1317" t="s">
        <v>29</v>
      </c>
      <c r="J1317">
        <v>1</v>
      </c>
      <c r="K1317">
        <f>1-888-686-474</f>
        <v>-2047</v>
      </c>
      <c r="L1317" t="s">
        <v>4079</v>
      </c>
      <c r="M1317" t="s">
        <v>4080</v>
      </c>
      <c r="N1317" t="s">
        <v>278</v>
      </c>
      <c r="O1317" t="s">
        <v>134</v>
      </c>
      <c r="P1317" t="s">
        <v>782</v>
      </c>
      <c r="Q1317">
        <v>-35</v>
      </c>
      <c r="R1317">
        <v>99.999999000000003</v>
      </c>
    </row>
    <row r="1318" spans="1:18" x14ac:dyDescent="0.2">
      <c r="A1318" t="s">
        <v>270</v>
      </c>
      <c r="B1318" t="s">
        <v>3586</v>
      </c>
      <c r="C1318">
        <v>1</v>
      </c>
      <c r="D1318" s="1">
        <v>44071.888969907406</v>
      </c>
      <c r="E1318" t="s">
        <v>4081</v>
      </c>
      <c r="F1318" t="s">
        <v>273</v>
      </c>
      <c r="G1318" t="s">
        <v>3588</v>
      </c>
      <c r="H1318" t="s">
        <v>275</v>
      </c>
      <c r="I1318" t="s">
        <v>29</v>
      </c>
      <c r="J1318">
        <v>1</v>
      </c>
      <c r="K1318">
        <f>1-888-312-1430</f>
        <v>-2629</v>
      </c>
      <c r="L1318" t="s">
        <v>4082</v>
      </c>
      <c r="M1318" t="s">
        <v>4083</v>
      </c>
      <c r="N1318" t="s">
        <v>278</v>
      </c>
      <c r="O1318" t="s">
        <v>134</v>
      </c>
      <c r="P1318" t="s">
        <v>782</v>
      </c>
      <c r="Q1318">
        <v>-35</v>
      </c>
      <c r="R1318">
        <v>99.999999000000003</v>
      </c>
    </row>
    <row r="1319" spans="1:18" x14ac:dyDescent="0.2">
      <c r="A1319" t="s">
        <v>270</v>
      </c>
      <c r="B1319" t="s">
        <v>3586</v>
      </c>
      <c r="C1319">
        <v>1</v>
      </c>
      <c r="D1319" s="1">
        <v>44071.833124999997</v>
      </c>
      <c r="E1319" t="s">
        <v>4084</v>
      </c>
      <c r="F1319" t="s">
        <v>273</v>
      </c>
      <c r="G1319" t="s">
        <v>3588</v>
      </c>
      <c r="H1319" t="s">
        <v>275</v>
      </c>
      <c r="I1319" t="s">
        <v>29</v>
      </c>
      <c r="J1319">
        <v>1</v>
      </c>
      <c r="K1319">
        <f>1-888-607-419</f>
        <v>-1913</v>
      </c>
      <c r="L1319" t="s">
        <v>4085</v>
      </c>
      <c r="M1319" t="s">
        <v>4086</v>
      </c>
      <c r="N1319" t="s">
        <v>278</v>
      </c>
      <c r="O1319" t="s">
        <v>28</v>
      </c>
      <c r="P1319" t="s">
        <v>782</v>
      </c>
      <c r="Q1319">
        <v>-35</v>
      </c>
      <c r="R1319">
        <v>99.999999000000003</v>
      </c>
    </row>
    <row r="1320" spans="1:18" x14ac:dyDescent="0.2">
      <c r="A1320" t="s">
        <v>270</v>
      </c>
      <c r="B1320" t="s">
        <v>3586</v>
      </c>
      <c r="C1320">
        <v>1</v>
      </c>
      <c r="D1320" s="1">
        <v>44071.424849537034</v>
      </c>
      <c r="E1320" t="s">
        <v>4087</v>
      </c>
      <c r="F1320" t="s">
        <v>273</v>
      </c>
      <c r="G1320" t="s">
        <v>3588</v>
      </c>
      <c r="H1320" t="s">
        <v>275</v>
      </c>
      <c r="I1320" t="s">
        <v>29</v>
      </c>
      <c r="J1320">
        <v>1</v>
      </c>
      <c r="K1320">
        <f>1-888-417-4090</f>
        <v>-5394</v>
      </c>
      <c r="L1320" t="s">
        <v>4088</v>
      </c>
      <c r="M1320" t="s">
        <v>4089</v>
      </c>
      <c r="N1320" t="s">
        <v>278</v>
      </c>
      <c r="O1320" t="s">
        <v>134</v>
      </c>
      <c r="P1320" t="s">
        <v>782</v>
      </c>
      <c r="Q1320">
        <v>-35</v>
      </c>
      <c r="R1320">
        <v>99.999999000000003</v>
      </c>
    </row>
    <row r="1321" spans="1:18" x14ac:dyDescent="0.2">
      <c r="A1321" t="s">
        <v>270</v>
      </c>
      <c r="B1321" t="s">
        <v>3586</v>
      </c>
      <c r="C1321">
        <v>1</v>
      </c>
      <c r="D1321" s="1">
        <v>44071.424826388888</v>
      </c>
      <c r="E1321" t="s">
        <v>4090</v>
      </c>
      <c r="F1321" t="s">
        <v>273</v>
      </c>
      <c r="G1321" t="s">
        <v>3588</v>
      </c>
      <c r="H1321" t="s">
        <v>275</v>
      </c>
      <c r="I1321" t="s">
        <v>29</v>
      </c>
      <c r="J1321">
        <v>1</v>
      </c>
      <c r="K1321">
        <f>1-888-417-4090</f>
        <v>-5394</v>
      </c>
      <c r="L1321" t="s">
        <v>4091</v>
      </c>
      <c r="M1321" t="s">
        <v>4092</v>
      </c>
      <c r="N1321" t="s">
        <v>278</v>
      </c>
      <c r="O1321" t="s">
        <v>134</v>
      </c>
      <c r="P1321" t="s">
        <v>782</v>
      </c>
      <c r="Q1321">
        <v>-35</v>
      </c>
      <c r="R1321">
        <v>99.999999000000003</v>
      </c>
    </row>
    <row r="1322" spans="1:18" x14ac:dyDescent="0.2">
      <c r="A1322" t="s">
        <v>270</v>
      </c>
      <c r="B1322" t="s">
        <v>3586</v>
      </c>
      <c r="C1322">
        <v>1</v>
      </c>
      <c r="D1322" s="1">
        <v>44071.41783564815</v>
      </c>
      <c r="E1322" t="s">
        <v>4093</v>
      </c>
      <c r="F1322" t="s">
        <v>273</v>
      </c>
      <c r="G1322" t="s">
        <v>3588</v>
      </c>
      <c r="H1322" t="s">
        <v>275</v>
      </c>
      <c r="I1322" t="s">
        <v>29</v>
      </c>
      <c r="J1322">
        <v>1</v>
      </c>
      <c r="K1322">
        <f>1-888-803-850</f>
        <v>-2540</v>
      </c>
      <c r="L1322" t="s">
        <v>4094</v>
      </c>
      <c r="M1322" t="s">
        <v>4095</v>
      </c>
      <c r="N1322" t="s">
        <v>278</v>
      </c>
      <c r="O1322" t="s">
        <v>134</v>
      </c>
      <c r="P1322" t="s">
        <v>782</v>
      </c>
      <c r="Q1322">
        <v>-35</v>
      </c>
      <c r="R1322">
        <v>99.999999000000003</v>
      </c>
    </row>
    <row r="1323" spans="1:18" x14ac:dyDescent="0.2">
      <c r="A1323" t="s">
        <v>270</v>
      </c>
      <c r="B1323" t="s">
        <v>3586</v>
      </c>
      <c r="C1323">
        <v>1</v>
      </c>
      <c r="D1323" s="1">
        <v>44071.4140625</v>
      </c>
      <c r="E1323" t="s">
        <v>4096</v>
      </c>
      <c r="F1323" t="s">
        <v>273</v>
      </c>
      <c r="G1323" t="s">
        <v>3588</v>
      </c>
      <c r="H1323" t="s">
        <v>275</v>
      </c>
      <c r="I1323" t="s">
        <v>29</v>
      </c>
      <c r="J1323">
        <v>1</v>
      </c>
      <c r="K1323">
        <f>1-888-417-4090</f>
        <v>-5394</v>
      </c>
      <c r="L1323" t="s">
        <v>4097</v>
      </c>
      <c r="M1323" t="s">
        <v>4098</v>
      </c>
      <c r="N1323" t="s">
        <v>278</v>
      </c>
      <c r="O1323" t="s">
        <v>134</v>
      </c>
      <c r="P1323" t="s">
        <v>782</v>
      </c>
      <c r="Q1323">
        <v>-35</v>
      </c>
      <c r="R1323">
        <v>99.999999000000003</v>
      </c>
    </row>
    <row r="1324" spans="1:18" x14ac:dyDescent="0.2">
      <c r="A1324" t="s">
        <v>270</v>
      </c>
      <c r="B1324" t="s">
        <v>3586</v>
      </c>
      <c r="C1324">
        <v>1</v>
      </c>
      <c r="D1324" s="1">
        <v>44070.869363425925</v>
      </c>
      <c r="E1324" t="s">
        <v>4099</v>
      </c>
      <c r="F1324" t="s">
        <v>273</v>
      </c>
      <c r="G1324" t="s">
        <v>3588</v>
      </c>
      <c r="H1324" t="s">
        <v>275</v>
      </c>
      <c r="I1324" t="s">
        <v>29</v>
      </c>
      <c r="J1324">
        <v>1</v>
      </c>
      <c r="K1324">
        <f>1-888-597-1445</f>
        <v>-2929</v>
      </c>
      <c r="L1324" t="s">
        <v>4100</v>
      </c>
      <c r="M1324" t="s">
        <v>4101</v>
      </c>
      <c r="N1324" t="s">
        <v>278</v>
      </c>
      <c r="O1324" t="s">
        <v>134</v>
      </c>
      <c r="P1324" t="s">
        <v>782</v>
      </c>
      <c r="Q1324">
        <v>-35</v>
      </c>
      <c r="R1324">
        <v>99.999999000000003</v>
      </c>
    </row>
    <row r="1325" spans="1:18" x14ac:dyDescent="0.2">
      <c r="A1325" t="s">
        <v>270</v>
      </c>
      <c r="B1325" t="s">
        <v>3586</v>
      </c>
      <c r="C1325">
        <v>1</v>
      </c>
      <c r="D1325" s="1">
        <v>44070.610509259262</v>
      </c>
      <c r="E1325" t="s">
        <v>4102</v>
      </c>
      <c r="F1325" t="s">
        <v>273</v>
      </c>
      <c r="G1325" t="s">
        <v>3588</v>
      </c>
      <c r="H1325" t="s">
        <v>275</v>
      </c>
      <c r="I1325" t="s">
        <v>29</v>
      </c>
      <c r="J1325">
        <v>1</v>
      </c>
      <c r="K1325">
        <f>1-888-690-842</f>
        <v>-2419</v>
      </c>
      <c r="L1325" t="s">
        <v>4103</v>
      </c>
      <c r="M1325" t="s">
        <v>4104</v>
      </c>
      <c r="N1325" t="s">
        <v>278</v>
      </c>
      <c r="O1325" t="s">
        <v>134</v>
      </c>
      <c r="P1325" t="s">
        <v>782</v>
      </c>
      <c r="Q1325">
        <v>-35</v>
      </c>
      <c r="R1325">
        <v>99.999999000000003</v>
      </c>
    </row>
    <row r="1326" spans="1:18" x14ac:dyDescent="0.2">
      <c r="A1326" t="s">
        <v>270</v>
      </c>
      <c r="B1326" t="s">
        <v>3586</v>
      </c>
      <c r="C1326">
        <v>1</v>
      </c>
      <c r="D1326" s="1">
        <v>44070.601053240738</v>
      </c>
      <c r="E1326" t="s">
        <v>4105</v>
      </c>
      <c r="F1326" t="s">
        <v>273</v>
      </c>
      <c r="G1326" t="s">
        <v>3588</v>
      </c>
      <c r="H1326" t="s">
        <v>275</v>
      </c>
      <c r="I1326" t="s">
        <v>29</v>
      </c>
      <c r="J1326">
        <v>1</v>
      </c>
      <c r="K1326">
        <f>1-888-527-4189</f>
        <v>-5603</v>
      </c>
      <c r="L1326" t="s">
        <v>4106</v>
      </c>
      <c r="M1326" t="s">
        <v>4107</v>
      </c>
      <c r="N1326" t="s">
        <v>278</v>
      </c>
      <c r="O1326" t="s">
        <v>134</v>
      </c>
      <c r="P1326" t="s">
        <v>782</v>
      </c>
      <c r="Q1326">
        <v>-35</v>
      </c>
      <c r="R1326">
        <v>99.999999000000003</v>
      </c>
    </row>
    <row r="1327" spans="1:18" x14ac:dyDescent="0.2">
      <c r="A1327" t="s">
        <v>270</v>
      </c>
      <c r="B1327" t="s">
        <v>3586</v>
      </c>
      <c r="C1327">
        <v>1</v>
      </c>
      <c r="D1327" s="1">
        <v>44070.600798611114</v>
      </c>
      <c r="E1327" t="s">
        <v>4108</v>
      </c>
      <c r="F1327" t="s">
        <v>273</v>
      </c>
      <c r="G1327" t="s">
        <v>3588</v>
      </c>
      <c r="H1327" t="s">
        <v>275</v>
      </c>
      <c r="I1327" t="s">
        <v>29</v>
      </c>
      <c r="J1327">
        <v>1</v>
      </c>
      <c r="K1327">
        <f>1-888-527-4189</f>
        <v>-5603</v>
      </c>
      <c r="L1327" t="s">
        <v>4109</v>
      </c>
      <c r="M1327" t="s">
        <v>4110</v>
      </c>
      <c r="N1327" t="s">
        <v>278</v>
      </c>
      <c r="O1327" t="s">
        <v>134</v>
      </c>
      <c r="P1327" t="s">
        <v>782</v>
      </c>
      <c r="Q1327">
        <v>-35</v>
      </c>
      <c r="R1327">
        <v>99.999999000000003</v>
      </c>
    </row>
    <row r="1328" spans="1:18" x14ac:dyDescent="0.2">
      <c r="A1328" t="s">
        <v>270</v>
      </c>
      <c r="B1328" t="s">
        <v>3586</v>
      </c>
      <c r="C1328">
        <v>1</v>
      </c>
      <c r="D1328" s="1">
        <v>44070.582824074074</v>
      </c>
      <c r="E1328" t="s">
        <v>4111</v>
      </c>
      <c r="F1328" t="s">
        <v>273</v>
      </c>
      <c r="G1328" t="s">
        <v>3588</v>
      </c>
      <c r="H1328" t="s">
        <v>275</v>
      </c>
      <c r="I1328" t="s">
        <v>29</v>
      </c>
      <c r="J1328">
        <v>1</v>
      </c>
      <c r="K1328">
        <f>1-866-672-9693</f>
        <v>-11230</v>
      </c>
      <c r="L1328" t="s">
        <v>4112</v>
      </c>
      <c r="M1328" t="s">
        <v>4113</v>
      </c>
      <c r="N1328" t="s">
        <v>278</v>
      </c>
      <c r="O1328" t="s">
        <v>134</v>
      </c>
      <c r="P1328" t="s">
        <v>782</v>
      </c>
      <c r="Q1328">
        <v>-35</v>
      </c>
      <c r="R1328">
        <v>99.999999000000003</v>
      </c>
    </row>
    <row r="1329" spans="1:18" x14ac:dyDescent="0.2">
      <c r="A1329" t="s">
        <v>270</v>
      </c>
      <c r="B1329" t="s">
        <v>3586</v>
      </c>
      <c r="C1329">
        <v>1</v>
      </c>
      <c r="D1329" s="1">
        <v>44070.581516203703</v>
      </c>
      <c r="E1329" t="s">
        <v>4114</v>
      </c>
      <c r="F1329" t="s">
        <v>273</v>
      </c>
      <c r="G1329" t="s">
        <v>3588</v>
      </c>
      <c r="H1329" t="s">
        <v>275</v>
      </c>
      <c r="I1329" t="s">
        <v>29</v>
      </c>
      <c r="J1329">
        <v>1</v>
      </c>
      <c r="K1329">
        <f>1-866-671-2033</f>
        <v>-3569</v>
      </c>
      <c r="L1329" t="s">
        <v>4115</v>
      </c>
      <c r="M1329" t="s">
        <v>4116</v>
      </c>
      <c r="N1329" t="s">
        <v>278</v>
      </c>
      <c r="O1329" t="s">
        <v>134</v>
      </c>
      <c r="P1329" t="s">
        <v>782</v>
      </c>
      <c r="Q1329">
        <v>-35</v>
      </c>
      <c r="R1329">
        <v>99.999999000000003</v>
      </c>
    </row>
    <row r="1330" spans="1:18" x14ac:dyDescent="0.2">
      <c r="A1330" t="s">
        <v>270</v>
      </c>
      <c r="B1330" t="s">
        <v>3586</v>
      </c>
      <c r="C1330">
        <v>1</v>
      </c>
      <c r="D1330" s="1">
        <v>44070.581458333334</v>
      </c>
      <c r="E1330" t="s">
        <v>4117</v>
      </c>
      <c r="F1330" t="s">
        <v>273</v>
      </c>
      <c r="G1330" t="s">
        <v>3588</v>
      </c>
      <c r="H1330" t="s">
        <v>275</v>
      </c>
      <c r="I1330" t="s">
        <v>29</v>
      </c>
      <c r="J1330">
        <v>1</v>
      </c>
      <c r="K1330">
        <f>1-866-749-6811</f>
        <v>-8425</v>
      </c>
      <c r="L1330" t="s">
        <v>4118</v>
      </c>
      <c r="M1330" t="s">
        <v>4119</v>
      </c>
      <c r="N1330" t="s">
        <v>278</v>
      </c>
      <c r="O1330" t="s">
        <v>134</v>
      </c>
      <c r="P1330" t="s">
        <v>782</v>
      </c>
      <c r="Q1330">
        <v>-35</v>
      </c>
      <c r="R1330">
        <v>99.999999000000003</v>
      </c>
    </row>
    <row r="1331" spans="1:18" x14ac:dyDescent="0.2">
      <c r="A1331" t="s">
        <v>270</v>
      </c>
      <c r="B1331" t="s">
        <v>3586</v>
      </c>
      <c r="C1331">
        <v>1</v>
      </c>
      <c r="D1331" s="1">
        <v>44070.577719907407</v>
      </c>
      <c r="E1331" t="s">
        <v>4120</v>
      </c>
      <c r="F1331" t="s">
        <v>273</v>
      </c>
      <c r="G1331" t="s">
        <v>3588</v>
      </c>
      <c r="H1331" t="s">
        <v>275</v>
      </c>
      <c r="I1331" t="s">
        <v>29</v>
      </c>
      <c r="J1331">
        <v>1</v>
      </c>
      <c r="K1331">
        <f>1-866-730-8093</f>
        <v>-9688</v>
      </c>
      <c r="L1331" t="s">
        <v>4121</v>
      </c>
      <c r="M1331" t="s">
        <v>4122</v>
      </c>
      <c r="N1331" t="s">
        <v>278</v>
      </c>
      <c r="O1331" t="s">
        <v>134</v>
      </c>
      <c r="P1331" t="s">
        <v>782</v>
      </c>
      <c r="Q1331">
        <v>-35</v>
      </c>
      <c r="R1331">
        <v>99.999999000000003</v>
      </c>
    </row>
    <row r="1332" spans="1:18" x14ac:dyDescent="0.2">
      <c r="A1332" t="s">
        <v>270</v>
      </c>
      <c r="B1332" t="s">
        <v>3586</v>
      </c>
      <c r="C1332">
        <v>1</v>
      </c>
      <c r="D1332" s="1">
        <v>44070.575706018521</v>
      </c>
      <c r="E1332" t="s">
        <v>4123</v>
      </c>
      <c r="F1332" t="s">
        <v>273</v>
      </c>
      <c r="G1332" t="s">
        <v>3588</v>
      </c>
      <c r="H1332" t="s">
        <v>275</v>
      </c>
      <c r="I1332" t="s">
        <v>29</v>
      </c>
      <c r="J1332">
        <v>1</v>
      </c>
      <c r="K1332">
        <f>1-866-730-8093</f>
        <v>-9688</v>
      </c>
      <c r="L1332" t="s">
        <v>4124</v>
      </c>
      <c r="M1332" t="s">
        <v>4125</v>
      </c>
      <c r="N1332" t="s">
        <v>278</v>
      </c>
      <c r="O1332" t="s">
        <v>134</v>
      </c>
      <c r="P1332" t="s">
        <v>782</v>
      </c>
      <c r="Q1332">
        <v>-35</v>
      </c>
      <c r="R1332">
        <v>99.999999000000003</v>
      </c>
    </row>
    <row r="1333" spans="1:18" x14ac:dyDescent="0.2">
      <c r="A1333" t="s">
        <v>270</v>
      </c>
      <c r="B1333" t="s">
        <v>3586</v>
      </c>
      <c r="C1333">
        <v>1</v>
      </c>
      <c r="D1333" s="1">
        <v>44068.192511574074</v>
      </c>
      <c r="E1333" t="s">
        <v>4126</v>
      </c>
      <c r="F1333" t="s">
        <v>273</v>
      </c>
      <c r="G1333" t="s">
        <v>3588</v>
      </c>
      <c r="H1333" t="s">
        <v>275</v>
      </c>
      <c r="I1333" t="s">
        <v>29</v>
      </c>
      <c r="J1333">
        <v>1</v>
      </c>
      <c r="K1333">
        <f>1-888-530-1970</f>
        <v>-3387</v>
      </c>
      <c r="L1333" t="s">
        <v>4127</v>
      </c>
      <c r="M1333" t="s">
        <v>4128</v>
      </c>
      <c r="N1333" t="s">
        <v>278</v>
      </c>
      <c r="O1333" t="s">
        <v>134</v>
      </c>
      <c r="P1333" t="s">
        <v>782</v>
      </c>
      <c r="Q1333">
        <v>-35</v>
      </c>
      <c r="R1333">
        <v>99.999999000000003</v>
      </c>
    </row>
    <row r="1334" spans="1:18" x14ac:dyDescent="0.2">
      <c r="A1334" t="s">
        <v>270</v>
      </c>
      <c r="B1334" t="s">
        <v>3586</v>
      </c>
      <c r="C1334">
        <v>1</v>
      </c>
      <c r="D1334" s="1">
        <v>44068.189710648148</v>
      </c>
      <c r="E1334" t="s">
        <v>4129</v>
      </c>
      <c r="F1334" t="s">
        <v>273</v>
      </c>
      <c r="G1334" t="s">
        <v>3588</v>
      </c>
      <c r="H1334" t="s">
        <v>275</v>
      </c>
      <c r="I1334" t="s">
        <v>29</v>
      </c>
      <c r="J1334">
        <v>1</v>
      </c>
      <c r="K1334">
        <f>1-888-523-6448</f>
        <v>-7858</v>
      </c>
      <c r="L1334" t="s">
        <v>4130</v>
      </c>
      <c r="M1334" t="s">
        <v>4131</v>
      </c>
      <c r="N1334" t="s">
        <v>278</v>
      </c>
      <c r="O1334" t="s">
        <v>134</v>
      </c>
      <c r="P1334" t="s">
        <v>782</v>
      </c>
      <c r="Q1334">
        <v>-35</v>
      </c>
      <c r="R1334">
        <v>99.999999000000003</v>
      </c>
    </row>
    <row r="1335" spans="1:18" x14ac:dyDescent="0.2">
      <c r="A1335" t="s">
        <v>270</v>
      </c>
      <c r="B1335" t="s">
        <v>3586</v>
      </c>
      <c r="C1335">
        <v>1</v>
      </c>
      <c r="D1335" s="1">
        <v>44068.187384259261</v>
      </c>
      <c r="E1335" t="s">
        <v>4132</v>
      </c>
      <c r="F1335" t="s">
        <v>273</v>
      </c>
      <c r="G1335" t="s">
        <v>3588</v>
      </c>
      <c r="H1335" t="s">
        <v>275</v>
      </c>
      <c r="I1335" t="s">
        <v>29</v>
      </c>
      <c r="J1335">
        <v>1</v>
      </c>
      <c r="K1335">
        <f>1-888-525-1127</f>
        <v>-2539</v>
      </c>
      <c r="L1335" t="s">
        <v>4133</v>
      </c>
      <c r="M1335" t="s">
        <v>4134</v>
      </c>
      <c r="N1335" t="s">
        <v>278</v>
      </c>
      <c r="O1335" t="s">
        <v>134</v>
      </c>
      <c r="P1335" t="s">
        <v>782</v>
      </c>
      <c r="Q1335">
        <v>-35</v>
      </c>
      <c r="R1335">
        <v>99.999999000000003</v>
      </c>
    </row>
    <row r="1336" spans="1:18" x14ac:dyDescent="0.2">
      <c r="A1336" t="s">
        <v>270</v>
      </c>
      <c r="B1336" t="s">
        <v>3586</v>
      </c>
      <c r="C1336">
        <v>1</v>
      </c>
      <c r="D1336" s="1">
        <v>44068.186435185184</v>
      </c>
      <c r="E1336" t="s">
        <v>4135</v>
      </c>
      <c r="F1336" t="s">
        <v>273</v>
      </c>
      <c r="G1336" t="s">
        <v>3588</v>
      </c>
      <c r="H1336" t="s">
        <v>275</v>
      </c>
      <c r="I1336" t="s">
        <v>29</v>
      </c>
      <c r="J1336">
        <v>1</v>
      </c>
      <c r="K1336">
        <f>1-888-524-3448</f>
        <v>-4859</v>
      </c>
      <c r="L1336" t="s">
        <v>4136</v>
      </c>
      <c r="M1336" t="s">
        <v>4137</v>
      </c>
      <c r="N1336" t="s">
        <v>278</v>
      </c>
      <c r="O1336" t="s">
        <v>134</v>
      </c>
      <c r="P1336" t="s">
        <v>782</v>
      </c>
      <c r="Q1336">
        <v>-35</v>
      </c>
      <c r="R1336">
        <v>99.999999000000003</v>
      </c>
    </row>
    <row r="1337" spans="1:18" x14ac:dyDescent="0.2">
      <c r="A1337" t="s">
        <v>270</v>
      </c>
      <c r="B1337" t="s">
        <v>3586</v>
      </c>
      <c r="C1337">
        <v>1</v>
      </c>
      <c r="D1337" s="1">
        <v>44068.074004629627</v>
      </c>
      <c r="E1337" t="s">
        <v>4138</v>
      </c>
      <c r="F1337" t="s">
        <v>273</v>
      </c>
      <c r="G1337" t="s">
        <v>3588</v>
      </c>
      <c r="H1337" t="s">
        <v>275</v>
      </c>
      <c r="I1337" t="s">
        <v>29</v>
      </c>
      <c r="J1337">
        <v>1</v>
      </c>
      <c r="K1337">
        <f>1-888-851-676</f>
        <v>-2414</v>
      </c>
      <c r="L1337" t="s">
        <v>4139</v>
      </c>
      <c r="M1337" t="s">
        <v>4140</v>
      </c>
      <c r="N1337" t="s">
        <v>278</v>
      </c>
      <c r="O1337" t="s">
        <v>28</v>
      </c>
      <c r="P1337" t="s">
        <v>782</v>
      </c>
      <c r="Q1337">
        <v>-35</v>
      </c>
      <c r="R1337">
        <v>99.999999000000003</v>
      </c>
    </row>
    <row r="1338" spans="1:18" x14ac:dyDescent="0.2">
      <c r="A1338" t="s">
        <v>270</v>
      </c>
      <c r="B1338" t="s">
        <v>3586</v>
      </c>
      <c r="C1338">
        <v>1</v>
      </c>
      <c r="D1338" s="1">
        <v>44068.072708333333</v>
      </c>
      <c r="E1338" t="s">
        <v>4141</v>
      </c>
      <c r="F1338" t="s">
        <v>273</v>
      </c>
      <c r="G1338" t="s">
        <v>3588</v>
      </c>
      <c r="H1338" t="s">
        <v>275</v>
      </c>
      <c r="I1338" t="s">
        <v>29</v>
      </c>
      <c r="J1338">
        <v>1</v>
      </c>
      <c r="K1338">
        <f>1-888-851-676</f>
        <v>-2414</v>
      </c>
      <c r="L1338" t="s">
        <v>4142</v>
      </c>
      <c r="M1338" t="s">
        <v>4143</v>
      </c>
      <c r="N1338" t="s">
        <v>278</v>
      </c>
      <c r="O1338" t="s">
        <v>28</v>
      </c>
      <c r="P1338" t="s">
        <v>782</v>
      </c>
      <c r="Q1338">
        <v>-35</v>
      </c>
      <c r="R1338">
        <v>99.999999000000003</v>
      </c>
    </row>
    <row r="1339" spans="1:18" x14ac:dyDescent="0.2">
      <c r="A1339" t="s">
        <v>270</v>
      </c>
      <c r="B1339" t="s">
        <v>3586</v>
      </c>
      <c r="C1339">
        <v>1</v>
      </c>
      <c r="D1339" s="1">
        <v>44068.059884259259</v>
      </c>
      <c r="E1339" t="s">
        <v>4144</v>
      </c>
      <c r="F1339" t="s">
        <v>273</v>
      </c>
      <c r="G1339" t="s">
        <v>3588</v>
      </c>
      <c r="H1339" t="s">
        <v>275</v>
      </c>
      <c r="I1339" t="s">
        <v>29</v>
      </c>
      <c r="J1339">
        <v>1</v>
      </c>
      <c r="K1339">
        <f>1-888-527-5177</f>
        <v>-6591</v>
      </c>
      <c r="L1339" t="s">
        <v>4145</v>
      </c>
      <c r="M1339" t="s">
        <v>4146</v>
      </c>
      <c r="N1339" t="s">
        <v>278</v>
      </c>
      <c r="O1339" t="s">
        <v>28</v>
      </c>
      <c r="P1339" t="s">
        <v>782</v>
      </c>
      <c r="Q1339">
        <v>-35</v>
      </c>
      <c r="R1339">
        <v>99.999999000000003</v>
      </c>
    </row>
    <row r="1340" spans="1:18" x14ac:dyDescent="0.2">
      <c r="A1340" t="s">
        <v>270</v>
      </c>
      <c r="B1340" t="s">
        <v>3586</v>
      </c>
      <c r="C1340">
        <v>1</v>
      </c>
      <c r="D1340" s="1">
        <v>44068.05809027778</v>
      </c>
      <c r="E1340" t="s">
        <v>4147</v>
      </c>
      <c r="F1340" t="s">
        <v>273</v>
      </c>
      <c r="G1340" t="s">
        <v>3588</v>
      </c>
      <c r="H1340" t="s">
        <v>275</v>
      </c>
      <c r="I1340" t="s">
        <v>29</v>
      </c>
      <c r="J1340">
        <v>1</v>
      </c>
      <c r="K1340">
        <f>1-888-523-6511</f>
        <v>-7921</v>
      </c>
      <c r="L1340" t="s">
        <v>4148</v>
      </c>
      <c r="M1340" t="s">
        <v>4149</v>
      </c>
      <c r="N1340" t="s">
        <v>278</v>
      </c>
      <c r="O1340" t="s">
        <v>28</v>
      </c>
      <c r="P1340" t="s">
        <v>782</v>
      </c>
      <c r="Q1340">
        <v>-35</v>
      </c>
      <c r="R1340">
        <v>99.999999000000003</v>
      </c>
    </row>
    <row r="1341" spans="1:18" x14ac:dyDescent="0.2">
      <c r="A1341" t="s">
        <v>270</v>
      </c>
      <c r="B1341" t="s">
        <v>3586</v>
      </c>
      <c r="C1341">
        <v>1</v>
      </c>
      <c r="D1341" s="1">
        <v>44068.051481481481</v>
      </c>
      <c r="E1341" t="s">
        <v>4150</v>
      </c>
      <c r="F1341" t="s">
        <v>273</v>
      </c>
      <c r="G1341" t="s">
        <v>3588</v>
      </c>
      <c r="H1341" t="s">
        <v>275</v>
      </c>
      <c r="I1341" t="s">
        <v>29</v>
      </c>
      <c r="J1341">
        <v>1</v>
      </c>
      <c r="K1341">
        <f>1-888-524-5804</f>
        <v>-7215</v>
      </c>
      <c r="L1341" t="s">
        <v>4151</v>
      </c>
      <c r="M1341" t="s">
        <v>4152</v>
      </c>
      <c r="N1341" t="s">
        <v>278</v>
      </c>
      <c r="O1341" t="s">
        <v>28</v>
      </c>
      <c r="P1341" t="s">
        <v>782</v>
      </c>
      <c r="Q1341">
        <v>-35</v>
      </c>
      <c r="R1341">
        <v>99.999999000000003</v>
      </c>
    </row>
    <row r="1342" spans="1:18" x14ac:dyDescent="0.2">
      <c r="A1342" t="s">
        <v>270</v>
      </c>
      <c r="B1342" t="s">
        <v>3586</v>
      </c>
      <c r="C1342">
        <v>1</v>
      </c>
      <c r="D1342" s="1">
        <v>44068.044247685182</v>
      </c>
      <c r="E1342" t="s">
        <v>4153</v>
      </c>
      <c r="F1342" t="s">
        <v>273</v>
      </c>
      <c r="G1342" t="s">
        <v>3588</v>
      </c>
      <c r="H1342" t="s">
        <v>275</v>
      </c>
      <c r="I1342" t="s">
        <v>29</v>
      </c>
      <c r="J1342">
        <v>1</v>
      </c>
      <c r="K1342">
        <f>1-888-534-8036</f>
        <v>-9457</v>
      </c>
      <c r="L1342" t="s">
        <v>4154</v>
      </c>
      <c r="M1342" t="s">
        <v>4155</v>
      </c>
      <c r="N1342" t="s">
        <v>278</v>
      </c>
      <c r="O1342" t="s">
        <v>28</v>
      </c>
      <c r="P1342" t="s">
        <v>782</v>
      </c>
      <c r="Q1342">
        <v>-35</v>
      </c>
      <c r="R1342">
        <v>99.999999000000003</v>
      </c>
    </row>
    <row r="1343" spans="1:18" x14ac:dyDescent="0.2">
      <c r="A1343" t="s">
        <v>270</v>
      </c>
      <c r="B1343" t="s">
        <v>3586</v>
      </c>
      <c r="C1343">
        <v>1</v>
      </c>
      <c r="D1343" s="1">
        <v>44068.034108796295</v>
      </c>
      <c r="E1343" t="s">
        <v>4156</v>
      </c>
      <c r="F1343" t="s">
        <v>273</v>
      </c>
      <c r="G1343" t="s">
        <v>3588</v>
      </c>
      <c r="H1343" t="s">
        <v>275</v>
      </c>
      <c r="I1343" t="s">
        <v>29</v>
      </c>
      <c r="J1343">
        <v>1</v>
      </c>
      <c r="K1343">
        <f>1-888-965-914</f>
        <v>-2766</v>
      </c>
      <c r="L1343" t="s">
        <v>4157</v>
      </c>
      <c r="M1343" t="s">
        <v>4158</v>
      </c>
      <c r="N1343" t="s">
        <v>278</v>
      </c>
      <c r="O1343" t="s">
        <v>28</v>
      </c>
      <c r="P1343" t="s">
        <v>782</v>
      </c>
      <c r="Q1343">
        <v>-35</v>
      </c>
      <c r="R1343">
        <v>99.999999000000003</v>
      </c>
    </row>
    <row r="1344" spans="1:18" x14ac:dyDescent="0.2">
      <c r="A1344" t="s">
        <v>270</v>
      </c>
      <c r="B1344" t="s">
        <v>3586</v>
      </c>
      <c r="C1344">
        <v>1</v>
      </c>
      <c r="D1344" s="1">
        <v>44068.031342592592</v>
      </c>
      <c r="E1344" t="s">
        <v>4159</v>
      </c>
      <c r="F1344" t="s">
        <v>273</v>
      </c>
      <c r="G1344" t="s">
        <v>3588</v>
      </c>
      <c r="H1344" t="s">
        <v>275</v>
      </c>
      <c r="I1344" t="s">
        <v>29</v>
      </c>
      <c r="J1344">
        <v>1</v>
      </c>
      <c r="K1344">
        <f>1-888-965-777</f>
        <v>-2629</v>
      </c>
      <c r="L1344" t="s">
        <v>4160</v>
      </c>
      <c r="M1344" t="s">
        <v>4161</v>
      </c>
      <c r="N1344" t="s">
        <v>278</v>
      </c>
      <c r="O1344" t="s">
        <v>28</v>
      </c>
      <c r="P1344" t="s">
        <v>782</v>
      </c>
      <c r="Q1344">
        <v>-35</v>
      </c>
      <c r="R1344">
        <v>99.999999000000003</v>
      </c>
    </row>
    <row r="1345" spans="1:18" x14ac:dyDescent="0.2">
      <c r="A1345" t="s">
        <v>270</v>
      </c>
      <c r="B1345" t="s">
        <v>3586</v>
      </c>
      <c r="C1345">
        <v>1</v>
      </c>
      <c r="D1345" s="1">
        <v>44068.030763888892</v>
      </c>
      <c r="E1345" t="s">
        <v>4162</v>
      </c>
      <c r="F1345" t="s">
        <v>273</v>
      </c>
      <c r="G1345" t="s">
        <v>3588</v>
      </c>
      <c r="H1345" t="s">
        <v>275</v>
      </c>
      <c r="I1345" t="s">
        <v>29</v>
      </c>
      <c r="J1345">
        <v>1</v>
      </c>
      <c r="K1345">
        <f>1-888-965-777</f>
        <v>-2629</v>
      </c>
      <c r="L1345" t="s">
        <v>4163</v>
      </c>
      <c r="M1345" t="s">
        <v>4164</v>
      </c>
      <c r="N1345" t="s">
        <v>278</v>
      </c>
      <c r="O1345" t="s">
        <v>28</v>
      </c>
      <c r="P1345" t="s">
        <v>782</v>
      </c>
      <c r="Q1345">
        <v>-35</v>
      </c>
      <c r="R1345">
        <v>99.999999000000003</v>
      </c>
    </row>
    <row r="1346" spans="1:18" x14ac:dyDescent="0.2">
      <c r="A1346" t="s">
        <v>270</v>
      </c>
      <c r="B1346" t="s">
        <v>3586</v>
      </c>
      <c r="C1346">
        <v>1</v>
      </c>
      <c r="D1346" s="1">
        <v>44068.028749999998</v>
      </c>
      <c r="E1346" t="s">
        <v>4165</v>
      </c>
      <c r="F1346" t="s">
        <v>273</v>
      </c>
      <c r="G1346" t="s">
        <v>3588</v>
      </c>
      <c r="H1346" t="s">
        <v>275</v>
      </c>
      <c r="I1346" t="s">
        <v>29</v>
      </c>
      <c r="J1346">
        <v>1</v>
      </c>
      <c r="K1346">
        <f>1-888-690-840</f>
        <v>-2417</v>
      </c>
      <c r="L1346" t="s">
        <v>4166</v>
      </c>
      <c r="M1346" t="s">
        <v>4167</v>
      </c>
      <c r="N1346" t="s">
        <v>278</v>
      </c>
      <c r="O1346" t="s">
        <v>28</v>
      </c>
      <c r="P1346" t="s">
        <v>782</v>
      </c>
      <c r="Q1346">
        <v>-35</v>
      </c>
      <c r="R1346">
        <v>99.999999000000003</v>
      </c>
    </row>
    <row r="1347" spans="1:18" x14ac:dyDescent="0.2">
      <c r="A1347" t="s">
        <v>270</v>
      </c>
      <c r="B1347" t="s">
        <v>3586</v>
      </c>
      <c r="C1347">
        <v>1</v>
      </c>
      <c r="D1347" s="1">
        <v>44068.022407407407</v>
      </c>
      <c r="E1347" t="s">
        <v>4168</v>
      </c>
      <c r="F1347" t="s">
        <v>273</v>
      </c>
      <c r="G1347" t="s">
        <v>3588</v>
      </c>
      <c r="H1347" t="s">
        <v>275</v>
      </c>
      <c r="I1347" t="s">
        <v>29</v>
      </c>
      <c r="J1347">
        <v>1</v>
      </c>
      <c r="K1347">
        <f>1-888-965-777</f>
        <v>-2629</v>
      </c>
      <c r="L1347" t="s">
        <v>4169</v>
      </c>
      <c r="M1347" t="s">
        <v>4170</v>
      </c>
      <c r="N1347" t="s">
        <v>278</v>
      </c>
      <c r="O1347" t="s">
        <v>28</v>
      </c>
      <c r="P1347" t="s">
        <v>782</v>
      </c>
      <c r="Q1347">
        <v>-35</v>
      </c>
      <c r="R1347">
        <v>99.999999000000003</v>
      </c>
    </row>
    <row r="1348" spans="1:18" x14ac:dyDescent="0.2">
      <c r="A1348" t="s">
        <v>270</v>
      </c>
      <c r="B1348" t="s">
        <v>3586</v>
      </c>
      <c r="C1348">
        <v>1</v>
      </c>
      <c r="D1348" s="1">
        <v>44068.018819444442</v>
      </c>
      <c r="E1348" t="s">
        <v>4171</v>
      </c>
      <c r="F1348" t="s">
        <v>273</v>
      </c>
      <c r="G1348" t="s">
        <v>3588</v>
      </c>
      <c r="H1348" t="s">
        <v>275</v>
      </c>
      <c r="I1348" t="s">
        <v>29</v>
      </c>
      <c r="J1348">
        <v>1</v>
      </c>
      <c r="K1348">
        <f>1-888-706-1246</f>
        <v>-2839</v>
      </c>
      <c r="L1348" t="s">
        <v>4172</v>
      </c>
      <c r="M1348" t="s">
        <v>4173</v>
      </c>
      <c r="N1348" t="s">
        <v>278</v>
      </c>
      <c r="O1348" t="s">
        <v>28</v>
      </c>
      <c r="P1348" t="s">
        <v>782</v>
      </c>
      <c r="Q1348">
        <v>-35</v>
      </c>
      <c r="R1348">
        <v>99.999999000000003</v>
      </c>
    </row>
    <row r="1349" spans="1:18" x14ac:dyDescent="0.2">
      <c r="A1349" t="s">
        <v>270</v>
      </c>
      <c r="B1349" t="s">
        <v>3586</v>
      </c>
      <c r="C1349">
        <v>1</v>
      </c>
      <c r="D1349" s="1">
        <v>44068.014872685184</v>
      </c>
      <c r="E1349" t="s">
        <v>4174</v>
      </c>
      <c r="F1349" t="s">
        <v>273</v>
      </c>
      <c r="G1349" t="s">
        <v>3588</v>
      </c>
      <c r="H1349" t="s">
        <v>275</v>
      </c>
      <c r="I1349" t="s">
        <v>29</v>
      </c>
      <c r="J1349">
        <v>1</v>
      </c>
      <c r="K1349">
        <f>1-888-851-511</f>
        <v>-2249</v>
      </c>
      <c r="L1349" t="s">
        <v>4175</v>
      </c>
      <c r="M1349" t="s">
        <v>4176</v>
      </c>
      <c r="N1349" t="s">
        <v>278</v>
      </c>
      <c r="O1349" t="s">
        <v>28</v>
      </c>
      <c r="P1349" t="s">
        <v>782</v>
      </c>
      <c r="Q1349">
        <v>-35</v>
      </c>
      <c r="R1349">
        <v>99.999999000000003</v>
      </c>
    </row>
    <row r="1350" spans="1:18" x14ac:dyDescent="0.2">
      <c r="A1350" t="s">
        <v>270</v>
      </c>
      <c r="B1350" t="s">
        <v>3586</v>
      </c>
      <c r="C1350">
        <v>1</v>
      </c>
      <c r="D1350" s="1">
        <v>44068.014236111114</v>
      </c>
      <c r="E1350" t="s">
        <v>4177</v>
      </c>
      <c r="F1350" t="s">
        <v>273</v>
      </c>
      <c r="G1350" t="s">
        <v>3588</v>
      </c>
      <c r="H1350" t="s">
        <v>275</v>
      </c>
      <c r="I1350" t="s">
        <v>29</v>
      </c>
      <c r="J1350">
        <v>1</v>
      </c>
      <c r="K1350">
        <f>1-888-851-511</f>
        <v>-2249</v>
      </c>
      <c r="L1350" t="s">
        <v>4178</v>
      </c>
      <c r="M1350" t="s">
        <v>4179</v>
      </c>
      <c r="N1350" t="s">
        <v>278</v>
      </c>
      <c r="O1350" t="s">
        <v>28</v>
      </c>
      <c r="P1350" t="s">
        <v>782</v>
      </c>
      <c r="Q1350">
        <v>-35</v>
      </c>
      <c r="R1350">
        <v>99.999999000000003</v>
      </c>
    </row>
    <row r="1351" spans="1:18" x14ac:dyDescent="0.2">
      <c r="A1351" t="s">
        <v>270</v>
      </c>
      <c r="B1351" t="s">
        <v>3586</v>
      </c>
      <c r="C1351">
        <v>1</v>
      </c>
      <c r="D1351" s="1">
        <v>44066.538530092592</v>
      </c>
      <c r="E1351" t="s">
        <v>4180</v>
      </c>
      <c r="F1351" t="s">
        <v>273</v>
      </c>
      <c r="G1351" t="s">
        <v>3588</v>
      </c>
      <c r="H1351" t="s">
        <v>275</v>
      </c>
      <c r="I1351" t="s">
        <v>29</v>
      </c>
      <c r="J1351">
        <v>1</v>
      </c>
      <c r="K1351">
        <f>1-888-304-1281</f>
        <v>-2472</v>
      </c>
      <c r="L1351" t="s">
        <v>4181</v>
      </c>
      <c r="M1351" t="s">
        <v>4182</v>
      </c>
      <c r="N1351" t="s">
        <v>278</v>
      </c>
      <c r="O1351" t="s">
        <v>134</v>
      </c>
      <c r="P1351" t="s">
        <v>782</v>
      </c>
      <c r="Q1351">
        <v>-35</v>
      </c>
      <c r="R1351">
        <v>99.999999000000003</v>
      </c>
    </row>
    <row r="1352" spans="1:18" x14ac:dyDescent="0.2">
      <c r="A1352" t="s">
        <v>270</v>
      </c>
      <c r="B1352" t="s">
        <v>3586</v>
      </c>
      <c r="C1352">
        <v>1</v>
      </c>
      <c r="D1352" s="1">
        <v>44062.759212962963</v>
      </c>
      <c r="E1352" t="s">
        <v>4183</v>
      </c>
      <c r="F1352" t="s">
        <v>273</v>
      </c>
      <c r="G1352" t="s">
        <v>3588</v>
      </c>
      <c r="H1352" t="s">
        <v>275</v>
      </c>
      <c r="I1352" t="s">
        <v>29</v>
      </c>
      <c r="J1352">
        <v>1</v>
      </c>
      <c r="K1352">
        <f>1-888-803-832</f>
        <v>-2522</v>
      </c>
      <c r="L1352" t="s">
        <v>4184</v>
      </c>
      <c r="M1352" t="s">
        <v>4185</v>
      </c>
      <c r="N1352" t="s">
        <v>278</v>
      </c>
      <c r="O1352" t="s">
        <v>134</v>
      </c>
      <c r="P1352" t="s">
        <v>782</v>
      </c>
      <c r="Q1352">
        <v>-35</v>
      </c>
      <c r="R1352">
        <v>99.999999000000003</v>
      </c>
    </row>
    <row r="1353" spans="1:18" x14ac:dyDescent="0.2">
      <c r="A1353" t="s">
        <v>270</v>
      </c>
      <c r="B1353" t="s">
        <v>3586</v>
      </c>
      <c r="C1353">
        <v>1</v>
      </c>
      <c r="D1353" s="1">
        <v>44060.94121527778</v>
      </c>
      <c r="E1353" t="s">
        <v>4186</v>
      </c>
      <c r="F1353" t="s">
        <v>273</v>
      </c>
      <c r="G1353" t="s">
        <v>3588</v>
      </c>
      <c r="H1353" t="s">
        <v>275</v>
      </c>
      <c r="I1353" t="s">
        <v>29</v>
      </c>
      <c r="J1353">
        <v>1</v>
      </c>
      <c r="K1353">
        <f>1-888-530-1472</f>
        <v>-2889</v>
      </c>
      <c r="L1353" t="s">
        <v>4187</v>
      </c>
      <c r="M1353" t="s">
        <v>4188</v>
      </c>
      <c r="N1353" t="s">
        <v>278</v>
      </c>
      <c r="O1353" t="s">
        <v>134</v>
      </c>
      <c r="P1353" t="s">
        <v>782</v>
      </c>
      <c r="Q1353">
        <v>-35</v>
      </c>
      <c r="R1353">
        <v>99.999999000000003</v>
      </c>
    </row>
    <row r="1354" spans="1:18" x14ac:dyDescent="0.2">
      <c r="A1354" t="s">
        <v>270</v>
      </c>
      <c r="B1354" t="s">
        <v>3586</v>
      </c>
      <c r="C1354">
        <v>1</v>
      </c>
      <c r="D1354" s="1">
        <v>44053.305115740739</v>
      </c>
      <c r="E1354" t="s">
        <v>4189</v>
      </c>
      <c r="F1354" t="s">
        <v>273</v>
      </c>
      <c r="G1354" t="s">
        <v>3588</v>
      </c>
      <c r="H1354" t="s">
        <v>275</v>
      </c>
      <c r="I1354" t="s">
        <v>29</v>
      </c>
      <c r="J1354">
        <v>1</v>
      </c>
      <c r="K1354">
        <f>1-866-702-3639</f>
        <v>-5206</v>
      </c>
      <c r="L1354" t="s">
        <v>4190</v>
      </c>
      <c r="M1354" t="s">
        <v>4191</v>
      </c>
      <c r="N1354" t="s">
        <v>278</v>
      </c>
      <c r="O1354" t="s">
        <v>134</v>
      </c>
      <c r="P1354" t="s">
        <v>782</v>
      </c>
      <c r="Q1354">
        <v>-35</v>
      </c>
      <c r="R1354">
        <v>99.999999000000003</v>
      </c>
    </row>
    <row r="1355" spans="1:18" x14ac:dyDescent="0.2">
      <c r="A1355" t="s">
        <v>270</v>
      </c>
      <c r="B1355" t="s">
        <v>3586</v>
      </c>
      <c r="C1355">
        <v>1</v>
      </c>
      <c r="D1355" s="1">
        <v>44053.302106481482</v>
      </c>
      <c r="E1355" t="s">
        <v>4192</v>
      </c>
      <c r="F1355" t="s">
        <v>273</v>
      </c>
      <c r="G1355" t="s">
        <v>3588</v>
      </c>
      <c r="H1355" t="s">
        <v>275</v>
      </c>
      <c r="I1355" t="s">
        <v>29</v>
      </c>
      <c r="J1355">
        <v>1</v>
      </c>
      <c r="K1355">
        <f>1-866-801-5549</f>
        <v>-7215</v>
      </c>
      <c r="L1355" t="s">
        <v>4193</v>
      </c>
      <c r="M1355" t="s">
        <v>4194</v>
      </c>
      <c r="N1355" t="s">
        <v>278</v>
      </c>
      <c r="O1355" t="s">
        <v>134</v>
      </c>
      <c r="P1355" t="s">
        <v>782</v>
      </c>
      <c r="Q1355">
        <v>-35</v>
      </c>
      <c r="R1355">
        <v>99.999999000000003</v>
      </c>
    </row>
    <row r="1356" spans="1:18" x14ac:dyDescent="0.2">
      <c r="A1356" t="s">
        <v>270</v>
      </c>
      <c r="B1356" t="s">
        <v>3586</v>
      </c>
      <c r="C1356">
        <v>1</v>
      </c>
      <c r="D1356" s="1">
        <v>44053.298657407409</v>
      </c>
      <c r="E1356" t="s">
        <v>4195</v>
      </c>
      <c r="F1356" t="s">
        <v>273</v>
      </c>
      <c r="G1356" t="s">
        <v>3588</v>
      </c>
      <c r="H1356" t="s">
        <v>275</v>
      </c>
      <c r="I1356" t="s">
        <v>29</v>
      </c>
      <c r="J1356">
        <v>1</v>
      </c>
      <c r="K1356">
        <f>1-866-801-5549</f>
        <v>-7215</v>
      </c>
      <c r="L1356" t="s">
        <v>4196</v>
      </c>
      <c r="M1356" t="s">
        <v>4197</v>
      </c>
      <c r="N1356" t="s">
        <v>278</v>
      </c>
      <c r="O1356" t="s">
        <v>134</v>
      </c>
      <c r="P1356" t="s">
        <v>782</v>
      </c>
      <c r="Q1356">
        <v>-35</v>
      </c>
      <c r="R1356">
        <v>99.999999000000003</v>
      </c>
    </row>
    <row r="1357" spans="1:18" x14ac:dyDescent="0.2">
      <c r="A1357" t="s">
        <v>270</v>
      </c>
      <c r="B1357" t="s">
        <v>3586</v>
      </c>
      <c r="C1357">
        <v>1</v>
      </c>
      <c r="D1357" s="1">
        <v>44053.290196759262</v>
      </c>
      <c r="E1357" t="s">
        <v>4198</v>
      </c>
      <c r="F1357" t="s">
        <v>273</v>
      </c>
      <c r="G1357" t="s">
        <v>3588</v>
      </c>
      <c r="H1357" t="s">
        <v>275</v>
      </c>
      <c r="I1357" t="s">
        <v>29</v>
      </c>
      <c r="J1357">
        <v>1</v>
      </c>
      <c r="K1357">
        <f>1-888-524-5804</f>
        <v>-7215</v>
      </c>
      <c r="L1357" t="s">
        <v>4199</v>
      </c>
      <c r="M1357" t="s">
        <v>4200</v>
      </c>
      <c r="N1357" t="s">
        <v>278</v>
      </c>
      <c r="O1357" t="s">
        <v>134</v>
      </c>
      <c r="P1357" t="s">
        <v>782</v>
      </c>
      <c r="Q1357">
        <v>-35</v>
      </c>
      <c r="R1357">
        <v>99.999999000000003</v>
      </c>
    </row>
    <row r="1358" spans="1:18" x14ac:dyDescent="0.2">
      <c r="A1358" t="s">
        <v>270</v>
      </c>
      <c r="B1358" t="s">
        <v>3586</v>
      </c>
      <c r="C1358">
        <v>1</v>
      </c>
      <c r="D1358" s="1">
        <v>44045.638958333337</v>
      </c>
      <c r="E1358" t="s">
        <v>4201</v>
      </c>
      <c r="F1358" t="s">
        <v>273</v>
      </c>
      <c r="G1358" t="s">
        <v>3588</v>
      </c>
      <c r="H1358" t="s">
        <v>275</v>
      </c>
      <c r="I1358" t="s">
        <v>29</v>
      </c>
      <c r="J1358">
        <v>1</v>
      </c>
      <c r="K1358">
        <f>1-844-474-3214</f>
        <v>-4531</v>
      </c>
      <c r="L1358" t="s">
        <v>4202</v>
      </c>
      <c r="M1358" t="s">
        <v>4203</v>
      </c>
      <c r="N1358" t="s">
        <v>278</v>
      </c>
      <c r="O1358" t="s">
        <v>134</v>
      </c>
      <c r="P1358" t="s">
        <v>782</v>
      </c>
      <c r="Q1358">
        <v>-35</v>
      </c>
      <c r="R1358">
        <v>99.999999000000003</v>
      </c>
    </row>
    <row r="1359" spans="1:18" x14ac:dyDescent="0.2">
      <c r="A1359" t="s">
        <v>270</v>
      </c>
      <c r="B1359" t="s">
        <v>3586</v>
      </c>
      <c r="C1359">
        <v>1</v>
      </c>
      <c r="D1359" s="1">
        <v>44041.676516203705</v>
      </c>
      <c r="E1359" t="s">
        <v>4204</v>
      </c>
      <c r="F1359" t="s">
        <v>273</v>
      </c>
      <c r="G1359" t="s">
        <v>3588</v>
      </c>
      <c r="H1359" t="s">
        <v>275</v>
      </c>
      <c r="I1359" t="s">
        <v>29</v>
      </c>
      <c r="J1359">
        <v>1</v>
      </c>
      <c r="K1359">
        <f>1-888-537-9622</f>
        <v>-11046</v>
      </c>
      <c r="L1359" t="s">
        <v>4205</v>
      </c>
      <c r="M1359" t="s">
        <v>4206</v>
      </c>
      <c r="N1359" t="s">
        <v>278</v>
      </c>
      <c r="O1359" t="s">
        <v>134</v>
      </c>
      <c r="P1359" t="s">
        <v>782</v>
      </c>
      <c r="Q1359">
        <v>-35</v>
      </c>
      <c r="R1359">
        <v>99.999999000000003</v>
      </c>
    </row>
    <row r="1360" spans="1:18" x14ac:dyDescent="0.2">
      <c r="A1360" t="s">
        <v>270</v>
      </c>
      <c r="B1360" t="s">
        <v>3586</v>
      </c>
      <c r="C1360">
        <v>1</v>
      </c>
      <c r="D1360" s="1">
        <v>44041.518460648149</v>
      </c>
      <c r="E1360" t="s">
        <v>4207</v>
      </c>
      <c r="F1360" t="s">
        <v>273</v>
      </c>
      <c r="G1360" t="s">
        <v>3588</v>
      </c>
      <c r="H1360" t="s">
        <v>275</v>
      </c>
      <c r="I1360" t="s">
        <v>29</v>
      </c>
      <c r="J1360">
        <v>1</v>
      </c>
      <c r="K1360">
        <f>1-888-526-1027</f>
        <v>-2440</v>
      </c>
      <c r="L1360" t="s">
        <v>4208</v>
      </c>
      <c r="M1360" t="s">
        <v>4209</v>
      </c>
      <c r="N1360" t="s">
        <v>278</v>
      </c>
      <c r="O1360" t="s">
        <v>134</v>
      </c>
      <c r="P1360" t="s">
        <v>782</v>
      </c>
      <c r="Q1360">
        <v>-35</v>
      </c>
      <c r="R1360">
        <v>99.999999000000003</v>
      </c>
    </row>
    <row r="1361" spans="1:18" x14ac:dyDescent="0.2">
      <c r="A1361" t="s">
        <v>270</v>
      </c>
      <c r="B1361" t="s">
        <v>3586</v>
      </c>
      <c r="C1361">
        <v>1</v>
      </c>
      <c r="D1361" s="1">
        <v>44041.516064814816</v>
      </c>
      <c r="E1361" t="s">
        <v>4210</v>
      </c>
      <c r="F1361" t="s">
        <v>273</v>
      </c>
      <c r="G1361" t="s">
        <v>3588</v>
      </c>
      <c r="H1361" t="s">
        <v>275</v>
      </c>
      <c r="I1361" t="s">
        <v>29</v>
      </c>
      <c r="J1361">
        <v>1</v>
      </c>
      <c r="K1361">
        <f>1-866-755-2213</f>
        <v>-3833</v>
      </c>
      <c r="L1361" t="s">
        <v>4211</v>
      </c>
      <c r="M1361" t="s">
        <v>4212</v>
      </c>
      <c r="N1361" t="s">
        <v>278</v>
      </c>
      <c r="O1361" t="s">
        <v>134</v>
      </c>
      <c r="P1361" t="s">
        <v>782</v>
      </c>
      <c r="Q1361">
        <v>-35</v>
      </c>
      <c r="R1361">
        <v>99.999999000000003</v>
      </c>
    </row>
    <row r="1362" spans="1:18" x14ac:dyDescent="0.2">
      <c r="A1362" t="s">
        <v>270</v>
      </c>
      <c r="B1362" t="s">
        <v>3586</v>
      </c>
      <c r="C1362">
        <v>1</v>
      </c>
      <c r="D1362" s="1">
        <v>44031.760439814818</v>
      </c>
      <c r="E1362" t="s">
        <v>4213</v>
      </c>
      <c r="F1362" t="s">
        <v>273</v>
      </c>
      <c r="G1362" t="s">
        <v>3588</v>
      </c>
      <c r="H1362" t="s">
        <v>275</v>
      </c>
      <c r="I1362" t="s">
        <v>29</v>
      </c>
      <c r="J1362">
        <v>1</v>
      </c>
      <c r="K1362">
        <f>1-866-755-2213</f>
        <v>-3833</v>
      </c>
      <c r="L1362" t="s">
        <v>4214</v>
      </c>
      <c r="M1362" t="s">
        <v>4215</v>
      </c>
      <c r="N1362" t="s">
        <v>278</v>
      </c>
      <c r="O1362" t="s">
        <v>134</v>
      </c>
      <c r="P1362" t="s">
        <v>782</v>
      </c>
      <c r="Q1362">
        <v>-35</v>
      </c>
      <c r="R1362">
        <v>99.999999000000003</v>
      </c>
    </row>
    <row r="1363" spans="1:18" x14ac:dyDescent="0.2">
      <c r="A1363" t="s">
        <v>270</v>
      </c>
      <c r="B1363" t="s">
        <v>3586</v>
      </c>
      <c r="C1363">
        <v>1</v>
      </c>
      <c r="D1363" s="1">
        <v>44031.759432870371</v>
      </c>
      <c r="E1363" t="s">
        <v>4216</v>
      </c>
      <c r="F1363" t="s">
        <v>273</v>
      </c>
      <c r="G1363" t="s">
        <v>3588</v>
      </c>
      <c r="H1363" t="s">
        <v>275</v>
      </c>
      <c r="I1363" t="s">
        <v>29</v>
      </c>
      <c r="J1363">
        <v>1</v>
      </c>
      <c r="K1363">
        <f>1-866-755-2213</f>
        <v>-3833</v>
      </c>
      <c r="L1363" t="s">
        <v>4217</v>
      </c>
      <c r="M1363" t="s">
        <v>4218</v>
      </c>
      <c r="N1363" t="s">
        <v>278</v>
      </c>
      <c r="O1363" t="s">
        <v>134</v>
      </c>
      <c r="P1363" t="s">
        <v>782</v>
      </c>
      <c r="Q1363">
        <v>-35</v>
      </c>
      <c r="R1363">
        <v>99.999999000000003</v>
      </c>
    </row>
    <row r="1364" spans="1:18" x14ac:dyDescent="0.2">
      <c r="A1364" t="s">
        <v>270</v>
      </c>
      <c r="B1364" t="s">
        <v>3586</v>
      </c>
      <c r="C1364">
        <v>1</v>
      </c>
      <c r="D1364" s="1">
        <v>43987.926585648151</v>
      </c>
      <c r="E1364" t="s">
        <v>4219</v>
      </c>
      <c r="F1364" t="s">
        <v>273</v>
      </c>
      <c r="G1364" t="s">
        <v>3588</v>
      </c>
      <c r="H1364" t="s">
        <v>275</v>
      </c>
      <c r="I1364" t="s">
        <v>29</v>
      </c>
      <c r="J1364">
        <v>1</v>
      </c>
      <c r="K1364">
        <f>1-833-757-705</f>
        <v>-2294</v>
      </c>
      <c r="L1364" t="s">
        <v>4220</v>
      </c>
      <c r="M1364" t="s">
        <v>4221</v>
      </c>
      <c r="N1364" t="s">
        <v>278</v>
      </c>
      <c r="O1364" t="s">
        <v>28</v>
      </c>
      <c r="P1364" t="s">
        <v>782</v>
      </c>
      <c r="Q1364">
        <v>-35</v>
      </c>
      <c r="R1364">
        <v>99.999999000000003</v>
      </c>
    </row>
    <row r="1365" spans="1:18" x14ac:dyDescent="0.2">
      <c r="A1365" t="s">
        <v>675</v>
      </c>
      <c r="B1365" t="s">
        <v>1412</v>
      </c>
      <c r="C1365">
        <v>44</v>
      </c>
      <c r="D1365" s="1">
        <v>43991.503078703703</v>
      </c>
      <c r="E1365" t="s">
        <v>4222</v>
      </c>
      <c r="F1365" t="s">
        <v>678</v>
      </c>
      <c r="G1365" t="s">
        <v>4223</v>
      </c>
      <c r="H1365" t="s">
        <v>680</v>
      </c>
      <c r="I1365" t="s">
        <v>618</v>
      </c>
      <c r="J1365">
        <v>44</v>
      </c>
      <c r="K1365">
        <f>44-800-66-4120</f>
        <v>-4942</v>
      </c>
      <c r="L1365" t="s">
        <v>4224</v>
      </c>
      <c r="M1365" t="s">
        <v>4225</v>
      </c>
      <c r="N1365" t="s">
        <v>1645</v>
      </c>
      <c r="O1365" t="s">
        <v>28</v>
      </c>
      <c r="P1365" t="s">
        <v>29</v>
      </c>
      <c r="Q1365">
        <v>41</v>
      </c>
      <c r="R1365">
        <v>-74.172399999999996</v>
      </c>
    </row>
    <row r="1366" spans="1:18" x14ac:dyDescent="0.2">
      <c r="A1366" t="s">
        <v>675</v>
      </c>
      <c r="B1366" t="s">
        <v>1412</v>
      </c>
      <c r="C1366">
        <v>61</v>
      </c>
      <c r="D1366" s="1">
        <v>43991.351863425924</v>
      </c>
      <c r="E1366" t="s">
        <v>4226</v>
      </c>
      <c r="F1366" t="s">
        <v>678</v>
      </c>
      <c r="G1366" t="s">
        <v>4223</v>
      </c>
      <c r="H1366" t="s">
        <v>680</v>
      </c>
      <c r="I1366" t="s">
        <v>782</v>
      </c>
      <c r="J1366">
        <v>61</v>
      </c>
      <c r="K1366">
        <f>61-1800-215-992</f>
        <v>-2946</v>
      </c>
      <c r="L1366" t="s">
        <v>4227</v>
      </c>
      <c r="M1366" t="s">
        <v>4228</v>
      </c>
      <c r="N1366" t="s">
        <v>1645</v>
      </c>
      <c r="O1366" t="s">
        <v>28</v>
      </c>
      <c r="P1366" t="s">
        <v>29</v>
      </c>
      <c r="Q1366">
        <v>41</v>
      </c>
      <c r="R1366">
        <v>-74.172399999999996</v>
      </c>
    </row>
    <row r="1367" spans="1:18" x14ac:dyDescent="0.2">
      <c r="A1367" t="s">
        <v>675</v>
      </c>
      <c r="B1367" t="s">
        <v>1412</v>
      </c>
      <c r="C1367">
        <v>44</v>
      </c>
      <c r="D1367" s="1">
        <v>43988.60533564815</v>
      </c>
      <c r="E1367" t="s">
        <v>4229</v>
      </c>
      <c r="F1367" t="s">
        <v>678</v>
      </c>
      <c r="G1367" t="s">
        <v>4223</v>
      </c>
      <c r="H1367" t="s">
        <v>680</v>
      </c>
      <c r="I1367" t="s">
        <v>618</v>
      </c>
      <c r="J1367">
        <v>44</v>
      </c>
      <c r="K1367">
        <f>44-800-66-4120</f>
        <v>-4942</v>
      </c>
      <c r="L1367" t="s">
        <v>4230</v>
      </c>
      <c r="M1367" t="s">
        <v>4231</v>
      </c>
      <c r="N1367" t="s">
        <v>1645</v>
      </c>
      <c r="O1367" t="s">
        <v>28</v>
      </c>
      <c r="P1367" t="s">
        <v>29</v>
      </c>
      <c r="Q1367">
        <v>41</v>
      </c>
      <c r="R1367">
        <v>-74.172399999999996</v>
      </c>
    </row>
    <row r="1368" spans="1:18" x14ac:dyDescent="0.2">
      <c r="A1368" t="s">
        <v>675</v>
      </c>
      <c r="B1368" t="s">
        <v>1412</v>
      </c>
      <c r="C1368">
        <v>44</v>
      </c>
      <c r="D1368" s="1">
        <v>43989.560104166667</v>
      </c>
      <c r="E1368" t="s">
        <v>4232</v>
      </c>
      <c r="F1368" t="s">
        <v>678</v>
      </c>
      <c r="G1368" t="s">
        <v>4223</v>
      </c>
      <c r="H1368" t="s">
        <v>680</v>
      </c>
      <c r="I1368" t="s">
        <v>618</v>
      </c>
      <c r="J1368">
        <v>44</v>
      </c>
      <c r="K1368">
        <f>44-800-66-4120</f>
        <v>-4942</v>
      </c>
      <c r="L1368" t="s">
        <v>4233</v>
      </c>
      <c r="M1368" t="s">
        <v>4234</v>
      </c>
      <c r="N1368" t="s">
        <v>1645</v>
      </c>
      <c r="O1368" t="s">
        <v>28</v>
      </c>
      <c r="P1368" t="s">
        <v>29</v>
      </c>
      <c r="Q1368">
        <v>41</v>
      </c>
      <c r="R1368">
        <v>-74.172399999999996</v>
      </c>
    </row>
    <row r="1369" spans="1:18" x14ac:dyDescent="0.2">
      <c r="A1369" t="s">
        <v>675</v>
      </c>
      <c r="B1369" t="s">
        <v>1412</v>
      </c>
      <c r="C1369">
        <v>1</v>
      </c>
      <c r="D1369" s="1">
        <v>43989.426886574074</v>
      </c>
      <c r="E1369" t="s">
        <v>4235</v>
      </c>
      <c r="F1369" t="s">
        <v>678</v>
      </c>
      <c r="G1369" t="s">
        <v>4223</v>
      </c>
      <c r="H1369" t="s">
        <v>680</v>
      </c>
      <c r="I1369" t="s">
        <v>29</v>
      </c>
      <c r="J1369">
        <v>1</v>
      </c>
      <c r="K1369">
        <f>1-877-777-2143</f>
        <v>-3796</v>
      </c>
      <c r="L1369" t="s">
        <v>4236</v>
      </c>
      <c r="M1369" t="s">
        <v>4237</v>
      </c>
      <c r="N1369" t="s">
        <v>1645</v>
      </c>
      <c r="O1369" t="s">
        <v>28</v>
      </c>
      <c r="P1369" t="s">
        <v>29</v>
      </c>
      <c r="Q1369">
        <v>41</v>
      </c>
      <c r="R1369">
        <v>-74.172399999999996</v>
      </c>
    </row>
    <row r="1370" spans="1:18" x14ac:dyDescent="0.2">
      <c r="A1370" t="s">
        <v>675</v>
      </c>
      <c r="B1370" t="s">
        <v>1412</v>
      </c>
      <c r="C1370">
        <v>61</v>
      </c>
      <c r="D1370" s="1">
        <v>43989.415706018517</v>
      </c>
      <c r="E1370" t="s">
        <v>4238</v>
      </c>
      <c r="F1370" t="s">
        <v>678</v>
      </c>
      <c r="G1370" t="s">
        <v>4223</v>
      </c>
      <c r="H1370" t="s">
        <v>680</v>
      </c>
      <c r="I1370" t="s">
        <v>782</v>
      </c>
      <c r="J1370">
        <v>61</v>
      </c>
      <c r="K1370">
        <f>61-1800-215-992</f>
        <v>-2946</v>
      </c>
      <c r="L1370" t="s">
        <v>4239</v>
      </c>
      <c r="M1370" t="s">
        <v>4240</v>
      </c>
      <c r="N1370" t="s">
        <v>1645</v>
      </c>
      <c r="O1370" t="s">
        <v>28</v>
      </c>
      <c r="P1370" t="s">
        <v>29</v>
      </c>
      <c r="Q1370">
        <v>41</v>
      </c>
      <c r="R1370">
        <v>-74.172399999999996</v>
      </c>
    </row>
    <row r="1371" spans="1:18" x14ac:dyDescent="0.2">
      <c r="A1371" t="s">
        <v>675</v>
      </c>
      <c r="B1371" t="s">
        <v>1412</v>
      </c>
      <c r="C1371">
        <v>1</v>
      </c>
      <c r="D1371" s="1">
        <v>43988.374293981484</v>
      </c>
      <c r="E1371" t="s">
        <v>4241</v>
      </c>
      <c r="F1371" t="s">
        <v>678</v>
      </c>
      <c r="G1371" t="s">
        <v>4223</v>
      </c>
      <c r="H1371" t="s">
        <v>680</v>
      </c>
      <c r="I1371" t="s">
        <v>29</v>
      </c>
      <c r="J1371">
        <v>1</v>
      </c>
      <c r="K1371">
        <f>1-877-556-3889</f>
        <v>-5321</v>
      </c>
      <c r="L1371" t="s">
        <v>4242</v>
      </c>
      <c r="M1371" t="s">
        <v>4243</v>
      </c>
      <c r="N1371" t="s">
        <v>1645</v>
      </c>
      <c r="O1371" t="s">
        <v>28</v>
      </c>
      <c r="P1371" t="s">
        <v>29</v>
      </c>
      <c r="Q1371">
        <v>41</v>
      </c>
      <c r="R1371">
        <v>-74.172399999999996</v>
      </c>
    </row>
    <row r="1372" spans="1:18" x14ac:dyDescent="0.2">
      <c r="A1372" t="s">
        <v>675</v>
      </c>
      <c r="B1372" t="s">
        <v>1412</v>
      </c>
      <c r="C1372">
        <v>1</v>
      </c>
      <c r="D1372" s="1">
        <v>43988.373541666668</v>
      </c>
      <c r="E1372" t="s">
        <v>4244</v>
      </c>
      <c r="F1372" t="s">
        <v>678</v>
      </c>
      <c r="G1372" t="s">
        <v>4223</v>
      </c>
      <c r="H1372" t="s">
        <v>680</v>
      </c>
      <c r="I1372" t="s">
        <v>29</v>
      </c>
      <c r="J1372">
        <v>1</v>
      </c>
      <c r="K1372">
        <f>1-877-777-2143</f>
        <v>-3796</v>
      </c>
      <c r="L1372" t="s">
        <v>4245</v>
      </c>
      <c r="M1372" t="s">
        <v>4246</v>
      </c>
      <c r="N1372" t="s">
        <v>1645</v>
      </c>
      <c r="O1372" t="s">
        <v>28</v>
      </c>
      <c r="P1372" t="s">
        <v>29</v>
      </c>
      <c r="Q1372">
        <v>41</v>
      </c>
      <c r="R1372">
        <v>-74.172399999999996</v>
      </c>
    </row>
    <row r="1373" spans="1:18" x14ac:dyDescent="0.2">
      <c r="A1373" t="s">
        <v>675</v>
      </c>
      <c r="B1373" t="s">
        <v>1412</v>
      </c>
      <c r="C1373">
        <v>61</v>
      </c>
      <c r="D1373" s="1">
        <v>43988.336099537039</v>
      </c>
      <c r="E1373" t="s">
        <v>4247</v>
      </c>
      <c r="F1373" t="s">
        <v>678</v>
      </c>
      <c r="G1373" t="s">
        <v>4223</v>
      </c>
      <c r="H1373" t="s">
        <v>680</v>
      </c>
      <c r="I1373" t="s">
        <v>782</v>
      </c>
      <c r="J1373">
        <v>61</v>
      </c>
      <c r="K1373">
        <f>61-1800-215-992</f>
        <v>-2946</v>
      </c>
      <c r="L1373" t="s">
        <v>4248</v>
      </c>
      <c r="M1373" t="s">
        <v>4249</v>
      </c>
      <c r="N1373" t="s">
        <v>1645</v>
      </c>
      <c r="O1373" t="s">
        <v>28</v>
      </c>
      <c r="P1373" t="s">
        <v>29</v>
      </c>
      <c r="Q1373">
        <v>41</v>
      </c>
      <c r="R1373">
        <v>-74.172399999999996</v>
      </c>
    </row>
    <row r="1374" spans="1:18" x14ac:dyDescent="0.2">
      <c r="A1374" t="s">
        <v>2233</v>
      </c>
      <c r="B1374" t="s">
        <v>2234</v>
      </c>
      <c r="C1374">
        <v>33</v>
      </c>
      <c r="D1374" s="1">
        <v>43988.426574074074</v>
      </c>
      <c r="E1374" t="s">
        <v>4250</v>
      </c>
      <c r="F1374" t="s">
        <v>2236</v>
      </c>
      <c r="G1374" t="s">
        <v>4250</v>
      </c>
      <c r="H1374" t="s">
        <v>2237</v>
      </c>
      <c r="I1374" t="s">
        <v>292</v>
      </c>
      <c r="J1374">
        <v>33</v>
      </c>
      <c r="K1374">
        <f>33-1-85-15-34-83</f>
        <v>-185</v>
      </c>
      <c r="L1374" t="s">
        <v>4251</v>
      </c>
      <c r="M1374" t="s">
        <v>4252</v>
      </c>
      <c r="N1374">
        <v>102</v>
      </c>
      <c r="O1374" t="s">
        <v>134</v>
      </c>
      <c r="P1374" t="s">
        <v>29</v>
      </c>
      <c r="Q1374">
        <v>40</v>
      </c>
      <c r="R1374">
        <v>-83.114099999999993</v>
      </c>
    </row>
    <row r="1375" spans="1:18" x14ac:dyDescent="0.2">
      <c r="A1375" t="s">
        <v>2233</v>
      </c>
      <c r="B1375" t="s">
        <v>2234</v>
      </c>
      <c r="C1375">
        <v>34</v>
      </c>
      <c r="D1375" s="1">
        <v>43988.450844907406</v>
      </c>
      <c r="E1375" t="s">
        <v>4250</v>
      </c>
      <c r="F1375" t="s">
        <v>2236</v>
      </c>
      <c r="G1375" t="s">
        <v>4250</v>
      </c>
      <c r="H1375" t="s">
        <v>2237</v>
      </c>
      <c r="I1375" t="s">
        <v>700</v>
      </c>
      <c r="J1375">
        <v>34</v>
      </c>
      <c r="K1375">
        <f>34-902-18-423</f>
        <v>-1309</v>
      </c>
      <c r="L1375" t="s">
        <v>4253</v>
      </c>
      <c r="M1375" t="s">
        <v>4254</v>
      </c>
      <c r="N1375">
        <v>102</v>
      </c>
      <c r="O1375" t="s">
        <v>134</v>
      </c>
      <c r="P1375" t="s">
        <v>29</v>
      </c>
      <c r="Q1375">
        <v>40</v>
      </c>
      <c r="R1375">
        <v>-83.114099999999993</v>
      </c>
    </row>
    <row r="1376" spans="1:18" x14ac:dyDescent="0.2">
      <c r="A1376" t="s">
        <v>2233</v>
      </c>
      <c r="B1376" t="s">
        <v>2234</v>
      </c>
      <c r="C1376">
        <v>41</v>
      </c>
      <c r="D1376" s="1">
        <v>43988.417488425926</v>
      </c>
      <c r="E1376" t="s">
        <v>4250</v>
      </c>
      <c r="F1376" t="s">
        <v>2236</v>
      </c>
      <c r="G1376" t="s">
        <v>4250</v>
      </c>
      <c r="H1376" t="s">
        <v>2237</v>
      </c>
      <c r="I1376" t="s">
        <v>204</v>
      </c>
      <c r="J1376">
        <v>41</v>
      </c>
      <c r="K1376">
        <f>41-22-5188-918</f>
        <v>-6087</v>
      </c>
      <c r="L1376" t="s">
        <v>4255</v>
      </c>
      <c r="M1376" t="s">
        <v>4256</v>
      </c>
      <c r="N1376">
        <v>102</v>
      </c>
      <c r="O1376" t="s">
        <v>134</v>
      </c>
      <c r="P1376" t="s">
        <v>29</v>
      </c>
      <c r="Q1376">
        <v>40</v>
      </c>
      <c r="R1376">
        <v>-83.114099999999993</v>
      </c>
    </row>
    <row r="1377" spans="1:18" x14ac:dyDescent="0.2">
      <c r="A1377" t="s">
        <v>2233</v>
      </c>
      <c r="B1377" t="s">
        <v>2234</v>
      </c>
      <c r="C1377">
        <v>81</v>
      </c>
      <c r="D1377" s="1">
        <v>43988.356909722221</v>
      </c>
      <c r="E1377" t="s">
        <v>4250</v>
      </c>
      <c r="F1377" t="s">
        <v>2236</v>
      </c>
      <c r="G1377" t="s">
        <v>4250</v>
      </c>
      <c r="H1377" t="s">
        <v>2237</v>
      </c>
      <c r="I1377" t="s">
        <v>53</v>
      </c>
      <c r="J1377">
        <v>81</v>
      </c>
      <c r="K1377">
        <f>81-50-5539-1088</f>
        <v>-6596</v>
      </c>
      <c r="L1377" t="s">
        <v>4257</v>
      </c>
      <c r="M1377" t="s">
        <v>4258</v>
      </c>
      <c r="N1377">
        <v>102</v>
      </c>
      <c r="O1377" t="s">
        <v>134</v>
      </c>
      <c r="P1377" t="s">
        <v>29</v>
      </c>
      <c r="Q1377">
        <v>40</v>
      </c>
      <c r="R1377">
        <v>-83.114099999999993</v>
      </c>
    </row>
    <row r="1378" spans="1:18" x14ac:dyDescent="0.2">
      <c r="A1378" t="s">
        <v>2225</v>
      </c>
      <c r="B1378" t="s">
        <v>2226</v>
      </c>
      <c r="C1378">
        <v>81</v>
      </c>
      <c r="D1378" s="1">
        <v>43997.413124999999</v>
      </c>
      <c r="E1378" t="s">
        <v>4259</v>
      </c>
      <c r="F1378" t="s">
        <v>2228</v>
      </c>
      <c r="G1378" t="s">
        <v>4260</v>
      </c>
      <c r="H1378" t="s">
        <v>2230</v>
      </c>
      <c r="I1378" t="s">
        <v>53</v>
      </c>
      <c r="J1378">
        <v>81</v>
      </c>
      <c r="K1378">
        <f>81-50-3136-997</f>
        <v>-4102</v>
      </c>
      <c r="L1378" t="s">
        <v>4261</v>
      </c>
      <c r="M1378" t="s">
        <v>4262</v>
      </c>
      <c r="N1378" t="s">
        <v>2475</v>
      </c>
      <c r="O1378" t="s">
        <v>28</v>
      </c>
      <c r="P1378" t="s">
        <v>24</v>
      </c>
      <c r="Q1378">
        <v>50</v>
      </c>
      <c r="R1378">
        <v>12.365</v>
      </c>
    </row>
    <row r="1379" spans="1:18" x14ac:dyDescent="0.2">
      <c r="A1379" t="s">
        <v>2225</v>
      </c>
      <c r="B1379" t="s">
        <v>2226</v>
      </c>
      <c r="C1379">
        <v>81</v>
      </c>
      <c r="D1379" s="1">
        <v>43993.33084490741</v>
      </c>
      <c r="E1379" t="s">
        <v>4263</v>
      </c>
      <c r="F1379" t="s">
        <v>2228</v>
      </c>
      <c r="G1379" t="s">
        <v>4260</v>
      </c>
      <c r="H1379" t="s">
        <v>2230</v>
      </c>
      <c r="I1379" t="s">
        <v>53</v>
      </c>
      <c r="J1379">
        <v>81</v>
      </c>
      <c r="K1379">
        <f>81-50-3136-997</f>
        <v>-4102</v>
      </c>
      <c r="L1379" t="s">
        <v>4264</v>
      </c>
      <c r="M1379" t="s">
        <v>4265</v>
      </c>
      <c r="N1379" t="s">
        <v>2475</v>
      </c>
      <c r="O1379" t="s">
        <v>28</v>
      </c>
      <c r="P1379" t="s">
        <v>24</v>
      </c>
      <c r="Q1379">
        <v>50</v>
      </c>
      <c r="R1379">
        <v>12.365</v>
      </c>
    </row>
    <row r="1380" spans="1:18" x14ac:dyDescent="0.2">
      <c r="A1380" t="s">
        <v>2225</v>
      </c>
      <c r="B1380" t="s">
        <v>2226</v>
      </c>
      <c r="C1380">
        <v>81</v>
      </c>
      <c r="D1380" s="1">
        <v>43993.330717592595</v>
      </c>
      <c r="E1380" t="s">
        <v>4266</v>
      </c>
      <c r="F1380" t="s">
        <v>2228</v>
      </c>
      <c r="G1380" t="s">
        <v>4260</v>
      </c>
      <c r="H1380" t="s">
        <v>2230</v>
      </c>
      <c r="I1380" t="s">
        <v>53</v>
      </c>
      <c r="J1380">
        <v>81</v>
      </c>
      <c r="K1380">
        <f>81-50-5539-3087</f>
        <v>-8595</v>
      </c>
      <c r="L1380" t="s">
        <v>4267</v>
      </c>
      <c r="M1380" t="s">
        <v>4268</v>
      </c>
      <c r="N1380" t="s">
        <v>2475</v>
      </c>
      <c r="O1380" t="s">
        <v>28</v>
      </c>
      <c r="P1380" t="s">
        <v>24</v>
      </c>
      <c r="Q1380">
        <v>50</v>
      </c>
      <c r="R1380">
        <v>12.365</v>
      </c>
    </row>
    <row r="1381" spans="1:18" x14ac:dyDescent="0.2">
      <c r="A1381" t="s">
        <v>2225</v>
      </c>
      <c r="B1381" t="s">
        <v>2226</v>
      </c>
      <c r="C1381">
        <v>81</v>
      </c>
      <c r="D1381" s="1">
        <v>43992.46497685185</v>
      </c>
      <c r="E1381" t="s">
        <v>4269</v>
      </c>
      <c r="F1381" t="s">
        <v>2228</v>
      </c>
      <c r="G1381" t="s">
        <v>4260</v>
      </c>
      <c r="H1381" t="s">
        <v>2230</v>
      </c>
      <c r="I1381" t="s">
        <v>53</v>
      </c>
      <c r="J1381">
        <v>81</v>
      </c>
      <c r="K1381">
        <f>81-50-5539-3087</f>
        <v>-8595</v>
      </c>
      <c r="L1381" t="s">
        <v>4270</v>
      </c>
      <c r="M1381" t="s">
        <v>4271</v>
      </c>
      <c r="N1381" t="s">
        <v>2475</v>
      </c>
      <c r="O1381" t="s">
        <v>28</v>
      </c>
      <c r="P1381" t="s">
        <v>24</v>
      </c>
      <c r="Q1381">
        <v>50</v>
      </c>
      <c r="R1381">
        <v>12.365</v>
      </c>
    </row>
    <row r="1382" spans="1:18" x14ac:dyDescent="0.2">
      <c r="A1382" t="s">
        <v>2225</v>
      </c>
      <c r="B1382" t="s">
        <v>2226</v>
      </c>
      <c r="C1382">
        <v>81</v>
      </c>
      <c r="D1382" s="1">
        <v>43991.345092592594</v>
      </c>
      <c r="E1382" t="s">
        <v>4272</v>
      </c>
      <c r="F1382" t="s">
        <v>2228</v>
      </c>
      <c r="G1382" t="s">
        <v>4260</v>
      </c>
      <c r="H1382" t="s">
        <v>2230</v>
      </c>
      <c r="I1382" t="s">
        <v>53</v>
      </c>
      <c r="J1382">
        <v>81</v>
      </c>
      <c r="K1382">
        <f>81-50-5539-3087</f>
        <v>-8595</v>
      </c>
      <c r="L1382" t="s">
        <v>4273</v>
      </c>
      <c r="M1382" t="s">
        <v>4274</v>
      </c>
      <c r="N1382" t="s">
        <v>2475</v>
      </c>
      <c r="O1382" t="s">
        <v>28</v>
      </c>
      <c r="P1382" t="s">
        <v>24</v>
      </c>
      <c r="Q1382">
        <v>50</v>
      </c>
      <c r="R1382">
        <v>12.365</v>
      </c>
    </row>
    <row r="1383" spans="1:18" x14ac:dyDescent="0.2">
      <c r="A1383" t="s">
        <v>2225</v>
      </c>
      <c r="B1383" t="s">
        <v>2226</v>
      </c>
      <c r="C1383">
        <v>81</v>
      </c>
      <c r="D1383" s="1">
        <v>43991.344976851855</v>
      </c>
      <c r="E1383" t="s">
        <v>4275</v>
      </c>
      <c r="F1383" t="s">
        <v>2228</v>
      </c>
      <c r="G1383" t="s">
        <v>4260</v>
      </c>
      <c r="H1383" t="s">
        <v>2230</v>
      </c>
      <c r="I1383" t="s">
        <v>53</v>
      </c>
      <c r="J1383">
        <v>81</v>
      </c>
      <c r="K1383">
        <f>81-50-5534-3142</f>
        <v>-8645</v>
      </c>
      <c r="L1383" t="s">
        <v>4276</v>
      </c>
      <c r="M1383" t="s">
        <v>4277</v>
      </c>
      <c r="N1383" t="s">
        <v>2475</v>
      </c>
      <c r="O1383" t="s">
        <v>28</v>
      </c>
      <c r="P1383" t="s">
        <v>24</v>
      </c>
      <c r="Q1383">
        <v>50</v>
      </c>
      <c r="R1383">
        <v>12.365</v>
      </c>
    </row>
    <row r="1384" spans="1:18" x14ac:dyDescent="0.2">
      <c r="A1384" t="s">
        <v>2225</v>
      </c>
      <c r="B1384" t="s">
        <v>2226</v>
      </c>
      <c r="C1384">
        <v>81</v>
      </c>
      <c r="D1384" s="1">
        <v>43988.358935185184</v>
      </c>
      <c r="E1384" t="s">
        <v>4278</v>
      </c>
      <c r="F1384" t="s">
        <v>2228</v>
      </c>
      <c r="G1384" t="s">
        <v>4260</v>
      </c>
      <c r="H1384" t="s">
        <v>2230</v>
      </c>
      <c r="I1384" t="s">
        <v>53</v>
      </c>
      <c r="J1384">
        <v>81</v>
      </c>
      <c r="K1384">
        <f>81-50-5534-3142</f>
        <v>-8645</v>
      </c>
      <c r="L1384" t="s">
        <v>4279</v>
      </c>
      <c r="M1384" t="s">
        <v>4280</v>
      </c>
      <c r="N1384" t="s">
        <v>2475</v>
      </c>
      <c r="O1384" t="s">
        <v>28</v>
      </c>
      <c r="P1384" t="s">
        <v>24</v>
      </c>
      <c r="Q1384">
        <v>50</v>
      </c>
      <c r="R1384">
        <v>12.365</v>
      </c>
    </row>
    <row r="1385" spans="1:18" x14ac:dyDescent="0.2">
      <c r="A1385" t="s">
        <v>2233</v>
      </c>
      <c r="B1385" t="s">
        <v>4281</v>
      </c>
      <c r="C1385">
        <v>49</v>
      </c>
      <c r="D1385" s="1">
        <v>43990.518159722225</v>
      </c>
      <c r="E1385" t="s">
        <v>4282</v>
      </c>
      <c r="F1385" t="s">
        <v>2236</v>
      </c>
      <c r="G1385" t="s">
        <v>4283</v>
      </c>
      <c r="H1385" t="s">
        <v>2237</v>
      </c>
      <c r="I1385" t="s">
        <v>24</v>
      </c>
      <c r="J1385">
        <v>49</v>
      </c>
      <c r="K1385">
        <f>49-271-6760-9025</f>
        <v>-16007</v>
      </c>
      <c r="L1385" t="s">
        <v>4284</v>
      </c>
      <c r="M1385" t="s">
        <v>4285</v>
      </c>
      <c r="N1385" t="s">
        <v>278</v>
      </c>
      <c r="O1385" t="s">
        <v>28</v>
      </c>
      <c r="P1385" t="s">
        <v>24</v>
      </c>
      <c r="Q1385">
        <v>50</v>
      </c>
      <c r="R1385">
        <v>8.6821300000000008</v>
      </c>
    </row>
    <row r="1386" spans="1:18" x14ac:dyDescent="0.2">
      <c r="A1386" t="s">
        <v>453</v>
      </c>
      <c r="B1386" t="s">
        <v>454</v>
      </c>
      <c r="C1386">
        <v>32</v>
      </c>
      <c r="D1386" s="1">
        <v>43994.874618055554</v>
      </c>
      <c r="E1386" t="s">
        <v>4286</v>
      </c>
      <c r="F1386" t="s">
        <v>456</v>
      </c>
      <c r="G1386" t="s">
        <v>4287</v>
      </c>
      <c r="H1386" t="s">
        <v>458</v>
      </c>
      <c r="I1386" t="s">
        <v>4288</v>
      </c>
      <c r="J1386">
        <v>32</v>
      </c>
      <c r="K1386">
        <f>32-782-51-76</f>
        <v>-877</v>
      </c>
      <c r="L1386" t="s">
        <v>4289</v>
      </c>
      <c r="M1386" t="s">
        <v>4290</v>
      </c>
      <c r="N1386" t="s">
        <v>452</v>
      </c>
      <c r="O1386" t="s">
        <v>134</v>
      </c>
      <c r="P1386" t="s">
        <v>461</v>
      </c>
      <c r="Q1386">
        <v>52</v>
      </c>
      <c r="R1386">
        <v>4.8945400000000001</v>
      </c>
    </row>
    <row r="1387" spans="1:18" x14ac:dyDescent="0.2">
      <c r="A1387" t="s">
        <v>453</v>
      </c>
      <c r="B1387" t="s">
        <v>454</v>
      </c>
      <c r="C1387">
        <v>32</v>
      </c>
      <c r="D1387" s="1">
        <v>43994.874120370368</v>
      </c>
      <c r="E1387" t="s">
        <v>4291</v>
      </c>
      <c r="F1387" t="s">
        <v>456</v>
      </c>
      <c r="G1387" t="s">
        <v>4287</v>
      </c>
      <c r="H1387" t="s">
        <v>458</v>
      </c>
      <c r="I1387" t="s">
        <v>4288</v>
      </c>
      <c r="J1387">
        <v>32</v>
      </c>
      <c r="K1387">
        <f>32-782-51-76</f>
        <v>-877</v>
      </c>
      <c r="L1387" t="s">
        <v>4292</v>
      </c>
      <c r="M1387" t="s">
        <v>4293</v>
      </c>
      <c r="N1387" t="s">
        <v>452</v>
      </c>
      <c r="O1387" t="s">
        <v>134</v>
      </c>
      <c r="P1387" t="s">
        <v>461</v>
      </c>
      <c r="Q1387">
        <v>52</v>
      </c>
      <c r="R1387">
        <v>4.8945400000000001</v>
      </c>
    </row>
    <row r="1388" spans="1:18" x14ac:dyDescent="0.2">
      <c r="A1388" t="s">
        <v>453</v>
      </c>
      <c r="B1388" t="s">
        <v>454</v>
      </c>
      <c r="C1388">
        <v>32</v>
      </c>
      <c r="D1388" s="1">
        <v>43994.864363425928</v>
      </c>
      <c r="E1388" t="s">
        <v>4294</v>
      </c>
      <c r="F1388" t="s">
        <v>456</v>
      </c>
      <c r="G1388" t="s">
        <v>4287</v>
      </c>
      <c r="H1388" t="s">
        <v>458</v>
      </c>
      <c r="I1388" t="s">
        <v>4288</v>
      </c>
      <c r="J1388">
        <v>32</v>
      </c>
      <c r="K1388">
        <f>32-78-25-11-40</f>
        <v>-122</v>
      </c>
      <c r="L1388" t="s">
        <v>4295</v>
      </c>
      <c r="M1388" t="s">
        <v>4296</v>
      </c>
      <c r="N1388" t="s">
        <v>452</v>
      </c>
      <c r="O1388" t="s">
        <v>134</v>
      </c>
      <c r="P1388" t="s">
        <v>461</v>
      </c>
      <c r="Q1388">
        <v>52</v>
      </c>
      <c r="R1388">
        <v>4.8945400000000001</v>
      </c>
    </row>
    <row r="1389" spans="1:18" x14ac:dyDescent="0.2">
      <c r="A1389" t="s">
        <v>453</v>
      </c>
      <c r="B1389" t="s">
        <v>454</v>
      </c>
      <c r="C1389">
        <v>41</v>
      </c>
      <c r="D1389" s="1">
        <v>43993.668553240743</v>
      </c>
      <c r="E1389" t="s">
        <v>4297</v>
      </c>
      <c r="F1389" t="s">
        <v>456</v>
      </c>
      <c r="G1389" t="s">
        <v>4287</v>
      </c>
      <c r="H1389" t="s">
        <v>458</v>
      </c>
      <c r="I1389" t="s">
        <v>204</v>
      </c>
      <c r="J1389">
        <v>41</v>
      </c>
      <c r="K1389">
        <f>41-43-505-1086</f>
        <v>-1593</v>
      </c>
      <c r="L1389" t="s">
        <v>4298</v>
      </c>
      <c r="M1389" t="s">
        <v>4299</v>
      </c>
      <c r="N1389" t="s">
        <v>452</v>
      </c>
      <c r="O1389" t="s">
        <v>134</v>
      </c>
      <c r="P1389" t="s">
        <v>461</v>
      </c>
      <c r="Q1389">
        <v>52</v>
      </c>
      <c r="R1389">
        <v>4.8945400000000001</v>
      </c>
    </row>
    <row r="1390" spans="1:18" x14ac:dyDescent="0.2">
      <c r="A1390" t="s">
        <v>453</v>
      </c>
      <c r="B1390" t="s">
        <v>454</v>
      </c>
      <c r="C1390">
        <v>32</v>
      </c>
      <c r="D1390" s="1">
        <v>43993.651412037034</v>
      </c>
      <c r="E1390" t="s">
        <v>4297</v>
      </c>
      <c r="F1390" t="s">
        <v>456</v>
      </c>
      <c r="G1390" t="s">
        <v>4287</v>
      </c>
      <c r="H1390" t="s">
        <v>458</v>
      </c>
      <c r="I1390" t="s">
        <v>4288</v>
      </c>
      <c r="J1390">
        <v>32</v>
      </c>
      <c r="K1390">
        <f>32-78-25-11-40</f>
        <v>-122</v>
      </c>
      <c r="L1390" t="s">
        <v>4300</v>
      </c>
      <c r="M1390" t="s">
        <v>4301</v>
      </c>
      <c r="N1390" t="s">
        <v>452</v>
      </c>
      <c r="O1390" t="s">
        <v>134</v>
      </c>
      <c r="P1390" t="s">
        <v>461</v>
      </c>
      <c r="Q1390">
        <v>52</v>
      </c>
      <c r="R1390">
        <v>4.8945400000000001</v>
      </c>
    </row>
    <row r="1391" spans="1:18" x14ac:dyDescent="0.2">
      <c r="A1391" t="s">
        <v>453</v>
      </c>
      <c r="B1391" t="s">
        <v>454</v>
      </c>
      <c r="C1391">
        <v>41</v>
      </c>
      <c r="D1391" s="1">
        <v>43991.632777777777</v>
      </c>
      <c r="E1391" t="s">
        <v>4302</v>
      </c>
      <c r="F1391" t="s">
        <v>456</v>
      </c>
      <c r="G1391" t="s">
        <v>4287</v>
      </c>
      <c r="H1391" t="s">
        <v>458</v>
      </c>
      <c r="I1391" t="s">
        <v>204</v>
      </c>
      <c r="J1391">
        <v>41</v>
      </c>
      <c r="K1391">
        <f>41-43-505-1086</f>
        <v>-1593</v>
      </c>
      <c r="L1391" t="s">
        <v>4303</v>
      </c>
      <c r="M1391" t="s">
        <v>4304</v>
      </c>
      <c r="N1391" t="s">
        <v>452</v>
      </c>
      <c r="O1391" t="s">
        <v>134</v>
      </c>
      <c r="P1391" t="s">
        <v>461</v>
      </c>
      <c r="Q1391">
        <v>52</v>
      </c>
      <c r="R1391">
        <v>4.8945400000000001</v>
      </c>
    </row>
    <row r="1392" spans="1:18" x14ac:dyDescent="0.2">
      <c r="A1392" t="s">
        <v>453</v>
      </c>
      <c r="B1392" t="s">
        <v>454</v>
      </c>
      <c r="C1392">
        <v>31</v>
      </c>
      <c r="D1392" s="1">
        <v>43990.720891203702</v>
      </c>
      <c r="E1392" t="s">
        <v>4305</v>
      </c>
      <c r="F1392" t="s">
        <v>456</v>
      </c>
      <c r="G1392" t="s">
        <v>4287</v>
      </c>
      <c r="H1392" t="s">
        <v>458</v>
      </c>
      <c r="I1392" t="s">
        <v>461</v>
      </c>
      <c r="J1392">
        <v>31</v>
      </c>
      <c r="K1392">
        <f>31-76-220-7006</f>
        <v>-7271</v>
      </c>
      <c r="L1392" t="s">
        <v>4306</v>
      </c>
      <c r="M1392" t="s">
        <v>4307</v>
      </c>
      <c r="N1392" t="s">
        <v>452</v>
      </c>
      <c r="O1392" t="s">
        <v>134</v>
      </c>
      <c r="P1392" t="s">
        <v>461</v>
      </c>
      <c r="Q1392">
        <v>52</v>
      </c>
      <c r="R1392">
        <v>4.8945400000000001</v>
      </c>
    </row>
    <row r="1393" spans="1:18" x14ac:dyDescent="0.2">
      <c r="A1393" t="s">
        <v>453</v>
      </c>
      <c r="B1393" t="s">
        <v>454</v>
      </c>
      <c r="C1393">
        <v>41</v>
      </c>
      <c r="D1393" s="1">
        <v>43990.718784722223</v>
      </c>
      <c r="E1393" t="s">
        <v>4305</v>
      </c>
      <c r="F1393" t="s">
        <v>456</v>
      </c>
      <c r="G1393" t="s">
        <v>4287</v>
      </c>
      <c r="H1393" t="s">
        <v>458</v>
      </c>
      <c r="I1393" t="s">
        <v>204</v>
      </c>
      <c r="J1393">
        <v>41</v>
      </c>
      <c r="K1393">
        <f>41-43-505-1086</f>
        <v>-1593</v>
      </c>
      <c r="L1393" t="s">
        <v>4308</v>
      </c>
      <c r="M1393" t="s">
        <v>4309</v>
      </c>
      <c r="N1393" t="s">
        <v>452</v>
      </c>
      <c r="O1393" t="s">
        <v>134</v>
      </c>
      <c r="P1393" t="s">
        <v>461</v>
      </c>
      <c r="Q1393">
        <v>52</v>
      </c>
      <c r="R1393">
        <v>4.8945400000000001</v>
      </c>
    </row>
    <row r="1394" spans="1:18" x14ac:dyDescent="0.2">
      <c r="A1394" t="s">
        <v>453</v>
      </c>
      <c r="B1394" t="s">
        <v>454</v>
      </c>
      <c r="C1394">
        <v>32</v>
      </c>
      <c r="D1394" s="1">
        <v>43990.710532407407</v>
      </c>
      <c r="E1394" t="s">
        <v>4305</v>
      </c>
      <c r="F1394" t="s">
        <v>456</v>
      </c>
      <c r="G1394" t="s">
        <v>4287</v>
      </c>
      <c r="H1394" t="s">
        <v>458</v>
      </c>
      <c r="I1394" t="s">
        <v>4288</v>
      </c>
      <c r="J1394">
        <v>32</v>
      </c>
      <c r="K1394">
        <f>32-78-25-11-40</f>
        <v>-122</v>
      </c>
      <c r="L1394" t="s">
        <v>4310</v>
      </c>
      <c r="M1394" t="s">
        <v>4311</v>
      </c>
      <c r="N1394" t="s">
        <v>452</v>
      </c>
      <c r="O1394" t="s">
        <v>134</v>
      </c>
      <c r="P1394" t="s">
        <v>461</v>
      </c>
      <c r="Q1394">
        <v>52</v>
      </c>
      <c r="R1394">
        <v>4.8945400000000001</v>
      </c>
    </row>
    <row r="1395" spans="1:18" x14ac:dyDescent="0.2">
      <c r="A1395" t="s">
        <v>453</v>
      </c>
      <c r="B1395" t="s">
        <v>454</v>
      </c>
      <c r="C1395">
        <v>41</v>
      </c>
      <c r="D1395" s="1">
        <v>43987.634317129632</v>
      </c>
      <c r="E1395" t="s">
        <v>4312</v>
      </c>
      <c r="F1395" t="s">
        <v>456</v>
      </c>
      <c r="G1395" t="s">
        <v>4287</v>
      </c>
      <c r="H1395" t="s">
        <v>458</v>
      </c>
      <c r="I1395" t="s">
        <v>204</v>
      </c>
      <c r="J1395">
        <v>41</v>
      </c>
      <c r="K1395">
        <f>41-43-505-1086</f>
        <v>-1593</v>
      </c>
      <c r="L1395" t="s">
        <v>4313</v>
      </c>
      <c r="M1395" t="s">
        <v>4314</v>
      </c>
      <c r="N1395" t="s">
        <v>452</v>
      </c>
      <c r="O1395" t="s">
        <v>134</v>
      </c>
      <c r="P1395" t="s">
        <v>461</v>
      </c>
      <c r="Q1395">
        <v>52</v>
      </c>
      <c r="R1395">
        <v>4.8945400000000001</v>
      </c>
    </row>
    <row r="1396" spans="1:18" x14ac:dyDescent="0.2">
      <c r="A1396" t="s">
        <v>453</v>
      </c>
      <c r="B1396" t="s">
        <v>454</v>
      </c>
      <c r="C1396">
        <v>41</v>
      </c>
      <c r="D1396" s="1">
        <v>43987.634282407409</v>
      </c>
      <c r="E1396" t="s">
        <v>4312</v>
      </c>
      <c r="F1396" t="s">
        <v>456</v>
      </c>
      <c r="G1396" t="s">
        <v>4287</v>
      </c>
      <c r="H1396" t="s">
        <v>458</v>
      </c>
      <c r="I1396" t="s">
        <v>204</v>
      </c>
      <c r="J1396">
        <v>41</v>
      </c>
      <c r="K1396">
        <f>41-43-505-1086</f>
        <v>-1593</v>
      </c>
      <c r="L1396" t="s">
        <v>4315</v>
      </c>
      <c r="M1396" t="s">
        <v>4316</v>
      </c>
      <c r="N1396" t="s">
        <v>452</v>
      </c>
      <c r="O1396" t="s">
        <v>134</v>
      </c>
      <c r="P1396" t="s">
        <v>461</v>
      </c>
      <c r="Q1396">
        <v>52</v>
      </c>
      <c r="R1396">
        <v>4.8945400000000001</v>
      </c>
    </row>
    <row r="1397" spans="1:18" x14ac:dyDescent="0.2">
      <c r="A1397" t="s">
        <v>439</v>
      </c>
      <c r="B1397" t="s">
        <v>440</v>
      </c>
      <c r="C1397">
        <v>1</v>
      </c>
      <c r="D1397" s="1">
        <v>43989.877546296295</v>
      </c>
      <c r="E1397" t="s">
        <v>4317</v>
      </c>
      <c r="F1397" t="s">
        <v>442</v>
      </c>
      <c r="G1397" t="s">
        <v>4318</v>
      </c>
      <c r="H1397" t="s">
        <v>444</v>
      </c>
      <c r="I1397" t="s">
        <v>29</v>
      </c>
      <c r="J1397">
        <v>1</v>
      </c>
      <c r="K1397">
        <f>1-888-846-6309</f>
        <v>-8042</v>
      </c>
      <c r="L1397" t="s">
        <v>4319</v>
      </c>
      <c r="M1397" t="s">
        <v>4320</v>
      </c>
      <c r="N1397" t="s">
        <v>447</v>
      </c>
      <c r="O1397" t="s">
        <v>28</v>
      </c>
      <c r="P1397" t="s">
        <v>29</v>
      </c>
      <c r="Q1397">
        <v>39</v>
      </c>
      <c r="R1397">
        <v>-77.487399999999994</v>
      </c>
    </row>
    <row r="1398" spans="1:18" x14ac:dyDescent="0.2">
      <c r="A1398" t="s">
        <v>439</v>
      </c>
      <c r="B1398" t="s">
        <v>4321</v>
      </c>
      <c r="C1398">
        <v>1</v>
      </c>
      <c r="D1398" s="1">
        <v>43989.803587962961</v>
      </c>
      <c r="E1398" t="s">
        <v>4322</v>
      </c>
      <c r="F1398" t="s">
        <v>442</v>
      </c>
      <c r="G1398" t="s">
        <v>4323</v>
      </c>
      <c r="H1398" t="s">
        <v>444</v>
      </c>
      <c r="I1398" t="s">
        <v>29</v>
      </c>
      <c r="J1398">
        <v>1</v>
      </c>
      <c r="K1398">
        <f>1-888-963-9423</f>
        <v>-11273</v>
      </c>
      <c r="L1398" t="s">
        <v>4324</v>
      </c>
      <c r="M1398" t="s">
        <v>4325</v>
      </c>
      <c r="N1398" t="s">
        <v>213</v>
      </c>
      <c r="O1398" t="s">
        <v>28</v>
      </c>
      <c r="P1398" t="s">
        <v>29</v>
      </c>
      <c r="Q1398">
        <v>42</v>
      </c>
      <c r="R1398">
        <v>-87.629800000000003</v>
      </c>
    </row>
    <row r="1399" spans="1:18" x14ac:dyDescent="0.2">
      <c r="A1399" t="s">
        <v>270</v>
      </c>
      <c r="B1399" t="s">
        <v>271</v>
      </c>
      <c r="C1399">
        <v>1</v>
      </c>
      <c r="D1399" s="1">
        <v>44088.75136574074</v>
      </c>
      <c r="E1399" t="s">
        <v>4326</v>
      </c>
      <c r="F1399" t="s">
        <v>273</v>
      </c>
      <c r="G1399" t="s">
        <v>4327</v>
      </c>
      <c r="H1399" t="s">
        <v>275</v>
      </c>
      <c r="I1399" t="s">
        <v>29</v>
      </c>
      <c r="J1399">
        <v>1</v>
      </c>
      <c r="K1399">
        <f>1-888-539-5735</f>
        <v>-7161</v>
      </c>
      <c r="L1399" t="s">
        <v>4328</v>
      </c>
      <c r="M1399" t="s">
        <v>4329</v>
      </c>
      <c r="N1399" t="s">
        <v>278</v>
      </c>
      <c r="O1399" t="s">
        <v>28</v>
      </c>
      <c r="P1399" t="s">
        <v>29</v>
      </c>
      <c r="Q1399">
        <v>42</v>
      </c>
      <c r="R1399">
        <v>-93.620800000000003</v>
      </c>
    </row>
    <row r="1400" spans="1:18" x14ac:dyDescent="0.2">
      <c r="A1400" t="s">
        <v>270</v>
      </c>
      <c r="B1400" t="s">
        <v>271</v>
      </c>
      <c r="C1400">
        <v>1</v>
      </c>
      <c r="D1400" s="1">
        <v>44088.939814814818</v>
      </c>
      <c r="E1400" t="s">
        <v>4330</v>
      </c>
      <c r="F1400" t="s">
        <v>273</v>
      </c>
      <c r="G1400" t="s">
        <v>4327</v>
      </c>
      <c r="H1400" t="s">
        <v>275</v>
      </c>
      <c r="I1400" t="s">
        <v>29</v>
      </c>
      <c r="J1400">
        <v>1</v>
      </c>
      <c r="K1400">
        <f>1-844-210-4337</f>
        <v>-5390</v>
      </c>
      <c r="L1400" t="s">
        <v>4331</v>
      </c>
      <c r="M1400" t="s">
        <v>4332</v>
      </c>
      <c r="N1400" t="s">
        <v>278</v>
      </c>
      <c r="O1400" t="s">
        <v>28</v>
      </c>
      <c r="P1400" t="s">
        <v>29</v>
      </c>
      <c r="Q1400">
        <v>42</v>
      </c>
      <c r="R1400">
        <v>-93.620800000000003</v>
      </c>
    </row>
    <row r="1401" spans="1:18" x14ac:dyDescent="0.2">
      <c r="A1401" t="s">
        <v>270</v>
      </c>
      <c r="B1401" t="s">
        <v>271</v>
      </c>
      <c r="C1401">
        <v>1</v>
      </c>
      <c r="D1401" s="1">
        <v>44084.745520833334</v>
      </c>
      <c r="E1401" t="s">
        <v>4333</v>
      </c>
      <c r="F1401" t="s">
        <v>273</v>
      </c>
      <c r="G1401" t="s">
        <v>4327</v>
      </c>
      <c r="H1401" t="s">
        <v>275</v>
      </c>
      <c r="I1401" t="s">
        <v>29</v>
      </c>
      <c r="J1401">
        <v>1</v>
      </c>
      <c r="K1401">
        <f>1-844-472-3138</f>
        <v>-4453</v>
      </c>
      <c r="L1401" t="s">
        <v>4334</v>
      </c>
      <c r="M1401" t="s">
        <v>4335</v>
      </c>
      <c r="N1401" t="s">
        <v>278</v>
      </c>
      <c r="O1401" t="s">
        <v>28</v>
      </c>
      <c r="P1401" t="s">
        <v>29</v>
      </c>
      <c r="Q1401">
        <v>42</v>
      </c>
      <c r="R1401">
        <v>-93.620800000000003</v>
      </c>
    </row>
    <row r="1402" spans="1:18" x14ac:dyDescent="0.2">
      <c r="A1402" t="s">
        <v>270</v>
      </c>
      <c r="B1402" t="s">
        <v>271</v>
      </c>
      <c r="C1402">
        <v>1</v>
      </c>
      <c r="D1402" s="1">
        <v>44083.80133101852</v>
      </c>
      <c r="E1402" t="s">
        <v>4336</v>
      </c>
      <c r="F1402" t="s">
        <v>273</v>
      </c>
      <c r="G1402" t="s">
        <v>4327</v>
      </c>
      <c r="H1402" t="s">
        <v>275</v>
      </c>
      <c r="I1402" t="s">
        <v>29</v>
      </c>
      <c r="J1402">
        <v>1</v>
      </c>
      <c r="K1402">
        <f>1-888-599-5036</f>
        <v>-6522</v>
      </c>
      <c r="L1402" t="s">
        <v>4337</v>
      </c>
      <c r="M1402" t="s">
        <v>4338</v>
      </c>
      <c r="N1402" t="s">
        <v>278</v>
      </c>
      <c r="O1402" t="s">
        <v>28</v>
      </c>
      <c r="P1402" t="s">
        <v>29</v>
      </c>
      <c r="Q1402">
        <v>42</v>
      </c>
      <c r="R1402">
        <v>-93.620800000000003</v>
      </c>
    </row>
    <row r="1403" spans="1:18" x14ac:dyDescent="0.2">
      <c r="A1403" t="s">
        <v>270</v>
      </c>
      <c r="B1403" t="s">
        <v>271</v>
      </c>
      <c r="C1403">
        <v>1</v>
      </c>
      <c r="D1403" s="1">
        <v>44082.947291666664</v>
      </c>
      <c r="E1403" t="s">
        <v>4339</v>
      </c>
      <c r="F1403" t="s">
        <v>273</v>
      </c>
      <c r="G1403" t="s">
        <v>4327</v>
      </c>
      <c r="H1403" t="s">
        <v>275</v>
      </c>
      <c r="I1403" t="s">
        <v>29</v>
      </c>
      <c r="J1403">
        <v>1</v>
      </c>
      <c r="K1403">
        <f>1-888-592-8059</f>
        <v>-9538</v>
      </c>
      <c r="L1403" t="s">
        <v>4340</v>
      </c>
      <c r="M1403" t="s">
        <v>4341</v>
      </c>
      <c r="N1403" t="s">
        <v>278</v>
      </c>
      <c r="O1403" t="s">
        <v>28</v>
      </c>
      <c r="P1403" t="s">
        <v>29</v>
      </c>
      <c r="Q1403">
        <v>42</v>
      </c>
      <c r="R1403">
        <v>-93.620800000000003</v>
      </c>
    </row>
    <row r="1404" spans="1:18" x14ac:dyDescent="0.2">
      <c r="A1404" t="s">
        <v>270</v>
      </c>
      <c r="B1404" t="s">
        <v>271</v>
      </c>
      <c r="C1404">
        <v>1</v>
      </c>
      <c r="D1404" s="1">
        <v>44078.857847222222</v>
      </c>
      <c r="E1404" t="s">
        <v>4342</v>
      </c>
      <c r="F1404" t="s">
        <v>273</v>
      </c>
      <c r="G1404" t="s">
        <v>4327</v>
      </c>
      <c r="H1404" t="s">
        <v>275</v>
      </c>
      <c r="I1404" t="s">
        <v>29</v>
      </c>
      <c r="J1404">
        <v>1</v>
      </c>
      <c r="K1404">
        <f>1-888-530-1472</f>
        <v>-2889</v>
      </c>
      <c r="L1404" t="s">
        <v>4343</v>
      </c>
      <c r="M1404" t="s">
        <v>4344</v>
      </c>
      <c r="N1404" t="s">
        <v>278</v>
      </c>
      <c r="O1404" t="s">
        <v>134</v>
      </c>
      <c r="P1404" t="s">
        <v>29</v>
      </c>
      <c r="Q1404">
        <v>42</v>
      </c>
      <c r="R1404">
        <v>-93.620800000000003</v>
      </c>
    </row>
    <row r="1405" spans="1:18" x14ac:dyDescent="0.2">
      <c r="A1405" t="s">
        <v>270</v>
      </c>
      <c r="B1405" t="s">
        <v>271</v>
      </c>
      <c r="C1405">
        <v>1</v>
      </c>
      <c r="D1405" s="1">
        <v>44076.380682870367</v>
      </c>
      <c r="E1405" t="s">
        <v>4345</v>
      </c>
      <c r="F1405" t="s">
        <v>273</v>
      </c>
      <c r="G1405" t="s">
        <v>4327</v>
      </c>
      <c r="H1405" t="s">
        <v>275</v>
      </c>
      <c r="I1405" t="s">
        <v>29</v>
      </c>
      <c r="J1405">
        <v>1</v>
      </c>
      <c r="K1405">
        <f>1-888-541-4913</f>
        <v>-6341</v>
      </c>
      <c r="L1405" t="s">
        <v>4346</v>
      </c>
      <c r="M1405" t="s">
        <v>4347</v>
      </c>
      <c r="N1405" t="s">
        <v>278</v>
      </c>
      <c r="O1405" t="s">
        <v>28</v>
      </c>
      <c r="P1405" t="s">
        <v>29</v>
      </c>
      <c r="Q1405">
        <v>42</v>
      </c>
      <c r="R1405">
        <v>-93.620800000000003</v>
      </c>
    </row>
    <row r="1406" spans="1:18" x14ac:dyDescent="0.2">
      <c r="A1406" t="s">
        <v>270</v>
      </c>
      <c r="B1406" t="s">
        <v>271</v>
      </c>
      <c r="C1406">
        <v>1</v>
      </c>
      <c r="D1406" s="1">
        <v>44073.926053240742</v>
      </c>
      <c r="E1406" t="s">
        <v>4348</v>
      </c>
      <c r="F1406" t="s">
        <v>273</v>
      </c>
      <c r="G1406" t="s">
        <v>4327</v>
      </c>
      <c r="H1406" t="s">
        <v>275</v>
      </c>
      <c r="I1406" t="s">
        <v>29</v>
      </c>
      <c r="J1406">
        <v>1</v>
      </c>
      <c r="K1406">
        <f>1-888-538-1073</f>
        <v>-2498</v>
      </c>
      <c r="L1406" t="s">
        <v>4349</v>
      </c>
      <c r="M1406" t="s">
        <v>4350</v>
      </c>
      <c r="N1406" t="s">
        <v>278</v>
      </c>
      <c r="O1406" t="s">
        <v>134</v>
      </c>
      <c r="P1406" t="s">
        <v>29</v>
      </c>
      <c r="Q1406">
        <v>42</v>
      </c>
      <c r="R1406">
        <v>-93.620800000000003</v>
      </c>
    </row>
    <row r="1407" spans="1:18" x14ac:dyDescent="0.2">
      <c r="A1407" t="s">
        <v>270</v>
      </c>
      <c r="B1407" t="s">
        <v>271</v>
      </c>
      <c r="C1407">
        <v>34</v>
      </c>
      <c r="D1407" s="1">
        <v>44071.811238425929</v>
      </c>
      <c r="E1407" t="s">
        <v>4351</v>
      </c>
      <c r="F1407" t="s">
        <v>273</v>
      </c>
      <c r="G1407" t="s">
        <v>4327</v>
      </c>
      <c r="H1407" t="s">
        <v>275</v>
      </c>
      <c r="I1407" t="s">
        <v>700</v>
      </c>
      <c r="J1407">
        <v>34</v>
      </c>
      <c r="K1407">
        <f>34-900-670-25</f>
        <v>-1561</v>
      </c>
      <c r="L1407" t="s">
        <v>4352</v>
      </c>
      <c r="M1407" t="s">
        <v>4353</v>
      </c>
      <c r="N1407" t="s">
        <v>278</v>
      </c>
      <c r="O1407" t="s">
        <v>134</v>
      </c>
      <c r="P1407" t="s">
        <v>29</v>
      </c>
      <c r="Q1407">
        <v>42</v>
      </c>
      <c r="R1407">
        <v>-93.620800000000003</v>
      </c>
    </row>
    <row r="1408" spans="1:18" x14ac:dyDescent="0.2">
      <c r="A1408" t="s">
        <v>270</v>
      </c>
      <c r="B1408" t="s">
        <v>271</v>
      </c>
      <c r="C1408">
        <v>1</v>
      </c>
      <c r="D1408" s="1">
        <v>44070.870682870373</v>
      </c>
      <c r="E1408" t="s">
        <v>4354</v>
      </c>
      <c r="F1408" t="s">
        <v>273</v>
      </c>
      <c r="G1408" t="s">
        <v>4327</v>
      </c>
      <c r="H1408" t="s">
        <v>275</v>
      </c>
      <c r="I1408" t="s">
        <v>29</v>
      </c>
      <c r="J1408">
        <v>1</v>
      </c>
      <c r="K1408">
        <f>1-888-597-1445</f>
        <v>-2929</v>
      </c>
      <c r="L1408" t="s">
        <v>4355</v>
      </c>
      <c r="M1408" t="s">
        <v>4356</v>
      </c>
      <c r="N1408" t="s">
        <v>278</v>
      </c>
      <c r="O1408" t="s">
        <v>134</v>
      </c>
      <c r="P1408" t="s">
        <v>29</v>
      </c>
      <c r="Q1408">
        <v>42</v>
      </c>
      <c r="R1408">
        <v>-93.620800000000003</v>
      </c>
    </row>
    <row r="1409" spans="1:18" x14ac:dyDescent="0.2">
      <c r="A1409" t="s">
        <v>270</v>
      </c>
      <c r="B1409" t="s">
        <v>271</v>
      </c>
      <c r="C1409">
        <v>34</v>
      </c>
      <c r="D1409" s="1">
        <v>44068.707141203704</v>
      </c>
      <c r="E1409" t="s">
        <v>4357</v>
      </c>
      <c r="F1409" t="s">
        <v>273</v>
      </c>
      <c r="G1409" t="s">
        <v>4327</v>
      </c>
      <c r="H1409" t="s">
        <v>275</v>
      </c>
      <c r="I1409" t="s">
        <v>700</v>
      </c>
      <c r="J1409">
        <v>34</v>
      </c>
      <c r="K1409">
        <f>34-900-670-25</f>
        <v>-1561</v>
      </c>
      <c r="L1409" t="s">
        <v>4358</v>
      </c>
      <c r="M1409" t="s">
        <v>4359</v>
      </c>
      <c r="N1409" t="s">
        <v>278</v>
      </c>
      <c r="O1409" t="s">
        <v>134</v>
      </c>
      <c r="P1409" t="s">
        <v>29</v>
      </c>
      <c r="Q1409">
        <v>42</v>
      </c>
      <c r="R1409">
        <v>-93.620800000000003</v>
      </c>
    </row>
    <row r="1410" spans="1:18" x14ac:dyDescent="0.2">
      <c r="A1410" t="s">
        <v>270</v>
      </c>
      <c r="B1410" t="s">
        <v>271</v>
      </c>
      <c r="C1410">
        <v>1</v>
      </c>
      <c r="D1410" s="1">
        <v>44068.057615740741</v>
      </c>
      <c r="E1410" t="s">
        <v>4360</v>
      </c>
      <c r="F1410" t="s">
        <v>273</v>
      </c>
      <c r="G1410" t="s">
        <v>4327</v>
      </c>
      <c r="H1410" t="s">
        <v>275</v>
      </c>
      <c r="I1410" t="s">
        <v>29</v>
      </c>
      <c r="J1410">
        <v>1</v>
      </c>
      <c r="K1410">
        <f>1-888-523-6511</f>
        <v>-7921</v>
      </c>
      <c r="L1410" t="s">
        <v>4361</v>
      </c>
      <c r="M1410" t="s">
        <v>4362</v>
      </c>
      <c r="N1410" t="s">
        <v>278</v>
      </c>
      <c r="O1410" t="s">
        <v>28</v>
      </c>
      <c r="P1410" t="s">
        <v>29</v>
      </c>
      <c r="Q1410">
        <v>42</v>
      </c>
      <c r="R1410">
        <v>-93.620800000000003</v>
      </c>
    </row>
    <row r="1411" spans="1:18" x14ac:dyDescent="0.2">
      <c r="A1411" t="s">
        <v>270</v>
      </c>
      <c r="B1411" t="s">
        <v>271</v>
      </c>
      <c r="C1411">
        <v>34</v>
      </c>
      <c r="D1411" s="1">
        <v>44067.446400462963</v>
      </c>
      <c r="E1411" t="s">
        <v>4363</v>
      </c>
      <c r="F1411" t="s">
        <v>273</v>
      </c>
      <c r="G1411" t="s">
        <v>4327</v>
      </c>
      <c r="H1411" t="s">
        <v>275</v>
      </c>
      <c r="I1411" t="s">
        <v>700</v>
      </c>
      <c r="J1411">
        <v>34</v>
      </c>
      <c r="K1411">
        <f t="shared" ref="K1411:K1417" si="14">34-900-998-437</f>
        <v>-2301</v>
      </c>
      <c r="L1411" t="s">
        <v>4364</v>
      </c>
      <c r="M1411" t="s">
        <v>4365</v>
      </c>
      <c r="N1411" t="s">
        <v>278</v>
      </c>
      <c r="O1411" t="s">
        <v>134</v>
      </c>
      <c r="P1411" t="s">
        <v>29</v>
      </c>
      <c r="Q1411">
        <v>42</v>
      </c>
      <c r="R1411">
        <v>-93.620800000000003</v>
      </c>
    </row>
    <row r="1412" spans="1:18" x14ac:dyDescent="0.2">
      <c r="A1412" t="s">
        <v>270</v>
      </c>
      <c r="B1412" t="s">
        <v>271</v>
      </c>
      <c r="C1412">
        <v>34</v>
      </c>
      <c r="D1412" s="1">
        <v>44066.538761574076</v>
      </c>
      <c r="E1412" t="s">
        <v>4366</v>
      </c>
      <c r="F1412" t="s">
        <v>273</v>
      </c>
      <c r="G1412" t="s">
        <v>4327</v>
      </c>
      <c r="H1412" t="s">
        <v>275</v>
      </c>
      <c r="I1412" t="s">
        <v>700</v>
      </c>
      <c r="J1412">
        <v>34</v>
      </c>
      <c r="K1412">
        <f t="shared" si="14"/>
        <v>-2301</v>
      </c>
      <c r="L1412" t="s">
        <v>4367</v>
      </c>
      <c r="M1412" t="s">
        <v>4368</v>
      </c>
      <c r="N1412" t="s">
        <v>278</v>
      </c>
      <c r="O1412" t="s">
        <v>134</v>
      </c>
      <c r="P1412" t="s">
        <v>29</v>
      </c>
      <c r="Q1412">
        <v>42</v>
      </c>
      <c r="R1412">
        <v>-93.620800000000003</v>
      </c>
    </row>
    <row r="1413" spans="1:18" x14ac:dyDescent="0.2">
      <c r="A1413" t="s">
        <v>270</v>
      </c>
      <c r="B1413" t="s">
        <v>271</v>
      </c>
      <c r="C1413">
        <v>34</v>
      </c>
      <c r="D1413" s="1">
        <v>44065.892939814818</v>
      </c>
      <c r="E1413" t="s">
        <v>4369</v>
      </c>
      <c r="F1413" t="s">
        <v>273</v>
      </c>
      <c r="G1413" t="s">
        <v>4327</v>
      </c>
      <c r="H1413" t="s">
        <v>275</v>
      </c>
      <c r="I1413" t="s">
        <v>700</v>
      </c>
      <c r="J1413">
        <v>34</v>
      </c>
      <c r="K1413">
        <f t="shared" si="14"/>
        <v>-2301</v>
      </c>
      <c r="L1413" t="s">
        <v>4370</v>
      </c>
      <c r="M1413" t="s">
        <v>4371</v>
      </c>
      <c r="N1413" t="s">
        <v>278</v>
      </c>
      <c r="O1413" t="s">
        <v>134</v>
      </c>
      <c r="P1413" t="s">
        <v>29</v>
      </c>
      <c r="Q1413">
        <v>42</v>
      </c>
      <c r="R1413">
        <v>-93.620800000000003</v>
      </c>
    </row>
    <row r="1414" spans="1:18" x14ac:dyDescent="0.2">
      <c r="A1414" t="s">
        <v>270</v>
      </c>
      <c r="B1414" t="s">
        <v>271</v>
      </c>
      <c r="C1414">
        <v>34</v>
      </c>
      <c r="D1414" s="1">
        <v>44065.892164351855</v>
      </c>
      <c r="E1414" t="s">
        <v>4372</v>
      </c>
      <c r="F1414" t="s">
        <v>273</v>
      </c>
      <c r="G1414" t="s">
        <v>4327</v>
      </c>
      <c r="H1414" t="s">
        <v>275</v>
      </c>
      <c r="I1414" t="s">
        <v>700</v>
      </c>
      <c r="J1414">
        <v>34</v>
      </c>
      <c r="K1414">
        <f t="shared" si="14"/>
        <v>-2301</v>
      </c>
      <c r="L1414" t="s">
        <v>4373</v>
      </c>
      <c r="M1414" t="s">
        <v>4374</v>
      </c>
      <c r="N1414" t="s">
        <v>278</v>
      </c>
      <c r="O1414" t="s">
        <v>134</v>
      </c>
      <c r="P1414" t="s">
        <v>29</v>
      </c>
      <c r="Q1414">
        <v>42</v>
      </c>
      <c r="R1414">
        <v>-93.620800000000003</v>
      </c>
    </row>
    <row r="1415" spans="1:18" x14ac:dyDescent="0.2">
      <c r="A1415" t="s">
        <v>270</v>
      </c>
      <c r="B1415" t="s">
        <v>271</v>
      </c>
      <c r="C1415">
        <v>34</v>
      </c>
      <c r="D1415" s="1">
        <v>44065.891747685186</v>
      </c>
      <c r="E1415" t="s">
        <v>4375</v>
      </c>
      <c r="F1415" t="s">
        <v>273</v>
      </c>
      <c r="G1415" t="s">
        <v>4327</v>
      </c>
      <c r="H1415" t="s">
        <v>275</v>
      </c>
      <c r="I1415" t="s">
        <v>700</v>
      </c>
      <c r="J1415">
        <v>34</v>
      </c>
      <c r="K1415">
        <f t="shared" si="14"/>
        <v>-2301</v>
      </c>
      <c r="L1415" t="s">
        <v>4376</v>
      </c>
      <c r="M1415" t="s">
        <v>4377</v>
      </c>
      <c r="N1415" t="s">
        <v>278</v>
      </c>
      <c r="O1415" t="s">
        <v>134</v>
      </c>
      <c r="P1415" t="s">
        <v>29</v>
      </c>
      <c r="Q1415">
        <v>42</v>
      </c>
      <c r="R1415">
        <v>-93.620800000000003</v>
      </c>
    </row>
    <row r="1416" spans="1:18" x14ac:dyDescent="0.2">
      <c r="A1416" t="s">
        <v>270</v>
      </c>
      <c r="B1416" t="s">
        <v>271</v>
      </c>
      <c r="C1416">
        <v>34</v>
      </c>
      <c r="D1416" s="1">
        <v>44065.891342592593</v>
      </c>
      <c r="E1416" t="s">
        <v>4363</v>
      </c>
      <c r="F1416" t="s">
        <v>273</v>
      </c>
      <c r="G1416" t="s">
        <v>4327</v>
      </c>
      <c r="H1416" t="s">
        <v>275</v>
      </c>
      <c r="I1416" t="s">
        <v>700</v>
      </c>
      <c r="J1416">
        <v>34</v>
      </c>
      <c r="K1416">
        <f t="shared" si="14"/>
        <v>-2301</v>
      </c>
      <c r="L1416" t="s">
        <v>4378</v>
      </c>
      <c r="M1416" t="s">
        <v>4379</v>
      </c>
      <c r="N1416" t="s">
        <v>278</v>
      </c>
      <c r="O1416" t="s">
        <v>134</v>
      </c>
      <c r="P1416" t="s">
        <v>29</v>
      </c>
      <c r="Q1416">
        <v>42</v>
      </c>
      <c r="R1416">
        <v>-93.620800000000003</v>
      </c>
    </row>
    <row r="1417" spans="1:18" x14ac:dyDescent="0.2">
      <c r="A1417" t="s">
        <v>270</v>
      </c>
      <c r="B1417" t="s">
        <v>271</v>
      </c>
      <c r="C1417">
        <v>34</v>
      </c>
      <c r="D1417" s="1">
        <v>44065.891319444447</v>
      </c>
      <c r="E1417" t="s">
        <v>4380</v>
      </c>
      <c r="F1417" t="s">
        <v>273</v>
      </c>
      <c r="G1417" t="s">
        <v>4327</v>
      </c>
      <c r="H1417" t="s">
        <v>275</v>
      </c>
      <c r="I1417" t="s">
        <v>700</v>
      </c>
      <c r="J1417">
        <v>34</v>
      </c>
      <c r="K1417">
        <f t="shared" si="14"/>
        <v>-2301</v>
      </c>
      <c r="L1417" t="s">
        <v>4381</v>
      </c>
      <c r="M1417" t="s">
        <v>4382</v>
      </c>
      <c r="N1417" t="s">
        <v>278</v>
      </c>
      <c r="O1417" t="s">
        <v>134</v>
      </c>
      <c r="P1417" t="s">
        <v>29</v>
      </c>
      <c r="Q1417">
        <v>42</v>
      </c>
      <c r="R1417">
        <v>-93.620800000000003</v>
      </c>
    </row>
    <row r="1418" spans="1:18" x14ac:dyDescent="0.2">
      <c r="A1418" t="s">
        <v>270</v>
      </c>
      <c r="B1418" t="s">
        <v>271</v>
      </c>
      <c r="C1418">
        <v>34</v>
      </c>
      <c r="D1418" s="1">
        <v>44065.888923611114</v>
      </c>
      <c r="E1418" t="s">
        <v>4383</v>
      </c>
      <c r="F1418" t="s">
        <v>273</v>
      </c>
      <c r="G1418" t="s">
        <v>4327</v>
      </c>
      <c r="H1418" t="s">
        <v>275</v>
      </c>
      <c r="I1418" t="s">
        <v>700</v>
      </c>
      <c r="J1418">
        <v>34</v>
      </c>
      <c r="K1418">
        <f>34-900-670-25</f>
        <v>-1561</v>
      </c>
      <c r="L1418" t="s">
        <v>4384</v>
      </c>
      <c r="M1418" t="s">
        <v>4385</v>
      </c>
      <c r="N1418" t="s">
        <v>278</v>
      </c>
      <c r="O1418" t="s">
        <v>134</v>
      </c>
      <c r="P1418" t="s">
        <v>29</v>
      </c>
      <c r="Q1418">
        <v>42</v>
      </c>
      <c r="R1418">
        <v>-93.620800000000003</v>
      </c>
    </row>
    <row r="1419" spans="1:18" x14ac:dyDescent="0.2">
      <c r="A1419" t="s">
        <v>270</v>
      </c>
      <c r="B1419" t="s">
        <v>271</v>
      </c>
      <c r="C1419">
        <v>34</v>
      </c>
      <c r="D1419" s="1">
        <v>44065.889849537038</v>
      </c>
      <c r="E1419" t="s">
        <v>4386</v>
      </c>
      <c r="F1419" t="s">
        <v>273</v>
      </c>
      <c r="G1419" t="s">
        <v>4327</v>
      </c>
      <c r="H1419" t="s">
        <v>275</v>
      </c>
      <c r="I1419" t="s">
        <v>700</v>
      </c>
      <c r="J1419">
        <v>34</v>
      </c>
      <c r="K1419">
        <f>34-900-670-25</f>
        <v>-1561</v>
      </c>
      <c r="L1419" t="s">
        <v>4387</v>
      </c>
      <c r="M1419" t="s">
        <v>4388</v>
      </c>
      <c r="N1419" t="s">
        <v>278</v>
      </c>
      <c r="O1419" t="s">
        <v>134</v>
      </c>
      <c r="P1419" t="s">
        <v>29</v>
      </c>
      <c r="Q1419">
        <v>42</v>
      </c>
      <c r="R1419">
        <v>-93.620800000000003</v>
      </c>
    </row>
    <row r="1420" spans="1:18" x14ac:dyDescent="0.2">
      <c r="A1420" t="s">
        <v>270</v>
      </c>
      <c r="B1420" t="s">
        <v>271</v>
      </c>
      <c r="C1420">
        <v>34</v>
      </c>
      <c r="D1420" s="1">
        <v>44065.570127314815</v>
      </c>
      <c r="E1420" t="s">
        <v>4375</v>
      </c>
      <c r="F1420" t="s">
        <v>273</v>
      </c>
      <c r="G1420" t="s">
        <v>4327</v>
      </c>
      <c r="H1420" t="s">
        <v>275</v>
      </c>
      <c r="I1420" t="s">
        <v>700</v>
      </c>
      <c r="J1420">
        <v>34</v>
      </c>
      <c r="K1420">
        <f>34-900-998-437</f>
        <v>-2301</v>
      </c>
      <c r="L1420" t="s">
        <v>4389</v>
      </c>
      <c r="M1420" t="s">
        <v>4390</v>
      </c>
      <c r="N1420" t="s">
        <v>278</v>
      </c>
      <c r="O1420" t="s">
        <v>134</v>
      </c>
      <c r="P1420" t="s">
        <v>29</v>
      </c>
      <c r="Q1420">
        <v>42</v>
      </c>
      <c r="R1420">
        <v>-93.620800000000003</v>
      </c>
    </row>
    <row r="1421" spans="1:18" x14ac:dyDescent="0.2">
      <c r="A1421" t="s">
        <v>270</v>
      </c>
      <c r="B1421" t="s">
        <v>271</v>
      </c>
      <c r="C1421">
        <v>34</v>
      </c>
      <c r="D1421" s="1">
        <v>44065.568078703705</v>
      </c>
      <c r="E1421" t="s">
        <v>4391</v>
      </c>
      <c r="F1421" t="s">
        <v>273</v>
      </c>
      <c r="G1421" t="s">
        <v>4327</v>
      </c>
      <c r="H1421" t="s">
        <v>275</v>
      </c>
      <c r="I1421" t="s">
        <v>700</v>
      </c>
      <c r="J1421">
        <v>34</v>
      </c>
      <c r="K1421">
        <f>34-900-670-25</f>
        <v>-1561</v>
      </c>
      <c r="L1421" t="s">
        <v>4392</v>
      </c>
      <c r="M1421" t="s">
        <v>4393</v>
      </c>
      <c r="N1421" t="s">
        <v>278</v>
      </c>
      <c r="O1421" t="s">
        <v>134</v>
      </c>
      <c r="P1421" t="s">
        <v>29</v>
      </c>
      <c r="Q1421">
        <v>42</v>
      </c>
      <c r="R1421">
        <v>-93.620800000000003</v>
      </c>
    </row>
    <row r="1422" spans="1:18" x14ac:dyDescent="0.2">
      <c r="A1422" t="s">
        <v>270</v>
      </c>
      <c r="B1422" t="s">
        <v>271</v>
      </c>
      <c r="C1422">
        <v>34</v>
      </c>
      <c r="D1422" s="1">
        <v>44065.566608796296</v>
      </c>
      <c r="E1422" t="s">
        <v>4394</v>
      </c>
      <c r="F1422" t="s">
        <v>273</v>
      </c>
      <c r="G1422" t="s">
        <v>4327</v>
      </c>
      <c r="H1422" t="s">
        <v>275</v>
      </c>
      <c r="I1422" t="s">
        <v>700</v>
      </c>
      <c r="J1422">
        <v>34</v>
      </c>
      <c r="K1422">
        <f>34-900-670-25</f>
        <v>-1561</v>
      </c>
      <c r="L1422" t="s">
        <v>4395</v>
      </c>
      <c r="M1422" t="s">
        <v>4396</v>
      </c>
      <c r="N1422" t="s">
        <v>278</v>
      </c>
      <c r="O1422" t="s">
        <v>134</v>
      </c>
      <c r="P1422" t="s">
        <v>29</v>
      </c>
      <c r="Q1422">
        <v>42</v>
      </c>
      <c r="R1422">
        <v>-93.620800000000003</v>
      </c>
    </row>
    <row r="1423" spans="1:18" x14ac:dyDescent="0.2">
      <c r="A1423" t="s">
        <v>270</v>
      </c>
      <c r="B1423" t="s">
        <v>271</v>
      </c>
      <c r="C1423">
        <v>34</v>
      </c>
      <c r="D1423" s="1">
        <v>44064.917731481481</v>
      </c>
      <c r="E1423" t="s">
        <v>4397</v>
      </c>
      <c r="F1423" t="s">
        <v>273</v>
      </c>
      <c r="G1423" t="s">
        <v>4327</v>
      </c>
      <c r="H1423" t="s">
        <v>275</v>
      </c>
      <c r="I1423" t="s">
        <v>700</v>
      </c>
      <c r="J1423">
        <v>34</v>
      </c>
      <c r="K1423">
        <f>34-900-998-437</f>
        <v>-2301</v>
      </c>
      <c r="L1423" t="s">
        <v>4398</v>
      </c>
      <c r="M1423" t="s">
        <v>4399</v>
      </c>
      <c r="N1423" t="s">
        <v>278</v>
      </c>
      <c r="O1423" t="s">
        <v>134</v>
      </c>
      <c r="P1423" t="s">
        <v>29</v>
      </c>
      <c r="Q1423">
        <v>42</v>
      </c>
      <c r="R1423">
        <v>-93.620800000000003</v>
      </c>
    </row>
    <row r="1424" spans="1:18" x14ac:dyDescent="0.2">
      <c r="A1424" t="s">
        <v>270</v>
      </c>
      <c r="B1424" t="s">
        <v>271</v>
      </c>
      <c r="C1424">
        <v>34</v>
      </c>
      <c r="D1424" s="1">
        <v>44064.917696759258</v>
      </c>
      <c r="E1424" t="s">
        <v>4400</v>
      </c>
      <c r="F1424" t="s">
        <v>273</v>
      </c>
      <c r="G1424" t="s">
        <v>4327</v>
      </c>
      <c r="H1424" t="s">
        <v>275</v>
      </c>
      <c r="I1424" t="s">
        <v>700</v>
      </c>
      <c r="J1424">
        <v>34</v>
      </c>
      <c r="K1424">
        <f>34-900-998-437</f>
        <v>-2301</v>
      </c>
      <c r="L1424" t="s">
        <v>4401</v>
      </c>
      <c r="M1424" t="s">
        <v>4402</v>
      </c>
      <c r="N1424" t="s">
        <v>278</v>
      </c>
      <c r="O1424" t="s">
        <v>134</v>
      </c>
      <c r="P1424" t="s">
        <v>29</v>
      </c>
      <c r="Q1424">
        <v>42</v>
      </c>
      <c r="R1424">
        <v>-93.620800000000003</v>
      </c>
    </row>
    <row r="1425" spans="1:18" x14ac:dyDescent="0.2">
      <c r="A1425" t="s">
        <v>270</v>
      </c>
      <c r="B1425" t="s">
        <v>271</v>
      </c>
      <c r="C1425">
        <v>34</v>
      </c>
      <c r="D1425" s="1">
        <v>44064.917650462965</v>
      </c>
      <c r="E1425" t="s">
        <v>4403</v>
      </c>
      <c r="F1425" t="s">
        <v>273</v>
      </c>
      <c r="G1425" t="s">
        <v>4327</v>
      </c>
      <c r="H1425" t="s">
        <v>275</v>
      </c>
      <c r="I1425" t="s">
        <v>700</v>
      </c>
      <c r="J1425">
        <v>34</v>
      </c>
      <c r="K1425">
        <f>34-900-998-437</f>
        <v>-2301</v>
      </c>
      <c r="L1425" t="s">
        <v>4404</v>
      </c>
      <c r="M1425" t="s">
        <v>4405</v>
      </c>
      <c r="N1425" t="s">
        <v>278</v>
      </c>
      <c r="O1425" t="s">
        <v>134</v>
      </c>
      <c r="P1425" t="s">
        <v>29</v>
      </c>
      <c r="Q1425">
        <v>42</v>
      </c>
      <c r="R1425">
        <v>-93.620800000000003</v>
      </c>
    </row>
    <row r="1426" spans="1:18" x14ac:dyDescent="0.2">
      <c r="A1426" t="s">
        <v>270</v>
      </c>
      <c r="B1426" t="s">
        <v>271</v>
      </c>
      <c r="C1426">
        <v>34</v>
      </c>
      <c r="D1426" s="1">
        <v>44064.917615740742</v>
      </c>
      <c r="E1426" t="s">
        <v>4406</v>
      </c>
      <c r="F1426" t="s">
        <v>273</v>
      </c>
      <c r="G1426" t="s">
        <v>4327</v>
      </c>
      <c r="H1426" t="s">
        <v>275</v>
      </c>
      <c r="I1426" t="s">
        <v>700</v>
      </c>
      <c r="J1426">
        <v>34</v>
      </c>
      <c r="K1426">
        <f>34-900-998-437</f>
        <v>-2301</v>
      </c>
      <c r="L1426" t="s">
        <v>4407</v>
      </c>
      <c r="M1426" t="s">
        <v>4408</v>
      </c>
      <c r="N1426" t="s">
        <v>278</v>
      </c>
      <c r="O1426" t="s">
        <v>134</v>
      </c>
      <c r="P1426" t="s">
        <v>29</v>
      </c>
      <c r="Q1426">
        <v>42</v>
      </c>
      <c r="R1426">
        <v>-93.620800000000003</v>
      </c>
    </row>
    <row r="1427" spans="1:18" x14ac:dyDescent="0.2">
      <c r="A1427" t="s">
        <v>270</v>
      </c>
      <c r="B1427" t="s">
        <v>271</v>
      </c>
      <c r="C1427">
        <v>34</v>
      </c>
      <c r="D1427" s="1">
        <v>44064.917071759257</v>
      </c>
      <c r="E1427" t="s">
        <v>4409</v>
      </c>
      <c r="F1427" t="s">
        <v>273</v>
      </c>
      <c r="G1427" t="s">
        <v>4327</v>
      </c>
      <c r="H1427" t="s">
        <v>275</v>
      </c>
      <c r="I1427" t="s">
        <v>700</v>
      </c>
      <c r="J1427">
        <v>34</v>
      </c>
      <c r="K1427">
        <f>34-900-998-437</f>
        <v>-2301</v>
      </c>
      <c r="L1427" t="s">
        <v>4410</v>
      </c>
      <c r="M1427" t="s">
        <v>4411</v>
      </c>
      <c r="N1427" t="s">
        <v>278</v>
      </c>
      <c r="O1427" t="s">
        <v>134</v>
      </c>
      <c r="P1427" t="s">
        <v>29</v>
      </c>
      <c r="Q1427">
        <v>42</v>
      </c>
      <c r="R1427">
        <v>-93.620800000000003</v>
      </c>
    </row>
    <row r="1428" spans="1:18" x14ac:dyDescent="0.2">
      <c r="A1428" t="s">
        <v>270</v>
      </c>
      <c r="B1428" t="s">
        <v>271</v>
      </c>
      <c r="C1428">
        <v>1</v>
      </c>
      <c r="D1428" s="1">
        <v>44064.917025462964</v>
      </c>
      <c r="E1428" t="s">
        <v>4412</v>
      </c>
      <c r="F1428" t="s">
        <v>273</v>
      </c>
      <c r="G1428" t="s">
        <v>4327</v>
      </c>
      <c r="H1428" t="s">
        <v>275</v>
      </c>
      <c r="I1428" t="s">
        <v>29</v>
      </c>
      <c r="J1428">
        <v>1</v>
      </c>
      <c r="K1428">
        <f>1-888-965-883</f>
        <v>-2735</v>
      </c>
      <c r="L1428" t="s">
        <v>4413</v>
      </c>
      <c r="M1428" t="s">
        <v>4414</v>
      </c>
      <c r="N1428" t="s">
        <v>278</v>
      </c>
      <c r="O1428" t="s">
        <v>134</v>
      </c>
      <c r="P1428" t="s">
        <v>29</v>
      </c>
      <c r="Q1428">
        <v>42</v>
      </c>
      <c r="R1428">
        <v>-93.620800000000003</v>
      </c>
    </row>
    <row r="1429" spans="1:18" x14ac:dyDescent="0.2">
      <c r="A1429" t="s">
        <v>270</v>
      </c>
      <c r="B1429" t="s">
        <v>271</v>
      </c>
      <c r="C1429">
        <v>34</v>
      </c>
      <c r="D1429" s="1">
        <v>44064.917002314818</v>
      </c>
      <c r="E1429" t="s">
        <v>4415</v>
      </c>
      <c r="F1429" t="s">
        <v>273</v>
      </c>
      <c r="G1429" t="s">
        <v>4327</v>
      </c>
      <c r="H1429" t="s">
        <v>275</v>
      </c>
      <c r="I1429" t="s">
        <v>700</v>
      </c>
      <c r="J1429">
        <v>34</v>
      </c>
      <c r="K1429">
        <f>34-900-670-25</f>
        <v>-1561</v>
      </c>
      <c r="L1429" t="s">
        <v>4416</v>
      </c>
      <c r="M1429" t="s">
        <v>4417</v>
      </c>
      <c r="N1429" t="s">
        <v>278</v>
      </c>
      <c r="O1429" t="s">
        <v>134</v>
      </c>
      <c r="P1429" t="s">
        <v>29</v>
      </c>
      <c r="Q1429">
        <v>42</v>
      </c>
      <c r="R1429">
        <v>-93.620800000000003</v>
      </c>
    </row>
    <row r="1430" spans="1:18" x14ac:dyDescent="0.2">
      <c r="A1430" t="s">
        <v>270</v>
      </c>
      <c r="B1430" t="s">
        <v>271</v>
      </c>
      <c r="C1430">
        <v>34</v>
      </c>
      <c r="D1430" s="1">
        <v>44064.915983796294</v>
      </c>
      <c r="E1430" t="s">
        <v>4418</v>
      </c>
      <c r="F1430" t="s">
        <v>273</v>
      </c>
      <c r="G1430" t="s">
        <v>4327</v>
      </c>
      <c r="H1430" t="s">
        <v>275</v>
      </c>
      <c r="I1430" t="s">
        <v>700</v>
      </c>
      <c r="J1430">
        <v>34</v>
      </c>
      <c r="K1430">
        <f>34-900-998-437</f>
        <v>-2301</v>
      </c>
      <c r="L1430" t="s">
        <v>4419</v>
      </c>
      <c r="M1430" t="s">
        <v>4420</v>
      </c>
      <c r="N1430" t="s">
        <v>278</v>
      </c>
      <c r="O1430" t="s">
        <v>134</v>
      </c>
      <c r="P1430" t="s">
        <v>29</v>
      </c>
      <c r="Q1430">
        <v>42</v>
      </c>
      <c r="R1430">
        <v>-93.620800000000003</v>
      </c>
    </row>
    <row r="1431" spans="1:18" x14ac:dyDescent="0.2">
      <c r="A1431" t="s">
        <v>270</v>
      </c>
      <c r="B1431" t="s">
        <v>271</v>
      </c>
      <c r="C1431">
        <v>34</v>
      </c>
      <c r="D1431" s="1">
        <v>44064.915949074071</v>
      </c>
      <c r="E1431" t="s">
        <v>4421</v>
      </c>
      <c r="F1431" t="s">
        <v>273</v>
      </c>
      <c r="G1431" t="s">
        <v>4327</v>
      </c>
      <c r="H1431" t="s">
        <v>275</v>
      </c>
      <c r="I1431" t="s">
        <v>700</v>
      </c>
      <c r="J1431">
        <v>34</v>
      </c>
      <c r="K1431">
        <f>34-900-998-437</f>
        <v>-2301</v>
      </c>
      <c r="L1431" t="s">
        <v>4422</v>
      </c>
      <c r="M1431" t="s">
        <v>4423</v>
      </c>
      <c r="N1431" t="s">
        <v>278</v>
      </c>
      <c r="O1431" t="s">
        <v>134</v>
      </c>
      <c r="P1431" t="s">
        <v>29</v>
      </c>
      <c r="Q1431">
        <v>42</v>
      </c>
      <c r="R1431">
        <v>-93.620800000000003</v>
      </c>
    </row>
    <row r="1432" spans="1:18" x14ac:dyDescent="0.2">
      <c r="A1432" t="s">
        <v>270</v>
      </c>
      <c r="B1432" t="s">
        <v>271</v>
      </c>
      <c r="C1432">
        <v>34</v>
      </c>
      <c r="D1432" s="1">
        <v>44064.915902777779</v>
      </c>
      <c r="E1432" t="s">
        <v>4424</v>
      </c>
      <c r="F1432" t="s">
        <v>273</v>
      </c>
      <c r="G1432" t="s">
        <v>4327</v>
      </c>
      <c r="H1432" t="s">
        <v>275</v>
      </c>
      <c r="I1432" t="s">
        <v>700</v>
      </c>
      <c r="J1432">
        <v>34</v>
      </c>
      <c r="K1432">
        <f>34-900-670-25</f>
        <v>-1561</v>
      </c>
      <c r="L1432" t="s">
        <v>4425</v>
      </c>
      <c r="M1432" t="s">
        <v>4426</v>
      </c>
      <c r="N1432" t="s">
        <v>278</v>
      </c>
      <c r="O1432" t="s">
        <v>134</v>
      </c>
      <c r="P1432" t="s">
        <v>29</v>
      </c>
      <c r="Q1432">
        <v>42</v>
      </c>
      <c r="R1432">
        <v>-93.620800000000003</v>
      </c>
    </row>
    <row r="1433" spans="1:18" x14ac:dyDescent="0.2">
      <c r="A1433" t="s">
        <v>270</v>
      </c>
      <c r="B1433" t="s">
        <v>271</v>
      </c>
      <c r="C1433">
        <v>34</v>
      </c>
      <c r="D1433" s="1">
        <v>44064.915798611109</v>
      </c>
      <c r="E1433" t="s">
        <v>4427</v>
      </c>
      <c r="F1433" t="s">
        <v>273</v>
      </c>
      <c r="G1433" t="s">
        <v>4327</v>
      </c>
      <c r="H1433" t="s">
        <v>275</v>
      </c>
      <c r="I1433" t="s">
        <v>700</v>
      </c>
      <c r="J1433">
        <v>34</v>
      </c>
      <c r="K1433">
        <f>34-900-998-437</f>
        <v>-2301</v>
      </c>
      <c r="L1433" t="s">
        <v>4428</v>
      </c>
      <c r="M1433" t="s">
        <v>4429</v>
      </c>
      <c r="N1433" t="s">
        <v>278</v>
      </c>
      <c r="O1433" t="s">
        <v>134</v>
      </c>
      <c r="P1433" t="s">
        <v>29</v>
      </c>
      <c r="Q1433">
        <v>42</v>
      </c>
      <c r="R1433">
        <v>-93.620800000000003</v>
      </c>
    </row>
    <row r="1434" spans="1:18" x14ac:dyDescent="0.2">
      <c r="A1434" t="s">
        <v>270</v>
      </c>
      <c r="B1434" t="s">
        <v>271</v>
      </c>
      <c r="C1434">
        <v>34</v>
      </c>
      <c r="D1434" s="1">
        <v>44064.915798611109</v>
      </c>
      <c r="E1434" t="s">
        <v>4369</v>
      </c>
      <c r="F1434" t="s">
        <v>273</v>
      </c>
      <c r="G1434" t="s">
        <v>4327</v>
      </c>
      <c r="H1434" t="s">
        <v>275</v>
      </c>
      <c r="I1434" t="s">
        <v>700</v>
      </c>
      <c r="J1434">
        <v>34</v>
      </c>
      <c r="K1434">
        <f>34-900-998-437</f>
        <v>-2301</v>
      </c>
      <c r="L1434" t="s">
        <v>4430</v>
      </c>
      <c r="M1434" t="s">
        <v>4431</v>
      </c>
      <c r="N1434" t="s">
        <v>278</v>
      </c>
      <c r="O1434" t="s">
        <v>134</v>
      </c>
      <c r="P1434" t="s">
        <v>29</v>
      </c>
      <c r="Q1434">
        <v>42</v>
      </c>
      <c r="R1434">
        <v>-93.620800000000003</v>
      </c>
    </row>
    <row r="1435" spans="1:18" x14ac:dyDescent="0.2">
      <c r="A1435" t="s">
        <v>270</v>
      </c>
      <c r="B1435" t="s">
        <v>271</v>
      </c>
      <c r="C1435">
        <v>34</v>
      </c>
      <c r="D1435" s="1">
        <v>44064.915752314817</v>
      </c>
      <c r="E1435" t="s">
        <v>4432</v>
      </c>
      <c r="F1435" t="s">
        <v>273</v>
      </c>
      <c r="G1435" t="s">
        <v>4327</v>
      </c>
      <c r="H1435" t="s">
        <v>275</v>
      </c>
      <c r="I1435" t="s">
        <v>700</v>
      </c>
      <c r="J1435">
        <v>34</v>
      </c>
      <c r="K1435">
        <f>34-900-998-437</f>
        <v>-2301</v>
      </c>
      <c r="L1435" t="s">
        <v>4433</v>
      </c>
      <c r="M1435" t="s">
        <v>4434</v>
      </c>
      <c r="N1435" t="s">
        <v>278</v>
      </c>
      <c r="O1435" t="s">
        <v>134</v>
      </c>
      <c r="P1435" t="s">
        <v>29</v>
      </c>
      <c r="Q1435">
        <v>42</v>
      </c>
      <c r="R1435">
        <v>-93.620800000000003</v>
      </c>
    </row>
    <row r="1436" spans="1:18" x14ac:dyDescent="0.2">
      <c r="A1436" t="s">
        <v>270</v>
      </c>
      <c r="B1436" t="s">
        <v>271</v>
      </c>
      <c r="C1436">
        <v>1</v>
      </c>
      <c r="D1436" s="1">
        <v>44063.817361111112</v>
      </c>
      <c r="E1436" t="s">
        <v>4435</v>
      </c>
      <c r="F1436" t="s">
        <v>273</v>
      </c>
      <c r="G1436" t="s">
        <v>4327</v>
      </c>
      <c r="H1436" t="s">
        <v>275</v>
      </c>
      <c r="I1436" t="s">
        <v>29</v>
      </c>
      <c r="J1436">
        <v>1</v>
      </c>
      <c r="K1436">
        <f>1-866-752-772</f>
        <v>-2389</v>
      </c>
      <c r="L1436" t="s">
        <v>4436</v>
      </c>
      <c r="M1436" t="s">
        <v>4437</v>
      </c>
      <c r="N1436" t="s">
        <v>278</v>
      </c>
      <c r="O1436" t="s">
        <v>28</v>
      </c>
      <c r="P1436" t="s">
        <v>29</v>
      </c>
      <c r="Q1436">
        <v>42</v>
      </c>
      <c r="R1436">
        <v>-93.620800000000003</v>
      </c>
    </row>
    <row r="1437" spans="1:18" x14ac:dyDescent="0.2">
      <c r="A1437" t="s">
        <v>270</v>
      </c>
      <c r="B1437" t="s">
        <v>271</v>
      </c>
      <c r="C1437">
        <v>34</v>
      </c>
      <c r="D1437" s="1">
        <v>44062.690185185187</v>
      </c>
      <c r="E1437" t="s">
        <v>4438</v>
      </c>
      <c r="F1437" t="s">
        <v>273</v>
      </c>
      <c r="G1437" t="s">
        <v>4327</v>
      </c>
      <c r="H1437" t="s">
        <v>275</v>
      </c>
      <c r="I1437" t="s">
        <v>700</v>
      </c>
      <c r="J1437">
        <v>34</v>
      </c>
      <c r="K1437">
        <f>34-900-998-437</f>
        <v>-2301</v>
      </c>
      <c r="L1437" t="s">
        <v>4439</v>
      </c>
      <c r="M1437" t="s">
        <v>4440</v>
      </c>
      <c r="N1437" t="s">
        <v>278</v>
      </c>
      <c r="O1437" t="s">
        <v>134</v>
      </c>
      <c r="P1437" t="s">
        <v>29</v>
      </c>
      <c r="Q1437">
        <v>42</v>
      </c>
      <c r="R1437">
        <v>-93.620800000000003</v>
      </c>
    </row>
    <row r="1438" spans="1:18" x14ac:dyDescent="0.2">
      <c r="A1438" t="s">
        <v>270</v>
      </c>
      <c r="B1438" t="s">
        <v>271</v>
      </c>
      <c r="C1438">
        <v>34</v>
      </c>
      <c r="D1438" s="1">
        <v>44062.690046296295</v>
      </c>
      <c r="E1438" t="s">
        <v>4441</v>
      </c>
      <c r="F1438" t="s">
        <v>273</v>
      </c>
      <c r="G1438" t="s">
        <v>4327</v>
      </c>
      <c r="H1438" t="s">
        <v>275</v>
      </c>
      <c r="I1438" t="s">
        <v>700</v>
      </c>
      <c r="J1438">
        <v>34</v>
      </c>
      <c r="K1438">
        <f>34-900-998-437</f>
        <v>-2301</v>
      </c>
      <c r="L1438" t="s">
        <v>4442</v>
      </c>
      <c r="M1438" t="s">
        <v>4443</v>
      </c>
      <c r="N1438" t="s">
        <v>278</v>
      </c>
      <c r="O1438" t="s">
        <v>134</v>
      </c>
      <c r="P1438" t="s">
        <v>29</v>
      </c>
      <c r="Q1438">
        <v>42</v>
      </c>
      <c r="R1438">
        <v>-93.620800000000003</v>
      </c>
    </row>
    <row r="1439" spans="1:18" x14ac:dyDescent="0.2">
      <c r="A1439" t="s">
        <v>270</v>
      </c>
      <c r="B1439" t="s">
        <v>271</v>
      </c>
      <c r="C1439">
        <v>34</v>
      </c>
      <c r="D1439" s="1">
        <v>44062.030706018515</v>
      </c>
      <c r="E1439" t="s">
        <v>4444</v>
      </c>
      <c r="F1439" t="s">
        <v>273</v>
      </c>
      <c r="G1439" t="s">
        <v>4327</v>
      </c>
      <c r="H1439" t="s">
        <v>275</v>
      </c>
      <c r="I1439" t="s">
        <v>700</v>
      </c>
      <c r="J1439">
        <v>34</v>
      </c>
      <c r="K1439">
        <f>34-900-670-25</f>
        <v>-1561</v>
      </c>
      <c r="L1439" t="s">
        <v>4445</v>
      </c>
      <c r="M1439" t="s">
        <v>4446</v>
      </c>
      <c r="N1439" t="s">
        <v>278</v>
      </c>
      <c r="O1439" t="s">
        <v>134</v>
      </c>
      <c r="P1439" t="s">
        <v>29</v>
      </c>
      <c r="Q1439">
        <v>42</v>
      </c>
      <c r="R1439">
        <v>-93.620800000000003</v>
      </c>
    </row>
    <row r="1440" spans="1:18" x14ac:dyDescent="0.2">
      <c r="A1440" t="s">
        <v>270</v>
      </c>
      <c r="B1440" t="s">
        <v>271</v>
      </c>
      <c r="C1440">
        <v>1</v>
      </c>
      <c r="D1440" s="1">
        <v>44062.030023148145</v>
      </c>
      <c r="E1440" t="s">
        <v>4447</v>
      </c>
      <c r="F1440" t="s">
        <v>273</v>
      </c>
      <c r="G1440" t="s">
        <v>4327</v>
      </c>
      <c r="H1440" t="s">
        <v>275</v>
      </c>
      <c r="I1440" t="s">
        <v>29</v>
      </c>
      <c r="J1440">
        <v>1</v>
      </c>
      <c r="K1440">
        <f>1-888-383-569</f>
        <v>-1839</v>
      </c>
      <c r="L1440" t="s">
        <v>4448</v>
      </c>
      <c r="M1440" t="s">
        <v>4449</v>
      </c>
      <c r="N1440" t="s">
        <v>278</v>
      </c>
      <c r="O1440" t="s">
        <v>134</v>
      </c>
      <c r="P1440" t="s">
        <v>29</v>
      </c>
      <c r="Q1440">
        <v>42</v>
      </c>
      <c r="R1440">
        <v>-93.620800000000003</v>
      </c>
    </row>
    <row r="1441" spans="1:18" x14ac:dyDescent="0.2">
      <c r="A1441" t="s">
        <v>270</v>
      </c>
      <c r="B1441" t="s">
        <v>271</v>
      </c>
      <c r="C1441">
        <v>1</v>
      </c>
      <c r="D1441" s="1">
        <v>44056.84138888889</v>
      </c>
      <c r="E1441" t="s">
        <v>4450</v>
      </c>
      <c r="F1441" t="s">
        <v>273</v>
      </c>
      <c r="G1441" t="s">
        <v>4327</v>
      </c>
      <c r="H1441" t="s">
        <v>275</v>
      </c>
      <c r="I1441" t="s">
        <v>29</v>
      </c>
      <c r="J1441">
        <v>1</v>
      </c>
      <c r="K1441">
        <f>1-844-743-2471</f>
        <v>-4057</v>
      </c>
      <c r="L1441" t="s">
        <v>4451</v>
      </c>
      <c r="M1441" t="s">
        <v>4452</v>
      </c>
      <c r="N1441" t="s">
        <v>278</v>
      </c>
      <c r="O1441" t="s">
        <v>134</v>
      </c>
      <c r="P1441" t="s">
        <v>29</v>
      </c>
      <c r="Q1441">
        <v>42</v>
      </c>
      <c r="R1441">
        <v>-93.620800000000003</v>
      </c>
    </row>
    <row r="1442" spans="1:18" x14ac:dyDescent="0.2">
      <c r="A1442" t="s">
        <v>270</v>
      </c>
      <c r="B1442" t="s">
        <v>271</v>
      </c>
      <c r="C1442">
        <v>1</v>
      </c>
      <c r="D1442" s="1">
        <v>44053.914537037039</v>
      </c>
      <c r="E1442" t="s">
        <v>4453</v>
      </c>
      <c r="F1442" t="s">
        <v>273</v>
      </c>
      <c r="G1442" t="s">
        <v>4327</v>
      </c>
      <c r="H1442" t="s">
        <v>275</v>
      </c>
      <c r="I1442" t="s">
        <v>29</v>
      </c>
      <c r="J1442">
        <v>1</v>
      </c>
      <c r="K1442">
        <f>1-888-531-6671</f>
        <v>-8089</v>
      </c>
      <c r="L1442" t="s">
        <v>4454</v>
      </c>
      <c r="M1442" t="s">
        <v>4455</v>
      </c>
      <c r="N1442" t="s">
        <v>278</v>
      </c>
      <c r="O1442" t="s">
        <v>134</v>
      </c>
      <c r="P1442" t="s">
        <v>29</v>
      </c>
      <c r="Q1442">
        <v>42</v>
      </c>
      <c r="R1442">
        <v>-93.620800000000003</v>
      </c>
    </row>
    <row r="1443" spans="1:18" x14ac:dyDescent="0.2">
      <c r="A1443" t="s">
        <v>270</v>
      </c>
      <c r="B1443" t="s">
        <v>271</v>
      </c>
      <c r="C1443">
        <v>1</v>
      </c>
      <c r="D1443" s="1">
        <v>44053.714120370372</v>
      </c>
      <c r="E1443" t="s">
        <v>4456</v>
      </c>
      <c r="F1443" t="s">
        <v>273</v>
      </c>
      <c r="G1443" t="s">
        <v>4327</v>
      </c>
      <c r="H1443" t="s">
        <v>275</v>
      </c>
      <c r="I1443" t="s">
        <v>29</v>
      </c>
      <c r="J1443">
        <v>1</v>
      </c>
      <c r="K1443">
        <f>1-866-702-3639</f>
        <v>-5206</v>
      </c>
      <c r="L1443" t="s">
        <v>4457</v>
      </c>
      <c r="M1443" t="s">
        <v>4458</v>
      </c>
      <c r="N1443" t="s">
        <v>278</v>
      </c>
      <c r="O1443" t="s">
        <v>134</v>
      </c>
      <c r="P1443" t="s">
        <v>29</v>
      </c>
      <c r="Q1443">
        <v>42</v>
      </c>
      <c r="R1443">
        <v>-93.620800000000003</v>
      </c>
    </row>
    <row r="1444" spans="1:18" x14ac:dyDescent="0.2">
      <c r="A1444" t="s">
        <v>270</v>
      </c>
      <c r="B1444" t="s">
        <v>271</v>
      </c>
      <c r="C1444">
        <v>1</v>
      </c>
      <c r="D1444" s="1">
        <v>44052.944895833331</v>
      </c>
      <c r="E1444" t="s">
        <v>4459</v>
      </c>
      <c r="F1444" t="s">
        <v>273</v>
      </c>
      <c r="G1444" t="s">
        <v>4327</v>
      </c>
      <c r="H1444" t="s">
        <v>275</v>
      </c>
      <c r="I1444" t="s">
        <v>29</v>
      </c>
      <c r="J1444">
        <v>1</v>
      </c>
      <c r="K1444">
        <f>1-833-400-167</f>
        <v>-1399</v>
      </c>
      <c r="L1444" t="s">
        <v>4460</v>
      </c>
      <c r="M1444" t="s">
        <v>4461</v>
      </c>
      <c r="N1444" t="s">
        <v>278</v>
      </c>
      <c r="O1444" t="s">
        <v>134</v>
      </c>
      <c r="P1444" t="s">
        <v>29</v>
      </c>
      <c r="Q1444">
        <v>42</v>
      </c>
      <c r="R1444">
        <v>-93.620800000000003</v>
      </c>
    </row>
    <row r="1445" spans="1:18" x14ac:dyDescent="0.2">
      <c r="A1445" t="s">
        <v>270</v>
      </c>
      <c r="B1445" t="s">
        <v>271</v>
      </c>
      <c r="C1445">
        <v>1</v>
      </c>
      <c r="D1445" s="1">
        <v>44052.942418981482</v>
      </c>
      <c r="E1445" t="s">
        <v>4459</v>
      </c>
      <c r="F1445" t="s">
        <v>273</v>
      </c>
      <c r="G1445" t="s">
        <v>4327</v>
      </c>
      <c r="H1445" t="s">
        <v>275</v>
      </c>
      <c r="I1445" t="s">
        <v>29</v>
      </c>
      <c r="J1445">
        <v>1</v>
      </c>
      <c r="K1445">
        <f>1-888-524-4952</f>
        <v>-6363</v>
      </c>
      <c r="L1445" t="s">
        <v>4462</v>
      </c>
      <c r="M1445" t="s">
        <v>4463</v>
      </c>
      <c r="N1445" t="s">
        <v>278</v>
      </c>
      <c r="O1445" t="s">
        <v>134</v>
      </c>
      <c r="P1445" t="s">
        <v>29</v>
      </c>
      <c r="Q1445">
        <v>42</v>
      </c>
      <c r="R1445">
        <v>-93.620800000000003</v>
      </c>
    </row>
    <row r="1446" spans="1:18" x14ac:dyDescent="0.2">
      <c r="A1446" t="s">
        <v>270</v>
      </c>
      <c r="B1446" t="s">
        <v>271</v>
      </c>
      <c r="C1446">
        <v>1</v>
      </c>
      <c r="D1446" s="1">
        <v>44052.910462962966</v>
      </c>
      <c r="E1446" t="s">
        <v>4464</v>
      </c>
      <c r="F1446" t="s">
        <v>273</v>
      </c>
      <c r="G1446" t="s">
        <v>4327</v>
      </c>
      <c r="H1446" t="s">
        <v>275</v>
      </c>
      <c r="I1446" t="s">
        <v>29</v>
      </c>
      <c r="J1446">
        <v>1</v>
      </c>
      <c r="K1446">
        <f>1-866-733-9508</f>
        <v>-11106</v>
      </c>
      <c r="L1446" t="s">
        <v>4465</v>
      </c>
      <c r="M1446" t="s">
        <v>4466</v>
      </c>
      <c r="N1446" t="s">
        <v>278</v>
      </c>
      <c r="O1446" t="s">
        <v>134</v>
      </c>
      <c r="P1446" t="s">
        <v>29</v>
      </c>
      <c r="Q1446">
        <v>42</v>
      </c>
      <c r="R1446">
        <v>-93.620800000000003</v>
      </c>
    </row>
    <row r="1447" spans="1:18" x14ac:dyDescent="0.2">
      <c r="A1447" t="s">
        <v>270</v>
      </c>
      <c r="B1447" t="s">
        <v>271</v>
      </c>
      <c r="C1447">
        <v>1</v>
      </c>
      <c r="D1447" s="1">
        <v>44052.836041666669</v>
      </c>
      <c r="E1447" t="s">
        <v>4467</v>
      </c>
      <c r="F1447" t="s">
        <v>273</v>
      </c>
      <c r="G1447" t="s">
        <v>4327</v>
      </c>
      <c r="H1447" t="s">
        <v>275</v>
      </c>
      <c r="I1447" t="s">
        <v>29</v>
      </c>
      <c r="J1447">
        <v>1</v>
      </c>
      <c r="K1447">
        <f>1-888-534-177</f>
        <v>-1598</v>
      </c>
      <c r="L1447" t="s">
        <v>4468</v>
      </c>
      <c r="M1447" t="s">
        <v>4469</v>
      </c>
      <c r="N1447" t="s">
        <v>278</v>
      </c>
      <c r="O1447" t="s">
        <v>134</v>
      </c>
      <c r="P1447" t="s">
        <v>29</v>
      </c>
      <c r="Q1447">
        <v>42</v>
      </c>
      <c r="R1447">
        <v>-93.620800000000003</v>
      </c>
    </row>
    <row r="1448" spans="1:18" x14ac:dyDescent="0.2">
      <c r="A1448" t="s">
        <v>270</v>
      </c>
      <c r="B1448" t="s">
        <v>271</v>
      </c>
      <c r="C1448">
        <v>1</v>
      </c>
      <c r="D1448" s="1">
        <v>44052.813518518517</v>
      </c>
      <c r="E1448" t="s">
        <v>4470</v>
      </c>
      <c r="F1448" t="s">
        <v>273</v>
      </c>
      <c r="G1448" t="s">
        <v>4327</v>
      </c>
      <c r="H1448" t="s">
        <v>275</v>
      </c>
      <c r="I1448" t="s">
        <v>29</v>
      </c>
      <c r="J1448">
        <v>1</v>
      </c>
      <c r="K1448">
        <f>1-888-541-995</f>
        <v>-2423</v>
      </c>
      <c r="L1448" t="s">
        <v>4471</v>
      </c>
      <c r="M1448" t="s">
        <v>4472</v>
      </c>
      <c r="N1448" t="s">
        <v>278</v>
      </c>
      <c r="O1448" t="s">
        <v>134</v>
      </c>
      <c r="P1448" t="s">
        <v>29</v>
      </c>
      <c r="Q1448">
        <v>42</v>
      </c>
      <c r="R1448">
        <v>-93.620800000000003</v>
      </c>
    </row>
    <row r="1449" spans="1:18" x14ac:dyDescent="0.2">
      <c r="A1449" t="s">
        <v>270</v>
      </c>
      <c r="B1449" t="s">
        <v>271</v>
      </c>
      <c r="C1449">
        <v>44</v>
      </c>
      <c r="D1449" s="1">
        <v>44052.665775462963</v>
      </c>
      <c r="E1449" t="s">
        <v>4473</v>
      </c>
      <c r="F1449" t="s">
        <v>273</v>
      </c>
      <c r="G1449" t="s">
        <v>4327</v>
      </c>
      <c r="H1449" t="s">
        <v>275</v>
      </c>
      <c r="I1449" t="s">
        <v>618</v>
      </c>
      <c r="J1449">
        <v>44</v>
      </c>
      <c r="K1449">
        <f>44-745-128-9857</f>
        <v>-10686</v>
      </c>
      <c r="L1449" t="s">
        <v>4474</v>
      </c>
      <c r="M1449" t="s">
        <v>4475</v>
      </c>
      <c r="N1449" t="s">
        <v>278</v>
      </c>
      <c r="O1449" t="s">
        <v>134</v>
      </c>
      <c r="P1449" t="s">
        <v>29</v>
      </c>
      <c r="Q1449">
        <v>42</v>
      </c>
      <c r="R1449">
        <v>-93.620800000000003</v>
      </c>
    </row>
    <row r="1450" spans="1:18" x14ac:dyDescent="0.2">
      <c r="A1450" t="s">
        <v>270</v>
      </c>
      <c r="B1450" t="s">
        <v>271</v>
      </c>
      <c r="C1450">
        <v>1</v>
      </c>
      <c r="D1450" s="1">
        <v>44051.933738425927</v>
      </c>
      <c r="E1450" t="s">
        <v>4476</v>
      </c>
      <c r="F1450" t="s">
        <v>273</v>
      </c>
      <c r="G1450" t="s">
        <v>4327</v>
      </c>
      <c r="H1450" t="s">
        <v>275</v>
      </c>
      <c r="I1450" t="s">
        <v>29</v>
      </c>
      <c r="J1450">
        <v>1</v>
      </c>
      <c r="K1450">
        <f>1-745-128-9859</f>
        <v>-10731</v>
      </c>
      <c r="L1450" t="s">
        <v>4477</v>
      </c>
      <c r="M1450" t="s">
        <v>4478</v>
      </c>
      <c r="N1450" t="s">
        <v>278</v>
      </c>
      <c r="O1450" t="s">
        <v>134</v>
      </c>
      <c r="P1450" t="s">
        <v>29</v>
      </c>
      <c r="Q1450">
        <v>42</v>
      </c>
      <c r="R1450">
        <v>-93.620800000000003</v>
      </c>
    </row>
    <row r="1451" spans="1:18" x14ac:dyDescent="0.2">
      <c r="A1451" t="s">
        <v>270</v>
      </c>
      <c r="B1451" t="s">
        <v>271</v>
      </c>
      <c r="C1451">
        <v>1</v>
      </c>
      <c r="D1451" s="1">
        <v>44051.846504629626</v>
      </c>
      <c r="E1451" t="s">
        <v>4479</v>
      </c>
      <c r="F1451" t="s">
        <v>273</v>
      </c>
      <c r="G1451" t="s">
        <v>4327</v>
      </c>
      <c r="H1451" t="s">
        <v>275</v>
      </c>
      <c r="I1451" t="s">
        <v>29</v>
      </c>
      <c r="J1451">
        <v>1</v>
      </c>
      <c r="K1451">
        <f>1-888-434-9680</f>
        <v>-11001</v>
      </c>
      <c r="L1451" t="s">
        <v>4480</v>
      </c>
      <c r="M1451" t="s">
        <v>4481</v>
      </c>
      <c r="N1451" t="s">
        <v>278</v>
      </c>
      <c r="O1451" t="s">
        <v>134</v>
      </c>
      <c r="P1451" t="s">
        <v>29</v>
      </c>
      <c r="Q1451">
        <v>42</v>
      </c>
      <c r="R1451">
        <v>-93.620800000000003</v>
      </c>
    </row>
    <row r="1452" spans="1:18" x14ac:dyDescent="0.2">
      <c r="A1452" t="s">
        <v>270</v>
      </c>
      <c r="B1452" t="s">
        <v>271</v>
      </c>
      <c r="C1452">
        <v>1</v>
      </c>
      <c r="D1452" s="1">
        <v>44051.829363425924</v>
      </c>
      <c r="E1452" t="s">
        <v>4482</v>
      </c>
      <c r="F1452" t="s">
        <v>273</v>
      </c>
      <c r="G1452" t="s">
        <v>4327</v>
      </c>
      <c r="H1452" t="s">
        <v>275</v>
      </c>
      <c r="I1452" t="s">
        <v>29</v>
      </c>
      <c r="J1452">
        <v>1</v>
      </c>
      <c r="K1452">
        <f>1-866-782-5629</f>
        <v>-7276</v>
      </c>
      <c r="L1452" t="s">
        <v>4483</v>
      </c>
      <c r="M1452" t="s">
        <v>4484</v>
      </c>
      <c r="N1452" t="s">
        <v>278</v>
      </c>
      <c r="O1452" t="s">
        <v>134</v>
      </c>
      <c r="P1452" t="s">
        <v>29</v>
      </c>
      <c r="Q1452">
        <v>42</v>
      </c>
      <c r="R1452">
        <v>-93.620800000000003</v>
      </c>
    </row>
    <row r="1453" spans="1:18" x14ac:dyDescent="0.2">
      <c r="A1453" t="s">
        <v>270</v>
      </c>
      <c r="B1453" t="s">
        <v>271</v>
      </c>
      <c r="C1453">
        <v>44</v>
      </c>
      <c r="D1453" s="1">
        <v>44051.577986111108</v>
      </c>
      <c r="E1453" t="s">
        <v>4485</v>
      </c>
      <c r="F1453" t="s">
        <v>273</v>
      </c>
      <c r="G1453" t="s">
        <v>4327</v>
      </c>
      <c r="H1453" t="s">
        <v>275</v>
      </c>
      <c r="I1453" t="s">
        <v>618</v>
      </c>
      <c r="J1453">
        <v>44</v>
      </c>
      <c r="K1453">
        <f>44-151-308-56</f>
        <v>-471</v>
      </c>
      <c r="L1453" t="s">
        <v>4486</v>
      </c>
      <c r="M1453" t="s">
        <v>4487</v>
      </c>
      <c r="N1453" t="s">
        <v>278</v>
      </c>
      <c r="O1453" t="s">
        <v>28</v>
      </c>
      <c r="P1453" t="s">
        <v>29</v>
      </c>
      <c r="Q1453">
        <v>42</v>
      </c>
      <c r="R1453">
        <v>-93.620800000000003</v>
      </c>
    </row>
    <row r="1454" spans="1:18" x14ac:dyDescent="0.2">
      <c r="A1454" t="s">
        <v>270</v>
      </c>
      <c r="B1454" t="s">
        <v>271</v>
      </c>
      <c r="C1454">
        <v>1</v>
      </c>
      <c r="D1454" s="1">
        <v>44050.789803240739</v>
      </c>
      <c r="E1454" t="s">
        <v>4488</v>
      </c>
      <c r="F1454" t="s">
        <v>273</v>
      </c>
      <c r="G1454" t="s">
        <v>4327</v>
      </c>
      <c r="H1454" t="s">
        <v>275</v>
      </c>
      <c r="I1454" t="s">
        <v>29</v>
      </c>
      <c r="J1454">
        <v>1</v>
      </c>
      <c r="K1454">
        <f>1-866-770-1799</f>
        <v>-3434</v>
      </c>
      <c r="L1454" t="s">
        <v>4489</v>
      </c>
      <c r="M1454" t="s">
        <v>4490</v>
      </c>
      <c r="N1454" t="s">
        <v>278</v>
      </c>
      <c r="O1454" t="s">
        <v>134</v>
      </c>
      <c r="P1454" t="s">
        <v>29</v>
      </c>
      <c r="Q1454">
        <v>42</v>
      </c>
      <c r="R1454">
        <v>-93.620800000000003</v>
      </c>
    </row>
    <row r="1455" spans="1:18" x14ac:dyDescent="0.2">
      <c r="A1455" t="s">
        <v>270</v>
      </c>
      <c r="B1455" t="s">
        <v>271</v>
      </c>
      <c r="C1455">
        <v>1</v>
      </c>
      <c r="D1455" s="1">
        <v>44050.42832175926</v>
      </c>
      <c r="E1455" t="s">
        <v>4491</v>
      </c>
      <c r="F1455" t="s">
        <v>273</v>
      </c>
      <c r="G1455" t="s">
        <v>4327</v>
      </c>
      <c r="H1455" t="s">
        <v>275</v>
      </c>
      <c r="I1455" t="s">
        <v>29</v>
      </c>
      <c r="J1455">
        <v>1</v>
      </c>
      <c r="K1455">
        <f>1-888-524-3645</f>
        <v>-5056</v>
      </c>
      <c r="L1455" t="s">
        <v>4492</v>
      </c>
      <c r="M1455" t="s">
        <v>4493</v>
      </c>
      <c r="N1455" t="s">
        <v>278</v>
      </c>
      <c r="O1455" t="s">
        <v>134</v>
      </c>
      <c r="P1455" t="s">
        <v>29</v>
      </c>
      <c r="Q1455">
        <v>42</v>
      </c>
      <c r="R1455">
        <v>-93.620800000000003</v>
      </c>
    </row>
    <row r="1456" spans="1:18" x14ac:dyDescent="0.2">
      <c r="A1456" t="s">
        <v>270</v>
      </c>
      <c r="B1456" t="s">
        <v>271</v>
      </c>
      <c r="C1456">
        <v>1</v>
      </c>
      <c r="D1456" s="1">
        <v>44050.428032407406</v>
      </c>
      <c r="E1456" t="s">
        <v>4494</v>
      </c>
      <c r="F1456" t="s">
        <v>273</v>
      </c>
      <c r="G1456" t="s">
        <v>4327</v>
      </c>
      <c r="H1456" t="s">
        <v>275</v>
      </c>
      <c r="I1456" t="s">
        <v>29</v>
      </c>
      <c r="J1456">
        <v>1</v>
      </c>
      <c r="K1456">
        <f>1-888-524-3645</f>
        <v>-5056</v>
      </c>
      <c r="L1456" t="s">
        <v>4495</v>
      </c>
      <c r="M1456" t="s">
        <v>4496</v>
      </c>
      <c r="N1456" t="s">
        <v>278</v>
      </c>
      <c r="O1456" t="s">
        <v>134</v>
      </c>
      <c r="P1456" t="s">
        <v>29</v>
      </c>
      <c r="Q1456">
        <v>42</v>
      </c>
      <c r="R1456">
        <v>-93.620800000000003</v>
      </c>
    </row>
    <row r="1457" spans="1:18" x14ac:dyDescent="0.2">
      <c r="A1457" t="s">
        <v>270</v>
      </c>
      <c r="B1457" t="s">
        <v>271</v>
      </c>
      <c r="C1457">
        <v>1</v>
      </c>
      <c r="D1457" s="1">
        <v>44050.426458333335</v>
      </c>
      <c r="E1457" t="s">
        <v>4497</v>
      </c>
      <c r="F1457" t="s">
        <v>273</v>
      </c>
      <c r="G1457" t="s">
        <v>4327</v>
      </c>
      <c r="H1457" t="s">
        <v>275</v>
      </c>
      <c r="I1457" t="s">
        <v>29</v>
      </c>
      <c r="J1457">
        <v>1</v>
      </c>
      <c r="K1457">
        <f>1-888-524-3645</f>
        <v>-5056</v>
      </c>
      <c r="L1457" t="s">
        <v>4498</v>
      </c>
      <c r="M1457" t="s">
        <v>4499</v>
      </c>
      <c r="N1457" t="s">
        <v>278</v>
      </c>
      <c r="O1457" t="s">
        <v>134</v>
      </c>
      <c r="P1457" t="s">
        <v>29</v>
      </c>
      <c r="Q1457">
        <v>42</v>
      </c>
      <c r="R1457">
        <v>-93.620800000000003</v>
      </c>
    </row>
    <row r="1458" spans="1:18" x14ac:dyDescent="0.2">
      <c r="A1458" t="s">
        <v>270</v>
      </c>
      <c r="B1458" t="s">
        <v>271</v>
      </c>
      <c r="C1458">
        <v>81</v>
      </c>
      <c r="D1458" s="1">
        <v>44050.38585648148</v>
      </c>
      <c r="E1458" t="s">
        <v>4500</v>
      </c>
      <c r="F1458" t="s">
        <v>273</v>
      </c>
      <c r="G1458" t="s">
        <v>4327</v>
      </c>
      <c r="H1458" t="s">
        <v>275</v>
      </c>
      <c r="I1458" t="s">
        <v>53</v>
      </c>
      <c r="J1458">
        <v>81</v>
      </c>
      <c r="K1458">
        <f>81-50-5539-2416</f>
        <v>-7924</v>
      </c>
      <c r="L1458" t="s">
        <v>4501</v>
      </c>
      <c r="M1458" t="s">
        <v>4502</v>
      </c>
      <c r="N1458" t="s">
        <v>278</v>
      </c>
      <c r="O1458" t="s">
        <v>134</v>
      </c>
      <c r="P1458" t="s">
        <v>29</v>
      </c>
      <c r="Q1458">
        <v>42</v>
      </c>
      <c r="R1458">
        <v>-93.620800000000003</v>
      </c>
    </row>
    <row r="1459" spans="1:18" x14ac:dyDescent="0.2">
      <c r="A1459" t="s">
        <v>270</v>
      </c>
      <c r="B1459" t="s">
        <v>271</v>
      </c>
      <c r="C1459">
        <v>1</v>
      </c>
      <c r="D1459" s="1">
        <v>44049.942488425928</v>
      </c>
      <c r="E1459" t="s">
        <v>4503</v>
      </c>
      <c r="F1459" t="s">
        <v>273</v>
      </c>
      <c r="G1459" t="s">
        <v>4327</v>
      </c>
      <c r="H1459" t="s">
        <v>275</v>
      </c>
      <c r="I1459" t="s">
        <v>29</v>
      </c>
      <c r="J1459">
        <v>1</v>
      </c>
      <c r="K1459">
        <f>1-844-472-1018</f>
        <v>-2333</v>
      </c>
      <c r="L1459" t="s">
        <v>4504</v>
      </c>
      <c r="M1459" t="s">
        <v>4505</v>
      </c>
      <c r="N1459" t="s">
        <v>278</v>
      </c>
      <c r="O1459" t="s">
        <v>134</v>
      </c>
      <c r="P1459" t="s">
        <v>29</v>
      </c>
      <c r="Q1459">
        <v>42</v>
      </c>
      <c r="R1459">
        <v>-93.620800000000003</v>
      </c>
    </row>
    <row r="1460" spans="1:18" x14ac:dyDescent="0.2">
      <c r="A1460" t="s">
        <v>270</v>
      </c>
      <c r="B1460" t="s">
        <v>271</v>
      </c>
      <c r="C1460">
        <v>81</v>
      </c>
      <c r="D1460" s="1">
        <v>44046.641238425924</v>
      </c>
      <c r="E1460" t="s">
        <v>4506</v>
      </c>
      <c r="F1460" t="s">
        <v>273</v>
      </c>
      <c r="G1460" t="s">
        <v>4327</v>
      </c>
      <c r="H1460" t="s">
        <v>275</v>
      </c>
      <c r="I1460" t="s">
        <v>53</v>
      </c>
      <c r="J1460">
        <v>81</v>
      </c>
      <c r="K1460">
        <f>81-50-5809-8691</f>
        <v>-14469</v>
      </c>
      <c r="L1460" t="s">
        <v>4507</v>
      </c>
      <c r="M1460" t="s">
        <v>4508</v>
      </c>
      <c r="N1460" t="s">
        <v>278</v>
      </c>
      <c r="O1460" t="s">
        <v>134</v>
      </c>
      <c r="P1460" t="s">
        <v>29</v>
      </c>
      <c r="Q1460">
        <v>42</v>
      </c>
      <c r="R1460">
        <v>-93.620800000000003</v>
      </c>
    </row>
    <row r="1461" spans="1:18" x14ac:dyDescent="0.2">
      <c r="A1461" t="s">
        <v>270</v>
      </c>
      <c r="B1461" t="s">
        <v>271</v>
      </c>
      <c r="C1461">
        <v>44</v>
      </c>
      <c r="D1461" s="1">
        <v>44047.679097222222</v>
      </c>
      <c r="E1461" t="s">
        <v>4509</v>
      </c>
      <c r="F1461" t="s">
        <v>273</v>
      </c>
      <c r="G1461" t="s">
        <v>4327</v>
      </c>
      <c r="H1461" t="s">
        <v>275</v>
      </c>
      <c r="I1461" t="s">
        <v>618</v>
      </c>
      <c r="J1461">
        <v>44</v>
      </c>
      <c r="K1461">
        <f>44-151-308-125</f>
        <v>-540</v>
      </c>
      <c r="L1461" t="s">
        <v>4510</v>
      </c>
      <c r="M1461" t="s">
        <v>4511</v>
      </c>
      <c r="N1461" t="s">
        <v>278</v>
      </c>
      <c r="O1461" t="s">
        <v>28</v>
      </c>
      <c r="P1461" t="s">
        <v>29</v>
      </c>
      <c r="Q1461">
        <v>42</v>
      </c>
      <c r="R1461">
        <v>-93.620800000000003</v>
      </c>
    </row>
    <row r="1462" spans="1:18" x14ac:dyDescent="0.2">
      <c r="A1462" t="s">
        <v>270</v>
      </c>
      <c r="B1462" t="s">
        <v>271</v>
      </c>
      <c r="C1462">
        <v>81</v>
      </c>
      <c r="D1462" s="1">
        <v>44046.306979166664</v>
      </c>
      <c r="E1462" t="s">
        <v>4506</v>
      </c>
      <c r="F1462" t="s">
        <v>273</v>
      </c>
      <c r="G1462" t="s">
        <v>4327</v>
      </c>
      <c r="H1462" t="s">
        <v>275</v>
      </c>
      <c r="I1462" t="s">
        <v>53</v>
      </c>
      <c r="J1462">
        <v>81</v>
      </c>
      <c r="K1462">
        <f>81-50-5809-6094</f>
        <v>-11872</v>
      </c>
      <c r="L1462" t="s">
        <v>4512</v>
      </c>
      <c r="M1462" t="s">
        <v>4513</v>
      </c>
      <c r="N1462" t="s">
        <v>278</v>
      </c>
      <c r="O1462" t="s">
        <v>28</v>
      </c>
      <c r="P1462" t="s">
        <v>29</v>
      </c>
      <c r="Q1462">
        <v>42</v>
      </c>
      <c r="R1462">
        <v>-93.620800000000003</v>
      </c>
    </row>
    <row r="1463" spans="1:18" x14ac:dyDescent="0.2">
      <c r="A1463" t="s">
        <v>270</v>
      </c>
      <c r="B1463" t="s">
        <v>271</v>
      </c>
      <c r="C1463">
        <v>81</v>
      </c>
      <c r="D1463" s="1">
        <v>44044.610555555555</v>
      </c>
      <c r="E1463" t="s">
        <v>4514</v>
      </c>
      <c r="F1463" t="s">
        <v>273</v>
      </c>
      <c r="G1463" t="s">
        <v>4327</v>
      </c>
      <c r="H1463" t="s">
        <v>275</v>
      </c>
      <c r="I1463" t="s">
        <v>53</v>
      </c>
      <c r="J1463">
        <v>81</v>
      </c>
      <c r="K1463">
        <f>81-50-5532-2329</f>
        <v>-7830</v>
      </c>
      <c r="L1463" t="s">
        <v>4515</v>
      </c>
      <c r="M1463" t="s">
        <v>4516</v>
      </c>
      <c r="N1463" t="s">
        <v>278</v>
      </c>
      <c r="O1463" t="s">
        <v>134</v>
      </c>
      <c r="P1463" t="s">
        <v>29</v>
      </c>
      <c r="Q1463">
        <v>42</v>
      </c>
      <c r="R1463">
        <v>-93.620800000000003</v>
      </c>
    </row>
    <row r="1464" spans="1:18" x14ac:dyDescent="0.2">
      <c r="A1464" t="s">
        <v>270</v>
      </c>
      <c r="B1464" t="s">
        <v>271</v>
      </c>
      <c r="C1464">
        <v>44</v>
      </c>
      <c r="D1464" s="1">
        <v>44044.577002314814</v>
      </c>
      <c r="E1464" t="s">
        <v>4517</v>
      </c>
      <c r="F1464" t="s">
        <v>273</v>
      </c>
      <c r="G1464" t="s">
        <v>4327</v>
      </c>
      <c r="H1464" t="s">
        <v>275</v>
      </c>
      <c r="I1464" t="s">
        <v>618</v>
      </c>
      <c r="J1464">
        <v>44</v>
      </c>
      <c r="K1464">
        <f>44-151-308-125</f>
        <v>-540</v>
      </c>
      <c r="L1464" t="s">
        <v>4518</v>
      </c>
      <c r="M1464" t="s">
        <v>4519</v>
      </c>
      <c r="N1464" t="s">
        <v>278</v>
      </c>
      <c r="O1464" t="s">
        <v>134</v>
      </c>
      <c r="P1464" t="s">
        <v>29</v>
      </c>
      <c r="Q1464">
        <v>42</v>
      </c>
      <c r="R1464">
        <v>-93.620800000000003</v>
      </c>
    </row>
    <row r="1465" spans="1:18" x14ac:dyDescent="0.2">
      <c r="A1465" t="s">
        <v>270</v>
      </c>
      <c r="B1465" t="s">
        <v>271</v>
      </c>
      <c r="C1465">
        <v>81</v>
      </c>
      <c r="D1465" s="1">
        <v>44044.225810185184</v>
      </c>
      <c r="E1465" t="s">
        <v>4514</v>
      </c>
      <c r="F1465" t="s">
        <v>273</v>
      </c>
      <c r="G1465" t="s">
        <v>4327</v>
      </c>
      <c r="H1465" t="s">
        <v>275</v>
      </c>
      <c r="I1465" t="s">
        <v>53</v>
      </c>
      <c r="J1465">
        <v>81</v>
      </c>
      <c r="K1465">
        <f>81-50-5809-6094</f>
        <v>-11872</v>
      </c>
      <c r="L1465" t="s">
        <v>4520</v>
      </c>
      <c r="M1465" t="s">
        <v>4521</v>
      </c>
      <c r="N1465" t="s">
        <v>278</v>
      </c>
      <c r="O1465" t="s">
        <v>28</v>
      </c>
      <c r="P1465" t="s">
        <v>29</v>
      </c>
      <c r="Q1465">
        <v>42</v>
      </c>
      <c r="R1465">
        <v>-93.620800000000003</v>
      </c>
    </row>
    <row r="1466" spans="1:18" x14ac:dyDescent="0.2">
      <c r="A1466" t="s">
        <v>270</v>
      </c>
      <c r="B1466" t="s">
        <v>271</v>
      </c>
      <c r="C1466">
        <v>44</v>
      </c>
      <c r="D1466" s="1">
        <v>44043.587141203701</v>
      </c>
      <c r="E1466" t="s">
        <v>4522</v>
      </c>
      <c r="F1466" t="s">
        <v>273</v>
      </c>
      <c r="G1466" t="s">
        <v>4327</v>
      </c>
      <c r="H1466" t="s">
        <v>275</v>
      </c>
      <c r="I1466" t="s">
        <v>618</v>
      </c>
      <c r="J1466">
        <v>44</v>
      </c>
      <c r="K1466">
        <f>44-151-308-125</f>
        <v>-540</v>
      </c>
      <c r="L1466" t="s">
        <v>4523</v>
      </c>
      <c r="M1466" t="s">
        <v>4524</v>
      </c>
      <c r="N1466" t="s">
        <v>278</v>
      </c>
      <c r="O1466" t="s">
        <v>134</v>
      </c>
      <c r="P1466" t="s">
        <v>29</v>
      </c>
      <c r="Q1466">
        <v>42</v>
      </c>
      <c r="R1466">
        <v>-93.620800000000003</v>
      </c>
    </row>
    <row r="1467" spans="1:18" x14ac:dyDescent="0.2">
      <c r="A1467" t="s">
        <v>270</v>
      </c>
      <c r="B1467" t="s">
        <v>271</v>
      </c>
      <c r="C1467">
        <v>44</v>
      </c>
      <c r="D1467" s="1">
        <v>44042.487905092596</v>
      </c>
      <c r="E1467" t="s">
        <v>4525</v>
      </c>
      <c r="F1467" t="s">
        <v>273</v>
      </c>
      <c r="G1467" t="s">
        <v>4327</v>
      </c>
      <c r="H1467" t="s">
        <v>275</v>
      </c>
      <c r="I1467" t="s">
        <v>618</v>
      </c>
      <c r="J1467">
        <v>44</v>
      </c>
      <c r="K1467">
        <f>44-151-308-125</f>
        <v>-540</v>
      </c>
      <c r="L1467" t="s">
        <v>4526</v>
      </c>
      <c r="M1467" t="s">
        <v>4527</v>
      </c>
      <c r="N1467" t="s">
        <v>278</v>
      </c>
      <c r="O1467" t="s">
        <v>28</v>
      </c>
      <c r="P1467" t="s">
        <v>29</v>
      </c>
      <c r="Q1467">
        <v>42</v>
      </c>
      <c r="R1467">
        <v>-93.620800000000003</v>
      </c>
    </row>
    <row r="1468" spans="1:18" x14ac:dyDescent="0.2">
      <c r="A1468" t="s">
        <v>270</v>
      </c>
      <c r="B1468" t="s">
        <v>271</v>
      </c>
      <c r="C1468">
        <v>1</v>
      </c>
      <c r="D1468" s="1">
        <v>44041.694791666669</v>
      </c>
      <c r="E1468" t="s">
        <v>4528</v>
      </c>
      <c r="F1468" t="s">
        <v>273</v>
      </c>
      <c r="G1468" t="s">
        <v>4327</v>
      </c>
      <c r="H1468" t="s">
        <v>275</v>
      </c>
      <c r="I1468" t="s">
        <v>29</v>
      </c>
      <c r="J1468">
        <v>1</v>
      </c>
      <c r="K1468">
        <f>1-844-491-9720</f>
        <v>-11054</v>
      </c>
      <c r="L1468" t="s">
        <v>4529</v>
      </c>
      <c r="M1468" t="s">
        <v>4530</v>
      </c>
      <c r="N1468" t="s">
        <v>278</v>
      </c>
      <c r="O1468" t="s">
        <v>134</v>
      </c>
      <c r="P1468" t="s">
        <v>29</v>
      </c>
      <c r="Q1468">
        <v>42</v>
      </c>
      <c r="R1468">
        <v>-93.620800000000003</v>
      </c>
    </row>
    <row r="1469" spans="1:18" x14ac:dyDescent="0.2">
      <c r="A1469" t="s">
        <v>270</v>
      </c>
      <c r="B1469" t="s">
        <v>271</v>
      </c>
      <c r="C1469">
        <v>81</v>
      </c>
      <c r="D1469" s="1">
        <v>44041.510717592595</v>
      </c>
      <c r="E1469" t="s">
        <v>4531</v>
      </c>
      <c r="F1469" t="s">
        <v>273</v>
      </c>
      <c r="G1469" t="s">
        <v>4327</v>
      </c>
      <c r="H1469" t="s">
        <v>275</v>
      </c>
      <c r="I1469" t="s">
        <v>53</v>
      </c>
      <c r="J1469">
        <v>81</v>
      </c>
      <c r="K1469">
        <f>81-50-5809-8691</f>
        <v>-14469</v>
      </c>
      <c r="L1469" t="s">
        <v>4532</v>
      </c>
      <c r="M1469" t="s">
        <v>4533</v>
      </c>
      <c r="N1469" t="s">
        <v>278</v>
      </c>
      <c r="O1469" t="s">
        <v>134</v>
      </c>
      <c r="P1469" t="s">
        <v>29</v>
      </c>
      <c r="Q1469">
        <v>42</v>
      </c>
      <c r="R1469">
        <v>-93.620800000000003</v>
      </c>
    </row>
    <row r="1470" spans="1:18" x14ac:dyDescent="0.2">
      <c r="A1470" t="s">
        <v>270</v>
      </c>
      <c r="B1470" t="s">
        <v>271</v>
      </c>
      <c r="C1470">
        <v>1</v>
      </c>
      <c r="D1470" s="1">
        <v>44041.419872685183</v>
      </c>
      <c r="E1470" t="s">
        <v>4534</v>
      </c>
      <c r="F1470" t="s">
        <v>273</v>
      </c>
      <c r="G1470" t="s">
        <v>4327</v>
      </c>
      <c r="H1470" t="s">
        <v>275</v>
      </c>
      <c r="I1470" t="s">
        <v>29</v>
      </c>
      <c r="J1470">
        <v>1</v>
      </c>
      <c r="K1470">
        <f>1-866-678-3789</f>
        <v>-5332</v>
      </c>
      <c r="L1470" t="s">
        <v>4535</v>
      </c>
      <c r="M1470" t="s">
        <v>4536</v>
      </c>
      <c r="N1470" t="s">
        <v>278</v>
      </c>
      <c r="O1470" t="s">
        <v>134</v>
      </c>
      <c r="P1470" t="s">
        <v>29</v>
      </c>
      <c r="Q1470">
        <v>42</v>
      </c>
      <c r="R1470">
        <v>-93.620800000000003</v>
      </c>
    </row>
    <row r="1471" spans="1:18" x14ac:dyDescent="0.2">
      <c r="A1471" t="s">
        <v>270</v>
      </c>
      <c r="B1471" t="s">
        <v>271</v>
      </c>
      <c r="C1471">
        <v>1</v>
      </c>
      <c r="D1471" s="1">
        <v>44041.419618055559</v>
      </c>
      <c r="E1471" t="s">
        <v>4537</v>
      </c>
      <c r="F1471" t="s">
        <v>273</v>
      </c>
      <c r="G1471" t="s">
        <v>4327</v>
      </c>
      <c r="H1471" t="s">
        <v>275</v>
      </c>
      <c r="I1471" t="s">
        <v>29</v>
      </c>
      <c r="J1471">
        <v>1</v>
      </c>
      <c r="K1471">
        <f>1-866-678-3789</f>
        <v>-5332</v>
      </c>
      <c r="L1471" t="s">
        <v>4538</v>
      </c>
      <c r="M1471" t="s">
        <v>4539</v>
      </c>
      <c r="N1471" t="s">
        <v>278</v>
      </c>
      <c r="O1471" t="s">
        <v>134</v>
      </c>
      <c r="P1471" t="s">
        <v>29</v>
      </c>
      <c r="Q1471">
        <v>42</v>
      </c>
      <c r="R1471">
        <v>-93.620800000000003</v>
      </c>
    </row>
    <row r="1472" spans="1:18" x14ac:dyDescent="0.2">
      <c r="A1472" t="s">
        <v>270</v>
      </c>
      <c r="B1472" t="s">
        <v>271</v>
      </c>
      <c r="C1472">
        <v>1</v>
      </c>
      <c r="D1472" s="1">
        <v>44041.419479166667</v>
      </c>
      <c r="E1472" t="s">
        <v>4540</v>
      </c>
      <c r="F1472" t="s">
        <v>273</v>
      </c>
      <c r="G1472" t="s">
        <v>4327</v>
      </c>
      <c r="H1472" t="s">
        <v>275</v>
      </c>
      <c r="I1472" t="s">
        <v>29</v>
      </c>
      <c r="J1472">
        <v>1</v>
      </c>
      <c r="K1472">
        <f>1-866-678-3789</f>
        <v>-5332</v>
      </c>
      <c r="L1472" t="s">
        <v>4541</v>
      </c>
      <c r="M1472" t="s">
        <v>4542</v>
      </c>
      <c r="N1472" t="s">
        <v>278</v>
      </c>
      <c r="O1472" t="s">
        <v>134</v>
      </c>
      <c r="P1472" t="s">
        <v>29</v>
      </c>
      <c r="Q1472">
        <v>42</v>
      </c>
      <c r="R1472">
        <v>-93.620800000000003</v>
      </c>
    </row>
    <row r="1473" spans="1:18" x14ac:dyDescent="0.2">
      <c r="A1473" t="s">
        <v>270</v>
      </c>
      <c r="B1473" t="s">
        <v>271</v>
      </c>
      <c r="C1473">
        <v>1</v>
      </c>
      <c r="D1473" s="1">
        <v>44041.418657407405</v>
      </c>
      <c r="E1473" t="s">
        <v>4543</v>
      </c>
      <c r="F1473" t="s">
        <v>273</v>
      </c>
      <c r="G1473" t="s">
        <v>4327</v>
      </c>
      <c r="H1473" t="s">
        <v>275</v>
      </c>
      <c r="I1473" t="s">
        <v>29</v>
      </c>
      <c r="J1473">
        <v>1</v>
      </c>
      <c r="K1473">
        <f>1-844-491-9720</f>
        <v>-11054</v>
      </c>
      <c r="L1473" t="s">
        <v>4544</v>
      </c>
      <c r="M1473" t="s">
        <v>4545</v>
      </c>
      <c r="N1473" t="s">
        <v>278</v>
      </c>
      <c r="O1473" t="s">
        <v>134</v>
      </c>
      <c r="P1473" t="s">
        <v>29</v>
      </c>
      <c r="Q1473">
        <v>42</v>
      </c>
      <c r="R1473">
        <v>-93.620800000000003</v>
      </c>
    </row>
    <row r="1474" spans="1:18" x14ac:dyDescent="0.2">
      <c r="A1474" t="s">
        <v>270</v>
      </c>
      <c r="B1474" t="s">
        <v>271</v>
      </c>
      <c r="C1474">
        <v>1</v>
      </c>
      <c r="D1474" s="1">
        <v>44041.293067129627</v>
      </c>
      <c r="E1474" t="s">
        <v>4546</v>
      </c>
      <c r="F1474" t="s">
        <v>273</v>
      </c>
      <c r="G1474" t="s">
        <v>4327</v>
      </c>
      <c r="H1474" t="s">
        <v>275</v>
      </c>
      <c r="I1474" t="s">
        <v>29</v>
      </c>
      <c r="J1474">
        <v>1</v>
      </c>
      <c r="K1474">
        <f>1-844-491-9720</f>
        <v>-11054</v>
      </c>
      <c r="L1474" t="s">
        <v>4547</v>
      </c>
      <c r="M1474" t="s">
        <v>4548</v>
      </c>
      <c r="N1474" t="s">
        <v>278</v>
      </c>
      <c r="O1474" t="s">
        <v>134</v>
      </c>
      <c r="P1474" t="s">
        <v>29</v>
      </c>
      <c r="Q1474">
        <v>42</v>
      </c>
      <c r="R1474">
        <v>-93.620800000000003</v>
      </c>
    </row>
    <row r="1475" spans="1:18" x14ac:dyDescent="0.2">
      <c r="A1475" t="s">
        <v>270</v>
      </c>
      <c r="B1475" t="s">
        <v>271</v>
      </c>
      <c r="C1475">
        <v>1</v>
      </c>
      <c r="D1475" s="1">
        <v>44040.619247685187</v>
      </c>
      <c r="E1475" t="s">
        <v>4549</v>
      </c>
      <c r="F1475" t="s">
        <v>273</v>
      </c>
      <c r="G1475" t="s">
        <v>4327</v>
      </c>
      <c r="H1475" t="s">
        <v>275</v>
      </c>
      <c r="I1475" t="s">
        <v>29</v>
      </c>
      <c r="J1475">
        <v>1</v>
      </c>
      <c r="K1475">
        <f>1-844-472-3138</f>
        <v>-4453</v>
      </c>
      <c r="L1475" t="s">
        <v>4550</v>
      </c>
      <c r="M1475" t="s">
        <v>4551</v>
      </c>
      <c r="N1475" t="s">
        <v>278</v>
      </c>
      <c r="O1475" t="s">
        <v>134</v>
      </c>
      <c r="P1475" t="s">
        <v>29</v>
      </c>
      <c r="Q1475">
        <v>42</v>
      </c>
      <c r="R1475">
        <v>-93.620800000000003</v>
      </c>
    </row>
    <row r="1476" spans="1:18" x14ac:dyDescent="0.2">
      <c r="A1476" t="s">
        <v>270</v>
      </c>
      <c r="B1476" t="s">
        <v>271</v>
      </c>
      <c r="C1476">
        <v>1</v>
      </c>
      <c r="D1476" s="1">
        <v>44040.591921296298</v>
      </c>
      <c r="E1476" t="s">
        <v>4552</v>
      </c>
      <c r="F1476" t="s">
        <v>273</v>
      </c>
      <c r="G1476" t="s">
        <v>4327</v>
      </c>
      <c r="H1476" t="s">
        <v>275</v>
      </c>
      <c r="I1476" t="s">
        <v>29</v>
      </c>
      <c r="J1476">
        <v>1</v>
      </c>
      <c r="K1476">
        <f>1-844-472-3138</f>
        <v>-4453</v>
      </c>
      <c r="L1476" t="s">
        <v>4553</v>
      </c>
      <c r="M1476" t="s">
        <v>4554</v>
      </c>
      <c r="N1476" t="s">
        <v>278</v>
      </c>
      <c r="O1476" t="s">
        <v>134</v>
      </c>
      <c r="P1476" t="s">
        <v>29</v>
      </c>
      <c r="Q1476">
        <v>42</v>
      </c>
      <c r="R1476">
        <v>-93.620800000000003</v>
      </c>
    </row>
    <row r="1477" spans="1:18" x14ac:dyDescent="0.2">
      <c r="A1477" t="s">
        <v>270</v>
      </c>
      <c r="B1477" t="s">
        <v>271</v>
      </c>
      <c r="C1477">
        <v>1</v>
      </c>
      <c r="D1477" s="1">
        <v>44014.906944444447</v>
      </c>
      <c r="E1477" t="s">
        <v>4555</v>
      </c>
      <c r="F1477" t="s">
        <v>273</v>
      </c>
      <c r="G1477" t="s">
        <v>4327</v>
      </c>
      <c r="H1477" t="s">
        <v>275</v>
      </c>
      <c r="I1477" t="s">
        <v>29</v>
      </c>
      <c r="J1477">
        <v>1</v>
      </c>
      <c r="K1477">
        <f>1-888-852-8621</f>
        <v>-10360</v>
      </c>
      <c r="L1477" t="s">
        <v>4556</v>
      </c>
      <c r="M1477" t="s">
        <v>4557</v>
      </c>
      <c r="N1477" t="s">
        <v>278</v>
      </c>
      <c r="O1477" t="s">
        <v>134</v>
      </c>
      <c r="P1477" t="s">
        <v>29</v>
      </c>
      <c r="Q1477">
        <v>42</v>
      </c>
      <c r="R1477">
        <v>-93.620800000000003</v>
      </c>
    </row>
    <row r="1478" spans="1:18" x14ac:dyDescent="0.2">
      <c r="A1478" t="s">
        <v>270</v>
      </c>
      <c r="B1478" t="s">
        <v>271</v>
      </c>
      <c r="C1478">
        <v>1</v>
      </c>
      <c r="D1478" s="1">
        <v>44014.42528935185</v>
      </c>
      <c r="E1478" t="s">
        <v>4558</v>
      </c>
      <c r="F1478" t="s">
        <v>273</v>
      </c>
      <c r="G1478" t="s">
        <v>4327</v>
      </c>
      <c r="H1478" t="s">
        <v>275</v>
      </c>
      <c r="I1478" t="s">
        <v>29</v>
      </c>
      <c r="J1478">
        <v>1</v>
      </c>
      <c r="K1478">
        <f>1-888-852-8621</f>
        <v>-10360</v>
      </c>
      <c r="L1478" t="s">
        <v>4559</v>
      </c>
      <c r="M1478" t="s">
        <v>4560</v>
      </c>
      <c r="N1478" t="s">
        <v>278</v>
      </c>
      <c r="O1478" t="s">
        <v>28</v>
      </c>
      <c r="P1478" t="s">
        <v>29</v>
      </c>
      <c r="Q1478">
        <v>42</v>
      </c>
      <c r="R1478">
        <v>-93.620800000000003</v>
      </c>
    </row>
    <row r="1479" spans="1:18" x14ac:dyDescent="0.2">
      <c r="A1479" t="s">
        <v>270</v>
      </c>
      <c r="B1479" t="s">
        <v>271</v>
      </c>
      <c r="C1479">
        <v>1</v>
      </c>
      <c r="D1479" s="1">
        <v>43992.905324074076</v>
      </c>
      <c r="E1479" t="s">
        <v>4561</v>
      </c>
      <c r="F1479" t="s">
        <v>273</v>
      </c>
      <c r="G1479" t="s">
        <v>4327</v>
      </c>
      <c r="H1479" t="s">
        <v>275</v>
      </c>
      <c r="I1479" t="s">
        <v>29</v>
      </c>
      <c r="J1479">
        <v>1</v>
      </c>
      <c r="K1479">
        <f>1-855-609-502</f>
        <v>-1965</v>
      </c>
      <c r="L1479" t="s">
        <v>4562</v>
      </c>
      <c r="M1479" t="s">
        <v>4563</v>
      </c>
      <c r="N1479" t="s">
        <v>278</v>
      </c>
      <c r="O1479" t="s">
        <v>134</v>
      </c>
      <c r="P1479" t="s">
        <v>29</v>
      </c>
      <c r="Q1479">
        <v>42</v>
      </c>
      <c r="R1479">
        <v>-93.620800000000003</v>
      </c>
    </row>
    <row r="1480" spans="1:18" x14ac:dyDescent="0.2">
      <c r="A1480" t="s">
        <v>270</v>
      </c>
      <c r="B1480" t="s">
        <v>271</v>
      </c>
      <c r="C1480">
        <v>1</v>
      </c>
      <c r="D1480" s="1">
        <v>43989.810254629629</v>
      </c>
      <c r="E1480" t="s">
        <v>4564</v>
      </c>
      <c r="F1480" t="s">
        <v>273</v>
      </c>
      <c r="G1480" t="s">
        <v>4327</v>
      </c>
      <c r="H1480" t="s">
        <v>275</v>
      </c>
      <c r="I1480" t="s">
        <v>29</v>
      </c>
      <c r="J1480">
        <v>1</v>
      </c>
      <c r="K1480">
        <f>1-833-748-76</f>
        <v>-1656</v>
      </c>
      <c r="L1480" t="s">
        <v>4565</v>
      </c>
      <c r="M1480" t="s">
        <v>4566</v>
      </c>
      <c r="N1480" t="s">
        <v>278</v>
      </c>
      <c r="O1480" t="s">
        <v>134</v>
      </c>
      <c r="P1480" t="s">
        <v>29</v>
      </c>
      <c r="Q1480">
        <v>42</v>
      </c>
      <c r="R1480">
        <v>-93.620800000000003</v>
      </c>
    </row>
    <row r="1481" spans="1:18" x14ac:dyDescent="0.2">
      <c r="A1481" t="s">
        <v>18</v>
      </c>
      <c r="B1481" t="s">
        <v>462</v>
      </c>
      <c r="C1481">
        <v>43</v>
      </c>
      <c r="D1481" s="1">
        <v>44016.922199074077</v>
      </c>
      <c r="E1481" t="s">
        <v>4567</v>
      </c>
      <c r="F1481" t="s">
        <v>464</v>
      </c>
      <c r="G1481" t="s">
        <v>4568</v>
      </c>
      <c r="H1481" t="s">
        <v>466</v>
      </c>
      <c r="I1481" t="s">
        <v>3432</v>
      </c>
      <c r="J1481">
        <v>43</v>
      </c>
      <c r="K1481">
        <f>43-670-308-231</f>
        <v>-1166</v>
      </c>
      <c r="L1481" t="s">
        <v>4569</v>
      </c>
      <c r="M1481" t="s">
        <v>4570</v>
      </c>
      <c r="N1481" t="s">
        <v>213</v>
      </c>
      <c r="O1481" t="s">
        <v>134</v>
      </c>
      <c r="P1481" t="s">
        <v>29</v>
      </c>
      <c r="Q1481">
        <v>40</v>
      </c>
      <c r="R1481">
        <v>-99.999999000000003</v>
      </c>
    </row>
    <row r="1482" spans="1:18" x14ac:dyDescent="0.2">
      <c r="A1482" t="s">
        <v>18</v>
      </c>
      <c r="B1482" t="s">
        <v>462</v>
      </c>
      <c r="C1482">
        <v>43</v>
      </c>
      <c r="D1482" s="1">
        <v>44012.650185185186</v>
      </c>
      <c r="E1482" t="s">
        <v>4571</v>
      </c>
      <c r="F1482" t="s">
        <v>464</v>
      </c>
      <c r="G1482" t="s">
        <v>4568</v>
      </c>
      <c r="H1482" t="s">
        <v>466</v>
      </c>
      <c r="I1482" t="s">
        <v>3432</v>
      </c>
      <c r="J1482">
        <v>43</v>
      </c>
      <c r="K1482">
        <f>43-670-308-231</f>
        <v>-1166</v>
      </c>
      <c r="L1482" t="s">
        <v>4572</v>
      </c>
      <c r="M1482" t="s">
        <v>4573</v>
      </c>
      <c r="N1482" t="s">
        <v>3454</v>
      </c>
      <c r="O1482" t="s">
        <v>134</v>
      </c>
      <c r="P1482" t="s">
        <v>29</v>
      </c>
      <c r="Q1482">
        <v>40</v>
      </c>
      <c r="R1482">
        <v>-99.999999000000003</v>
      </c>
    </row>
    <row r="1483" spans="1:18" x14ac:dyDescent="0.2">
      <c r="A1483" t="s">
        <v>18</v>
      </c>
      <c r="B1483" t="s">
        <v>462</v>
      </c>
      <c r="C1483">
        <v>43</v>
      </c>
      <c r="D1483" s="1">
        <v>43988.617893518516</v>
      </c>
      <c r="E1483" t="s">
        <v>4574</v>
      </c>
      <c r="F1483" t="s">
        <v>464</v>
      </c>
      <c r="G1483" t="s">
        <v>4568</v>
      </c>
      <c r="H1483" t="s">
        <v>466</v>
      </c>
      <c r="I1483" t="s">
        <v>3432</v>
      </c>
      <c r="J1483">
        <v>43</v>
      </c>
      <c r="K1483">
        <f>43-800-70-851</f>
        <v>-1678</v>
      </c>
      <c r="L1483" t="s">
        <v>4575</v>
      </c>
      <c r="M1483" t="s">
        <v>4576</v>
      </c>
      <c r="N1483" t="s">
        <v>447</v>
      </c>
      <c r="O1483" t="s">
        <v>134</v>
      </c>
      <c r="P1483" t="s">
        <v>29</v>
      </c>
      <c r="Q1483">
        <v>40</v>
      </c>
      <c r="R1483">
        <v>-99.999999000000003</v>
      </c>
    </row>
    <row r="1484" spans="1:18" x14ac:dyDescent="0.2">
      <c r="A1484" t="s">
        <v>18</v>
      </c>
      <c r="B1484" t="s">
        <v>462</v>
      </c>
      <c r="C1484">
        <v>43</v>
      </c>
      <c r="D1484" s="1">
        <v>43989.479328703703</v>
      </c>
      <c r="E1484" t="s">
        <v>4577</v>
      </c>
      <c r="F1484" t="s">
        <v>464</v>
      </c>
      <c r="G1484" t="s">
        <v>4568</v>
      </c>
      <c r="H1484" t="s">
        <v>466</v>
      </c>
      <c r="I1484" t="s">
        <v>3432</v>
      </c>
      <c r="J1484">
        <v>43</v>
      </c>
      <c r="K1484">
        <f>43-800-70-851</f>
        <v>-1678</v>
      </c>
      <c r="L1484" t="s">
        <v>4578</v>
      </c>
      <c r="M1484" t="s">
        <v>4579</v>
      </c>
      <c r="N1484" t="s">
        <v>674</v>
      </c>
      <c r="O1484" t="s">
        <v>134</v>
      </c>
      <c r="P1484" t="s">
        <v>29</v>
      </c>
      <c r="Q1484">
        <v>40</v>
      </c>
      <c r="R1484">
        <v>-99.999999000000003</v>
      </c>
    </row>
    <row r="1485" spans="1:18" x14ac:dyDescent="0.2">
      <c r="A1485" t="s">
        <v>2233</v>
      </c>
      <c r="B1485" t="s">
        <v>2234</v>
      </c>
      <c r="C1485">
        <v>1</v>
      </c>
      <c r="D1485" s="1">
        <v>43989.641087962962</v>
      </c>
      <c r="E1485" t="s">
        <v>4580</v>
      </c>
      <c r="F1485" t="s">
        <v>2236</v>
      </c>
      <c r="G1485" t="s">
        <v>4580</v>
      </c>
      <c r="H1485" t="s">
        <v>2237</v>
      </c>
      <c r="I1485" t="s">
        <v>29</v>
      </c>
      <c r="J1485">
        <v>1</v>
      </c>
      <c r="K1485">
        <f>1-866-229-9202</f>
        <v>-10296</v>
      </c>
      <c r="L1485" t="s">
        <v>4581</v>
      </c>
      <c r="M1485" t="s">
        <v>4582</v>
      </c>
      <c r="N1485">
        <v>223</v>
      </c>
      <c r="O1485" t="s">
        <v>134</v>
      </c>
      <c r="P1485" t="s">
        <v>29</v>
      </c>
      <c r="Q1485">
        <v>40</v>
      </c>
      <c r="R1485">
        <v>-83.114099999999993</v>
      </c>
    </row>
    <row r="1486" spans="1:18" x14ac:dyDescent="0.2">
      <c r="A1486" t="s">
        <v>2349</v>
      </c>
      <c r="B1486" t="s">
        <v>1212</v>
      </c>
      <c r="C1486">
        <v>44</v>
      </c>
      <c r="D1486" s="1">
        <v>43988.675925925927</v>
      </c>
      <c r="E1486" t="s">
        <v>4583</v>
      </c>
      <c r="F1486" t="s">
        <v>4584</v>
      </c>
      <c r="G1486" t="s">
        <v>4583</v>
      </c>
      <c r="H1486" t="s">
        <v>2353</v>
      </c>
      <c r="I1486" t="s">
        <v>618</v>
      </c>
      <c r="J1486">
        <v>44</v>
      </c>
      <c r="K1486">
        <f>44-8000664122</f>
        <v>-8000664078</v>
      </c>
      <c r="L1486" t="s">
        <v>4585</v>
      </c>
      <c r="M1486" t="s">
        <v>4586</v>
      </c>
      <c r="N1486">
        <v>170</v>
      </c>
      <c r="O1486" t="s">
        <v>134</v>
      </c>
      <c r="P1486" t="s">
        <v>618</v>
      </c>
      <c r="Q1486">
        <v>52</v>
      </c>
      <c r="R1486">
        <v>-6.3799999999999996E-2</v>
      </c>
    </row>
    <row r="1487" spans="1:18" x14ac:dyDescent="0.2">
      <c r="A1487" t="s">
        <v>663</v>
      </c>
      <c r="B1487" t="s">
        <v>2493</v>
      </c>
      <c r="C1487">
        <v>32</v>
      </c>
      <c r="D1487" s="1">
        <v>43988.625671296293</v>
      </c>
      <c r="E1487" t="s">
        <v>4587</v>
      </c>
      <c r="F1487" t="s">
        <v>666</v>
      </c>
      <c r="G1487" t="s">
        <v>4588</v>
      </c>
      <c r="H1487" t="s">
        <v>667</v>
      </c>
      <c r="I1487" t="s">
        <v>4288</v>
      </c>
      <c r="J1487">
        <v>32</v>
      </c>
      <c r="K1487">
        <f>32-800-26-767</f>
        <v>-1561</v>
      </c>
      <c r="L1487" t="s">
        <v>4589</v>
      </c>
      <c r="M1487" t="s">
        <v>4590</v>
      </c>
      <c r="N1487" t="s">
        <v>1645</v>
      </c>
      <c r="O1487" t="s">
        <v>28</v>
      </c>
      <c r="P1487" t="s">
        <v>29</v>
      </c>
      <c r="Q1487">
        <v>41</v>
      </c>
      <c r="R1487">
        <v>-74.024699999999996</v>
      </c>
    </row>
    <row r="1488" spans="1:18" x14ac:dyDescent="0.2">
      <c r="A1488" t="s">
        <v>663</v>
      </c>
      <c r="B1488" t="s">
        <v>2493</v>
      </c>
      <c r="C1488">
        <v>41</v>
      </c>
      <c r="D1488" s="1">
        <v>43988.640196759261</v>
      </c>
      <c r="E1488" t="s">
        <v>4587</v>
      </c>
      <c r="F1488" t="s">
        <v>666</v>
      </c>
      <c r="G1488" t="s">
        <v>4588</v>
      </c>
      <c r="H1488" t="s">
        <v>667</v>
      </c>
      <c r="I1488" t="s">
        <v>204</v>
      </c>
      <c r="J1488">
        <v>41</v>
      </c>
      <c r="K1488">
        <f>41-800-562-281</f>
        <v>-1602</v>
      </c>
      <c r="L1488" t="s">
        <v>4591</v>
      </c>
      <c r="M1488" t="s">
        <v>4592</v>
      </c>
      <c r="N1488" t="s">
        <v>1645</v>
      </c>
      <c r="O1488" t="s">
        <v>28</v>
      </c>
      <c r="P1488" t="s">
        <v>29</v>
      </c>
      <c r="Q1488">
        <v>41</v>
      </c>
      <c r="R1488">
        <v>-74.024699999999996</v>
      </c>
    </row>
    <row r="1489" spans="1:18" x14ac:dyDescent="0.2">
      <c r="A1489" t="s">
        <v>1200</v>
      </c>
      <c r="B1489" t="s">
        <v>2500</v>
      </c>
      <c r="C1489">
        <v>1</v>
      </c>
      <c r="D1489" s="1">
        <v>43995.788819444446</v>
      </c>
      <c r="E1489" t="s">
        <v>4593</v>
      </c>
      <c r="F1489" t="s">
        <v>1203</v>
      </c>
      <c r="G1489" t="s">
        <v>4594</v>
      </c>
      <c r="H1489" t="s">
        <v>1205</v>
      </c>
      <c r="I1489" t="s">
        <v>29</v>
      </c>
      <c r="J1489">
        <v>1</v>
      </c>
      <c r="K1489">
        <f>1-888-434-3104</f>
        <v>-4425</v>
      </c>
      <c r="L1489" t="s">
        <v>4595</v>
      </c>
      <c r="M1489" t="s">
        <v>4596</v>
      </c>
      <c r="N1489" t="s">
        <v>36</v>
      </c>
      <c r="O1489" t="s">
        <v>134</v>
      </c>
      <c r="P1489" t="s">
        <v>2500</v>
      </c>
      <c r="Q1489">
        <v>1</v>
      </c>
      <c r="R1489">
        <v>99.999999000000003</v>
      </c>
    </row>
    <row r="1490" spans="1:18" x14ac:dyDescent="0.2">
      <c r="A1490" t="s">
        <v>1200</v>
      </c>
      <c r="B1490" t="s">
        <v>2500</v>
      </c>
      <c r="C1490">
        <v>1</v>
      </c>
      <c r="D1490" s="1">
        <v>43990.820208333331</v>
      </c>
      <c r="E1490" t="s">
        <v>4597</v>
      </c>
      <c r="F1490" t="s">
        <v>1203</v>
      </c>
      <c r="G1490" t="s">
        <v>4594</v>
      </c>
      <c r="H1490" t="s">
        <v>1205</v>
      </c>
      <c r="I1490" t="s">
        <v>29</v>
      </c>
      <c r="J1490">
        <v>1</v>
      </c>
      <c r="K1490">
        <f>1-888-386-8071</f>
        <v>-9344</v>
      </c>
      <c r="L1490" t="s">
        <v>4598</v>
      </c>
      <c r="M1490" t="s">
        <v>4599</v>
      </c>
      <c r="N1490" t="s">
        <v>36</v>
      </c>
      <c r="O1490" t="s">
        <v>134</v>
      </c>
      <c r="P1490" t="s">
        <v>2500</v>
      </c>
      <c r="Q1490">
        <v>1</v>
      </c>
      <c r="R1490">
        <v>99.999999000000003</v>
      </c>
    </row>
    <row r="1491" spans="1:18" x14ac:dyDescent="0.2">
      <c r="A1491" t="s">
        <v>1200</v>
      </c>
      <c r="B1491" t="s">
        <v>2500</v>
      </c>
      <c r="C1491">
        <v>1</v>
      </c>
      <c r="D1491" s="1">
        <v>43990.757175925923</v>
      </c>
      <c r="E1491" t="s">
        <v>4597</v>
      </c>
      <c r="F1491" t="s">
        <v>1203</v>
      </c>
      <c r="G1491" t="s">
        <v>4594</v>
      </c>
      <c r="H1491" t="s">
        <v>1205</v>
      </c>
      <c r="I1491" t="s">
        <v>29</v>
      </c>
      <c r="J1491">
        <v>1</v>
      </c>
      <c r="K1491">
        <f>1-888-396-8109</f>
        <v>-9392</v>
      </c>
      <c r="L1491" t="s">
        <v>4600</v>
      </c>
      <c r="M1491" t="s">
        <v>4601</v>
      </c>
      <c r="N1491" t="s">
        <v>36</v>
      </c>
      <c r="O1491" t="s">
        <v>134</v>
      </c>
      <c r="P1491" t="s">
        <v>2500</v>
      </c>
      <c r="Q1491">
        <v>1</v>
      </c>
      <c r="R1491">
        <v>99.999999000000003</v>
      </c>
    </row>
    <row r="1492" spans="1:18" x14ac:dyDescent="0.2">
      <c r="A1492" t="s">
        <v>2349</v>
      </c>
      <c r="B1492" t="s">
        <v>4321</v>
      </c>
      <c r="C1492">
        <v>1</v>
      </c>
      <c r="D1492" s="1">
        <v>43990.802662037036</v>
      </c>
      <c r="E1492" t="s">
        <v>4602</v>
      </c>
      <c r="F1492" t="s">
        <v>4584</v>
      </c>
      <c r="G1492" t="s">
        <v>4603</v>
      </c>
      <c r="H1492" t="s">
        <v>2353</v>
      </c>
      <c r="I1492" t="s">
        <v>29</v>
      </c>
      <c r="J1492">
        <v>1</v>
      </c>
      <c r="K1492">
        <f>1-888-419-3773</f>
        <v>-5079</v>
      </c>
      <c r="L1492" t="s">
        <v>4604</v>
      </c>
      <c r="M1492" t="s">
        <v>4605</v>
      </c>
      <c r="N1492" t="s">
        <v>4606</v>
      </c>
      <c r="O1492" t="s">
        <v>28</v>
      </c>
      <c r="P1492" t="s">
        <v>29</v>
      </c>
      <c r="Q1492">
        <v>42</v>
      </c>
      <c r="R1492">
        <v>-87.629800000000003</v>
      </c>
    </row>
    <row r="1493" spans="1:18" x14ac:dyDescent="0.2">
      <c r="A1493" t="s">
        <v>663</v>
      </c>
      <c r="B1493" t="s">
        <v>3385</v>
      </c>
      <c r="C1493">
        <v>1</v>
      </c>
      <c r="D1493" s="1">
        <v>43990.857233796298</v>
      </c>
      <c r="E1493" t="s">
        <v>4607</v>
      </c>
      <c r="F1493" t="s">
        <v>666</v>
      </c>
      <c r="G1493" t="s">
        <v>4608</v>
      </c>
      <c r="H1493" t="s">
        <v>667</v>
      </c>
      <c r="I1493" t="s">
        <v>29</v>
      </c>
      <c r="J1493">
        <v>1</v>
      </c>
      <c r="K1493">
        <f>1-833-809-8407</f>
        <v>-10048</v>
      </c>
      <c r="L1493" t="s">
        <v>4609</v>
      </c>
      <c r="M1493" t="s">
        <v>4610</v>
      </c>
      <c r="N1493" t="s">
        <v>1645</v>
      </c>
      <c r="O1493" t="s">
        <v>28</v>
      </c>
      <c r="P1493" t="s">
        <v>29</v>
      </c>
      <c r="Q1493">
        <v>41</v>
      </c>
      <c r="R1493">
        <v>-74.002899999999997</v>
      </c>
    </row>
    <row r="1494" spans="1:18" x14ac:dyDescent="0.2">
      <c r="A1494" t="s">
        <v>439</v>
      </c>
      <c r="B1494" t="s">
        <v>1412</v>
      </c>
      <c r="C1494">
        <v>251</v>
      </c>
      <c r="D1494" s="1">
        <v>43990.871701388889</v>
      </c>
      <c r="E1494" t="s">
        <v>4611</v>
      </c>
      <c r="F1494" t="s">
        <v>442</v>
      </c>
      <c r="G1494" t="s">
        <v>4612</v>
      </c>
      <c r="H1494" t="s">
        <v>444</v>
      </c>
      <c r="I1494" t="s">
        <v>4613</v>
      </c>
      <c r="J1494">
        <v>251</v>
      </c>
      <c r="K1494">
        <f>251-460-1640</f>
        <v>-1849</v>
      </c>
      <c r="L1494" t="s">
        <v>4614</v>
      </c>
      <c r="M1494" t="s">
        <v>4615</v>
      </c>
      <c r="N1494" t="s">
        <v>447</v>
      </c>
      <c r="O1494" t="s">
        <v>28</v>
      </c>
      <c r="P1494" t="s">
        <v>29</v>
      </c>
      <c r="Q1494">
        <v>41</v>
      </c>
      <c r="R1494">
        <v>-74.172399999999996</v>
      </c>
    </row>
    <row r="1495" spans="1:18" x14ac:dyDescent="0.2">
      <c r="A1495" t="s">
        <v>663</v>
      </c>
      <c r="B1495" t="s">
        <v>3245</v>
      </c>
      <c r="C1495">
        <v>1</v>
      </c>
      <c r="D1495" s="1">
        <v>43990.893935185188</v>
      </c>
      <c r="E1495" t="s">
        <v>4616</v>
      </c>
      <c r="F1495" t="s">
        <v>666</v>
      </c>
      <c r="G1495" t="s">
        <v>4617</v>
      </c>
      <c r="H1495" t="s">
        <v>667</v>
      </c>
      <c r="I1495" t="s">
        <v>29</v>
      </c>
      <c r="J1495">
        <v>1</v>
      </c>
      <c r="K1495">
        <f>1-855-907-3453</f>
        <v>-5214</v>
      </c>
      <c r="L1495" t="s">
        <v>4618</v>
      </c>
      <c r="M1495" t="s">
        <v>4619</v>
      </c>
      <c r="N1495" t="s">
        <v>4620</v>
      </c>
      <c r="O1495" t="s">
        <v>134</v>
      </c>
      <c r="P1495" t="s">
        <v>29</v>
      </c>
      <c r="Q1495">
        <v>41</v>
      </c>
      <c r="R1495">
        <v>-74.140299999999996</v>
      </c>
    </row>
    <row r="1496" spans="1:18" x14ac:dyDescent="0.2">
      <c r="A1496" t="s">
        <v>439</v>
      </c>
      <c r="B1496" t="s">
        <v>4321</v>
      </c>
      <c r="C1496">
        <v>81</v>
      </c>
      <c r="D1496" s="1">
        <v>43991.344849537039</v>
      </c>
      <c r="E1496" t="s">
        <v>4621</v>
      </c>
      <c r="F1496" t="s">
        <v>442</v>
      </c>
      <c r="G1496" t="s">
        <v>4622</v>
      </c>
      <c r="H1496" t="s">
        <v>444</v>
      </c>
      <c r="I1496" t="s">
        <v>53</v>
      </c>
      <c r="J1496">
        <v>81</v>
      </c>
      <c r="K1496">
        <f>81-50-5809-5927</f>
        <v>-11705</v>
      </c>
      <c r="L1496" t="s">
        <v>4623</v>
      </c>
      <c r="M1496" t="s">
        <v>4624</v>
      </c>
      <c r="N1496" t="s">
        <v>213</v>
      </c>
      <c r="O1496" t="s">
        <v>28</v>
      </c>
      <c r="P1496" t="s">
        <v>29</v>
      </c>
      <c r="Q1496">
        <v>42</v>
      </c>
      <c r="R1496">
        <v>-87.629800000000003</v>
      </c>
    </row>
    <row r="1497" spans="1:18" x14ac:dyDescent="0.2">
      <c r="A1497" t="s">
        <v>663</v>
      </c>
      <c r="B1497" t="s">
        <v>2500</v>
      </c>
      <c r="C1497">
        <v>81</v>
      </c>
      <c r="D1497" s="1">
        <v>43991.345277777778</v>
      </c>
      <c r="E1497" t="s">
        <v>4625</v>
      </c>
      <c r="F1497" t="s">
        <v>666</v>
      </c>
      <c r="G1497" t="s">
        <v>4625</v>
      </c>
      <c r="H1497" t="s">
        <v>667</v>
      </c>
      <c r="I1497" t="s">
        <v>53</v>
      </c>
      <c r="J1497">
        <v>81</v>
      </c>
      <c r="K1497">
        <f>81-50-5534-3644</f>
        <v>-9147</v>
      </c>
      <c r="L1497" t="s">
        <v>4626</v>
      </c>
      <c r="M1497" t="s">
        <v>4627</v>
      </c>
      <c r="N1497">
        <v>31</v>
      </c>
      <c r="O1497" t="s">
        <v>134</v>
      </c>
      <c r="P1497" t="s">
        <v>2500</v>
      </c>
      <c r="Q1497">
        <v>1</v>
      </c>
      <c r="R1497">
        <v>99.999999000000003</v>
      </c>
    </row>
    <row r="1498" spans="1:18" x14ac:dyDescent="0.2">
      <c r="A1498" t="s">
        <v>675</v>
      </c>
      <c r="B1498" t="s">
        <v>3385</v>
      </c>
      <c r="C1498">
        <v>81</v>
      </c>
      <c r="D1498" s="1">
        <v>44352.981759259259</v>
      </c>
      <c r="E1498" t="s">
        <v>4628</v>
      </c>
      <c r="F1498" t="s">
        <v>678</v>
      </c>
      <c r="G1498" t="s">
        <v>4629</v>
      </c>
      <c r="H1498" t="s">
        <v>680</v>
      </c>
      <c r="I1498" t="s">
        <v>53</v>
      </c>
      <c r="J1498">
        <v>81</v>
      </c>
      <c r="K1498">
        <f>81-50-5539-4389</f>
        <v>-9897</v>
      </c>
      <c r="L1498" t="s">
        <v>4630</v>
      </c>
      <c r="M1498" t="s">
        <v>4631</v>
      </c>
      <c r="N1498" t="s">
        <v>2475</v>
      </c>
      <c r="O1498" t="s">
        <v>28</v>
      </c>
      <c r="P1498" t="s">
        <v>29</v>
      </c>
      <c r="Q1498">
        <v>41</v>
      </c>
      <c r="R1498">
        <v>-74.006</v>
      </c>
    </row>
    <row r="1499" spans="1:18" x14ac:dyDescent="0.2">
      <c r="A1499" t="s">
        <v>675</v>
      </c>
      <c r="B1499" t="s">
        <v>1412</v>
      </c>
      <c r="C1499">
        <v>1</v>
      </c>
      <c r="D1499" s="1">
        <v>43992.456354166665</v>
      </c>
      <c r="E1499" t="s">
        <v>4632</v>
      </c>
      <c r="F1499" t="s">
        <v>678</v>
      </c>
      <c r="G1499" t="s">
        <v>4629</v>
      </c>
      <c r="H1499" t="s">
        <v>680</v>
      </c>
      <c r="I1499" t="s">
        <v>29</v>
      </c>
      <c r="J1499">
        <v>1</v>
      </c>
      <c r="K1499">
        <f>1-877-777-2143</f>
        <v>-3796</v>
      </c>
      <c r="L1499" t="s">
        <v>4633</v>
      </c>
      <c r="M1499" t="s">
        <v>4634</v>
      </c>
      <c r="N1499" t="s">
        <v>1645</v>
      </c>
      <c r="O1499" t="s">
        <v>28</v>
      </c>
      <c r="P1499" t="s">
        <v>29</v>
      </c>
      <c r="Q1499">
        <v>41</v>
      </c>
      <c r="R1499">
        <v>-74.172399999999996</v>
      </c>
    </row>
    <row r="1500" spans="1:18" x14ac:dyDescent="0.2">
      <c r="A1500" t="s">
        <v>675</v>
      </c>
      <c r="B1500" t="s">
        <v>1412</v>
      </c>
      <c r="C1500">
        <v>61</v>
      </c>
      <c r="D1500" s="1">
        <v>43992.455127314817</v>
      </c>
      <c r="E1500" t="s">
        <v>4635</v>
      </c>
      <c r="F1500" t="s">
        <v>678</v>
      </c>
      <c r="G1500" t="s">
        <v>4629</v>
      </c>
      <c r="H1500" t="s">
        <v>680</v>
      </c>
      <c r="I1500" t="s">
        <v>782</v>
      </c>
      <c r="J1500">
        <v>61</v>
      </c>
      <c r="K1500">
        <f>61-1800-215-992</f>
        <v>-2946</v>
      </c>
      <c r="L1500" t="s">
        <v>4636</v>
      </c>
      <c r="M1500" t="s">
        <v>4637</v>
      </c>
      <c r="N1500" t="s">
        <v>1645</v>
      </c>
      <c r="O1500" t="s">
        <v>28</v>
      </c>
      <c r="P1500" t="s">
        <v>29</v>
      </c>
      <c r="Q1500">
        <v>41</v>
      </c>
      <c r="R1500">
        <v>-74.172399999999996</v>
      </c>
    </row>
    <row r="1501" spans="1:18" x14ac:dyDescent="0.2">
      <c r="A1501" t="s">
        <v>2349</v>
      </c>
      <c r="B1501" t="s">
        <v>4638</v>
      </c>
      <c r="C1501">
        <v>44</v>
      </c>
      <c r="D1501" s="1">
        <v>43991.666041666664</v>
      </c>
      <c r="E1501" t="s">
        <v>4639</v>
      </c>
      <c r="F1501" t="s">
        <v>2352</v>
      </c>
      <c r="G1501" t="s">
        <v>4639</v>
      </c>
      <c r="H1501" t="s">
        <v>2353</v>
      </c>
      <c r="I1501" t="s">
        <v>618</v>
      </c>
      <c r="J1501">
        <v>44</v>
      </c>
      <c r="K1501">
        <f>44-8000664119</f>
        <v>-8000664075</v>
      </c>
      <c r="L1501" t="s">
        <v>4640</v>
      </c>
      <c r="M1501" t="s">
        <v>4641</v>
      </c>
      <c r="N1501">
        <v>206</v>
      </c>
      <c r="O1501" t="s">
        <v>134</v>
      </c>
      <c r="P1501" t="s">
        <v>618</v>
      </c>
      <c r="Q1501">
        <v>52</v>
      </c>
      <c r="R1501">
        <v>-7.3776999999999995E-2</v>
      </c>
    </row>
    <row r="1502" spans="1:18" x14ac:dyDescent="0.2">
      <c r="A1502" t="s">
        <v>1200</v>
      </c>
      <c r="B1502" t="s">
        <v>2500</v>
      </c>
      <c r="C1502">
        <v>65</v>
      </c>
      <c r="D1502" s="1">
        <v>44002.82203703704</v>
      </c>
      <c r="E1502" t="s">
        <v>4642</v>
      </c>
      <c r="F1502" t="s">
        <v>1203</v>
      </c>
      <c r="G1502" t="s">
        <v>4643</v>
      </c>
      <c r="H1502" t="s">
        <v>1205</v>
      </c>
      <c r="I1502" t="s">
        <v>2500</v>
      </c>
      <c r="J1502">
        <v>65</v>
      </c>
      <c r="K1502">
        <f>65-3129-796</f>
        <v>-3860</v>
      </c>
      <c r="L1502" t="s">
        <v>4644</v>
      </c>
      <c r="M1502" t="s">
        <v>4645</v>
      </c>
      <c r="N1502" t="s">
        <v>36</v>
      </c>
      <c r="O1502" t="s">
        <v>134</v>
      </c>
      <c r="P1502" t="s">
        <v>2500</v>
      </c>
      <c r="Q1502">
        <v>1</v>
      </c>
      <c r="R1502">
        <v>99.999999000000003</v>
      </c>
    </row>
    <row r="1503" spans="1:18" x14ac:dyDescent="0.2">
      <c r="A1503" t="s">
        <v>1200</v>
      </c>
      <c r="B1503" t="s">
        <v>2500</v>
      </c>
      <c r="C1503">
        <v>44</v>
      </c>
      <c r="D1503" s="1">
        <v>44002.827511574076</v>
      </c>
      <c r="E1503" t="s">
        <v>4646</v>
      </c>
      <c r="F1503" t="s">
        <v>1203</v>
      </c>
      <c r="G1503" t="s">
        <v>4643</v>
      </c>
      <c r="H1503" t="s">
        <v>1205</v>
      </c>
      <c r="I1503" t="s">
        <v>618</v>
      </c>
      <c r="J1503">
        <v>44</v>
      </c>
      <c r="K1503">
        <f>44-852-3018-3352</f>
        <v>-7178</v>
      </c>
      <c r="L1503" t="s">
        <v>4647</v>
      </c>
      <c r="M1503" t="s">
        <v>4648</v>
      </c>
      <c r="N1503" t="s">
        <v>36</v>
      </c>
      <c r="O1503" t="s">
        <v>134</v>
      </c>
      <c r="P1503" t="s">
        <v>2500</v>
      </c>
      <c r="Q1503">
        <v>1</v>
      </c>
      <c r="R1503">
        <v>99.999999000000003</v>
      </c>
    </row>
    <row r="1504" spans="1:18" x14ac:dyDescent="0.2">
      <c r="A1504" t="s">
        <v>1200</v>
      </c>
      <c r="B1504" t="s">
        <v>2500</v>
      </c>
      <c r="C1504">
        <v>1</v>
      </c>
      <c r="D1504" s="1">
        <v>44001.987696759257</v>
      </c>
      <c r="E1504" t="s">
        <v>4649</v>
      </c>
      <c r="F1504" t="s">
        <v>1203</v>
      </c>
      <c r="G1504" t="s">
        <v>4643</v>
      </c>
      <c r="H1504" t="s">
        <v>1205</v>
      </c>
      <c r="I1504" t="s">
        <v>29</v>
      </c>
      <c r="J1504">
        <v>1</v>
      </c>
      <c r="K1504">
        <f>1-833-256-7149</f>
        <v>-8237</v>
      </c>
      <c r="L1504" t="s">
        <v>4650</v>
      </c>
      <c r="M1504" t="s">
        <v>4651</v>
      </c>
      <c r="N1504" t="s">
        <v>36</v>
      </c>
      <c r="O1504" t="s">
        <v>134</v>
      </c>
      <c r="P1504" t="s">
        <v>2500</v>
      </c>
      <c r="Q1504">
        <v>1</v>
      </c>
      <c r="R1504">
        <v>99.999999000000003</v>
      </c>
    </row>
    <row r="1505" spans="1:18" x14ac:dyDescent="0.2">
      <c r="A1505" t="s">
        <v>1200</v>
      </c>
      <c r="B1505" t="s">
        <v>2500</v>
      </c>
      <c r="C1505">
        <v>65</v>
      </c>
      <c r="D1505" s="1">
        <v>43999.818842592591</v>
      </c>
      <c r="E1505" t="s">
        <v>4652</v>
      </c>
      <c r="F1505" t="s">
        <v>1203</v>
      </c>
      <c r="G1505" t="s">
        <v>4643</v>
      </c>
      <c r="H1505" t="s">
        <v>1205</v>
      </c>
      <c r="I1505" t="s">
        <v>2500</v>
      </c>
      <c r="J1505">
        <v>65</v>
      </c>
      <c r="K1505">
        <f>65-3138-1701</f>
        <v>-4774</v>
      </c>
      <c r="L1505" t="s">
        <v>4653</v>
      </c>
      <c r="M1505" t="s">
        <v>4654</v>
      </c>
      <c r="N1505" t="s">
        <v>36</v>
      </c>
      <c r="O1505" t="s">
        <v>134</v>
      </c>
      <c r="P1505" t="s">
        <v>2500</v>
      </c>
      <c r="Q1505">
        <v>1</v>
      </c>
      <c r="R1505">
        <v>99.999999000000003</v>
      </c>
    </row>
    <row r="1506" spans="1:18" x14ac:dyDescent="0.2">
      <c r="A1506" t="s">
        <v>1200</v>
      </c>
      <c r="B1506" t="s">
        <v>2500</v>
      </c>
      <c r="C1506">
        <v>65</v>
      </c>
      <c r="D1506" s="1">
        <v>43999.413182870368</v>
      </c>
      <c r="E1506" t="s">
        <v>4655</v>
      </c>
      <c r="F1506" t="s">
        <v>1203</v>
      </c>
      <c r="G1506" t="s">
        <v>4643</v>
      </c>
      <c r="H1506" t="s">
        <v>1205</v>
      </c>
      <c r="I1506" t="s">
        <v>2500</v>
      </c>
      <c r="J1506">
        <v>65</v>
      </c>
      <c r="K1506">
        <f>65-3159-1685</f>
        <v>-4779</v>
      </c>
      <c r="L1506" t="s">
        <v>4656</v>
      </c>
      <c r="M1506" t="s">
        <v>4657</v>
      </c>
      <c r="N1506" t="s">
        <v>36</v>
      </c>
      <c r="O1506" t="s">
        <v>134</v>
      </c>
      <c r="P1506" t="s">
        <v>2500</v>
      </c>
      <c r="Q1506">
        <v>1</v>
      </c>
      <c r="R1506">
        <v>99.999999000000003</v>
      </c>
    </row>
    <row r="1507" spans="1:18" x14ac:dyDescent="0.2">
      <c r="A1507" t="s">
        <v>1200</v>
      </c>
      <c r="B1507" t="s">
        <v>2500</v>
      </c>
      <c r="C1507">
        <v>65</v>
      </c>
      <c r="D1507" s="1">
        <v>43991.723969907405</v>
      </c>
      <c r="E1507" t="s">
        <v>4658</v>
      </c>
      <c r="F1507" t="s">
        <v>1203</v>
      </c>
      <c r="G1507" t="s">
        <v>4643</v>
      </c>
      <c r="H1507" t="s">
        <v>1205</v>
      </c>
      <c r="I1507" t="s">
        <v>2500</v>
      </c>
      <c r="J1507">
        <v>65</v>
      </c>
      <c r="K1507">
        <f>65-3129-795</f>
        <v>-3859</v>
      </c>
      <c r="L1507" t="s">
        <v>4659</v>
      </c>
      <c r="M1507" t="s">
        <v>4660</v>
      </c>
      <c r="N1507" t="s">
        <v>36</v>
      </c>
      <c r="O1507" t="s">
        <v>134</v>
      </c>
      <c r="P1507" t="s">
        <v>2500</v>
      </c>
      <c r="Q1507">
        <v>1</v>
      </c>
      <c r="R1507">
        <v>99.999999000000003</v>
      </c>
    </row>
    <row r="1508" spans="1:18" x14ac:dyDescent="0.2">
      <c r="A1508" t="s">
        <v>1200</v>
      </c>
      <c r="B1508" t="s">
        <v>2500</v>
      </c>
      <c r="C1508">
        <v>44</v>
      </c>
      <c r="D1508" s="1">
        <v>43991.722581018519</v>
      </c>
      <c r="E1508" t="s">
        <v>4661</v>
      </c>
      <c r="F1508" t="s">
        <v>1203</v>
      </c>
      <c r="G1508" t="s">
        <v>4643</v>
      </c>
      <c r="H1508" t="s">
        <v>1205</v>
      </c>
      <c r="I1508" t="s">
        <v>618</v>
      </c>
      <c r="J1508">
        <v>44</v>
      </c>
      <c r="K1508">
        <f>44-852-3018-3352</f>
        <v>-7178</v>
      </c>
      <c r="L1508" t="s">
        <v>4662</v>
      </c>
      <c r="M1508" t="s">
        <v>4663</v>
      </c>
      <c r="N1508" t="s">
        <v>36</v>
      </c>
      <c r="O1508" t="s">
        <v>134</v>
      </c>
      <c r="P1508" t="s">
        <v>2500</v>
      </c>
      <c r="Q1508">
        <v>1</v>
      </c>
      <c r="R1508">
        <v>99.999999000000003</v>
      </c>
    </row>
    <row r="1509" spans="1:18" x14ac:dyDescent="0.2">
      <c r="A1509" t="s">
        <v>1200</v>
      </c>
      <c r="B1509" t="s">
        <v>2500</v>
      </c>
      <c r="C1509">
        <v>65</v>
      </c>
      <c r="D1509" s="1">
        <v>43991.721574074072</v>
      </c>
      <c r="E1509" t="s">
        <v>4664</v>
      </c>
      <c r="F1509" t="s">
        <v>1203</v>
      </c>
      <c r="G1509" t="s">
        <v>4643</v>
      </c>
      <c r="H1509" t="s">
        <v>1205</v>
      </c>
      <c r="I1509" t="s">
        <v>2500</v>
      </c>
      <c r="J1509">
        <v>65</v>
      </c>
      <c r="K1509">
        <f>65-3138-1701</f>
        <v>-4774</v>
      </c>
      <c r="L1509" t="s">
        <v>4665</v>
      </c>
      <c r="M1509" t="s">
        <v>4666</v>
      </c>
      <c r="N1509" t="s">
        <v>36</v>
      </c>
      <c r="O1509" t="s">
        <v>134</v>
      </c>
      <c r="P1509" t="s">
        <v>2500</v>
      </c>
      <c r="Q1509">
        <v>1</v>
      </c>
      <c r="R1509">
        <v>99.999999000000003</v>
      </c>
    </row>
    <row r="1510" spans="1:18" x14ac:dyDescent="0.2">
      <c r="A1510" t="s">
        <v>2349</v>
      </c>
      <c r="B1510" t="s">
        <v>4667</v>
      </c>
      <c r="C1510">
        <v>1</v>
      </c>
      <c r="D1510" s="1">
        <v>43991.775416666664</v>
      </c>
      <c r="E1510" t="s">
        <v>4668</v>
      </c>
      <c r="F1510" t="s">
        <v>4584</v>
      </c>
      <c r="G1510" t="s">
        <v>4669</v>
      </c>
      <c r="H1510" t="s">
        <v>2353</v>
      </c>
      <c r="I1510" t="s">
        <v>29</v>
      </c>
      <c r="J1510">
        <v>1</v>
      </c>
      <c r="K1510">
        <f>1-888-984-4232</f>
        <v>-6103</v>
      </c>
      <c r="L1510" t="s">
        <v>4670</v>
      </c>
      <c r="M1510" t="s">
        <v>4671</v>
      </c>
      <c r="N1510" t="s">
        <v>4606</v>
      </c>
      <c r="O1510" t="s">
        <v>28</v>
      </c>
      <c r="P1510" t="s">
        <v>53</v>
      </c>
      <c r="Q1510">
        <v>36</v>
      </c>
      <c r="R1510">
        <v>99.999999000000003</v>
      </c>
    </row>
    <row r="1511" spans="1:18" x14ac:dyDescent="0.2">
      <c r="A1511" t="s">
        <v>270</v>
      </c>
      <c r="B1511" t="s">
        <v>4672</v>
      </c>
      <c r="C1511">
        <v>1</v>
      </c>
      <c r="D1511" s="1">
        <v>44372.864999999998</v>
      </c>
      <c r="E1511" t="s">
        <v>4673</v>
      </c>
      <c r="F1511" t="s">
        <v>273</v>
      </c>
      <c r="G1511" t="s">
        <v>4674</v>
      </c>
      <c r="H1511" t="s">
        <v>275</v>
      </c>
      <c r="I1511" t="s">
        <v>29</v>
      </c>
      <c r="J1511">
        <v>1</v>
      </c>
      <c r="K1511">
        <f>1-844-390-3924</f>
        <v>-5157</v>
      </c>
      <c r="L1511" t="s">
        <v>4675</v>
      </c>
      <c r="M1511" t="s">
        <v>4676</v>
      </c>
      <c r="N1511" t="s">
        <v>278</v>
      </c>
      <c r="O1511" t="s">
        <v>28</v>
      </c>
      <c r="P1511" t="s">
        <v>782</v>
      </c>
      <c r="Q1511">
        <v>-34</v>
      </c>
      <c r="R1511">
        <v>99.999999000000003</v>
      </c>
    </row>
    <row r="1512" spans="1:18" x14ac:dyDescent="0.2">
      <c r="A1512" t="s">
        <v>270</v>
      </c>
      <c r="B1512" t="s">
        <v>4672</v>
      </c>
      <c r="C1512">
        <v>1</v>
      </c>
      <c r="D1512" s="1">
        <v>44372.855416666665</v>
      </c>
      <c r="E1512" t="s">
        <v>4677</v>
      </c>
      <c r="F1512" t="s">
        <v>273</v>
      </c>
      <c r="G1512" t="s">
        <v>4674</v>
      </c>
      <c r="H1512" t="s">
        <v>275</v>
      </c>
      <c r="I1512" t="s">
        <v>29</v>
      </c>
      <c r="J1512">
        <v>1</v>
      </c>
      <c r="K1512">
        <f>1-844-390-2203</f>
        <v>-3436</v>
      </c>
      <c r="L1512" t="s">
        <v>4678</v>
      </c>
      <c r="M1512" t="s">
        <v>4679</v>
      </c>
      <c r="N1512" t="s">
        <v>278</v>
      </c>
      <c r="O1512" t="s">
        <v>28</v>
      </c>
      <c r="P1512" t="s">
        <v>782</v>
      </c>
      <c r="Q1512">
        <v>-34</v>
      </c>
      <c r="R1512">
        <v>99.999999000000003</v>
      </c>
    </row>
    <row r="1513" spans="1:18" x14ac:dyDescent="0.2">
      <c r="A1513" t="s">
        <v>270</v>
      </c>
      <c r="B1513" t="s">
        <v>4672</v>
      </c>
      <c r="C1513">
        <v>1</v>
      </c>
      <c r="D1513" s="1">
        <v>44232.759641203702</v>
      </c>
      <c r="E1513" t="s">
        <v>4680</v>
      </c>
      <c r="F1513" t="s">
        <v>273</v>
      </c>
      <c r="G1513" t="s">
        <v>4674</v>
      </c>
      <c r="H1513" t="s">
        <v>275</v>
      </c>
      <c r="I1513" t="s">
        <v>29</v>
      </c>
      <c r="J1513">
        <v>1</v>
      </c>
      <c r="K1513">
        <f>1-888-552-8917</f>
        <v>-10356</v>
      </c>
      <c r="L1513" t="s">
        <v>4681</v>
      </c>
      <c r="M1513" t="s">
        <v>4682</v>
      </c>
      <c r="N1513" t="s">
        <v>278</v>
      </c>
      <c r="O1513" t="s">
        <v>28</v>
      </c>
      <c r="P1513" t="s">
        <v>782</v>
      </c>
      <c r="Q1513">
        <v>-34</v>
      </c>
      <c r="R1513">
        <v>99.999999000000003</v>
      </c>
    </row>
    <row r="1514" spans="1:18" x14ac:dyDescent="0.2">
      <c r="A1514" t="s">
        <v>270</v>
      </c>
      <c r="B1514" t="s">
        <v>4672</v>
      </c>
      <c r="C1514">
        <v>1</v>
      </c>
      <c r="D1514" s="1">
        <v>44230.846782407411</v>
      </c>
      <c r="E1514" t="s">
        <v>4683</v>
      </c>
      <c r="F1514" t="s">
        <v>273</v>
      </c>
      <c r="G1514" t="s">
        <v>4674</v>
      </c>
      <c r="H1514" t="s">
        <v>275</v>
      </c>
      <c r="I1514" t="s">
        <v>29</v>
      </c>
      <c r="J1514">
        <v>1</v>
      </c>
      <c r="K1514">
        <f>1-888-349-639</f>
        <v>-1875</v>
      </c>
      <c r="L1514" t="s">
        <v>4684</v>
      </c>
      <c r="M1514" t="s">
        <v>4685</v>
      </c>
      <c r="N1514" t="s">
        <v>278</v>
      </c>
      <c r="O1514" t="s">
        <v>28</v>
      </c>
      <c r="P1514" t="s">
        <v>782</v>
      </c>
      <c r="Q1514">
        <v>-34</v>
      </c>
      <c r="R1514">
        <v>99.999999000000003</v>
      </c>
    </row>
    <row r="1515" spans="1:18" x14ac:dyDescent="0.2">
      <c r="A1515" t="s">
        <v>270</v>
      </c>
      <c r="B1515" t="s">
        <v>4672</v>
      </c>
      <c r="C1515">
        <v>1</v>
      </c>
      <c r="D1515" s="1">
        <v>44229.72892361111</v>
      </c>
      <c r="E1515" t="s">
        <v>4686</v>
      </c>
      <c r="F1515" t="s">
        <v>273</v>
      </c>
      <c r="G1515" t="s">
        <v>4674</v>
      </c>
      <c r="H1515" t="s">
        <v>275</v>
      </c>
      <c r="I1515" t="s">
        <v>29</v>
      </c>
      <c r="J1515">
        <v>1</v>
      </c>
      <c r="K1515">
        <f>1-888-345-605</f>
        <v>-1837</v>
      </c>
      <c r="L1515" t="s">
        <v>4687</v>
      </c>
      <c r="M1515" t="s">
        <v>4688</v>
      </c>
      <c r="N1515" t="s">
        <v>278</v>
      </c>
      <c r="O1515" t="s">
        <v>28</v>
      </c>
      <c r="P1515" t="s">
        <v>782</v>
      </c>
      <c r="Q1515">
        <v>-34</v>
      </c>
      <c r="R1515">
        <v>99.999999000000003</v>
      </c>
    </row>
    <row r="1516" spans="1:18" x14ac:dyDescent="0.2">
      <c r="A1516" t="s">
        <v>270</v>
      </c>
      <c r="B1516" t="s">
        <v>4672</v>
      </c>
      <c r="C1516">
        <v>1</v>
      </c>
      <c r="D1516" s="1">
        <v>44179.748333333337</v>
      </c>
      <c r="E1516" t="s">
        <v>4689</v>
      </c>
      <c r="F1516" t="s">
        <v>273</v>
      </c>
      <c r="G1516" t="s">
        <v>4674</v>
      </c>
      <c r="H1516" t="s">
        <v>275</v>
      </c>
      <c r="I1516" t="s">
        <v>29</v>
      </c>
      <c r="J1516">
        <v>1</v>
      </c>
      <c r="K1516">
        <f>1-888-210-2707</f>
        <v>-3804</v>
      </c>
      <c r="L1516" t="s">
        <v>4690</v>
      </c>
      <c r="M1516" t="s">
        <v>4691</v>
      </c>
      <c r="N1516" t="s">
        <v>278</v>
      </c>
      <c r="O1516" t="s">
        <v>28</v>
      </c>
      <c r="P1516" t="s">
        <v>782</v>
      </c>
      <c r="Q1516">
        <v>-34</v>
      </c>
      <c r="R1516">
        <v>99.999999000000003</v>
      </c>
    </row>
    <row r="1517" spans="1:18" x14ac:dyDescent="0.2">
      <c r="A1517" t="s">
        <v>270</v>
      </c>
      <c r="B1517" t="s">
        <v>4672</v>
      </c>
      <c r="C1517">
        <v>1</v>
      </c>
      <c r="D1517" s="1">
        <v>44149.15457175926</v>
      </c>
      <c r="E1517" t="s">
        <v>4692</v>
      </c>
      <c r="F1517" t="s">
        <v>273</v>
      </c>
      <c r="G1517" t="s">
        <v>4674</v>
      </c>
      <c r="H1517" t="s">
        <v>275</v>
      </c>
      <c r="I1517" t="s">
        <v>29</v>
      </c>
      <c r="J1517">
        <v>1</v>
      </c>
      <c r="K1517">
        <f>1-844-275-1730</f>
        <v>-2848</v>
      </c>
      <c r="L1517" t="s">
        <v>4693</v>
      </c>
      <c r="M1517" t="s">
        <v>4694</v>
      </c>
      <c r="N1517" t="s">
        <v>278</v>
      </c>
      <c r="O1517" t="s">
        <v>134</v>
      </c>
      <c r="P1517" t="s">
        <v>782</v>
      </c>
      <c r="Q1517">
        <v>-34</v>
      </c>
      <c r="R1517">
        <v>99.999999000000003</v>
      </c>
    </row>
    <row r="1518" spans="1:18" x14ac:dyDescent="0.2">
      <c r="A1518" t="s">
        <v>270</v>
      </c>
      <c r="B1518" t="s">
        <v>4672</v>
      </c>
      <c r="C1518">
        <v>1</v>
      </c>
      <c r="D1518" s="1">
        <v>44149.137152777781</v>
      </c>
      <c r="E1518" t="s">
        <v>4695</v>
      </c>
      <c r="F1518" t="s">
        <v>273</v>
      </c>
      <c r="G1518" t="s">
        <v>4674</v>
      </c>
      <c r="H1518" t="s">
        <v>275</v>
      </c>
      <c r="I1518" t="s">
        <v>29</v>
      </c>
      <c r="J1518">
        <v>1</v>
      </c>
      <c r="K1518">
        <f>1-844-293-617</f>
        <v>-1753</v>
      </c>
      <c r="L1518" t="s">
        <v>4696</v>
      </c>
      <c r="M1518" t="s">
        <v>4697</v>
      </c>
      <c r="N1518" t="s">
        <v>278</v>
      </c>
      <c r="O1518" t="s">
        <v>134</v>
      </c>
      <c r="P1518" t="s">
        <v>782</v>
      </c>
      <c r="Q1518">
        <v>-34</v>
      </c>
      <c r="R1518">
        <v>99.999999000000003</v>
      </c>
    </row>
    <row r="1519" spans="1:18" x14ac:dyDescent="0.2">
      <c r="A1519" t="s">
        <v>270</v>
      </c>
      <c r="B1519" t="s">
        <v>4672</v>
      </c>
      <c r="C1519">
        <v>1</v>
      </c>
      <c r="D1519" s="1">
        <v>44149.136261574073</v>
      </c>
      <c r="E1519" t="s">
        <v>4698</v>
      </c>
      <c r="F1519" t="s">
        <v>273</v>
      </c>
      <c r="G1519" t="s">
        <v>4674</v>
      </c>
      <c r="H1519" t="s">
        <v>275</v>
      </c>
      <c r="I1519" t="s">
        <v>29</v>
      </c>
      <c r="J1519">
        <v>1</v>
      </c>
      <c r="K1519">
        <f>1-844-288-9125</f>
        <v>-10256</v>
      </c>
      <c r="L1519" t="s">
        <v>4699</v>
      </c>
      <c r="M1519" t="s">
        <v>4700</v>
      </c>
      <c r="N1519" t="s">
        <v>278</v>
      </c>
      <c r="O1519" t="s">
        <v>134</v>
      </c>
      <c r="P1519" t="s">
        <v>782</v>
      </c>
      <c r="Q1519">
        <v>-34</v>
      </c>
      <c r="R1519">
        <v>99.999999000000003</v>
      </c>
    </row>
    <row r="1520" spans="1:18" x14ac:dyDescent="0.2">
      <c r="A1520" t="s">
        <v>270</v>
      </c>
      <c r="B1520" t="s">
        <v>4672</v>
      </c>
      <c r="C1520">
        <v>1</v>
      </c>
      <c r="D1520" s="1">
        <v>44149.134097222224</v>
      </c>
      <c r="E1520" t="s">
        <v>4701</v>
      </c>
      <c r="F1520" t="s">
        <v>273</v>
      </c>
      <c r="G1520" t="s">
        <v>4674</v>
      </c>
      <c r="H1520" t="s">
        <v>275</v>
      </c>
      <c r="I1520" t="s">
        <v>29</v>
      </c>
      <c r="J1520">
        <v>1</v>
      </c>
      <c r="K1520">
        <f>1-844-294-4812</f>
        <v>-5949</v>
      </c>
      <c r="L1520" t="s">
        <v>4702</v>
      </c>
      <c r="M1520" t="s">
        <v>4703</v>
      </c>
      <c r="N1520" t="s">
        <v>278</v>
      </c>
      <c r="O1520" t="s">
        <v>134</v>
      </c>
      <c r="P1520" t="s">
        <v>782</v>
      </c>
      <c r="Q1520">
        <v>-34</v>
      </c>
      <c r="R1520">
        <v>99.999999000000003</v>
      </c>
    </row>
    <row r="1521" spans="1:18" x14ac:dyDescent="0.2">
      <c r="A1521" t="s">
        <v>270</v>
      </c>
      <c r="B1521" t="s">
        <v>4672</v>
      </c>
      <c r="C1521">
        <v>1</v>
      </c>
      <c r="D1521" s="1">
        <v>44149.123900462961</v>
      </c>
      <c r="E1521" t="s">
        <v>4704</v>
      </c>
      <c r="F1521" t="s">
        <v>273</v>
      </c>
      <c r="G1521" t="s">
        <v>4674</v>
      </c>
      <c r="H1521" t="s">
        <v>275</v>
      </c>
      <c r="I1521" t="s">
        <v>29</v>
      </c>
      <c r="J1521">
        <v>1</v>
      </c>
      <c r="K1521">
        <f>1-844-295-5840</f>
        <v>-6978</v>
      </c>
      <c r="L1521" t="s">
        <v>4705</v>
      </c>
      <c r="M1521" t="s">
        <v>4706</v>
      </c>
      <c r="N1521" t="s">
        <v>278</v>
      </c>
      <c r="O1521" t="s">
        <v>134</v>
      </c>
      <c r="P1521" t="s">
        <v>782</v>
      </c>
      <c r="Q1521">
        <v>-34</v>
      </c>
      <c r="R1521">
        <v>99.999999000000003</v>
      </c>
    </row>
    <row r="1522" spans="1:18" x14ac:dyDescent="0.2">
      <c r="A1522" t="s">
        <v>270</v>
      </c>
      <c r="B1522" t="s">
        <v>4672</v>
      </c>
      <c r="C1522">
        <v>1</v>
      </c>
      <c r="D1522" s="1">
        <v>44149.123576388891</v>
      </c>
      <c r="E1522" t="s">
        <v>4707</v>
      </c>
      <c r="F1522" t="s">
        <v>273</v>
      </c>
      <c r="G1522" t="s">
        <v>4674</v>
      </c>
      <c r="H1522" t="s">
        <v>275</v>
      </c>
      <c r="I1522" t="s">
        <v>29</v>
      </c>
      <c r="J1522">
        <v>1</v>
      </c>
      <c r="K1522">
        <f>1-844-291-4316</f>
        <v>-5450</v>
      </c>
      <c r="L1522" t="s">
        <v>4708</v>
      </c>
      <c r="M1522" t="s">
        <v>4709</v>
      </c>
      <c r="N1522" t="s">
        <v>278</v>
      </c>
      <c r="O1522" t="s">
        <v>134</v>
      </c>
      <c r="P1522" t="s">
        <v>782</v>
      </c>
      <c r="Q1522">
        <v>-34</v>
      </c>
      <c r="R1522">
        <v>99.999999000000003</v>
      </c>
    </row>
    <row r="1523" spans="1:18" x14ac:dyDescent="0.2">
      <c r="A1523" t="s">
        <v>270</v>
      </c>
      <c r="B1523" t="s">
        <v>4672</v>
      </c>
      <c r="C1523">
        <v>1</v>
      </c>
      <c r="D1523" s="1">
        <v>44140.794085648151</v>
      </c>
      <c r="E1523" t="s">
        <v>4710</v>
      </c>
      <c r="F1523" t="s">
        <v>273</v>
      </c>
      <c r="G1523" t="s">
        <v>4674</v>
      </c>
      <c r="H1523" t="s">
        <v>275</v>
      </c>
      <c r="I1523" t="s">
        <v>29</v>
      </c>
      <c r="J1523">
        <v>1</v>
      </c>
      <c r="K1523">
        <f>1-888-392-7351</f>
        <v>-8630</v>
      </c>
      <c r="L1523" t="s">
        <v>4711</v>
      </c>
      <c r="M1523" t="s">
        <v>4712</v>
      </c>
      <c r="N1523" t="s">
        <v>278</v>
      </c>
      <c r="O1523" t="s">
        <v>28</v>
      </c>
      <c r="P1523" t="s">
        <v>782</v>
      </c>
      <c r="Q1523">
        <v>-34</v>
      </c>
      <c r="R1523">
        <v>99.999999000000003</v>
      </c>
    </row>
    <row r="1524" spans="1:18" x14ac:dyDescent="0.2">
      <c r="A1524" t="s">
        <v>270</v>
      </c>
      <c r="B1524" t="s">
        <v>4672</v>
      </c>
      <c r="C1524">
        <v>1</v>
      </c>
      <c r="D1524" s="1">
        <v>44140.781018518515</v>
      </c>
      <c r="E1524" t="s">
        <v>4713</v>
      </c>
      <c r="F1524" t="s">
        <v>273</v>
      </c>
      <c r="G1524" t="s">
        <v>4674</v>
      </c>
      <c r="H1524" t="s">
        <v>275</v>
      </c>
      <c r="I1524" t="s">
        <v>29</v>
      </c>
      <c r="J1524">
        <v>1</v>
      </c>
      <c r="K1524">
        <f>1-888-397-7606</f>
        <v>-8890</v>
      </c>
      <c r="L1524" t="s">
        <v>4714</v>
      </c>
      <c r="M1524" t="s">
        <v>4715</v>
      </c>
      <c r="N1524" t="s">
        <v>278</v>
      </c>
      <c r="O1524" t="s">
        <v>28</v>
      </c>
      <c r="P1524" t="s">
        <v>782</v>
      </c>
      <c r="Q1524">
        <v>-34</v>
      </c>
      <c r="R1524">
        <v>99.999999000000003</v>
      </c>
    </row>
    <row r="1525" spans="1:18" x14ac:dyDescent="0.2">
      <c r="A1525" t="s">
        <v>270</v>
      </c>
      <c r="B1525" t="s">
        <v>4672</v>
      </c>
      <c r="C1525">
        <v>1</v>
      </c>
      <c r="D1525" s="1">
        <v>44113.769988425927</v>
      </c>
      <c r="E1525" t="s">
        <v>4716</v>
      </c>
      <c r="F1525" t="s">
        <v>273</v>
      </c>
      <c r="G1525" t="s">
        <v>4674</v>
      </c>
      <c r="H1525" t="s">
        <v>275</v>
      </c>
      <c r="I1525" t="s">
        <v>29</v>
      </c>
      <c r="J1525">
        <v>1</v>
      </c>
      <c r="K1525">
        <f>1-888-335-9690</f>
        <v>-10912</v>
      </c>
      <c r="L1525" t="s">
        <v>4717</v>
      </c>
      <c r="M1525" t="s">
        <v>4718</v>
      </c>
      <c r="N1525" t="s">
        <v>278</v>
      </c>
      <c r="O1525" t="s">
        <v>28</v>
      </c>
      <c r="P1525" t="s">
        <v>782</v>
      </c>
      <c r="Q1525">
        <v>-34</v>
      </c>
      <c r="R1525">
        <v>99.999999000000003</v>
      </c>
    </row>
    <row r="1526" spans="1:18" x14ac:dyDescent="0.2">
      <c r="A1526" t="s">
        <v>270</v>
      </c>
      <c r="B1526" t="s">
        <v>4672</v>
      </c>
      <c r="C1526">
        <v>1</v>
      </c>
      <c r="D1526" s="1">
        <v>44111.889560185184</v>
      </c>
      <c r="E1526" t="s">
        <v>4719</v>
      </c>
      <c r="F1526" t="s">
        <v>273</v>
      </c>
      <c r="G1526" t="s">
        <v>4674</v>
      </c>
      <c r="H1526" t="s">
        <v>275</v>
      </c>
      <c r="I1526" t="s">
        <v>29</v>
      </c>
      <c r="J1526">
        <v>1</v>
      </c>
      <c r="K1526">
        <f>1-888-313-4435</f>
        <v>-5635</v>
      </c>
      <c r="L1526" t="s">
        <v>4720</v>
      </c>
      <c r="M1526" t="s">
        <v>4721</v>
      </c>
      <c r="N1526" t="s">
        <v>278</v>
      </c>
      <c r="O1526" t="s">
        <v>28</v>
      </c>
      <c r="P1526" t="s">
        <v>782</v>
      </c>
      <c r="Q1526">
        <v>-34</v>
      </c>
      <c r="R1526">
        <v>99.999999000000003</v>
      </c>
    </row>
    <row r="1527" spans="1:18" x14ac:dyDescent="0.2">
      <c r="A1527" t="s">
        <v>270</v>
      </c>
      <c r="B1527" t="s">
        <v>4672</v>
      </c>
      <c r="C1527">
        <v>1</v>
      </c>
      <c r="D1527" s="1">
        <v>44110.94798611111</v>
      </c>
      <c r="E1527" t="s">
        <v>4722</v>
      </c>
      <c r="F1527" t="s">
        <v>273</v>
      </c>
      <c r="G1527" t="s">
        <v>4674</v>
      </c>
      <c r="H1527" t="s">
        <v>275</v>
      </c>
      <c r="I1527" t="s">
        <v>29</v>
      </c>
      <c r="J1527">
        <v>1</v>
      </c>
      <c r="K1527">
        <f>1-888-308-5059</f>
        <v>-6254</v>
      </c>
      <c r="L1527" t="s">
        <v>4723</v>
      </c>
      <c r="M1527" t="s">
        <v>4724</v>
      </c>
      <c r="N1527" t="s">
        <v>278</v>
      </c>
      <c r="O1527" t="s">
        <v>28</v>
      </c>
      <c r="P1527" t="s">
        <v>782</v>
      </c>
      <c r="Q1527">
        <v>-34</v>
      </c>
      <c r="R1527">
        <v>99.999999000000003</v>
      </c>
    </row>
    <row r="1528" spans="1:18" x14ac:dyDescent="0.2">
      <c r="A1528" t="s">
        <v>270</v>
      </c>
      <c r="B1528" t="s">
        <v>4672</v>
      </c>
      <c r="C1528">
        <v>1</v>
      </c>
      <c r="D1528" s="1">
        <v>44110.941759259258</v>
      </c>
      <c r="E1528" t="s">
        <v>4725</v>
      </c>
      <c r="F1528" t="s">
        <v>273</v>
      </c>
      <c r="G1528" t="s">
        <v>4674</v>
      </c>
      <c r="H1528" t="s">
        <v>275</v>
      </c>
      <c r="I1528" t="s">
        <v>29</v>
      </c>
      <c r="J1528">
        <v>1</v>
      </c>
      <c r="K1528">
        <f>1-888-308-5059</f>
        <v>-6254</v>
      </c>
      <c r="L1528" t="s">
        <v>4726</v>
      </c>
      <c r="M1528" t="s">
        <v>4727</v>
      </c>
      <c r="N1528" t="s">
        <v>278</v>
      </c>
      <c r="O1528" t="s">
        <v>28</v>
      </c>
      <c r="P1528" t="s">
        <v>782</v>
      </c>
      <c r="Q1528">
        <v>-34</v>
      </c>
      <c r="R1528">
        <v>99.999999000000003</v>
      </c>
    </row>
    <row r="1529" spans="1:18" x14ac:dyDescent="0.2">
      <c r="A1529" t="s">
        <v>270</v>
      </c>
      <c r="B1529" t="s">
        <v>4672</v>
      </c>
      <c r="C1529">
        <v>1</v>
      </c>
      <c r="D1529" s="1">
        <v>44106.935578703706</v>
      </c>
      <c r="E1529" t="s">
        <v>4728</v>
      </c>
      <c r="F1529" t="s">
        <v>273</v>
      </c>
      <c r="G1529" t="s">
        <v>4674</v>
      </c>
      <c r="H1529" t="s">
        <v>275</v>
      </c>
      <c r="I1529" t="s">
        <v>29</v>
      </c>
      <c r="J1529">
        <v>1</v>
      </c>
      <c r="K1529">
        <f>1-888-278-9830</f>
        <v>-10995</v>
      </c>
      <c r="L1529" t="s">
        <v>4729</v>
      </c>
      <c r="M1529" t="s">
        <v>4730</v>
      </c>
      <c r="N1529" t="s">
        <v>278</v>
      </c>
      <c r="O1529" t="s">
        <v>28</v>
      </c>
      <c r="P1529" t="s">
        <v>782</v>
      </c>
      <c r="Q1529">
        <v>-34</v>
      </c>
      <c r="R1529">
        <v>99.999999000000003</v>
      </c>
    </row>
    <row r="1530" spans="1:18" x14ac:dyDescent="0.2">
      <c r="A1530" t="s">
        <v>270</v>
      </c>
      <c r="B1530" t="s">
        <v>4672</v>
      </c>
      <c r="C1530">
        <v>1</v>
      </c>
      <c r="D1530" s="1">
        <v>44105.896111111113</v>
      </c>
      <c r="E1530" t="s">
        <v>4731</v>
      </c>
      <c r="F1530" t="s">
        <v>273</v>
      </c>
      <c r="G1530" t="s">
        <v>4674</v>
      </c>
      <c r="H1530" t="s">
        <v>275</v>
      </c>
      <c r="I1530" t="s">
        <v>29</v>
      </c>
      <c r="J1530">
        <v>1</v>
      </c>
      <c r="K1530">
        <f>1-888-203-7712</f>
        <v>-8802</v>
      </c>
      <c r="L1530" t="s">
        <v>4732</v>
      </c>
      <c r="M1530" t="s">
        <v>4733</v>
      </c>
      <c r="N1530" t="s">
        <v>278</v>
      </c>
      <c r="O1530" t="s">
        <v>28</v>
      </c>
      <c r="P1530" t="s">
        <v>782</v>
      </c>
      <c r="Q1530">
        <v>-34</v>
      </c>
      <c r="R1530">
        <v>99.999999000000003</v>
      </c>
    </row>
    <row r="1531" spans="1:18" x14ac:dyDescent="0.2">
      <c r="A1531" t="s">
        <v>270</v>
      </c>
      <c r="B1531" t="s">
        <v>4672</v>
      </c>
      <c r="C1531">
        <v>1</v>
      </c>
      <c r="D1531" s="1">
        <v>44103.763449074075</v>
      </c>
      <c r="E1531" t="s">
        <v>4734</v>
      </c>
      <c r="F1531" t="s">
        <v>273</v>
      </c>
      <c r="G1531" t="s">
        <v>4674</v>
      </c>
      <c r="H1531" t="s">
        <v>275</v>
      </c>
      <c r="I1531" t="s">
        <v>29</v>
      </c>
      <c r="J1531">
        <v>1</v>
      </c>
      <c r="K1531">
        <f>1-888-211-6160</f>
        <v>-7258</v>
      </c>
      <c r="L1531" t="s">
        <v>4735</v>
      </c>
      <c r="M1531" t="s">
        <v>4736</v>
      </c>
      <c r="N1531" t="s">
        <v>278</v>
      </c>
      <c r="O1531" t="s">
        <v>134</v>
      </c>
      <c r="P1531" t="s">
        <v>782</v>
      </c>
      <c r="Q1531">
        <v>-34</v>
      </c>
      <c r="R1531">
        <v>99.999999000000003</v>
      </c>
    </row>
    <row r="1532" spans="1:18" x14ac:dyDescent="0.2">
      <c r="A1532" t="s">
        <v>270</v>
      </c>
      <c r="B1532" t="s">
        <v>4672</v>
      </c>
      <c r="C1532">
        <v>1</v>
      </c>
      <c r="D1532" s="1">
        <v>44103.761817129627</v>
      </c>
      <c r="E1532" t="s">
        <v>4737</v>
      </c>
      <c r="F1532" t="s">
        <v>273</v>
      </c>
      <c r="G1532" t="s">
        <v>4674</v>
      </c>
      <c r="H1532" t="s">
        <v>275</v>
      </c>
      <c r="I1532" t="s">
        <v>29</v>
      </c>
      <c r="J1532">
        <v>1</v>
      </c>
      <c r="K1532">
        <f>1-888-210-6654</f>
        <v>-7751</v>
      </c>
      <c r="L1532" t="s">
        <v>4738</v>
      </c>
      <c r="M1532" t="s">
        <v>4739</v>
      </c>
      <c r="N1532" t="s">
        <v>278</v>
      </c>
      <c r="O1532" t="s">
        <v>134</v>
      </c>
      <c r="P1532" t="s">
        <v>782</v>
      </c>
      <c r="Q1532">
        <v>-34</v>
      </c>
      <c r="R1532">
        <v>99.999999000000003</v>
      </c>
    </row>
    <row r="1533" spans="1:18" x14ac:dyDescent="0.2">
      <c r="A1533" t="s">
        <v>270</v>
      </c>
      <c r="B1533" t="s">
        <v>4672</v>
      </c>
      <c r="C1533">
        <v>1</v>
      </c>
      <c r="D1533" s="1">
        <v>44102.823738425926</v>
      </c>
      <c r="E1533" t="s">
        <v>4740</v>
      </c>
      <c r="F1533" t="s">
        <v>273</v>
      </c>
      <c r="G1533" t="s">
        <v>4674</v>
      </c>
      <c r="H1533" t="s">
        <v>275</v>
      </c>
      <c r="I1533" t="s">
        <v>29</v>
      </c>
      <c r="J1533">
        <v>1</v>
      </c>
      <c r="K1533">
        <f>1-888-250-5625</f>
        <v>-6762</v>
      </c>
      <c r="L1533" t="s">
        <v>4741</v>
      </c>
      <c r="M1533" t="s">
        <v>4742</v>
      </c>
      <c r="N1533" t="s">
        <v>278</v>
      </c>
      <c r="O1533" t="s">
        <v>28</v>
      </c>
      <c r="P1533" t="s">
        <v>782</v>
      </c>
      <c r="Q1533">
        <v>-34</v>
      </c>
      <c r="R1533">
        <v>99.999999000000003</v>
      </c>
    </row>
    <row r="1534" spans="1:18" x14ac:dyDescent="0.2">
      <c r="A1534" t="s">
        <v>270</v>
      </c>
      <c r="B1534" t="s">
        <v>4672</v>
      </c>
      <c r="C1534">
        <v>1</v>
      </c>
      <c r="D1534" s="1">
        <v>44099.90730324074</v>
      </c>
      <c r="E1534" t="s">
        <v>4743</v>
      </c>
      <c r="F1534" t="s">
        <v>273</v>
      </c>
      <c r="G1534" t="s">
        <v>4674</v>
      </c>
      <c r="H1534" t="s">
        <v>275</v>
      </c>
      <c r="I1534" t="s">
        <v>29</v>
      </c>
      <c r="J1534">
        <v>1</v>
      </c>
      <c r="K1534">
        <f>1-888-252-1197</f>
        <v>-2336</v>
      </c>
      <c r="L1534" t="s">
        <v>4744</v>
      </c>
      <c r="M1534" t="s">
        <v>4745</v>
      </c>
      <c r="N1534" t="s">
        <v>278</v>
      </c>
      <c r="O1534" t="s">
        <v>28</v>
      </c>
      <c r="P1534" t="s">
        <v>782</v>
      </c>
      <c r="Q1534">
        <v>-34</v>
      </c>
      <c r="R1534">
        <v>99.999999000000003</v>
      </c>
    </row>
    <row r="1535" spans="1:18" x14ac:dyDescent="0.2">
      <c r="A1535" t="s">
        <v>270</v>
      </c>
      <c r="B1535" t="s">
        <v>4672</v>
      </c>
      <c r="C1535">
        <v>1</v>
      </c>
      <c r="D1535" s="1">
        <v>44096.837488425925</v>
      </c>
      <c r="E1535" t="s">
        <v>4746</v>
      </c>
      <c r="F1535" t="s">
        <v>273</v>
      </c>
      <c r="G1535" t="s">
        <v>4674</v>
      </c>
      <c r="H1535" t="s">
        <v>275</v>
      </c>
      <c r="I1535" t="s">
        <v>29</v>
      </c>
      <c r="J1535">
        <v>1</v>
      </c>
      <c r="K1535">
        <f>1-888-210-6063</f>
        <v>-7160</v>
      </c>
      <c r="L1535" t="s">
        <v>4747</v>
      </c>
      <c r="M1535" t="s">
        <v>4748</v>
      </c>
      <c r="N1535" t="s">
        <v>278</v>
      </c>
      <c r="O1535" t="s">
        <v>28</v>
      </c>
      <c r="P1535" t="s">
        <v>782</v>
      </c>
      <c r="Q1535">
        <v>-34</v>
      </c>
      <c r="R1535">
        <v>99.999999000000003</v>
      </c>
    </row>
    <row r="1536" spans="1:18" x14ac:dyDescent="0.2">
      <c r="A1536" t="s">
        <v>270</v>
      </c>
      <c r="B1536" t="s">
        <v>4672</v>
      </c>
      <c r="C1536">
        <v>1</v>
      </c>
      <c r="D1536" s="1">
        <v>44096.369328703702</v>
      </c>
      <c r="E1536" t="s">
        <v>4749</v>
      </c>
      <c r="F1536" t="s">
        <v>273</v>
      </c>
      <c r="G1536" t="s">
        <v>4674</v>
      </c>
      <c r="H1536" t="s">
        <v>275</v>
      </c>
      <c r="I1536" t="s">
        <v>29</v>
      </c>
      <c r="J1536">
        <v>1</v>
      </c>
      <c r="K1536">
        <f>1-844-316-9077</f>
        <v>-10236</v>
      </c>
      <c r="L1536" t="s">
        <v>4750</v>
      </c>
      <c r="M1536" t="s">
        <v>4751</v>
      </c>
      <c r="N1536" t="s">
        <v>278</v>
      </c>
      <c r="O1536" t="s">
        <v>28</v>
      </c>
      <c r="P1536" t="s">
        <v>782</v>
      </c>
      <c r="Q1536">
        <v>-34</v>
      </c>
      <c r="R1536">
        <v>99.999999000000003</v>
      </c>
    </row>
    <row r="1537" spans="1:18" x14ac:dyDescent="0.2">
      <c r="A1537" t="s">
        <v>270</v>
      </c>
      <c r="B1537" t="s">
        <v>4672</v>
      </c>
      <c r="C1537">
        <v>1</v>
      </c>
      <c r="D1537" s="1">
        <v>44096.367083333331</v>
      </c>
      <c r="E1537" t="s">
        <v>4752</v>
      </c>
      <c r="F1537" t="s">
        <v>273</v>
      </c>
      <c r="G1537" t="s">
        <v>4674</v>
      </c>
      <c r="H1537" t="s">
        <v>275</v>
      </c>
      <c r="I1537" t="s">
        <v>29</v>
      </c>
      <c r="J1537">
        <v>1</v>
      </c>
      <c r="K1537">
        <f>1-844-309-2423</f>
        <v>-3575</v>
      </c>
      <c r="L1537" t="s">
        <v>4753</v>
      </c>
      <c r="M1537" t="s">
        <v>4754</v>
      </c>
      <c r="N1537" t="s">
        <v>278</v>
      </c>
      <c r="O1537" t="s">
        <v>28</v>
      </c>
      <c r="P1537" t="s">
        <v>782</v>
      </c>
      <c r="Q1537">
        <v>-34</v>
      </c>
      <c r="R1537">
        <v>99.999999000000003</v>
      </c>
    </row>
    <row r="1538" spans="1:18" x14ac:dyDescent="0.2">
      <c r="A1538" t="s">
        <v>270</v>
      </c>
      <c r="B1538" t="s">
        <v>4672</v>
      </c>
      <c r="C1538">
        <v>1</v>
      </c>
      <c r="D1538" s="1">
        <v>44096.366574074076</v>
      </c>
      <c r="E1538" t="s">
        <v>4755</v>
      </c>
      <c r="F1538" t="s">
        <v>273</v>
      </c>
      <c r="G1538" t="s">
        <v>4674</v>
      </c>
      <c r="H1538" t="s">
        <v>275</v>
      </c>
      <c r="I1538" t="s">
        <v>29</v>
      </c>
      <c r="J1538">
        <v>1</v>
      </c>
      <c r="K1538">
        <f>1-844-309-2655</f>
        <v>-3807</v>
      </c>
      <c r="L1538" t="s">
        <v>4756</v>
      </c>
      <c r="M1538" t="s">
        <v>4757</v>
      </c>
      <c r="N1538" t="s">
        <v>278</v>
      </c>
      <c r="O1538" t="s">
        <v>28</v>
      </c>
      <c r="P1538" t="s">
        <v>782</v>
      </c>
      <c r="Q1538">
        <v>-34</v>
      </c>
      <c r="R1538">
        <v>99.999999000000003</v>
      </c>
    </row>
    <row r="1539" spans="1:18" x14ac:dyDescent="0.2">
      <c r="A1539" t="s">
        <v>270</v>
      </c>
      <c r="B1539" t="s">
        <v>4672</v>
      </c>
      <c r="C1539">
        <v>1</v>
      </c>
      <c r="D1539" s="1">
        <v>44096.366249999999</v>
      </c>
      <c r="E1539" t="s">
        <v>4758</v>
      </c>
      <c r="F1539" t="s">
        <v>273</v>
      </c>
      <c r="G1539" t="s">
        <v>4674</v>
      </c>
      <c r="H1539" t="s">
        <v>275</v>
      </c>
      <c r="I1539" t="s">
        <v>29</v>
      </c>
      <c r="J1539">
        <v>1</v>
      </c>
      <c r="K1539">
        <f>1-844-318-5957</f>
        <v>-7118</v>
      </c>
      <c r="L1539" t="s">
        <v>4759</v>
      </c>
      <c r="M1539" t="s">
        <v>4760</v>
      </c>
      <c r="N1539" t="s">
        <v>278</v>
      </c>
      <c r="O1539" t="s">
        <v>28</v>
      </c>
      <c r="P1539" t="s">
        <v>782</v>
      </c>
      <c r="Q1539">
        <v>-34</v>
      </c>
      <c r="R1539">
        <v>99.999999000000003</v>
      </c>
    </row>
    <row r="1540" spans="1:18" x14ac:dyDescent="0.2">
      <c r="A1540" t="s">
        <v>270</v>
      </c>
      <c r="B1540" t="s">
        <v>4672</v>
      </c>
      <c r="C1540">
        <v>1</v>
      </c>
      <c r="D1540" s="1">
        <v>44095.790462962963</v>
      </c>
      <c r="E1540" t="s">
        <v>4761</v>
      </c>
      <c r="F1540" t="s">
        <v>273</v>
      </c>
      <c r="G1540" t="s">
        <v>4674</v>
      </c>
      <c r="H1540" t="s">
        <v>275</v>
      </c>
      <c r="I1540" t="s">
        <v>29</v>
      </c>
      <c r="J1540">
        <v>1</v>
      </c>
      <c r="K1540">
        <f>1-844-316-9077</f>
        <v>-10236</v>
      </c>
      <c r="L1540" t="s">
        <v>4762</v>
      </c>
      <c r="M1540" t="s">
        <v>4763</v>
      </c>
      <c r="N1540" t="s">
        <v>278</v>
      </c>
      <c r="O1540" t="s">
        <v>28</v>
      </c>
      <c r="P1540" t="s">
        <v>782</v>
      </c>
      <c r="Q1540">
        <v>-34</v>
      </c>
      <c r="R1540">
        <v>99.999999000000003</v>
      </c>
    </row>
    <row r="1541" spans="1:18" x14ac:dyDescent="0.2">
      <c r="A1541" t="s">
        <v>270</v>
      </c>
      <c r="B1541" t="s">
        <v>4672</v>
      </c>
      <c r="C1541">
        <v>1</v>
      </c>
      <c r="D1541" s="1">
        <v>44095.784212962964</v>
      </c>
      <c r="E1541" t="s">
        <v>4764</v>
      </c>
      <c r="F1541" t="s">
        <v>273</v>
      </c>
      <c r="G1541" t="s">
        <v>4674</v>
      </c>
      <c r="H1541" t="s">
        <v>275</v>
      </c>
      <c r="I1541" t="s">
        <v>29</v>
      </c>
      <c r="J1541">
        <v>1</v>
      </c>
      <c r="K1541">
        <f>1-844-288-9111</f>
        <v>-10242</v>
      </c>
      <c r="L1541" t="s">
        <v>4765</v>
      </c>
      <c r="M1541" t="s">
        <v>4766</v>
      </c>
      <c r="N1541" t="s">
        <v>278</v>
      </c>
      <c r="O1541" t="s">
        <v>28</v>
      </c>
      <c r="P1541" t="s">
        <v>782</v>
      </c>
      <c r="Q1541">
        <v>-34</v>
      </c>
      <c r="R1541">
        <v>99.999999000000003</v>
      </c>
    </row>
    <row r="1542" spans="1:18" x14ac:dyDescent="0.2">
      <c r="A1542" t="s">
        <v>270</v>
      </c>
      <c r="B1542" t="s">
        <v>4672</v>
      </c>
      <c r="C1542">
        <v>1</v>
      </c>
      <c r="D1542" s="1">
        <v>44090.991493055553</v>
      </c>
      <c r="E1542" t="s">
        <v>4767</v>
      </c>
      <c r="F1542" t="s">
        <v>273</v>
      </c>
      <c r="G1542" t="s">
        <v>4674</v>
      </c>
      <c r="H1542" t="s">
        <v>275</v>
      </c>
      <c r="I1542" t="s">
        <v>29</v>
      </c>
      <c r="J1542">
        <v>1</v>
      </c>
      <c r="K1542">
        <f>1-844-242-3148</f>
        <v>-4233</v>
      </c>
      <c r="L1542" t="s">
        <v>4768</v>
      </c>
      <c r="M1542" t="s">
        <v>4769</v>
      </c>
      <c r="N1542" t="s">
        <v>278</v>
      </c>
      <c r="O1542" t="s">
        <v>28</v>
      </c>
      <c r="P1542" t="s">
        <v>782</v>
      </c>
      <c r="Q1542">
        <v>-34</v>
      </c>
      <c r="R1542">
        <v>99.999999000000003</v>
      </c>
    </row>
    <row r="1543" spans="1:18" x14ac:dyDescent="0.2">
      <c r="A1543" t="s">
        <v>270</v>
      </c>
      <c r="B1543" t="s">
        <v>4672</v>
      </c>
      <c r="C1543">
        <v>1</v>
      </c>
      <c r="D1543" s="1">
        <v>44090.417048611111</v>
      </c>
      <c r="E1543" t="s">
        <v>4770</v>
      </c>
      <c r="F1543" t="s">
        <v>273</v>
      </c>
      <c r="G1543" t="s">
        <v>4674</v>
      </c>
      <c r="H1543" t="s">
        <v>275</v>
      </c>
      <c r="I1543" t="s">
        <v>29</v>
      </c>
      <c r="J1543">
        <v>1</v>
      </c>
      <c r="K1543">
        <f>1-844-318-8589</f>
        <v>-9750</v>
      </c>
      <c r="L1543" t="s">
        <v>4771</v>
      </c>
      <c r="M1543" t="s">
        <v>4772</v>
      </c>
      <c r="N1543" t="s">
        <v>278</v>
      </c>
      <c r="O1543" t="s">
        <v>28</v>
      </c>
      <c r="P1543" t="s">
        <v>782</v>
      </c>
      <c r="Q1543">
        <v>-34</v>
      </c>
      <c r="R1543">
        <v>99.999999000000003</v>
      </c>
    </row>
    <row r="1544" spans="1:18" x14ac:dyDescent="0.2">
      <c r="A1544" t="s">
        <v>270</v>
      </c>
      <c r="B1544" t="s">
        <v>4672</v>
      </c>
      <c r="C1544">
        <v>1</v>
      </c>
      <c r="D1544" s="1">
        <v>44090.414398148147</v>
      </c>
      <c r="E1544" t="s">
        <v>4773</v>
      </c>
      <c r="F1544" t="s">
        <v>273</v>
      </c>
      <c r="G1544" t="s">
        <v>4674</v>
      </c>
      <c r="H1544" t="s">
        <v>275</v>
      </c>
      <c r="I1544" t="s">
        <v>29</v>
      </c>
      <c r="J1544">
        <v>1</v>
      </c>
      <c r="K1544">
        <f>1-844-311-7591</f>
        <v>-8745</v>
      </c>
      <c r="L1544" t="s">
        <v>4774</v>
      </c>
      <c r="M1544" t="s">
        <v>4775</v>
      </c>
      <c r="N1544" t="s">
        <v>278</v>
      </c>
      <c r="O1544" t="s">
        <v>28</v>
      </c>
      <c r="P1544" t="s">
        <v>782</v>
      </c>
      <c r="Q1544">
        <v>-34</v>
      </c>
      <c r="R1544">
        <v>99.999999000000003</v>
      </c>
    </row>
    <row r="1545" spans="1:18" x14ac:dyDescent="0.2">
      <c r="A1545" t="s">
        <v>270</v>
      </c>
      <c r="B1545" t="s">
        <v>4672</v>
      </c>
      <c r="C1545">
        <v>1</v>
      </c>
      <c r="D1545" s="1">
        <v>44089.431701388887</v>
      </c>
      <c r="E1545" t="s">
        <v>4776</v>
      </c>
      <c r="F1545" t="s">
        <v>273</v>
      </c>
      <c r="G1545" t="s">
        <v>4674</v>
      </c>
      <c r="H1545" t="s">
        <v>275</v>
      </c>
      <c r="I1545" t="s">
        <v>29</v>
      </c>
      <c r="J1545">
        <v>1</v>
      </c>
      <c r="K1545">
        <f>1-844-210-4337</f>
        <v>-5390</v>
      </c>
      <c r="L1545" t="s">
        <v>4777</v>
      </c>
      <c r="M1545" t="s">
        <v>4778</v>
      </c>
      <c r="N1545" t="s">
        <v>278</v>
      </c>
      <c r="O1545" t="s">
        <v>28</v>
      </c>
      <c r="P1545" t="s">
        <v>782</v>
      </c>
      <c r="Q1545">
        <v>-34</v>
      </c>
      <c r="R1545">
        <v>99.999999000000003</v>
      </c>
    </row>
    <row r="1546" spans="1:18" x14ac:dyDescent="0.2">
      <c r="A1546" t="s">
        <v>270</v>
      </c>
      <c r="B1546" t="s">
        <v>4672</v>
      </c>
      <c r="C1546">
        <v>1</v>
      </c>
      <c r="D1546" s="1">
        <v>44089.431562500002</v>
      </c>
      <c r="E1546" t="s">
        <v>4779</v>
      </c>
      <c r="F1546" t="s">
        <v>273</v>
      </c>
      <c r="G1546" t="s">
        <v>4674</v>
      </c>
      <c r="H1546" t="s">
        <v>275</v>
      </c>
      <c r="I1546" t="s">
        <v>29</v>
      </c>
      <c r="J1546">
        <v>1</v>
      </c>
      <c r="K1546">
        <f>1-844-210-4337</f>
        <v>-5390</v>
      </c>
      <c r="L1546" t="s">
        <v>4780</v>
      </c>
      <c r="M1546" t="s">
        <v>4781</v>
      </c>
      <c r="N1546" t="s">
        <v>278</v>
      </c>
      <c r="O1546" t="s">
        <v>28</v>
      </c>
      <c r="P1546" t="s">
        <v>782</v>
      </c>
      <c r="Q1546">
        <v>-34</v>
      </c>
      <c r="R1546">
        <v>99.999999000000003</v>
      </c>
    </row>
    <row r="1547" spans="1:18" x14ac:dyDescent="0.2">
      <c r="A1547" t="s">
        <v>270</v>
      </c>
      <c r="B1547" t="s">
        <v>4672</v>
      </c>
      <c r="C1547">
        <v>1</v>
      </c>
      <c r="D1547" s="1">
        <v>44088.770451388889</v>
      </c>
      <c r="E1547" t="s">
        <v>4782</v>
      </c>
      <c r="F1547" t="s">
        <v>273</v>
      </c>
      <c r="G1547" t="s">
        <v>4674</v>
      </c>
      <c r="H1547" t="s">
        <v>275</v>
      </c>
      <c r="I1547" t="s">
        <v>29</v>
      </c>
      <c r="J1547">
        <v>1</v>
      </c>
      <c r="K1547">
        <f>1-844-212-7353</f>
        <v>-8408</v>
      </c>
      <c r="L1547" t="s">
        <v>4783</v>
      </c>
      <c r="M1547" t="s">
        <v>4784</v>
      </c>
      <c r="N1547" t="s">
        <v>278</v>
      </c>
      <c r="O1547" t="s">
        <v>28</v>
      </c>
      <c r="P1547" t="s">
        <v>782</v>
      </c>
      <c r="Q1547">
        <v>-34</v>
      </c>
      <c r="R1547">
        <v>99.999999000000003</v>
      </c>
    </row>
    <row r="1548" spans="1:18" x14ac:dyDescent="0.2">
      <c r="A1548" t="s">
        <v>270</v>
      </c>
      <c r="B1548" t="s">
        <v>4672</v>
      </c>
      <c r="C1548">
        <v>1</v>
      </c>
      <c r="D1548" s="1">
        <v>44088.775231481479</v>
      </c>
      <c r="E1548" t="s">
        <v>4785</v>
      </c>
      <c r="F1548" t="s">
        <v>273</v>
      </c>
      <c r="G1548" t="s">
        <v>4674</v>
      </c>
      <c r="H1548" t="s">
        <v>275</v>
      </c>
      <c r="I1548" t="s">
        <v>29</v>
      </c>
      <c r="J1548">
        <v>1</v>
      </c>
      <c r="K1548">
        <f>1-844-212-7353</f>
        <v>-8408</v>
      </c>
      <c r="L1548" t="s">
        <v>4786</v>
      </c>
      <c r="M1548" t="s">
        <v>4787</v>
      </c>
      <c r="N1548" t="s">
        <v>278</v>
      </c>
      <c r="O1548" t="s">
        <v>28</v>
      </c>
      <c r="P1548" t="s">
        <v>782</v>
      </c>
      <c r="Q1548">
        <v>-34</v>
      </c>
      <c r="R1548">
        <v>99.999999000000003</v>
      </c>
    </row>
    <row r="1549" spans="1:18" x14ac:dyDescent="0.2">
      <c r="A1549" t="s">
        <v>270</v>
      </c>
      <c r="B1549" t="s">
        <v>4672</v>
      </c>
      <c r="C1549">
        <v>1</v>
      </c>
      <c r="D1549" s="1">
        <v>44084.791388888887</v>
      </c>
      <c r="E1549" t="s">
        <v>4788</v>
      </c>
      <c r="F1549" t="s">
        <v>273</v>
      </c>
      <c r="G1549" t="s">
        <v>4674</v>
      </c>
      <c r="H1549" t="s">
        <v>275</v>
      </c>
      <c r="I1549" t="s">
        <v>29</v>
      </c>
      <c r="J1549">
        <v>1</v>
      </c>
      <c r="K1549">
        <f>1-844-318-7909</f>
        <v>-9070</v>
      </c>
      <c r="L1549" t="s">
        <v>4789</v>
      </c>
      <c r="M1549" t="s">
        <v>4790</v>
      </c>
      <c r="N1549" t="s">
        <v>278</v>
      </c>
      <c r="O1549" t="s">
        <v>28</v>
      </c>
      <c r="P1549" t="s">
        <v>782</v>
      </c>
      <c r="Q1549">
        <v>-34</v>
      </c>
      <c r="R1549">
        <v>99.999999000000003</v>
      </c>
    </row>
    <row r="1550" spans="1:18" x14ac:dyDescent="0.2">
      <c r="A1550" t="s">
        <v>270</v>
      </c>
      <c r="B1550" t="s">
        <v>4672</v>
      </c>
      <c r="C1550">
        <v>1</v>
      </c>
      <c r="D1550" s="1">
        <v>44084.783217592594</v>
      </c>
      <c r="E1550" t="s">
        <v>4791</v>
      </c>
      <c r="F1550" t="s">
        <v>273</v>
      </c>
      <c r="G1550" t="s">
        <v>4674</v>
      </c>
      <c r="H1550" t="s">
        <v>275</v>
      </c>
      <c r="I1550" t="s">
        <v>29</v>
      </c>
      <c r="J1550">
        <v>1</v>
      </c>
      <c r="K1550">
        <f>1-888-608-5109</f>
        <v>-6604</v>
      </c>
      <c r="L1550" t="s">
        <v>4792</v>
      </c>
      <c r="M1550" t="s">
        <v>4793</v>
      </c>
      <c r="N1550" t="s">
        <v>278</v>
      </c>
      <c r="O1550" t="s">
        <v>28</v>
      </c>
      <c r="P1550" t="s">
        <v>782</v>
      </c>
      <c r="Q1550">
        <v>-34</v>
      </c>
      <c r="R1550">
        <v>99.999999000000003</v>
      </c>
    </row>
    <row r="1551" spans="1:18" x14ac:dyDescent="0.2">
      <c r="A1551" t="s">
        <v>270</v>
      </c>
      <c r="B1551" t="s">
        <v>4672</v>
      </c>
      <c r="C1551">
        <v>1</v>
      </c>
      <c r="D1551" s="1">
        <v>44084.780150462961</v>
      </c>
      <c r="E1551" t="s">
        <v>4794</v>
      </c>
      <c r="F1551" t="s">
        <v>273</v>
      </c>
      <c r="G1551" t="s">
        <v>4674</v>
      </c>
      <c r="H1551" t="s">
        <v>275</v>
      </c>
      <c r="I1551" t="s">
        <v>29</v>
      </c>
      <c r="J1551">
        <v>1</v>
      </c>
      <c r="K1551">
        <f>1-888-608-5109</f>
        <v>-6604</v>
      </c>
      <c r="L1551" t="s">
        <v>4795</v>
      </c>
      <c r="M1551" t="s">
        <v>4796</v>
      </c>
      <c r="N1551" t="s">
        <v>278</v>
      </c>
      <c r="O1551" t="s">
        <v>28</v>
      </c>
      <c r="P1551" t="s">
        <v>782</v>
      </c>
      <c r="Q1551">
        <v>-34</v>
      </c>
      <c r="R1551">
        <v>99.999999000000003</v>
      </c>
    </row>
    <row r="1552" spans="1:18" x14ac:dyDescent="0.2">
      <c r="A1552" t="s">
        <v>270</v>
      </c>
      <c r="B1552" t="s">
        <v>4672</v>
      </c>
      <c r="C1552">
        <v>1</v>
      </c>
      <c r="D1552" s="1">
        <v>44083.91265046296</v>
      </c>
      <c r="E1552" t="s">
        <v>4797</v>
      </c>
      <c r="F1552" t="s">
        <v>273</v>
      </c>
      <c r="G1552" t="s">
        <v>4674</v>
      </c>
      <c r="H1552" t="s">
        <v>275</v>
      </c>
      <c r="I1552" t="s">
        <v>29</v>
      </c>
      <c r="J1552">
        <v>1</v>
      </c>
      <c r="K1552">
        <f>1-888-599-438</f>
        <v>-1924</v>
      </c>
      <c r="L1552" t="s">
        <v>4798</v>
      </c>
      <c r="M1552" t="s">
        <v>4799</v>
      </c>
      <c r="N1552" t="s">
        <v>278</v>
      </c>
      <c r="O1552" t="s">
        <v>28</v>
      </c>
      <c r="P1552" t="s">
        <v>782</v>
      </c>
      <c r="Q1552">
        <v>-34</v>
      </c>
      <c r="R1552">
        <v>99.999999000000003</v>
      </c>
    </row>
    <row r="1553" spans="1:18" x14ac:dyDescent="0.2">
      <c r="A1553" t="s">
        <v>270</v>
      </c>
      <c r="B1553" t="s">
        <v>4672</v>
      </c>
      <c r="C1553">
        <v>1</v>
      </c>
      <c r="D1553" s="1">
        <v>44083.895462962966</v>
      </c>
      <c r="E1553" t="s">
        <v>4800</v>
      </c>
      <c r="F1553" t="s">
        <v>273</v>
      </c>
      <c r="G1553" t="s">
        <v>4674</v>
      </c>
      <c r="H1553" t="s">
        <v>275</v>
      </c>
      <c r="I1553" t="s">
        <v>29</v>
      </c>
      <c r="J1553">
        <v>1</v>
      </c>
      <c r="K1553">
        <f>1-888-599-438</f>
        <v>-1924</v>
      </c>
      <c r="L1553" t="s">
        <v>4801</v>
      </c>
      <c r="M1553" t="s">
        <v>4802</v>
      </c>
      <c r="N1553" t="s">
        <v>278</v>
      </c>
      <c r="O1553" t="s">
        <v>28</v>
      </c>
      <c r="P1553" t="s">
        <v>782</v>
      </c>
      <c r="Q1553">
        <v>-34</v>
      </c>
      <c r="R1553">
        <v>99.999999000000003</v>
      </c>
    </row>
    <row r="1554" spans="1:18" x14ac:dyDescent="0.2">
      <c r="A1554" t="s">
        <v>270</v>
      </c>
      <c r="B1554" t="s">
        <v>4672</v>
      </c>
      <c r="C1554">
        <v>1</v>
      </c>
      <c r="D1554" s="1">
        <v>44083.829189814816</v>
      </c>
      <c r="E1554" t="s">
        <v>4803</v>
      </c>
      <c r="F1554" t="s">
        <v>273</v>
      </c>
      <c r="G1554" t="s">
        <v>4674</v>
      </c>
      <c r="H1554" t="s">
        <v>275</v>
      </c>
      <c r="I1554" t="s">
        <v>29</v>
      </c>
      <c r="J1554">
        <v>1</v>
      </c>
      <c r="K1554">
        <f>1-888-592-7014</f>
        <v>-8493</v>
      </c>
      <c r="L1554" t="s">
        <v>4804</v>
      </c>
      <c r="M1554" t="s">
        <v>4805</v>
      </c>
      <c r="N1554" t="s">
        <v>278</v>
      </c>
      <c r="O1554" t="s">
        <v>28</v>
      </c>
      <c r="P1554" t="s">
        <v>782</v>
      </c>
      <c r="Q1554">
        <v>-34</v>
      </c>
      <c r="R1554">
        <v>99.999999000000003</v>
      </c>
    </row>
    <row r="1555" spans="1:18" x14ac:dyDescent="0.2">
      <c r="A1555" t="s">
        <v>270</v>
      </c>
      <c r="B1555" t="s">
        <v>4672</v>
      </c>
      <c r="C1555">
        <v>1</v>
      </c>
      <c r="D1555" s="1">
        <v>44083.801446759258</v>
      </c>
      <c r="E1555" t="s">
        <v>4806</v>
      </c>
      <c r="F1555" t="s">
        <v>273</v>
      </c>
      <c r="G1555" t="s">
        <v>4674</v>
      </c>
      <c r="H1555" t="s">
        <v>275</v>
      </c>
      <c r="I1555" t="s">
        <v>29</v>
      </c>
      <c r="J1555">
        <v>1</v>
      </c>
      <c r="K1555">
        <f>1-888-585-5441</f>
        <v>-6913</v>
      </c>
      <c r="L1555" t="s">
        <v>4807</v>
      </c>
      <c r="M1555" t="s">
        <v>4808</v>
      </c>
      <c r="N1555" t="s">
        <v>278</v>
      </c>
      <c r="O1555" t="s">
        <v>28</v>
      </c>
      <c r="P1555" t="s">
        <v>782</v>
      </c>
      <c r="Q1555">
        <v>-34</v>
      </c>
      <c r="R1555">
        <v>99.999999000000003</v>
      </c>
    </row>
    <row r="1556" spans="1:18" x14ac:dyDescent="0.2">
      <c r="A1556" t="s">
        <v>270</v>
      </c>
      <c r="B1556" t="s">
        <v>4672</v>
      </c>
      <c r="C1556">
        <v>1</v>
      </c>
      <c r="D1556" s="1">
        <v>44078.857557870368</v>
      </c>
      <c r="E1556" t="s">
        <v>4809</v>
      </c>
      <c r="F1556" t="s">
        <v>273</v>
      </c>
      <c r="G1556" t="s">
        <v>4674</v>
      </c>
      <c r="H1556" t="s">
        <v>275</v>
      </c>
      <c r="I1556" t="s">
        <v>29</v>
      </c>
      <c r="J1556">
        <v>1</v>
      </c>
      <c r="K1556">
        <f>1-888-530-1472</f>
        <v>-2889</v>
      </c>
      <c r="L1556" t="s">
        <v>4810</v>
      </c>
      <c r="M1556" t="s">
        <v>4811</v>
      </c>
      <c r="N1556" t="s">
        <v>278</v>
      </c>
      <c r="O1556" t="s">
        <v>134</v>
      </c>
      <c r="P1556" t="s">
        <v>782</v>
      </c>
      <c r="Q1556">
        <v>-34</v>
      </c>
      <c r="R1556">
        <v>99.999999000000003</v>
      </c>
    </row>
    <row r="1557" spans="1:18" x14ac:dyDescent="0.2">
      <c r="A1557" t="s">
        <v>270</v>
      </c>
      <c r="B1557" t="s">
        <v>4672</v>
      </c>
      <c r="C1557">
        <v>1</v>
      </c>
      <c r="D1557" s="1">
        <v>44078.852280092593</v>
      </c>
      <c r="E1557" t="s">
        <v>4812</v>
      </c>
      <c r="F1557" t="s">
        <v>273</v>
      </c>
      <c r="G1557" t="s">
        <v>4674</v>
      </c>
      <c r="H1557" t="s">
        <v>275</v>
      </c>
      <c r="I1557" t="s">
        <v>29</v>
      </c>
      <c r="J1557">
        <v>1</v>
      </c>
      <c r="K1557">
        <f>1-866-754-7703</f>
        <v>-9322</v>
      </c>
      <c r="L1557" t="s">
        <v>4813</v>
      </c>
      <c r="M1557" t="s">
        <v>4814</v>
      </c>
      <c r="N1557" t="s">
        <v>278</v>
      </c>
      <c r="O1557" t="s">
        <v>134</v>
      </c>
      <c r="P1557" t="s">
        <v>782</v>
      </c>
      <c r="Q1557">
        <v>-34</v>
      </c>
      <c r="R1557">
        <v>99.999999000000003</v>
      </c>
    </row>
    <row r="1558" spans="1:18" x14ac:dyDescent="0.2">
      <c r="A1558" t="s">
        <v>270</v>
      </c>
      <c r="B1558" t="s">
        <v>4672</v>
      </c>
      <c r="C1558">
        <v>1</v>
      </c>
      <c r="D1558" s="1">
        <v>44078.85119212963</v>
      </c>
      <c r="E1558" t="s">
        <v>4815</v>
      </c>
      <c r="F1558" t="s">
        <v>273</v>
      </c>
      <c r="G1558" t="s">
        <v>4674</v>
      </c>
      <c r="H1558" t="s">
        <v>275</v>
      </c>
      <c r="I1558" t="s">
        <v>29</v>
      </c>
      <c r="J1558">
        <v>1</v>
      </c>
      <c r="K1558">
        <f>1-866-508-4958</f>
        <v>-6331</v>
      </c>
      <c r="L1558" t="s">
        <v>4816</v>
      </c>
      <c r="M1558" t="s">
        <v>4817</v>
      </c>
      <c r="N1558" t="s">
        <v>278</v>
      </c>
      <c r="O1558" t="s">
        <v>134</v>
      </c>
      <c r="P1558" t="s">
        <v>782</v>
      </c>
      <c r="Q1558">
        <v>-34</v>
      </c>
      <c r="R1558">
        <v>99.999999000000003</v>
      </c>
    </row>
    <row r="1559" spans="1:18" x14ac:dyDescent="0.2">
      <c r="A1559" t="s">
        <v>270</v>
      </c>
      <c r="B1559" t="s">
        <v>4672</v>
      </c>
      <c r="C1559">
        <v>1</v>
      </c>
      <c r="D1559" s="1">
        <v>44078.850115740737</v>
      </c>
      <c r="E1559" t="s">
        <v>4818</v>
      </c>
      <c r="F1559" t="s">
        <v>273</v>
      </c>
      <c r="G1559" t="s">
        <v>4674</v>
      </c>
      <c r="H1559" t="s">
        <v>275</v>
      </c>
      <c r="I1559" t="s">
        <v>29</v>
      </c>
      <c r="J1559">
        <v>1</v>
      </c>
      <c r="K1559">
        <f>1-866-759-9790</f>
        <v>-11414</v>
      </c>
      <c r="L1559" t="s">
        <v>4819</v>
      </c>
      <c r="M1559" t="s">
        <v>4820</v>
      </c>
      <c r="N1559" t="s">
        <v>278</v>
      </c>
      <c r="O1559" t="s">
        <v>134</v>
      </c>
      <c r="P1559" t="s">
        <v>782</v>
      </c>
      <c r="Q1559">
        <v>-34</v>
      </c>
      <c r="R1559">
        <v>99.999999000000003</v>
      </c>
    </row>
    <row r="1560" spans="1:18" x14ac:dyDescent="0.2">
      <c r="A1560" t="s">
        <v>270</v>
      </c>
      <c r="B1560" t="s">
        <v>4672</v>
      </c>
      <c r="C1560">
        <v>1</v>
      </c>
      <c r="D1560" s="1">
        <v>44078.849004629628</v>
      </c>
      <c r="E1560" t="s">
        <v>4821</v>
      </c>
      <c r="F1560" t="s">
        <v>273</v>
      </c>
      <c r="G1560" t="s">
        <v>4674</v>
      </c>
      <c r="H1560" t="s">
        <v>275</v>
      </c>
      <c r="I1560" t="s">
        <v>29</v>
      </c>
      <c r="J1560">
        <v>1</v>
      </c>
      <c r="K1560">
        <f>1-866-512-2889</f>
        <v>-4266</v>
      </c>
      <c r="L1560" t="s">
        <v>4822</v>
      </c>
      <c r="M1560" t="s">
        <v>4823</v>
      </c>
      <c r="N1560" t="s">
        <v>278</v>
      </c>
      <c r="O1560" t="s">
        <v>134</v>
      </c>
      <c r="P1560" t="s">
        <v>782</v>
      </c>
      <c r="Q1560">
        <v>-34</v>
      </c>
      <c r="R1560">
        <v>99.999999000000003</v>
      </c>
    </row>
    <row r="1561" spans="1:18" x14ac:dyDescent="0.2">
      <c r="A1561" t="s">
        <v>270</v>
      </c>
      <c r="B1561" t="s">
        <v>4672</v>
      </c>
      <c r="C1561">
        <v>1</v>
      </c>
      <c r="D1561" s="1">
        <v>44078.84820601852</v>
      </c>
      <c r="E1561" t="s">
        <v>4824</v>
      </c>
      <c r="F1561" t="s">
        <v>273</v>
      </c>
      <c r="G1561" t="s">
        <v>4674</v>
      </c>
      <c r="H1561" t="s">
        <v>275</v>
      </c>
      <c r="I1561" t="s">
        <v>29</v>
      </c>
      <c r="J1561">
        <v>1</v>
      </c>
      <c r="K1561">
        <f>1-866-754-7703</f>
        <v>-9322</v>
      </c>
      <c r="L1561" t="s">
        <v>4825</v>
      </c>
      <c r="M1561" t="s">
        <v>4826</v>
      </c>
      <c r="N1561" t="s">
        <v>278</v>
      </c>
      <c r="O1561" t="s">
        <v>134</v>
      </c>
      <c r="P1561" t="s">
        <v>782</v>
      </c>
      <c r="Q1561">
        <v>-34</v>
      </c>
      <c r="R1561">
        <v>99.999999000000003</v>
      </c>
    </row>
    <row r="1562" spans="1:18" x14ac:dyDescent="0.2">
      <c r="A1562" t="s">
        <v>270</v>
      </c>
      <c r="B1562" t="s">
        <v>4672</v>
      </c>
      <c r="C1562">
        <v>1</v>
      </c>
      <c r="D1562" s="1">
        <v>44075.760381944441</v>
      </c>
      <c r="E1562" t="s">
        <v>4827</v>
      </c>
      <c r="F1562" t="s">
        <v>273</v>
      </c>
      <c r="G1562" t="s">
        <v>4674</v>
      </c>
      <c r="H1562" t="s">
        <v>275</v>
      </c>
      <c r="I1562" t="s">
        <v>29</v>
      </c>
      <c r="J1562">
        <v>1</v>
      </c>
      <c r="K1562">
        <f>1-888-708-1143</f>
        <v>-2738</v>
      </c>
      <c r="L1562" t="s">
        <v>4828</v>
      </c>
      <c r="M1562" t="s">
        <v>4829</v>
      </c>
      <c r="N1562" t="s">
        <v>278</v>
      </c>
      <c r="O1562" t="s">
        <v>134</v>
      </c>
      <c r="P1562" t="s">
        <v>782</v>
      </c>
      <c r="Q1562">
        <v>-34</v>
      </c>
      <c r="R1562">
        <v>99.999999000000003</v>
      </c>
    </row>
    <row r="1563" spans="1:18" x14ac:dyDescent="0.2">
      <c r="A1563" t="s">
        <v>270</v>
      </c>
      <c r="B1563" t="s">
        <v>4672</v>
      </c>
      <c r="C1563">
        <v>1</v>
      </c>
      <c r="D1563" s="1">
        <v>44075.759583333333</v>
      </c>
      <c r="E1563" t="s">
        <v>4830</v>
      </c>
      <c r="F1563" t="s">
        <v>273</v>
      </c>
      <c r="G1563" t="s">
        <v>4674</v>
      </c>
      <c r="H1563" t="s">
        <v>275</v>
      </c>
      <c r="I1563" t="s">
        <v>29</v>
      </c>
      <c r="J1563">
        <v>1</v>
      </c>
      <c r="K1563">
        <f>1-888-705-928</f>
        <v>-2520</v>
      </c>
      <c r="L1563" t="s">
        <v>4831</v>
      </c>
      <c r="M1563" t="s">
        <v>4832</v>
      </c>
      <c r="N1563" t="s">
        <v>278</v>
      </c>
      <c r="O1563" t="s">
        <v>134</v>
      </c>
      <c r="P1563" t="s">
        <v>782</v>
      </c>
      <c r="Q1563">
        <v>-34</v>
      </c>
      <c r="R1563">
        <v>99.999999000000003</v>
      </c>
    </row>
    <row r="1564" spans="1:18" x14ac:dyDescent="0.2">
      <c r="A1564" t="s">
        <v>270</v>
      </c>
      <c r="B1564" t="s">
        <v>4672</v>
      </c>
      <c r="C1564">
        <v>1</v>
      </c>
      <c r="D1564" s="1">
        <v>44074.930798611109</v>
      </c>
      <c r="E1564" t="s">
        <v>4833</v>
      </c>
      <c r="F1564" t="s">
        <v>273</v>
      </c>
      <c r="G1564" t="s">
        <v>4674</v>
      </c>
      <c r="H1564" t="s">
        <v>275</v>
      </c>
      <c r="I1564" t="s">
        <v>29</v>
      </c>
      <c r="J1564">
        <v>1</v>
      </c>
      <c r="K1564">
        <f>1-888-651-2892</f>
        <v>-4430</v>
      </c>
      <c r="L1564" t="s">
        <v>4834</v>
      </c>
      <c r="M1564" t="s">
        <v>4835</v>
      </c>
      <c r="N1564" t="s">
        <v>278</v>
      </c>
      <c r="O1564" t="s">
        <v>28</v>
      </c>
      <c r="P1564" t="s">
        <v>782</v>
      </c>
      <c r="Q1564">
        <v>-34</v>
      </c>
      <c r="R1564">
        <v>99.999999000000003</v>
      </c>
    </row>
    <row r="1565" spans="1:18" x14ac:dyDescent="0.2">
      <c r="A1565" t="s">
        <v>270</v>
      </c>
      <c r="B1565" t="s">
        <v>4672</v>
      </c>
      <c r="C1565">
        <v>1</v>
      </c>
      <c r="D1565" s="1">
        <v>44074.929710648146</v>
      </c>
      <c r="E1565" t="s">
        <v>4836</v>
      </c>
      <c r="F1565" t="s">
        <v>273</v>
      </c>
      <c r="G1565" t="s">
        <v>4674</v>
      </c>
      <c r="H1565" t="s">
        <v>275</v>
      </c>
      <c r="I1565" t="s">
        <v>29</v>
      </c>
      <c r="J1565">
        <v>1</v>
      </c>
      <c r="K1565">
        <f>1-888-652-8170</f>
        <v>-9709</v>
      </c>
      <c r="L1565" t="s">
        <v>4837</v>
      </c>
      <c r="M1565" t="s">
        <v>4838</v>
      </c>
      <c r="N1565" t="s">
        <v>278</v>
      </c>
      <c r="O1565" t="s">
        <v>28</v>
      </c>
      <c r="P1565" t="s">
        <v>782</v>
      </c>
      <c r="Q1565">
        <v>-34</v>
      </c>
      <c r="R1565">
        <v>99.999999000000003</v>
      </c>
    </row>
    <row r="1566" spans="1:18" x14ac:dyDescent="0.2">
      <c r="A1566" t="s">
        <v>270</v>
      </c>
      <c r="B1566" t="s">
        <v>4672</v>
      </c>
      <c r="C1566">
        <v>1</v>
      </c>
      <c r="D1566" s="1">
        <v>44074.868171296293</v>
      </c>
      <c r="E1566" t="s">
        <v>4839</v>
      </c>
      <c r="F1566" t="s">
        <v>273</v>
      </c>
      <c r="G1566" t="s">
        <v>4674</v>
      </c>
      <c r="H1566" t="s">
        <v>275</v>
      </c>
      <c r="I1566" t="s">
        <v>29</v>
      </c>
      <c r="J1566">
        <v>1</v>
      </c>
      <c r="K1566">
        <f>1-888-590-4165</f>
        <v>-5642</v>
      </c>
      <c r="L1566" t="s">
        <v>4840</v>
      </c>
      <c r="M1566" t="s">
        <v>4841</v>
      </c>
      <c r="N1566" t="s">
        <v>278</v>
      </c>
      <c r="O1566" t="s">
        <v>28</v>
      </c>
      <c r="P1566" t="s">
        <v>782</v>
      </c>
      <c r="Q1566">
        <v>-34</v>
      </c>
      <c r="R1566">
        <v>99.999999000000003</v>
      </c>
    </row>
    <row r="1567" spans="1:18" x14ac:dyDescent="0.2">
      <c r="A1567" t="s">
        <v>270</v>
      </c>
      <c r="B1567" t="s">
        <v>4672</v>
      </c>
      <c r="C1567">
        <v>1</v>
      </c>
      <c r="D1567" s="1">
        <v>44073.942256944443</v>
      </c>
      <c r="E1567" t="s">
        <v>4842</v>
      </c>
      <c r="F1567" t="s">
        <v>273</v>
      </c>
      <c r="G1567" t="s">
        <v>4674</v>
      </c>
      <c r="H1567" t="s">
        <v>275</v>
      </c>
      <c r="I1567" t="s">
        <v>29</v>
      </c>
      <c r="J1567">
        <v>1</v>
      </c>
      <c r="K1567">
        <f>1-888-690-903</f>
        <v>-2480</v>
      </c>
      <c r="L1567" t="s">
        <v>4843</v>
      </c>
      <c r="M1567" t="s">
        <v>4844</v>
      </c>
      <c r="N1567" t="s">
        <v>278</v>
      </c>
      <c r="O1567" t="s">
        <v>134</v>
      </c>
      <c r="P1567" t="s">
        <v>782</v>
      </c>
      <c r="Q1567">
        <v>-34</v>
      </c>
      <c r="R1567">
        <v>99.999999000000003</v>
      </c>
    </row>
    <row r="1568" spans="1:18" x14ac:dyDescent="0.2">
      <c r="A1568" t="s">
        <v>270</v>
      </c>
      <c r="B1568" t="s">
        <v>4672</v>
      </c>
      <c r="C1568">
        <v>1</v>
      </c>
      <c r="D1568" s="1">
        <v>44073.941689814812</v>
      </c>
      <c r="E1568" t="s">
        <v>4845</v>
      </c>
      <c r="F1568" t="s">
        <v>273</v>
      </c>
      <c r="G1568" t="s">
        <v>4674</v>
      </c>
      <c r="H1568" t="s">
        <v>275</v>
      </c>
      <c r="I1568" t="s">
        <v>29</v>
      </c>
      <c r="J1568">
        <v>1</v>
      </c>
      <c r="K1568">
        <f>1-888-521-2495</f>
        <v>-3903</v>
      </c>
      <c r="L1568" t="s">
        <v>4846</v>
      </c>
      <c r="M1568" t="s">
        <v>4847</v>
      </c>
      <c r="N1568" t="s">
        <v>278</v>
      </c>
      <c r="O1568" t="s">
        <v>134</v>
      </c>
      <c r="P1568" t="s">
        <v>782</v>
      </c>
      <c r="Q1568">
        <v>-34</v>
      </c>
      <c r="R1568">
        <v>99.999999000000003</v>
      </c>
    </row>
    <row r="1569" spans="1:18" x14ac:dyDescent="0.2">
      <c r="A1569" t="s">
        <v>270</v>
      </c>
      <c r="B1569" t="s">
        <v>4672</v>
      </c>
      <c r="C1569">
        <v>1</v>
      </c>
      <c r="D1569" s="1">
        <v>44073.940601851849</v>
      </c>
      <c r="E1569" t="s">
        <v>4848</v>
      </c>
      <c r="F1569" t="s">
        <v>273</v>
      </c>
      <c r="G1569" t="s">
        <v>4674</v>
      </c>
      <c r="H1569" t="s">
        <v>275</v>
      </c>
      <c r="I1569" t="s">
        <v>29</v>
      </c>
      <c r="J1569">
        <v>1</v>
      </c>
      <c r="K1569">
        <f>1-888-851-688</f>
        <v>-2426</v>
      </c>
      <c r="L1569" t="s">
        <v>4849</v>
      </c>
      <c r="M1569" t="s">
        <v>4850</v>
      </c>
      <c r="N1569" t="s">
        <v>278</v>
      </c>
      <c r="O1569" t="s">
        <v>134</v>
      </c>
      <c r="P1569" t="s">
        <v>782</v>
      </c>
      <c r="Q1569">
        <v>-34</v>
      </c>
      <c r="R1569">
        <v>99.999999000000003</v>
      </c>
    </row>
    <row r="1570" spans="1:18" x14ac:dyDescent="0.2">
      <c r="A1570" t="s">
        <v>270</v>
      </c>
      <c r="B1570" t="s">
        <v>4672</v>
      </c>
      <c r="C1570">
        <v>1</v>
      </c>
      <c r="D1570" s="1">
        <v>44073.940046296295</v>
      </c>
      <c r="E1570" t="s">
        <v>4851</v>
      </c>
      <c r="F1570" t="s">
        <v>273</v>
      </c>
      <c r="G1570" t="s">
        <v>4674</v>
      </c>
      <c r="H1570" t="s">
        <v>275</v>
      </c>
      <c r="I1570" t="s">
        <v>29</v>
      </c>
      <c r="J1570">
        <v>1</v>
      </c>
      <c r="K1570">
        <f>1-888-383-551</f>
        <v>-1821</v>
      </c>
      <c r="L1570" t="s">
        <v>4852</v>
      </c>
      <c r="M1570" t="s">
        <v>4853</v>
      </c>
      <c r="N1570" t="s">
        <v>278</v>
      </c>
      <c r="O1570" t="s">
        <v>134</v>
      </c>
      <c r="P1570" t="s">
        <v>782</v>
      </c>
      <c r="Q1570">
        <v>-34</v>
      </c>
      <c r="R1570">
        <v>99.999999000000003</v>
      </c>
    </row>
    <row r="1571" spans="1:18" x14ac:dyDescent="0.2">
      <c r="A1571" t="s">
        <v>270</v>
      </c>
      <c r="B1571" t="s">
        <v>4672</v>
      </c>
      <c r="C1571">
        <v>1</v>
      </c>
      <c r="D1571" s="1">
        <v>44073.930162037039</v>
      </c>
      <c r="E1571" t="s">
        <v>4854</v>
      </c>
      <c r="F1571" t="s">
        <v>273</v>
      </c>
      <c r="G1571" t="s">
        <v>4674</v>
      </c>
      <c r="H1571" t="s">
        <v>275</v>
      </c>
      <c r="I1571" t="s">
        <v>29</v>
      </c>
      <c r="J1571">
        <v>1</v>
      </c>
      <c r="K1571">
        <f>1-888-534-316</f>
        <v>-1737</v>
      </c>
      <c r="L1571" t="s">
        <v>4855</v>
      </c>
      <c r="M1571" t="s">
        <v>4856</v>
      </c>
      <c r="N1571" t="s">
        <v>278</v>
      </c>
      <c r="O1571" t="s">
        <v>134</v>
      </c>
      <c r="P1571" t="s">
        <v>782</v>
      </c>
      <c r="Q1571">
        <v>-34</v>
      </c>
      <c r="R1571">
        <v>99.999999000000003</v>
      </c>
    </row>
    <row r="1572" spans="1:18" x14ac:dyDescent="0.2">
      <c r="A1572" t="s">
        <v>270</v>
      </c>
      <c r="B1572" t="s">
        <v>4672</v>
      </c>
      <c r="C1572">
        <v>1</v>
      </c>
      <c r="D1572" s="1">
        <v>44073.929618055554</v>
      </c>
      <c r="E1572" t="s">
        <v>4857</v>
      </c>
      <c r="F1572" t="s">
        <v>273</v>
      </c>
      <c r="G1572" t="s">
        <v>4674</v>
      </c>
      <c r="H1572" t="s">
        <v>275</v>
      </c>
      <c r="I1572" t="s">
        <v>29</v>
      </c>
      <c r="J1572">
        <v>1</v>
      </c>
      <c r="K1572">
        <f>1-888-534-316</f>
        <v>-1737</v>
      </c>
      <c r="L1572" t="s">
        <v>4858</v>
      </c>
      <c r="M1572" t="s">
        <v>4859</v>
      </c>
      <c r="N1572" t="s">
        <v>278</v>
      </c>
      <c r="O1572" t="s">
        <v>134</v>
      </c>
      <c r="P1572" t="s">
        <v>782</v>
      </c>
      <c r="Q1572">
        <v>-34</v>
      </c>
      <c r="R1572">
        <v>99.999999000000003</v>
      </c>
    </row>
    <row r="1573" spans="1:18" x14ac:dyDescent="0.2">
      <c r="A1573" t="s">
        <v>270</v>
      </c>
      <c r="B1573" t="s">
        <v>4672</v>
      </c>
      <c r="C1573">
        <v>1</v>
      </c>
      <c r="D1573" s="1">
        <v>44073.928553240738</v>
      </c>
      <c r="E1573" t="s">
        <v>4860</v>
      </c>
      <c r="F1573" t="s">
        <v>273</v>
      </c>
      <c r="G1573" t="s">
        <v>4674</v>
      </c>
      <c r="H1573" t="s">
        <v>275</v>
      </c>
      <c r="I1573" t="s">
        <v>29</v>
      </c>
      <c r="J1573">
        <v>1</v>
      </c>
      <c r="K1573">
        <f>1-888-531-9415</f>
        <v>-10833</v>
      </c>
      <c r="L1573" t="s">
        <v>4861</v>
      </c>
      <c r="M1573" t="s">
        <v>4862</v>
      </c>
      <c r="N1573" t="s">
        <v>278</v>
      </c>
      <c r="O1573" t="s">
        <v>134</v>
      </c>
      <c r="P1573" t="s">
        <v>782</v>
      </c>
      <c r="Q1573">
        <v>-34</v>
      </c>
      <c r="R1573">
        <v>99.999999000000003</v>
      </c>
    </row>
    <row r="1574" spans="1:18" x14ac:dyDescent="0.2">
      <c r="A1574" t="s">
        <v>270</v>
      </c>
      <c r="B1574" t="s">
        <v>4672</v>
      </c>
      <c r="C1574">
        <v>1</v>
      </c>
      <c r="D1574" s="1">
        <v>44073.927488425928</v>
      </c>
      <c r="E1574" t="s">
        <v>4863</v>
      </c>
      <c r="F1574" t="s">
        <v>273</v>
      </c>
      <c r="G1574" t="s">
        <v>4674</v>
      </c>
      <c r="H1574" t="s">
        <v>275</v>
      </c>
      <c r="I1574" t="s">
        <v>29</v>
      </c>
      <c r="J1574">
        <v>1</v>
      </c>
      <c r="K1574">
        <f>1-888-529-6205</f>
        <v>-7621</v>
      </c>
      <c r="L1574" t="s">
        <v>4864</v>
      </c>
      <c r="M1574" t="s">
        <v>4865</v>
      </c>
      <c r="N1574" t="s">
        <v>278</v>
      </c>
      <c r="O1574" t="s">
        <v>134</v>
      </c>
      <c r="P1574" t="s">
        <v>782</v>
      </c>
      <c r="Q1574">
        <v>-34</v>
      </c>
      <c r="R1574">
        <v>99.999999000000003</v>
      </c>
    </row>
    <row r="1575" spans="1:18" x14ac:dyDescent="0.2">
      <c r="A1575" t="s">
        <v>270</v>
      </c>
      <c r="B1575" t="s">
        <v>4672</v>
      </c>
      <c r="C1575">
        <v>1</v>
      </c>
      <c r="D1575" s="1">
        <v>44073.926342592589</v>
      </c>
      <c r="E1575" t="s">
        <v>4866</v>
      </c>
      <c r="F1575" t="s">
        <v>273</v>
      </c>
      <c r="G1575" t="s">
        <v>4674</v>
      </c>
      <c r="H1575" t="s">
        <v>275</v>
      </c>
      <c r="I1575" t="s">
        <v>29</v>
      </c>
      <c r="J1575">
        <v>1</v>
      </c>
      <c r="K1575">
        <f>1-888-538-1073</f>
        <v>-2498</v>
      </c>
      <c r="L1575" t="s">
        <v>4867</v>
      </c>
      <c r="M1575" t="s">
        <v>4868</v>
      </c>
      <c r="N1575" t="s">
        <v>278</v>
      </c>
      <c r="O1575" t="s">
        <v>134</v>
      </c>
      <c r="P1575" t="s">
        <v>782</v>
      </c>
      <c r="Q1575">
        <v>-34</v>
      </c>
      <c r="R1575">
        <v>99.999999000000003</v>
      </c>
    </row>
    <row r="1576" spans="1:18" x14ac:dyDescent="0.2">
      <c r="A1576" t="s">
        <v>270</v>
      </c>
      <c r="B1576" t="s">
        <v>4672</v>
      </c>
      <c r="C1576">
        <v>1</v>
      </c>
      <c r="D1576" s="1">
        <v>44073.063599537039</v>
      </c>
      <c r="E1576" t="s">
        <v>4869</v>
      </c>
      <c r="F1576" t="s">
        <v>273</v>
      </c>
      <c r="G1576" t="s">
        <v>4674</v>
      </c>
      <c r="H1576" t="s">
        <v>275</v>
      </c>
      <c r="I1576" t="s">
        <v>29</v>
      </c>
      <c r="J1576">
        <v>1</v>
      </c>
      <c r="K1576">
        <f>1-888-417-4066</f>
        <v>-5370</v>
      </c>
      <c r="L1576" t="s">
        <v>4870</v>
      </c>
      <c r="M1576" t="s">
        <v>4871</v>
      </c>
      <c r="N1576" t="s">
        <v>278</v>
      </c>
      <c r="O1576" t="s">
        <v>134</v>
      </c>
      <c r="P1576" t="s">
        <v>782</v>
      </c>
      <c r="Q1576">
        <v>-34</v>
      </c>
      <c r="R1576">
        <v>99.999999000000003</v>
      </c>
    </row>
    <row r="1577" spans="1:18" x14ac:dyDescent="0.2">
      <c r="A1577" t="s">
        <v>270</v>
      </c>
      <c r="B1577" t="s">
        <v>4672</v>
      </c>
      <c r="C1577">
        <v>1</v>
      </c>
      <c r="D1577" s="1">
        <v>44073.026956018519</v>
      </c>
      <c r="E1577" t="s">
        <v>4872</v>
      </c>
      <c r="F1577" t="s">
        <v>273</v>
      </c>
      <c r="G1577" t="s">
        <v>4674</v>
      </c>
      <c r="H1577" t="s">
        <v>275</v>
      </c>
      <c r="I1577" t="s">
        <v>29</v>
      </c>
      <c r="J1577">
        <v>1</v>
      </c>
      <c r="K1577">
        <f>1-888-909-1336</f>
        <v>-3132</v>
      </c>
      <c r="L1577" t="s">
        <v>4873</v>
      </c>
      <c r="M1577" t="s">
        <v>4874</v>
      </c>
      <c r="N1577" t="s">
        <v>278</v>
      </c>
      <c r="O1577" t="s">
        <v>134</v>
      </c>
      <c r="P1577" t="s">
        <v>782</v>
      </c>
      <c r="Q1577">
        <v>-34</v>
      </c>
      <c r="R1577">
        <v>99.999999000000003</v>
      </c>
    </row>
    <row r="1578" spans="1:18" x14ac:dyDescent="0.2">
      <c r="A1578" t="s">
        <v>270</v>
      </c>
      <c r="B1578" t="s">
        <v>4672</v>
      </c>
      <c r="C1578">
        <v>1</v>
      </c>
      <c r="D1578" s="1">
        <v>44073.057442129626</v>
      </c>
      <c r="E1578" t="s">
        <v>4875</v>
      </c>
      <c r="F1578" t="s">
        <v>273</v>
      </c>
      <c r="G1578" t="s">
        <v>4674</v>
      </c>
      <c r="H1578" t="s">
        <v>275</v>
      </c>
      <c r="I1578" t="s">
        <v>29</v>
      </c>
      <c r="J1578">
        <v>1</v>
      </c>
      <c r="K1578">
        <f>1-888-541-8493</f>
        <v>-9921</v>
      </c>
      <c r="L1578" t="s">
        <v>4876</v>
      </c>
      <c r="M1578" t="s">
        <v>4877</v>
      </c>
      <c r="N1578" t="s">
        <v>278</v>
      </c>
      <c r="O1578" t="s">
        <v>134</v>
      </c>
      <c r="P1578" t="s">
        <v>782</v>
      </c>
      <c r="Q1578">
        <v>-34</v>
      </c>
      <c r="R1578">
        <v>99.999999000000003</v>
      </c>
    </row>
    <row r="1579" spans="1:18" x14ac:dyDescent="0.2">
      <c r="A1579" t="s">
        <v>270</v>
      </c>
      <c r="B1579" t="s">
        <v>4672</v>
      </c>
      <c r="C1579">
        <v>1</v>
      </c>
      <c r="D1579" s="1">
        <v>44072.87023148148</v>
      </c>
      <c r="E1579" t="s">
        <v>4878</v>
      </c>
      <c r="F1579" t="s">
        <v>273</v>
      </c>
      <c r="G1579" t="s">
        <v>4674</v>
      </c>
      <c r="H1579" t="s">
        <v>275</v>
      </c>
      <c r="I1579" t="s">
        <v>29</v>
      </c>
      <c r="J1579">
        <v>1</v>
      </c>
      <c r="K1579">
        <f>1-888-662-8133</f>
        <v>-9682</v>
      </c>
      <c r="L1579" t="s">
        <v>4879</v>
      </c>
      <c r="M1579" t="s">
        <v>4880</v>
      </c>
      <c r="N1579" t="s">
        <v>278</v>
      </c>
      <c r="O1579" t="s">
        <v>134</v>
      </c>
      <c r="P1579" t="s">
        <v>782</v>
      </c>
      <c r="Q1579">
        <v>-34</v>
      </c>
      <c r="R1579">
        <v>99.999999000000003</v>
      </c>
    </row>
    <row r="1580" spans="1:18" x14ac:dyDescent="0.2">
      <c r="A1580" t="s">
        <v>270</v>
      </c>
      <c r="B1580" t="s">
        <v>4672</v>
      </c>
      <c r="C1580">
        <v>1</v>
      </c>
      <c r="D1580" s="1">
        <v>44072.869143518517</v>
      </c>
      <c r="E1580" t="s">
        <v>4881</v>
      </c>
      <c r="F1580" t="s">
        <v>273</v>
      </c>
      <c r="G1580" t="s">
        <v>4674</v>
      </c>
      <c r="H1580" t="s">
        <v>275</v>
      </c>
      <c r="I1580" t="s">
        <v>29</v>
      </c>
      <c r="J1580">
        <v>1</v>
      </c>
      <c r="K1580">
        <f>1-888-609-3819</f>
        <v>-5315</v>
      </c>
      <c r="L1580" t="s">
        <v>4882</v>
      </c>
      <c r="M1580" t="s">
        <v>4883</v>
      </c>
      <c r="N1580" t="s">
        <v>278</v>
      </c>
      <c r="O1580" t="s">
        <v>134</v>
      </c>
      <c r="P1580" t="s">
        <v>782</v>
      </c>
      <c r="Q1580">
        <v>-34</v>
      </c>
      <c r="R1580">
        <v>99.999999000000003</v>
      </c>
    </row>
    <row r="1581" spans="1:18" x14ac:dyDescent="0.2">
      <c r="A1581" t="s">
        <v>270</v>
      </c>
      <c r="B1581" t="s">
        <v>4672</v>
      </c>
      <c r="C1581">
        <v>1</v>
      </c>
      <c r="D1581" s="1">
        <v>44072.867060185185</v>
      </c>
      <c r="E1581" t="s">
        <v>4884</v>
      </c>
      <c r="F1581" t="s">
        <v>273</v>
      </c>
      <c r="G1581" t="s">
        <v>4674</v>
      </c>
      <c r="H1581" t="s">
        <v>275</v>
      </c>
      <c r="I1581" t="s">
        <v>29</v>
      </c>
      <c r="J1581">
        <v>1</v>
      </c>
      <c r="K1581">
        <f>1-888-604-806</f>
        <v>-2297</v>
      </c>
      <c r="L1581" t="s">
        <v>4885</v>
      </c>
      <c r="M1581" t="s">
        <v>4886</v>
      </c>
      <c r="N1581" t="s">
        <v>278</v>
      </c>
      <c r="O1581" t="s">
        <v>134</v>
      </c>
      <c r="P1581" t="s">
        <v>782</v>
      </c>
      <c r="Q1581">
        <v>-34</v>
      </c>
      <c r="R1581">
        <v>99.999999000000003</v>
      </c>
    </row>
    <row r="1582" spans="1:18" x14ac:dyDescent="0.2">
      <c r="A1582" t="s">
        <v>270</v>
      </c>
      <c r="B1582" t="s">
        <v>4672</v>
      </c>
      <c r="C1582">
        <v>1</v>
      </c>
      <c r="D1582" s="1">
        <v>44072.865995370368</v>
      </c>
      <c r="E1582" t="s">
        <v>4887</v>
      </c>
      <c r="F1582" t="s">
        <v>273</v>
      </c>
      <c r="G1582" t="s">
        <v>4674</v>
      </c>
      <c r="H1582" t="s">
        <v>275</v>
      </c>
      <c r="I1582" t="s">
        <v>29</v>
      </c>
      <c r="J1582">
        <v>1</v>
      </c>
      <c r="K1582">
        <f>1-888-604-806</f>
        <v>-2297</v>
      </c>
      <c r="L1582" t="s">
        <v>4888</v>
      </c>
      <c r="M1582" t="s">
        <v>4889</v>
      </c>
      <c r="N1582" t="s">
        <v>278</v>
      </c>
      <c r="O1582" t="s">
        <v>134</v>
      </c>
      <c r="P1582" t="s">
        <v>782</v>
      </c>
      <c r="Q1582">
        <v>-34</v>
      </c>
      <c r="R1582">
        <v>99.999999000000003</v>
      </c>
    </row>
    <row r="1583" spans="1:18" x14ac:dyDescent="0.2">
      <c r="A1583" t="s">
        <v>270</v>
      </c>
      <c r="B1583" t="s">
        <v>4672</v>
      </c>
      <c r="C1583">
        <v>1</v>
      </c>
      <c r="D1583" s="1">
        <v>44072.864803240744</v>
      </c>
      <c r="E1583" t="s">
        <v>4890</v>
      </c>
      <c r="F1583" t="s">
        <v>273</v>
      </c>
      <c r="G1583" t="s">
        <v>4674</v>
      </c>
      <c r="H1583" t="s">
        <v>275</v>
      </c>
      <c r="I1583" t="s">
        <v>29</v>
      </c>
      <c r="J1583">
        <v>1</v>
      </c>
      <c r="K1583">
        <f>1-888-650-4670</f>
        <v>-6207</v>
      </c>
      <c r="L1583" t="s">
        <v>4891</v>
      </c>
      <c r="M1583" t="s">
        <v>4892</v>
      </c>
      <c r="N1583" t="s">
        <v>278</v>
      </c>
      <c r="O1583" t="s">
        <v>134</v>
      </c>
      <c r="P1583" t="s">
        <v>782</v>
      </c>
      <c r="Q1583">
        <v>-34</v>
      </c>
      <c r="R1583">
        <v>99.999999000000003</v>
      </c>
    </row>
    <row r="1584" spans="1:18" x14ac:dyDescent="0.2">
      <c r="A1584" t="s">
        <v>270</v>
      </c>
      <c r="B1584" t="s">
        <v>4672</v>
      </c>
      <c r="C1584">
        <v>1</v>
      </c>
      <c r="D1584" s="1">
        <v>44072.863483796296</v>
      </c>
      <c r="E1584" t="s">
        <v>4893</v>
      </c>
      <c r="F1584" t="s">
        <v>273</v>
      </c>
      <c r="G1584" t="s">
        <v>4674</v>
      </c>
      <c r="H1584" t="s">
        <v>275</v>
      </c>
      <c r="I1584" t="s">
        <v>29</v>
      </c>
      <c r="J1584">
        <v>1</v>
      </c>
      <c r="K1584">
        <f>1-888-658-5805</f>
        <v>-7350</v>
      </c>
      <c r="L1584" t="s">
        <v>4894</v>
      </c>
      <c r="M1584" t="s">
        <v>4895</v>
      </c>
      <c r="N1584" t="s">
        <v>278</v>
      </c>
      <c r="O1584" t="s">
        <v>134</v>
      </c>
      <c r="P1584" t="s">
        <v>782</v>
      </c>
      <c r="Q1584">
        <v>-34</v>
      </c>
      <c r="R1584">
        <v>99.999999000000003</v>
      </c>
    </row>
    <row r="1585" spans="1:18" x14ac:dyDescent="0.2">
      <c r="A1585" t="s">
        <v>270</v>
      </c>
      <c r="B1585" t="s">
        <v>4672</v>
      </c>
      <c r="C1585">
        <v>1</v>
      </c>
      <c r="D1585" s="1">
        <v>44072.29105324074</v>
      </c>
      <c r="E1585" t="s">
        <v>4896</v>
      </c>
      <c r="F1585" t="s">
        <v>273</v>
      </c>
      <c r="G1585" t="s">
        <v>4674</v>
      </c>
      <c r="H1585" t="s">
        <v>275</v>
      </c>
      <c r="I1585" t="s">
        <v>29</v>
      </c>
      <c r="J1585">
        <v>1</v>
      </c>
      <c r="K1585">
        <f>1-888-658-5805</f>
        <v>-7350</v>
      </c>
      <c r="L1585" t="s">
        <v>4897</v>
      </c>
      <c r="M1585" t="s">
        <v>4898</v>
      </c>
      <c r="N1585" t="s">
        <v>278</v>
      </c>
      <c r="O1585" t="s">
        <v>134</v>
      </c>
      <c r="P1585" t="s">
        <v>782</v>
      </c>
      <c r="Q1585">
        <v>-34</v>
      </c>
      <c r="R1585">
        <v>99.999999000000003</v>
      </c>
    </row>
    <row r="1586" spans="1:18" x14ac:dyDescent="0.2">
      <c r="A1586" t="s">
        <v>270</v>
      </c>
      <c r="B1586" t="s">
        <v>4672</v>
      </c>
      <c r="C1586">
        <v>1</v>
      </c>
      <c r="D1586" s="1">
        <v>44071.97619212963</v>
      </c>
      <c r="E1586" t="s">
        <v>4899</v>
      </c>
      <c r="F1586" t="s">
        <v>273</v>
      </c>
      <c r="G1586" t="s">
        <v>4674</v>
      </c>
      <c r="H1586" t="s">
        <v>275</v>
      </c>
      <c r="I1586" t="s">
        <v>29</v>
      </c>
      <c r="J1586">
        <v>1</v>
      </c>
      <c r="K1586">
        <f>1-888-525-642</f>
        <v>-2054</v>
      </c>
      <c r="L1586" t="s">
        <v>4900</v>
      </c>
      <c r="M1586" t="s">
        <v>4901</v>
      </c>
      <c r="N1586" t="s">
        <v>278</v>
      </c>
      <c r="O1586" t="s">
        <v>134</v>
      </c>
      <c r="P1586" t="s">
        <v>782</v>
      </c>
      <c r="Q1586">
        <v>-34</v>
      </c>
      <c r="R1586">
        <v>99.999999000000003</v>
      </c>
    </row>
    <row r="1587" spans="1:18" x14ac:dyDescent="0.2">
      <c r="A1587" t="s">
        <v>270</v>
      </c>
      <c r="B1587" t="s">
        <v>4672</v>
      </c>
      <c r="C1587">
        <v>1</v>
      </c>
      <c r="D1587" s="1">
        <v>44071.975624999999</v>
      </c>
      <c r="E1587" t="s">
        <v>4902</v>
      </c>
      <c r="F1587" t="s">
        <v>273</v>
      </c>
      <c r="G1587" t="s">
        <v>4674</v>
      </c>
      <c r="H1587" t="s">
        <v>275</v>
      </c>
      <c r="I1587" t="s">
        <v>29</v>
      </c>
      <c r="J1587">
        <v>1</v>
      </c>
      <c r="K1587">
        <f>1-888-598-1347</f>
        <v>-2832</v>
      </c>
      <c r="L1587" t="s">
        <v>4903</v>
      </c>
      <c r="M1587" t="s">
        <v>4904</v>
      </c>
      <c r="N1587" t="s">
        <v>278</v>
      </c>
      <c r="O1587" t="s">
        <v>134</v>
      </c>
      <c r="P1587" t="s">
        <v>782</v>
      </c>
      <c r="Q1587">
        <v>-34</v>
      </c>
      <c r="R1587">
        <v>99.999999000000003</v>
      </c>
    </row>
    <row r="1588" spans="1:18" x14ac:dyDescent="0.2">
      <c r="A1588" t="s">
        <v>270</v>
      </c>
      <c r="B1588" t="s">
        <v>4672</v>
      </c>
      <c r="C1588">
        <v>1</v>
      </c>
      <c r="D1588" s="1">
        <v>44071.974456018521</v>
      </c>
      <c r="E1588" t="s">
        <v>4905</v>
      </c>
      <c r="F1588" t="s">
        <v>273</v>
      </c>
      <c r="G1588" t="s">
        <v>4674</v>
      </c>
      <c r="H1588" t="s">
        <v>275</v>
      </c>
      <c r="I1588" t="s">
        <v>29</v>
      </c>
      <c r="J1588">
        <v>1</v>
      </c>
      <c r="K1588">
        <f>1-888-851-676</f>
        <v>-2414</v>
      </c>
      <c r="L1588" t="s">
        <v>4906</v>
      </c>
      <c r="M1588" t="s">
        <v>4907</v>
      </c>
      <c r="N1588" t="s">
        <v>278</v>
      </c>
      <c r="O1588" t="s">
        <v>134</v>
      </c>
      <c r="P1588" t="s">
        <v>782</v>
      </c>
      <c r="Q1588">
        <v>-34</v>
      </c>
      <c r="R1588">
        <v>99.999999000000003</v>
      </c>
    </row>
    <row r="1589" spans="1:18" x14ac:dyDescent="0.2">
      <c r="A1589" t="s">
        <v>270</v>
      </c>
      <c r="B1589" t="s">
        <v>4672</v>
      </c>
      <c r="C1589">
        <v>1</v>
      </c>
      <c r="D1589" s="1">
        <v>44071.973275462966</v>
      </c>
      <c r="E1589" t="s">
        <v>4908</v>
      </c>
      <c r="F1589" t="s">
        <v>273</v>
      </c>
      <c r="G1589" t="s">
        <v>4674</v>
      </c>
      <c r="H1589" t="s">
        <v>275</v>
      </c>
      <c r="I1589" t="s">
        <v>29</v>
      </c>
      <c r="J1589">
        <v>1</v>
      </c>
      <c r="K1589">
        <f>1-888-525-642</f>
        <v>-2054</v>
      </c>
      <c r="L1589" t="s">
        <v>4909</v>
      </c>
      <c r="M1589" t="s">
        <v>4910</v>
      </c>
      <c r="N1589" t="s">
        <v>278</v>
      </c>
      <c r="O1589" t="s">
        <v>134</v>
      </c>
      <c r="P1589" t="s">
        <v>782</v>
      </c>
      <c r="Q1589">
        <v>-34</v>
      </c>
      <c r="R1589">
        <v>99.999999000000003</v>
      </c>
    </row>
    <row r="1590" spans="1:18" x14ac:dyDescent="0.2">
      <c r="A1590" t="s">
        <v>270</v>
      </c>
      <c r="B1590" t="s">
        <v>4672</v>
      </c>
      <c r="C1590">
        <v>1</v>
      </c>
      <c r="D1590" s="1">
        <v>44071.915844907409</v>
      </c>
      <c r="E1590" t="s">
        <v>4911</v>
      </c>
      <c r="F1590" t="s">
        <v>273</v>
      </c>
      <c r="G1590" t="s">
        <v>4674</v>
      </c>
      <c r="H1590" t="s">
        <v>275</v>
      </c>
      <c r="I1590" t="s">
        <v>29</v>
      </c>
      <c r="J1590">
        <v>1</v>
      </c>
      <c r="K1590">
        <f>1-888-706-1244</f>
        <v>-2837</v>
      </c>
      <c r="L1590" t="s">
        <v>4912</v>
      </c>
      <c r="M1590" t="s">
        <v>4913</v>
      </c>
      <c r="N1590" t="s">
        <v>278</v>
      </c>
      <c r="O1590" t="s">
        <v>134</v>
      </c>
      <c r="P1590" t="s">
        <v>782</v>
      </c>
      <c r="Q1590">
        <v>-34</v>
      </c>
      <c r="R1590">
        <v>99.999999000000003</v>
      </c>
    </row>
    <row r="1591" spans="1:18" x14ac:dyDescent="0.2">
      <c r="A1591" t="s">
        <v>270</v>
      </c>
      <c r="B1591" t="s">
        <v>4672</v>
      </c>
      <c r="C1591">
        <v>1</v>
      </c>
      <c r="D1591" s="1">
        <v>44071.915416666663</v>
      </c>
      <c r="E1591" t="s">
        <v>4914</v>
      </c>
      <c r="F1591" t="s">
        <v>273</v>
      </c>
      <c r="G1591" t="s">
        <v>4674</v>
      </c>
      <c r="H1591" t="s">
        <v>275</v>
      </c>
      <c r="I1591" t="s">
        <v>29</v>
      </c>
      <c r="J1591">
        <v>1</v>
      </c>
      <c r="K1591">
        <f>1-888-312-1383</f>
        <v>-2582</v>
      </c>
      <c r="L1591" t="s">
        <v>4915</v>
      </c>
      <c r="M1591" t="s">
        <v>4916</v>
      </c>
      <c r="N1591" t="s">
        <v>278</v>
      </c>
      <c r="O1591" t="s">
        <v>134</v>
      </c>
      <c r="P1591" t="s">
        <v>782</v>
      </c>
      <c r="Q1591">
        <v>-34</v>
      </c>
      <c r="R1591">
        <v>99.999999000000003</v>
      </c>
    </row>
    <row r="1592" spans="1:18" x14ac:dyDescent="0.2">
      <c r="A1592" t="s">
        <v>270</v>
      </c>
      <c r="B1592" t="s">
        <v>4672</v>
      </c>
      <c r="C1592">
        <v>1</v>
      </c>
      <c r="D1592" s="1">
        <v>44071.906215277777</v>
      </c>
      <c r="E1592" t="s">
        <v>4917</v>
      </c>
      <c r="F1592" t="s">
        <v>273</v>
      </c>
      <c r="G1592" t="s">
        <v>4674</v>
      </c>
      <c r="H1592" t="s">
        <v>275</v>
      </c>
      <c r="I1592" t="s">
        <v>29</v>
      </c>
      <c r="J1592">
        <v>1</v>
      </c>
      <c r="K1592">
        <f>1-888-803-850</f>
        <v>-2540</v>
      </c>
      <c r="L1592" t="s">
        <v>4918</v>
      </c>
      <c r="M1592" t="s">
        <v>4919</v>
      </c>
      <c r="N1592" t="s">
        <v>278</v>
      </c>
      <c r="O1592" t="s">
        <v>134</v>
      </c>
      <c r="P1592" t="s">
        <v>782</v>
      </c>
      <c r="Q1592">
        <v>-34</v>
      </c>
      <c r="R1592">
        <v>99.999999000000003</v>
      </c>
    </row>
    <row r="1593" spans="1:18" x14ac:dyDescent="0.2">
      <c r="A1593" t="s">
        <v>270</v>
      </c>
      <c r="B1593" t="s">
        <v>4672</v>
      </c>
      <c r="C1593">
        <v>1</v>
      </c>
      <c r="D1593" s="1">
        <v>44071.905277777776</v>
      </c>
      <c r="E1593" t="s">
        <v>4920</v>
      </c>
      <c r="F1593" t="s">
        <v>273</v>
      </c>
      <c r="G1593" t="s">
        <v>4674</v>
      </c>
      <c r="H1593" t="s">
        <v>275</v>
      </c>
      <c r="I1593" t="s">
        <v>29</v>
      </c>
      <c r="J1593">
        <v>1</v>
      </c>
      <c r="K1593">
        <f>1-888-803-850</f>
        <v>-2540</v>
      </c>
      <c r="L1593" t="s">
        <v>4921</v>
      </c>
      <c r="M1593" t="s">
        <v>4922</v>
      </c>
      <c r="N1593" t="s">
        <v>278</v>
      </c>
      <c r="O1593" t="s">
        <v>134</v>
      </c>
      <c r="P1593" t="s">
        <v>782</v>
      </c>
      <c r="Q1593">
        <v>-34</v>
      </c>
      <c r="R1593">
        <v>99.999999000000003</v>
      </c>
    </row>
    <row r="1594" spans="1:18" x14ac:dyDescent="0.2">
      <c r="A1594" t="s">
        <v>270</v>
      </c>
      <c r="B1594" t="s">
        <v>4672</v>
      </c>
      <c r="C1594">
        <v>1</v>
      </c>
      <c r="D1594" s="1">
        <v>44071.904282407406</v>
      </c>
      <c r="E1594" t="s">
        <v>4923</v>
      </c>
      <c r="F1594" t="s">
        <v>273</v>
      </c>
      <c r="G1594" t="s">
        <v>4674</v>
      </c>
      <c r="H1594" t="s">
        <v>275</v>
      </c>
      <c r="I1594" t="s">
        <v>29</v>
      </c>
      <c r="J1594">
        <v>1</v>
      </c>
      <c r="K1594">
        <f>1-888-383-569</f>
        <v>-1839</v>
      </c>
      <c r="L1594" t="s">
        <v>4924</v>
      </c>
      <c r="M1594" t="s">
        <v>4925</v>
      </c>
      <c r="N1594" t="s">
        <v>278</v>
      </c>
      <c r="O1594" t="s">
        <v>134</v>
      </c>
      <c r="P1594" t="s">
        <v>782</v>
      </c>
      <c r="Q1594">
        <v>-34</v>
      </c>
      <c r="R1594">
        <v>99.999999000000003</v>
      </c>
    </row>
    <row r="1595" spans="1:18" x14ac:dyDescent="0.2">
      <c r="A1595" t="s">
        <v>270</v>
      </c>
      <c r="B1595" t="s">
        <v>4672</v>
      </c>
      <c r="C1595">
        <v>1</v>
      </c>
      <c r="D1595" s="1">
        <v>44071.904004629629</v>
      </c>
      <c r="E1595" t="s">
        <v>4926</v>
      </c>
      <c r="F1595" t="s">
        <v>273</v>
      </c>
      <c r="G1595" t="s">
        <v>4674</v>
      </c>
      <c r="H1595" t="s">
        <v>275</v>
      </c>
      <c r="I1595" t="s">
        <v>29</v>
      </c>
      <c r="J1595">
        <v>1</v>
      </c>
      <c r="K1595">
        <f>1-888-851-587</f>
        <v>-2325</v>
      </c>
      <c r="L1595" t="s">
        <v>4927</v>
      </c>
      <c r="M1595" t="s">
        <v>4928</v>
      </c>
      <c r="N1595" t="s">
        <v>278</v>
      </c>
      <c r="O1595" t="s">
        <v>134</v>
      </c>
      <c r="P1595" t="s">
        <v>782</v>
      </c>
      <c r="Q1595">
        <v>-34</v>
      </c>
      <c r="R1595">
        <v>99.999999000000003</v>
      </c>
    </row>
    <row r="1596" spans="1:18" x14ac:dyDescent="0.2">
      <c r="A1596" t="s">
        <v>270</v>
      </c>
      <c r="B1596" t="s">
        <v>4672</v>
      </c>
      <c r="C1596">
        <v>1</v>
      </c>
      <c r="D1596" s="1">
        <v>44071.888912037037</v>
      </c>
      <c r="E1596" t="s">
        <v>4929</v>
      </c>
      <c r="F1596" t="s">
        <v>273</v>
      </c>
      <c r="G1596" t="s">
        <v>4674</v>
      </c>
      <c r="H1596" t="s">
        <v>275</v>
      </c>
      <c r="I1596" t="s">
        <v>29</v>
      </c>
      <c r="J1596">
        <v>1</v>
      </c>
      <c r="K1596">
        <f>1-888-312-1430</f>
        <v>-2629</v>
      </c>
      <c r="L1596" t="s">
        <v>4930</v>
      </c>
      <c r="M1596" t="s">
        <v>4931</v>
      </c>
      <c r="N1596" t="s">
        <v>278</v>
      </c>
      <c r="O1596" t="s">
        <v>134</v>
      </c>
      <c r="P1596" t="s">
        <v>782</v>
      </c>
      <c r="Q1596">
        <v>-34</v>
      </c>
      <c r="R1596">
        <v>99.999999000000003</v>
      </c>
    </row>
    <row r="1597" spans="1:18" x14ac:dyDescent="0.2">
      <c r="A1597" t="s">
        <v>270</v>
      </c>
      <c r="B1597" t="s">
        <v>4672</v>
      </c>
      <c r="C1597">
        <v>1</v>
      </c>
      <c r="D1597" s="1">
        <v>44071.833182870374</v>
      </c>
      <c r="E1597" t="s">
        <v>4932</v>
      </c>
      <c r="F1597" t="s">
        <v>273</v>
      </c>
      <c r="G1597" t="s">
        <v>4674</v>
      </c>
      <c r="H1597" t="s">
        <v>275</v>
      </c>
      <c r="I1597" t="s">
        <v>29</v>
      </c>
      <c r="J1597">
        <v>1</v>
      </c>
      <c r="K1597">
        <f>1-888-607-419</f>
        <v>-1913</v>
      </c>
      <c r="L1597" t="s">
        <v>4933</v>
      </c>
      <c r="M1597" t="s">
        <v>4934</v>
      </c>
      <c r="N1597" t="s">
        <v>278</v>
      </c>
      <c r="O1597" t="s">
        <v>28</v>
      </c>
      <c r="P1597" t="s">
        <v>782</v>
      </c>
      <c r="Q1597">
        <v>-34</v>
      </c>
      <c r="R1597">
        <v>99.999999000000003</v>
      </c>
    </row>
    <row r="1598" spans="1:18" x14ac:dyDescent="0.2">
      <c r="A1598" t="s">
        <v>270</v>
      </c>
      <c r="B1598" t="s">
        <v>4672</v>
      </c>
      <c r="C1598">
        <v>1</v>
      </c>
      <c r="D1598" s="1">
        <v>44071.424895833334</v>
      </c>
      <c r="E1598" t="s">
        <v>4935</v>
      </c>
      <c r="F1598" t="s">
        <v>273</v>
      </c>
      <c r="G1598" t="s">
        <v>4674</v>
      </c>
      <c r="H1598" t="s">
        <v>275</v>
      </c>
      <c r="I1598" t="s">
        <v>29</v>
      </c>
      <c r="J1598">
        <v>1</v>
      </c>
      <c r="K1598">
        <f>1-888-417-4090</f>
        <v>-5394</v>
      </c>
      <c r="L1598" t="s">
        <v>4936</v>
      </c>
      <c r="M1598" t="s">
        <v>4937</v>
      </c>
      <c r="N1598" t="s">
        <v>278</v>
      </c>
      <c r="O1598" t="s">
        <v>134</v>
      </c>
      <c r="P1598" t="s">
        <v>782</v>
      </c>
      <c r="Q1598">
        <v>-34</v>
      </c>
      <c r="R1598">
        <v>99.999999000000003</v>
      </c>
    </row>
    <row r="1599" spans="1:18" x14ac:dyDescent="0.2">
      <c r="A1599" t="s">
        <v>270</v>
      </c>
      <c r="B1599" t="s">
        <v>4672</v>
      </c>
      <c r="C1599">
        <v>1</v>
      </c>
      <c r="D1599" s="1">
        <v>44071.424814814818</v>
      </c>
      <c r="E1599" t="s">
        <v>4938</v>
      </c>
      <c r="F1599" t="s">
        <v>273</v>
      </c>
      <c r="G1599" t="s">
        <v>4674</v>
      </c>
      <c r="H1599" t="s">
        <v>275</v>
      </c>
      <c r="I1599" t="s">
        <v>29</v>
      </c>
      <c r="J1599">
        <v>1</v>
      </c>
      <c r="K1599">
        <f>1-888-417-4090</f>
        <v>-5394</v>
      </c>
      <c r="L1599" t="s">
        <v>4939</v>
      </c>
      <c r="M1599" t="s">
        <v>4940</v>
      </c>
      <c r="N1599" t="s">
        <v>278</v>
      </c>
      <c r="O1599" t="s">
        <v>134</v>
      </c>
      <c r="P1599" t="s">
        <v>782</v>
      </c>
      <c r="Q1599">
        <v>-34</v>
      </c>
      <c r="R1599">
        <v>99.999999000000003</v>
      </c>
    </row>
    <row r="1600" spans="1:18" x14ac:dyDescent="0.2">
      <c r="A1600" t="s">
        <v>270</v>
      </c>
      <c r="B1600" t="s">
        <v>4672</v>
      </c>
      <c r="C1600">
        <v>1</v>
      </c>
      <c r="D1600" s="1">
        <v>44071.417962962965</v>
      </c>
      <c r="E1600" t="s">
        <v>4941</v>
      </c>
      <c r="F1600" t="s">
        <v>273</v>
      </c>
      <c r="G1600" t="s">
        <v>4674</v>
      </c>
      <c r="H1600" t="s">
        <v>275</v>
      </c>
      <c r="I1600" t="s">
        <v>29</v>
      </c>
      <c r="J1600">
        <v>1</v>
      </c>
      <c r="K1600">
        <f>1-888-803-850</f>
        <v>-2540</v>
      </c>
      <c r="L1600" t="s">
        <v>4942</v>
      </c>
      <c r="M1600" t="s">
        <v>4943</v>
      </c>
      <c r="N1600" t="s">
        <v>278</v>
      </c>
      <c r="O1600" t="s">
        <v>134</v>
      </c>
      <c r="P1600" t="s">
        <v>782</v>
      </c>
      <c r="Q1600">
        <v>-34</v>
      </c>
      <c r="R1600">
        <v>99.999999000000003</v>
      </c>
    </row>
    <row r="1601" spans="1:18" x14ac:dyDescent="0.2">
      <c r="A1601" t="s">
        <v>270</v>
      </c>
      <c r="B1601" t="s">
        <v>4672</v>
      </c>
      <c r="C1601">
        <v>1</v>
      </c>
      <c r="D1601" s="1">
        <v>44071.414710648147</v>
      </c>
      <c r="E1601" t="s">
        <v>4944</v>
      </c>
      <c r="F1601" t="s">
        <v>273</v>
      </c>
      <c r="G1601" t="s">
        <v>4674</v>
      </c>
      <c r="H1601" t="s">
        <v>275</v>
      </c>
      <c r="I1601" t="s">
        <v>29</v>
      </c>
      <c r="J1601">
        <v>1</v>
      </c>
      <c r="K1601">
        <f>1-888-417-4090</f>
        <v>-5394</v>
      </c>
      <c r="L1601" t="s">
        <v>4945</v>
      </c>
      <c r="M1601" t="s">
        <v>4946</v>
      </c>
      <c r="N1601" t="s">
        <v>278</v>
      </c>
      <c r="O1601" t="s">
        <v>134</v>
      </c>
      <c r="P1601" t="s">
        <v>782</v>
      </c>
      <c r="Q1601">
        <v>-34</v>
      </c>
      <c r="R1601">
        <v>99.999999000000003</v>
      </c>
    </row>
    <row r="1602" spans="1:18" x14ac:dyDescent="0.2">
      <c r="A1602" t="s">
        <v>270</v>
      </c>
      <c r="B1602" t="s">
        <v>4672</v>
      </c>
      <c r="C1602">
        <v>1</v>
      </c>
      <c r="D1602" s="1">
        <v>44070.868969907409</v>
      </c>
      <c r="E1602" t="s">
        <v>4947</v>
      </c>
      <c r="F1602" t="s">
        <v>273</v>
      </c>
      <c r="G1602" t="s">
        <v>4674</v>
      </c>
      <c r="H1602" t="s">
        <v>275</v>
      </c>
      <c r="I1602" t="s">
        <v>29</v>
      </c>
      <c r="J1602">
        <v>1</v>
      </c>
      <c r="K1602">
        <f>1-888-597-1445</f>
        <v>-2929</v>
      </c>
      <c r="L1602" t="s">
        <v>4948</v>
      </c>
      <c r="M1602" t="s">
        <v>4949</v>
      </c>
      <c r="N1602" t="s">
        <v>278</v>
      </c>
      <c r="O1602" t="s">
        <v>134</v>
      </c>
      <c r="P1602" t="s">
        <v>782</v>
      </c>
      <c r="Q1602">
        <v>-34</v>
      </c>
      <c r="R1602">
        <v>99.999999000000003</v>
      </c>
    </row>
    <row r="1603" spans="1:18" x14ac:dyDescent="0.2">
      <c r="A1603" t="s">
        <v>270</v>
      </c>
      <c r="B1603" t="s">
        <v>4672</v>
      </c>
      <c r="C1603">
        <v>1</v>
      </c>
      <c r="D1603" s="1">
        <v>44070.868784722225</v>
      </c>
      <c r="E1603" t="s">
        <v>4950</v>
      </c>
      <c r="F1603" t="s">
        <v>273</v>
      </c>
      <c r="G1603" t="s">
        <v>4674</v>
      </c>
      <c r="H1603" t="s">
        <v>275</v>
      </c>
      <c r="I1603" t="s">
        <v>29</v>
      </c>
      <c r="J1603">
        <v>1</v>
      </c>
      <c r="K1603">
        <f>1-888-417-4065</f>
        <v>-5369</v>
      </c>
      <c r="L1603" t="s">
        <v>4951</v>
      </c>
      <c r="M1603" t="s">
        <v>4952</v>
      </c>
      <c r="N1603" t="s">
        <v>278</v>
      </c>
      <c r="O1603" t="s">
        <v>134</v>
      </c>
      <c r="P1603" t="s">
        <v>782</v>
      </c>
      <c r="Q1603">
        <v>-34</v>
      </c>
      <c r="R1603">
        <v>99.999999000000003</v>
      </c>
    </row>
    <row r="1604" spans="1:18" x14ac:dyDescent="0.2">
      <c r="A1604" t="s">
        <v>270</v>
      </c>
      <c r="B1604" t="s">
        <v>4672</v>
      </c>
      <c r="C1604">
        <v>1</v>
      </c>
      <c r="D1604" s="1">
        <v>44070.868530092594</v>
      </c>
      <c r="E1604" t="s">
        <v>4953</v>
      </c>
      <c r="F1604" t="s">
        <v>273</v>
      </c>
      <c r="G1604" t="s">
        <v>4674</v>
      </c>
      <c r="H1604" t="s">
        <v>275</v>
      </c>
      <c r="I1604" t="s">
        <v>29</v>
      </c>
      <c r="J1604">
        <v>1</v>
      </c>
      <c r="K1604">
        <f>1-888-598-1511</f>
        <v>-2996</v>
      </c>
      <c r="L1604" t="s">
        <v>4954</v>
      </c>
      <c r="M1604" t="s">
        <v>4955</v>
      </c>
      <c r="N1604" t="s">
        <v>278</v>
      </c>
      <c r="O1604" t="s">
        <v>134</v>
      </c>
      <c r="P1604" t="s">
        <v>782</v>
      </c>
      <c r="Q1604">
        <v>-34</v>
      </c>
      <c r="R1604">
        <v>99.999999000000003</v>
      </c>
    </row>
    <row r="1605" spans="1:18" x14ac:dyDescent="0.2">
      <c r="A1605" t="s">
        <v>270</v>
      </c>
      <c r="B1605" t="s">
        <v>4672</v>
      </c>
      <c r="C1605">
        <v>1</v>
      </c>
      <c r="D1605" s="1">
        <v>44070.61078703704</v>
      </c>
      <c r="E1605" t="s">
        <v>4956</v>
      </c>
      <c r="F1605" t="s">
        <v>273</v>
      </c>
      <c r="G1605" t="s">
        <v>4674</v>
      </c>
      <c r="H1605" t="s">
        <v>275</v>
      </c>
      <c r="I1605" t="s">
        <v>29</v>
      </c>
      <c r="J1605">
        <v>1</v>
      </c>
      <c r="K1605">
        <f>1-888-690-842</f>
        <v>-2419</v>
      </c>
      <c r="L1605" t="s">
        <v>4957</v>
      </c>
      <c r="M1605" t="s">
        <v>4958</v>
      </c>
      <c r="N1605" t="s">
        <v>278</v>
      </c>
      <c r="O1605" t="s">
        <v>134</v>
      </c>
      <c r="P1605" t="s">
        <v>782</v>
      </c>
      <c r="Q1605">
        <v>-34</v>
      </c>
      <c r="R1605">
        <v>99.999999000000003</v>
      </c>
    </row>
    <row r="1606" spans="1:18" x14ac:dyDescent="0.2">
      <c r="A1606" t="s">
        <v>270</v>
      </c>
      <c r="B1606" t="s">
        <v>4672</v>
      </c>
      <c r="C1606">
        <v>1</v>
      </c>
      <c r="D1606" s="1">
        <v>44070.601365740738</v>
      </c>
      <c r="E1606" t="s">
        <v>4959</v>
      </c>
      <c r="F1606" t="s">
        <v>273</v>
      </c>
      <c r="G1606" t="s">
        <v>4674</v>
      </c>
      <c r="H1606" t="s">
        <v>275</v>
      </c>
      <c r="I1606" t="s">
        <v>29</v>
      </c>
      <c r="J1606">
        <v>1</v>
      </c>
      <c r="K1606">
        <f>1-888-527-4189</f>
        <v>-5603</v>
      </c>
      <c r="L1606" t="s">
        <v>4960</v>
      </c>
      <c r="M1606" t="s">
        <v>4961</v>
      </c>
      <c r="N1606" t="s">
        <v>278</v>
      </c>
      <c r="O1606" t="s">
        <v>134</v>
      </c>
      <c r="P1606" t="s">
        <v>782</v>
      </c>
      <c r="Q1606">
        <v>-34</v>
      </c>
      <c r="R1606">
        <v>99.999999000000003</v>
      </c>
    </row>
    <row r="1607" spans="1:18" x14ac:dyDescent="0.2">
      <c r="A1607" t="s">
        <v>270</v>
      </c>
      <c r="B1607" t="s">
        <v>4672</v>
      </c>
      <c r="C1607">
        <v>1</v>
      </c>
      <c r="D1607" s="1">
        <v>44070.59783564815</v>
      </c>
      <c r="E1607" t="s">
        <v>4962</v>
      </c>
      <c r="F1607" t="s">
        <v>273</v>
      </c>
      <c r="G1607" t="s">
        <v>4674</v>
      </c>
      <c r="H1607" t="s">
        <v>275</v>
      </c>
      <c r="I1607" t="s">
        <v>29</v>
      </c>
      <c r="J1607">
        <v>1</v>
      </c>
      <c r="K1607">
        <f>1-888-527-4189</f>
        <v>-5603</v>
      </c>
      <c r="L1607" t="s">
        <v>4963</v>
      </c>
      <c r="M1607" t="s">
        <v>4964</v>
      </c>
      <c r="N1607" t="s">
        <v>278</v>
      </c>
      <c r="O1607" t="s">
        <v>134</v>
      </c>
      <c r="P1607" t="s">
        <v>782</v>
      </c>
      <c r="Q1607">
        <v>-34</v>
      </c>
      <c r="R1607">
        <v>99.999999000000003</v>
      </c>
    </row>
    <row r="1608" spans="1:18" x14ac:dyDescent="0.2">
      <c r="A1608" t="s">
        <v>270</v>
      </c>
      <c r="B1608" t="s">
        <v>4672</v>
      </c>
      <c r="C1608">
        <v>1</v>
      </c>
      <c r="D1608" s="1">
        <v>44070.593576388892</v>
      </c>
      <c r="E1608" t="s">
        <v>4965</v>
      </c>
      <c r="F1608" t="s">
        <v>273</v>
      </c>
      <c r="G1608" t="s">
        <v>4674</v>
      </c>
      <c r="H1608" t="s">
        <v>275</v>
      </c>
      <c r="I1608" t="s">
        <v>29</v>
      </c>
      <c r="J1608">
        <v>1</v>
      </c>
      <c r="K1608">
        <f>1-866-754-7703</f>
        <v>-9322</v>
      </c>
      <c r="L1608" t="s">
        <v>4966</v>
      </c>
      <c r="M1608" t="s">
        <v>4967</v>
      </c>
      <c r="N1608" t="s">
        <v>278</v>
      </c>
      <c r="O1608" t="s">
        <v>134</v>
      </c>
      <c r="P1608" t="s">
        <v>782</v>
      </c>
      <c r="Q1608">
        <v>-34</v>
      </c>
      <c r="R1608">
        <v>99.999999000000003</v>
      </c>
    </row>
    <row r="1609" spans="1:18" x14ac:dyDescent="0.2">
      <c r="A1609" t="s">
        <v>270</v>
      </c>
      <c r="B1609" t="s">
        <v>4672</v>
      </c>
      <c r="C1609">
        <v>1</v>
      </c>
      <c r="D1609" s="1">
        <v>44070.58289351852</v>
      </c>
      <c r="E1609" t="s">
        <v>4968</v>
      </c>
      <c r="F1609" t="s">
        <v>273</v>
      </c>
      <c r="G1609" t="s">
        <v>4674</v>
      </c>
      <c r="H1609" t="s">
        <v>275</v>
      </c>
      <c r="I1609" t="s">
        <v>29</v>
      </c>
      <c r="J1609">
        <v>1</v>
      </c>
      <c r="K1609">
        <f>1-866-672-9693</f>
        <v>-11230</v>
      </c>
      <c r="L1609" t="s">
        <v>4969</v>
      </c>
      <c r="M1609" t="s">
        <v>4970</v>
      </c>
      <c r="N1609" t="s">
        <v>278</v>
      </c>
      <c r="O1609" t="s">
        <v>134</v>
      </c>
      <c r="P1609" t="s">
        <v>782</v>
      </c>
      <c r="Q1609">
        <v>-34</v>
      </c>
      <c r="R1609">
        <v>99.999999000000003</v>
      </c>
    </row>
    <row r="1610" spans="1:18" x14ac:dyDescent="0.2">
      <c r="A1610" t="s">
        <v>270</v>
      </c>
      <c r="B1610" t="s">
        <v>4672</v>
      </c>
      <c r="C1610">
        <v>1</v>
      </c>
      <c r="D1610" s="1">
        <v>44070.581608796296</v>
      </c>
      <c r="E1610" t="s">
        <v>4971</v>
      </c>
      <c r="F1610" t="s">
        <v>273</v>
      </c>
      <c r="G1610" t="s">
        <v>4674</v>
      </c>
      <c r="H1610" t="s">
        <v>275</v>
      </c>
      <c r="I1610" t="s">
        <v>29</v>
      </c>
      <c r="J1610">
        <v>1</v>
      </c>
      <c r="K1610">
        <f>1-866-671-2033</f>
        <v>-3569</v>
      </c>
      <c r="L1610" t="s">
        <v>4972</v>
      </c>
      <c r="M1610" t="s">
        <v>4973</v>
      </c>
      <c r="N1610" t="s">
        <v>278</v>
      </c>
      <c r="O1610" t="s">
        <v>134</v>
      </c>
      <c r="P1610" t="s">
        <v>782</v>
      </c>
      <c r="Q1610">
        <v>-34</v>
      </c>
      <c r="R1610">
        <v>99.999999000000003</v>
      </c>
    </row>
    <row r="1611" spans="1:18" x14ac:dyDescent="0.2">
      <c r="A1611" t="s">
        <v>270</v>
      </c>
      <c r="B1611" t="s">
        <v>4672</v>
      </c>
      <c r="C1611">
        <v>1</v>
      </c>
      <c r="D1611" s="1">
        <v>44070.580787037034</v>
      </c>
      <c r="E1611" t="s">
        <v>4974</v>
      </c>
      <c r="F1611" t="s">
        <v>273</v>
      </c>
      <c r="G1611" t="s">
        <v>4674</v>
      </c>
      <c r="H1611" t="s">
        <v>275</v>
      </c>
      <c r="I1611" t="s">
        <v>29</v>
      </c>
      <c r="J1611">
        <v>1</v>
      </c>
      <c r="K1611">
        <f>1-866-746-1819</f>
        <v>-3430</v>
      </c>
      <c r="L1611" t="s">
        <v>4975</v>
      </c>
      <c r="M1611" t="s">
        <v>4976</v>
      </c>
      <c r="N1611" t="s">
        <v>278</v>
      </c>
      <c r="O1611" t="s">
        <v>134</v>
      </c>
      <c r="P1611" t="s">
        <v>782</v>
      </c>
      <c r="Q1611">
        <v>-34</v>
      </c>
      <c r="R1611">
        <v>99.999999000000003</v>
      </c>
    </row>
    <row r="1612" spans="1:18" x14ac:dyDescent="0.2">
      <c r="A1612" t="s">
        <v>270</v>
      </c>
      <c r="B1612" t="s">
        <v>4672</v>
      </c>
      <c r="C1612">
        <v>1</v>
      </c>
      <c r="D1612" s="1">
        <v>44070.576307870368</v>
      </c>
      <c r="E1612" t="s">
        <v>4977</v>
      </c>
      <c r="F1612" t="s">
        <v>273</v>
      </c>
      <c r="G1612" t="s">
        <v>4674</v>
      </c>
      <c r="H1612" t="s">
        <v>275</v>
      </c>
      <c r="I1612" t="s">
        <v>29</v>
      </c>
      <c r="J1612">
        <v>1</v>
      </c>
      <c r="K1612">
        <f>1-866-730-8093</f>
        <v>-9688</v>
      </c>
      <c r="L1612" t="s">
        <v>4978</v>
      </c>
      <c r="M1612" t="s">
        <v>4979</v>
      </c>
      <c r="N1612" t="s">
        <v>278</v>
      </c>
      <c r="O1612" t="s">
        <v>134</v>
      </c>
      <c r="P1612" t="s">
        <v>782</v>
      </c>
      <c r="Q1612">
        <v>-34</v>
      </c>
      <c r="R1612">
        <v>99.999999000000003</v>
      </c>
    </row>
    <row r="1613" spans="1:18" x14ac:dyDescent="0.2">
      <c r="A1613" t="s">
        <v>270</v>
      </c>
      <c r="B1613" t="s">
        <v>4672</v>
      </c>
      <c r="C1613">
        <v>1</v>
      </c>
      <c r="D1613" s="1">
        <v>44068.192673611113</v>
      </c>
      <c r="E1613" t="s">
        <v>4980</v>
      </c>
      <c r="F1613" t="s">
        <v>273</v>
      </c>
      <c r="G1613" t="s">
        <v>4674</v>
      </c>
      <c r="H1613" t="s">
        <v>275</v>
      </c>
      <c r="I1613" t="s">
        <v>29</v>
      </c>
      <c r="J1613">
        <v>1</v>
      </c>
      <c r="K1613">
        <f>1-888-530-1970</f>
        <v>-3387</v>
      </c>
      <c r="L1613" t="s">
        <v>4981</v>
      </c>
      <c r="M1613" t="s">
        <v>4982</v>
      </c>
      <c r="N1613" t="s">
        <v>278</v>
      </c>
      <c r="O1613" t="s">
        <v>134</v>
      </c>
      <c r="P1613" t="s">
        <v>782</v>
      </c>
      <c r="Q1613">
        <v>-34</v>
      </c>
      <c r="R1613">
        <v>99.999999000000003</v>
      </c>
    </row>
    <row r="1614" spans="1:18" x14ac:dyDescent="0.2">
      <c r="A1614" t="s">
        <v>270</v>
      </c>
      <c r="B1614" t="s">
        <v>4672</v>
      </c>
      <c r="C1614">
        <v>1</v>
      </c>
      <c r="D1614" s="1">
        <v>44068.189803240741</v>
      </c>
      <c r="E1614" t="s">
        <v>4983</v>
      </c>
      <c r="F1614" t="s">
        <v>273</v>
      </c>
      <c r="G1614" t="s">
        <v>4674</v>
      </c>
      <c r="H1614" t="s">
        <v>275</v>
      </c>
      <c r="I1614" t="s">
        <v>29</v>
      </c>
      <c r="J1614">
        <v>1</v>
      </c>
      <c r="K1614">
        <f>1-888-523-6448</f>
        <v>-7858</v>
      </c>
      <c r="L1614" t="s">
        <v>4984</v>
      </c>
      <c r="M1614" t="s">
        <v>4985</v>
      </c>
      <c r="N1614" t="s">
        <v>278</v>
      </c>
      <c r="O1614" t="s">
        <v>134</v>
      </c>
      <c r="P1614" t="s">
        <v>782</v>
      </c>
      <c r="Q1614">
        <v>-34</v>
      </c>
      <c r="R1614">
        <v>99.999999000000003</v>
      </c>
    </row>
    <row r="1615" spans="1:18" x14ac:dyDescent="0.2">
      <c r="A1615" t="s">
        <v>270</v>
      </c>
      <c r="B1615" t="s">
        <v>4672</v>
      </c>
      <c r="C1615">
        <v>1</v>
      </c>
      <c r="D1615" s="1">
        <v>44068.187789351854</v>
      </c>
      <c r="E1615" t="s">
        <v>4986</v>
      </c>
      <c r="F1615" t="s">
        <v>273</v>
      </c>
      <c r="G1615" t="s">
        <v>4674</v>
      </c>
      <c r="H1615" t="s">
        <v>275</v>
      </c>
      <c r="I1615" t="s">
        <v>29</v>
      </c>
      <c r="J1615">
        <v>1</v>
      </c>
      <c r="K1615">
        <f>1-888-525-1127</f>
        <v>-2539</v>
      </c>
      <c r="L1615" t="s">
        <v>4987</v>
      </c>
      <c r="M1615" t="s">
        <v>4988</v>
      </c>
      <c r="N1615" t="s">
        <v>278</v>
      </c>
      <c r="O1615" t="s">
        <v>134</v>
      </c>
      <c r="P1615" t="s">
        <v>782</v>
      </c>
      <c r="Q1615">
        <v>-34</v>
      </c>
      <c r="R1615">
        <v>99.999999000000003</v>
      </c>
    </row>
    <row r="1616" spans="1:18" x14ac:dyDescent="0.2">
      <c r="A1616" t="s">
        <v>270</v>
      </c>
      <c r="B1616" t="s">
        <v>4672</v>
      </c>
      <c r="C1616">
        <v>1</v>
      </c>
      <c r="D1616" s="1">
        <v>44068.186527777776</v>
      </c>
      <c r="E1616" t="s">
        <v>4989</v>
      </c>
      <c r="F1616" t="s">
        <v>273</v>
      </c>
      <c r="G1616" t="s">
        <v>4674</v>
      </c>
      <c r="H1616" t="s">
        <v>275</v>
      </c>
      <c r="I1616" t="s">
        <v>29</v>
      </c>
      <c r="J1616">
        <v>1</v>
      </c>
      <c r="K1616">
        <f>1-888-524-3448</f>
        <v>-4859</v>
      </c>
      <c r="L1616" t="s">
        <v>4990</v>
      </c>
      <c r="M1616" t="s">
        <v>4991</v>
      </c>
      <c r="N1616" t="s">
        <v>278</v>
      </c>
      <c r="O1616" t="s">
        <v>134</v>
      </c>
      <c r="P1616" t="s">
        <v>782</v>
      </c>
      <c r="Q1616">
        <v>-34</v>
      </c>
      <c r="R1616">
        <v>99.999999000000003</v>
      </c>
    </row>
    <row r="1617" spans="1:18" x14ac:dyDescent="0.2">
      <c r="A1617" t="s">
        <v>270</v>
      </c>
      <c r="B1617" t="s">
        <v>4672</v>
      </c>
      <c r="C1617">
        <v>1</v>
      </c>
      <c r="D1617" s="1">
        <v>44068.074155092596</v>
      </c>
      <c r="E1617" t="s">
        <v>4992</v>
      </c>
      <c r="F1617" t="s">
        <v>273</v>
      </c>
      <c r="G1617" t="s">
        <v>4674</v>
      </c>
      <c r="H1617" t="s">
        <v>275</v>
      </c>
      <c r="I1617" t="s">
        <v>29</v>
      </c>
      <c r="J1617">
        <v>1</v>
      </c>
      <c r="K1617">
        <f>1-888-851-676</f>
        <v>-2414</v>
      </c>
      <c r="L1617" t="s">
        <v>4993</v>
      </c>
      <c r="M1617" t="s">
        <v>4994</v>
      </c>
      <c r="N1617" t="s">
        <v>278</v>
      </c>
      <c r="O1617" t="s">
        <v>28</v>
      </c>
      <c r="P1617" t="s">
        <v>782</v>
      </c>
      <c r="Q1617">
        <v>-34</v>
      </c>
      <c r="R1617">
        <v>99.999999000000003</v>
      </c>
    </row>
    <row r="1618" spans="1:18" x14ac:dyDescent="0.2">
      <c r="A1618" t="s">
        <v>270</v>
      </c>
      <c r="B1618" t="s">
        <v>4672</v>
      </c>
      <c r="C1618">
        <v>1</v>
      </c>
      <c r="D1618" s="1">
        <v>44068.072847222225</v>
      </c>
      <c r="E1618" t="s">
        <v>4995</v>
      </c>
      <c r="F1618" t="s">
        <v>273</v>
      </c>
      <c r="G1618" t="s">
        <v>4674</v>
      </c>
      <c r="H1618" t="s">
        <v>275</v>
      </c>
      <c r="I1618" t="s">
        <v>29</v>
      </c>
      <c r="J1618">
        <v>1</v>
      </c>
      <c r="K1618">
        <f>1-888-851-676</f>
        <v>-2414</v>
      </c>
      <c r="L1618" t="s">
        <v>4996</v>
      </c>
      <c r="M1618" t="s">
        <v>4997</v>
      </c>
      <c r="N1618" t="s">
        <v>278</v>
      </c>
      <c r="O1618" t="s">
        <v>28</v>
      </c>
      <c r="P1618" t="s">
        <v>782</v>
      </c>
      <c r="Q1618">
        <v>-34</v>
      </c>
      <c r="R1618">
        <v>99.999999000000003</v>
      </c>
    </row>
    <row r="1619" spans="1:18" x14ac:dyDescent="0.2">
      <c r="A1619" t="s">
        <v>270</v>
      </c>
      <c r="B1619" t="s">
        <v>4672</v>
      </c>
      <c r="C1619">
        <v>1</v>
      </c>
      <c r="D1619" s="1">
        <v>44068.058611111112</v>
      </c>
      <c r="E1619" t="s">
        <v>4998</v>
      </c>
      <c r="F1619" t="s">
        <v>273</v>
      </c>
      <c r="G1619" t="s">
        <v>4674</v>
      </c>
      <c r="H1619" t="s">
        <v>275</v>
      </c>
      <c r="I1619" t="s">
        <v>29</v>
      </c>
      <c r="J1619">
        <v>1</v>
      </c>
      <c r="K1619">
        <f>1-888-523-6511</f>
        <v>-7921</v>
      </c>
      <c r="L1619" t="s">
        <v>4999</v>
      </c>
      <c r="M1619" t="s">
        <v>5000</v>
      </c>
      <c r="N1619" t="s">
        <v>278</v>
      </c>
      <c r="O1619" t="s">
        <v>28</v>
      </c>
      <c r="P1619" t="s">
        <v>782</v>
      </c>
      <c r="Q1619">
        <v>-34</v>
      </c>
      <c r="R1619">
        <v>99.999999000000003</v>
      </c>
    </row>
    <row r="1620" spans="1:18" x14ac:dyDescent="0.2">
      <c r="A1620" t="s">
        <v>270</v>
      </c>
      <c r="B1620" t="s">
        <v>4672</v>
      </c>
      <c r="C1620">
        <v>1</v>
      </c>
      <c r="D1620" s="1">
        <v>44068.05164351852</v>
      </c>
      <c r="E1620" t="s">
        <v>5001</v>
      </c>
      <c r="F1620" t="s">
        <v>273</v>
      </c>
      <c r="G1620" t="s">
        <v>4674</v>
      </c>
      <c r="H1620" t="s">
        <v>275</v>
      </c>
      <c r="I1620" t="s">
        <v>29</v>
      </c>
      <c r="J1620">
        <v>1</v>
      </c>
      <c r="K1620">
        <f>1-888-524-5804</f>
        <v>-7215</v>
      </c>
      <c r="L1620" t="s">
        <v>5002</v>
      </c>
      <c r="M1620" t="s">
        <v>5003</v>
      </c>
      <c r="N1620" t="s">
        <v>278</v>
      </c>
      <c r="O1620" t="s">
        <v>28</v>
      </c>
      <c r="P1620" t="s">
        <v>782</v>
      </c>
      <c r="Q1620">
        <v>-34</v>
      </c>
      <c r="R1620">
        <v>99.999999000000003</v>
      </c>
    </row>
    <row r="1621" spans="1:18" x14ac:dyDescent="0.2">
      <c r="A1621" t="s">
        <v>270</v>
      </c>
      <c r="B1621" t="s">
        <v>4672</v>
      </c>
      <c r="C1621">
        <v>1</v>
      </c>
      <c r="D1621" s="1">
        <v>44068.045266203706</v>
      </c>
      <c r="E1621" t="s">
        <v>5004</v>
      </c>
      <c r="F1621" t="s">
        <v>273</v>
      </c>
      <c r="G1621" t="s">
        <v>4674</v>
      </c>
      <c r="H1621" t="s">
        <v>275</v>
      </c>
      <c r="I1621" t="s">
        <v>29</v>
      </c>
      <c r="J1621">
        <v>1</v>
      </c>
      <c r="K1621">
        <f>1-888-534-8036</f>
        <v>-9457</v>
      </c>
      <c r="L1621" t="s">
        <v>5005</v>
      </c>
      <c r="M1621" t="s">
        <v>5006</v>
      </c>
      <c r="N1621" t="s">
        <v>278</v>
      </c>
      <c r="O1621" t="s">
        <v>28</v>
      </c>
      <c r="P1621" t="s">
        <v>782</v>
      </c>
      <c r="Q1621">
        <v>-34</v>
      </c>
      <c r="R1621">
        <v>99.999999000000003</v>
      </c>
    </row>
    <row r="1622" spans="1:18" x14ac:dyDescent="0.2">
      <c r="A1622" t="s">
        <v>270</v>
      </c>
      <c r="B1622" t="s">
        <v>4672</v>
      </c>
      <c r="C1622">
        <v>1</v>
      </c>
      <c r="D1622" s="1">
        <v>44068.034016203703</v>
      </c>
      <c r="E1622" t="s">
        <v>5007</v>
      </c>
      <c r="F1622" t="s">
        <v>273</v>
      </c>
      <c r="G1622" t="s">
        <v>4674</v>
      </c>
      <c r="H1622" t="s">
        <v>275</v>
      </c>
      <c r="I1622" t="s">
        <v>29</v>
      </c>
      <c r="J1622">
        <v>1</v>
      </c>
      <c r="K1622">
        <f>1-888-965-914</f>
        <v>-2766</v>
      </c>
      <c r="L1622" t="s">
        <v>5008</v>
      </c>
      <c r="M1622" t="s">
        <v>5009</v>
      </c>
      <c r="N1622" t="s">
        <v>278</v>
      </c>
      <c r="O1622" t="s">
        <v>28</v>
      </c>
      <c r="P1622" t="s">
        <v>782</v>
      </c>
      <c r="Q1622">
        <v>-34</v>
      </c>
      <c r="R1622">
        <v>99.999999000000003</v>
      </c>
    </row>
    <row r="1623" spans="1:18" x14ac:dyDescent="0.2">
      <c r="A1623" t="s">
        <v>270</v>
      </c>
      <c r="B1623" t="s">
        <v>4672</v>
      </c>
      <c r="C1623">
        <v>1</v>
      </c>
      <c r="D1623" s="1">
        <v>44068.03125</v>
      </c>
      <c r="E1623" t="s">
        <v>5010</v>
      </c>
      <c r="F1623" t="s">
        <v>273</v>
      </c>
      <c r="G1623" t="s">
        <v>4674</v>
      </c>
      <c r="H1623" t="s">
        <v>275</v>
      </c>
      <c r="I1623" t="s">
        <v>29</v>
      </c>
      <c r="J1623">
        <v>1</v>
      </c>
      <c r="K1623">
        <f>1-888-965-777</f>
        <v>-2629</v>
      </c>
      <c r="L1623" t="s">
        <v>5011</v>
      </c>
      <c r="M1623" t="s">
        <v>5012</v>
      </c>
      <c r="N1623" t="s">
        <v>278</v>
      </c>
      <c r="O1623" t="s">
        <v>28</v>
      </c>
      <c r="P1623" t="s">
        <v>782</v>
      </c>
      <c r="Q1623">
        <v>-34</v>
      </c>
      <c r="R1623">
        <v>99.999999000000003</v>
      </c>
    </row>
    <row r="1624" spans="1:18" x14ac:dyDescent="0.2">
      <c r="A1624" t="s">
        <v>270</v>
      </c>
      <c r="B1624" t="s">
        <v>4672</v>
      </c>
      <c r="C1624">
        <v>1</v>
      </c>
      <c r="D1624" s="1">
        <v>44068.030659722222</v>
      </c>
      <c r="E1624" t="s">
        <v>5013</v>
      </c>
      <c r="F1624" t="s">
        <v>273</v>
      </c>
      <c r="G1624" t="s">
        <v>4674</v>
      </c>
      <c r="H1624" t="s">
        <v>275</v>
      </c>
      <c r="I1624" t="s">
        <v>29</v>
      </c>
      <c r="J1624">
        <v>1</v>
      </c>
      <c r="K1624">
        <f>1-888-965-777</f>
        <v>-2629</v>
      </c>
      <c r="L1624" t="s">
        <v>5014</v>
      </c>
      <c r="M1624" t="s">
        <v>5015</v>
      </c>
      <c r="N1624" t="s">
        <v>278</v>
      </c>
      <c r="O1624" t="s">
        <v>28</v>
      </c>
      <c r="P1624" t="s">
        <v>782</v>
      </c>
      <c r="Q1624">
        <v>-34</v>
      </c>
      <c r="R1624">
        <v>99.999999000000003</v>
      </c>
    </row>
    <row r="1625" spans="1:18" x14ac:dyDescent="0.2">
      <c r="A1625" t="s">
        <v>270</v>
      </c>
      <c r="B1625" t="s">
        <v>4672</v>
      </c>
      <c r="C1625">
        <v>1</v>
      </c>
      <c r="D1625" s="1">
        <v>44068.022303240738</v>
      </c>
      <c r="E1625" t="s">
        <v>5016</v>
      </c>
      <c r="F1625" t="s">
        <v>273</v>
      </c>
      <c r="G1625" t="s">
        <v>4674</v>
      </c>
      <c r="H1625" t="s">
        <v>275</v>
      </c>
      <c r="I1625" t="s">
        <v>29</v>
      </c>
      <c r="J1625">
        <v>1</v>
      </c>
      <c r="K1625">
        <f>1-888-965-777</f>
        <v>-2629</v>
      </c>
      <c r="L1625" t="s">
        <v>5017</v>
      </c>
      <c r="M1625" t="s">
        <v>5018</v>
      </c>
      <c r="N1625" t="s">
        <v>278</v>
      </c>
      <c r="O1625" t="s">
        <v>28</v>
      </c>
      <c r="P1625" t="s">
        <v>782</v>
      </c>
      <c r="Q1625">
        <v>-34</v>
      </c>
      <c r="R1625">
        <v>99.999999000000003</v>
      </c>
    </row>
    <row r="1626" spans="1:18" x14ac:dyDescent="0.2">
      <c r="A1626" t="s">
        <v>270</v>
      </c>
      <c r="B1626" t="s">
        <v>4672</v>
      </c>
      <c r="C1626">
        <v>1</v>
      </c>
      <c r="D1626" s="1">
        <v>44068.018969907411</v>
      </c>
      <c r="E1626" t="s">
        <v>5019</v>
      </c>
      <c r="F1626" t="s">
        <v>273</v>
      </c>
      <c r="G1626" t="s">
        <v>4674</v>
      </c>
      <c r="H1626" t="s">
        <v>275</v>
      </c>
      <c r="I1626" t="s">
        <v>29</v>
      </c>
      <c r="J1626">
        <v>1</v>
      </c>
      <c r="K1626">
        <f>1-888-706-1246</f>
        <v>-2839</v>
      </c>
      <c r="L1626" t="s">
        <v>5020</v>
      </c>
      <c r="M1626" t="s">
        <v>5021</v>
      </c>
      <c r="N1626" t="s">
        <v>278</v>
      </c>
      <c r="O1626" t="s">
        <v>28</v>
      </c>
      <c r="P1626" t="s">
        <v>782</v>
      </c>
      <c r="Q1626">
        <v>-34</v>
      </c>
      <c r="R1626">
        <v>99.999999000000003</v>
      </c>
    </row>
    <row r="1627" spans="1:18" x14ac:dyDescent="0.2">
      <c r="A1627" t="s">
        <v>270</v>
      </c>
      <c r="B1627" t="s">
        <v>4672</v>
      </c>
      <c r="C1627">
        <v>1</v>
      </c>
      <c r="D1627" s="1">
        <v>44068.015208333331</v>
      </c>
      <c r="E1627" t="s">
        <v>5022</v>
      </c>
      <c r="F1627" t="s">
        <v>273</v>
      </c>
      <c r="G1627" t="s">
        <v>4674</v>
      </c>
      <c r="H1627" t="s">
        <v>275</v>
      </c>
      <c r="I1627" t="s">
        <v>29</v>
      </c>
      <c r="J1627">
        <v>1</v>
      </c>
      <c r="K1627">
        <f>1-888-851-511</f>
        <v>-2249</v>
      </c>
      <c r="L1627" t="s">
        <v>5023</v>
      </c>
      <c r="M1627" t="s">
        <v>5024</v>
      </c>
      <c r="N1627" t="s">
        <v>278</v>
      </c>
      <c r="O1627" t="s">
        <v>28</v>
      </c>
      <c r="P1627" t="s">
        <v>782</v>
      </c>
      <c r="Q1627">
        <v>-34</v>
      </c>
      <c r="R1627">
        <v>99.999999000000003</v>
      </c>
    </row>
    <row r="1628" spans="1:18" x14ac:dyDescent="0.2">
      <c r="A1628" t="s">
        <v>270</v>
      </c>
      <c r="B1628" t="s">
        <v>4672</v>
      </c>
      <c r="C1628">
        <v>1</v>
      </c>
      <c r="D1628" s="1">
        <v>44068.013761574075</v>
      </c>
      <c r="E1628" t="s">
        <v>5025</v>
      </c>
      <c r="F1628" t="s">
        <v>273</v>
      </c>
      <c r="G1628" t="s">
        <v>4674</v>
      </c>
      <c r="H1628" t="s">
        <v>275</v>
      </c>
      <c r="I1628" t="s">
        <v>29</v>
      </c>
      <c r="J1628">
        <v>1</v>
      </c>
      <c r="K1628">
        <f>1-888-851-511</f>
        <v>-2249</v>
      </c>
      <c r="L1628" t="s">
        <v>5026</v>
      </c>
      <c r="M1628" t="s">
        <v>5027</v>
      </c>
      <c r="N1628" t="s">
        <v>278</v>
      </c>
      <c r="O1628" t="s">
        <v>28</v>
      </c>
      <c r="P1628" t="s">
        <v>782</v>
      </c>
      <c r="Q1628">
        <v>-34</v>
      </c>
      <c r="R1628">
        <v>99.999999000000003</v>
      </c>
    </row>
    <row r="1629" spans="1:18" x14ac:dyDescent="0.2">
      <c r="A1629" t="s">
        <v>270</v>
      </c>
      <c r="B1629" t="s">
        <v>4672</v>
      </c>
      <c r="C1629">
        <v>1</v>
      </c>
      <c r="D1629" s="1">
        <v>44064.381354166668</v>
      </c>
      <c r="E1629" t="s">
        <v>5028</v>
      </c>
      <c r="F1629" t="s">
        <v>273</v>
      </c>
      <c r="G1629" t="s">
        <v>4674</v>
      </c>
      <c r="H1629" t="s">
        <v>275</v>
      </c>
      <c r="I1629" t="s">
        <v>29</v>
      </c>
      <c r="J1629">
        <v>1</v>
      </c>
      <c r="K1629">
        <f>1-888-803-804</f>
        <v>-2494</v>
      </c>
      <c r="L1629" t="s">
        <v>5029</v>
      </c>
      <c r="M1629" t="s">
        <v>5030</v>
      </c>
      <c r="N1629" t="s">
        <v>278</v>
      </c>
      <c r="O1629" t="s">
        <v>134</v>
      </c>
      <c r="P1629" t="s">
        <v>782</v>
      </c>
      <c r="Q1629">
        <v>-34</v>
      </c>
      <c r="R1629">
        <v>99.999999000000003</v>
      </c>
    </row>
    <row r="1630" spans="1:18" x14ac:dyDescent="0.2">
      <c r="A1630" t="s">
        <v>270</v>
      </c>
      <c r="B1630" t="s">
        <v>4672</v>
      </c>
      <c r="C1630">
        <v>1</v>
      </c>
      <c r="D1630" s="1">
        <v>44062.763692129629</v>
      </c>
      <c r="E1630" t="s">
        <v>5031</v>
      </c>
      <c r="F1630" t="s">
        <v>273</v>
      </c>
      <c r="G1630" t="s">
        <v>4674</v>
      </c>
      <c r="H1630" t="s">
        <v>275</v>
      </c>
      <c r="I1630" t="s">
        <v>29</v>
      </c>
      <c r="J1630">
        <v>1</v>
      </c>
      <c r="K1630">
        <f>1-888-690-883</f>
        <v>-2460</v>
      </c>
      <c r="L1630" t="s">
        <v>5032</v>
      </c>
      <c r="M1630" t="s">
        <v>5033</v>
      </c>
      <c r="N1630" t="s">
        <v>278</v>
      </c>
      <c r="O1630" t="s">
        <v>134</v>
      </c>
      <c r="P1630" t="s">
        <v>782</v>
      </c>
      <c r="Q1630">
        <v>-34</v>
      </c>
      <c r="R1630">
        <v>99.999999000000003</v>
      </c>
    </row>
    <row r="1631" spans="1:18" x14ac:dyDescent="0.2">
      <c r="A1631" t="s">
        <v>270</v>
      </c>
      <c r="B1631" t="s">
        <v>4672</v>
      </c>
      <c r="C1631">
        <v>1</v>
      </c>
      <c r="D1631" s="1">
        <v>44061.720231481479</v>
      </c>
      <c r="E1631" t="s">
        <v>5034</v>
      </c>
      <c r="F1631" t="s">
        <v>273</v>
      </c>
      <c r="G1631" t="s">
        <v>4674</v>
      </c>
      <c r="H1631" t="s">
        <v>275</v>
      </c>
      <c r="I1631" t="s">
        <v>29</v>
      </c>
      <c r="J1631">
        <v>1</v>
      </c>
      <c r="K1631">
        <f>1-888-803-832</f>
        <v>-2522</v>
      </c>
      <c r="L1631" t="s">
        <v>5035</v>
      </c>
      <c r="M1631" t="s">
        <v>5036</v>
      </c>
      <c r="N1631" t="s">
        <v>278</v>
      </c>
      <c r="O1631" t="s">
        <v>134</v>
      </c>
      <c r="P1631" t="s">
        <v>782</v>
      </c>
      <c r="Q1631">
        <v>-34</v>
      </c>
      <c r="R1631">
        <v>99.999999000000003</v>
      </c>
    </row>
    <row r="1632" spans="1:18" x14ac:dyDescent="0.2">
      <c r="A1632" t="s">
        <v>270</v>
      </c>
      <c r="B1632" t="s">
        <v>4672</v>
      </c>
      <c r="C1632">
        <v>1</v>
      </c>
      <c r="D1632" s="1">
        <v>44054.49664351852</v>
      </c>
      <c r="E1632" t="s">
        <v>5037</v>
      </c>
      <c r="F1632" t="s">
        <v>273</v>
      </c>
      <c r="G1632" t="s">
        <v>4674</v>
      </c>
      <c r="H1632" t="s">
        <v>275</v>
      </c>
      <c r="I1632" t="s">
        <v>29</v>
      </c>
      <c r="J1632">
        <v>1</v>
      </c>
      <c r="K1632">
        <f>1-888-530-1472</f>
        <v>-2889</v>
      </c>
      <c r="L1632" t="s">
        <v>5038</v>
      </c>
      <c r="M1632" t="s">
        <v>5039</v>
      </c>
      <c r="N1632" t="s">
        <v>278</v>
      </c>
      <c r="O1632" t="s">
        <v>134</v>
      </c>
      <c r="P1632" t="s">
        <v>782</v>
      </c>
      <c r="Q1632">
        <v>-34</v>
      </c>
      <c r="R1632">
        <v>99.999999000000003</v>
      </c>
    </row>
    <row r="1633" spans="1:18" x14ac:dyDescent="0.2">
      <c r="A1633" t="s">
        <v>270</v>
      </c>
      <c r="B1633" t="s">
        <v>4672</v>
      </c>
      <c r="C1633">
        <v>1</v>
      </c>
      <c r="D1633" s="1">
        <v>44053.305069444446</v>
      </c>
      <c r="E1633" t="s">
        <v>5040</v>
      </c>
      <c r="F1633" t="s">
        <v>273</v>
      </c>
      <c r="G1633" t="s">
        <v>4674</v>
      </c>
      <c r="H1633" t="s">
        <v>275</v>
      </c>
      <c r="I1633" t="s">
        <v>29</v>
      </c>
      <c r="J1633">
        <v>1</v>
      </c>
      <c r="K1633">
        <f>1-866-702-3639</f>
        <v>-5206</v>
      </c>
      <c r="L1633" t="s">
        <v>5041</v>
      </c>
      <c r="M1633" t="s">
        <v>5042</v>
      </c>
      <c r="N1633" t="s">
        <v>278</v>
      </c>
      <c r="O1633" t="s">
        <v>134</v>
      </c>
      <c r="P1633" t="s">
        <v>782</v>
      </c>
      <c r="Q1633">
        <v>-34</v>
      </c>
      <c r="R1633">
        <v>99.999999000000003</v>
      </c>
    </row>
    <row r="1634" spans="1:18" x14ac:dyDescent="0.2">
      <c r="A1634" t="s">
        <v>270</v>
      </c>
      <c r="B1634" t="s">
        <v>4672</v>
      </c>
      <c r="C1634">
        <v>1</v>
      </c>
      <c r="D1634" s="1">
        <v>44053.301655092589</v>
      </c>
      <c r="E1634" t="s">
        <v>5043</v>
      </c>
      <c r="F1634" t="s">
        <v>273</v>
      </c>
      <c r="G1634" t="s">
        <v>4674</v>
      </c>
      <c r="H1634" t="s">
        <v>275</v>
      </c>
      <c r="I1634" t="s">
        <v>29</v>
      </c>
      <c r="J1634">
        <v>1</v>
      </c>
      <c r="K1634">
        <f>1-866-801-5549</f>
        <v>-7215</v>
      </c>
      <c r="L1634" t="s">
        <v>5044</v>
      </c>
      <c r="M1634" t="s">
        <v>5045</v>
      </c>
      <c r="N1634" t="s">
        <v>278</v>
      </c>
      <c r="O1634" t="s">
        <v>134</v>
      </c>
      <c r="P1634" t="s">
        <v>782</v>
      </c>
      <c r="Q1634">
        <v>-34</v>
      </c>
      <c r="R1634">
        <v>99.999999000000003</v>
      </c>
    </row>
    <row r="1635" spans="1:18" x14ac:dyDescent="0.2">
      <c r="A1635" t="s">
        <v>270</v>
      </c>
      <c r="B1635" t="s">
        <v>4672</v>
      </c>
      <c r="C1635">
        <v>1</v>
      </c>
      <c r="D1635" s="1">
        <v>44053.29855324074</v>
      </c>
      <c r="E1635" t="s">
        <v>5046</v>
      </c>
      <c r="F1635" t="s">
        <v>273</v>
      </c>
      <c r="G1635" t="s">
        <v>4674</v>
      </c>
      <c r="H1635" t="s">
        <v>275</v>
      </c>
      <c r="I1635" t="s">
        <v>29</v>
      </c>
      <c r="J1635">
        <v>1</v>
      </c>
      <c r="K1635">
        <f>1-866-730-8093</f>
        <v>-9688</v>
      </c>
      <c r="L1635" t="s">
        <v>5047</v>
      </c>
      <c r="M1635" t="s">
        <v>5048</v>
      </c>
      <c r="N1635" t="s">
        <v>278</v>
      </c>
      <c r="O1635" t="s">
        <v>134</v>
      </c>
      <c r="P1635" t="s">
        <v>782</v>
      </c>
      <c r="Q1635">
        <v>-34</v>
      </c>
      <c r="R1635">
        <v>99.999999000000003</v>
      </c>
    </row>
    <row r="1636" spans="1:18" x14ac:dyDescent="0.2">
      <c r="A1636" t="s">
        <v>270</v>
      </c>
      <c r="B1636" t="s">
        <v>4672</v>
      </c>
      <c r="C1636">
        <v>1</v>
      </c>
      <c r="D1636" s="1">
        <v>44053.290324074071</v>
      </c>
      <c r="E1636" t="s">
        <v>5049</v>
      </c>
      <c r="F1636" t="s">
        <v>273</v>
      </c>
      <c r="G1636" t="s">
        <v>4674</v>
      </c>
      <c r="H1636" t="s">
        <v>275</v>
      </c>
      <c r="I1636" t="s">
        <v>29</v>
      </c>
      <c r="J1636">
        <v>1</v>
      </c>
      <c r="K1636">
        <f>1-888-524-5804</f>
        <v>-7215</v>
      </c>
      <c r="L1636" t="s">
        <v>5050</v>
      </c>
      <c r="M1636" t="s">
        <v>5051</v>
      </c>
      <c r="N1636" t="s">
        <v>278</v>
      </c>
      <c r="O1636" t="s">
        <v>134</v>
      </c>
      <c r="P1636" t="s">
        <v>782</v>
      </c>
      <c r="Q1636">
        <v>-34</v>
      </c>
      <c r="R1636">
        <v>99.999999000000003</v>
      </c>
    </row>
    <row r="1637" spans="1:18" x14ac:dyDescent="0.2">
      <c r="A1637" t="s">
        <v>270</v>
      </c>
      <c r="B1637" t="s">
        <v>4672</v>
      </c>
      <c r="C1637">
        <v>1</v>
      </c>
      <c r="D1637" s="1">
        <v>44037.414814814816</v>
      </c>
      <c r="E1637" t="s">
        <v>5052</v>
      </c>
      <c r="F1637" t="s">
        <v>273</v>
      </c>
      <c r="G1637" t="s">
        <v>4674</v>
      </c>
      <c r="H1637" t="s">
        <v>275</v>
      </c>
      <c r="I1637" t="s">
        <v>29</v>
      </c>
      <c r="J1637">
        <v>1</v>
      </c>
      <c r="K1637">
        <f>1-888-526-867</f>
        <v>-2280</v>
      </c>
      <c r="L1637" t="s">
        <v>5053</v>
      </c>
      <c r="M1637" t="s">
        <v>5054</v>
      </c>
      <c r="N1637" t="s">
        <v>278</v>
      </c>
      <c r="O1637" t="s">
        <v>134</v>
      </c>
      <c r="P1637" t="s">
        <v>782</v>
      </c>
      <c r="Q1637">
        <v>-34</v>
      </c>
      <c r="R1637">
        <v>99.999999000000003</v>
      </c>
    </row>
    <row r="1638" spans="1:18" x14ac:dyDescent="0.2">
      <c r="A1638" t="s">
        <v>270</v>
      </c>
      <c r="B1638" t="s">
        <v>4672</v>
      </c>
      <c r="C1638">
        <v>1</v>
      </c>
      <c r="D1638" s="1">
        <v>44031.759039351855</v>
      </c>
      <c r="E1638" t="s">
        <v>5055</v>
      </c>
      <c r="F1638" t="s">
        <v>273</v>
      </c>
      <c r="G1638" t="s">
        <v>4674</v>
      </c>
      <c r="H1638" t="s">
        <v>275</v>
      </c>
      <c r="I1638" t="s">
        <v>29</v>
      </c>
      <c r="J1638">
        <v>1</v>
      </c>
      <c r="K1638">
        <f>1-866-755-2213</f>
        <v>-3833</v>
      </c>
      <c r="L1638" t="s">
        <v>5056</v>
      </c>
      <c r="M1638" t="s">
        <v>5057</v>
      </c>
      <c r="N1638" t="s">
        <v>278</v>
      </c>
      <c r="O1638" t="s">
        <v>134</v>
      </c>
      <c r="P1638" t="s">
        <v>782</v>
      </c>
      <c r="Q1638">
        <v>-34</v>
      </c>
      <c r="R1638">
        <v>99.999999000000003</v>
      </c>
    </row>
    <row r="1639" spans="1:18" x14ac:dyDescent="0.2">
      <c r="A1639" t="s">
        <v>270</v>
      </c>
      <c r="B1639" t="s">
        <v>4672</v>
      </c>
      <c r="C1639">
        <v>1</v>
      </c>
      <c r="D1639" s="1">
        <v>43991.808680555558</v>
      </c>
      <c r="E1639" t="s">
        <v>5058</v>
      </c>
      <c r="F1639" t="s">
        <v>273</v>
      </c>
      <c r="G1639" t="s">
        <v>4674</v>
      </c>
      <c r="H1639" t="s">
        <v>275</v>
      </c>
      <c r="I1639" t="s">
        <v>29</v>
      </c>
      <c r="J1639">
        <v>1</v>
      </c>
      <c r="K1639">
        <f>1-833-760-697</f>
        <v>-2289</v>
      </c>
      <c r="L1639" t="s">
        <v>5059</v>
      </c>
      <c r="M1639" t="s">
        <v>5060</v>
      </c>
      <c r="N1639" t="s">
        <v>278</v>
      </c>
      <c r="O1639" t="s">
        <v>28</v>
      </c>
      <c r="P1639" t="s">
        <v>782</v>
      </c>
      <c r="Q1639">
        <v>-34</v>
      </c>
      <c r="R1639">
        <v>99.999999000000003</v>
      </c>
    </row>
    <row r="1640" spans="1:18" x14ac:dyDescent="0.2">
      <c r="A1640" t="s">
        <v>270</v>
      </c>
      <c r="B1640" t="s">
        <v>271</v>
      </c>
      <c r="C1640">
        <v>1</v>
      </c>
      <c r="D1640" s="1">
        <v>44003.814085648148</v>
      </c>
      <c r="E1640" t="s">
        <v>5061</v>
      </c>
      <c r="F1640" t="s">
        <v>273</v>
      </c>
      <c r="G1640" t="s">
        <v>5062</v>
      </c>
      <c r="H1640" t="s">
        <v>275</v>
      </c>
      <c r="I1640" t="s">
        <v>29</v>
      </c>
      <c r="J1640">
        <v>1</v>
      </c>
      <c r="K1640">
        <f>1-844-230-8967</f>
        <v>-10040</v>
      </c>
      <c r="L1640" t="s">
        <v>5063</v>
      </c>
      <c r="M1640" t="s">
        <v>5064</v>
      </c>
      <c r="N1640" t="s">
        <v>278</v>
      </c>
      <c r="O1640" t="s">
        <v>28</v>
      </c>
      <c r="P1640" t="s">
        <v>29</v>
      </c>
      <c r="Q1640">
        <v>42</v>
      </c>
      <c r="R1640">
        <v>-93.620800000000003</v>
      </c>
    </row>
    <row r="1641" spans="1:18" x14ac:dyDescent="0.2">
      <c r="A1641" t="s">
        <v>270</v>
      </c>
      <c r="B1641" t="s">
        <v>271</v>
      </c>
      <c r="C1641">
        <v>1</v>
      </c>
      <c r="D1641" s="1">
        <v>43991.821944444448</v>
      </c>
      <c r="E1641" t="s">
        <v>5065</v>
      </c>
      <c r="F1641" t="s">
        <v>273</v>
      </c>
      <c r="G1641" t="s">
        <v>5062</v>
      </c>
      <c r="H1641" t="s">
        <v>275</v>
      </c>
      <c r="I1641" t="s">
        <v>29</v>
      </c>
      <c r="J1641">
        <v>1</v>
      </c>
      <c r="K1641">
        <f>1-844-211-8924</f>
        <v>-9978</v>
      </c>
      <c r="L1641" t="s">
        <v>5066</v>
      </c>
      <c r="M1641" t="s">
        <v>5067</v>
      </c>
      <c r="N1641" t="s">
        <v>278</v>
      </c>
      <c r="O1641" t="s">
        <v>28</v>
      </c>
      <c r="P1641" t="s">
        <v>29</v>
      </c>
      <c r="Q1641">
        <v>42</v>
      </c>
      <c r="R1641">
        <v>-93.620800000000003</v>
      </c>
    </row>
    <row r="1642" spans="1:18" x14ac:dyDescent="0.2">
      <c r="A1642" t="s">
        <v>1200</v>
      </c>
      <c r="B1642" t="s">
        <v>1201</v>
      </c>
      <c r="C1642">
        <v>1</v>
      </c>
      <c r="D1642" s="1">
        <v>44016.667175925926</v>
      </c>
      <c r="E1642" t="s">
        <v>5068</v>
      </c>
      <c r="F1642" t="s">
        <v>1203</v>
      </c>
      <c r="G1642" t="s">
        <v>5069</v>
      </c>
      <c r="H1642" t="s">
        <v>1205</v>
      </c>
      <c r="I1642" t="s">
        <v>29</v>
      </c>
      <c r="J1642">
        <v>1</v>
      </c>
      <c r="K1642">
        <f>1-800-215-9870</f>
        <v>-10884</v>
      </c>
      <c r="L1642" t="s">
        <v>5070</v>
      </c>
      <c r="M1642" t="s">
        <v>5071</v>
      </c>
      <c r="N1642" t="s">
        <v>36</v>
      </c>
      <c r="O1642" t="s">
        <v>134</v>
      </c>
      <c r="P1642" t="s">
        <v>29</v>
      </c>
      <c r="Q1642">
        <v>34</v>
      </c>
      <c r="R1642">
        <v>-99.999999000000003</v>
      </c>
    </row>
    <row r="1643" spans="1:18" x14ac:dyDescent="0.2">
      <c r="A1643" t="s">
        <v>1200</v>
      </c>
      <c r="B1643" t="s">
        <v>1201</v>
      </c>
      <c r="C1643">
        <v>1</v>
      </c>
      <c r="D1643" s="1">
        <v>44016.067013888889</v>
      </c>
      <c r="E1643" t="s">
        <v>5072</v>
      </c>
      <c r="F1643" t="s">
        <v>1203</v>
      </c>
      <c r="G1643" t="s">
        <v>5069</v>
      </c>
      <c r="H1643" t="s">
        <v>1205</v>
      </c>
      <c r="I1643" t="s">
        <v>29</v>
      </c>
      <c r="J1643">
        <v>1</v>
      </c>
      <c r="K1643">
        <f>1-888-342-7356</f>
        <v>-8585</v>
      </c>
      <c r="L1643" t="s">
        <v>5073</v>
      </c>
      <c r="M1643" t="s">
        <v>5074</v>
      </c>
      <c r="N1643" t="s">
        <v>36</v>
      </c>
      <c r="O1643" t="s">
        <v>134</v>
      </c>
      <c r="P1643" t="s">
        <v>29</v>
      </c>
      <c r="Q1643">
        <v>34</v>
      </c>
      <c r="R1643">
        <v>-99.999999000000003</v>
      </c>
    </row>
    <row r="1644" spans="1:18" x14ac:dyDescent="0.2">
      <c r="A1644" t="s">
        <v>1200</v>
      </c>
      <c r="B1644" t="s">
        <v>1201</v>
      </c>
      <c r="C1644">
        <v>1</v>
      </c>
      <c r="D1644" s="1">
        <v>44015.384502314817</v>
      </c>
      <c r="E1644" t="s">
        <v>5075</v>
      </c>
      <c r="F1644" t="s">
        <v>1203</v>
      </c>
      <c r="G1644" t="s">
        <v>5069</v>
      </c>
      <c r="H1644" t="s">
        <v>1205</v>
      </c>
      <c r="I1644" t="s">
        <v>29</v>
      </c>
      <c r="J1644">
        <v>1</v>
      </c>
      <c r="K1644">
        <f>1-808-400-5586</f>
        <v>-6793</v>
      </c>
      <c r="L1644" t="s">
        <v>5076</v>
      </c>
      <c r="M1644" t="s">
        <v>5077</v>
      </c>
      <c r="N1644" t="s">
        <v>36</v>
      </c>
      <c r="O1644" t="s">
        <v>134</v>
      </c>
      <c r="P1644" t="s">
        <v>29</v>
      </c>
      <c r="Q1644">
        <v>34</v>
      </c>
      <c r="R1644">
        <v>-99.999999000000003</v>
      </c>
    </row>
    <row r="1645" spans="1:18" x14ac:dyDescent="0.2">
      <c r="A1645" t="s">
        <v>1200</v>
      </c>
      <c r="B1645" t="s">
        <v>1201</v>
      </c>
      <c r="C1645">
        <v>1</v>
      </c>
      <c r="D1645" s="1">
        <v>44007.67496527778</v>
      </c>
      <c r="E1645" t="s">
        <v>5078</v>
      </c>
      <c r="F1645" t="s">
        <v>1203</v>
      </c>
      <c r="G1645" t="s">
        <v>5069</v>
      </c>
      <c r="H1645" t="s">
        <v>1205</v>
      </c>
      <c r="I1645" t="s">
        <v>29</v>
      </c>
      <c r="J1645">
        <v>1</v>
      </c>
      <c r="K1645">
        <f>1-833-296-5161</f>
        <v>-6289</v>
      </c>
      <c r="L1645" t="s">
        <v>5079</v>
      </c>
      <c r="M1645" t="s">
        <v>5080</v>
      </c>
      <c r="N1645" t="s">
        <v>36</v>
      </c>
      <c r="O1645" t="s">
        <v>134</v>
      </c>
      <c r="P1645" t="s">
        <v>29</v>
      </c>
      <c r="Q1645">
        <v>34</v>
      </c>
      <c r="R1645">
        <v>-99.999999000000003</v>
      </c>
    </row>
    <row r="1646" spans="1:18" x14ac:dyDescent="0.2">
      <c r="A1646" t="s">
        <v>1200</v>
      </c>
      <c r="B1646" t="s">
        <v>1201</v>
      </c>
      <c r="C1646">
        <v>1</v>
      </c>
      <c r="D1646" s="1">
        <v>44005.111273148148</v>
      </c>
      <c r="E1646" t="s">
        <v>5081</v>
      </c>
      <c r="F1646" t="s">
        <v>1203</v>
      </c>
      <c r="G1646" t="s">
        <v>5069</v>
      </c>
      <c r="H1646" t="s">
        <v>1205</v>
      </c>
      <c r="I1646" t="s">
        <v>29</v>
      </c>
      <c r="J1646">
        <v>1</v>
      </c>
      <c r="K1646">
        <f>1-833-328-2168</f>
        <v>-3328</v>
      </c>
      <c r="L1646" t="s">
        <v>5082</v>
      </c>
      <c r="M1646" t="s">
        <v>5083</v>
      </c>
      <c r="N1646" t="s">
        <v>36</v>
      </c>
      <c r="O1646" t="s">
        <v>134</v>
      </c>
      <c r="P1646" t="s">
        <v>29</v>
      </c>
      <c r="Q1646">
        <v>34</v>
      </c>
      <c r="R1646">
        <v>-99.999999000000003</v>
      </c>
    </row>
    <row r="1647" spans="1:18" x14ac:dyDescent="0.2">
      <c r="A1647" t="s">
        <v>1200</v>
      </c>
      <c r="B1647" t="s">
        <v>1201</v>
      </c>
      <c r="C1647">
        <v>1</v>
      </c>
      <c r="D1647" s="1">
        <v>43998.47923611111</v>
      </c>
      <c r="E1647" t="s">
        <v>5084</v>
      </c>
      <c r="F1647" t="s">
        <v>1203</v>
      </c>
      <c r="G1647" t="s">
        <v>5069</v>
      </c>
      <c r="H1647" t="s">
        <v>1205</v>
      </c>
      <c r="I1647" t="s">
        <v>29</v>
      </c>
      <c r="J1647">
        <v>1</v>
      </c>
      <c r="K1647">
        <f>1-888-385-4862</f>
        <v>-6134</v>
      </c>
      <c r="L1647" t="s">
        <v>5085</v>
      </c>
      <c r="M1647" t="s">
        <v>5086</v>
      </c>
      <c r="N1647" t="s">
        <v>36</v>
      </c>
      <c r="O1647" t="s">
        <v>134</v>
      </c>
      <c r="P1647" t="s">
        <v>29</v>
      </c>
      <c r="Q1647">
        <v>34</v>
      </c>
      <c r="R1647">
        <v>-99.999999000000003</v>
      </c>
    </row>
    <row r="1648" spans="1:18" x14ac:dyDescent="0.2">
      <c r="A1648" t="s">
        <v>1200</v>
      </c>
      <c r="B1648" t="s">
        <v>1201</v>
      </c>
      <c r="C1648">
        <v>1</v>
      </c>
      <c r="D1648" s="1">
        <v>43991.903773148151</v>
      </c>
      <c r="E1648" t="s">
        <v>5087</v>
      </c>
      <c r="F1648" t="s">
        <v>1203</v>
      </c>
      <c r="G1648" t="s">
        <v>5069</v>
      </c>
      <c r="H1648" t="s">
        <v>1205</v>
      </c>
      <c r="I1648" t="s">
        <v>29</v>
      </c>
      <c r="J1648">
        <v>1</v>
      </c>
      <c r="K1648">
        <f>1-866-288-2175</f>
        <v>-3328</v>
      </c>
      <c r="L1648" t="s">
        <v>5088</v>
      </c>
      <c r="M1648" t="s">
        <v>5089</v>
      </c>
      <c r="N1648" t="s">
        <v>36</v>
      </c>
      <c r="O1648" t="s">
        <v>134</v>
      </c>
      <c r="P1648" t="s">
        <v>29</v>
      </c>
      <c r="Q1648">
        <v>34</v>
      </c>
      <c r="R1648">
        <v>-99.999999000000003</v>
      </c>
    </row>
    <row r="1649" spans="1:18" x14ac:dyDescent="0.2">
      <c r="A1649" t="s">
        <v>18</v>
      </c>
      <c r="B1649" t="s">
        <v>462</v>
      </c>
      <c r="C1649">
        <v>1</v>
      </c>
      <c r="D1649" s="1">
        <v>44140.141064814816</v>
      </c>
      <c r="E1649" t="s">
        <v>5090</v>
      </c>
      <c r="F1649" t="s">
        <v>464</v>
      </c>
      <c r="G1649" t="s">
        <v>5091</v>
      </c>
      <c r="H1649" t="s">
        <v>466</v>
      </c>
      <c r="I1649" t="s">
        <v>29</v>
      </c>
      <c r="J1649">
        <v>1</v>
      </c>
      <c r="K1649">
        <f>1-888-332-1723</f>
        <v>-2942</v>
      </c>
      <c r="L1649" t="s">
        <v>5092</v>
      </c>
      <c r="M1649" t="s">
        <v>5093</v>
      </c>
      <c r="N1649" t="s">
        <v>452</v>
      </c>
      <c r="O1649" t="s">
        <v>134</v>
      </c>
      <c r="P1649" t="s">
        <v>29</v>
      </c>
      <c r="Q1649">
        <v>40</v>
      </c>
      <c r="R1649">
        <v>-99.999999000000003</v>
      </c>
    </row>
    <row r="1650" spans="1:18" x14ac:dyDescent="0.2">
      <c r="A1650" t="s">
        <v>18</v>
      </c>
      <c r="B1650" t="s">
        <v>462</v>
      </c>
      <c r="C1650">
        <v>1</v>
      </c>
      <c r="D1650" s="1">
        <v>44113.817511574074</v>
      </c>
      <c r="E1650" t="s">
        <v>5094</v>
      </c>
      <c r="F1650" t="s">
        <v>464</v>
      </c>
      <c r="G1650" t="s">
        <v>5091</v>
      </c>
      <c r="H1650" t="s">
        <v>466</v>
      </c>
      <c r="I1650" t="s">
        <v>29</v>
      </c>
      <c r="J1650">
        <v>1</v>
      </c>
      <c r="K1650">
        <f>1-888-364-458</f>
        <v>-1709</v>
      </c>
      <c r="L1650" t="s">
        <v>5095</v>
      </c>
      <c r="M1650" t="s">
        <v>5096</v>
      </c>
      <c r="N1650" t="s">
        <v>452</v>
      </c>
      <c r="O1650" t="s">
        <v>134</v>
      </c>
      <c r="P1650" t="s">
        <v>29</v>
      </c>
      <c r="Q1650">
        <v>40</v>
      </c>
      <c r="R1650">
        <v>-99.999999000000003</v>
      </c>
    </row>
    <row r="1651" spans="1:18" x14ac:dyDescent="0.2">
      <c r="A1651" t="s">
        <v>18</v>
      </c>
      <c r="B1651" t="s">
        <v>462</v>
      </c>
      <c r="C1651">
        <v>1</v>
      </c>
      <c r="D1651" s="1">
        <v>44112.880127314813</v>
      </c>
      <c r="E1651" t="s">
        <v>5097</v>
      </c>
      <c r="F1651" t="s">
        <v>464</v>
      </c>
      <c r="G1651" t="s">
        <v>5091</v>
      </c>
      <c r="H1651" t="s">
        <v>466</v>
      </c>
      <c r="I1651" t="s">
        <v>29</v>
      </c>
      <c r="J1651">
        <v>1</v>
      </c>
      <c r="K1651">
        <f>1-888-372-9485</f>
        <v>-10744</v>
      </c>
      <c r="L1651" t="s">
        <v>5098</v>
      </c>
      <c r="M1651" t="s">
        <v>5099</v>
      </c>
      <c r="N1651" t="s">
        <v>452</v>
      </c>
      <c r="O1651" t="s">
        <v>134</v>
      </c>
      <c r="P1651" t="s">
        <v>29</v>
      </c>
      <c r="Q1651">
        <v>40</v>
      </c>
      <c r="R1651">
        <v>-99.999999000000003</v>
      </c>
    </row>
    <row r="1652" spans="1:18" x14ac:dyDescent="0.2">
      <c r="A1652" t="s">
        <v>18</v>
      </c>
      <c r="B1652" t="s">
        <v>462</v>
      </c>
      <c r="C1652">
        <v>1</v>
      </c>
      <c r="D1652" s="1">
        <v>44110.077731481484</v>
      </c>
      <c r="E1652" t="s">
        <v>5100</v>
      </c>
      <c r="F1652" t="s">
        <v>464</v>
      </c>
      <c r="G1652" t="s">
        <v>5091</v>
      </c>
      <c r="H1652" t="s">
        <v>466</v>
      </c>
      <c r="I1652" t="s">
        <v>29</v>
      </c>
      <c r="J1652">
        <v>1</v>
      </c>
      <c r="K1652">
        <f>1-888-321-5107</f>
        <v>-6315</v>
      </c>
      <c r="L1652" t="s">
        <v>5101</v>
      </c>
      <c r="M1652" t="s">
        <v>5102</v>
      </c>
      <c r="N1652" t="s">
        <v>452</v>
      </c>
      <c r="O1652" t="s">
        <v>134</v>
      </c>
      <c r="P1652" t="s">
        <v>29</v>
      </c>
      <c r="Q1652">
        <v>40</v>
      </c>
      <c r="R1652">
        <v>-99.999999000000003</v>
      </c>
    </row>
    <row r="1653" spans="1:18" x14ac:dyDescent="0.2">
      <c r="A1653" t="s">
        <v>18</v>
      </c>
      <c r="B1653" t="s">
        <v>462</v>
      </c>
      <c r="C1653">
        <v>1</v>
      </c>
      <c r="D1653" s="1">
        <v>44110.02553240741</v>
      </c>
      <c r="E1653" t="s">
        <v>5100</v>
      </c>
      <c r="F1653" t="s">
        <v>464</v>
      </c>
      <c r="G1653" t="s">
        <v>5091</v>
      </c>
      <c r="H1653" t="s">
        <v>466</v>
      </c>
      <c r="I1653" t="s">
        <v>29</v>
      </c>
      <c r="J1653">
        <v>1</v>
      </c>
      <c r="K1653">
        <f>1-888-374-1273</f>
        <v>-2534</v>
      </c>
      <c r="L1653" t="s">
        <v>5103</v>
      </c>
      <c r="M1653" t="s">
        <v>5102</v>
      </c>
      <c r="N1653" t="s">
        <v>452</v>
      </c>
      <c r="O1653" t="s">
        <v>134</v>
      </c>
      <c r="P1653" t="s">
        <v>29</v>
      </c>
      <c r="Q1653">
        <v>40</v>
      </c>
      <c r="R1653">
        <v>-99.999999000000003</v>
      </c>
    </row>
    <row r="1654" spans="1:18" x14ac:dyDescent="0.2">
      <c r="A1654" t="s">
        <v>18</v>
      </c>
      <c r="B1654" t="s">
        <v>462</v>
      </c>
      <c r="C1654">
        <v>81</v>
      </c>
      <c r="D1654" s="1">
        <v>44092.163530092592</v>
      </c>
      <c r="E1654" t="s">
        <v>5104</v>
      </c>
      <c r="F1654" t="s">
        <v>464</v>
      </c>
      <c r="G1654" t="s">
        <v>5091</v>
      </c>
      <c r="H1654" t="s">
        <v>466</v>
      </c>
      <c r="I1654" t="s">
        <v>53</v>
      </c>
      <c r="J1654">
        <v>81</v>
      </c>
      <c r="K1654">
        <f>81-50-5532-2329</f>
        <v>-7830</v>
      </c>
      <c r="L1654" t="s">
        <v>5105</v>
      </c>
      <c r="M1654" t="s">
        <v>5106</v>
      </c>
      <c r="N1654" t="s">
        <v>452</v>
      </c>
      <c r="O1654" t="s">
        <v>134</v>
      </c>
      <c r="P1654" t="s">
        <v>29</v>
      </c>
      <c r="Q1654">
        <v>40</v>
      </c>
      <c r="R1654">
        <v>-99.999999000000003</v>
      </c>
    </row>
    <row r="1655" spans="1:18" x14ac:dyDescent="0.2">
      <c r="A1655" t="s">
        <v>18</v>
      </c>
      <c r="B1655" t="s">
        <v>462</v>
      </c>
      <c r="C1655">
        <v>44</v>
      </c>
      <c r="D1655" s="1">
        <v>44088.476018518515</v>
      </c>
      <c r="E1655" t="s">
        <v>5107</v>
      </c>
      <c r="F1655" t="s">
        <v>464</v>
      </c>
      <c r="G1655" t="s">
        <v>5091</v>
      </c>
      <c r="H1655" t="s">
        <v>466</v>
      </c>
      <c r="I1655" t="s">
        <v>618</v>
      </c>
      <c r="J1655">
        <v>44</v>
      </c>
      <c r="K1655">
        <f>44-752-63-1897</f>
        <v>-2668</v>
      </c>
      <c r="L1655" t="s">
        <v>5108</v>
      </c>
      <c r="M1655" t="s">
        <v>5109</v>
      </c>
      <c r="N1655" t="s">
        <v>452</v>
      </c>
      <c r="O1655" t="s">
        <v>28</v>
      </c>
      <c r="P1655" t="s">
        <v>29</v>
      </c>
      <c r="Q1655">
        <v>40</v>
      </c>
      <c r="R1655">
        <v>-99.999999000000003</v>
      </c>
    </row>
    <row r="1656" spans="1:18" x14ac:dyDescent="0.2">
      <c r="A1656" t="s">
        <v>18</v>
      </c>
      <c r="B1656" t="s">
        <v>462</v>
      </c>
      <c r="C1656">
        <v>44</v>
      </c>
      <c r="D1656" s="1">
        <v>44088.689305555556</v>
      </c>
      <c r="E1656" t="s">
        <v>5110</v>
      </c>
      <c r="F1656" t="s">
        <v>464</v>
      </c>
      <c r="G1656" t="s">
        <v>5091</v>
      </c>
      <c r="H1656" t="s">
        <v>466</v>
      </c>
      <c r="I1656" t="s">
        <v>618</v>
      </c>
      <c r="J1656">
        <v>44</v>
      </c>
      <c r="K1656">
        <f>44-752-63-3141</f>
        <v>-3912</v>
      </c>
      <c r="L1656" t="s">
        <v>5111</v>
      </c>
      <c r="M1656" t="s">
        <v>5112</v>
      </c>
      <c r="N1656" t="s">
        <v>452</v>
      </c>
      <c r="O1656" t="s">
        <v>134</v>
      </c>
      <c r="P1656" t="s">
        <v>29</v>
      </c>
      <c r="Q1656">
        <v>40</v>
      </c>
      <c r="R1656">
        <v>-99.999999000000003</v>
      </c>
    </row>
    <row r="1657" spans="1:18" x14ac:dyDescent="0.2">
      <c r="A1657" t="s">
        <v>18</v>
      </c>
      <c r="B1657" t="s">
        <v>462</v>
      </c>
      <c r="C1657">
        <v>44</v>
      </c>
      <c r="D1657" s="1">
        <v>44086.541388888887</v>
      </c>
      <c r="E1657" t="s">
        <v>5107</v>
      </c>
      <c r="F1657" t="s">
        <v>464</v>
      </c>
      <c r="G1657" t="s">
        <v>5091</v>
      </c>
      <c r="H1657" t="s">
        <v>466</v>
      </c>
      <c r="I1657" t="s">
        <v>618</v>
      </c>
      <c r="J1657">
        <v>44</v>
      </c>
      <c r="K1657">
        <f>44-752-63-1897</f>
        <v>-2668</v>
      </c>
      <c r="L1657" t="s">
        <v>5113</v>
      </c>
      <c r="M1657" t="s">
        <v>5114</v>
      </c>
      <c r="N1657" t="s">
        <v>452</v>
      </c>
      <c r="O1657" t="s">
        <v>134</v>
      </c>
      <c r="P1657" t="s">
        <v>29</v>
      </c>
      <c r="Q1657">
        <v>40</v>
      </c>
      <c r="R1657">
        <v>-99.999999000000003</v>
      </c>
    </row>
    <row r="1658" spans="1:18" x14ac:dyDescent="0.2">
      <c r="A1658" t="s">
        <v>18</v>
      </c>
      <c r="B1658" t="s">
        <v>462</v>
      </c>
      <c r="C1658">
        <v>1</v>
      </c>
      <c r="D1658" s="1">
        <v>44084.7809375</v>
      </c>
      <c r="E1658" t="s">
        <v>5115</v>
      </c>
      <c r="F1658" t="s">
        <v>464</v>
      </c>
      <c r="G1658" t="s">
        <v>5091</v>
      </c>
      <c r="H1658" t="s">
        <v>466</v>
      </c>
      <c r="I1658" t="s">
        <v>29</v>
      </c>
      <c r="J1658">
        <v>1</v>
      </c>
      <c r="K1658">
        <f>1-844-260-2723</f>
        <v>-3826</v>
      </c>
      <c r="L1658" t="s">
        <v>5116</v>
      </c>
      <c r="M1658" t="s">
        <v>5117</v>
      </c>
      <c r="N1658" t="s">
        <v>452</v>
      </c>
      <c r="O1658" t="s">
        <v>134</v>
      </c>
      <c r="P1658" t="s">
        <v>29</v>
      </c>
      <c r="Q1658">
        <v>40</v>
      </c>
      <c r="R1658">
        <v>-99.999999000000003</v>
      </c>
    </row>
    <row r="1659" spans="1:18" x14ac:dyDescent="0.2">
      <c r="A1659" t="s">
        <v>18</v>
      </c>
      <c r="B1659" t="s">
        <v>462</v>
      </c>
      <c r="C1659">
        <v>1</v>
      </c>
      <c r="D1659" s="1">
        <v>44084.780763888892</v>
      </c>
      <c r="E1659" t="s">
        <v>5118</v>
      </c>
      <c r="F1659" t="s">
        <v>464</v>
      </c>
      <c r="G1659" t="s">
        <v>5091</v>
      </c>
      <c r="H1659" t="s">
        <v>466</v>
      </c>
      <c r="I1659" t="s">
        <v>29</v>
      </c>
      <c r="J1659">
        <v>1</v>
      </c>
      <c r="K1659">
        <f>1-844-260-2723</f>
        <v>-3826</v>
      </c>
      <c r="L1659" t="s">
        <v>5119</v>
      </c>
      <c r="M1659" t="s">
        <v>5120</v>
      </c>
      <c r="N1659" t="s">
        <v>452</v>
      </c>
      <c r="O1659" t="s">
        <v>134</v>
      </c>
      <c r="P1659" t="s">
        <v>29</v>
      </c>
      <c r="Q1659">
        <v>40</v>
      </c>
      <c r="R1659">
        <v>-99.999999000000003</v>
      </c>
    </row>
    <row r="1660" spans="1:18" x14ac:dyDescent="0.2">
      <c r="A1660" t="s">
        <v>18</v>
      </c>
      <c r="B1660" t="s">
        <v>462</v>
      </c>
      <c r="C1660">
        <v>44</v>
      </c>
      <c r="D1660" s="1">
        <v>44082.872407407405</v>
      </c>
      <c r="E1660" t="s">
        <v>5121</v>
      </c>
      <c r="F1660" t="s">
        <v>464</v>
      </c>
      <c r="G1660" t="s">
        <v>5091</v>
      </c>
      <c r="H1660" t="s">
        <v>466</v>
      </c>
      <c r="I1660" t="s">
        <v>618</v>
      </c>
      <c r="J1660">
        <v>44</v>
      </c>
      <c r="K1660">
        <f>44-124-579-703</f>
        <v>-1362</v>
      </c>
      <c r="L1660" t="s">
        <v>5122</v>
      </c>
      <c r="M1660" t="s">
        <v>5123</v>
      </c>
      <c r="N1660" t="s">
        <v>452</v>
      </c>
      <c r="O1660" t="s">
        <v>134</v>
      </c>
      <c r="P1660" t="s">
        <v>29</v>
      </c>
      <c r="Q1660">
        <v>40</v>
      </c>
      <c r="R1660">
        <v>-99.999999000000003</v>
      </c>
    </row>
    <row r="1661" spans="1:18" x14ac:dyDescent="0.2">
      <c r="A1661" t="s">
        <v>18</v>
      </c>
      <c r="B1661" t="s">
        <v>462</v>
      </c>
      <c r="C1661">
        <v>81</v>
      </c>
      <c r="D1661" s="1">
        <v>44082.852881944447</v>
      </c>
      <c r="E1661" t="s">
        <v>5124</v>
      </c>
      <c r="F1661" t="s">
        <v>464</v>
      </c>
      <c r="G1661" t="s">
        <v>5091</v>
      </c>
      <c r="H1661" t="s">
        <v>466</v>
      </c>
      <c r="I1661" t="s">
        <v>53</v>
      </c>
      <c r="J1661">
        <v>81</v>
      </c>
      <c r="K1661">
        <f>81-50-5532-2329</f>
        <v>-7830</v>
      </c>
      <c r="L1661" t="s">
        <v>5125</v>
      </c>
      <c r="M1661" t="s">
        <v>5126</v>
      </c>
      <c r="N1661" t="s">
        <v>452</v>
      </c>
      <c r="O1661" t="s">
        <v>134</v>
      </c>
      <c r="P1661" t="s">
        <v>29</v>
      </c>
      <c r="Q1661">
        <v>40</v>
      </c>
      <c r="R1661">
        <v>-99.999999000000003</v>
      </c>
    </row>
    <row r="1662" spans="1:18" x14ac:dyDescent="0.2">
      <c r="A1662" t="s">
        <v>18</v>
      </c>
      <c r="B1662" t="s">
        <v>462</v>
      </c>
      <c r="C1662">
        <v>44</v>
      </c>
      <c r="D1662" s="1">
        <v>44082.851597222223</v>
      </c>
      <c r="E1662" t="s">
        <v>5127</v>
      </c>
      <c r="F1662" t="s">
        <v>464</v>
      </c>
      <c r="G1662" t="s">
        <v>5091</v>
      </c>
      <c r="H1662" t="s">
        <v>466</v>
      </c>
      <c r="I1662" t="s">
        <v>618</v>
      </c>
      <c r="J1662">
        <v>44</v>
      </c>
      <c r="K1662">
        <f>44-752-63-1762</f>
        <v>-2533</v>
      </c>
      <c r="L1662" t="s">
        <v>5128</v>
      </c>
      <c r="M1662" t="s">
        <v>5129</v>
      </c>
      <c r="N1662" t="s">
        <v>452</v>
      </c>
      <c r="O1662" t="s">
        <v>134</v>
      </c>
      <c r="P1662" t="s">
        <v>29</v>
      </c>
      <c r="Q1662">
        <v>40</v>
      </c>
      <c r="R1662">
        <v>-99.999999000000003</v>
      </c>
    </row>
    <row r="1663" spans="1:18" x14ac:dyDescent="0.2">
      <c r="A1663" t="s">
        <v>18</v>
      </c>
      <c r="B1663" t="s">
        <v>462</v>
      </c>
      <c r="C1663">
        <v>81</v>
      </c>
      <c r="D1663" s="1">
        <v>44082.849745370368</v>
      </c>
      <c r="E1663" t="s">
        <v>5130</v>
      </c>
      <c r="F1663" t="s">
        <v>464</v>
      </c>
      <c r="G1663" t="s">
        <v>5091</v>
      </c>
      <c r="H1663" t="s">
        <v>466</v>
      </c>
      <c r="I1663" t="s">
        <v>53</v>
      </c>
      <c r="J1663">
        <v>81</v>
      </c>
      <c r="K1663">
        <f>81-50-5532-2329</f>
        <v>-7830</v>
      </c>
      <c r="L1663" t="s">
        <v>5131</v>
      </c>
      <c r="M1663" t="s">
        <v>5132</v>
      </c>
      <c r="N1663" t="s">
        <v>452</v>
      </c>
      <c r="O1663" t="s">
        <v>134</v>
      </c>
      <c r="P1663" t="s">
        <v>29</v>
      </c>
      <c r="Q1663">
        <v>40</v>
      </c>
      <c r="R1663">
        <v>-99.999999000000003</v>
      </c>
    </row>
    <row r="1664" spans="1:18" x14ac:dyDescent="0.2">
      <c r="A1664" t="s">
        <v>18</v>
      </c>
      <c r="B1664" t="s">
        <v>462</v>
      </c>
      <c r="C1664">
        <v>81</v>
      </c>
      <c r="D1664" s="1">
        <v>44082.786782407406</v>
      </c>
      <c r="E1664" t="s">
        <v>5130</v>
      </c>
      <c r="F1664" t="s">
        <v>464</v>
      </c>
      <c r="G1664" t="s">
        <v>5091</v>
      </c>
      <c r="H1664" t="s">
        <v>466</v>
      </c>
      <c r="I1664" t="s">
        <v>53</v>
      </c>
      <c r="J1664">
        <v>81</v>
      </c>
      <c r="K1664">
        <f>81-50-5806-2318</f>
        <v>-8093</v>
      </c>
      <c r="L1664" t="s">
        <v>5133</v>
      </c>
      <c r="M1664" t="s">
        <v>5134</v>
      </c>
      <c r="N1664" t="s">
        <v>452</v>
      </c>
      <c r="O1664" t="s">
        <v>134</v>
      </c>
      <c r="P1664" t="s">
        <v>29</v>
      </c>
      <c r="Q1664">
        <v>40</v>
      </c>
      <c r="R1664">
        <v>-99.999999000000003</v>
      </c>
    </row>
    <row r="1665" spans="1:18" x14ac:dyDescent="0.2">
      <c r="A1665" t="s">
        <v>18</v>
      </c>
      <c r="B1665" t="s">
        <v>462</v>
      </c>
      <c r="C1665">
        <v>81</v>
      </c>
      <c r="D1665" s="1">
        <v>44081.447268518517</v>
      </c>
      <c r="E1665" t="s">
        <v>5124</v>
      </c>
      <c r="F1665" t="s">
        <v>464</v>
      </c>
      <c r="G1665" t="s">
        <v>5091</v>
      </c>
      <c r="H1665" t="s">
        <v>466</v>
      </c>
      <c r="I1665" t="s">
        <v>53</v>
      </c>
      <c r="J1665">
        <v>81</v>
      </c>
      <c r="K1665">
        <f>81-50-5532-4608</f>
        <v>-10109</v>
      </c>
      <c r="L1665" t="s">
        <v>5135</v>
      </c>
      <c r="M1665" t="s">
        <v>5136</v>
      </c>
      <c r="N1665" t="s">
        <v>452</v>
      </c>
      <c r="O1665" t="s">
        <v>134</v>
      </c>
      <c r="P1665" t="s">
        <v>29</v>
      </c>
      <c r="Q1665">
        <v>40</v>
      </c>
      <c r="R1665">
        <v>-99.999999000000003</v>
      </c>
    </row>
    <row r="1666" spans="1:18" x14ac:dyDescent="0.2">
      <c r="A1666" t="s">
        <v>18</v>
      </c>
      <c r="B1666" t="s">
        <v>462</v>
      </c>
      <c r="C1666">
        <v>1</v>
      </c>
      <c r="D1666" s="1">
        <v>44080.845405092594</v>
      </c>
      <c r="E1666" t="s">
        <v>5137</v>
      </c>
      <c r="F1666" t="s">
        <v>464</v>
      </c>
      <c r="G1666" t="s">
        <v>5091</v>
      </c>
      <c r="H1666" t="s">
        <v>466</v>
      </c>
      <c r="I1666" t="s">
        <v>29</v>
      </c>
      <c r="J1666">
        <v>1</v>
      </c>
      <c r="K1666">
        <f>1-844-306-8497</f>
        <v>-9646</v>
      </c>
      <c r="L1666" t="s">
        <v>5138</v>
      </c>
      <c r="M1666" t="s">
        <v>5139</v>
      </c>
      <c r="N1666" t="s">
        <v>452</v>
      </c>
      <c r="O1666" t="s">
        <v>134</v>
      </c>
      <c r="P1666" t="s">
        <v>29</v>
      </c>
      <c r="Q1666">
        <v>40</v>
      </c>
      <c r="R1666">
        <v>-99.999999000000003</v>
      </c>
    </row>
    <row r="1667" spans="1:18" x14ac:dyDescent="0.2">
      <c r="A1667" t="s">
        <v>18</v>
      </c>
      <c r="B1667" t="s">
        <v>462</v>
      </c>
      <c r="C1667">
        <v>1</v>
      </c>
      <c r="D1667" s="1">
        <v>44080.845324074071</v>
      </c>
      <c r="E1667" t="s">
        <v>5140</v>
      </c>
      <c r="F1667" t="s">
        <v>464</v>
      </c>
      <c r="G1667" t="s">
        <v>5091</v>
      </c>
      <c r="H1667" t="s">
        <v>466</v>
      </c>
      <c r="I1667" t="s">
        <v>29</v>
      </c>
      <c r="J1667">
        <v>1</v>
      </c>
      <c r="K1667">
        <f>1-844-306-8497</f>
        <v>-9646</v>
      </c>
      <c r="L1667" t="s">
        <v>5141</v>
      </c>
      <c r="M1667" t="s">
        <v>5142</v>
      </c>
      <c r="N1667" t="s">
        <v>452</v>
      </c>
      <c r="O1667" t="s">
        <v>134</v>
      </c>
      <c r="P1667" t="s">
        <v>29</v>
      </c>
      <c r="Q1667">
        <v>40</v>
      </c>
      <c r="R1667">
        <v>-99.999999000000003</v>
      </c>
    </row>
    <row r="1668" spans="1:18" x14ac:dyDescent="0.2">
      <c r="A1668" t="s">
        <v>18</v>
      </c>
      <c r="B1668" t="s">
        <v>462</v>
      </c>
      <c r="C1668">
        <v>1</v>
      </c>
      <c r="D1668" s="1">
        <v>44080.845266203702</v>
      </c>
      <c r="E1668" t="s">
        <v>5143</v>
      </c>
      <c r="F1668" t="s">
        <v>464</v>
      </c>
      <c r="G1668" t="s">
        <v>5091</v>
      </c>
      <c r="H1668" t="s">
        <v>466</v>
      </c>
      <c r="I1668" t="s">
        <v>29</v>
      </c>
      <c r="J1668">
        <v>1</v>
      </c>
      <c r="K1668">
        <f>1-844-309-2008</f>
        <v>-3160</v>
      </c>
      <c r="L1668" t="s">
        <v>5144</v>
      </c>
      <c r="M1668" t="s">
        <v>5145</v>
      </c>
      <c r="N1668" t="s">
        <v>452</v>
      </c>
      <c r="O1668" t="s">
        <v>134</v>
      </c>
      <c r="P1668" t="s">
        <v>29</v>
      </c>
      <c r="Q1668">
        <v>40</v>
      </c>
      <c r="R1668">
        <v>-99.999999000000003</v>
      </c>
    </row>
    <row r="1669" spans="1:18" x14ac:dyDescent="0.2">
      <c r="A1669" t="s">
        <v>18</v>
      </c>
      <c r="B1669" t="s">
        <v>462</v>
      </c>
      <c r="C1669">
        <v>1</v>
      </c>
      <c r="D1669" s="1">
        <v>44080.845127314817</v>
      </c>
      <c r="E1669" t="s">
        <v>5146</v>
      </c>
      <c r="F1669" t="s">
        <v>464</v>
      </c>
      <c r="G1669" t="s">
        <v>5091</v>
      </c>
      <c r="H1669" t="s">
        <v>466</v>
      </c>
      <c r="I1669" t="s">
        <v>29</v>
      </c>
      <c r="J1669">
        <v>1</v>
      </c>
      <c r="K1669">
        <f>1-844-309-2008</f>
        <v>-3160</v>
      </c>
      <c r="L1669" t="s">
        <v>5147</v>
      </c>
      <c r="M1669" t="s">
        <v>5148</v>
      </c>
      <c r="N1669" t="s">
        <v>452</v>
      </c>
      <c r="O1669" t="s">
        <v>134</v>
      </c>
      <c r="P1669" t="s">
        <v>29</v>
      </c>
      <c r="Q1669">
        <v>40</v>
      </c>
      <c r="R1669">
        <v>-99.999999000000003</v>
      </c>
    </row>
    <row r="1670" spans="1:18" x14ac:dyDescent="0.2">
      <c r="A1670" t="s">
        <v>18</v>
      </c>
      <c r="B1670" t="s">
        <v>462</v>
      </c>
      <c r="C1670">
        <v>1</v>
      </c>
      <c r="D1670" s="1">
        <v>44080.845023148147</v>
      </c>
      <c r="E1670" t="s">
        <v>5149</v>
      </c>
      <c r="F1670" t="s">
        <v>464</v>
      </c>
      <c r="G1670" t="s">
        <v>5091</v>
      </c>
      <c r="H1670" t="s">
        <v>466</v>
      </c>
      <c r="I1670" t="s">
        <v>29</v>
      </c>
      <c r="J1670">
        <v>1</v>
      </c>
      <c r="K1670">
        <f>1-844-309-2008</f>
        <v>-3160</v>
      </c>
      <c r="L1670" t="s">
        <v>5150</v>
      </c>
      <c r="M1670" t="s">
        <v>5151</v>
      </c>
      <c r="N1670" t="s">
        <v>452</v>
      </c>
      <c r="O1670" t="s">
        <v>134</v>
      </c>
      <c r="P1670" t="s">
        <v>29</v>
      </c>
      <c r="Q1670">
        <v>40</v>
      </c>
      <c r="R1670">
        <v>-99.999999000000003</v>
      </c>
    </row>
    <row r="1671" spans="1:18" x14ac:dyDescent="0.2">
      <c r="A1671" t="s">
        <v>18</v>
      </c>
      <c r="B1671" t="s">
        <v>462</v>
      </c>
      <c r="C1671">
        <v>81</v>
      </c>
      <c r="D1671" s="1">
        <v>44081.913541666669</v>
      </c>
      <c r="E1671" t="s">
        <v>5124</v>
      </c>
      <c r="F1671" t="s">
        <v>464</v>
      </c>
      <c r="G1671" t="s">
        <v>5091</v>
      </c>
      <c r="H1671" t="s">
        <v>466</v>
      </c>
      <c r="I1671" t="s">
        <v>53</v>
      </c>
      <c r="J1671">
        <v>81</v>
      </c>
      <c r="K1671">
        <f>81-50-5532-4608</f>
        <v>-10109</v>
      </c>
      <c r="L1671" t="s">
        <v>5152</v>
      </c>
      <c r="M1671" t="s">
        <v>5153</v>
      </c>
      <c r="N1671" t="s">
        <v>452</v>
      </c>
      <c r="O1671" t="s">
        <v>134</v>
      </c>
      <c r="P1671" t="s">
        <v>29</v>
      </c>
      <c r="Q1671">
        <v>40</v>
      </c>
      <c r="R1671">
        <v>-99.999999000000003</v>
      </c>
    </row>
    <row r="1672" spans="1:18" x14ac:dyDescent="0.2">
      <c r="A1672" t="s">
        <v>18</v>
      </c>
      <c r="B1672" t="s">
        <v>462</v>
      </c>
      <c r="C1672">
        <v>1</v>
      </c>
      <c r="D1672" s="1">
        <v>44081.913171296299</v>
      </c>
      <c r="E1672" t="s">
        <v>5127</v>
      </c>
      <c r="F1672" t="s">
        <v>464</v>
      </c>
      <c r="G1672" t="s">
        <v>5091</v>
      </c>
      <c r="H1672" t="s">
        <v>466</v>
      </c>
      <c r="I1672" t="s">
        <v>29</v>
      </c>
      <c r="J1672">
        <v>1</v>
      </c>
      <c r="K1672">
        <f>1-752-63-1849</f>
        <v>-2663</v>
      </c>
      <c r="L1672" t="s">
        <v>5154</v>
      </c>
      <c r="M1672" t="s">
        <v>5155</v>
      </c>
      <c r="N1672" t="s">
        <v>452</v>
      </c>
      <c r="O1672" t="s">
        <v>134</v>
      </c>
      <c r="P1672" t="s">
        <v>29</v>
      </c>
      <c r="Q1672">
        <v>40</v>
      </c>
      <c r="R1672">
        <v>-99.999999000000003</v>
      </c>
    </row>
    <row r="1673" spans="1:18" x14ac:dyDescent="0.2">
      <c r="A1673" t="s">
        <v>18</v>
      </c>
      <c r="B1673" t="s">
        <v>462</v>
      </c>
      <c r="C1673">
        <v>1</v>
      </c>
      <c r="D1673" s="1">
        <v>44081.912986111114</v>
      </c>
      <c r="E1673" t="s">
        <v>5156</v>
      </c>
      <c r="F1673" t="s">
        <v>464</v>
      </c>
      <c r="G1673" t="s">
        <v>5091</v>
      </c>
      <c r="H1673" t="s">
        <v>466</v>
      </c>
      <c r="I1673" t="s">
        <v>29</v>
      </c>
      <c r="J1673">
        <v>1</v>
      </c>
      <c r="K1673">
        <f>1-844-250-3390</f>
        <v>-4483</v>
      </c>
      <c r="L1673" t="s">
        <v>5157</v>
      </c>
      <c r="M1673" t="s">
        <v>5158</v>
      </c>
      <c r="N1673" t="s">
        <v>452</v>
      </c>
      <c r="O1673" t="s">
        <v>134</v>
      </c>
      <c r="P1673" t="s">
        <v>29</v>
      </c>
      <c r="Q1673">
        <v>40</v>
      </c>
      <c r="R1673">
        <v>-99.999999000000003</v>
      </c>
    </row>
    <row r="1674" spans="1:18" x14ac:dyDescent="0.2">
      <c r="A1674" t="s">
        <v>18</v>
      </c>
      <c r="B1674" t="s">
        <v>462</v>
      </c>
      <c r="C1674">
        <v>1</v>
      </c>
      <c r="D1674" s="1">
        <v>44081.912511574075</v>
      </c>
      <c r="E1674" t="s">
        <v>5159</v>
      </c>
      <c r="F1674" t="s">
        <v>464</v>
      </c>
      <c r="G1674" t="s">
        <v>5091</v>
      </c>
      <c r="H1674" t="s">
        <v>466</v>
      </c>
      <c r="I1674" t="s">
        <v>29</v>
      </c>
      <c r="J1674">
        <v>1</v>
      </c>
      <c r="K1674">
        <f>1-844-250-3390</f>
        <v>-4483</v>
      </c>
      <c r="L1674" t="s">
        <v>5160</v>
      </c>
      <c r="M1674" t="s">
        <v>5161</v>
      </c>
      <c r="N1674" t="s">
        <v>452</v>
      </c>
      <c r="O1674" t="s">
        <v>134</v>
      </c>
      <c r="P1674" t="s">
        <v>29</v>
      </c>
      <c r="Q1674">
        <v>40</v>
      </c>
      <c r="R1674">
        <v>-99.999999000000003</v>
      </c>
    </row>
    <row r="1675" spans="1:18" x14ac:dyDescent="0.2">
      <c r="A1675" t="s">
        <v>18</v>
      </c>
      <c r="B1675" t="s">
        <v>462</v>
      </c>
      <c r="C1675">
        <v>1</v>
      </c>
      <c r="D1675" s="1">
        <v>44074.840289351851</v>
      </c>
      <c r="E1675" t="s">
        <v>5162</v>
      </c>
      <c r="F1675" t="s">
        <v>464</v>
      </c>
      <c r="G1675" t="s">
        <v>5091</v>
      </c>
      <c r="H1675" t="s">
        <v>466</v>
      </c>
      <c r="I1675" t="s">
        <v>29</v>
      </c>
      <c r="J1675">
        <v>1</v>
      </c>
      <c r="K1675">
        <f>1-888-663-107</f>
        <v>-1657</v>
      </c>
      <c r="L1675" t="s">
        <v>5163</v>
      </c>
      <c r="M1675" t="s">
        <v>5164</v>
      </c>
      <c r="N1675" t="s">
        <v>452</v>
      </c>
      <c r="O1675" t="s">
        <v>134</v>
      </c>
      <c r="P1675" t="s">
        <v>29</v>
      </c>
      <c r="Q1675">
        <v>40</v>
      </c>
      <c r="R1675">
        <v>-99.999999000000003</v>
      </c>
    </row>
    <row r="1676" spans="1:18" x14ac:dyDescent="0.2">
      <c r="A1676" t="s">
        <v>18</v>
      </c>
      <c r="B1676" t="s">
        <v>462</v>
      </c>
      <c r="C1676">
        <v>81</v>
      </c>
      <c r="D1676" s="1">
        <v>44040.433368055557</v>
      </c>
      <c r="E1676" t="s">
        <v>5165</v>
      </c>
      <c r="F1676" t="s">
        <v>464</v>
      </c>
      <c r="G1676" t="s">
        <v>5091</v>
      </c>
      <c r="H1676" t="s">
        <v>466</v>
      </c>
      <c r="I1676" t="s">
        <v>53</v>
      </c>
      <c r="J1676">
        <v>81</v>
      </c>
      <c r="K1676">
        <f>81-50-3136-8930</f>
        <v>-12035</v>
      </c>
      <c r="L1676" t="s">
        <v>5166</v>
      </c>
      <c r="M1676" t="s">
        <v>5167</v>
      </c>
      <c r="N1676" t="s">
        <v>452</v>
      </c>
      <c r="O1676" t="s">
        <v>134</v>
      </c>
      <c r="P1676" t="s">
        <v>29</v>
      </c>
      <c r="Q1676">
        <v>40</v>
      </c>
      <c r="R1676">
        <v>-99.999999000000003</v>
      </c>
    </row>
    <row r="1677" spans="1:18" x14ac:dyDescent="0.2">
      <c r="A1677" t="s">
        <v>18</v>
      </c>
      <c r="B1677" t="s">
        <v>462</v>
      </c>
      <c r="C1677">
        <v>1</v>
      </c>
      <c r="D1677" s="1">
        <v>44040.432766203703</v>
      </c>
      <c r="E1677" t="s">
        <v>5168</v>
      </c>
      <c r="F1677" t="s">
        <v>464</v>
      </c>
      <c r="G1677" t="s">
        <v>5091</v>
      </c>
      <c r="H1677" t="s">
        <v>466</v>
      </c>
      <c r="I1677" t="s">
        <v>29</v>
      </c>
      <c r="J1677">
        <v>1</v>
      </c>
      <c r="K1677">
        <f>1-833-304-2372</f>
        <v>-3508</v>
      </c>
      <c r="L1677" t="s">
        <v>5169</v>
      </c>
      <c r="M1677" t="s">
        <v>5170</v>
      </c>
      <c r="N1677" t="s">
        <v>452</v>
      </c>
      <c r="O1677" t="s">
        <v>134</v>
      </c>
      <c r="P1677" t="s">
        <v>29</v>
      </c>
      <c r="Q1677">
        <v>40</v>
      </c>
      <c r="R1677">
        <v>-99.999999000000003</v>
      </c>
    </row>
    <row r="1678" spans="1:18" x14ac:dyDescent="0.2">
      <c r="A1678" t="s">
        <v>18</v>
      </c>
      <c r="B1678" t="s">
        <v>462</v>
      </c>
      <c r="C1678">
        <v>81</v>
      </c>
      <c r="D1678" s="1">
        <v>44040.431759259256</v>
      </c>
      <c r="E1678" t="s">
        <v>5171</v>
      </c>
      <c r="F1678" t="s">
        <v>464</v>
      </c>
      <c r="G1678" t="s">
        <v>5091</v>
      </c>
      <c r="H1678" t="s">
        <v>466</v>
      </c>
      <c r="I1678" t="s">
        <v>53</v>
      </c>
      <c r="J1678">
        <v>81</v>
      </c>
      <c r="K1678">
        <f>81-50-3136-8930</f>
        <v>-12035</v>
      </c>
      <c r="L1678" t="s">
        <v>5172</v>
      </c>
      <c r="M1678" t="s">
        <v>5173</v>
      </c>
      <c r="N1678" t="s">
        <v>452</v>
      </c>
      <c r="O1678" t="s">
        <v>134</v>
      </c>
      <c r="P1678" t="s">
        <v>29</v>
      </c>
      <c r="Q1678">
        <v>40</v>
      </c>
      <c r="R1678">
        <v>-99.999999000000003</v>
      </c>
    </row>
    <row r="1679" spans="1:18" x14ac:dyDescent="0.2">
      <c r="A1679" t="s">
        <v>18</v>
      </c>
      <c r="B1679" t="s">
        <v>462</v>
      </c>
      <c r="C1679">
        <v>44</v>
      </c>
      <c r="D1679" s="1">
        <v>44039.664270833331</v>
      </c>
      <c r="E1679" t="s">
        <v>5174</v>
      </c>
      <c r="F1679" t="s">
        <v>464</v>
      </c>
      <c r="G1679" t="s">
        <v>5091</v>
      </c>
      <c r="H1679" t="s">
        <v>466</v>
      </c>
      <c r="I1679" t="s">
        <v>618</v>
      </c>
      <c r="J1679">
        <v>44</v>
      </c>
      <c r="K1679">
        <f>44-151-308-125</f>
        <v>-540</v>
      </c>
      <c r="L1679" t="s">
        <v>5175</v>
      </c>
      <c r="M1679" t="s">
        <v>5176</v>
      </c>
      <c r="N1679" t="s">
        <v>452</v>
      </c>
      <c r="O1679" t="s">
        <v>134</v>
      </c>
      <c r="P1679" t="s">
        <v>29</v>
      </c>
      <c r="Q1679">
        <v>40</v>
      </c>
      <c r="R1679">
        <v>-99.999999000000003</v>
      </c>
    </row>
    <row r="1680" spans="1:18" x14ac:dyDescent="0.2">
      <c r="A1680" t="s">
        <v>18</v>
      </c>
      <c r="B1680" t="s">
        <v>462</v>
      </c>
      <c r="C1680">
        <v>81</v>
      </c>
      <c r="D1680" s="1">
        <v>44039.170104166667</v>
      </c>
      <c r="E1680" t="s">
        <v>5177</v>
      </c>
      <c r="F1680" t="s">
        <v>464</v>
      </c>
      <c r="G1680" t="s">
        <v>5091</v>
      </c>
      <c r="H1680" t="s">
        <v>466</v>
      </c>
      <c r="I1680" t="s">
        <v>53</v>
      </c>
      <c r="J1680">
        <v>81</v>
      </c>
      <c r="K1680">
        <f>81-50-5532-3151</f>
        <v>-8652</v>
      </c>
      <c r="L1680" t="s">
        <v>5178</v>
      </c>
      <c r="M1680" t="s">
        <v>5179</v>
      </c>
      <c r="N1680" t="s">
        <v>452</v>
      </c>
      <c r="O1680" t="s">
        <v>134</v>
      </c>
      <c r="P1680" t="s">
        <v>29</v>
      </c>
      <c r="Q1680">
        <v>40</v>
      </c>
      <c r="R1680">
        <v>-99.999999000000003</v>
      </c>
    </row>
    <row r="1681" spans="1:18" x14ac:dyDescent="0.2">
      <c r="A1681" t="s">
        <v>18</v>
      </c>
      <c r="B1681" t="s">
        <v>462</v>
      </c>
      <c r="C1681">
        <v>81</v>
      </c>
      <c r="D1681" s="1">
        <v>44032.108761574076</v>
      </c>
      <c r="E1681" t="s">
        <v>5180</v>
      </c>
      <c r="F1681" t="s">
        <v>464</v>
      </c>
      <c r="G1681" t="s">
        <v>5091</v>
      </c>
      <c r="H1681" t="s">
        <v>466</v>
      </c>
      <c r="I1681" t="s">
        <v>53</v>
      </c>
      <c r="J1681">
        <v>81</v>
      </c>
      <c r="K1681">
        <f>81-50-3136-621</f>
        <v>-3726</v>
      </c>
      <c r="L1681" t="s">
        <v>5181</v>
      </c>
      <c r="M1681" t="s">
        <v>5182</v>
      </c>
      <c r="N1681" t="s">
        <v>452</v>
      </c>
      <c r="O1681" t="s">
        <v>28</v>
      </c>
      <c r="P1681" t="s">
        <v>29</v>
      </c>
      <c r="Q1681">
        <v>40</v>
      </c>
      <c r="R1681">
        <v>-99.999999000000003</v>
      </c>
    </row>
    <row r="1682" spans="1:18" x14ac:dyDescent="0.2">
      <c r="A1682" t="s">
        <v>18</v>
      </c>
      <c r="B1682" t="s">
        <v>462</v>
      </c>
      <c r="C1682">
        <v>1</v>
      </c>
      <c r="D1682" s="1">
        <v>44031.890300925923</v>
      </c>
      <c r="E1682" t="s">
        <v>5183</v>
      </c>
      <c r="F1682" t="s">
        <v>464</v>
      </c>
      <c r="G1682" t="s">
        <v>5091</v>
      </c>
      <c r="H1682" t="s">
        <v>466</v>
      </c>
      <c r="I1682" t="s">
        <v>29</v>
      </c>
      <c r="J1682">
        <v>1</v>
      </c>
      <c r="K1682">
        <f>1-866-610-8301</f>
        <v>-9776</v>
      </c>
      <c r="L1682" t="s">
        <v>5184</v>
      </c>
      <c r="M1682" t="s">
        <v>5185</v>
      </c>
      <c r="N1682" t="s">
        <v>452</v>
      </c>
      <c r="O1682" t="s">
        <v>134</v>
      </c>
      <c r="P1682" t="s">
        <v>29</v>
      </c>
      <c r="Q1682">
        <v>40</v>
      </c>
      <c r="R1682">
        <v>-99.999999000000003</v>
      </c>
    </row>
    <row r="1683" spans="1:18" x14ac:dyDescent="0.2">
      <c r="A1683" t="s">
        <v>18</v>
      </c>
      <c r="B1683" t="s">
        <v>462</v>
      </c>
      <c r="C1683">
        <v>1</v>
      </c>
      <c r="D1683" s="1">
        <v>44030.960833333331</v>
      </c>
      <c r="E1683" t="s">
        <v>5186</v>
      </c>
      <c r="F1683" t="s">
        <v>464</v>
      </c>
      <c r="G1683" t="s">
        <v>5091</v>
      </c>
      <c r="H1683" t="s">
        <v>466</v>
      </c>
      <c r="I1683" t="s">
        <v>29</v>
      </c>
      <c r="J1683">
        <v>1</v>
      </c>
      <c r="K1683">
        <f>1-888-525-2148</f>
        <v>-3560</v>
      </c>
      <c r="L1683" t="s">
        <v>5187</v>
      </c>
      <c r="M1683" t="s">
        <v>5188</v>
      </c>
      <c r="N1683" t="s">
        <v>452</v>
      </c>
      <c r="O1683" t="s">
        <v>28</v>
      </c>
      <c r="P1683" t="s">
        <v>29</v>
      </c>
      <c r="Q1683">
        <v>40</v>
      </c>
      <c r="R1683">
        <v>-99.999999000000003</v>
      </c>
    </row>
    <row r="1684" spans="1:18" x14ac:dyDescent="0.2">
      <c r="A1684" t="s">
        <v>18</v>
      </c>
      <c r="B1684" t="s">
        <v>462</v>
      </c>
      <c r="C1684">
        <v>1</v>
      </c>
      <c r="D1684" s="1">
        <v>44030.960821759261</v>
      </c>
      <c r="E1684" t="s">
        <v>5186</v>
      </c>
      <c r="F1684" t="s">
        <v>464</v>
      </c>
      <c r="G1684" t="s">
        <v>5091</v>
      </c>
      <c r="H1684" t="s">
        <v>466</v>
      </c>
      <c r="I1684" t="s">
        <v>29</v>
      </c>
      <c r="J1684">
        <v>1</v>
      </c>
      <c r="K1684">
        <f>1-888-385-5198</f>
        <v>-6470</v>
      </c>
      <c r="L1684" t="s">
        <v>5189</v>
      </c>
      <c r="M1684" t="s">
        <v>5190</v>
      </c>
      <c r="N1684" t="s">
        <v>452</v>
      </c>
      <c r="O1684" t="s">
        <v>28</v>
      </c>
      <c r="P1684" t="s">
        <v>29</v>
      </c>
      <c r="Q1684">
        <v>40</v>
      </c>
      <c r="R1684">
        <v>-99.999999000000003</v>
      </c>
    </row>
    <row r="1685" spans="1:18" x14ac:dyDescent="0.2">
      <c r="A1685" t="s">
        <v>18</v>
      </c>
      <c r="B1685" t="s">
        <v>462</v>
      </c>
      <c r="C1685">
        <v>1</v>
      </c>
      <c r="D1685" s="1">
        <v>44030.960798611108</v>
      </c>
      <c r="E1685" t="s">
        <v>5186</v>
      </c>
      <c r="F1685" t="s">
        <v>464</v>
      </c>
      <c r="G1685" t="s">
        <v>5091</v>
      </c>
      <c r="H1685" t="s">
        <v>466</v>
      </c>
      <c r="I1685" t="s">
        <v>29</v>
      </c>
      <c r="J1685">
        <v>1</v>
      </c>
      <c r="K1685">
        <f>1-888-418-935</f>
        <v>-2240</v>
      </c>
      <c r="L1685" t="s">
        <v>5191</v>
      </c>
      <c r="M1685" t="s">
        <v>5192</v>
      </c>
      <c r="N1685" t="s">
        <v>452</v>
      </c>
      <c r="O1685" t="s">
        <v>28</v>
      </c>
      <c r="P1685" t="s">
        <v>29</v>
      </c>
      <c r="Q1685">
        <v>40</v>
      </c>
      <c r="R1685">
        <v>-99.999999000000003</v>
      </c>
    </row>
    <row r="1686" spans="1:18" x14ac:dyDescent="0.2">
      <c r="A1686" t="s">
        <v>18</v>
      </c>
      <c r="B1686" t="s">
        <v>462</v>
      </c>
      <c r="C1686">
        <v>1</v>
      </c>
      <c r="D1686" s="1">
        <v>44030.960787037038</v>
      </c>
      <c r="E1686" t="s">
        <v>5186</v>
      </c>
      <c r="F1686" t="s">
        <v>464</v>
      </c>
      <c r="G1686" t="s">
        <v>5091</v>
      </c>
      <c r="H1686" t="s">
        <v>466</v>
      </c>
      <c r="I1686" t="s">
        <v>29</v>
      </c>
      <c r="J1686">
        <v>1</v>
      </c>
      <c r="K1686">
        <f>1-888-427-672</f>
        <v>-1986</v>
      </c>
      <c r="L1686" t="s">
        <v>5193</v>
      </c>
      <c r="M1686" t="s">
        <v>5194</v>
      </c>
      <c r="N1686" t="s">
        <v>452</v>
      </c>
      <c r="O1686" t="s">
        <v>28</v>
      </c>
      <c r="P1686" t="s">
        <v>29</v>
      </c>
      <c r="Q1686">
        <v>40</v>
      </c>
      <c r="R1686">
        <v>-99.999999000000003</v>
      </c>
    </row>
    <row r="1687" spans="1:18" x14ac:dyDescent="0.2">
      <c r="A1687" t="s">
        <v>18</v>
      </c>
      <c r="B1687" t="s">
        <v>462</v>
      </c>
      <c r="C1687">
        <v>1</v>
      </c>
      <c r="D1687" s="1">
        <v>44030.960763888892</v>
      </c>
      <c r="E1687" t="s">
        <v>5186</v>
      </c>
      <c r="F1687" t="s">
        <v>464</v>
      </c>
      <c r="G1687" t="s">
        <v>5091</v>
      </c>
      <c r="H1687" t="s">
        <v>466</v>
      </c>
      <c r="I1687" t="s">
        <v>29</v>
      </c>
      <c r="J1687">
        <v>1</v>
      </c>
      <c r="K1687">
        <f>1-888-403-1767</f>
        <v>-3057</v>
      </c>
      <c r="L1687" t="s">
        <v>5195</v>
      </c>
      <c r="M1687" t="s">
        <v>5196</v>
      </c>
      <c r="N1687" t="s">
        <v>452</v>
      </c>
      <c r="O1687" t="s">
        <v>28</v>
      </c>
      <c r="P1687" t="s">
        <v>29</v>
      </c>
      <c r="Q1687">
        <v>40</v>
      </c>
      <c r="R1687">
        <v>-99.999999000000003</v>
      </c>
    </row>
    <row r="1688" spans="1:18" x14ac:dyDescent="0.2">
      <c r="A1688" t="s">
        <v>18</v>
      </c>
      <c r="B1688" t="s">
        <v>462</v>
      </c>
      <c r="C1688">
        <v>1</v>
      </c>
      <c r="D1688" s="1">
        <v>44030.960439814815</v>
      </c>
      <c r="E1688" t="s">
        <v>5186</v>
      </c>
      <c r="F1688" t="s">
        <v>464</v>
      </c>
      <c r="G1688" t="s">
        <v>5091</v>
      </c>
      <c r="H1688" t="s">
        <v>466</v>
      </c>
      <c r="I1688" t="s">
        <v>29</v>
      </c>
      <c r="J1688">
        <v>1</v>
      </c>
      <c r="K1688">
        <f>1-833-366-3071</f>
        <v>-4269</v>
      </c>
      <c r="L1688" t="s">
        <v>5197</v>
      </c>
      <c r="M1688" t="s">
        <v>5198</v>
      </c>
      <c r="N1688" t="s">
        <v>452</v>
      </c>
      <c r="O1688" t="s">
        <v>28</v>
      </c>
      <c r="P1688" t="s">
        <v>29</v>
      </c>
      <c r="Q1688">
        <v>40</v>
      </c>
      <c r="R1688">
        <v>-99.999999000000003</v>
      </c>
    </row>
    <row r="1689" spans="1:18" x14ac:dyDescent="0.2">
      <c r="A1689" t="s">
        <v>18</v>
      </c>
      <c r="B1689" t="s">
        <v>462</v>
      </c>
      <c r="C1689">
        <v>1</v>
      </c>
      <c r="D1689" s="1">
        <v>44030.960428240738</v>
      </c>
      <c r="E1689" t="s">
        <v>5186</v>
      </c>
      <c r="F1689" t="s">
        <v>464</v>
      </c>
      <c r="G1689" t="s">
        <v>5091</v>
      </c>
      <c r="H1689" t="s">
        <v>466</v>
      </c>
      <c r="I1689" t="s">
        <v>29</v>
      </c>
      <c r="J1689">
        <v>1</v>
      </c>
      <c r="K1689">
        <f>1-833-385-5931</f>
        <v>-7148</v>
      </c>
      <c r="L1689" t="s">
        <v>5199</v>
      </c>
      <c r="M1689" t="s">
        <v>5200</v>
      </c>
      <c r="N1689" t="s">
        <v>452</v>
      </c>
      <c r="O1689" t="s">
        <v>28</v>
      </c>
      <c r="P1689" t="s">
        <v>29</v>
      </c>
      <c r="Q1689">
        <v>40</v>
      </c>
      <c r="R1689">
        <v>-99.999999000000003</v>
      </c>
    </row>
    <row r="1690" spans="1:18" x14ac:dyDescent="0.2">
      <c r="A1690" t="s">
        <v>18</v>
      </c>
      <c r="B1690" t="s">
        <v>462</v>
      </c>
      <c r="C1690">
        <v>1</v>
      </c>
      <c r="D1690" s="1">
        <v>44030.960405092592</v>
      </c>
      <c r="E1690" t="s">
        <v>5186</v>
      </c>
      <c r="F1690" t="s">
        <v>464</v>
      </c>
      <c r="G1690" t="s">
        <v>5091</v>
      </c>
      <c r="H1690" t="s">
        <v>466</v>
      </c>
      <c r="I1690" t="s">
        <v>29</v>
      </c>
      <c r="J1690">
        <v>1</v>
      </c>
      <c r="K1690">
        <f>1-833-394-3931</f>
        <v>-5157</v>
      </c>
      <c r="L1690" t="s">
        <v>5201</v>
      </c>
      <c r="M1690" t="s">
        <v>5202</v>
      </c>
      <c r="N1690" t="s">
        <v>452</v>
      </c>
      <c r="O1690" t="s">
        <v>28</v>
      </c>
      <c r="P1690" t="s">
        <v>29</v>
      </c>
      <c r="Q1690">
        <v>40</v>
      </c>
      <c r="R1690">
        <v>-99.999999000000003</v>
      </c>
    </row>
    <row r="1691" spans="1:18" x14ac:dyDescent="0.2">
      <c r="A1691" t="s">
        <v>18</v>
      </c>
      <c r="B1691" t="s">
        <v>462</v>
      </c>
      <c r="C1691">
        <v>1</v>
      </c>
      <c r="D1691" s="1">
        <v>44030.960381944446</v>
      </c>
      <c r="E1691" t="s">
        <v>5186</v>
      </c>
      <c r="F1691" t="s">
        <v>464</v>
      </c>
      <c r="G1691" t="s">
        <v>5091</v>
      </c>
      <c r="H1691" t="s">
        <v>466</v>
      </c>
      <c r="I1691" t="s">
        <v>29</v>
      </c>
      <c r="J1691">
        <v>1</v>
      </c>
      <c r="K1691">
        <f>1-833-396-5198</f>
        <v>-6426</v>
      </c>
      <c r="L1691" t="s">
        <v>5203</v>
      </c>
      <c r="M1691" t="s">
        <v>5204</v>
      </c>
      <c r="N1691" t="s">
        <v>452</v>
      </c>
      <c r="O1691" t="s">
        <v>28</v>
      </c>
      <c r="P1691" t="s">
        <v>29</v>
      </c>
      <c r="Q1691">
        <v>40</v>
      </c>
      <c r="R1691">
        <v>-99.999999000000003</v>
      </c>
    </row>
    <row r="1692" spans="1:18" x14ac:dyDescent="0.2">
      <c r="A1692" t="s">
        <v>18</v>
      </c>
      <c r="B1692" t="s">
        <v>462</v>
      </c>
      <c r="C1692">
        <v>1</v>
      </c>
      <c r="D1692" s="1">
        <v>44030.960370370369</v>
      </c>
      <c r="E1692" t="s">
        <v>5186</v>
      </c>
      <c r="F1692" t="s">
        <v>464</v>
      </c>
      <c r="G1692" t="s">
        <v>5091</v>
      </c>
      <c r="H1692" t="s">
        <v>466</v>
      </c>
      <c r="I1692" t="s">
        <v>29</v>
      </c>
      <c r="J1692">
        <v>1</v>
      </c>
      <c r="K1692">
        <f>1-833-409-5095</f>
        <v>-6336</v>
      </c>
      <c r="L1692" t="s">
        <v>5205</v>
      </c>
      <c r="M1692" t="s">
        <v>5206</v>
      </c>
      <c r="N1692" t="s">
        <v>452</v>
      </c>
      <c r="O1692" t="s">
        <v>28</v>
      </c>
      <c r="P1692" t="s">
        <v>29</v>
      </c>
      <c r="Q1692">
        <v>40</v>
      </c>
      <c r="R1692">
        <v>-99.999999000000003</v>
      </c>
    </row>
    <row r="1693" spans="1:18" x14ac:dyDescent="0.2">
      <c r="A1693" t="s">
        <v>18</v>
      </c>
      <c r="B1693" t="s">
        <v>462</v>
      </c>
      <c r="C1693">
        <v>1</v>
      </c>
      <c r="D1693" s="1">
        <v>44030.959756944445</v>
      </c>
      <c r="E1693" t="s">
        <v>5186</v>
      </c>
      <c r="F1693" t="s">
        <v>464</v>
      </c>
      <c r="G1693" t="s">
        <v>5091</v>
      </c>
      <c r="H1693" t="s">
        <v>466</v>
      </c>
      <c r="I1693" t="s">
        <v>29</v>
      </c>
      <c r="J1693">
        <v>1</v>
      </c>
      <c r="K1693">
        <f>1-888-408-5671</f>
        <v>-6966</v>
      </c>
      <c r="L1693" t="s">
        <v>5207</v>
      </c>
      <c r="M1693" t="s">
        <v>5208</v>
      </c>
      <c r="N1693" t="s">
        <v>452</v>
      </c>
      <c r="O1693" t="s">
        <v>28</v>
      </c>
      <c r="P1693" t="s">
        <v>29</v>
      </c>
      <c r="Q1693">
        <v>40</v>
      </c>
      <c r="R1693">
        <v>-99.999999000000003</v>
      </c>
    </row>
    <row r="1694" spans="1:18" x14ac:dyDescent="0.2">
      <c r="A1694" t="s">
        <v>18</v>
      </c>
      <c r="B1694" t="s">
        <v>462</v>
      </c>
      <c r="C1694">
        <v>1</v>
      </c>
      <c r="D1694" s="1">
        <v>44030.959733796299</v>
      </c>
      <c r="E1694" t="s">
        <v>5186</v>
      </c>
      <c r="F1694" t="s">
        <v>464</v>
      </c>
      <c r="G1694" t="s">
        <v>5091</v>
      </c>
      <c r="H1694" t="s">
        <v>466</v>
      </c>
      <c r="I1694" t="s">
        <v>29</v>
      </c>
      <c r="J1694">
        <v>1</v>
      </c>
      <c r="K1694">
        <f>1-888-412-3061</f>
        <v>-4360</v>
      </c>
      <c r="L1694" t="s">
        <v>5209</v>
      </c>
      <c r="M1694" t="s">
        <v>5210</v>
      </c>
      <c r="N1694" t="s">
        <v>452</v>
      </c>
      <c r="O1694" t="s">
        <v>28</v>
      </c>
      <c r="P1694" t="s">
        <v>29</v>
      </c>
      <c r="Q1694">
        <v>40</v>
      </c>
      <c r="R1694">
        <v>-99.999999000000003</v>
      </c>
    </row>
    <row r="1695" spans="1:18" x14ac:dyDescent="0.2">
      <c r="A1695" t="s">
        <v>18</v>
      </c>
      <c r="B1695" t="s">
        <v>462</v>
      </c>
      <c r="C1695">
        <v>1</v>
      </c>
      <c r="D1695" s="1">
        <v>44030.959722222222</v>
      </c>
      <c r="E1695" t="s">
        <v>5186</v>
      </c>
      <c r="F1695" t="s">
        <v>464</v>
      </c>
      <c r="G1695" t="s">
        <v>5091</v>
      </c>
      <c r="H1695" t="s">
        <v>466</v>
      </c>
      <c r="I1695" t="s">
        <v>29</v>
      </c>
      <c r="J1695">
        <v>1</v>
      </c>
      <c r="K1695">
        <f>1-888-425-1375</f>
        <v>-2687</v>
      </c>
      <c r="L1695" t="s">
        <v>5211</v>
      </c>
      <c r="M1695" t="s">
        <v>5212</v>
      </c>
      <c r="N1695" t="s">
        <v>452</v>
      </c>
      <c r="O1695" t="s">
        <v>28</v>
      </c>
      <c r="P1695" t="s">
        <v>29</v>
      </c>
      <c r="Q1695">
        <v>40</v>
      </c>
      <c r="R1695">
        <v>-99.999999000000003</v>
      </c>
    </row>
    <row r="1696" spans="1:18" x14ac:dyDescent="0.2">
      <c r="A1696" t="s">
        <v>18</v>
      </c>
      <c r="B1696" t="s">
        <v>462</v>
      </c>
      <c r="C1696">
        <v>1</v>
      </c>
      <c r="D1696" s="1">
        <v>44030.959687499999</v>
      </c>
      <c r="E1696" t="s">
        <v>5186</v>
      </c>
      <c r="F1696" t="s">
        <v>464</v>
      </c>
      <c r="G1696" t="s">
        <v>5091</v>
      </c>
      <c r="H1696" t="s">
        <v>466</v>
      </c>
      <c r="I1696" t="s">
        <v>29</v>
      </c>
      <c r="J1696">
        <v>1</v>
      </c>
      <c r="K1696">
        <f>1-888-436-8178</f>
        <v>-9501</v>
      </c>
      <c r="L1696" t="s">
        <v>5213</v>
      </c>
      <c r="M1696" t="s">
        <v>5214</v>
      </c>
      <c r="N1696" t="s">
        <v>452</v>
      </c>
      <c r="O1696" t="s">
        <v>28</v>
      </c>
      <c r="P1696" t="s">
        <v>29</v>
      </c>
      <c r="Q1696">
        <v>40</v>
      </c>
      <c r="R1696">
        <v>-99.999999000000003</v>
      </c>
    </row>
    <row r="1697" spans="1:18" x14ac:dyDescent="0.2">
      <c r="A1697" t="s">
        <v>18</v>
      </c>
      <c r="B1697" t="s">
        <v>462</v>
      </c>
      <c r="C1697">
        <v>1</v>
      </c>
      <c r="D1697" s="1">
        <v>44030.959629629629</v>
      </c>
      <c r="E1697" t="s">
        <v>5186</v>
      </c>
      <c r="F1697" t="s">
        <v>464</v>
      </c>
      <c r="G1697" t="s">
        <v>5091</v>
      </c>
      <c r="H1697" t="s">
        <v>466</v>
      </c>
      <c r="I1697" t="s">
        <v>29</v>
      </c>
      <c r="J1697">
        <v>1</v>
      </c>
      <c r="K1697">
        <f>1-888-464-3380</f>
        <v>-4731</v>
      </c>
      <c r="L1697" t="s">
        <v>5215</v>
      </c>
      <c r="M1697" t="s">
        <v>5216</v>
      </c>
      <c r="N1697" t="s">
        <v>452</v>
      </c>
      <c r="O1697" t="s">
        <v>28</v>
      </c>
      <c r="P1697" t="s">
        <v>29</v>
      </c>
      <c r="Q1697">
        <v>40</v>
      </c>
      <c r="R1697">
        <v>-99.999999000000003</v>
      </c>
    </row>
    <row r="1698" spans="1:18" x14ac:dyDescent="0.2">
      <c r="A1698" t="s">
        <v>18</v>
      </c>
      <c r="B1698" t="s">
        <v>462</v>
      </c>
      <c r="C1698">
        <v>1</v>
      </c>
      <c r="D1698" s="1">
        <v>44030.959363425929</v>
      </c>
      <c r="E1698" t="s">
        <v>5186</v>
      </c>
      <c r="F1698" t="s">
        <v>464</v>
      </c>
      <c r="G1698" t="s">
        <v>5091</v>
      </c>
      <c r="H1698" t="s">
        <v>466</v>
      </c>
      <c r="I1698" t="s">
        <v>29</v>
      </c>
      <c r="J1698">
        <v>1</v>
      </c>
      <c r="K1698">
        <f>1-888-514-5392</f>
        <v>-6793</v>
      </c>
      <c r="L1698" t="s">
        <v>5217</v>
      </c>
      <c r="M1698" t="s">
        <v>5218</v>
      </c>
      <c r="N1698" t="s">
        <v>452</v>
      </c>
      <c r="O1698" t="s">
        <v>28</v>
      </c>
      <c r="P1698" t="s">
        <v>29</v>
      </c>
      <c r="Q1698">
        <v>40</v>
      </c>
      <c r="R1698">
        <v>-99.999999000000003</v>
      </c>
    </row>
    <row r="1699" spans="1:18" x14ac:dyDescent="0.2">
      <c r="A1699" t="s">
        <v>18</v>
      </c>
      <c r="B1699" t="s">
        <v>462</v>
      </c>
      <c r="C1699">
        <v>1</v>
      </c>
      <c r="D1699" s="1">
        <v>44030.959340277775</v>
      </c>
      <c r="E1699" t="s">
        <v>5186</v>
      </c>
      <c r="F1699" t="s">
        <v>464</v>
      </c>
      <c r="G1699" t="s">
        <v>5091</v>
      </c>
      <c r="H1699" t="s">
        <v>466</v>
      </c>
      <c r="I1699" t="s">
        <v>29</v>
      </c>
      <c r="J1699">
        <v>1</v>
      </c>
      <c r="K1699">
        <f>1-888-515-9156</f>
        <v>-10558</v>
      </c>
      <c r="L1699" t="s">
        <v>5219</v>
      </c>
      <c r="M1699" t="s">
        <v>5220</v>
      </c>
      <c r="N1699" t="s">
        <v>452</v>
      </c>
      <c r="O1699" t="s">
        <v>28</v>
      </c>
      <c r="P1699" t="s">
        <v>29</v>
      </c>
      <c r="Q1699">
        <v>40</v>
      </c>
      <c r="R1699">
        <v>-99.999999000000003</v>
      </c>
    </row>
    <row r="1700" spans="1:18" x14ac:dyDescent="0.2">
      <c r="A1700" t="s">
        <v>18</v>
      </c>
      <c r="B1700" t="s">
        <v>462</v>
      </c>
      <c r="C1700">
        <v>1</v>
      </c>
      <c r="D1700" s="1">
        <v>44030.959328703706</v>
      </c>
      <c r="E1700" t="s">
        <v>5186</v>
      </c>
      <c r="F1700" t="s">
        <v>464</v>
      </c>
      <c r="G1700" t="s">
        <v>5091</v>
      </c>
      <c r="H1700" t="s">
        <v>466</v>
      </c>
      <c r="I1700" t="s">
        <v>29</v>
      </c>
      <c r="J1700">
        <v>1</v>
      </c>
      <c r="K1700">
        <f>1-888-521-1597</f>
        <v>-3005</v>
      </c>
      <c r="L1700" t="s">
        <v>5221</v>
      </c>
      <c r="M1700" t="s">
        <v>5222</v>
      </c>
      <c r="N1700" t="s">
        <v>452</v>
      </c>
      <c r="O1700" t="s">
        <v>28</v>
      </c>
      <c r="P1700" t="s">
        <v>29</v>
      </c>
      <c r="Q1700">
        <v>40</v>
      </c>
      <c r="R1700">
        <v>-99.999999000000003</v>
      </c>
    </row>
    <row r="1701" spans="1:18" x14ac:dyDescent="0.2">
      <c r="A1701" t="s">
        <v>18</v>
      </c>
      <c r="B1701" t="s">
        <v>462</v>
      </c>
      <c r="C1701">
        <v>1</v>
      </c>
      <c r="D1701" s="1">
        <v>44030.959293981483</v>
      </c>
      <c r="E1701" t="s">
        <v>5186</v>
      </c>
      <c r="F1701" t="s">
        <v>464</v>
      </c>
      <c r="G1701" t="s">
        <v>5091</v>
      </c>
      <c r="H1701" t="s">
        <v>466</v>
      </c>
      <c r="I1701" t="s">
        <v>29</v>
      </c>
      <c r="J1701">
        <v>1</v>
      </c>
      <c r="K1701">
        <f>1-888-524-9767</f>
        <v>-11178</v>
      </c>
      <c r="L1701" t="s">
        <v>5223</v>
      </c>
      <c r="M1701" t="s">
        <v>5224</v>
      </c>
      <c r="N1701" t="s">
        <v>452</v>
      </c>
      <c r="O1701" t="s">
        <v>28</v>
      </c>
      <c r="P1701" t="s">
        <v>29</v>
      </c>
      <c r="Q1701">
        <v>40</v>
      </c>
      <c r="R1701">
        <v>-99.999999000000003</v>
      </c>
    </row>
    <row r="1702" spans="1:18" x14ac:dyDescent="0.2">
      <c r="A1702" t="s">
        <v>18</v>
      </c>
      <c r="B1702" t="s">
        <v>462</v>
      </c>
      <c r="C1702">
        <v>1</v>
      </c>
      <c r="D1702" s="1">
        <v>44030.959236111114</v>
      </c>
      <c r="E1702" t="s">
        <v>5186</v>
      </c>
      <c r="F1702" t="s">
        <v>464</v>
      </c>
      <c r="G1702" t="s">
        <v>5091</v>
      </c>
      <c r="H1702" t="s">
        <v>466</v>
      </c>
      <c r="I1702" t="s">
        <v>29</v>
      </c>
      <c r="J1702">
        <v>1</v>
      </c>
      <c r="K1702">
        <f>1-888-472-4181</f>
        <v>-5540</v>
      </c>
      <c r="L1702" t="s">
        <v>5225</v>
      </c>
      <c r="M1702" t="s">
        <v>5226</v>
      </c>
      <c r="N1702" t="s">
        <v>452</v>
      </c>
      <c r="O1702" t="s">
        <v>28</v>
      </c>
      <c r="P1702" t="s">
        <v>29</v>
      </c>
      <c r="Q1702">
        <v>40</v>
      </c>
      <c r="R1702">
        <v>-99.999999000000003</v>
      </c>
    </row>
    <row r="1703" spans="1:18" x14ac:dyDescent="0.2">
      <c r="A1703" t="s">
        <v>18</v>
      </c>
      <c r="B1703" t="s">
        <v>462</v>
      </c>
      <c r="C1703">
        <v>1</v>
      </c>
      <c r="D1703" s="1">
        <v>44030.95517361111</v>
      </c>
      <c r="E1703" t="s">
        <v>5186</v>
      </c>
      <c r="F1703" t="s">
        <v>464</v>
      </c>
      <c r="G1703" t="s">
        <v>5091</v>
      </c>
      <c r="H1703" t="s">
        <v>466</v>
      </c>
      <c r="I1703" t="s">
        <v>29</v>
      </c>
      <c r="J1703">
        <v>1</v>
      </c>
      <c r="K1703">
        <f>1-888-404-9569</f>
        <v>-10860</v>
      </c>
      <c r="L1703" t="s">
        <v>5227</v>
      </c>
      <c r="M1703" t="s">
        <v>5228</v>
      </c>
      <c r="N1703" t="s">
        <v>452</v>
      </c>
      <c r="O1703" t="s">
        <v>28</v>
      </c>
      <c r="P1703" t="s">
        <v>29</v>
      </c>
      <c r="Q1703">
        <v>40</v>
      </c>
      <c r="R1703">
        <v>-99.999999000000003</v>
      </c>
    </row>
    <row r="1704" spans="1:18" x14ac:dyDescent="0.2">
      <c r="A1704" t="s">
        <v>18</v>
      </c>
      <c r="B1704" t="s">
        <v>462</v>
      </c>
      <c r="C1704">
        <v>1</v>
      </c>
      <c r="D1704" s="1">
        <v>44030.876967592594</v>
      </c>
      <c r="E1704" t="s">
        <v>5229</v>
      </c>
      <c r="F1704" t="s">
        <v>464</v>
      </c>
      <c r="G1704" t="s">
        <v>5091</v>
      </c>
      <c r="H1704" t="s">
        <v>466</v>
      </c>
      <c r="I1704" t="s">
        <v>29</v>
      </c>
      <c r="J1704">
        <v>1</v>
      </c>
      <c r="K1704">
        <f>1-866-790-4620</f>
        <v>-6275</v>
      </c>
      <c r="L1704" t="s">
        <v>5230</v>
      </c>
      <c r="M1704" t="s">
        <v>5231</v>
      </c>
      <c r="N1704" t="s">
        <v>452</v>
      </c>
      <c r="O1704" t="s">
        <v>134</v>
      </c>
      <c r="P1704" t="s">
        <v>29</v>
      </c>
      <c r="Q1704">
        <v>40</v>
      </c>
      <c r="R1704">
        <v>-99.999999000000003</v>
      </c>
    </row>
    <row r="1705" spans="1:18" x14ac:dyDescent="0.2">
      <c r="A1705" t="s">
        <v>18</v>
      </c>
      <c r="B1705" t="s">
        <v>462</v>
      </c>
      <c r="C1705">
        <v>1</v>
      </c>
      <c r="D1705" s="1">
        <v>44029.820787037039</v>
      </c>
      <c r="E1705" t="s">
        <v>5232</v>
      </c>
      <c r="F1705" t="s">
        <v>464</v>
      </c>
      <c r="G1705" t="s">
        <v>5091</v>
      </c>
      <c r="H1705" t="s">
        <v>466</v>
      </c>
      <c r="I1705" t="s">
        <v>29</v>
      </c>
      <c r="J1705">
        <v>1</v>
      </c>
      <c r="K1705">
        <f>1-866-650-5958</f>
        <v>-7473</v>
      </c>
      <c r="L1705" t="s">
        <v>5233</v>
      </c>
      <c r="M1705" t="s">
        <v>5234</v>
      </c>
      <c r="N1705" t="s">
        <v>452</v>
      </c>
      <c r="O1705" t="s">
        <v>28</v>
      </c>
      <c r="P1705" t="s">
        <v>29</v>
      </c>
      <c r="Q1705">
        <v>40</v>
      </c>
      <c r="R1705">
        <v>-99.999999000000003</v>
      </c>
    </row>
    <row r="1706" spans="1:18" x14ac:dyDescent="0.2">
      <c r="A1706" t="s">
        <v>18</v>
      </c>
      <c r="B1706" t="s">
        <v>462</v>
      </c>
      <c r="C1706">
        <v>1</v>
      </c>
      <c r="D1706" s="1">
        <v>44029.793368055558</v>
      </c>
      <c r="E1706" t="s">
        <v>5235</v>
      </c>
      <c r="F1706" t="s">
        <v>464</v>
      </c>
      <c r="G1706" t="s">
        <v>5091</v>
      </c>
      <c r="H1706" t="s">
        <v>466</v>
      </c>
      <c r="I1706" t="s">
        <v>29</v>
      </c>
      <c r="J1706">
        <v>1</v>
      </c>
      <c r="K1706">
        <f>1-888-527-5994</f>
        <v>-7408</v>
      </c>
      <c r="L1706" t="s">
        <v>5236</v>
      </c>
      <c r="M1706" t="s">
        <v>5237</v>
      </c>
      <c r="N1706" t="s">
        <v>452</v>
      </c>
      <c r="O1706" t="s">
        <v>134</v>
      </c>
      <c r="P1706" t="s">
        <v>29</v>
      </c>
      <c r="Q1706">
        <v>40</v>
      </c>
      <c r="R1706">
        <v>-99.999999000000003</v>
      </c>
    </row>
    <row r="1707" spans="1:18" x14ac:dyDescent="0.2">
      <c r="A1707" t="s">
        <v>18</v>
      </c>
      <c r="B1707" t="s">
        <v>462</v>
      </c>
      <c r="C1707">
        <v>81</v>
      </c>
      <c r="D1707" s="1">
        <v>44029.170636574076</v>
      </c>
      <c r="E1707" t="s">
        <v>5238</v>
      </c>
      <c r="F1707" t="s">
        <v>464</v>
      </c>
      <c r="G1707" t="s">
        <v>5091</v>
      </c>
      <c r="H1707" t="s">
        <v>466</v>
      </c>
      <c r="I1707" t="s">
        <v>53</v>
      </c>
      <c r="J1707">
        <v>81</v>
      </c>
      <c r="K1707">
        <f>81-50-3136-621</f>
        <v>-3726</v>
      </c>
      <c r="L1707" t="s">
        <v>5239</v>
      </c>
      <c r="M1707" t="s">
        <v>5240</v>
      </c>
      <c r="N1707" t="s">
        <v>452</v>
      </c>
      <c r="O1707" t="s">
        <v>28</v>
      </c>
      <c r="P1707" t="s">
        <v>29</v>
      </c>
      <c r="Q1707">
        <v>40</v>
      </c>
      <c r="R1707">
        <v>-99.999999000000003</v>
      </c>
    </row>
    <row r="1708" spans="1:18" x14ac:dyDescent="0.2">
      <c r="A1708" t="s">
        <v>18</v>
      </c>
      <c r="B1708" t="s">
        <v>462</v>
      </c>
      <c r="C1708">
        <v>1</v>
      </c>
      <c r="D1708" s="1">
        <v>44028.875324074077</v>
      </c>
      <c r="E1708" t="s">
        <v>5241</v>
      </c>
      <c r="F1708" t="s">
        <v>464</v>
      </c>
      <c r="G1708" t="s">
        <v>5091</v>
      </c>
      <c r="H1708" t="s">
        <v>466</v>
      </c>
      <c r="I1708" t="s">
        <v>29</v>
      </c>
      <c r="J1708">
        <v>1</v>
      </c>
      <c r="K1708">
        <f>1-866-773-3316</f>
        <v>-4954</v>
      </c>
      <c r="L1708" t="s">
        <v>5242</v>
      </c>
      <c r="M1708" t="s">
        <v>5243</v>
      </c>
      <c r="N1708" t="s">
        <v>452</v>
      </c>
      <c r="O1708" t="s">
        <v>134</v>
      </c>
      <c r="P1708" t="s">
        <v>29</v>
      </c>
      <c r="Q1708">
        <v>40</v>
      </c>
      <c r="R1708">
        <v>-99.999999000000003</v>
      </c>
    </row>
    <row r="1709" spans="1:18" x14ac:dyDescent="0.2">
      <c r="A1709" t="s">
        <v>18</v>
      </c>
      <c r="B1709" t="s">
        <v>462</v>
      </c>
      <c r="C1709">
        <v>1</v>
      </c>
      <c r="D1709" s="1">
        <v>44027.990682870368</v>
      </c>
      <c r="E1709" t="s">
        <v>5244</v>
      </c>
      <c r="F1709" t="s">
        <v>464</v>
      </c>
      <c r="G1709" t="s">
        <v>5091</v>
      </c>
      <c r="H1709" t="s">
        <v>466</v>
      </c>
      <c r="I1709" t="s">
        <v>29</v>
      </c>
      <c r="J1709">
        <v>1</v>
      </c>
      <c r="K1709">
        <f>1-888-481-1802</f>
        <v>-3170</v>
      </c>
      <c r="L1709" t="s">
        <v>5245</v>
      </c>
      <c r="M1709" t="s">
        <v>5246</v>
      </c>
      <c r="N1709" t="s">
        <v>2584</v>
      </c>
      <c r="O1709" t="s">
        <v>134</v>
      </c>
      <c r="P1709" t="s">
        <v>29</v>
      </c>
      <c r="Q1709">
        <v>40</v>
      </c>
      <c r="R1709">
        <v>-99.999999000000003</v>
      </c>
    </row>
    <row r="1710" spans="1:18" x14ac:dyDescent="0.2">
      <c r="A1710" t="s">
        <v>18</v>
      </c>
      <c r="B1710" t="s">
        <v>462</v>
      </c>
      <c r="C1710">
        <v>1</v>
      </c>
      <c r="D1710" s="1">
        <v>44027.888715277775</v>
      </c>
      <c r="E1710" t="s">
        <v>5247</v>
      </c>
      <c r="F1710" t="s">
        <v>464</v>
      </c>
      <c r="G1710" t="s">
        <v>5091</v>
      </c>
      <c r="H1710" t="s">
        <v>466</v>
      </c>
      <c r="I1710" t="s">
        <v>29</v>
      </c>
      <c r="J1710">
        <v>1</v>
      </c>
      <c r="K1710">
        <f>1-888-534-5472</f>
        <v>-6893</v>
      </c>
      <c r="L1710" t="s">
        <v>5248</v>
      </c>
      <c r="M1710" t="s">
        <v>5249</v>
      </c>
      <c r="N1710" t="s">
        <v>2584</v>
      </c>
      <c r="O1710" t="s">
        <v>134</v>
      </c>
      <c r="P1710" t="s">
        <v>29</v>
      </c>
      <c r="Q1710">
        <v>40</v>
      </c>
      <c r="R1710">
        <v>-99.999999000000003</v>
      </c>
    </row>
    <row r="1711" spans="1:18" x14ac:dyDescent="0.2">
      <c r="A1711" t="s">
        <v>18</v>
      </c>
      <c r="B1711" t="s">
        <v>462</v>
      </c>
      <c r="C1711">
        <v>1</v>
      </c>
      <c r="D1711" s="1">
        <v>44026.86383101852</v>
      </c>
      <c r="E1711" t="s">
        <v>5250</v>
      </c>
      <c r="F1711" t="s">
        <v>464</v>
      </c>
      <c r="G1711" t="s">
        <v>5091</v>
      </c>
      <c r="H1711" t="s">
        <v>466</v>
      </c>
      <c r="I1711" t="s">
        <v>29</v>
      </c>
      <c r="J1711">
        <v>1</v>
      </c>
      <c r="K1711">
        <f>1-888-527-4076</f>
        <v>-5490</v>
      </c>
      <c r="L1711" t="s">
        <v>5251</v>
      </c>
      <c r="M1711" t="s">
        <v>5252</v>
      </c>
      <c r="N1711" t="s">
        <v>2584</v>
      </c>
      <c r="O1711" t="s">
        <v>28</v>
      </c>
      <c r="P1711" t="s">
        <v>29</v>
      </c>
      <c r="Q1711">
        <v>40</v>
      </c>
      <c r="R1711">
        <v>-99.999999000000003</v>
      </c>
    </row>
    <row r="1712" spans="1:18" x14ac:dyDescent="0.2">
      <c r="A1712" t="s">
        <v>18</v>
      </c>
      <c r="B1712" t="s">
        <v>462</v>
      </c>
      <c r="C1712">
        <v>1</v>
      </c>
      <c r="D1712" s="1">
        <v>44024.926712962966</v>
      </c>
      <c r="E1712" t="s">
        <v>5253</v>
      </c>
      <c r="F1712" t="s">
        <v>464</v>
      </c>
      <c r="G1712" t="s">
        <v>5091</v>
      </c>
      <c r="H1712" t="s">
        <v>466</v>
      </c>
      <c r="I1712" t="s">
        <v>29</v>
      </c>
      <c r="J1712">
        <v>1</v>
      </c>
      <c r="K1712">
        <f>1-888-530-2133</f>
        <v>-3550</v>
      </c>
      <c r="L1712" t="s">
        <v>5254</v>
      </c>
      <c r="M1712" t="s">
        <v>5255</v>
      </c>
      <c r="N1712" t="s">
        <v>2584</v>
      </c>
      <c r="O1712" t="s">
        <v>28</v>
      </c>
      <c r="P1712" t="s">
        <v>29</v>
      </c>
      <c r="Q1712">
        <v>40</v>
      </c>
      <c r="R1712">
        <v>-99.999999000000003</v>
      </c>
    </row>
    <row r="1713" spans="1:18" x14ac:dyDescent="0.2">
      <c r="A1713" t="s">
        <v>18</v>
      </c>
      <c r="B1713" t="s">
        <v>462</v>
      </c>
      <c r="C1713">
        <v>1</v>
      </c>
      <c r="D1713" s="1">
        <v>44023.819548611114</v>
      </c>
      <c r="E1713" t="s">
        <v>5256</v>
      </c>
      <c r="F1713" t="s">
        <v>464</v>
      </c>
      <c r="G1713" t="s">
        <v>5091</v>
      </c>
      <c r="H1713" t="s">
        <v>466</v>
      </c>
      <c r="I1713" t="s">
        <v>29</v>
      </c>
      <c r="J1713">
        <v>1</v>
      </c>
      <c r="K1713">
        <f>1-888-434-753</f>
        <v>-2074</v>
      </c>
      <c r="L1713" t="s">
        <v>5257</v>
      </c>
      <c r="M1713" t="s">
        <v>5258</v>
      </c>
      <c r="N1713" t="s">
        <v>452</v>
      </c>
      <c r="O1713" t="s">
        <v>28</v>
      </c>
      <c r="P1713" t="s">
        <v>29</v>
      </c>
      <c r="Q1713">
        <v>40</v>
      </c>
      <c r="R1713">
        <v>-99.999999000000003</v>
      </c>
    </row>
    <row r="1714" spans="1:18" x14ac:dyDescent="0.2">
      <c r="A1714" t="s">
        <v>18</v>
      </c>
      <c r="B1714" t="s">
        <v>462</v>
      </c>
      <c r="C1714">
        <v>1</v>
      </c>
      <c r="D1714" s="1">
        <v>44021.974270833336</v>
      </c>
      <c r="E1714" t="s">
        <v>5259</v>
      </c>
      <c r="F1714" t="s">
        <v>464</v>
      </c>
      <c r="G1714" t="s">
        <v>5091</v>
      </c>
      <c r="H1714" t="s">
        <v>466</v>
      </c>
      <c r="I1714" t="s">
        <v>29</v>
      </c>
      <c r="J1714">
        <v>1</v>
      </c>
      <c r="K1714">
        <f>1-888-538-8479</f>
        <v>-9904</v>
      </c>
      <c r="L1714" t="s">
        <v>5260</v>
      </c>
      <c r="M1714" t="s">
        <v>5261</v>
      </c>
      <c r="N1714" t="s">
        <v>452</v>
      </c>
      <c r="O1714" t="s">
        <v>28</v>
      </c>
      <c r="P1714" t="s">
        <v>29</v>
      </c>
      <c r="Q1714">
        <v>40</v>
      </c>
      <c r="R1714">
        <v>-99.999999000000003</v>
      </c>
    </row>
    <row r="1715" spans="1:18" x14ac:dyDescent="0.2">
      <c r="A1715" t="s">
        <v>18</v>
      </c>
      <c r="B1715" t="s">
        <v>462</v>
      </c>
      <c r="C1715">
        <v>1</v>
      </c>
      <c r="D1715" s="1">
        <v>44021.867939814816</v>
      </c>
      <c r="E1715" t="s">
        <v>5262</v>
      </c>
      <c r="F1715" t="s">
        <v>464</v>
      </c>
      <c r="G1715" t="s">
        <v>5091</v>
      </c>
      <c r="H1715" t="s">
        <v>466</v>
      </c>
      <c r="I1715" t="s">
        <v>29</v>
      </c>
      <c r="J1715">
        <v>1</v>
      </c>
      <c r="K1715">
        <f>1-888-526-879</f>
        <v>-2292</v>
      </c>
      <c r="L1715" t="s">
        <v>5263</v>
      </c>
      <c r="M1715" t="s">
        <v>5264</v>
      </c>
      <c r="N1715" t="s">
        <v>452</v>
      </c>
      <c r="O1715" t="s">
        <v>28</v>
      </c>
      <c r="P1715" t="s">
        <v>29</v>
      </c>
      <c r="Q1715">
        <v>40</v>
      </c>
      <c r="R1715">
        <v>-99.999999000000003</v>
      </c>
    </row>
    <row r="1716" spans="1:18" x14ac:dyDescent="0.2">
      <c r="A1716" t="s">
        <v>18</v>
      </c>
      <c r="B1716" t="s">
        <v>462</v>
      </c>
      <c r="C1716">
        <v>44</v>
      </c>
      <c r="D1716" s="1">
        <v>44022.610219907408</v>
      </c>
      <c r="E1716" t="s">
        <v>5265</v>
      </c>
      <c r="F1716" t="s">
        <v>464</v>
      </c>
      <c r="G1716" t="s">
        <v>5091</v>
      </c>
      <c r="H1716" t="s">
        <v>466</v>
      </c>
      <c r="I1716" t="s">
        <v>618</v>
      </c>
      <c r="J1716">
        <v>44</v>
      </c>
      <c r="K1716">
        <f>44-161-802-261</f>
        <v>-1180</v>
      </c>
      <c r="L1716" t="s">
        <v>5266</v>
      </c>
      <c r="M1716" t="s">
        <v>5267</v>
      </c>
      <c r="N1716" t="s">
        <v>2584</v>
      </c>
      <c r="O1716" t="s">
        <v>28</v>
      </c>
      <c r="P1716" t="s">
        <v>29</v>
      </c>
      <c r="Q1716">
        <v>40</v>
      </c>
      <c r="R1716">
        <v>-99.999999000000003</v>
      </c>
    </row>
    <row r="1717" spans="1:18" x14ac:dyDescent="0.2">
      <c r="A1717" t="s">
        <v>18</v>
      </c>
      <c r="B1717" t="s">
        <v>462</v>
      </c>
      <c r="C1717">
        <v>44</v>
      </c>
      <c r="D1717" s="1">
        <v>44019.603495370371</v>
      </c>
      <c r="E1717" t="s">
        <v>5268</v>
      </c>
      <c r="F1717" t="s">
        <v>464</v>
      </c>
      <c r="G1717" t="s">
        <v>5091</v>
      </c>
      <c r="H1717" t="s">
        <v>466</v>
      </c>
      <c r="I1717" t="s">
        <v>618</v>
      </c>
      <c r="J1717">
        <v>44</v>
      </c>
      <c r="K1717">
        <f>44-741-834-7457</f>
        <v>-8988</v>
      </c>
      <c r="L1717" t="s">
        <v>5269</v>
      </c>
      <c r="M1717" t="s">
        <v>5270</v>
      </c>
      <c r="N1717" t="s">
        <v>2584</v>
      </c>
      <c r="O1717" t="s">
        <v>134</v>
      </c>
      <c r="P1717" t="s">
        <v>29</v>
      </c>
      <c r="Q1717">
        <v>40</v>
      </c>
      <c r="R1717">
        <v>-99.999999000000003</v>
      </c>
    </row>
    <row r="1718" spans="1:18" x14ac:dyDescent="0.2">
      <c r="A1718" t="s">
        <v>18</v>
      </c>
      <c r="B1718" t="s">
        <v>462</v>
      </c>
      <c r="C1718">
        <v>1</v>
      </c>
      <c r="D1718" s="1">
        <v>44016.755416666667</v>
      </c>
      <c r="E1718" t="s">
        <v>5271</v>
      </c>
      <c r="F1718" t="s">
        <v>464</v>
      </c>
      <c r="G1718" t="s">
        <v>5091</v>
      </c>
      <c r="H1718" t="s">
        <v>466</v>
      </c>
      <c r="I1718" t="s">
        <v>29</v>
      </c>
      <c r="J1718">
        <v>1</v>
      </c>
      <c r="K1718">
        <f>1-888-393-8725</f>
        <v>-10005</v>
      </c>
      <c r="L1718" t="s">
        <v>5272</v>
      </c>
      <c r="M1718" t="s">
        <v>5273</v>
      </c>
      <c r="N1718" t="s">
        <v>452</v>
      </c>
      <c r="O1718" t="s">
        <v>28</v>
      </c>
      <c r="P1718" t="s">
        <v>29</v>
      </c>
      <c r="Q1718">
        <v>40</v>
      </c>
      <c r="R1718">
        <v>-99.999999000000003</v>
      </c>
    </row>
    <row r="1719" spans="1:18" x14ac:dyDescent="0.2">
      <c r="A1719" t="s">
        <v>18</v>
      </c>
      <c r="B1719" t="s">
        <v>462</v>
      </c>
      <c r="C1719">
        <v>44</v>
      </c>
      <c r="D1719" s="1">
        <v>44016.643113425926</v>
      </c>
      <c r="E1719" t="s">
        <v>5274</v>
      </c>
      <c r="F1719" t="s">
        <v>464</v>
      </c>
      <c r="G1719" t="s">
        <v>5091</v>
      </c>
      <c r="H1719" t="s">
        <v>466</v>
      </c>
      <c r="I1719" t="s">
        <v>618</v>
      </c>
      <c r="J1719">
        <v>44</v>
      </c>
      <c r="K1719">
        <f>44-741-834-7457</f>
        <v>-8988</v>
      </c>
      <c r="L1719" t="s">
        <v>5275</v>
      </c>
      <c r="M1719" t="s">
        <v>5276</v>
      </c>
      <c r="N1719" t="s">
        <v>452</v>
      </c>
      <c r="O1719" t="s">
        <v>28</v>
      </c>
      <c r="P1719" t="s">
        <v>29</v>
      </c>
      <c r="Q1719">
        <v>40</v>
      </c>
      <c r="R1719">
        <v>-99.999999000000003</v>
      </c>
    </row>
    <row r="1720" spans="1:18" x14ac:dyDescent="0.2">
      <c r="A1720" t="s">
        <v>18</v>
      </c>
      <c r="B1720" t="s">
        <v>462</v>
      </c>
      <c r="C1720">
        <v>1</v>
      </c>
      <c r="D1720" s="1">
        <v>44013.884664351855</v>
      </c>
      <c r="E1720" t="s">
        <v>5277</v>
      </c>
      <c r="F1720" t="s">
        <v>464</v>
      </c>
      <c r="G1720" t="s">
        <v>5091</v>
      </c>
      <c r="H1720" t="s">
        <v>466</v>
      </c>
      <c r="I1720" t="s">
        <v>29</v>
      </c>
      <c r="J1720">
        <v>1</v>
      </c>
      <c r="K1720">
        <f>1-833-428-1056</f>
        <v>-2316</v>
      </c>
      <c r="L1720" t="s">
        <v>5278</v>
      </c>
      <c r="M1720" t="s">
        <v>5279</v>
      </c>
      <c r="N1720" t="s">
        <v>452</v>
      </c>
      <c r="O1720" t="s">
        <v>28</v>
      </c>
      <c r="P1720" t="s">
        <v>29</v>
      </c>
      <c r="Q1720">
        <v>40</v>
      </c>
      <c r="R1720">
        <v>-99.999999000000003</v>
      </c>
    </row>
    <row r="1721" spans="1:18" x14ac:dyDescent="0.2">
      <c r="A1721" t="s">
        <v>18</v>
      </c>
      <c r="B1721" t="s">
        <v>462</v>
      </c>
      <c r="C1721">
        <v>44</v>
      </c>
      <c r="D1721" s="1">
        <v>44012.649131944447</v>
      </c>
      <c r="E1721" t="s">
        <v>5280</v>
      </c>
      <c r="F1721" t="s">
        <v>464</v>
      </c>
      <c r="G1721" t="s">
        <v>5091</v>
      </c>
      <c r="H1721" t="s">
        <v>466</v>
      </c>
      <c r="I1721" t="s">
        <v>618</v>
      </c>
      <c r="J1721">
        <v>44</v>
      </c>
      <c r="K1721">
        <f>44-741-834-7503</f>
        <v>-9034</v>
      </c>
      <c r="L1721" t="s">
        <v>5281</v>
      </c>
      <c r="M1721" t="s">
        <v>5282</v>
      </c>
      <c r="N1721" t="s">
        <v>2584</v>
      </c>
      <c r="O1721" t="s">
        <v>28</v>
      </c>
      <c r="P1721" t="s">
        <v>29</v>
      </c>
      <c r="Q1721">
        <v>40</v>
      </c>
      <c r="R1721">
        <v>-99.999999000000003</v>
      </c>
    </row>
    <row r="1722" spans="1:18" x14ac:dyDescent="0.2">
      <c r="A1722" t="s">
        <v>18</v>
      </c>
      <c r="B1722" t="s">
        <v>462</v>
      </c>
      <c r="C1722">
        <v>61</v>
      </c>
      <c r="D1722" s="1">
        <v>44007.121863425928</v>
      </c>
      <c r="E1722" t="s">
        <v>5283</v>
      </c>
      <c r="F1722" t="s">
        <v>464</v>
      </c>
      <c r="G1722" t="s">
        <v>5091</v>
      </c>
      <c r="H1722" t="s">
        <v>466</v>
      </c>
      <c r="I1722" t="s">
        <v>782</v>
      </c>
      <c r="J1722">
        <v>61</v>
      </c>
      <c r="K1722">
        <f>61-800-239-102</f>
        <v>-1080</v>
      </c>
      <c r="L1722" t="s">
        <v>5284</v>
      </c>
      <c r="M1722" t="s">
        <v>5285</v>
      </c>
      <c r="N1722" t="s">
        <v>2584</v>
      </c>
      <c r="O1722" t="s">
        <v>28</v>
      </c>
      <c r="P1722" t="s">
        <v>29</v>
      </c>
      <c r="Q1722">
        <v>40</v>
      </c>
      <c r="R1722">
        <v>-99.999999000000003</v>
      </c>
    </row>
    <row r="1723" spans="1:18" x14ac:dyDescent="0.2">
      <c r="A1723" t="s">
        <v>18</v>
      </c>
      <c r="B1723" t="s">
        <v>462</v>
      </c>
      <c r="C1723">
        <v>81</v>
      </c>
      <c r="D1723" s="1">
        <v>44006.282500000001</v>
      </c>
      <c r="E1723" t="s">
        <v>5286</v>
      </c>
      <c r="F1723" t="s">
        <v>464</v>
      </c>
      <c r="G1723" t="s">
        <v>5091</v>
      </c>
      <c r="H1723" t="s">
        <v>466</v>
      </c>
      <c r="I1723" t="s">
        <v>53</v>
      </c>
      <c r="J1723">
        <v>81</v>
      </c>
      <c r="K1723">
        <f>81-50-5534-953</f>
        <v>-6456</v>
      </c>
      <c r="L1723" t="s">
        <v>5287</v>
      </c>
      <c r="M1723" t="s">
        <v>5288</v>
      </c>
      <c r="N1723" t="s">
        <v>2584</v>
      </c>
      <c r="O1723" t="s">
        <v>28</v>
      </c>
      <c r="P1723" t="s">
        <v>29</v>
      </c>
      <c r="Q1723">
        <v>40</v>
      </c>
      <c r="R1723">
        <v>-99.999999000000003</v>
      </c>
    </row>
    <row r="1724" spans="1:18" x14ac:dyDescent="0.2">
      <c r="A1724" t="s">
        <v>18</v>
      </c>
      <c r="B1724" t="s">
        <v>462</v>
      </c>
      <c r="C1724">
        <v>44</v>
      </c>
      <c r="D1724" s="1">
        <v>44004.638680555552</v>
      </c>
      <c r="E1724" t="s">
        <v>5289</v>
      </c>
      <c r="F1724" t="s">
        <v>464</v>
      </c>
      <c r="G1724" t="s">
        <v>5091</v>
      </c>
      <c r="H1724" t="s">
        <v>466</v>
      </c>
      <c r="I1724" t="s">
        <v>618</v>
      </c>
      <c r="J1724">
        <v>44</v>
      </c>
      <c r="K1724">
        <f>44-203-885-1625</f>
        <v>-2669</v>
      </c>
      <c r="L1724" t="s">
        <v>5290</v>
      </c>
      <c r="M1724" t="s">
        <v>5291</v>
      </c>
      <c r="N1724" t="s">
        <v>2584</v>
      </c>
      <c r="O1724" t="s">
        <v>134</v>
      </c>
      <c r="P1724" t="s">
        <v>29</v>
      </c>
      <c r="Q1724">
        <v>40</v>
      </c>
      <c r="R1724">
        <v>-99.999999000000003</v>
      </c>
    </row>
    <row r="1725" spans="1:18" x14ac:dyDescent="0.2">
      <c r="A1725" t="s">
        <v>18</v>
      </c>
      <c r="B1725" t="s">
        <v>462</v>
      </c>
      <c r="C1725">
        <v>44</v>
      </c>
      <c r="D1725" s="1">
        <v>44002.601331018515</v>
      </c>
      <c r="E1725" t="s">
        <v>5292</v>
      </c>
      <c r="F1725" t="s">
        <v>464</v>
      </c>
      <c r="G1725" t="s">
        <v>5091</v>
      </c>
      <c r="H1725" t="s">
        <v>466</v>
      </c>
      <c r="I1725" t="s">
        <v>618</v>
      </c>
      <c r="J1725">
        <v>44</v>
      </c>
      <c r="K1725">
        <f>44-121-512-14</f>
        <v>-603</v>
      </c>
      <c r="L1725" t="s">
        <v>5293</v>
      </c>
      <c r="M1725" t="s">
        <v>5294</v>
      </c>
      <c r="N1725" t="s">
        <v>2584</v>
      </c>
      <c r="O1725" t="s">
        <v>28</v>
      </c>
      <c r="P1725" t="s">
        <v>29</v>
      </c>
      <c r="Q1725">
        <v>40</v>
      </c>
      <c r="R1725">
        <v>-99.999999000000003</v>
      </c>
    </row>
    <row r="1726" spans="1:18" x14ac:dyDescent="0.2">
      <c r="A1726" t="s">
        <v>18</v>
      </c>
      <c r="B1726" t="s">
        <v>462</v>
      </c>
      <c r="C1726">
        <v>1</v>
      </c>
      <c r="D1726" s="1">
        <v>43994.95820601852</v>
      </c>
      <c r="E1726" t="s">
        <v>5295</v>
      </c>
      <c r="F1726" t="s">
        <v>464</v>
      </c>
      <c r="G1726" t="s">
        <v>5091</v>
      </c>
      <c r="H1726" t="s">
        <v>466</v>
      </c>
      <c r="I1726" t="s">
        <v>29</v>
      </c>
      <c r="J1726">
        <v>1</v>
      </c>
      <c r="K1726">
        <f>1-888-429-4707</f>
        <v>-6023</v>
      </c>
      <c r="L1726" t="s">
        <v>5296</v>
      </c>
      <c r="M1726" t="s">
        <v>5297</v>
      </c>
      <c r="N1726" t="s">
        <v>2584</v>
      </c>
      <c r="O1726" t="s">
        <v>134</v>
      </c>
      <c r="P1726" t="s">
        <v>29</v>
      </c>
      <c r="Q1726">
        <v>40</v>
      </c>
      <c r="R1726">
        <v>-99.999999000000003</v>
      </c>
    </row>
    <row r="1727" spans="1:18" x14ac:dyDescent="0.2">
      <c r="A1727" t="s">
        <v>18</v>
      </c>
      <c r="B1727" t="s">
        <v>462</v>
      </c>
      <c r="C1727">
        <v>1</v>
      </c>
      <c r="D1727" s="1">
        <v>43994.871874999997</v>
      </c>
      <c r="E1727" t="s">
        <v>5295</v>
      </c>
      <c r="F1727" t="s">
        <v>464</v>
      </c>
      <c r="G1727" t="s">
        <v>5091</v>
      </c>
      <c r="H1727" t="s">
        <v>466</v>
      </c>
      <c r="I1727" t="s">
        <v>29</v>
      </c>
      <c r="J1727">
        <v>1</v>
      </c>
      <c r="K1727">
        <f>1-888-415-3943</f>
        <v>-5245</v>
      </c>
      <c r="L1727" t="s">
        <v>5298</v>
      </c>
      <c r="M1727" t="s">
        <v>5299</v>
      </c>
      <c r="N1727" t="s">
        <v>2584</v>
      </c>
      <c r="O1727" t="s">
        <v>134</v>
      </c>
      <c r="P1727" t="s">
        <v>29</v>
      </c>
      <c r="Q1727">
        <v>40</v>
      </c>
      <c r="R1727">
        <v>-99.999999000000003</v>
      </c>
    </row>
    <row r="1728" spans="1:18" x14ac:dyDescent="0.2">
      <c r="A1728" t="s">
        <v>18</v>
      </c>
      <c r="B1728" t="s">
        <v>462</v>
      </c>
      <c r="C1728">
        <v>1</v>
      </c>
      <c r="D1728" s="1">
        <v>43994.863449074073</v>
      </c>
      <c r="E1728" t="s">
        <v>5300</v>
      </c>
      <c r="F1728" t="s">
        <v>464</v>
      </c>
      <c r="G1728" t="s">
        <v>5091</v>
      </c>
      <c r="H1728" t="s">
        <v>466</v>
      </c>
      <c r="I1728" t="s">
        <v>29</v>
      </c>
      <c r="J1728">
        <v>1</v>
      </c>
      <c r="K1728">
        <f>1-888-404-2640</f>
        <v>-3931</v>
      </c>
      <c r="L1728" t="s">
        <v>5301</v>
      </c>
      <c r="M1728" t="s">
        <v>5302</v>
      </c>
      <c r="N1728" t="s">
        <v>2584</v>
      </c>
      <c r="O1728" t="s">
        <v>134</v>
      </c>
      <c r="P1728" t="s">
        <v>29</v>
      </c>
      <c r="Q1728">
        <v>40</v>
      </c>
      <c r="R1728">
        <v>-99.999999000000003</v>
      </c>
    </row>
    <row r="1729" spans="1:18" x14ac:dyDescent="0.2">
      <c r="A1729" t="s">
        <v>18</v>
      </c>
      <c r="B1729" t="s">
        <v>462</v>
      </c>
      <c r="C1729">
        <v>1</v>
      </c>
      <c r="D1729" s="1">
        <v>43994.862962962965</v>
      </c>
      <c r="E1729" t="s">
        <v>5300</v>
      </c>
      <c r="F1729" t="s">
        <v>464</v>
      </c>
      <c r="G1729" t="s">
        <v>5091</v>
      </c>
      <c r="H1729" t="s">
        <v>466</v>
      </c>
      <c r="I1729" t="s">
        <v>29</v>
      </c>
      <c r="J1729">
        <v>1</v>
      </c>
      <c r="K1729">
        <f>1-888-426-1785</f>
        <v>-3098</v>
      </c>
      <c r="L1729" t="s">
        <v>5303</v>
      </c>
      <c r="M1729" t="s">
        <v>5304</v>
      </c>
      <c r="N1729" t="s">
        <v>2584</v>
      </c>
      <c r="O1729" t="s">
        <v>134</v>
      </c>
      <c r="P1729" t="s">
        <v>29</v>
      </c>
      <c r="Q1729">
        <v>40</v>
      </c>
      <c r="R1729">
        <v>-99.999999000000003</v>
      </c>
    </row>
    <row r="1730" spans="1:18" x14ac:dyDescent="0.2">
      <c r="A1730" t="s">
        <v>18</v>
      </c>
      <c r="B1730" t="s">
        <v>462</v>
      </c>
      <c r="C1730">
        <v>1</v>
      </c>
      <c r="D1730" s="1">
        <v>43994.852233796293</v>
      </c>
      <c r="E1730" t="s">
        <v>5300</v>
      </c>
      <c r="F1730" t="s">
        <v>464</v>
      </c>
      <c r="G1730" t="s">
        <v>5091</v>
      </c>
      <c r="H1730" t="s">
        <v>466</v>
      </c>
      <c r="I1730" t="s">
        <v>29</v>
      </c>
      <c r="J1730">
        <v>1</v>
      </c>
      <c r="K1730">
        <f>1-888-414-8016</f>
        <v>-9317</v>
      </c>
      <c r="L1730" t="s">
        <v>5305</v>
      </c>
      <c r="M1730" t="s">
        <v>5306</v>
      </c>
      <c r="N1730" t="s">
        <v>2584</v>
      </c>
      <c r="O1730" t="s">
        <v>134</v>
      </c>
      <c r="P1730" t="s">
        <v>29</v>
      </c>
      <c r="Q1730">
        <v>40</v>
      </c>
      <c r="R1730">
        <v>-99.999999000000003</v>
      </c>
    </row>
    <row r="1731" spans="1:18" x14ac:dyDescent="0.2">
      <c r="A1731" t="s">
        <v>18</v>
      </c>
      <c r="B1731" t="s">
        <v>462</v>
      </c>
      <c r="C1731">
        <v>1</v>
      </c>
      <c r="D1731" s="1">
        <v>43992.847546296296</v>
      </c>
      <c r="E1731" t="s">
        <v>5307</v>
      </c>
      <c r="F1731" t="s">
        <v>464</v>
      </c>
      <c r="G1731" t="s">
        <v>5091</v>
      </c>
      <c r="H1731" t="s">
        <v>466</v>
      </c>
      <c r="I1731" t="s">
        <v>29</v>
      </c>
      <c r="J1731">
        <v>1</v>
      </c>
      <c r="K1731">
        <f>1-888-464-3380</f>
        <v>-4731</v>
      </c>
      <c r="L1731" t="s">
        <v>5308</v>
      </c>
      <c r="M1731" t="s">
        <v>5309</v>
      </c>
      <c r="N1731" t="s">
        <v>2584</v>
      </c>
      <c r="O1731" t="s">
        <v>28</v>
      </c>
      <c r="P1731" t="s">
        <v>29</v>
      </c>
      <c r="Q1731">
        <v>40</v>
      </c>
      <c r="R1731">
        <v>-99.999999000000003</v>
      </c>
    </row>
    <row r="1732" spans="1:18" x14ac:dyDescent="0.2">
      <c r="A1732" t="s">
        <v>18</v>
      </c>
      <c r="B1732" t="s">
        <v>462</v>
      </c>
      <c r="C1732">
        <v>1</v>
      </c>
      <c r="D1732" s="1">
        <v>43992.77983796296</v>
      </c>
      <c r="E1732" t="s">
        <v>5307</v>
      </c>
      <c r="F1732" t="s">
        <v>464</v>
      </c>
      <c r="G1732" t="s">
        <v>5091</v>
      </c>
      <c r="H1732" t="s">
        <v>466</v>
      </c>
      <c r="I1732" t="s">
        <v>29</v>
      </c>
      <c r="J1732">
        <v>1</v>
      </c>
      <c r="K1732">
        <f>1-888-401-989</f>
        <v>-2277</v>
      </c>
      <c r="L1732" t="s">
        <v>5310</v>
      </c>
      <c r="M1732" t="s">
        <v>5311</v>
      </c>
      <c r="N1732" t="s">
        <v>2584</v>
      </c>
      <c r="O1732" t="s">
        <v>28</v>
      </c>
      <c r="P1732" t="s">
        <v>29</v>
      </c>
      <c r="Q1732">
        <v>40</v>
      </c>
      <c r="R1732">
        <v>-99.999999000000003</v>
      </c>
    </row>
    <row r="1733" spans="1:18" x14ac:dyDescent="0.2">
      <c r="A1733" t="s">
        <v>18</v>
      </c>
      <c r="B1733" t="s">
        <v>462</v>
      </c>
      <c r="C1733">
        <v>81</v>
      </c>
      <c r="D1733" s="1">
        <v>43992.465092592596</v>
      </c>
      <c r="E1733" t="s">
        <v>5312</v>
      </c>
      <c r="F1733" t="s">
        <v>464</v>
      </c>
      <c r="G1733" t="s">
        <v>5091</v>
      </c>
      <c r="H1733" t="s">
        <v>466</v>
      </c>
      <c r="I1733" t="s">
        <v>53</v>
      </c>
      <c r="J1733">
        <v>81</v>
      </c>
      <c r="K1733">
        <f>81-50-5806-2768</f>
        <v>-8543</v>
      </c>
      <c r="L1733" t="s">
        <v>5313</v>
      </c>
      <c r="M1733" t="s">
        <v>5314</v>
      </c>
      <c r="N1733" t="s">
        <v>2584</v>
      </c>
      <c r="O1733" t="s">
        <v>28</v>
      </c>
      <c r="P1733" t="s">
        <v>29</v>
      </c>
      <c r="Q1733">
        <v>40</v>
      </c>
      <c r="R1733">
        <v>-99.999999000000003</v>
      </c>
    </row>
    <row r="1734" spans="1:18" x14ac:dyDescent="0.2">
      <c r="A1734" t="s">
        <v>439</v>
      </c>
      <c r="B1734" t="s">
        <v>440</v>
      </c>
      <c r="C1734">
        <v>81</v>
      </c>
      <c r="D1734" s="1">
        <v>43992.465289351851</v>
      </c>
      <c r="E1734" t="s">
        <v>5315</v>
      </c>
      <c r="F1734" t="s">
        <v>442</v>
      </c>
      <c r="G1734" t="s">
        <v>5316</v>
      </c>
      <c r="H1734" t="s">
        <v>444</v>
      </c>
      <c r="I1734" t="s">
        <v>53</v>
      </c>
      <c r="J1734">
        <v>81</v>
      </c>
      <c r="K1734">
        <f>81-50-5809-5927</f>
        <v>-11705</v>
      </c>
      <c r="L1734" t="s">
        <v>5317</v>
      </c>
      <c r="M1734" t="s">
        <v>5318</v>
      </c>
      <c r="N1734" t="s">
        <v>213</v>
      </c>
      <c r="O1734" t="s">
        <v>28</v>
      </c>
      <c r="P1734" t="s">
        <v>29</v>
      </c>
      <c r="Q1734">
        <v>39</v>
      </c>
      <c r="R1734">
        <v>-77.487399999999994</v>
      </c>
    </row>
    <row r="1735" spans="1:18" x14ac:dyDescent="0.2">
      <c r="A1735" t="s">
        <v>675</v>
      </c>
      <c r="B1735" t="s">
        <v>1412</v>
      </c>
      <c r="C1735">
        <v>1</v>
      </c>
      <c r="D1735" s="1">
        <v>44007.945844907408</v>
      </c>
      <c r="E1735" t="s">
        <v>5319</v>
      </c>
      <c r="F1735" t="s">
        <v>678</v>
      </c>
      <c r="G1735" t="s">
        <v>5320</v>
      </c>
      <c r="H1735" t="s">
        <v>680</v>
      </c>
      <c r="I1735" t="s">
        <v>29</v>
      </c>
      <c r="J1735">
        <v>1</v>
      </c>
      <c r="K1735">
        <f>1-603-652-1871</f>
        <v>-3125</v>
      </c>
      <c r="L1735" t="s">
        <v>5321</v>
      </c>
      <c r="M1735" t="s">
        <v>5322</v>
      </c>
      <c r="N1735" t="s">
        <v>2475</v>
      </c>
      <c r="O1735" t="s">
        <v>28</v>
      </c>
      <c r="P1735" t="s">
        <v>29</v>
      </c>
      <c r="Q1735">
        <v>41</v>
      </c>
      <c r="R1735">
        <v>-74.172399999999996</v>
      </c>
    </row>
    <row r="1736" spans="1:18" x14ac:dyDescent="0.2">
      <c r="A1736" t="s">
        <v>270</v>
      </c>
      <c r="B1736" t="s">
        <v>271</v>
      </c>
      <c r="C1736">
        <v>34</v>
      </c>
      <c r="D1736" s="1">
        <v>44014.577037037037</v>
      </c>
      <c r="E1736" t="s">
        <v>5323</v>
      </c>
      <c r="F1736" t="s">
        <v>273</v>
      </c>
      <c r="G1736" t="s">
        <v>5324</v>
      </c>
      <c r="H1736" t="s">
        <v>275</v>
      </c>
      <c r="I1736" t="s">
        <v>700</v>
      </c>
      <c r="J1736">
        <v>34</v>
      </c>
      <c r="K1736">
        <f>34-900-649-691</f>
        <v>-2206</v>
      </c>
      <c r="L1736" t="s">
        <v>5325</v>
      </c>
      <c r="M1736" t="s">
        <v>5326</v>
      </c>
      <c r="N1736" t="s">
        <v>278</v>
      </c>
      <c r="O1736" t="s">
        <v>28</v>
      </c>
      <c r="P1736" t="s">
        <v>29</v>
      </c>
      <c r="Q1736">
        <v>42</v>
      </c>
      <c r="R1736">
        <v>-93.620800000000003</v>
      </c>
    </row>
    <row r="1737" spans="1:18" x14ac:dyDescent="0.2">
      <c r="A1737" t="s">
        <v>270</v>
      </c>
      <c r="B1737" t="s">
        <v>271</v>
      </c>
      <c r="C1737">
        <v>34</v>
      </c>
      <c r="D1737" s="1">
        <v>44002.606620370374</v>
      </c>
      <c r="E1737" t="s">
        <v>5327</v>
      </c>
      <c r="F1737" t="s">
        <v>273</v>
      </c>
      <c r="G1737" t="s">
        <v>5324</v>
      </c>
      <c r="H1737" t="s">
        <v>275</v>
      </c>
      <c r="I1737" t="s">
        <v>700</v>
      </c>
      <c r="J1737">
        <v>34</v>
      </c>
      <c r="K1737">
        <f>34-900-649-691</f>
        <v>-2206</v>
      </c>
      <c r="L1737" t="s">
        <v>5328</v>
      </c>
      <c r="M1737" t="s">
        <v>5329</v>
      </c>
      <c r="N1737" t="s">
        <v>278</v>
      </c>
      <c r="O1737" t="s">
        <v>28</v>
      </c>
      <c r="P1737" t="s">
        <v>29</v>
      </c>
      <c r="Q1737">
        <v>42</v>
      </c>
      <c r="R1737">
        <v>-93.620800000000003</v>
      </c>
    </row>
    <row r="1738" spans="1:18" x14ac:dyDescent="0.2">
      <c r="A1738" t="s">
        <v>270</v>
      </c>
      <c r="B1738" t="s">
        <v>271</v>
      </c>
      <c r="C1738">
        <v>34</v>
      </c>
      <c r="D1738" s="1">
        <v>43992.482939814814</v>
      </c>
      <c r="E1738" t="s">
        <v>5330</v>
      </c>
      <c r="F1738" t="s">
        <v>273</v>
      </c>
      <c r="G1738" t="s">
        <v>5324</v>
      </c>
      <c r="H1738" t="s">
        <v>275</v>
      </c>
      <c r="I1738" t="s">
        <v>700</v>
      </c>
      <c r="J1738">
        <v>34</v>
      </c>
      <c r="K1738">
        <f>34-900-998-437</f>
        <v>-2301</v>
      </c>
      <c r="L1738" t="s">
        <v>5331</v>
      </c>
      <c r="M1738" t="s">
        <v>5332</v>
      </c>
      <c r="N1738" t="s">
        <v>278</v>
      </c>
      <c r="O1738" t="s">
        <v>28</v>
      </c>
      <c r="P1738" t="s">
        <v>29</v>
      </c>
      <c r="Q1738">
        <v>42</v>
      </c>
      <c r="R1738">
        <v>-93.620800000000003</v>
      </c>
    </row>
    <row r="1739" spans="1:18" x14ac:dyDescent="0.2">
      <c r="A1739" t="s">
        <v>439</v>
      </c>
      <c r="B1739" t="s">
        <v>440</v>
      </c>
      <c r="C1739">
        <v>1</v>
      </c>
      <c r="D1739" s="1">
        <v>43994.640092592592</v>
      </c>
      <c r="E1739" t="s">
        <v>5333</v>
      </c>
      <c r="F1739" t="s">
        <v>442</v>
      </c>
      <c r="G1739" t="s">
        <v>5334</v>
      </c>
      <c r="H1739" t="s">
        <v>444</v>
      </c>
      <c r="I1739" t="s">
        <v>29</v>
      </c>
      <c r="J1739">
        <v>1</v>
      </c>
      <c r="K1739">
        <f>1-888-510-622</f>
        <v>-2019</v>
      </c>
      <c r="L1739" t="s">
        <v>5335</v>
      </c>
      <c r="M1739" t="s">
        <v>5336</v>
      </c>
      <c r="N1739" t="s">
        <v>213</v>
      </c>
      <c r="O1739" t="s">
        <v>28</v>
      </c>
      <c r="P1739" t="s">
        <v>29</v>
      </c>
      <c r="Q1739">
        <v>39</v>
      </c>
      <c r="R1739">
        <v>-77.487399999999994</v>
      </c>
    </row>
    <row r="1740" spans="1:18" x14ac:dyDescent="0.2">
      <c r="A1740" t="s">
        <v>663</v>
      </c>
      <c r="B1740" t="s">
        <v>5337</v>
      </c>
      <c r="C1740">
        <v>44</v>
      </c>
      <c r="D1740" s="1">
        <v>43992.637650462966</v>
      </c>
      <c r="E1740" t="s">
        <v>5338</v>
      </c>
      <c r="F1740" t="s">
        <v>666</v>
      </c>
      <c r="G1740" t="s">
        <v>5339</v>
      </c>
      <c r="H1740" t="s">
        <v>667</v>
      </c>
      <c r="I1740" t="s">
        <v>618</v>
      </c>
      <c r="J1740">
        <v>44</v>
      </c>
      <c r="K1740">
        <f>44-808-101-7269</f>
        <v>-8134</v>
      </c>
      <c r="L1740" t="s">
        <v>5340</v>
      </c>
      <c r="M1740" t="s">
        <v>5341</v>
      </c>
      <c r="N1740" t="s">
        <v>1645</v>
      </c>
      <c r="O1740" t="s">
        <v>28</v>
      </c>
      <c r="P1740" t="s">
        <v>29</v>
      </c>
      <c r="Q1740">
        <v>38</v>
      </c>
      <c r="R1740">
        <v>-99.999999000000003</v>
      </c>
    </row>
    <row r="1741" spans="1:18" x14ac:dyDescent="0.2">
      <c r="A1741" t="s">
        <v>663</v>
      </c>
      <c r="B1741" t="s">
        <v>4281</v>
      </c>
      <c r="C1741">
        <v>41</v>
      </c>
      <c r="D1741" s="1">
        <v>43992.64565972222</v>
      </c>
      <c r="E1741" t="s">
        <v>5342</v>
      </c>
      <c r="F1741" t="s">
        <v>2495</v>
      </c>
      <c r="G1741" t="s">
        <v>5342</v>
      </c>
      <c r="H1741" t="s">
        <v>667</v>
      </c>
      <c r="I1741" t="s">
        <v>204</v>
      </c>
      <c r="J1741">
        <v>41</v>
      </c>
      <c r="K1741">
        <f>41-44-586-3735</f>
        <v>-4324</v>
      </c>
      <c r="L1741" t="s">
        <v>5343</v>
      </c>
      <c r="M1741" t="s">
        <v>5344</v>
      </c>
      <c r="N1741">
        <v>10</v>
      </c>
      <c r="O1741" t="s">
        <v>134</v>
      </c>
      <c r="P1741" t="s">
        <v>24</v>
      </c>
      <c r="Q1741">
        <v>50</v>
      </c>
      <c r="R1741">
        <v>8.6843000000000004</v>
      </c>
    </row>
    <row r="1742" spans="1:18" x14ac:dyDescent="0.2">
      <c r="A1742" t="s">
        <v>675</v>
      </c>
      <c r="B1742" t="s">
        <v>676</v>
      </c>
      <c r="C1742">
        <v>1</v>
      </c>
      <c r="D1742" s="1">
        <v>43992.697974537034</v>
      </c>
      <c r="E1742" t="s">
        <v>5345</v>
      </c>
      <c r="F1742" t="s">
        <v>2987</v>
      </c>
      <c r="G1742" t="s">
        <v>5346</v>
      </c>
      <c r="H1742" t="s">
        <v>680</v>
      </c>
      <c r="I1742" t="s">
        <v>29</v>
      </c>
      <c r="J1742">
        <v>1</v>
      </c>
      <c r="K1742">
        <f>1-800-232-2768</f>
        <v>-3799</v>
      </c>
      <c r="L1742" t="s">
        <v>5347</v>
      </c>
      <c r="M1742" t="s">
        <v>5348</v>
      </c>
      <c r="N1742" t="s">
        <v>683</v>
      </c>
      <c r="O1742" t="s">
        <v>28</v>
      </c>
      <c r="P1742" t="s">
        <v>29</v>
      </c>
      <c r="Q1742">
        <v>33</v>
      </c>
      <c r="R1742">
        <v>-99.999999000000003</v>
      </c>
    </row>
    <row r="1743" spans="1:18" x14ac:dyDescent="0.2">
      <c r="A1743" t="s">
        <v>5349</v>
      </c>
      <c r="B1743" t="s">
        <v>440</v>
      </c>
      <c r="C1743">
        <v>1</v>
      </c>
      <c r="D1743" s="1">
        <v>43992.695243055554</v>
      </c>
      <c r="E1743" t="s">
        <v>5350</v>
      </c>
      <c r="F1743" t="s">
        <v>2236</v>
      </c>
      <c r="G1743" t="s">
        <v>5351</v>
      </c>
      <c r="H1743" t="s">
        <v>2237</v>
      </c>
      <c r="I1743" t="s">
        <v>29</v>
      </c>
      <c r="J1743">
        <v>1</v>
      </c>
      <c r="K1743">
        <f>1-888-888-8888</f>
        <v>-10663</v>
      </c>
      <c r="L1743" t="s">
        <v>5352</v>
      </c>
      <c r="M1743" t="s">
        <v>5353</v>
      </c>
      <c r="N1743" t="s">
        <v>5354</v>
      </c>
      <c r="O1743" t="s">
        <v>134</v>
      </c>
      <c r="P1743" t="s">
        <v>29</v>
      </c>
      <c r="Q1743">
        <v>39</v>
      </c>
      <c r="R1743">
        <v>-77.487399999999994</v>
      </c>
    </row>
    <row r="1744" spans="1:18" x14ac:dyDescent="0.2">
      <c r="A1744" t="s">
        <v>663</v>
      </c>
      <c r="B1744" t="s">
        <v>2500</v>
      </c>
      <c r="C1744">
        <v>81</v>
      </c>
      <c r="D1744" s="1">
        <v>43998.472071759257</v>
      </c>
      <c r="E1744" t="s">
        <v>5355</v>
      </c>
      <c r="F1744" t="s">
        <v>666</v>
      </c>
      <c r="G1744" t="s">
        <v>5355</v>
      </c>
      <c r="H1744" t="s">
        <v>667</v>
      </c>
      <c r="I1744" t="s">
        <v>53</v>
      </c>
      <c r="J1744">
        <v>81</v>
      </c>
      <c r="K1744">
        <f>81-50-5539-5007</f>
        <v>-10515</v>
      </c>
      <c r="L1744" t="s">
        <v>5356</v>
      </c>
      <c r="M1744" t="s">
        <v>5357</v>
      </c>
      <c r="N1744">
        <v>60</v>
      </c>
      <c r="O1744" t="s">
        <v>134</v>
      </c>
      <c r="P1744" t="s">
        <v>2500</v>
      </c>
      <c r="Q1744">
        <v>1</v>
      </c>
      <c r="R1744">
        <v>99.999999000000003</v>
      </c>
    </row>
    <row r="1745" spans="1:18" x14ac:dyDescent="0.2">
      <c r="A1745" t="s">
        <v>663</v>
      </c>
      <c r="B1745" t="s">
        <v>3245</v>
      </c>
      <c r="C1745">
        <v>1</v>
      </c>
      <c r="D1745" s="1">
        <v>43992.781539351854</v>
      </c>
      <c r="E1745" t="s">
        <v>5358</v>
      </c>
      <c r="F1745" t="s">
        <v>666</v>
      </c>
      <c r="G1745" t="s">
        <v>5359</v>
      </c>
      <c r="H1745" t="s">
        <v>667</v>
      </c>
      <c r="I1745" t="s">
        <v>29</v>
      </c>
      <c r="J1745">
        <v>1</v>
      </c>
      <c r="K1745">
        <f>1-855-938-2803</f>
        <v>-4595</v>
      </c>
      <c r="L1745" t="s">
        <v>5360</v>
      </c>
      <c r="M1745" t="s">
        <v>5361</v>
      </c>
      <c r="N1745" t="s">
        <v>1645</v>
      </c>
      <c r="O1745" t="s">
        <v>28</v>
      </c>
      <c r="P1745" t="s">
        <v>29</v>
      </c>
      <c r="Q1745">
        <v>41</v>
      </c>
      <c r="R1745">
        <v>-74.140299999999996</v>
      </c>
    </row>
    <row r="1746" spans="1:18" x14ac:dyDescent="0.2">
      <c r="A1746" t="s">
        <v>2349</v>
      </c>
      <c r="B1746" t="s">
        <v>4321</v>
      </c>
      <c r="C1746">
        <v>1</v>
      </c>
      <c r="D1746" s="1">
        <v>43992.789421296293</v>
      </c>
      <c r="E1746" t="s">
        <v>5362</v>
      </c>
      <c r="F1746" t="s">
        <v>4584</v>
      </c>
      <c r="G1746" t="s">
        <v>5362</v>
      </c>
      <c r="H1746" t="s">
        <v>2353</v>
      </c>
      <c r="I1746" t="s">
        <v>29</v>
      </c>
      <c r="J1746">
        <v>1</v>
      </c>
      <c r="K1746">
        <f>1-888-844-9826</f>
        <v>-11557</v>
      </c>
      <c r="L1746" t="s">
        <v>5363</v>
      </c>
      <c r="M1746" t="s">
        <v>5364</v>
      </c>
      <c r="N1746">
        <v>43</v>
      </c>
      <c r="O1746" t="s">
        <v>134</v>
      </c>
      <c r="P1746" t="s">
        <v>29</v>
      </c>
      <c r="Q1746">
        <v>42</v>
      </c>
      <c r="R1746">
        <v>-87.629800000000003</v>
      </c>
    </row>
    <row r="1747" spans="1:18" x14ac:dyDescent="0.2">
      <c r="A1747" t="s">
        <v>5365</v>
      </c>
      <c r="B1747" t="s">
        <v>5366</v>
      </c>
      <c r="C1747">
        <v>1</v>
      </c>
      <c r="D1747" s="1">
        <v>43992.815069444441</v>
      </c>
      <c r="E1747" t="s">
        <v>5367</v>
      </c>
      <c r="F1747" t="s">
        <v>5368</v>
      </c>
      <c r="G1747" t="s">
        <v>5369</v>
      </c>
      <c r="H1747" t="s">
        <v>5370</v>
      </c>
      <c r="I1747" t="s">
        <v>29</v>
      </c>
      <c r="J1747">
        <v>1</v>
      </c>
      <c r="K1747">
        <f>1-888-276-9754</f>
        <v>-10917</v>
      </c>
      <c r="L1747" t="s">
        <v>5371</v>
      </c>
      <c r="M1747" t="s">
        <v>5372</v>
      </c>
      <c r="N1747" t="s">
        <v>452</v>
      </c>
      <c r="O1747" t="s">
        <v>28</v>
      </c>
      <c r="P1747" t="s">
        <v>29</v>
      </c>
      <c r="Q1747">
        <v>42</v>
      </c>
      <c r="R1747">
        <v>-83.681399999999996</v>
      </c>
    </row>
    <row r="1748" spans="1:18" x14ac:dyDescent="0.2">
      <c r="A1748" t="s">
        <v>270</v>
      </c>
      <c r="B1748" t="s">
        <v>440</v>
      </c>
      <c r="C1748">
        <v>1</v>
      </c>
      <c r="D1748" s="1">
        <v>44096.366932870369</v>
      </c>
      <c r="E1748" t="s">
        <v>5373</v>
      </c>
      <c r="F1748" t="s">
        <v>273</v>
      </c>
      <c r="G1748" t="s">
        <v>5374</v>
      </c>
      <c r="H1748" t="s">
        <v>275</v>
      </c>
      <c r="I1748" t="s">
        <v>29</v>
      </c>
      <c r="J1748">
        <v>1</v>
      </c>
      <c r="K1748">
        <f>1-844-309-2423</f>
        <v>-3575</v>
      </c>
      <c r="L1748" t="s">
        <v>5375</v>
      </c>
      <c r="M1748" t="s">
        <v>5376</v>
      </c>
      <c r="N1748" t="s">
        <v>278</v>
      </c>
      <c r="O1748" t="s">
        <v>28</v>
      </c>
      <c r="P1748" t="s">
        <v>29</v>
      </c>
      <c r="Q1748">
        <v>39</v>
      </c>
      <c r="R1748">
        <v>-77.487399999999994</v>
      </c>
    </row>
    <row r="1749" spans="1:18" x14ac:dyDescent="0.2">
      <c r="A1749" t="s">
        <v>270</v>
      </c>
      <c r="B1749" t="s">
        <v>440</v>
      </c>
      <c r="C1749">
        <v>1</v>
      </c>
      <c r="D1749" s="1">
        <v>44096.366273148145</v>
      </c>
      <c r="E1749" t="s">
        <v>5377</v>
      </c>
      <c r="F1749" t="s">
        <v>273</v>
      </c>
      <c r="G1749" t="s">
        <v>5374</v>
      </c>
      <c r="H1749" t="s">
        <v>275</v>
      </c>
      <c r="I1749" t="s">
        <v>29</v>
      </c>
      <c r="J1749">
        <v>1</v>
      </c>
      <c r="K1749">
        <f>1-844-318-5957</f>
        <v>-7118</v>
      </c>
      <c r="L1749" t="s">
        <v>5378</v>
      </c>
      <c r="M1749" t="s">
        <v>5379</v>
      </c>
      <c r="N1749" t="s">
        <v>278</v>
      </c>
      <c r="O1749" t="s">
        <v>28</v>
      </c>
      <c r="P1749" t="s">
        <v>29</v>
      </c>
      <c r="Q1749">
        <v>39</v>
      </c>
      <c r="R1749">
        <v>-77.487399999999994</v>
      </c>
    </row>
    <row r="1750" spans="1:18" x14ac:dyDescent="0.2">
      <c r="A1750" t="s">
        <v>270</v>
      </c>
      <c r="B1750" t="s">
        <v>440</v>
      </c>
      <c r="C1750">
        <v>1</v>
      </c>
      <c r="D1750" s="1">
        <v>44089.75273148148</v>
      </c>
      <c r="E1750" t="s">
        <v>5380</v>
      </c>
      <c r="F1750" t="s">
        <v>273</v>
      </c>
      <c r="G1750" t="s">
        <v>5374</v>
      </c>
      <c r="H1750" t="s">
        <v>275</v>
      </c>
      <c r="I1750" t="s">
        <v>29</v>
      </c>
      <c r="J1750">
        <v>1</v>
      </c>
      <c r="K1750">
        <f>1-844-218-3888</f>
        <v>-4949</v>
      </c>
      <c r="L1750" t="s">
        <v>5381</v>
      </c>
      <c r="M1750" t="s">
        <v>5382</v>
      </c>
      <c r="N1750" t="s">
        <v>278</v>
      </c>
      <c r="O1750" t="s">
        <v>28</v>
      </c>
      <c r="P1750" t="s">
        <v>29</v>
      </c>
      <c r="Q1750">
        <v>39</v>
      </c>
      <c r="R1750">
        <v>-77.487399999999994</v>
      </c>
    </row>
    <row r="1751" spans="1:18" x14ac:dyDescent="0.2">
      <c r="A1751" t="s">
        <v>270</v>
      </c>
      <c r="B1751" t="s">
        <v>440</v>
      </c>
      <c r="C1751">
        <v>1</v>
      </c>
      <c r="D1751" s="1">
        <v>44088.940891203703</v>
      </c>
      <c r="E1751" t="s">
        <v>5383</v>
      </c>
      <c r="F1751" t="s">
        <v>273</v>
      </c>
      <c r="G1751" t="s">
        <v>5374</v>
      </c>
      <c r="H1751" t="s">
        <v>275</v>
      </c>
      <c r="I1751" t="s">
        <v>29</v>
      </c>
      <c r="J1751">
        <v>1</v>
      </c>
      <c r="K1751">
        <f>1-844-210-4337</f>
        <v>-5390</v>
      </c>
      <c r="L1751" t="s">
        <v>5384</v>
      </c>
      <c r="M1751" t="s">
        <v>5385</v>
      </c>
      <c r="N1751" t="s">
        <v>278</v>
      </c>
      <c r="O1751" t="s">
        <v>28</v>
      </c>
      <c r="P1751" t="s">
        <v>29</v>
      </c>
      <c r="Q1751">
        <v>39</v>
      </c>
      <c r="R1751">
        <v>-77.487399999999994</v>
      </c>
    </row>
    <row r="1752" spans="1:18" x14ac:dyDescent="0.2">
      <c r="A1752" t="s">
        <v>270</v>
      </c>
      <c r="B1752" t="s">
        <v>440</v>
      </c>
      <c r="C1752">
        <v>1</v>
      </c>
      <c r="D1752" s="1">
        <v>44078.852141203701</v>
      </c>
      <c r="E1752" t="s">
        <v>5386</v>
      </c>
      <c r="F1752" t="s">
        <v>273</v>
      </c>
      <c r="G1752" t="s">
        <v>5374</v>
      </c>
      <c r="H1752" t="s">
        <v>275</v>
      </c>
      <c r="I1752" t="s">
        <v>29</v>
      </c>
      <c r="J1752">
        <v>1</v>
      </c>
      <c r="K1752">
        <f>1-866-754-7703</f>
        <v>-9322</v>
      </c>
      <c r="L1752" t="s">
        <v>5387</v>
      </c>
      <c r="M1752" t="s">
        <v>5388</v>
      </c>
      <c r="N1752" t="s">
        <v>278</v>
      </c>
      <c r="O1752" t="s">
        <v>134</v>
      </c>
      <c r="P1752" t="s">
        <v>29</v>
      </c>
      <c r="Q1752">
        <v>39</v>
      </c>
      <c r="R1752">
        <v>-77.487399999999994</v>
      </c>
    </row>
    <row r="1753" spans="1:18" x14ac:dyDescent="0.2">
      <c r="A1753" t="s">
        <v>270</v>
      </c>
      <c r="B1753" t="s">
        <v>440</v>
      </c>
      <c r="C1753">
        <v>1</v>
      </c>
      <c r="D1753" s="1">
        <v>44078.851504629631</v>
      </c>
      <c r="E1753" t="s">
        <v>5389</v>
      </c>
      <c r="F1753" t="s">
        <v>273</v>
      </c>
      <c r="G1753" t="s">
        <v>5374</v>
      </c>
      <c r="H1753" t="s">
        <v>275</v>
      </c>
      <c r="I1753" t="s">
        <v>29</v>
      </c>
      <c r="J1753">
        <v>1</v>
      </c>
      <c r="K1753">
        <f>1-866-754-7703</f>
        <v>-9322</v>
      </c>
      <c r="L1753" t="s">
        <v>5390</v>
      </c>
      <c r="M1753" t="s">
        <v>5391</v>
      </c>
      <c r="N1753" t="s">
        <v>278</v>
      </c>
      <c r="O1753" t="s">
        <v>134</v>
      </c>
      <c r="P1753" t="s">
        <v>29</v>
      </c>
      <c r="Q1753">
        <v>39</v>
      </c>
      <c r="R1753">
        <v>-77.487399999999994</v>
      </c>
    </row>
    <row r="1754" spans="1:18" x14ac:dyDescent="0.2">
      <c r="A1754" t="s">
        <v>270</v>
      </c>
      <c r="B1754" t="s">
        <v>440</v>
      </c>
      <c r="C1754">
        <v>1</v>
      </c>
      <c r="D1754" s="1">
        <v>44078.84851851852</v>
      </c>
      <c r="E1754" t="s">
        <v>5392</v>
      </c>
      <c r="F1754" t="s">
        <v>273</v>
      </c>
      <c r="G1754" t="s">
        <v>5374</v>
      </c>
      <c r="H1754" t="s">
        <v>275</v>
      </c>
      <c r="I1754" t="s">
        <v>29</v>
      </c>
      <c r="J1754">
        <v>1</v>
      </c>
      <c r="K1754">
        <f>1-866-512-2889</f>
        <v>-4266</v>
      </c>
      <c r="L1754" t="s">
        <v>5393</v>
      </c>
      <c r="M1754" t="s">
        <v>5394</v>
      </c>
      <c r="N1754" t="s">
        <v>278</v>
      </c>
      <c r="O1754" t="s">
        <v>134</v>
      </c>
      <c r="P1754" t="s">
        <v>29</v>
      </c>
      <c r="Q1754">
        <v>39</v>
      </c>
      <c r="R1754">
        <v>-77.487399999999994</v>
      </c>
    </row>
    <row r="1755" spans="1:18" x14ac:dyDescent="0.2">
      <c r="A1755" t="s">
        <v>270</v>
      </c>
      <c r="B1755" t="s">
        <v>440</v>
      </c>
      <c r="C1755">
        <v>1</v>
      </c>
      <c r="D1755" s="1">
        <v>44074.929907407408</v>
      </c>
      <c r="E1755" t="s">
        <v>5395</v>
      </c>
      <c r="F1755" t="s">
        <v>273</v>
      </c>
      <c r="G1755" t="s">
        <v>5374</v>
      </c>
      <c r="H1755" t="s">
        <v>275</v>
      </c>
      <c r="I1755" t="s">
        <v>29</v>
      </c>
      <c r="J1755">
        <v>1</v>
      </c>
      <c r="K1755">
        <f>1-888-654-8048</f>
        <v>-9589</v>
      </c>
      <c r="L1755" t="s">
        <v>5396</v>
      </c>
      <c r="M1755" t="s">
        <v>5397</v>
      </c>
      <c r="N1755" t="s">
        <v>278</v>
      </c>
      <c r="O1755" t="s">
        <v>28</v>
      </c>
      <c r="P1755" t="s">
        <v>29</v>
      </c>
      <c r="Q1755">
        <v>39</v>
      </c>
      <c r="R1755">
        <v>-77.487399999999994</v>
      </c>
    </row>
    <row r="1756" spans="1:18" x14ac:dyDescent="0.2">
      <c r="A1756" t="s">
        <v>270</v>
      </c>
      <c r="B1756" t="s">
        <v>440</v>
      </c>
      <c r="C1756">
        <v>1</v>
      </c>
      <c r="D1756" s="1">
        <v>44074.928553240738</v>
      </c>
      <c r="E1756" t="s">
        <v>5398</v>
      </c>
      <c r="F1756" t="s">
        <v>273</v>
      </c>
      <c r="G1756" t="s">
        <v>5374</v>
      </c>
      <c r="H1756" t="s">
        <v>275</v>
      </c>
      <c r="I1756" t="s">
        <v>29</v>
      </c>
      <c r="J1756">
        <v>1</v>
      </c>
      <c r="K1756">
        <f>1-888-590-4165</f>
        <v>-5642</v>
      </c>
      <c r="L1756" t="s">
        <v>5399</v>
      </c>
      <c r="M1756" t="s">
        <v>5400</v>
      </c>
      <c r="N1756" t="s">
        <v>278</v>
      </c>
      <c r="O1756" t="s">
        <v>28</v>
      </c>
      <c r="P1756" t="s">
        <v>29</v>
      </c>
      <c r="Q1756">
        <v>39</v>
      </c>
      <c r="R1756">
        <v>-77.487399999999994</v>
      </c>
    </row>
    <row r="1757" spans="1:18" x14ac:dyDescent="0.2">
      <c r="A1757" t="s">
        <v>270</v>
      </c>
      <c r="B1757" t="s">
        <v>440</v>
      </c>
      <c r="C1757">
        <v>1</v>
      </c>
      <c r="D1757" s="1">
        <v>44073.944293981483</v>
      </c>
      <c r="E1757" t="s">
        <v>5401</v>
      </c>
      <c r="F1757" t="s">
        <v>273</v>
      </c>
      <c r="G1757" t="s">
        <v>5374</v>
      </c>
      <c r="H1757" t="s">
        <v>275</v>
      </c>
      <c r="I1757" t="s">
        <v>29</v>
      </c>
      <c r="J1757">
        <v>1</v>
      </c>
      <c r="K1757">
        <f>1-888-417-4066</f>
        <v>-5370</v>
      </c>
      <c r="L1757" t="s">
        <v>5402</v>
      </c>
      <c r="M1757" t="s">
        <v>5403</v>
      </c>
      <c r="N1757" t="s">
        <v>278</v>
      </c>
      <c r="O1757" t="s">
        <v>134</v>
      </c>
      <c r="P1757" t="s">
        <v>29</v>
      </c>
      <c r="Q1757">
        <v>39</v>
      </c>
      <c r="R1757">
        <v>-77.487399999999994</v>
      </c>
    </row>
    <row r="1758" spans="1:18" x14ac:dyDescent="0.2">
      <c r="A1758" t="s">
        <v>270</v>
      </c>
      <c r="B1758" t="s">
        <v>440</v>
      </c>
      <c r="C1758">
        <v>1</v>
      </c>
      <c r="D1758" s="1">
        <v>44073.942002314812</v>
      </c>
      <c r="E1758" t="s">
        <v>5404</v>
      </c>
      <c r="F1758" t="s">
        <v>273</v>
      </c>
      <c r="G1758" t="s">
        <v>5374</v>
      </c>
      <c r="H1758" t="s">
        <v>275</v>
      </c>
      <c r="I1758" t="s">
        <v>29</v>
      </c>
      <c r="J1758">
        <v>1</v>
      </c>
      <c r="K1758">
        <f>1-888-690-903</f>
        <v>-2480</v>
      </c>
      <c r="L1758" t="s">
        <v>5405</v>
      </c>
      <c r="M1758" t="s">
        <v>5406</v>
      </c>
      <c r="N1758" t="s">
        <v>278</v>
      </c>
      <c r="O1758" t="s">
        <v>134</v>
      </c>
      <c r="P1758" t="s">
        <v>29</v>
      </c>
      <c r="Q1758">
        <v>39</v>
      </c>
      <c r="R1758">
        <v>-77.487399999999994</v>
      </c>
    </row>
    <row r="1759" spans="1:18" x14ac:dyDescent="0.2">
      <c r="A1759" t="s">
        <v>270</v>
      </c>
      <c r="B1759" t="s">
        <v>440</v>
      </c>
      <c r="C1759">
        <v>1</v>
      </c>
      <c r="D1759" s="1">
        <v>44073.927789351852</v>
      </c>
      <c r="E1759" t="s">
        <v>5407</v>
      </c>
      <c r="F1759" t="s">
        <v>273</v>
      </c>
      <c r="G1759" t="s">
        <v>5374</v>
      </c>
      <c r="H1759" t="s">
        <v>275</v>
      </c>
      <c r="I1759" t="s">
        <v>29</v>
      </c>
      <c r="J1759">
        <v>1</v>
      </c>
      <c r="K1759">
        <f>1-888-527-4189</f>
        <v>-5603</v>
      </c>
      <c r="L1759" t="s">
        <v>5408</v>
      </c>
      <c r="M1759" t="s">
        <v>5409</v>
      </c>
      <c r="N1759" t="s">
        <v>278</v>
      </c>
      <c r="O1759" t="s">
        <v>134</v>
      </c>
      <c r="P1759" t="s">
        <v>29</v>
      </c>
      <c r="Q1759">
        <v>39</v>
      </c>
      <c r="R1759">
        <v>-77.487399999999994</v>
      </c>
    </row>
    <row r="1760" spans="1:18" x14ac:dyDescent="0.2">
      <c r="A1760" t="s">
        <v>270</v>
      </c>
      <c r="B1760" t="s">
        <v>440</v>
      </c>
      <c r="C1760">
        <v>1</v>
      </c>
      <c r="D1760" s="1">
        <v>44073.926655092589</v>
      </c>
      <c r="E1760" t="s">
        <v>5410</v>
      </c>
      <c r="F1760" t="s">
        <v>273</v>
      </c>
      <c r="G1760" t="s">
        <v>5374</v>
      </c>
      <c r="H1760" t="s">
        <v>275</v>
      </c>
      <c r="I1760" t="s">
        <v>29</v>
      </c>
      <c r="J1760">
        <v>1</v>
      </c>
      <c r="K1760">
        <f>1-888-526-3661</f>
        <v>-5074</v>
      </c>
      <c r="L1760" t="s">
        <v>5411</v>
      </c>
      <c r="M1760" t="s">
        <v>5412</v>
      </c>
      <c r="N1760" t="s">
        <v>278</v>
      </c>
      <c r="O1760" t="s">
        <v>134</v>
      </c>
      <c r="P1760" t="s">
        <v>29</v>
      </c>
      <c r="Q1760">
        <v>39</v>
      </c>
      <c r="R1760">
        <v>-77.487399999999994</v>
      </c>
    </row>
    <row r="1761" spans="1:18" x14ac:dyDescent="0.2">
      <c r="A1761" t="s">
        <v>270</v>
      </c>
      <c r="B1761" t="s">
        <v>440</v>
      </c>
      <c r="C1761">
        <v>1</v>
      </c>
      <c r="D1761" s="1">
        <v>44073.026782407411</v>
      </c>
      <c r="E1761" t="s">
        <v>5413</v>
      </c>
      <c r="F1761" t="s">
        <v>273</v>
      </c>
      <c r="G1761" t="s">
        <v>5374</v>
      </c>
      <c r="H1761" t="s">
        <v>275</v>
      </c>
      <c r="I1761" t="s">
        <v>29</v>
      </c>
      <c r="J1761">
        <v>1</v>
      </c>
      <c r="K1761">
        <f>1-888-909-1336</f>
        <v>-3132</v>
      </c>
      <c r="L1761" t="s">
        <v>5414</v>
      </c>
      <c r="M1761" t="s">
        <v>5415</v>
      </c>
      <c r="N1761" t="s">
        <v>278</v>
      </c>
      <c r="O1761" t="s">
        <v>134</v>
      </c>
      <c r="P1761" t="s">
        <v>29</v>
      </c>
      <c r="Q1761">
        <v>39</v>
      </c>
      <c r="R1761">
        <v>-77.487399999999994</v>
      </c>
    </row>
    <row r="1762" spans="1:18" x14ac:dyDescent="0.2">
      <c r="A1762" t="s">
        <v>270</v>
      </c>
      <c r="B1762" t="s">
        <v>440</v>
      </c>
      <c r="C1762">
        <v>1</v>
      </c>
      <c r="D1762" s="1">
        <v>44072.868402777778</v>
      </c>
      <c r="E1762" t="s">
        <v>5416</v>
      </c>
      <c r="F1762" t="s">
        <v>273</v>
      </c>
      <c r="G1762" t="s">
        <v>5374</v>
      </c>
      <c r="H1762" t="s">
        <v>275</v>
      </c>
      <c r="I1762" t="s">
        <v>29</v>
      </c>
      <c r="J1762">
        <v>1</v>
      </c>
      <c r="K1762">
        <f>1-888-609-3819</f>
        <v>-5315</v>
      </c>
      <c r="L1762" t="s">
        <v>5417</v>
      </c>
      <c r="M1762" t="s">
        <v>5418</v>
      </c>
      <c r="N1762" t="s">
        <v>278</v>
      </c>
      <c r="O1762" t="s">
        <v>134</v>
      </c>
      <c r="P1762" t="s">
        <v>29</v>
      </c>
      <c r="Q1762">
        <v>39</v>
      </c>
      <c r="R1762">
        <v>-77.487399999999994</v>
      </c>
    </row>
    <row r="1763" spans="1:18" x14ac:dyDescent="0.2">
      <c r="A1763" t="s">
        <v>270</v>
      </c>
      <c r="B1763" t="s">
        <v>440</v>
      </c>
      <c r="C1763">
        <v>1</v>
      </c>
      <c r="D1763" s="1">
        <v>44072.867673611108</v>
      </c>
      <c r="E1763" t="s">
        <v>5419</v>
      </c>
      <c r="F1763" t="s">
        <v>273</v>
      </c>
      <c r="G1763" t="s">
        <v>5374</v>
      </c>
      <c r="H1763" t="s">
        <v>275</v>
      </c>
      <c r="I1763" t="s">
        <v>29</v>
      </c>
      <c r="J1763">
        <v>1</v>
      </c>
      <c r="K1763">
        <f>1-888-594-3468</f>
        <v>-4949</v>
      </c>
      <c r="L1763" t="s">
        <v>5420</v>
      </c>
      <c r="M1763" t="s">
        <v>5421</v>
      </c>
      <c r="N1763" t="s">
        <v>278</v>
      </c>
      <c r="O1763" t="s">
        <v>134</v>
      </c>
      <c r="P1763" t="s">
        <v>29</v>
      </c>
      <c r="Q1763">
        <v>39</v>
      </c>
      <c r="R1763">
        <v>-77.487399999999994</v>
      </c>
    </row>
    <row r="1764" spans="1:18" x14ac:dyDescent="0.2">
      <c r="A1764" t="s">
        <v>270</v>
      </c>
      <c r="B1764" t="s">
        <v>440</v>
      </c>
      <c r="C1764">
        <v>1</v>
      </c>
      <c r="D1764" s="1">
        <v>44072.866886574076</v>
      </c>
      <c r="E1764" t="s">
        <v>5422</v>
      </c>
      <c r="F1764" t="s">
        <v>273</v>
      </c>
      <c r="G1764" t="s">
        <v>5374</v>
      </c>
      <c r="H1764" t="s">
        <v>275</v>
      </c>
      <c r="I1764" t="s">
        <v>29</v>
      </c>
      <c r="J1764">
        <v>1</v>
      </c>
      <c r="K1764">
        <f>1-888-604-806</f>
        <v>-2297</v>
      </c>
      <c r="L1764" t="s">
        <v>5423</v>
      </c>
      <c r="M1764" t="s">
        <v>5424</v>
      </c>
      <c r="N1764" t="s">
        <v>278</v>
      </c>
      <c r="O1764" t="s">
        <v>134</v>
      </c>
      <c r="P1764" t="s">
        <v>29</v>
      </c>
      <c r="Q1764">
        <v>39</v>
      </c>
      <c r="R1764">
        <v>-77.487399999999994</v>
      </c>
    </row>
    <row r="1765" spans="1:18" x14ac:dyDescent="0.2">
      <c r="A1765" t="s">
        <v>270</v>
      </c>
      <c r="B1765" t="s">
        <v>440</v>
      </c>
      <c r="C1765">
        <v>1</v>
      </c>
      <c r="D1765" s="1">
        <v>44072.866249999999</v>
      </c>
      <c r="E1765" t="s">
        <v>5425</v>
      </c>
      <c r="F1765" t="s">
        <v>273</v>
      </c>
      <c r="G1765" t="s">
        <v>5374</v>
      </c>
      <c r="H1765" t="s">
        <v>275</v>
      </c>
      <c r="I1765" t="s">
        <v>29</v>
      </c>
      <c r="J1765">
        <v>1</v>
      </c>
      <c r="K1765">
        <f>1-888-604-806</f>
        <v>-2297</v>
      </c>
      <c r="L1765" t="s">
        <v>5426</v>
      </c>
      <c r="M1765" t="s">
        <v>5427</v>
      </c>
      <c r="N1765" t="s">
        <v>278</v>
      </c>
      <c r="O1765" t="s">
        <v>134</v>
      </c>
      <c r="P1765" t="s">
        <v>29</v>
      </c>
      <c r="Q1765">
        <v>39</v>
      </c>
      <c r="R1765">
        <v>-77.487399999999994</v>
      </c>
    </row>
    <row r="1766" spans="1:18" x14ac:dyDescent="0.2">
      <c r="A1766" t="s">
        <v>270</v>
      </c>
      <c r="B1766" t="s">
        <v>440</v>
      </c>
      <c r="C1766">
        <v>1</v>
      </c>
      <c r="D1766" s="1">
        <v>44072.864988425928</v>
      </c>
      <c r="E1766" t="s">
        <v>5428</v>
      </c>
      <c r="F1766" t="s">
        <v>273</v>
      </c>
      <c r="G1766" t="s">
        <v>5374</v>
      </c>
      <c r="H1766" t="s">
        <v>275</v>
      </c>
      <c r="I1766" t="s">
        <v>29</v>
      </c>
      <c r="J1766">
        <v>1</v>
      </c>
      <c r="K1766">
        <f>1-888-650-4670</f>
        <v>-6207</v>
      </c>
      <c r="L1766" t="s">
        <v>5429</v>
      </c>
      <c r="M1766" t="s">
        <v>5430</v>
      </c>
      <c r="N1766" t="s">
        <v>278</v>
      </c>
      <c r="O1766" t="s">
        <v>134</v>
      </c>
      <c r="P1766" t="s">
        <v>29</v>
      </c>
      <c r="Q1766">
        <v>39</v>
      </c>
      <c r="R1766">
        <v>-77.487399999999994</v>
      </c>
    </row>
    <row r="1767" spans="1:18" x14ac:dyDescent="0.2">
      <c r="A1767" t="s">
        <v>270</v>
      </c>
      <c r="B1767" t="s">
        <v>440</v>
      </c>
      <c r="C1767">
        <v>1</v>
      </c>
      <c r="D1767" s="1">
        <v>44072.863749999997</v>
      </c>
      <c r="E1767" t="s">
        <v>5431</v>
      </c>
      <c r="F1767" t="s">
        <v>273</v>
      </c>
      <c r="G1767" t="s">
        <v>5374</v>
      </c>
      <c r="H1767" t="s">
        <v>275</v>
      </c>
      <c r="I1767" t="s">
        <v>29</v>
      </c>
      <c r="J1767">
        <v>1</v>
      </c>
      <c r="K1767">
        <f>1-888-658-5805</f>
        <v>-7350</v>
      </c>
      <c r="L1767" t="s">
        <v>5432</v>
      </c>
      <c r="M1767" t="s">
        <v>5433</v>
      </c>
      <c r="N1767" t="s">
        <v>278</v>
      </c>
      <c r="O1767" t="s">
        <v>134</v>
      </c>
      <c r="P1767" t="s">
        <v>29</v>
      </c>
      <c r="Q1767">
        <v>39</v>
      </c>
      <c r="R1767">
        <v>-77.487399999999994</v>
      </c>
    </row>
    <row r="1768" spans="1:18" x14ac:dyDescent="0.2">
      <c r="A1768" t="s">
        <v>270</v>
      </c>
      <c r="B1768" t="s">
        <v>440</v>
      </c>
      <c r="C1768">
        <v>1</v>
      </c>
      <c r="D1768" s="1">
        <v>44071.974317129629</v>
      </c>
      <c r="E1768" t="s">
        <v>5434</v>
      </c>
      <c r="F1768" t="s">
        <v>273</v>
      </c>
      <c r="G1768" t="s">
        <v>5374</v>
      </c>
      <c r="H1768" t="s">
        <v>275</v>
      </c>
      <c r="I1768" t="s">
        <v>29</v>
      </c>
      <c r="J1768">
        <v>1</v>
      </c>
      <c r="K1768">
        <f>1-888-851-676</f>
        <v>-2414</v>
      </c>
      <c r="L1768" t="s">
        <v>5435</v>
      </c>
      <c r="M1768" t="s">
        <v>5436</v>
      </c>
      <c r="N1768" t="s">
        <v>278</v>
      </c>
      <c r="O1768" t="s">
        <v>134</v>
      </c>
      <c r="P1768" t="s">
        <v>29</v>
      </c>
      <c r="Q1768">
        <v>39</v>
      </c>
      <c r="R1768">
        <v>-77.487399999999994</v>
      </c>
    </row>
    <row r="1769" spans="1:18" x14ac:dyDescent="0.2">
      <c r="A1769" t="s">
        <v>270</v>
      </c>
      <c r="B1769" t="s">
        <v>440</v>
      </c>
      <c r="C1769">
        <v>1</v>
      </c>
      <c r="D1769" s="1">
        <v>44071.968587962961</v>
      </c>
      <c r="E1769" t="s">
        <v>5437</v>
      </c>
      <c r="F1769" t="s">
        <v>273</v>
      </c>
      <c r="G1769" t="s">
        <v>5374</v>
      </c>
      <c r="H1769" t="s">
        <v>275</v>
      </c>
      <c r="I1769" t="s">
        <v>29</v>
      </c>
      <c r="J1769">
        <v>1</v>
      </c>
      <c r="K1769">
        <f>1-888-690-842</f>
        <v>-2419</v>
      </c>
      <c r="L1769" t="s">
        <v>5438</v>
      </c>
      <c r="M1769" t="s">
        <v>5439</v>
      </c>
      <c r="N1769" t="s">
        <v>278</v>
      </c>
      <c r="O1769" t="s">
        <v>134</v>
      </c>
      <c r="P1769" t="s">
        <v>29</v>
      </c>
      <c r="Q1769">
        <v>39</v>
      </c>
      <c r="R1769">
        <v>-77.487399999999994</v>
      </c>
    </row>
    <row r="1770" spans="1:18" x14ac:dyDescent="0.2">
      <c r="A1770" t="s">
        <v>270</v>
      </c>
      <c r="B1770" t="s">
        <v>440</v>
      </c>
      <c r="C1770">
        <v>1</v>
      </c>
      <c r="D1770" s="1">
        <v>44068.186249999999</v>
      </c>
      <c r="E1770" t="s">
        <v>5440</v>
      </c>
      <c r="F1770" t="s">
        <v>273</v>
      </c>
      <c r="G1770" t="s">
        <v>5374</v>
      </c>
      <c r="H1770" t="s">
        <v>275</v>
      </c>
      <c r="I1770" t="s">
        <v>29</v>
      </c>
      <c r="J1770">
        <v>1</v>
      </c>
      <c r="K1770">
        <f>1-888-523-5728</f>
        <v>-7138</v>
      </c>
      <c r="L1770" t="s">
        <v>5441</v>
      </c>
      <c r="M1770" t="s">
        <v>5442</v>
      </c>
      <c r="N1770" t="s">
        <v>278</v>
      </c>
      <c r="O1770" t="s">
        <v>134</v>
      </c>
      <c r="P1770" t="s">
        <v>29</v>
      </c>
      <c r="Q1770">
        <v>39</v>
      </c>
      <c r="R1770">
        <v>-77.487399999999994</v>
      </c>
    </row>
    <row r="1771" spans="1:18" x14ac:dyDescent="0.2">
      <c r="A1771" t="s">
        <v>270</v>
      </c>
      <c r="B1771" t="s">
        <v>440</v>
      </c>
      <c r="C1771">
        <v>1</v>
      </c>
      <c r="D1771" s="1">
        <v>44068.027939814812</v>
      </c>
      <c r="E1771" t="s">
        <v>5443</v>
      </c>
      <c r="F1771" t="s">
        <v>273</v>
      </c>
      <c r="G1771" t="s">
        <v>5374</v>
      </c>
      <c r="H1771" t="s">
        <v>275</v>
      </c>
      <c r="I1771" t="s">
        <v>29</v>
      </c>
      <c r="J1771">
        <v>1</v>
      </c>
      <c r="K1771">
        <f>1-888-690-840</f>
        <v>-2417</v>
      </c>
      <c r="L1771" t="s">
        <v>5444</v>
      </c>
      <c r="M1771" t="s">
        <v>5445</v>
      </c>
      <c r="N1771" t="s">
        <v>278</v>
      </c>
      <c r="O1771" t="s">
        <v>28</v>
      </c>
      <c r="P1771" t="s">
        <v>29</v>
      </c>
      <c r="Q1771">
        <v>39</v>
      </c>
      <c r="R1771">
        <v>-77.487399999999994</v>
      </c>
    </row>
    <row r="1772" spans="1:18" x14ac:dyDescent="0.2">
      <c r="A1772" t="s">
        <v>270</v>
      </c>
      <c r="B1772" t="s">
        <v>440</v>
      </c>
      <c r="C1772">
        <v>1</v>
      </c>
      <c r="D1772" s="1">
        <v>44068.01666666667</v>
      </c>
      <c r="E1772" t="s">
        <v>5446</v>
      </c>
      <c r="F1772" t="s">
        <v>273</v>
      </c>
      <c r="G1772" t="s">
        <v>5374</v>
      </c>
      <c r="H1772" t="s">
        <v>275</v>
      </c>
      <c r="I1772" t="s">
        <v>29</v>
      </c>
      <c r="J1772">
        <v>1</v>
      </c>
      <c r="K1772">
        <f>1-888-706-1246</f>
        <v>-2839</v>
      </c>
      <c r="L1772" t="s">
        <v>5447</v>
      </c>
      <c r="M1772" t="s">
        <v>5448</v>
      </c>
      <c r="N1772" t="s">
        <v>278</v>
      </c>
      <c r="O1772" t="s">
        <v>28</v>
      </c>
      <c r="P1772" t="s">
        <v>29</v>
      </c>
      <c r="Q1772">
        <v>39</v>
      </c>
      <c r="R1772">
        <v>-77.487399999999994</v>
      </c>
    </row>
    <row r="1773" spans="1:18" x14ac:dyDescent="0.2">
      <c r="A1773" t="s">
        <v>270</v>
      </c>
      <c r="B1773" t="s">
        <v>440</v>
      </c>
      <c r="C1773">
        <v>1</v>
      </c>
      <c r="D1773" s="1">
        <v>44065.892326388886</v>
      </c>
      <c r="E1773" t="s">
        <v>5449</v>
      </c>
      <c r="F1773" t="s">
        <v>273</v>
      </c>
      <c r="G1773" t="s">
        <v>5374</v>
      </c>
      <c r="H1773" t="s">
        <v>275</v>
      </c>
      <c r="I1773" t="s">
        <v>29</v>
      </c>
      <c r="J1773">
        <v>1</v>
      </c>
      <c r="K1773">
        <f>1-888-530-2072</f>
        <v>-3489</v>
      </c>
      <c r="L1773" t="s">
        <v>5450</v>
      </c>
      <c r="M1773" t="s">
        <v>5451</v>
      </c>
      <c r="N1773" t="s">
        <v>278</v>
      </c>
      <c r="O1773" t="s">
        <v>134</v>
      </c>
      <c r="P1773" t="s">
        <v>29</v>
      </c>
      <c r="Q1773">
        <v>39</v>
      </c>
      <c r="R1773">
        <v>-77.487399999999994</v>
      </c>
    </row>
    <row r="1774" spans="1:18" x14ac:dyDescent="0.2">
      <c r="A1774" t="s">
        <v>270</v>
      </c>
      <c r="B1774" t="s">
        <v>440</v>
      </c>
      <c r="C1774">
        <v>1</v>
      </c>
      <c r="D1774" s="1">
        <v>44056.185115740744</v>
      </c>
      <c r="E1774" t="s">
        <v>5452</v>
      </c>
      <c r="F1774" t="s">
        <v>273</v>
      </c>
      <c r="G1774" t="s">
        <v>5374</v>
      </c>
      <c r="H1774" t="s">
        <v>275</v>
      </c>
      <c r="I1774" t="s">
        <v>29</v>
      </c>
      <c r="J1774">
        <v>1</v>
      </c>
      <c r="K1774">
        <f>1-888-598-1347</f>
        <v>-2832</v>
      </c>
      <c r="L1774" t="s">
        <v>5453</v>
      </c>
      <c r="M1774" t="s">
        <v>5454</v>
      </c>
      <c r="N1774" t="s">
        <v>278</v>
      </c>
      <c r="O1774" t="s">
        <v>134</v>
      </c>
      <c r="P1774" t="s">
        <v>29</v>
      </c>
      <c r="Q1774">
        <v>39</v>
      </c>
      <c r="R1774">
        <v>-77.487399999999994</v>
      </c>
    </row>
    <row r="1775" spans="1:18" x14ac:dyDescent="0.2">
      <c r="A1775" t="s">
        <v>270</v>
      </c>
      <c r="B1775" t="s">
        <v>440</v>
      </c>
      <c r="C1775">
        <v>1</v>
      </c>
      <c r="D1775" s="1">
        <v>44056.184699074074</v>
      </c>
      <c r="E1775" t="s">
        <v>5455</v>
      </c>
      <c r="F1775" t="s">
        <v>273</v>
      </c>
      <c r="G1775" t="s">
        <v>5374</v>
      </c>
      <c r="H1775" t="s">
        <v>275</v>
      </c>
      <c r="I1775" t="s">
        <v>29</v>
      </c>
      <c r="J1775">
        <v>1</v>
      </c>
      <c r="K1775">
        <f>1-888-690-842</f>
        <v>-2419</v>
      </c>
      <c r="L1775" t="s">
        <v>5456</v>
      </c>
      <c r="M1775" t="s">
        <v>5457</v>
      </c>
      <c r="N1775" t="s">
        <v>278</v>
      </c>
      <c r="O1775" t="s">
        <v>134</v>
      </c>
      <c r="P1775" t="s">
        <v>29</v>
      </c>
      <c r="Q1775">
        <v>39</v>
      </c>
      <c r="R1775">
        <v>-77.487399999999994</v>
      </c>
    </row>
    <row r="1776" spans="1:18" x14ac:dyDescent="0.2">
      <c r="A1776" t="s">
        <v>270</v>
      </c>
      <c r="B1776" t="s">
        <v>440</v>
      </c>
      <c r="C1776">
        <v>1</v>
      </c>
      <c r="D1776" s="1">
        <v>44053.715717592589</v>
      </c>
      <c r="E1776" t="s">
        <v>5458</v>
      </c>
      <c r="F1776" t="s">
        <v>273</v>
      </c>
      <c r="G1776" t="s">
        <v>5374</v>
      </c>
      <c r="H1776" t="s">
        <v>275</v>
      </c>
      <c r="I1776" t="s">
        <v>29</v>
      </c>
      <c r="J1776">
        <v>1</v>
      </c>
      <c r="K1776">
        <f>1-888-527-6035</f>
        <v>-7449</v>
      </c>
      <c r="L1776" t="s">
        <v>5459</v>
      </c>
      <c r="M1776" t="s">
        <v>5460</v>
      </c>
      <c r="N1776" t="s">
        <v>278</v>
      </c>
      <c r="O1776" t="s">
        <v>134</v>
      </c>
      <c r="P1776" t="s">
        <v>29</v>
      </c>
      <c r="Q1776">
        <v>39</v>
      </c>
      <c r="R1776">
        <v>-77.487399999999994</v>
      </c>
    </row>
    <row r="1777" spans="1:18" x14ac:dyDescent="0.2">
      <c r="A1777" t="s">
        <v>270</v>
      </c>
      <c r="B1777" t="s">
        <v>440</v>
      </c>
      <c r="C1777">
        <v>1</v>
      </c>
      <c r="D1777" s="1">
        <v>43993.963773148149</v>
      </c>
      <c r="E1777" t="s">
        <v>5461</v>
      </c>
      <c r="F1777" t="s">
        <v>273</v>
      </c>
      <c r="G1777" t="s">
        <v>5374</v>
      </c>
      <c r="H1777" t="s">
        <v>275</v>
      </c>
      <c r="I1777" t="s">
        <v>29</v>
      </c>
      <c r="J1777">
        <v>1</v>
      </c>
      <c r="K1777">
        <f>1-833-558-717</f>
        <v>-2107</v>
      </c>
      <c r="L1777" t="s">
        <v>5462</v>
      </c>
      <c r="M1777" t="s">
        <v>5463</v>
      </c>
      <c r="N1777" t="s">
        <v>278</v>
      </c>
      <c r="O1777" t="s">
        <v>28</v>
      </c>
      <c r="P1777" t="s">
        <v>29</v>
      </c>
      <c r="Q1777">
        <v>39</v>
      </c>
      <c r="R1777">
        <v>-77.487399999999994</v>
      </c>
    </row>
    <row r="1778" spans="1:18" x14ac:dyDescent="0.2">
      <c r="A1778" t="s">
        <v>439</v>
      </c>
      <c r="B1778" t="s">
        <v>440</v>
      </c>
      <c r="C1778">
        <v>1</v>
      </c>
      <c r="D1778" s="1">
        <v>43992.843530092592</v>
      </c>
      <c r="E1778" t="s">
        <v>5464</v>
      </c>
      <c r="F1778" t="s">
        <v>442</v>
      </c>
      <c r="G1778" t="s">
        <v>5465</v>
      </c>
      <c r="H1778" t="s">
        <v>444</v>
      </c>
      <c r="I1778" t="s">
        <v>29</v>
      </c>
      <c r="J1778">
        <v>1</v>
      </c>
      <c r="K1778">
        <f>1-844-700-6083</f>
        <v>-7626</v>
      </c>
      <c r="L1778" t="s">
        <v>5466</v>
      </c>
      <c r="M1778" t="s">
        <v>5467</v>
      </c>
      <c r="N1778" t="s">
        <v>5468</v>
      </c>
      <c r="O1778" t="s">
        <v>28</v>
      </c>
      <c r="P1778" t="s">
        <v>29</v>
      </c>
      <c r="Q1778">
        <v>39</v>
      </c>
      <c r="R1778">
        <v>-77.487399999999994</v>
      </c>
    </row>
    <row r="1779" spans="1:18" x14ac:dyDescent="0.2">
      <c r="A1779" t="s">
        <v>270</v>
      </c>
      <c r="B1779" t="s">
        <v>440</v>
      </c>
      <c r="C1779">
        <v>1</v>
      </c>
      <c r="D1779" s="1">
        <v>44203.762824074074</v>
      </c>
      <c r="E1779" t="s">
        <v>5469</v>
      </c>
      <c r="F1779" t="s">
        <v>273</v>
      </c>
      <c r="G1779" t="s">
        <v>5470</v>
      </c>
      <c r="H1779" t="s">
        <v>275</v>
      </c>
      <c r="I1779" t="s">
        <v>29</v>
      </c>
      <c r="J1779">
        <v>1</v>
      </c>
      <c r="K1779">
        <f>1-888-348-790</f>
        <v>-2025</v>
      </c>
      <c r="L1779" t="s">
        <v>5471</v>
      </c>
      <c r="M1779" t="s">
        <v>5472</v>
      </c>
      <c r="N1779" t="s">
        <v>278</v>
      </c>
      <c r="O1779" t="s">
        <v>28</v>
      </c>
      <c r="P1779" t="s">
        <v>29</v>
      </c>
      <c r="Q1779">
        <v>39</v>
      </c>
      <c r="R1779">
        <v>-77.487399999999994</v>
      </c>
    </row>
    <row r="1780" spans="1:18" x14ac:dyDescent="0.2">
      <c r="A1780" t="s">
        <v>270</v>
      </c>
      <c r="B1780" t="s">
        <v>440</v>
      </c>
      <c r="C1780">
        <v>1</v>
      </c>
      <c r="D1780" s="1">
        <v>44203.761296296296</v>
      </c>
      <c r="E1780" t="s">
        <v>5473</v>
      </c>
      <c r="F1780" t="s">
        <v>273</v>
      </c>
      <c r="G1780" t="s">
        <v>5470</v>
      </c>
      <c r="H1780" t="s">
        <v>275</v>
      </c>
      <c r="I1780" t="s">
        <v>29</v>
      </c>
      <c r="J1780">
        <v>1</v>
      </c>
      <c r="K1780">
        <f>1-888-344-1995</f>
        <v>-3226</v>
      </c>
      <c r="L1780" t="s">
        <v>5474</v>
      </c>
      <c r="M1780" t="s">
        <v>5475</v>
      </c>
      <c r="N1780" t="s">
        <v>278</v>
      </c>
      <c r="O1780" t="s">
        <v>28</v>
      </c>
      <c r="P1780" t="s">
        <v>29</v>
      </c>
      <c r="Q1780">
        <v>39</v>
      </c>
      <c r="R1780">
        <v>-77.487399999999994</v>
      </c>
    </row>
    <row r="1781" spans="1:18" x14ac:dyDescent="0.2">
      <c r="A1781" t="s">
        <v>270</v>
      </c>
      <c r="B1781" t="s">
        <v>440</v>
      </c>
      <c r="C1781">
        <v>1</v>
      </c>
      <c r="D1781" s="1">
        <v>44149.155115740738</v>
      </c>
      <c r="E1781" t="s">
        <v>5476</v>
      </c>
      <c r="F1781" t="s">
        <v>273</v>
      </c>
      <c r="G1781" t="s">
        <v>5470</v>
      </c>
      <c r="H1781" t="s">
        <v>275</v>
      </c>
      <c r="I1781" t="s">
        <v>29</v>
      </c>
      <c r="J1781">
        <v>1</v>
      </c>
      <c r="K1781">
        <f>1-844-279-115</f>
        <v>-1237</v>
      </c>
      <c r="L1781" t="s">
        <v>5477</v>
      </c>
      <c r="M1781" t="s">
        <v>5478</v>
      </c>
      <c r="N1781" t="s">
        <v>278</v>
      </c>
      <c r="O1781" t="s">
        <v>134</v>
      </c>
      <c r="P1781" t="s">
        <v>29</v>
      </c>
      <c r="Q1781">
        <v>39</v>
      </c>
      <c r="R1781">
        <v>-77.487399999999994</v>
      </c>
    </row>
    <row r="1782" spans="1:18" x14ac:dyDescent="0.2">
      <c r="A1782" t="s">
        <v>270</v>
      </c>
      <c r="B1782" t="s">
        <v>440</v>
      </c>
      <c r="C1782">
        <v>1</v>
      </c>
      <c r="D1782" s="1">
        <v>44149.13658564815</v>
      </c>
      <c r="E1782" t="s">
        <v>5479</v>
      </c>
      <c r="F1782" t="s">
        <v>273</v>
      </c>
      <c r="G1782" t="s">
        <v>5470</v>
      </c>
      <c r="H1782" t="s">
        <v>275</v>
      </c>
      <c r="I1782" t="s">
        <v>29</v>
      </c>
      <c r="J1782">
        <v>1</v>
      </c>
      <c r="K1782">
        <f>1-844-288-9125</f>
        <v>-10256</v>
      </c>
      <c r="L1782" t="s">
        <v>5480</v>
      </c>
      <c r="M1782" t="s">
        <v>5481</v>
      </c>
      <c r="N1782" t="s">
        <v>278</v>
      </c>
      <c r="O1782" t="s">
        <v>134</v>
      </c>
      <c r="P1782" t="s">
        <v>29</v>
      </c>
      <c r="Q1782">
        <v>39</v>
      </c>
      <c r="R1782">
        <v>-77.487399999999994</v>
      </c>
    </row>
    <row r="1783" spans="1:18" x14ac:dyDescent="0.2">
      <c r="A1783" t="s">
        <v>270</v>
      </c>
      <c r="B1783" t="s">
        <v>440</v>
      </c>
      <c r="C1783">
        <v>1</v>
      </c>
      <c r="D1783" s="1">
        <v>44149.135520833333</v>
      </c>
      <c r="E1783" t="s">
        <v>5482</v>
      </c>
      <c r="F1783" t="s">
        <v>273</v>
      </c>
      <c r="G1783" t="s">
        <v>5470</v>
      </c>
      <c r="H1783" t="s">
        <v>275</v>
      </c>
      <c r="I1783" t="s">
        <v>29</v>
      </c>
      <c r="J1783">
        <v>1</v>
      </c>
      <c r="K1783">
        <f>1-844-288-9125</f>
        <v>-10256</v>
      </c>
      <c r="L1783" t="s">
        <v>5483</v>
      </c>
      <c r="M1783" t="s">
        <v>5484</v>
      </c>
      <c r="N1783" t="s">
        <v>278</v>
      </c>
      <c r="O1783" t="s">
        <v>134</v>
      </c>
      <c r="P1783" t="s">
        <v>29</v>
      </c>
      <c r="Q1783">
        <v>39</v>
      </c>
      <c r="R1783">
        <v>-77.487399999999994</v>
      </c>
    </row>
    <row r="1784" spans="1:18" x14ac:dyDescent="0.2">
      <c r="A1784" t="s">
        <v>270</v>
      </c>
      <c r="B1784" t="s">
        <v>440</v>
      </c>
      <c r="C1784">
        <v>1</v>
      </c>
      <c r="D1784" s="1">
        <v>44140.777870370373</v>
      </c>
      <c r="E1784" t="s">
        <v>5485</v>
      </c>
      <c r="F1784" t="s">
        <v>273</v>
      </c>
      <c r="G1784" t="s">
        <v>5470</v>
      </c>
      <c r="H1784" t="s">
        <v>275</v>
      </c>
      <c r="I1784" t="s">
        <v>29</v>
      </c>
      <c r="J1784">
        <v>1</v>
      </c>
      <c r="K1784">
        <f>1-888-397-7606</f>
        <v>-8890</v>
      </c>
      <c r="L1784" t="s">
        <v>5486</v>
      </c>
      <c r="M1784" t="s">
        <v>5487</v>
      </c>
      <c r="N1784" t="s">
        <v>278</v>
      </c>
      <c r="O1784" t="s">
        <v>28</v>
      </c>
      <c r="P1784" t="s">
        <v>29</v>
      </c>
      <c r="Q1784">
        <v>39</v>
      </c>
      <c r="R1784">
        <v>-77.487399999999994</v>
      </c>
    </row>
    <row r="1785" spans="1:18" x14ac:dyDescent="0.2">
      <c r="A1785" t="s">
        <v>270</v>
      </c>
      <c r="B1785" t="s">
        <v>440</v>
      </c>
      <c r="C1785">
        <v>1</v>
      </c>
      <c r="D1785" s="1">
        <v>44130.905428240738</v>
      </c>
      <c r="E1785" t="s">
        <v>5488</v>
      </c>
      <c r="F1785" t="s">
        <v>273</v>
      </c>
      <c r="G1785" t="s">
        <v>5470</v>
      </c>
      <c r="H1785" t="s">
        <v>275</v>
      </c>
      <c r="I1785" t="s">
        <v>29</v>
      </c>
      <c r="J1785">
        <v>1</v>
      </c>
      <c r="K1785">
        <f>1-888-321-1568</f>
        <v>-2776</v>
      </c>
      <c r="L1785" t="s">
        <v>5489</v>
      </c>
      <c r="M1785" t="s">
        <v>5490</v>
      </c>
      <c r="N1785" t="s">
        <v>278</v>
      </c>
      <c r="O1785" t="s">
        <v>28</v>
      </c>
      <c r="P1785" t="s">
        <v>29</v>
      </c>
      <c r="Q1785">
        <v>39</v>
      </c>
      <c r="R1785">
        <v>-77.487399999999994</v>
      </c>
    </row>
    <row r="1786" spans="1:18" x14ac:dyDescent="0.2">
      <c r="A1786" t="s">
        <v>270</v>
      </c>
      <c r="B1786" t="s">
        <v>440</v>
      </c>
      <c r="C1786">
        <v>1</v>
      </c>
      <c r="D1786" s="1">
        <v>44105.864189814813</v>
      </c>
      <c r="E1786" t="s">
        <v>5491</v>
      </c>
      <c r="F1786" t="s">
        <v>273</v>
      </c>
      <c r="G1786" t="s">
        <v>5470</v>
      </c>
      <c r="H1786" t="s">
        <v>275</v>
      </c>
      <c r="I1786" t="s">
        <v>29</v>
      </c>
      <c r="J1786">
        <v>1</v>
      </c>
      <c r="K1786">
        <f>1-888-210-1282</f>
        <v>-2379</v>
      </c>
      <c r="L1786" t="s">
        <v>5492</v>
      </c>
      <c r="M1786" t="s">
        <v>5493</v>
      </c>
      <c r="N1786" t="s">
        <v>278</v>
      </c>
      <c r="O1786" t="s">
        <v>28</v>
      </c>
      <c r="P1786" t="s">
        <v>29</v>
      </c>
      <c r="Q1786">
        <v>39</v>
      </c>
      <c r="R1786">
        <v>-77.487399999999994</v>
      </c>
    </row>
    <row r="1787" spans="1:18" x14ac:dyDescent="0.2">
      <c r="A1787" t="s">
        <v>270</v>
      </c>
      <c r="B1787" t="s">
        <v>440</v>
      </c>
      <c r="C1787">
        <v>1</v>
      </c>
      <c r="D1787" s="1">
        <v>44106.818414351852</v>
      </c>
      <c r="E1787" t="s">
        <v>5494</v>
      </c>
      <c r="F1787" t="s">
        <v>273</v>
      </c>
      <c r="G1787" t="s">
        <v>5470</v>
      </c>
      <c r="H1787" t="s">
        <v>275</v>
      </c>
      <c r="I1787" t="s">
        <v>29</v>
      </c>
      <c r="J1787">
        <v>1</v>
      </c>
      <c r="K1787">
        <f>1-888-202-4596</f>
        <v>-5685</v>
      </c>
      <c r="L1787" t="s">
        <v>5495</v>
      </c>
      <c r="M1787" t="s">
        <v>5496</v>
      </c>
      <c r="N1787" t="s">
        <v>278</v>
      </c>
      <c r="O1787" t="s">
        <v>28</v>
      </c>
      <c r="P1787" t="s">
        <v>29</v>
      </c>
      <c r="Q1787">
        <v>39</v>
      </c>
      <c r="R1787">
        <v>-77.487399999999994</v>
      </c>
    </row>
    <row r="1788" spans="1:18" x14ac:dyDescent="0.2">
      <c r="A1788" t="s">
        <v>270</v>
      </c>
      <c r="B1788" t="s">
        <v>440</v>
      </c>
      <c r="C1788">
        <v>1</v>
      </c>
      <c r="D1788" s="1">
        <v>44103.839687500003</v>
      </c>
      <c r="E1788" t="s">
        <v>5497</v>
      </c>
      <c r="F1788" t="s">
        <v>273</v>
      </c>
      <c r="G1788" t="s">
        <v>5470</v>
      </c>
      <c r="H1788" t="s">
        <v>275</v>
      </c>
      <c r="I1788" t="s">
        <v>29</v>
      </c>
      <c r="J1788">
        <v>1</v>
      </c>
      <c r="K1788">
        <f>1-888-211-6160</f>
        <v>-7258</v>
      </c>
      <c r="L1788" t="s">
        <v>5498</v>
      </c>
      <c r="M1788" t="s">
        <v>5499</v>
      </c>
      <c r="N1788" t="s">
        <v>278</v>
      </c>
      <c r="O1788" t="s">
        <v>28</v>
      </c>
      <c r="P1788" t="s">
        <v>29</v>
      </c>
      <c r="Q1788">
        <v>39</v>
      </c>
      <c r="R1788">
        <v>-77.487399999999994</v>
      </c>
    </row>
    <row r="1789" spans="1:18" x14ac:dyDescent="0.2">
      <c r="A1789" t="s">
        <v>270</v>
      </c>
      <c r="B1789" t="s">
        <v>440</v>
      </c>
      <c r="C1789">
        <v>1</v>
      </c>
      <c r="D1789" s="1">
        <v>44103.839085648149</v>
      </c>
      <c r="E1789" t="s">
        <v>5500</v>
      </c>
      <c r="F1789" t="s">
        <v>273</v>
      </c>
      <c r="G1789" t="s">
        <v>5470</v>
      </c>
      <c r="H1789" t="s">
        <v>275</v>
      </c>
      <c r="I1789" t="s">
        <v>29</v>
      </c>
      <c r="J1789">
        <v>1</v>
      </c>
      <c r="K1789">
        <f>1-888-211-8144</f>
        <v>-9242</v>
      </c>
      <c r="L1789" t="s">
        <v>5501</v>
      </c>
      <c r="M1789" t="s">
        <v>5502</v>
      </c>
      <c r="N1789" t="s">
        <v>278</v>
      </c>
      <c r="O1789" t="s">
        <v>28</v>
      </c>
      <c r="P1789" t="s">
        <v>29</v>
      </c>
      <c r="Q1789">
        <v>39</v>
      </c>
      <c r="R1789">
        <v>-77.487399999999994</v>
      </c>
    </row>
    <row r="1790" spans="1:18" x14ac:dyDescent="0.2">
      <c r="A1790" t="s">
        <v>270</v>
      </c>
      <c r="B1790" t="s">
        <v>440</v>
      </c>
      <c r="C1790">
        <v>1</v>
      </c>
      <c r="D1790" s="1">
        <v>44103.763194444444</v>
      </c>
      <c r="E1790" t="s">
        <v>5503</v>
      </c>
      <c r="F1790" t="s">
        <v>273</v>
      </c>
      <c r="G1790" t="s">
        <v>5470</v>
      </c>
      <c r="H1790" t="s">
        <v>275</v>
      </c>
      <c r="I1790" t="s">
        <v>29</v>
      </c>
      <c r="J1790">
        <v>1</v>
      </c>
      <c r="K1790">
        <f>1-888-210-6654</f>
        <v>-7751</v>
      </c>
      <c r="L1790" t="s">
        <v>5504</v>
      </c>
      <c r="M1790" t="s">
        <v>5505</v>
      </c>
      <c r="N1790" t="s">
        <v>278</v>
      </c>
      <c r="O1790" t="s">
        <v>134</v>
      </c>
      <c r="P1790" t="s">
        <v>29</v>
      </c>
      <c r="Q1790">
        <v>39</v>
      </c>
      <c r="R1790">
        <v>-77.487399999999994</v>
      </c>
    </row>
    <row r="1791" spans="1:18" x14ac:dyDescent="0.2">
      <c r="A1791" t="s">
        <v>270</v>
      </c>
      <c r="B1791" t="s">
        <v>440</v>
      </c>
      <c r="C1791">
        <v>1</v>
      </c>
      <c r="D1791" s="1">
        <v>44102.823078703703</v>
      </c>
      <c r="E1791" t="s">
        <v>5506</v>
      </c>
      <c r="F1791" t="s">
        <v>273</v>
      </c>
      <c r="G1791" t="s">
        <v>5470</v>
      </c>
      <c r="H1791" t="s">
        <v>275</v>
      </c>
      <c r="I1791" t="s">
        <v>29</v>
      </c>
      <c r="J1791">
        <v>1</v>
      </c>
      <c r="K1791">
        <f>1-888-250-5625</f>
        <v>-6762</v>
      </c>
      <c r="L1791" t="s">
        <v>5507</v>
      </c>
      <c r="M1791" t="s">
        <v>5508</v>
      </c>
      <c r="N1791" t="s">
        <v>278</v>
      </c>
      <c r="O1791" t="s">
        <v>28</v>
      </c>
      <c r="P1791" t="s">
        <v>29</v>
      </c>
      <c r="Q1791">
        <v>39</v>
      </c>
      <c r="R1791">
        <v>-77.487399999999994</v>
      </c>
    </row>
    <row r="1792" spans="1:18" x14ac:dyDescent="0.2">
      <c r="A1792" t="s">
        <v>270</v>
      </c>
      <c r="B1792" t="s">
        <v>440</v>
      </c>
      <c r="C1792">
        <v>1</v>
      </c>
      <c r="D1792" s="1">
        <v>44099.906261574077</v>
      </c>
      <c r="E1792" t="s">
        <v>5509</v>
      </c>
      <c r="F1792" t="s">
        <v>273</v>
      </c>
      <c r="G1792" t="s">
        <v>5470</v>
      </c>
      <c r="H1792" t="s">
        <v>275</v>
      </c>
      <c r="I1792" t="s">
        <v>29</v>
      </c>
      <c r="J1792">
        <v>1</v>
      </c>
      <c r="K1792">
        <f>1-888-252-1197</f>
        <v>-2336</v>
      </c>
      <c r="L1792" t="s">
        <v>5510</v>
      </c>
      <c r="M1792" t="s">
        <v>5511</v>
      </c>
      <c r="N1792" t="s">
        <v>278</v>
      </c>
      <c r="O1792" t="s">
        <v>28</v>
      </c>
      <c r="P1792" t="s">
        <v>29</v>
      </c>
      <c r="Q1792">
        <v>39</v>
      </c>
      <c r="R1792">
        <v>-77.487399999999994</v>
      </c>
    </row>
    <row r="1793" spans="1:18" x14ac:dyDescent="0.2">
      <c r="A1793" t="s">
        <v>270</v>
      </c>
      <c r="B1793" t="s">
        <v>440</v>
      </c>
      <c r="C1793">
        <v>1</v>
      </c>
      <c r="D1793" s="1">
        <v>44096.83734953704</v>
      </c>
      <c r="E1793" t="s">
        <v>5512</v>
      </c>
      <c r="F1793" t="s">
        <v>273</v>
      </c>
      <c r="G1793" t="s">
        <v>5470</v>
      </c>
      <c r="H1793" t="s">
        <v>275</v>
      </c>
      <c r="I1793" t="s">
        <v>29</v>
      </c>
      <c r="J1793">
        <v>1</v>
      </c>
      <c r="K1793">
        <f>1-888-257-7505</f>
        <v>-8649</v>
      </c>
      <c r="L1793" t="s">
        <v>5513</v>
      </c>
      <c r="M1793" t="s">
        <v>5514</v>
      </c>
      <c r="N1793" t="s">
        <v>278</v>
      </c>
      <c r="O1793" t="s">
        <v>28</v>
      </c>
      <c r="P1793" t="s">
        <v>29</v>
      </c>
      <c r="Q1793">
        <v>39</v>
      </c>
      <c r="R1793">
        <v>-77.487399999999994</v>
      </c>
    </row>
    <row r="1794" spans="1:18" x14ac:dyDescent="0.2">
      <c r="A1794" t="s">
        <v>270</v>
      </c>
      <c r="B1794" t="s">
        <v>440</v>
      </c>
      <c r="C1794">
        <v>1</v>
      </c>
      <c r="D1794" s="1">
        <v>44096.366307870368</v>
      </c>
      <c r="E1794" t="s">
        <v>5515</v>
      </c>
      <c r="F1794" t="s">
        <v>273</v>
      </c>
      <c r="G1794" t="s">
        <v>5470</v>
      </c>
      <c r="H1794" t="s">
        <v>275</v>
      </c>
      <c r="I1794" t="s">
        <v>29</v>
      </c>
      <c r="J1794">
        <v>1</v>
      </c>
      <c r="K1794">
        <f>1-844-309-2655</f>
        <v>-3807</v>
      </c>
      <c r="L1794" t="s">
        <v>5516</v>
      </c>
      <c r="M1794" t="s">
        <v>5517</v>
      </c>
      <c r="N1794" t="s">
        <v>278</v>
      </c>
      <c r="O1794" t="s">
        <v>28</v>
      </c>
      <c r="P1794" t="s">
        <v>29</v>
      </c>
      <c r="Q1794">
        <v>39</v>
      </c>
      <c r="R1794">
        <v>-77.487399999999994</v>
      </c>
    </row>
    <row r="1795" spans="1:18" x14ac:dyDescent="0.2">
      <c r="A1795" t="s">
        <v>270</v>
      </c>
      <c r="B1795" t="s">
        <v>440</v>
      </c>
      <c r="C1795">
        <v>1</v>
      </c>
      <c r="D1795" s="1">
        <v>44095.784432870372</v>
      </c>
      <c r="E1795" t="s">
        <v>5518</v>
      </c>
      <c r="F1795" t="s">
        <v>273</v>
      </c>
      <c r="G1795" t="s">
        <v>5470</v>
      </c>
      <c r="H1795" t="s">
        <v>275</v>
      </c>
      <c r="I1795" t="s">
        <v>29</v>
      </c>
      <c r="J1795">
        <v>1</v>
      </c>
      <c r="K1795">
        <f>1-844-288-9111</f>
        <v>-10242</v>
      </c>
      <c r="L1795" t="s">
        <v>5519</v>
      </c>
      <c r="M1795" t="s">
        <v>5520</v>
      </c>
      <c r="N1795" t="s">
        <v>278</v>
      </c>
      <c r="O1795" t="s">
        <v>28</v>
      </c>
      <c r="P1795" t="s">
        <v>29</v>
      </c>
      <c r="Q1795">
        <v>39</v>
      </c>
      <c r="R1795">
        <v>-77.487399999999994</v>
      </c>
    </row>
    <row r="1796" spans="1:18" x14ac:dyDescent="0.2">
      <c r="A1796" t="s">
        <v>270</v>
      </c>
      <c r="B1796" t="s">
        <v>440</v>
      </c>
      <c r="C1796">
        <v>1</v>
      </c>
      <c r="D1796" s="1">
        <v>44090.993564814817</v>
      </c>
      <c r="E1796" t="s">
        <v>5521</v>
      </c>
      <c r="F1796" t="s">
        <v>273</v>
      </c>
      <c r="G1796" t="s">
        <v>5470</v>
      </c>
      <c r="H1796" t="s">
        <v>275</v>
      </c>
      <c r="I1796" t="s">
        <v>29</v>
      </c>
      <c r="J1796">
        <v>1</v>
      </c>
      <c r="K1796">
        <f>1-844-242-3148</f>
        <v>-4233</v>
      </c>
      <c r="L1796" t="s">
        <v>5522</v>
      </c>
      <c r="M1796" t="s">
        <v>5523</v>
      </c>
      <c r="N1796" t="s">
        <v>278</v>
      </c>
      <c r="O1796" t="s">
        <v>28</v>
      </c>
      <c r="P1796" t="s">
        <v>29</v>
      </c>
      <c r="Q1796">
        <v>39</v>
      </c>
      <c r="R1796">
        <v>-77.487399999999994</v>
      </c>
    </row>
    <row r="1797" spans="1:18" x14ac:dyDescent="0.2">
      <c r="A1797" t="s">
        <v>270</v>
      </c>
      <c r="B1797" t="s">
        <v>440</v>
      </c>
      <c r="C1797">
        <v>1</v>
      </c>
      <c r="D1797" s="1">
        <v>44090.99287037037</v>
      </c>
      <c r="E1797" t="s">
        <v>5524</v>
      </c>
      <c r="F1797" t="s">
        <v>273</v>
      </c>
      <c r="G1797" t="s">
        <v>5470</v>
      </c>
      <c r="H1797" t="s">
        <v>275</v>
      </c>
      <c r="I1797" t="s">
        <v>29</v>
      </c>
      <c r="J1797">
        <v>1</v>
      </c>
      <c r="K1797">
        <f>1-844-242-3148</f>
        <v>-4233</v>
      </c>
      <c r="L1797" t="s">
        <v>5525</v>
      </c>
      <c r="M1797" t="s">
        <v>5526</v>
      </c>
      <c r="N1797" t="s">
        <v>278</v>
      </c>
      <c r="O1797" t="s">
        <v>28</v>
      </c>
      <c r="P1797" t="s">
        <v>29</v>
      </c>
      <c r="Q1797">
        <v>39</v>
      </c>
      <c r="R1797">
        <v>-77.487399999999994</v>
      </c>
    </row>
    <row r="1798" spans="1:18" x14ac:dyDescent="0.2">
      <c r="A1798" t="s">
        <v>270</v>
      </c>
      <c r="B1798" t="s">
        <v>440</v>
      </c>
      <c r="C1798">
        <v>1</v>
      </c>
      <c r="D1798" s="1">
        <v>44090.798009259262</v>
      </c>
      <c r="E1798" t="s">
        <v>5527</v>
      </c>
      <c r="F1798" t="s">
        <v>273</v>
      </c>
      <c r="G1798" t="s">
        <v>5470</v>
      </c>
      <c r="H1798" t="s">
        <v>275</v>
      </c>
      <c r="I1798" t="s">
        <v>29</v>
      </c>
      <c r="J1798">
        <v>1</v>
      </c>
      <c r="K1798">
        <f>1-844-243-4064</f>
        <v>-5150</v>
      </c>
      <c r="L1798" t="s">
        <v>5528</v>
      </c>
      <c r="M1798" t="s">
        <v>5529</v>
      </c>
      <c r="N1798" t="s">
        <v>278</v>
      </c>
      <c r="O1798" t="s">
        <v>28</v>
      </c>
      <c r="P1798" t="s">
        <v>29</v>
      </c>
      <c r="Q1798">
        <v>39</v>
      </c>
      <c r="R1798">
        <v>-77.487399999999994</v>
      </c>
    </row>
    <row r="1799" spans="1:18" x14ac:dyDescent="0.2">
      <c r="A1799" t="s">
        <v>270</v>
      </c>
      <c r="B1799" t="s">
        <v>440</v>
      </c>
      <c r="C1799">
        <v>1</v>
      </c>
      <c r="D1799" s="1">
        <v>44090.748599537037</v>
      </c>
      <c r="E1799" t="s">
        <v>5530</v>
      </c>
      <c r="F1799" t="s">
        <v>273</v>
      </c>
      <c r="G1799" t="s">
        <v>5470</v>
      </c>
      <c r="H1799" t="s">
        <v>275</v>
      </c>
      <c r="I1799" t="s">
        <v>29</v>
      </c>
      <c r="J1799">
        <v>1</v>
      </c>
      <c r="K1799">
        <f>1-844-210-5886</f>
        <v>-6939</v>
      </c>
      <c r="L1799" t="s">
        <v>5531</v>
      </c>
      <c r="M1799" t="s">
        <v>5532</v>
      </c>
      <c r="N1799" t="s">
        <v>278</v>
      </c>
      <c r="O1799" t="s">
        <v>28</v>
      </c>
      <c r="P1799" t="s">
        <v>29</v>
      </c>
      <c r="Q1799">
        <v>39</v>
      </c>
      <c r="R1799">
        <v>-77.487399999999994</v>
      </c>
    </row>
    <row r="1800" spans="1:18" x14ac:dyDescent="0.2">
      <c r="A1800" t="s">
        <v>270</v>
      </c>
      <c r="B1800" t="s">
        <v>440</v>
      </c>
      <c r="C1800">
        <v>1</v>
      </c>
      <c r="D1800" s="1">
        <v>44090.416550925926</v>
      </c>
      <c r="E1800" t="s">
        <v>5533</v>
      </c>
      <c r="F1800" t="s">
        <v>273</v>
      </c>
      <c r="G1800" t="s">
        <v>5470</v>
      </c>
      <c r="H1800" t="s">
        <v>275</v>
      </c>
      <c r="I1800" t="s">
        <v>29</v>
      </c>
      <c r="J1800">
        <v>1</v>
      </c>
      <c r="K1800">
        <f>1-844-318-8589</f>
        <v>-9750</v>
      </c>
      <c r="L1800" t="s">
        <v>5534</v>
      </c>
      <c r="M1800" t="s">
        <v>5535</v>
      </c>
      <c r="N1800" t="s">
        <v>278</v>
      </c>
      <c r="O1800" t="s">
        <v>28</v>
      </c>
      <c r="P1800" t="s">
        <v>29</v>
      </c>
      <c r="Q1800">
        <v>39</v>
      </c>
      <c r="R1800">
        <v>-77.487399999999994</v>
      </c>
    </row>
    <row r="1801" spans="1:18" x14ac:dyDescent="0.2">
      <c r="A1801" t="s">
        <v>270</v>
      </c>
      <c r="B1801" t="s">
        <v>440</v>
      </c>
      <c r="C1801">
        <v>1</v>
      </c>
      <c r="D1801" s="1">
        <v>44090.416006944448</v>
      </c>
      <c r="E1801" t="s">
        <v>5536</v>
      </c>
      <c r="F1801" t="s">
        <v>273</v>
      </c>
      <c r="G1801" t="s">
        <v>5470</v>
      </c>
      <c r="H1801" t="s">
        <v>275</v>
      </c>
      <c r="I1801" t="s">
        <v>29</v>
      </c>
      <c r="J1801">
        <v>1</v>
      </c>
      <c r="K1801">
        <f>1-844-293-8713</f>
        <v>-9849</v>
      </c>
      <c r="L1801" t="s">
        <v>5537</v>
      </c>
      <c r="M1801" t="s">
        <v>5538</v>
      </c>
      <c r="N1801" t="s">
        <v>278</v>
      </c>
      <c r="O1801" t="s">
        <v>28</v>
      </c>
      <c r="P1801" t="s">
        <v>29</v>
      </c>
      <c r="Q1801">
        <v>39</v>
      </c>
      <c r="R1801">
        <v>-77.487399999999994</v>
      </c>
    </row>
    <row r="1802" spans="1:18" x14ac:dyDescent="0.2">
      <c r="A1802" t="s">
        <v>270</v>
      </c>
      <c r="B1802" t="s">
        <v>440</v>
      </c>
      <c r="C1802">
        <v>1</v>
      </c>
      <c r="D1802" s="1">
        <v>44089.431018518517</v>
      </c>
      <c r="E1802" t="s">
        <v>5539</v>
      </c>
      <c r="F1802" t="s">
        <v>273</v>
      </c>
      <c r="G1802" t="s">
        <v>5470</v>
      </c>
      <c r="H1802" t="s">
        <v>275</v>
      </c>
      <c r="I1802" t="s">
        <v>29</v>
      </c>
      <c r="J1802">
        <v>1</v>
      </c>
      <c r="K1802">
        <f>1-844-210-4337</f>
        <v>-5390</v>
      </c>
      <c r="L1802" t="s">
        <v>5540</v>
      </c>
      <c r="M1802" t="s">
        <v>5541</v>
      </c>
      <c r="N1802" t="s">
        <v>278</v>
      </c>
      <c r="O1802" t="s">
        <v>28</v>
      </c>
      <c r="P1802" t="s">
        <v>29</v>
      </c>
      <c r="Q1802">
        <v>39</v>
      </c>
      <c r="R1802">
        <v>-77.487399999999994</v>
      </c>
    </row>
    <row r="1803" spans="1:18" x14ac:dyDescent="0.2">
      <c r="A1803" t="s">
        <v>270</v>
      </c>
      <c r="B1803" t="s">
        <v>440</v>
      </c>
      <c r="C1803">
        <v>1</v>
      </c>
      <c r="D1803" s="1">
        <v>44089.430833333332</v>
      </c>
      <c r="E1803" t="s">
        <v>5542</v>
      </c>
      <c r="F1803" t="s">
        <v>273</v>
      </c>
      <c r="G1803" t="s">
        <v>5470</v>
      </c>
      <c r="H1803" t="s">
        <v>275</v>
      </c>
      <c r="I1803" t="s">
        <v>29</v>
      </c>
      <c r="J1803">
        <v>1</v>
      </c>
      <c r="K1803">
        <f>1-844-210-4337</f>
        <v>-5390</v>
      </c>
      <c r="L1803" t="s">
        <v>5543</v>
      </c>
      <c r="M1803" t="s">
        <v>5544</v>
      </c>
      <c r="N1803" t="s">
        <v>278</v>
      </c>
      <c r="O1803" t="s">
        <v>28</v>
      </c>
      <c r="P1803" t="s">
        <v>29</v>
      </c>
      <c r="Q1803">
        <v>39</v>
      </c>
      <c r="R1803">
        <v>-77.487399999999994</v>
      </c>
    </row>
    <row r="1804" spans="1:18" x14ac:dyDescent="0.2">
      <c r="A1804" t="s">
        <v>270</v>
      </c>
      <c r="B1804" t="s">
        <v>440</v>
      </c>
      <c r="C1804">
        <v>1</v>
      </c>
      <c r="D1804" s="1">
        <v>44088.939375000002</v>
      </c>
      <c r="E1804" t="s">
        <v>5545</v>
      </c>
      <c r="F1804" t="s">
        <v>273</v>
      </c>
      <c r="G1804" t="s">
        <v>5470</v>
      </c>
      <c r="H1804" t="s">
        <v>275</v>
      </c>
      <c r="I1804" t="s">
        <v>29</v>
      </c>
      <c r="J1804">
        <v>1</v>
      </c>
      <c r="K1804">
        <f>1-844-210-4337</f>
        <v>-5390</v>
      </c>
      <c r="L1804" t="s">
        <v>5546</v>
      </c>
      <c r="M1804" t="s">
        <v>5547</v>
      </c>
      <c r="N1804" t="s">
        <v>278</v>
      </c>
      <c r="O1804" t="s">
        <v>28</v>
      </c>
      <c r="P1804" t="s">
        <v>29</v>
      </c>
      <c r="Q1804">
        <v>39</v>
      </c>
      <c r="R1804">
        <v>-77.487399999999994</v>
      </c>
    </row>
    <row r="1805" spans="1:18" x14ac:dyDescent="0.2">
      <c r="A1805" t="s">
        <v>270</v>
      </c>
      <c r="B1805" t="s">
        <v>440</v>
      </c>
      <c r="C1805">
        <v>1</v>
      </c>
      <c r="D1805" s="1">
        <v>44084.784907407404</v>
      </c>
      <c r="E1805" t="s">
        <v>5548</v>
      </c>
      <c r="F1805" t="s">
        <v>273</v>
      </c>
      <c r="G1805" t="s">
        <v>5470</v>
      </c>
      <c r="H1805" t="s">
        <v>275</v>
      </c>
      <c r="I1805" t="s">
        <v>29</v>
      </c>
      <c r="J1805">
        <v>1</v>
      </c>
      <c r="K1805">
        <f>1-844-318-7909</f>
        <v>-9070</v>
      </c>
      <c r="L1805" t="s">
        <v>5549</v>
      </c>
      <c r="M1805" t="s">
        <v>5550</v>
      </c>
      <c r="N1805" t="s">
        <v>278</v>
      </c>
      <c r="O1805" t="s">
        <v>28</v>
      </c>
      <c r="P1805" t="s">
        <v>29</v>
      </c>
      <c r="Q1805">
        <v>39</v>
      </c>
      <c r="R1805">
        <v>-77.487399999999994</v>
      </c>
    </row>
    <row r="1806" spans="1:18" x14ac:dyDescent="0.2">
      <c r="A1806" t="s">
        <v>270</v>
      </c>
      <c r="B1806" t="s">
        <v>440</v>
      </c>
      <c r="C1806">
        <v>1</v>
      </c>
      <c r="D1806" s="1">
        <v>44084.782905092594</v>
      </c>
      <c r="E1806" t="s">
        <v>5551</v>
      </c>
      <c r="F1806" t="s">
        <v>273</v>
      </c>
      <c r="G1806" t="s">
        <v>5470</v>
      </c>
      <c r="H1806" t="s">
        <v>275</v>
      </c>
      <c r="I1806" t="s">
        <v>29</v>
      </c>
      <c r="J1806">
        <v>1</v>
      </c>
      <c r="K1806">
        <f>1-888-608-5109</f>
        <v>-6604</v>
      </c>
      <c r="L1806" t="s">
        <v>5552</v>
      </c>
      <c r="M1806" t="s">
        <v>5553</v>
      </c>
      <c r="N1806" t="s">
        <v>278</v>
      </c>
      <c r="O1806" t="s">
        <v>28</v>
      </c>
      <c r="P1806" t="s">
        <v>29</v>
      </c>
      <c r="Q1806">
        <v>39</v>
      </c>
      <c r="R1806">
        <v>-77.487399999999994</v>
      </c>
    </row>
    <row r="1807" spans="1:18" x14ac:dyDescent="0.2">
      <c r="A1807" t="s">
        <v>270</v>
      </c>
      <c r="B1807" t="s">
        <v>440</v>
      </c>
      <c r="C1807">
        <v>1</v>
      </c>
      <c r="D1807" s="1">
        <v>44084.781365740739</v>
      </c>
      <c r="E1807" t="s">
        <v>5554</v>
      </c>
      <c r="F1807" t="s">
        <v>273</v>
      </c>
      <c r="G1807" t="s">
        <v>5470</v>
      </c>
      <c r="H1807" t="s">
        <v>275</v>
      </c>
      <c r="I1807" t="s">
        <v>29</v>
      </c>
      <c r="J1807">
        <v>1</v>
      </c>
      <c r="K1807">
        <f>1-888-608-5109</f>
        <v>-6604</v>
      </c>
      <c r="L1807" t="s">
        <v>5555</v>
      </c>
      <c r="M1807" t="s">
        <v>5556</v>
      </c>
      <c r="N1807" t="s">
        <v>278</v>
      </c>
      <c r="O1807" t="s">
        <v>28</v>
      </c>
      <c r="P1807" t="s">
        <v>29</v>
      </c>
      <c r="Q1807">
        <v>39</v>
      </c>
      <c r="R1807">
        <v>-77.487399999999994</v>
      </c>
    </row>
    <row r="1808" spans="1:18" x14ac:dyDescent="0.2">
      <c r="A1808" t="s">
        <v>270</v>
      </c>
      <c r="B1808" t="s">
        <v>440</v>
      </c>
      <c r="C1808">
        <v>1</v>
      </c>
      <c r="D1808" s="1">
        <v>44083.876736111109</v>
      </c>
      <c r="E1808" t="s">
        <v>5557</v>
      </c>
      <c r="F1808" t="s">
        <v>273</v>
      </c>
      <c r="G1808" t="s">
        <v>5470</v>
      </c>
      <c r="H1808" t="s">
        <v>275</v>
      </c>
      <c r="I1808" t="s">
        <v>29</v>
      </c>
      <c r="J1808">
        <v>1</v>
      </c>
      <c r="K1808">
        <f>1-888-585-4306</f>
        <v>-5778</v>
      </c>
      <c r="L1808" t="s">
        <v>5558</v>
      </c>
      <c r="M1808" t="s">
        <v>5559</v>
      </c>
      <c r="N1808" t="s">
        <v>278</v>
      </c>
      <c r="O1808" t="s">
        <v>134</v>
      </c>
      <c r="P1808" t="s">
        <v>29</v>
      </c>
      <c r="Q1808">
        <v>39</v>
      </c>
      <c r="R1808">
        <v>-77.487399999999994</v>
      </c>
    </row>
    <row r="1809" spans="1:18" x14ac:dyDescent="0.2">
      <c r="A1809" t="s">
        <v>270</v>
      </c>
      <c r="B1809" t="s">
        <v>440</v>
      </c>
      <c r="C1809">
        <v>1</v>
      </c>
      <c r="D1809" s="1">
        <v>44083.876574074071</v>
      </c>
      <c r="E1809" t="s">
        <v>5560</v>
      </c>
      <c r="F1809" t="s">
        <v>273</v>
      </c>
      <c r="G1809" t="s">
        <v>5470</v>
      </c>
      <c r="H1809" t="s">
        <v>275</v>
      </c>
      <c r="I1809" t="s">
        <v>29</v>
      </c>
      <c r="J1809">
        <v>1</v>
      </c>
      <c r="K1809">
        <f>1-888-594-388</f>
        <v>-1869</v>
      </c>
      <c r="L1809" t="s">
        <v>5561</v>
      </c>
      <c r="M1809" t="s">
        <v>5562</v>
      </c>
      <c r="N1809" t="s">
        <v>278</v>
      </c>
      <c r="O1809" t="s">
        <v>134</v>
      </c>
      <c r="P1809" t="s">
        <v>29</v>
      </c>
      <c r="Q1809">
        <v>39</v>
      </c>
      <c r="R1809">
        <v>-77.487399999999994</v>
      </c>
    </row>
    <row r="1810" spans="1:18" x14ac:dyDescent="0.2">
      <c r="A1810" t="s">
        <v>270</v>
      </c>
      <c r="B1810" t="s">
        <v>440</v>
      </c>
      <c r="C1810">
        <v>1</v>
      </c>
      <c r="D1810" s="1">
        <v>44083.871932870374</v>
      </c>
      <c r="E1810" t="s">
        <v>5563</v>
      </c>
      <c r="F1810" t="s">
        <v>273</v>
      </c>
      <c r="G1810" t="s">
        <v>5470</v>
      </c>
      <c r="H1810" t="s">
        <v>275</v>
      </c>
      <c r="I1810" t="s">
        <v>29</v>
      </c>
      <c r="J1810">
        <v>1</v>
      </c>
      <c r="K1810">
        <f>1-866-639-6577</f>
        <v>-8081</v>
      </c>
      <c r="L1810" t="s">
        <v>5564</v>
      </c>
      <c r="M1810" t="s">
        <v>5565</v>
      </c>
      <c r="N1810" t="s">
        <v>278</v>
      </c>
      <c r="O1810" t="s">
        <v>28</v>
      </c>
      <c r="P1810" t="s">
        <v>29</v>
      </c>
      <c r="Q1810">
        <v>39</v>
      </c>
      <c r="R1810">
        <v>-77.487399999999994</v>
      </c>
    </row>
    <row r="1811" spans="1:18" x14ac:dyDescent="0.2">
      <c r="A1811" t="s">
        <v>270</v>
      </c>
      <c r="B1811" t="s">
        <v>440</v>
      </c>
      <c r="C1811">
        <v>1</v>
      </c>
      <c r="D1811" s="1">
        <v>44083.840821759259</v>
      </c>
      <c r="E1811" t="s">
        <v>5566</v>
      </c>
      <c r="F1811" t="s">
        <v>273</v>
      </c>
      <c r="G1811" t="s">
        <v>5470</v>
      </c>
      <c r="H1811" t="s">
        <v>275</v>
      </c>
      <c r="I1811" t="s">
        <v>29</v>
      </c>
      <c r="J1811">
        <v>1</v>
      </c>
      <c r="K1811">
        <f>1-866-639-6577</f>
        <v>-8081</v>
      </c>
      <c r="L1811" t="s">
        <v>5567</v>
      </c>
      <c r="M1811" t="s">
        <v>5568</v>
      </c>
      <c r="N1811" t="s">
        <v>278</v>
      </c>
      <c r="O1811" t="s">
        <v>28</v>
      </c>
      <c r="P1811" t="s">
        <v>29</v>
      </c>
      <c r="Q1811">
        <v>39</v>
      </c>
      <c r="R1811">
        <v>-77.487399999999994</v>
      </c>
    </row>
    <row r="1812" spans="1:18" x14ac:dyDescent="0.2">
      <c r="A1812" t="s">
        <v>270</v>
      </c>
      <c r="B1812" t="s">
        <v>440</v>
      </c>
      <c r="C1812">
        <v>1</v>
      </c>
      <c r="D1812" s="1">
        <v>44083.829872685186</v>
      </c>
      <c r="E1812" t="s">
        <v>5569</v>
      </c>
      <c r="F1812" t="s">
        <v>273</v>
      </c>
      <c r="G1812" t="s">
        <v>5470</v>
      </c>
      <c r="H1812" t="s">
        <v>275</v>
      </c>
      <c r="I1812" t="s">
        <v>29</v>
      </c>
      <c r="J1812">
        <v>1</v>
      </c>
      <c r="K1812">
        <f>1-888-592-7014</f>
        <v>-8493</v>
      </c>
      <c r="L1812" t="s">
        <v>5570</v>
      </c>
      <c r="M1812" t="s">
        <v>5571</v>
      </c>
      <c r="N1812" t="s">
        <v>278</v>
      </c>
      <c r="O1812" t="s">
        <v>28</v>
      </c>
      <c r="P1812" t="s">
        <v>29</v>
      </c>
      <c r="Q1812">
        <v>39</v>
      </c>
      <c r="R1812">
        <v>-77.487399999999994</v>
      </c>
    </row>
    <row r="1813" spans="1:18" x14ac:dyDescent="0.2">
      <c r="A1813" t="s">
        <v>270</v>
      </c>
      <c r="B1813" t="s">
        <v>440</v>
      </c>
      <c r="C1813">
        <v>1</v>
      </c>
      <c r="D1813" s="1">
        <v>44083.822476851848</v>
      </c>
      <c r="E1813" t="s">
        <v>5572</v>
      </c>
      <c r="F1813" t="s">
        <v>273</v>
      </c>
      <c r="G1813" t="s">
        <v>5470</v>
      </c>
      <c r="H1813" t="s">
        <v>275</v>
      </c>
      <c r="I1813" t="s">
        <v>29</v>
      </c>
      <c r="J1813">
        <v>1</v>
      </c>
      <c r="K1813">
        <f>1-866-639-6577</f>
        <v>-8081</v>
      </c>
      <c r="L1813" t="s">
        <v>5573</v>
      </c>
      <c r="M1813" t="s">
        <v>5574</v>
      </c>
      <c r="N1813" t="s">
        <v>278</v>
      </c>
      <c r="O1813" t="s">
        <v>28</v>
      </c>
      <c r="P1813" t="s">
        <v>29</v>
      </c>
      <c r="Q1813">
        <v>39</v>
      </c>
      <c r="R1813">
        <v>-77.487399999999994</v>
      </c>
    </row>
    <row r="1814" spans="1:18" x14ac:dyDescent="0.2">
      <c r="A1814" t="s">
        <v>270</v>
      </c>
      <c r="B1814" t="s">
        <v>440</v>
      </c>
      <c r="C1814">
        <v>1</v>
      </c>
      <c r="D1814" s="1">
        <v>44083.821250000001</v>
      </c>
      <c r="E1814" t="s">
        <v>5575</v>
      </c>
      <c r="F1814" t="s">
        <v>273</v>
      </c>
      <c r="G1814" t="s">
        <v>5470</v>
      </c>
      <c r="H1814" t="s">
        <v>275</v>
      </c>
      <c r="I1814" t="s">
        <v>29</v>
      </c>
      <c r="J1814">
        <v>1</v>
      </c>
      <c r="K1814">
        <f>1-888-585-6916</f>
        <v>-8388</v>
      </c>
      <c r="L1814" t="s">
        <v>5576</v>
      </c>
      <c r="M1814" t="s">
        <v>5577</v>
      </c>
      <c r="N1814" t="s">
        <v>278</v>
      </c>
      <c r="O1814" t="s">
        <v>28</v>
      </c>
      <c r="P1814" t="s">
        <v>29</v>
      </c>
      <c r="Q1814">
        <v>39</v>
      </c>
      <c r="R1814">
        <v>-77.487399999999994</v>
      </c>
    </row>
    <row r="1815" spans="1:18" x14ac:dyDescent="0.2">
      <c r="A1815" t="s">
        <v>270</v>
      </c>
      <c r="B1815" t="s">
        <v>440</v>
      </c>
      <c r="C1815">
        <v>1</v>
      </c>
      <c r="D1815" s="1">
        <v>44083.801655092589</v>
      </c>
      <c r="E1815" t="s">
        <v>5578</v>
      </c>
      <c r="F1815" t="s">
        <v>273</v>
      </c>
      <c r="G1815" t="s">
        <v>5470</v>
      </c>
      <c r="H1815" t="s">
        <v>275</v>
      </c>
      <c r="I1815" t="s">
        <v>29</v>
      </c>
      <c r="J1815">
        <v>1</v>
      </c>
      <c r="K1815">
        <f>1-888-585-7516</f>
        <v>-8988</v>
      </c>
      <c r="L1815" t="s">
        <v>5579</v>
      </c>
      <c r="M1815" t="s">
        <v>5580</v>
      </c>
      <c r="N1815" t="s">
        <v>278</v>
      </c>
      <c r="O1815" t="s">
        <v>28</v>
      </c>
      <c r="P1815" t="s">
        <v>29</v>
      </c>
      <c r="Q1815">
        <v>39</v>
      </c>
      <c r="R1815">
        <v>-77.487399999999994</v>
      </c>
    </row>
    <row r="1816" spans="1:18" x14ac:dyDescent="0.2">
      <c r="A1816" t="s">
        <v>270</v>
      </c>
      <c r="B1816" t="s">
        <v>440</v>
      </c>
      <c r="C1816">
        <v>1</v>
      </c>
      <c r="D1816" s="1">
        <v>44082.915000000001</v>
      </c>
      <c r="E1816" t="s">
        <v>5581</v>
      </c>
      <c r="F1816" t="s">
        <v>273</v>
      </c>
      <c r="G1816" t="s">
        <v>5470</v>
      </c>
      <c r="H1816" t="s">
        <v>275</v>
      </c>
      <c r="I1816" t="s">
        <v>29</v>
      </c>
      <c r="J1816">
        <v>1</v>
      </c>
      <c r="K1816">
        <f>1-888-585-7311</f>
        <v>-8783</v>
      </c>
      <c r="L1816" t="s">
        <v>5582</v>
      </c>
      <c r="M1816" t="s">
        <v>5583</v>
      </c>
      <c r="N1816" t="s">
        <v>278</v>
      </c>
      <c r="O1816" t="s">
        <v>28</v>
      </c>
      <c r="P1816" t="s">
        <v>29</v>
      </c>
      <c r="Q1816">
        <v>39</v>
      </c>
      <c r="R1816">
        <v>-77.487399999999994</v>
      </c>
    </row>
    <row r="1817" spans="1:18" x14ac:dyDescent="0.2">
      <c r="A1817" t="s">
        <v>270</v>
      </c>
      <c r="B1817" t="s">
        <v>440</v>
      </c>
      <c r="C1817">
        <v>1</v>
      </c>
      <c r="D1817" s="1">
        <v>44078.85796296296</v>
      </c>
      <c r="E1817" t="s">
        <v>5584</v>
      </c>
      <c r="F1817" t="s">
        <v>273</v>
      </c>
      <c r="G1817" t="s">
        <v>5470</v>
      </c>
      <c r="H1817" t="s">
        <v>275</v>
      </c>
      <c r="I1817" t="s">
        <v>29</v>
      </c>
      <c r="J1817">
        <v>1</v>
      </c>
      <c r="K1817">
        <f>1-888-534-8036</f>
        <v>-9457</v>
      </c>
      <c r="L1817" t="s">
        <v>5585</v>
      </c>
      <c r="M1817" t="s">
        <v>5586</v>
      </c>
      <c r="N1817" t="s">
        <v>278</v>
      </c>
      <c r="O1817" t="s">
        <v>134</v>
      </c>
      <c r="P1817" t="s">
        <v>29</v>
      </c>
      <c r="Q1817">
        <v>39</v>
      </c>
      <c r="R1817">
        <v>-77.487399999999994</v>
      </c>
    </row>
    <row r="1818" spans="1:18" x14ac:dyDescent="0.2">
      <c r="A1818" t="s">
        <v>270</v>
      </c>
      <c r="B1818" t="s">
        <v>440</v>
      </c>
      <c r="C1818">
        <v>1</v>
      </c>
      <c r="D1818" s="1">
        <v>44078.857361111113</v>
      </c>
      <c r="E1818" t="s">
        <v>5587</v>
      </c>
      <c r="F1818" t="s">
        <v>273</v>
      </c>
      <c r="G1818" t="s">
        <v>5470</v>
      </c>
      <c r="H1818" t="s">
        <v>275</v>
      </c>
      <c r="I1818" t="s">
        <v>29</v>
      </c>
      <c r="J1818">
        <v>1</v>
      </c>
      <c r="K1818">
        <f>1-888-530-1472</f>
        <v>-2889</v>
      </c>
      <c r="L1818" t="s">
        <v>5588</v>
      </c>
      <c r="M1818" t="s">
        <v>5589</v>
      </c>
      <c r="N1818" t="s">
        <v>278</v>
      </c>
      <c r="O1818" t="s">
        <v>134</v>
      </c>
      <c r="P1818" t="s">
        <v>29</v>
      </c>
      <c r="Q1818">
        <v>39</v>
      </c>
      <c r="R1818">
        <v>-77.487399999999994</v>
      </c>
    </row>
    <row r="1819" spans="1:18" x14ac:dyDescent="0.2">
      <c r="A1819" t="s">
        <v>270</v>
      </c>
      <c r="B1819" t="s">
        <v>440</v>
      </c>
      <c r="C1819">
        <v>1</v>
      </c>
      <c r="D1819" s="1">
        <v>44078.849374999998</v>
      </c>
      <c r="E1819" t="s">
        <v>5590</v>
      </c>
      <c r="F1819" t="s">
        <v>273</v>
      </c>
      <c r="G1819" t="s">
        <v>5470</v>
      </c>
      <c r="H1819" t="s">
        <v>275</v>
      </c>
      <c r="I1819" t="s">
        <v>29</v>
      </c>
      <c r="J1819">
        <v>1</v>
      </c>
      <c r="K1819">
        <f>1-866-586-2110</f>
        <v>-3561</v>
      </c>
      <c r="L1819" t="s">
        <v>5591</v>
      </c>
      <c r="M1819" t="s">
        <v>5592</v>
      </c>
      <c r="N1819" t="s">
        <v>278</v>
      </c>
      <c r="O1819" t="s">
        <v>134</v>
      </c>
      <c r="P1819" t="s">
        <v>29</v>
      </c>
      <c r="Q1819">
        <v>39</v>
      </c>
      <c r="R1819">
        <v>-77.487399999999994</v>
      </c>
    </row>
    <row r="1820" spans="1:18" x14ac:dyDescent="0.2">
      <c r="A1820" t="s">
        <v>270</v>
      </c>
      <c r="B1820" t="s">
        <v>440</v>
      </c>
      <c r="C1820">
        <v>1</v>
      </c>
      <c r="D1820" s="1">
        <v>44077.596967592595</v>
      </c>
      <c r="E1820" t="s">
        <v>5593</v>
      </c>
      <c r="F1820" t="s">
        <v>273</v>
      </c>
      <c r="G1820" t="s">
        <v>5470</v>
      </c>
      <c r="H1820" t="s">
        <v>275</v>
      </c>
      <c r="I1820" t="s">
        <v>29</v>
      </c>
      <c r="J1820">
        <v>1</v>
      </c>
      <c r="K1820">
        <f>1-888-599-4708</f>
        <v>-6194</v>
      </c>
      <c r="L1820" t="s">
        <v>5594</v>
      </c>
      <c r="M1820" t="s">
        <v>5595</v>
      </c>
      <c r="N1820" t="s">
        <v>278</v>
      </c>
      <c r="O1820" t="s">
        <v>134</v>
      </c>
      <c r="P1820" t="s">
        <v>29</v>
      </c>
      <c r="Q1820">
        <v>39</v>
      </c>
      <c r="R1820">
        <v>-77.487399999999994</v>
      </c>
    </row>
    <row r="1821" spans="1:18" x14ac:dyDescent="0.2">
      <c r="A1821" t="s">
        <v>270</v>
      </c>
      <c r="B1821" t="s">
        <v>440</v>
      </c>
      <c r="C1821">
        <v>1</v>
      </c>
      <c r="D1821" s="1">
        <v>44077.59679398148</v>
      </c>
      <c r="E1821" t="s">
        <v>5596</v>
      </c>
      <c r="F1821" t="s">
        <v>273</v>
      </c>
      <c r="G1821" t="s">
        <v>5470</v>
      </c>
      <c r="H1821" t="s">
        <v>275</v>
      </c>
      <c r="I1821" t="s">
        <v>29</v>
      </c>
      <c r="J1821">
        <v>1</v>
      </c>
      <c r="K1821">
        <f>1-888-599-4708</f>
        <v>-6194</v>
      </c>
      <c r="L1821" t="s">
        <v>5597</v>
      </c>
      <c r="M1821" t="s">
        <v>5598</v>
      </c>
      <c r="N1821" t="s">
        <v>278</v>
      </c>
      <c r="O1821" t="s">
        <v>134</v>
      </c>
      <c r="P1821" t="s">
        <v>29</v>
      </c>
      <c r="Q1821">
        <v>39</v>
      </c>
      <c r="R1821">
        <v>-77.487399999999994</v>
      </c>
    </row>
    <row r="1822" spans="1:18" x14ac:dyDescent="0.2">
      <c r="A1822" t="s">
        <v>270</v>
      </c>
      <c r="B1822" t="s">
        <v>440</v>
      </c>
      <c r="C1822">
        <v>1</v>
      </c>
      <c r="D1822" s="1">
        <v>44077.596701388888</v>
      </c>
      <c r="E1822" t="s">
        <v>5599</v>
      </c>
      <c r="F1822" t="s">
        <v>273</v>
      </c>
      <c r="G1822" t="s">
        <v>5470</v>
      </c>
      <c r="H1822" t="s">
        <v>275</v>
      </c>
      <c r="I1822" t="s">
        <v>29</v>
      </c>
      <c r="J1822">
        <v>1</v>
      </c>
      <c r="K1822">
        <f>1-888-599-4708</f>
        <v>-6194</v>
      </c>
      <c r="L1822" t="s">
        <v>5600</v>
      </c>
      <c r="M1822" t="s">
        <v>5601</v>
      </c>
      <c r="N1822" t="s">
        <v>278</v>
      </c>
      <c r="O1822" t="s">
        <v>134</v>
      </c>
      <c r="P1822" t="s">
        <v>29</v>
      </c>
      <c r="Q1822">
        <v>39</v>
      </c>
      <c r="R1822">
        <v>-77.487399999999994</v>
      </c>
    </row>
    <row r="1823" spans="1:18" x14ac:dyDescent="0.2">
      <c r="A1823" t="s">
        <v>270</v>
      </c>
      <c r="B1823" t="s">
        <v>440</v>
      </c>
      <c r="C1823">
        <v>1</v>
      </c>
      <c r="D1823" s="1">
        <v>44076.381203703706</v>
      </c>
      <c r="E1823" t="s">
        <v>5602</v>
      </c>
      <c r="F1823" t="s">
        <v>273</v>
      </c>
      <c r="G1823" t="s">
        <v>5470</v>
      </c>
      <c r="H1823" t="s">
        <v>275</v>
      </c>
      <c r="I1823" t="s">
        <v>29</v>
      </c>
      <c r="J1823">
        <v>1</v>
      </c>
      <c r="K1823">
        <f>1-888-541-4913</f>
        <v>-6341</v>
      </c>
      <c r="L1823" t="s">
        <v>5603</v>
      </c>
      <c r="M1823" t="s">
        <v>5604</v>
      </c>
      <c r="N1823" t="s">
        <v>278</v>
      </c>
      <c r="O1823" t="s">
        <v>28</v>
      </c>
      <c r="P1823" t="s">
        <v>29</v>
      </c>
      <c r="Q1823">
        <v>39</v>
      </c>
      <c r="R1823">
        <v>-77.487399999999994</v>
      </c>
    </row>
    <row r="1824" spans="1:18" x14ac:dyDescent="0.2">
      <c r="A1824" t="s">
        <v>270</v>
      </c>
      <c r="B1824" t="s">
        <v>440</v>
      </c>
      <c r="C1824">
        <v>1</v>
      </c>
      <c r="D1824" s="1">
        <v>44076.381076388891</v>
      </c>
      <c r="E1824" t="s">
        <v>5605</v>
      </c>
      <c r="F1824" t="s">
        <v>273</v>
      </c>
      <c r="G1824" t="s">
        <v>5470</v>
      </c>
      <c r="H1824" t="s">
        <v>275</v>
      </c>
      <c r="I1824" t="s">
        <v>29</v>
      </c>
      <c r="J1824">
        <v>1</v>
      </c>
      <c r="K1824">
        <f>1-888-541-4913</f>
        <v>-6341</v>
      </c>
      <c r="L1824" t="s">
        <v>5606</v>
      </c>
      <c r="M1824" t="s">
        <v>5607</v>
      </c>
      <c r="N1824" t="s">
        <v>278</v>
      </c>
      <c r="O1824" t="s">
        <v>28</v>
      </c>
      <c r="P1824" t="s">
        <v>29</v>
      </c>
      <c r="Q1824">
        <v>39</v>
      </c>
      <c r="R1824">
        <v>-77.487399999999994</v>
      </c>
    </row>
    <row r="1825" spans="1:18" x14ac:dyDescent="0.2">
      <c r="A1825" t="s">
        <v>270</v>
      </c>
      <c r="B1825" t="s">
        <v>440</v>
      </c>
      <c r="C1825">
        <v>1</v>
      </c>
      <c r="D1825" s="1">
        <v>44073.943171296298</v>
      </c>
      <c r="E1825" t="s">
        <v>5608</v>
      </c>
      <c r="F1825" t="s">
        <v>273</v>
      </c>
      <c r="G1825" t="s">
        <v>5470</v>
      </c>
      <c r="H1825" t="s">
        <v>275</v>
      </c>
      <c r="I1825" t="s">
        <v>29</v>
      </c>
      <c r="J1825">
        <v>1</v>
      </c>
      <c r="K1825">
        <f>1-888-655-2376</f>
        <v>-3918</v>
      </c>
      <c r="L1825" t="s">
        <v>5609</v>
      </c>
      <c r="M1825" t="s">
        <v>5610</v>
      </c>
      <c r="N1825" t="s">
        <v>278</v>
      </c>
      <c r="O1825" t="s">
        <v>134</v>
      </c>
      <c r="P1825" t="s">
        <v>29</v>
      </c>
      <c r="Q1825">
        <v>39</v>
      </c>
      <c r="R1825">
        <v>-77.487399999999994</v>
      </c>
    </row>
    <row r="1826" spans="1:18" x14ac:dyDescent="0.2">
      <c r="A1826" t="s">
        <v>270</v>
      </c>
      <c r="B1826" t="s">
        <v>440</v>
      </c>
      <c r="C1826">
        <v>1</v>
      </c>
      <c r="D1826" s="1">
        <v>44073.930532407408</v>
      </c>
      <c r="E1826" t="s">
        <v>5611</v>
      </c>
      <c r="F1826" t="s">
        <v>273</v>
      </c>
      <c r="G1826" t="s">
        <v>5470</v>
      </c>
      <c r="H1826" t="s">
        <v>275</v>
      </c>
      <c r="I1826" t="s">
        <v>29</v>
      </c>
      <c r="J1826">
        <v>1</v>
      </c>
      <c r="K1826">
        <f>1-888-530-1472</f>
        <v>-2889</v>
      </c>
      <c r="L1826" t="s">
        <v>5612</v>
      </c>
      <c r="M1826" t="s">
        <v>5613</v>
      </c>
      <c r="N1826" t="s">
        <v>278</v>
      </c>
      <c r="O1826" t="s">
        <v>134</v>
      </c>
      <c r="P1826" t="s">
        <v>29</v>
      </c>
      <c r="Q1826">
        <v>39</v>
      </c>
      <c r="R1826">
        <v>-77.487399999999994</v>
      </c>
    </row>
    <row r="1827" spans="1:18" x14ac:dyDescent="0.2">
      <c r="A1827" t="s">
        <v>270</v>
      </c>
      <c r="B1827" t="s">
        <v>440</v>
      </c>
      <c r="C1827">
        <v>1</v>
      </c>
      <c r="D1827" s="1">
        <v>44073.929432870369</v>
      </c>
      <c r="E1827" t="s">
        <v>5614</v>
      </c>
      <c r="F1827" t="s">
        <v>273</v>
      </c>
      <c r="G1827" t="s">
        <v>5470</v>
      </c>
      <c r="H1827" t="s">
        <v>275</v>
      </c>
      <c r="I1827" t="s">
        <v>29</v>
      </c>
      <c r="J1827">
        <v>1</v>
      </c>
      <c r="K1827">
        <f>1-888-526-3661</f>
        <v>-5074</v>
      </c>
      <c r="L1827" t="s">
        <v>5615</v>
      </c>
      <c r="M1827" t="s">
        <v>5616</v>
      </c>
      <c r="N1827" t="s">
        <v>278</v>
      </c>
      <c r="O1827" t="s">
        <v>134</v>
      </c>
      <c r="P1827" t="s">
        <v>29</v>
      </c>
      <c r="Q1827">
        <v>39</v>
      </c>
      <c r="R1827">
        <v>-77.487399999999994</v>
      </c>
    </row>
    <row r="1828" spans="1:18" x14ac:dyDescent="0.2">
      <c r="A1828" t="s">
        <v>270</v>
      </c>
      <c r="B1828" t="s">
        <v>440</v>
      </c>
      <c r="C1828">
        <v>1</v>
      </c>
      <c r="D1828" s="1">
        <v>44073.927835648145</v>
      </c>
      <c r="E1828" t="s">
        <v>5617</v>
      </c>
      <c r="F1828" t="s">
        <v>273</v>
      </c>
      <c r="G1828" t="s">
        <v>5470</v>
      </c>
      <c r="H1828" t="s">
        <v>275</v>
      </c>
      <c r="I1828" t="s">
        <v>29</v>
      </c>
      <c r="J1828">
        <v>1</v>
      </c>
      <c r="K1828">
        <f>1-888-526-3661</f>
        <v>-5074</v>
      </c>
      <c r="L1828" t="s">
        <v>5618</v>
      </c>
      <c r="M1828" t="s">
        <v>5619</v>
      </c>
      <c r="N1828" t="s">
        <v>278</v>
      </c>
      <c r="O1828" t="s">
        <v>134</v>
      </c>
      <c r="P1828" t="s">
        <v>29</v>
      </c>
      <c r="Q1828">
        <v>39</v>
      </c>
      <c r="R1828">
        <v>-77.487399999999994</v>
      </c>
    </row>
    <row r="1829" spans="1:18" x14ac:dyDescent="0.2">
      <c r="A1829" t="s">
        <v>270</v>
      </c>
      <c r="B1829" t="s">
        <v>440</v>
      </c>
      <c r="C1829">
        <v>1</v>
      </c>
      <c r="D1829" s="1">
        <v>44073.926712962966</v>
      </c>
      <c r="E1829" t="s">
        <v>5620</v>
      </c>
      <c r="F1829" t="s">
        <v>273</v>
      </c>
      <c r="G1829" t="s">
        <v>5470</v>
      </c>
      <c r="H1829" t="s">
        <v>275</v>
      </c>
      <c r="I1829" t="s">
        <v>29</v>
      </c>
      <c r="J1829">
        <v>1</v>
      </c>
      <c r="K1829">
        <f>1-888-526-3661</f>
        <v>-5074</v>
      </c>
      <c r="L1829" t="s">
        <v>5621</v>
      </c>
      <c r="M1829" t="s">
        <v>5622</v>
      </c>
      <c r="N1829" t="s">
        <v>278</v>
      </c>
      <c r="O1829" t="s">
        <v>134</v>
      </c>
      <c r="P1829" t="s">
        <v>29</v>
      </c>
      <c r="Q1829">
        <v>39</v>
      </c>
      <c r="R1829">
        <v>-77.487399999999994</v>
      </c>
    </row>
    <row r="1830" spans="1:18" x14ac:dyDescent="0.2">
      <c r="A1830" t="s">
        <v>270</v>
      </c>
      <c r="B1830" t="s">
        <v>440</v>
      </c>
      <c r="C1830">
        <v>1</v>
      </c>
      <c r="D1830" s="1">
        <v>44073.062673611108</v>
      </c>
      <c r="E1830" t="s">
        <v>5623</v>
      </c>
      <c r="F1830" t="s">
        <v>273</v>
      </c>
      <c r="G1830" t="s">
        <v>5470</v>
      </c>
      <c r="H1830" t="s">
        <v>275</v>
      </c>
      <c r="I1830" t="s">
        <v>29</v>
      </c>
      <c r="J1830">
        <v>1</v>
      </c>
      <c r="K1830">
        <f>1-888-705-881</f>
        <v>-2473</v>
      </c>
      <c r="L1830" t="s">
        <v>5624</v>
      </c>
      <c r="M1830" t="s">
        <v>5625</v>
      </c>
      <c r="N1830" t="s">
        <v>278</v>
      </c>
      <c r="O1830" t="s">
        <v>134</v>
      </c>
      <c r="P1830" t="s">
        <v>29</v>
      </c>
      <c r="Q1830">
        <v>39</v>
      </c>
      <c r="R1830">
        <v>-77.487399999999994</v>
      </c>
    </row>
    <row r="1831" spans="1:18" x14ac:dyDescent="0.2">
      <c r="A1831" t="s">
        <v>270</v>
      </c>
      <c r="B1831" t="s">
        <v>440</v>
      </c>
      <c r="C1831">
        <v>1</v>
      </c>
      <c r="D1831" s="1">
        <v>44073.027199074073</v>
      </c>
      <c r="E1831" t="s">
        <v>5626</v>
      </c>
      <c r="F1831" t="s">
        <v>273</v>
      </c>
      <c r="G1831" t="s">
        <v>5470</v>
      </c>
      <c r="H1831" t="s">
        <v>275</v>
      </c>
      <c r="I1831" t="s">
        <v>29</v>
      </c>
      <c r="J1831">
        <v>1</v>
      </c>
      <c r="K1831">
        <f>1-888-909-1336</f>
        <v>-3132</v>
      </c>
      <c r="L1831" t="s">
        <v>5627</v>
      </c>
      <c r="M1831" t="s">
        <v>5628</v>
      </c>
      <c r="N1831" t="s">
        <v>278</v>
      </c>
      <c r="O1831" t="s">
        <v>134</v>
      </c>
      <c r="P1831" t="s">
        <v>29</v>
      </c>
      <c r="Q1831">
        <v>39</v>
      </c>
      <c r="R1831">
        <v>-77.487399999999994</v>
      </c>
    </row>
    <row r="1832" spans="1:18" x14ac:dyDescent="0.2">
      <c r="A1832" t="s">
        <v>270</v>
      </c>
      <c r="B1832" t="s">
        <v>440</v>
      </c>
      <c r="C1832">
        <v>1</v>
      </c>
      <c r="D1832" s="1">
        <v>44073.026342592595</v>
      </c>
      <c r="E1832" t="s">
        <v>5629</v>
      </c>
      <c r="F1832" t="s">
        <v>273</v>
      </c>
      <c r="G1832" t="s">
        <v>5470</v>
      </c>
      <c r="H1832" t="s">
        <v>275</v>
      </c>
      <c r="I1832" t="s">
        <v>29</v>
      </c>
      <c r="J1832">
        <v>1</v>
      </c>
      <c r="K1832">
        <f>1-888-598-1511</f>
        <v>-2996</v>
      </c>
      <c r="L1832" t="s">
        <v>5630</v>
      </c>
      <c r="M1832" t="s">
        <v>5631</v>
      </c>
      <c r="N1832" t="s">
        <v>278</v>
      </c>
      <c r="O1832" t="s">
        <v>134</v>
      </c>
      <c r="P1832" t="s">
        <v>29</v>
      </c>
      <c r="Q1832">
        <v>39</v>
      </c>
      <c r="R1832">
        <v>-77.487399999999994</v>
      </c>
    </row>
    <row r="1833" spans="1:18" x14ac:dyDescent="0.2">
      <c r="A1833" t="s">
        <v>270</v>
      </c>
      <c r="B1833" t="s">
        <v>440</v>
      </c>
      <c r="C1833">
        <v>1</v>
      </c>
      <c r="D1833" s="1">
        <v>44072.869409722225</v>
      </c>
      <c r="E1833" t="s">
        <v>5632</v>
      </c>
      <c r="F1833" t="s">
        <v>273</v>
      </c>
      <c r="G1833" t="s">
        <v>5470</v>
      </c>
      <c r="H1833" t="s">
        <v>275</v>
      </c>
      <c r="I1833" t="s">
        <v>29</v>
      </c>
      <c r="J1833">
        <v>1</v>
      </c>
      <c r="K1833">
        <f>1-888-609-3819</f>
        <v>-5315</v>
      </c>
      <c r="L1833" t="s">
        <v>5633</v>
      </c>
      <c r="M1833" t="s">
        <v>5634</v>
      </c>
      <c r="N1833" t="s">
        <v>278</v>
      </c>
      <c r="O1833" t="s">
        <v>134</v>
      </c>
      <c r="P1833" t="s">
        <v>29</v>
      </c>
      <c r="Q1833">
        <v>39</v>
      </c>
      <c r="R1833">
        <v>-77.487399999999994</v>
      </c>
    </row>
    <row r="1834" spans="1:18" x14ac:dyDescent="0.2">
      <c r="A1834" t="s">
        <v>270</v>
      </c>
      <c r="B1834" t="s">
        <v>440</v>
      </c>
      <c r="C1834">
        <v>1</v>
      </c>
      <c r="D1834" s="1">
        <v>44072.868344907409</v>
      </c>
      <c r="E1834" t="s">
        <v>5635</v>
      </c>
      <c r="F1834" t="s">
        <v>273</v>
      </c>
      <c r="G1834" t="s">
        <v>5470</v>
      </c>
      <c r="H1834" t="s">
        <v>275</v>
      </c>
      <c r="I1834" t="s">
        <v>29</v>
      </c>
      <c r="J1834">
        <v>1</v>
      </c>
      <c r="K1834">
        <f>1-888-609-3819</f>
        <v>-5315</v>
      </c>
      <c r="L1834" t="s">
        <v>5636</v>
      </c>
      <c r="M1834" t="s">
        <v>5637</v>
      </c>
      <c r="N1834" t="s">
        <v>278</v>
      </c>
      <c r="O1834" t="s">
        <v>134</v>
      </c>
      <c r="P1834" t="s">
        <v>29</v>
      </c>
      <c r="Q1834">
        <v>39</v>
      </c>
      <c r="R1834">
        <v>-77.487399999999994</v>
      </c>
    </row>
    <row r="1835" spans="1:18" x14ac:dyDescent="0.2">
      <c r="A1835" t="s">
        <v>270</v>
      </c>
      <c r="B1835" t="s">
        <v>440</v>
      </c>
      <c r="C1835">
        <v>1</v>
      </c>
      <c r="D1835" s="1">
        <v>44072.867326388892</v>
      </c>
      <c r="E1835" t="s">
        <v>5638</v>
      </c>
      <c r="F1835" t="s">
        <v>273</v>
      </c>
      <c r="G1835" t="s">
        <v>5470</v>
      </c>
      <c r="H1835" t="s">
        <v>275</v>
      </c>
      <c r="I1835" t="s">
        <v>29</v>
      </c>
      <c r="J1835">
        <v>1</v>
      </c>
      <c r="K1835">
        <f>1-888-604-806</f>
        <v>-2297</v>
      </c>
      <c r="L1835" t="s">
        <v>5639</v>
      </c>
      <c r="M1835" t="s">
        <v>5640</v>
      </c>
      <c r="N1835" t="s">
        <v>278</v>
      </c>
      <c r="O1835" t="s">
        <v>134</v>
      </c>
      <c r="P1835" t="s">
        <v>29</v>
      </c>
      <c r="Q1835">
        <v>39</v>
      </c>
      <c r="R1835">
        <v>-77.487399999999994</v>
      </c>
    </row>
    <row r="1836" spans="1:18" x14ac:dyDescent="0.2">
      <c r="A1836" t="s">
        <v>270</v>
      </c>
      <c r="B1836" t="s">
        <v>440</v>
      </c>
      <c r="C1836">
        <v>1</v>
      </c>
      <c r="D1836" s="1">
        <v>44072.865740740737</v>
      </c>
      <c r="E1836" t="s">
        <v>5641</v>
      </c>
      <c r="F1836" t="s">
        <v>273</v>
      </c>
      <c r="G1836" t="s">
        <v>5470</v>
      </c>
      <c r="H1836" t="s">
        <v>275</v>
      </c>
      <c r="I1836" t="s">
        <v>29</v>
      </c>
      <c r="J1836">
        <v>1</v>
      </c>
      <c r="K1836">
        <f>1-888-604-806</f>
        <v>-2297</v>
      </c>
      <c r="L1836" t="s">
        <v>5642</v>
      </c>
      <c r="M1836" t="s">
        <v>5643</v>
      </c>
      <c r="N1836" t="s">
        <v>278</v>
      </c>
      <c r="O1836" t="s">
        <v>134</v>
      </c>
      <c r="P1836" t="s">
        <v>29</v>
      </c>
      <c r="Q1836">
        <v>39</v>
      </c>
      <c r="R1836">
        <v>-77.487399999999994</v>
      </c>
    </row>
    <row r="1837" spans="1:18" x14ac:dyDescent="0.2">
      <c r="A1837" t="s">
        <v>270</v>
      </c>
      <c r="B1837" t="s">
        <v>440</v>
      </c>
      <c r="C1837">
        <v>1</v>
      </c>
      <c r="D1837" s="1">
        <v>44072.291238425925</v>
      </c>
      <c r="E1837" t="s">
        <v>5644</v>
      </c>
      <c r="F1837" t="s">
        <v>273</v>
      </c>
      <c r="G1837" t="s">
        <v>5470</v>
      </c>
      <c r="H1837" t="s">
        <v>275</v>
      </c>
      <c r="I1837" t="s">
        <v>29</v>
      </c>
      <c r="J1837">
        <v>1</v>
      </c>
      <c r="K1837">
        <f>1-888-658-5805</f>
        <v>-7350</v>
      </c>
      <c r="L1837" t="s">
        <v>5645</v>
      </c>
      <c r="M1837" t="s">
        <v>5646</v>
      </c>
      <c r="N1837" t="s">
        <v>278</v>
      </c>
      <c r="O1837" t="s">
        <v>134</v>
      </c>
      <c r="P1837" t="s">
        <v>29</v>
      </c>
      <c r="Q1837">
        <v>39</v>
      </c>
      <c r="R1837">
        <v>-77.487399999999994</v>
      </c>
    </row>
    <row r="1838" spans="1:18" x14ac:dyDescent="0.2">
      <c r="A1838" t="s">
        <v>270</v>
      </c>
      <c r="B1838" t="s">
        <v>440</v>
      </c>
      <c r="C1838">
        <v>1</v>
      </c>
      <c r="D1838" s="1">
        <v>44071.975995370369</v>
      </c>
      <c r="E1838" t="s">
        <v>5647</v>
      </c>
      <c r="F1838" t="s">
        <v>273</v>
      </c>
      <c r="G1838" t="s">
        <v>5470</v>
      </c>
      <c r="H1838" t="s">
        <v>275</v>
      </c>
      <c r="I1838" t="s">
        <v>29</v>
      </c>
      <c r="J1838">
        <v>1</v>
      </c>
      <c r="K1838">
        <f>1-888-597-1530</f>
        <v>-3014</v>
      </c>
      <c r="L1838" t="s">
        <v>5648</v>
      </c>
      <c r="M1838" t="s">
        <v>5649</v>
      </c>
      <c r="N1838" t="s">
        <v>278</v>
      </c>
      <c r="O1838" t="s">
        <v>134</v>
      </c>
      <c r="P1838" t="s">
        <v>29</v>
      </c>
      <c r="Q1838">
        <v>39</v>
      </c>
      <c r="R1838">
        <v>-77.487399999999994</v>
      </c>
    </row>
    <row r="1839" spans="1:18" x14ac:dyDescent="0.2">
      <c r="A1839" t="s">
        <v>270</v>
      </c>
      <c r="B1839" t="s">
        <v>440</v>
      </c>
      <c r="C1839">
        <v>1</v>
      </c>
      <c r="D1839" s="1">
        <v>44071.975428240738</v>
      </c>
      <c r="E1839" t="s">
        <v>5650</v>
      </c>
      <c r="F1839" t="s">
        <v>273</v>
      </c>
      <c r="G1839" t="s">
        <v>5470</v>
      </c>
      <c r="H1839" t="s">
        <v>275</v>
      </c>
      <c r="I1839" t="s">
        <v>29</v>
      </c>
      <c r="J1839">
        <v>1</v>
      </c>
      <c r="K1839">
        <f>1-888-598-1347</f>
        <v>-2832</v>
      </c>
      <c r="L1839" t="s">
        <v>5651</v>
      </c>
      <c r="M1839" t="s">
        <v>5652</v>
      </c>
      <c r="N1839" t="s">
        <v>278</v>
      </c>
      <c r="O1839" t="s">
        <v>134</v>
      </c>
      <c r="P1839" t="s">
        <v>29</v>
      </c>
      <c r="Q1839">
        <v>39</v>
      </c>
      <c r="R1839">
        <v>-77.487399999999994</v>
      </c>
    </row>
    <row r="1840" spans="1:18" x14ac:dyDescent="0.2">
      <c r="A1840" t="s">
        <v>270</v>
      </c>
      <c r="B1840" t="s">
        <v>440</v>
      </c>
      <c r="C1840">
        <v>1</v>
      </c>
      <c r="D1840" s="1">
        <v>44071.973680555559</v>
      </c>
      <c r="E1840" t="s">
        <v>5653</v>
      </c>
      <c r="F1840" t="s">
        <v>273</v>
      </c>
      <c r="G1840" t="s">
        <v>5470</v>
      </c>
      <c r="H1840" t="s">
        <v>275</v>
      </c>
      <c r="I1840" t="s">
        <v>29</v>
      </c>
      <c r="J1840">
        <v>1</v>
      </c>
      <c r="K1840">
        <f>1-888-909-1270</f>
        <v>-3066</v>
      </c>
      <c r="L1840" t="s">
        <v>5654</v>
      </c>
      <c r="M1840" t="s">
        <v>5655</v>
      </c>
      <c r="N1840" t="s">
        <v>278</v>
      </c>
      <c r="O1840" t="s">
        <v>134</v>
      </c>
      <c r="P1840" t="s">
        <v>29</v>
      </c>
      <c r="Q1840">
        <v>39</v>
      </c>
      <c r="R1840">
        <v>-77.487399999999994</v>
      </c>
    </row>
    <row r="1841" spans="1:18" x14ac:dyDescent="0.2">
      <c r="A1841" t="s">
        <v>270</v>
      </c>
      <c r="B1841" t="s">
        <v>440</v>
      </c>
      <c r="C1841">
        <v>1</v>
      </c>
      <c r="D1841" s="1">
        <v>44071.916122685187</v>
      </c>
      <c r="E1841" t="s">
        <v>5656</v>
      </c>
      <c r="F1841" t="s">
        <v>273</v>
      </c>
      <c r="G1841" t="s">
        <v>5470</v>
      </c>
      <c r="H1841" t="s">
        <v>275</v>
      </c>
      <c r="I1841" t="s">
        <v>29</v>
      </c>
      <c r="J1841">
        <v>1</v>
      </c>
      <c r="K1841">
        <f>1-888-312-1430</f>
        <v>-2629</v>
      </c>
      <c r="L1841" t="s">
        <v>5657</v>
      </c>
      <c r="M1841" t="s">
        <v>5658</v>
      </c>
      <c r="N1841" t="s">
        <v>278</v>
      </c>
      <c r="O1841" t="s">
        <v>134</v>
      </c>
      <c r="P1841" t="s">
        <v>29</v>
      </c>
      <c r="Q1841">
        <v>39</v>
      </c>
      <c r="R1841">
        <v>-77.487399999999994</v>
      </c>
    </row>
    <row r="1842" spans="1:18" x14ac:dyDescent="0.2">
      <c r="A1842" t="s">
        <v>270</v>
      </c>
      <c r="B1842" t="s">
        <v>440</v>
      </c>
      <c r="C1842">
        <v>1</v>
      </c>
      <c r="D1842" s="1">
        <v>44071.915682870371</v>
      </c>
      <c r="E1842" t="s">
        <v>5659</v>
      </c>
      <c r="F1842" t="s">
        <v>273</v>
      </c>
      <c r="G1842" t="s">
        <v>5470</v>
      </c>
      <c r="H1842" t="s">
        <v>275</v>
      </c>
      <c r="I1842" t="s">
        <v>29</v>
      </c>
      <c r="J1842">
        <v>1</v>
      </c>
      <c r="K1842">
        <f>1-888-706-1244</f>
        <v>-2837</v>
      </c>
      <c r="L1842" t="s">
        <v>5660</v>
      </c>
      <c r="M1842" t="s">
        <v>5661</v>
      </c>
      <c r="N1842" t="s">
        <v>278</v>
      </c>
      <c r="O1842" t="s">
        <v>134</v>
      </c>
      <c r="P1842" t="s">
        <v>29</v>
      </c>
      <c r="Q1842">
        <v>39</v>
      </c>
      <c r="R1842">
        <v>-77.487399999999994</v>
      </c>
    </row>
    <row r="1843" spans="1:18" x14ac:dyDescent="0.2">
      <c r="A1843" t="s">
        <v>270</v>
      </c>
      <c r="B1843" t="s">
        <v>440</v>
      </c>
      <c r="C1843">
        <v>1</v>
      </c>
      <c r="D1843" s="1">
        <v>44071.90697916667</v>
      </c>
      <c r="E1843" t="s">
        <v>5662</v>
      </c>
      <c r="F1843" t="s">
        <v>273</v>
      </c>
      <c r="G1843" t="s">
        <v>5470</v>
      </c>
      <c r="H1843" t="s">
        <v>275</v>
      </c>
      <c r="I1843" t="s">
        <v>29</v>
      </c>
      <c r="J1843">
        <v>1</v>
      </c>
      <c r="K1843">
        <f>1-888-708-1143</f>
        <v>-2738</v>
      </c>
      <c r="L1843" t="s">
        <v>5663</v>
      </c>
      <c r="M1843" t="s">
        <v>5664</v>
      </c>
      <c r="N1843" t="s">
        <v>278</v>
      </c>
      <c r="O1843" t="s">
        <v>134</v>
      </c>
      <c r="P1843" t="s">
        <v>29</v>
      </c>
      <c r="Q1843">
        <v>39</v>
      </c>
      <c r="R1843">
        <v>-77.487399999999994</v>
      </c>
    </row>
    <row r="1844" spans="1:18" x14ac:dyDescent="0.2">
      <c r="A1844" t="s">
        <v>270</v>
      </c>
      <c r="B1844" t="s">
        <v>440</v>
      </c>
      <c r="C1844">
        <v>1</v>
      </c>
      <c r="D1844" s="1">
        <v>44071.9065162037</v>
      </c>
      <c r="E1844" t="s">
        <v>5665</v>
      </c>
      <c r="F1844" t="s">
        <v>273</v>
      </c>
      <c r="G1844" t="s">
        <v>5470</v>
      </c>
      <c r="H1844" t="s">
        <v>275</v>
      </c>
      <c r="I1844" t="s">
        <v>29</v>
      </c>
      <c r="J1844">
        <v>1</v>
      </c>
      <c r="K1844">
        <f>1-888-803-850</f>
        <v>-2540</v>
      </c>
      <c r="L1844" t="s">
        <v>5666</v>
      </c>
      <c r="M1844" t="s">
        <v>5667</v>
      </c>
      <c r="N1844" t="s">
        <v>278</v>
      </c>
      <c r="O1844" t="s">
        <v>134</v>
      </c>
      <c r="P1844" t="s">
        <v>29</v>
      </c>
      <c r="Q1844">
        <v>39</v>
      </c>
      <c r="R1844">
        <v>-77.487399999999994</v>
      </c>
    </row>
    <row r="1845" spans="1:18" x14ac:dyDescent="0.2">
      <c r="A1845" t="s">
        <v>270</v>
      </c>
      <c r="B1845" t="s">
        <v>440</v>
      </c>
      <c r="C1845">
        <v>1</v>
      </c>
      <c r="D1845" s="1">
        <v>44071.889293981483</v>
      </c>
      <c r="E1845" t="s">
        <v>5668</v>
      </c>
      <c r="F1845" t="s">
        <v>273</v>
      </c>
      <c r="G1845" t="s">
        <v>5470</v>
      </c>
      <c r="H1845" t="s">
        <v>275</v>
      </c>
      <c r="I1845" t="s">
        <v>29</v>
      </c>
      <c r="J1845">
        <v>1</v>
      </c>
      <c r="K1845">
        <f>1-888-312-1430</f>
        <v>-2629</v>
      </c>
      <c r="L1845" t="s">
        <v>5669</v>
      </c>
      <c r="M1845" t="s">
        <v>5670</v>
      </c>
      <c r="N1845" t="s">
        <v>278</v>
      </c>
      <c r="O1845" t="s">
        <v>134</v>
      </c>
      <c r="P1845" t="s">
        <v>29</v>
      </c>
      <c r="Q1845">
        <v>39</v>
      </c>
      <c r="R1845">
        <v>-77.487399999999994</v>
      </c>
    </row>
    <row r="1846" spans="1:18" x14ac:dyDescent="0.2">
      <c r="A1846" t="s">
        <v>270</v>
      </c>
      <c r="B1846" t="s">
        <v>440</v>
      </c>
      <c r="C1846">
        <v>1</v>
      </c>
      <c r="D1846" s="1">
        <v>44071.836817129632</v>
      </c>
      <c r="E1846" t="s">
        <v>5671</v>
      </c>
      <c r="F1846" t="s">
        <v>273</v>
      </c>
      <c r="G1846" t="s">
        <v>5470</v>
      </c>
      <c r="H1846" t="s">
        <v>275</v>
      </c>
      <c r="I1846" t="s">
        <v>29</v>
      </c>
      <c r="J1846">
        <v>1</v>
      </c>
      <c r="K1846">
        <f>1-888-607-419</f>
        <v>-1913</v>
      </c>
      <c r="L1846" t="s">
        <v>5672</v>
      </c>
      <c r="M1846" t="s">
        <v>5673</v>
      </c>
      <c r="N1846" t="s">
        <v>278</v>
      </c>
      <c r="O1846" t="s">
        <v>28</v>
      </c>
      <c r="P1846" t="s">
        <v>29</v>
      </c>
      <c r="Q1846">
        <v>39</v>
      </c>
      <c r="R1846">
        <v>-77.487399999999994</v>
      </c>
    </row>
    <row r="1847" spans="1:18" x14ac:dyDescent="0.2">
      <c r="A1847" t="s">
        <v>270</v>
      </c>
      <c r="B1847" t="s">
        <v>440</v>
      </c>
      <c r="C1847">
        <v>1</v>
      </c>
      <c r="D1847" s="1">
        <v>44071.424942129626</v>
      </c>
      <c r="E1847" t="s">
        <v>5674</v>
      </c>
      <c r="F1847" t="s">
        <v>273</v>
      </c>
      <c r="G1847" t="s">
        <v>5470</v>
      </c>
      <c r="H1847" t="s">
        <v>275</v>
      </c>
      <c r="I1847" t="s">
        <v>29</v>
      </c>
      <c r="J1847">
        <v>1</v>
      </c>
      <c r="K1847">
        <f>1-888-417-4090</f>
        <v>-5394</v>
      </c>
      <c r="L1847" t="s">
        <v>5675</v>
      </c>
      <c r="M1847" t="s">
        <v>5676</v>
      </c>
      <c r="N1847" t="s">
        <v>278</v>
      </c>
      <c r="O1847" t="s">
        <v>134</v>
      </c>
      <c r="P1847" t="s">
        <v>29</v>
      </c>
      <c r="Q1847">
        <v>39</v>
      </c>
      <c r="R1847">
        <v>-77.487399999999994</v>
      </c>
    </row>
    <row r="1848" spans="1:18" x14ac:dyDescent="0.2">
      <c r="A1848" t="s">
        <v>270</v>
      </c>
      <c r="B1848" t="s">
        <v>440</v>
      </c>
      <c r="C1848">
        <v>1</v>
      </c>
      <c r="D1848" s="1">
        <v>44070.732800925929</v>
      </c>
      <c r="E1848" t="s">
        <v>5677</v>
      </c>
      <c r="F1848" t="s">
        <v>273</v>
      </c>
      <c r="G1848" t="s">
        <v>5470</v>
      </c>
      <c r="H1848" t="s">
        <v>275</v>
      </c>
      <c r="I1848" t="s">
        <v>29</v>
      </c>
      <c r="J1848">
        <v>1</v>
      </c>
      <c r="K1848">
        <f>1-888-909-1270</f>
        <v>-3066</v>
      </c>
      <c r="L1848" t="s">
        <v>5678</v>
      </c>
      <c r="M1848" t="s">
        <v>5679</v>
      </c>
      <c r="N1848" t="s">
        <v>278</v>
      </c>
      <c r="O1848" t="s">
        <v>134</v>
      </c>
      <c r="P1848" t="s">
        <v>29</v>
      </c>
      <c r="Q1848">
        <v>39</v>
      </c>
      <c r="R1848">
        <v>-77.487399999999994</v>
      </c>
    </row>
    <row r="1849" spans="1:18" x14ac:dyDescent="0.2">
      <c r="A1849" t="s">
        <v>270</v>
      </c>
      <c r="B1849" t="s">
        <v>440</v>
      </c>
      <c r="C1849">
        <v>1</v>
      </c>
      <c r="D1849" s="1">
        <v>44070.582673611112</v>
      </c>
      <c r="E1849" t="s">
        <v>5680</v>
      </c>
      <c r="F1849" t="s">
        <v>273</v>
      </c>
      <c r="G1849" t="s">
        <v>5470</v>
      </c>
      <c r="H1849" t="s">
        <v>275</v>
      </c>
      <c r="I1849" t="s">
        <v>29</v>
      </c>
      <c r="J1849">
        <v>1</v>
      </c>
      <c r="K1849">
        <f>1-866-672-9693</f>
        <v>-11230</v>
      </c>
      <c r="L1849" t="s">
        <v>5681</v>
      </c>
      <c r="M1849" t="s">
        <v>5682</v>
      </c>
      <c r="N1849" t="s">
        <v>278</v>
      </c>
      <c r="O1849" t="s">
        <v>134</v>
      </c>
      <c r="P1849" t="s">
        <v>29</v>
      </c>
      <c r="Q1849">
        <v>39</v>
      </c>
      <c r="R1849">
        <v>-77.487399999999994</v>
      </c>
    </row>
    <row r="1850" spans="1:18" x14ac:dyDescent="0.2">
      <c r="A1850" t="s">
        <v>270</v>
      </c>
      <c r="B1850" t="s">
        <v>440</v>
      </c>
      <c r="C1850">
        <v>1</v>
      </c>
      <c r="D1850" s="1">
        <v>44070.580405092594</v>
      </c>
      <c r="E1850" t="s">
        <v>5683</v>
      </c>
      <c r="F1850" t="s">
        <v>273</v>
      </c>
      <c r="G1850" t="s">
        <v>5470</v>
      </c>
      <c r="H1850" t="s">
        <v>275</v>
      </c>
      <c r="I1850" t="s">
        <v>29</v>
      </c>
      <c r="J1850">
        <v>1</v>
      </c>
      <c r="K1850">
        <f>1-866-753-6098</f>
        <v>-7716</v>
      </c>
      <c r="L1850" t="s">
        <v>5684</v>
      </c>
      <c r="M1850" t="s">
        <v>5685</v>
      </c>
      <c r="N1850" t="s">
        <v>278</v>
      </c>
      <c r="O1850" t="s">
        <v>134</v>
      </c>
      <c r="P1850" t="s">
        <v>29</v>
      </c>
      <c r="Q1850">
        <v>39</v>
      </c>
      <c r="R1850">
        <v>-77.487399999999994</v>
      </c>
    </row>
    <row r="1851" spans="1:18" x14ac:dyDescent="0.2">
      <c r="A1851" t="s">
        <v>270</v>
      </c>
      <c r="B1851" t="s">
        <v>440</v>
      </c>
      <c r="C1851">
        <v>1</v>
      </c>
      <c r="D1851" s="1">
        <v>44070.577384259261</v>
      </c>
      <c r="E1851" t="s">
        <v>5686</v>
      </c>
      <c r="F1851" t="s">
        <v>273</v>
      </c>
      <c r="G1851" t="s">
        <v>5470</v>
      </c>
      <c r="H1851" t="s">
        <v>275</v>
      </c>
      <c r="I1851" t="s">
        <v>29</v>
      </c>
      <c r="J1851">
        <v>1</v>
      </c>
      <c r="K1851">
        <f>1-866-730-8093</f>
        <v>-9688</v>
      </c>
      <c r="L1851" t="s">
        <v>5687</v>
      </c>
      <c r="M1851" t="s">
        <v>5688</v>
      </c>
      <c r="N1851" t="s">
        <v>278</v>
      </c>
      <c r="O1851" t="s">
        <v>134</v>
      </c>
      <c r="P1851" t="s">
        <v>29</v>
      </c>
      <c r="Q1851">
        <v>39</v>
      </c>
      <c r="R1851">
        <v>-77.487399999999994</v>
      </c>
    </row>
    <row r="1852" spans="1:18" x14ac:dyDescent="0.2">
      <c r="A1852" t="s">
        <v>270</v>
      </c>
      <c r="B1852" t="s">
        <v>440</v>
      </c>
      <c r="C1852">
        <v>1</v>
      </c>
      <c r="D1852" s="1">
        <v>44068.187673611108</v>
      </c>
      <c r="E1852" t="s">
        <v>5689</v>
      </c>
      <c r="F1852" t="s">
        <v>273</v>
      </c>
      <c r="G1852" t="s">
        <v>5470</v>
      </c>
      <c r="H1852" t="s">
        <v>275</v>
      </c>
      <c r="I1852" t="s">
        <v>29</v>
      </c>
      <c r="J1852">
        <v>1</v>
      </c>
      <c r="K1852">
        <f>1-888-525-1127</f>
        <v>-2539</v>
      </c>
      <c r="L1852" t="s">
        <v>5690</v>
      </c>
      <c r="M1852" t="s">
        <v>5691</v>
      </c>
      <c r="N1852" t="s">
        <v>278</v>
      </c>
      <c r="O1852" t="s">
        <v>134</v>
      </c>
      <c r="P1852" t="s">
        <v>29</v>
      </c>
      <c r="Q1852">
        <v>39</v>
      </c>
      <c r="R1852">
        <v>-77.487399999999994</v>
      </c>
    </row>
    <row r="1853" spans="1:18" x14ac:dyDescent="0.2">
      <c r="A1853" t="s">
        <v>270</v>
      </c>
      <c r="B1853" t="s">
        <v>440</v>
      </c>
      <c r="C1853">
        <v>1</v>
      </c>
      <c r="D1853" s="1">
        <v>44068.076261574075</v>
      </c>
      <c r="E1853" t="s">
        <v>5692</v>
      </c>
      <c r="F1853" t="s">
        <v>273</v>
      </c>
      <c r="G1853" t="s">
        <v>5470</v>
      </c>
      <c r="H1853" t="s">
        <v>275</v>
      </c>
      <c r="I1853" t="s">
        <v>29</v>
      </c>
      <c r="J1853">
        <v>1</v>
      </c>
      <c r="K1853">
        <f>1-888-525-642</f>
        <v>-2054</v>
      </c>
      <c r="L1853" t="s">
        <v>5693</v>
      </c>
      <c r="M1853" t="s">
        <v>5694</v>
      </c>
      <c r="N1853" t="s">
        <v>278</v>
      </c>
      <c r="O1853" t="s">
        <v>28</v>
      </c>
      <c r="P1853" t="s">
        <v>29</v>
      </c>
      <c r="Q1853">
        <v>39</v>
      </c>
      <c r="R1853">
        <v>-77.487399999999994</v>
      </c>
    </row>
    <row r="1854" spans="1:18" x14ac:dyDescent="0.2">
      <c r="A1854" t="s">
        <v>270</v>
      </c>
      <c r="B1854" t="s">
        <v>440</v>
      </c>
      <c r="C1854">
        <v>1</v>
      </c>
      <c r="D1854" s="1">
        <v>44068.075057870374</v>
      </c>
      <c r="E1854" t="s">
        <v>5695</v>
      </c>
      <c r="F1854" t="s">
        <v>273</v>
      </c>
      <c r="G1854" t="s">
        <v>5470</v>
      </c>
      <c r="H1854" t="s">
        <v>275</v>
      </c>
      <c r="I1854" t="s">
        <v>29</v>
      </c>
      <c r="J1854">
        <v>1</v>
      </c>
      <c r="K1854">
        <f>1-888-312-1367</f>
        <v>-2566</v>
      </c>
      <c r="L1854" t="s">
        <v>5696</v>
      </c>
      <c r="M1854" t="s">
        <v>5697</v>
      </c>
      <c r="N1854" t="s">
        <v>278</v>
      </c>
      <c r="O1854" t="s">
        <v>28</v>
      </c>
      <c r="P1854" t="s">
        <v>29</v>
      </c>
      <c r="Q1854">
        <v>39</v>
      </c>
      <c r="R1854">
        <v>-77.487399999999994</v>
      </c>
    </row>
    <row r="1855" spans="1:18" x14ac:dyDescent="0.2">
      <c r="A1855" t="s">
        <v>270</v>
      </c>
      <c r="B1855" t="s">
        <v>440</v>
      </c>
      <c r="C1855">
        <v>1</v>
      </c>
      <c r="D1855" s="1">
        <v>44068.073703703703</v>
      </c>
      <c r="E1855" t="s">
        <v>5698</v>
      </c>
      <c r="F1855" t="s">
        <v>273</v>
      </c>
      <c r="G1855" t="s">
        <v>5470</v>
      </c>
      <c r="H1855" t="s">
        <v>275</v>
      </c>
      <c r="I1855" t="s">
        <v>29</v>
      </c>
      <c r="J1855">
        <v>1</v>
      </c>
      <c r="K1855">
        <f>1-888-851-676</f>
        <v>-2414</v>
      </c>
      <c r="L1855" t="s">
        <v>5699</v>
      </c>
      <c r="M1855" t="s">
        <v>5700</v>
      </c>
      <c r="N1855" t="s">
        <v>278</v>
      </c>
      <c r="O1855" t="s">
        <v>28</v>
      </c>
      <c r="P1855" t="s">
        <v>29</v>
      </c>
      <c r="Q1855">
        <v>39</v>
      </c>
      <c r="R1855">
        <v>-77.487399999999994</v>
      </c>
    </row>
    <row r="1856" spans="1:18" x14ac:dyDescent="0.2">
      <c r="A1856" t="s">
        <v>270</v>
      </c>
      <c r="B1856" t="s">
        <v>440</v>
      </c>
      <c r="C1856">
        <v>1</v>
      </c>
      <c r="D1856" s="1">
        <v>44068.071203703701</v>
      </c>
      <c r="E1856" t="s">
        <v>5701</v>
      </c>
      <c r="F1856" t="s">
        <v>273</v>
      </c>
      <c r="G1856" t="s">
        <v>5470</v>
      </c>
      <c r="H1856" t="s">
        <v>275</v>
      </c>
      <c r="I1856" t="s">
        <v>29</v>
      </c>
      <c r="J1856">
        <v>1</v>
      </c>
      <c r="K1856">
        <f>1-888-291-57</f>
        <v>-1235</v>
      </c>
      <c r="L1856" t="s">
        <v>5702</v>
      </c>
      <c r="M1856" t="s">
        <v>5703</v>
      </c>
      <c r="N1856" t="s">
        <v>278</v>
      </c>
      <c r="O1856" t="s">
        <v>28</v>
      </c>
      <c r="P1856" t="s">
        <v>29</v>
      </c>
      <c r="Q1856">
        <v>39</v>
      </c>
      <c r="R1856">
        <v>-77.487399999999994</v>
      </c>
    </row>
    <row r="1857" spans="1:18" x14ac:dyDescent="0.2">
      <c r="A1857" t="s">
        <v>270</v>
      </c>
      <c r="B1857" t="s">
        <v>440</v>
      </c>
      <c r="C1857">
        <v>1</v>
      </c>
      <c r="D1857" s="1">
        <v>44068.057847222219</v>
      </c>
      <c r="E1857" t="s">
        <v>5704</v>
      </c>
      <c r="F1857" t="s">
        <v>273</v>
      </c>
      <c r="G1857" t="s">
        <v>5470</v>
      </c>
      <c r="H1857" t="s">
        <v>275</v>
      </c>
      <c r="I1857" t="s">
        <v>29</v>
      </c>
      <c r="J1857">
        <v>1</v>
      </c>
      <c r="K1857">
        <f>1-888-523-6511</f>
        <v>-7921</v>
      </c>
      <c r="L1857" t="s">
        <v>5705</v>
      </c>
      <c r="M1857" t="s">
        <v>5706</v>
      </c>
      <c r="N1857" t="s">
        <v>278</v>
      </c>
      <c r="O1857" t="s">
        <v>28</v>
      </c>
      <c r="P1857" t="s">
        <v>29</v>
      </c>
      <c r="Q1857">
        <v>39</v>
      </c>
      <c r="R1857">
        <v>-77.487399999999994</v>
      </c>
    </row>
    <row r="1858" spans="1:18" x14ac:dyDescent="0.2">
      <c r="A1858" t="s">
        <v>270</v>
      </c>
      <c r="B1858" t="s">
        <v>440</v>
      </c>
      <c r="C1858">
        <v>1</v>
      </c>
      <c r="D1858" s="1">
        <v>44068.050069444442</v>
      </c>
      <c r="E1858" t="s">
        <v>5707</v>
      </c>
      <c r="F1858" t="s">
        <v>273</v>
      </c>
      <c r="G1858" t="s">
        <v>5470</v>
      </c>
      <c r="H1858" t="s">
        <v>275</v>
      </c>
      <c r="I1858" t="s">
        <v>29</v>
      </c>
      <c r="J1858">
        <v>1</v>
      </c>
      <c r="K1858">
        <f>1-888-532-188</f>
        <v>-1607</v>
      </c>
      <c r="L1858" t="s">
        <v>5708</v>
      </c>
      <c r="M1858" t="s">
        <v>5709</v>
      </c>
      <c r="N1858" t="s">
        <v>278</v>
      </c>
      <c r="O1858" t="s">
        <v>28</v>
      </c>
      <c r="P1858" t="s">
        <v>29</v>
      </c>
      <c r="Q1858">
        <v>39</v>
      </c>
      <c r="R1858">
        <v>-77.487399999999994</v>
      </c>
    </row>
    <row r="1859" spans="1:18" x14ac:dyDescent="0.2">
      <c r="A1859" t="s">
        <v>270</v>
      </c>
      <c r="B1859" t="s">
        <v>440</v>
      </c>
      <c r="C1859">
        <v>1</v>
      </c>
      <c r="D1859" s="1">
        <v>44068.048437500001</v>
      </c>
      <c r="E1859" t="s">
        <v>5710</v>
      </c>
      <c r="F1859" t="s">
        <v>273</v>
      </c>
      <c r="G1859" t="s">
        <v>5470</v>
      </c>
      <c r="H1859" t="s">
        <v>275</v>
      </c>
      <c r="I1859" t="s">
        <v>29</v>
      </c>
      <c r="J1859">
        <v>1</v>
      </c>
      <c r="K1859">
        <f>1-888-534-8036</f>
        <v>-9457</v>
      </c>
      <c r="L1859" t="s">
        <v>5711</v>
      </c>
      <c r="M1859" t="s">
        <v>5712</v>
      </c>
      <c r="N1859" t="s">
        <v>278</v>
      </c>
      <c r="O1859" t="s">
        <v>28</v>
      </c>
      <c r="P1859" t="s">
        <v>29</v>
      </c>
      <c r="Q1859">
        <v>39</v>
      </c>
      <c r="R1859">
        <v>-77.487399999999994</v>
      </c>
    </row>
    <row r="1860" spans="1:18" x14ac:dyDescent="0.2">
      <c r="A1860" t="s">
        <v>270</v>
      </c>
      <c r="B1860" t="s">
        <v>440</v>
      </c>
      <c r="C1860">
        <v>1</v>
      </c>
      <c r="D1860" s="1">
        <v>44068.016944444447</v>
      </c>
      <c r="E1860" t="s">
        <v>5713</v>
      </c>
      <c r="F1860" t="s">
        <v>273</v>
      </c>
      <c r="G1860" t="s">
        <v>5470</v>
      </c>
      <c r="H1860" t="s">
        <v>275</v>
      </c>
      <c r="I1860" t="s">
        <v>29</v>
      </c>
      <c r="J1860">
        <v>1</v>
      </c>
      <c r="K1860">
        <f>1-888-706-1246</f>
        <v>-2839</v>
      </c>
      <c r="L1860" t="s">
        <v>5714</v>
      </c>
      <c r="M1860" t="s">
        <v>5715</v>
      </c>
      <c r="N1860" t="s">
        <v>278</v>
      </c>
      <c r="O1860" t="s">
        <v>28</v>
      </c>
      <c r="P1860" t="s">
        <v>29</v>
      </c>
      <c r="Q1860">
        <v>39</v>
      </c>
      <c r="R1860">
        <v>-77.487399999999994</v>
      </c>
    </row>
    <row r="1861" spans="1:18" x14ac:dyDescent="0.2">
      <c r="A1861" t="s">
        <v>270</v>
      </c>
      <c r="B1861" t="s">
        <v>440</v>
      </c>
      <c r="C1861">
        <v>1</v>
      </c>
      <c r="D1861" s="1">
        <v>44067.447372685187</v>
      </c>
      <c r="E1861" t="s">
        <v>5716</v>
      </c>
      <c r="F1861" t="s">
        <v>273</v>
      </c>
      <c r="G1861" t="s">
        <v>5470</v>
      </c>
      <c r="H1861" t="s">
        <v>275</v>
      </c>
      <c r="I1861" t="s">
        <v>29</v>
      </c>
      <c r="J1861">
        <v>1</v>
      </c>
      <c r="K1861">
        <f>1-888-851-705</f>
        <v>-2443</v>
      </c>
      <c r="L1861" t="s">
        <v>5717</v>
      </c>
      <c r="M1861" t="s">
        <v>5718</v>
      </c>
      <c r="N1861" t="s">
        <v>278</v>
      </c>
      <c r="O1861" t="s">
        <v>134</v>
      </c>
      <c r="P1861" t="s">
        <v>29</v>
      </c>
      <c r="Q1861">
        <v>39</v>
      </c>
      <c r="R1861">
        <v>-77.487399999999994</v>
      </c>
    </row>
    <row r="1862" spans="1:18" x14ac:dyDescent="0.2">
      <c r="A1862" t="s">
        <v>270</v>
      </c>
      <c r="B1862" t="s">
        <v>440</v>
      </c>
      <c r="C1862">
        <v>1</v>
      </c>
      <c r="D1862" s="1">
        <v>44053.822662037041</v>
      </c>
      <c r="E1862" t="s">
        <v>5719</v>
      </c>
      <c r="F1862" t="s">
        <v>273</v>
      </c>
      <c r="G1862" t="s">
        <v>5470</v>
      </c>
      <c r="H1862" t="s">
        <v>275</v>
      </c>
      <c r="I1862" t="s">
        <v>29</v>
      </c>
      <c r="J1862">
        <v>1</v>
      </c>
      <c r="K1862">
        <f>1-888-538-1045</f>
        <v>-2470</v>
      </c>
      <c r="L1862" t="s">
        <v>5720</v>
      </c>
      <c r="M1862" t="s">
        <v>5721</v>
      </c>
      <c r="N1862" t="s">
        <v>278</v>
      </c>
      <c r="O1862" t="s">
        <v>134</v>
      </c>
      <c r="P1862" t="s">
        <v>29</v>
      </c>
      <c r="Q1862">
        <v>39</v>
      </c>
      <c r="R1862">
        <v>-77.487399999999994</v>
      </c>
    </row>
    <row r="1863" spans="1:18" x14ac:dyDescent="0.2">
      <c r="A1863" t="s">
        <v>270</v>
      </c>
      <c r="B1863" t="s">
        <v>440</v>
      </c>
      <c r="C1863">
        <v>1</v>
      </c>
      <c r="D1863" s="1">
        <v>44053.301261574074</v>
      </c>
      <c r="E1863" t="s">
        <v>5722</v>
      </c>
      <c r="F1863" t="s">
        <v>273</v>
      </c>
      <c r="G1863" t="s">
        <v>5470</v>
      </c>
      <c r="H1863" t="s">
        <v>275</v>
      </c>
      <c r="I1863" t="s">
        <v>29</v>
      </c>
      <c r="J1863">
        <v>1</v>
      </c>
      <c r="K1863">
        <f>1-866-801-5549</f>
        <v>-7215</v>
      </c>
      <c r="L1863" t="s">
        <v>5723</v>
      </c>
      <c r="M1863" t="s">
        <v>5724</v>
      </c>
      <c r="N1863" t="s">
        <v>278</v>
      </c>
      <c r="O1863" t="s">
        <v>134</v>
      </c>
      <c r="P1863" t="s">
        <v>29</v>
      </c>
      <c r="Q1863">
        <v>39</v>
      </c>
      <c r="R1863">
        <v>-77.487399999999994</v>
      </c>
    </row>
    <row r="1864" spans="1:18" x14ac:dyDescent="0.2">
      <c r="A1864" t="s">
        <v>270</v>
      </c>
      <c r="B1864" t="s">
        <v>440</v>
      </c>
      <c r="C1864">
        <v>1</v>
      </c>
      <c r="D1864" s="1">
        <v>44053.30059027778</v>
      </c>
      <c r="E1864" t="s">
        <v>5725</v>
      </c>
      <c r="F1864" t="s">
        <v>273</v>
      </c>
      <c r="G1864" t="s">
        <v>5470</v>
      </c>
      <c r="H1864" t="s">
        <v>275</v>
      </c>
      <c r="I1864" t="s">
        <v>29</v>
      </c>
      <c r="J1864">
        <v>1</v>
      </c>
      <c r="K1864">
        <f>1-866-801-5549</f>
        <v>-7215</v>
      </c>
      <c r="L1864" t="s">
        <v>5726</v>
      </c>
      <c r="M1864" t="s">
        <v>5727</v>
      </c>
      <c r="N1864" t="s">
        <v>278</v>
      </c>
      <c r="O1864" t="s">
        <v>134</v>
      </c>
      <c r="P1864" t="s">
        <v>29</v>
      </c>
      <c r="Q1864">
        <v>39</v>
      </c>
      <c r="R1864">
        <v>-77.487399999999994</v>
      </c>
    </row>
    <row r="1865" spans="1:18" x14ac:dyDescent="0.2">
      <c r="A1865" t="s">
        <v>270</v>
      </c>
      <c r="B1865" t="s">
        <v>440</v>
      </c>
      <c r="C1865">
        <v>1</v>
      </c>
      <c r="D1865" s="1">
        <v>44053.297523148147</v>
      </c>
      <c r="E1865" t="s">
        <v>5728</v>
      </c>
      <c r="F1865" t="s">
        <v>273</v>
      </c>
      <c r="G1865" t="s">
        <v>5470</v>
      </c>
      <c r="H1865" t="s">
        <v>275</v>
      </c>
      <c r="I1865" t="s">
        <v>29</v>
      </c>
      <c r="J1865">
        <v>1</v>
      </c>
      <c r="K1865">
        <f>1-866-754-7703</f>
        <v>-9322</v>
      </c>
      <c r="L1865" t="s">
        <v>5729</v>
      </c>
      <c r="M1865" t="s">
        <v>5730</v>
      </c>
      <c r="N1865" t="s">
        <v>278</v>
      </c>
      <c r="O1865" t="s">
        <v>134</v>
      </c>
      <c r="P1865" t="s">
        <v>29</v>
      </c>
      <c r="Q1865">
        <v>39</v>
      </c>
      <c r="R1865">
        <v>-77.487399999999994</v>
      </c>
    </row>
    <row r="1866" spans="1:18" x14ac:dyDescent="0.2">
      <c r="A1866" t="s">
        <v>270</v>
      </c>
      <c r="B1866" t="s">
        <v>440</v>
      </c>
      <c r="C1866">
        <v>1</v>
      </c>
      <c r="D1866" s="1">
        <v>44053.285682870373</v>
      </c>
      <c r="E1866" t="s">
        <v>5731</v>
      </c>
      <c r="F1866" t="s">
        <v>273</v>
      </c>
      <c r="G1866" t="s">
        <v>5470</v>
      </c>
      <c r="H1866" t="s">
        <v>275</v>
      </c>
      <c r="I1866" t="s">
        <v>29</v>
      </c>
      <c r="J1866">
        <v>1</v>
      </c>
      <c r="K1866">
        <f>1-888-524-5804</f>
        <v>-7215</v>
      </c>
      <c r="L1866" t="s">
        <v>5732</v>
      </c>
      <c r="M1866" t="s">
        <v>5733</v>
      </c>
      <c r="N1866" t="s">
        <v>278</v>
      </c>
      <c r="O1866" t="s">
        <v>134</v>
      </c>
      <c r="P1866" t="s">
        <v>29</v>
      </c>
      <c r="Q1866">
        <v>39</v>
      </c>
      <c r="R1866">
        <v>-77.487399999999994</v>
      </c>
    </row>
    <row r="1867" spans="1:18" x14ac:dyDescent="0.2">
      <c r="A1867" t="s">
        <v>270</v>
      </c>
      <c r="B1867" t="s">
        <v>440</v>
      </c>
      <c r="C1867">
        <v>1</v>
      </c>
      <c r="D1867" s="1">
        <v>44043.35496527778</v>
      </c>
      <c r="E1867" t="s">
        <v>5734</v>
      </c>
      <c r="F1867" t="s">
        <v>273</v>
      </c>
      <c r="G1867" t="s">
        <v>5470</v>
      </c>
      <c r="H1867" t="s">
        <v>275</v>
      </c>
      <c r="I1867" t="s">
        <v>29</v>
      </c>
      <c r="J1867">
        <v>1</v>
      </c>
      <c r="K1867">
        <f>1-844-474-3214</f>
        <v>-4531</v>
      </c>
      <c r="L1867" t="s">
        <v>5735</v>
      </c>
      <c r="M1867" t="s">
        <v>5736</v>
      </c>
      <c r="N1867" t="s">
        <v>278</v>
      </c>
      <c r="O1867" t="s">
        <v>134</v>
      </c>
      <c r="P1867" t="s">
        <v>29</v>
      </c>
      <c r="Q1867">
        <v>39</v>
      </c>
      <c r="R1867">
        <v>-77.487399999999994</v>
      </c>
    </row>
    <row r="1868" spans="1:18" x14ac:dyDescent="0.2">
      <c r="A1868" t="s">
        <v>270</v>
      </c>
      <c r="B1868" t="s">
        <v>440</v>
      </c>
      <c r="C1868">
        <v>1</v>
      </c>
      <c r="D1868" s="1">
        <v>43992.848437499997</v>
      </c>
      <c r="E1868" t="s">
        <v>5737</v>
      </c>
      <c r="F1868" t="s">
        <v>273</v>
      </c>
      <c r="G1868" t="s">
        <v>5470</v>
      </c>
      <c r="H1868" t="s">
        <v>275</v>
      </c>
      <c r="I1868" t="s">
        <v>29</v>
      </c>
      <c r="J1868">
        <v>1</v>
      </c>
      <c r="K1868">
        <f>1-833-610-1389</f>
        <v>-2831</v>
      </c>
      <c r="L1868" t="s">
        <v>5738</v>
      </c>
      <c r="M1868" t="s">
        <v>5739</v>
      </c>
      <c r="N1868" t="s">
        <v>278</v>
      </c>
      <c r="O1868" t="s">
        <v>28</v>
      </c>
      <c r="P1868" t="s">
        <v>29</v>
      </c>
      <c r="Q1868">
        <v>39</v>
      </c>
      <c r="R1868">
        <v>-77.487399999999994</v>
      </c>
    </row>
    <row r="1869" spans="1:18" x14ac:dyDescent="0.2">
      <c r="A1869" t="s">
        <v>1637</v>
      </c>
      <c r="B1869" t="s">
        <v>5740</v>
      </c>
      <c r="C1869">
        <v>1</v>
      </c>
      <c r="D1869" s="1">
        <v>44358.80846064815</v>
      </c>
      <c r="E1869" t="s">
        <v>5741</v>
      </c>
      <c r="F1869" t="s">
        <v>1640</v>
      </c>
      <c r="G1869" t="s">
        <v>5742</v>
      </c>
      <c r="H1869" t="s">
        <v>1642</v>
      </c>
      <c r="I1869" t="s">
        <v>29</v>
      </c>
      <c r="J1869">
        <v>1</v>
      </c>
      <c r="K1869">
        <f>1-888-453-4666</f>
        <v>-6006</v>
      </c>
      <c r="L1869" t="s">
        <v>5743</v>
      </c>
      <c r="M1869" t="s">
        <v>5744</v>
      </c>
      <c r="N1869" t="s">
        <v>5745</v>
      </c>
      <c r="O1869" t="s">
        <v>134</v>
      </c>
      <c r="P1869" t="s">
        <v>292</v>
      </c>
      <c r="Q1869">
        <v>49</v>
      </c>
      <c r="R1869">
        <v>2.3985099999999999</v>
      </c>
    </row>
    <row r="1870" spans="1:18" x14ac:dyDescent="0.2">
      <c r="A1870" t="s">
        <v>1637</v>
      </c>
      <c r="B1870" t="s">
        <v>5740</v>
      </c>
      <c r="C1870">
        <v>1</v>
      </c>
      <c r="D1870" s="1">
        <v>44358.793171296296</v>
      </c>
      <c r="E1870" t="s">
        <v>5746</v>
      </c>
      <c r="F1870" t="s">
        <v>1640</v>
      </c>
      <c r="G1870" t="s">
        <v>5742</v>
      </c>
      <c r="H1870" t="s">
        <v>1642</v>
      </c>
      <c r="I1870" t="s">
        <v>29</v>
      </c>
      <c r="J1870">
        <v>1</v>
      </c>
      <c r="K1870">
        <f>1-888-498-2847</f>
        <v>-4232</v>
      </c>
      <c r="L1870" t="s">
        <v>5747</v>
      </c>
      <c r="M1870" t="s">
        <v>5748</v>
      </c>
      <c r="N1870" t="s">
        <v>452</v>
      </c>
      <c r="O1870" t="s">
        <v>134</v>
      </c>
      <c r="P1870" t="s">
        <v>292</v>
      </c>
      <c r="Q1870">
        <v>49</v>
      </c>
      <c r="R1870">
        <v>2.3985099999999999</v>
      </c>
    </row>
    <row r="1871" spans="1:18" x14ac:dyDescent="0.2">
      <c r="A1871" t="s">
        <v>1637</v>
      </c>
      <c r="B1871" t="s">
        <v>1638</v>
      </c>
      <c r="C1871">
        <v>1</v>
      </c>
      <c r="D1871" s="1">
        <v>44309.932372685187</v>
      </c>
      <c r="E1871" t="s">
        <v>5749</v>
      </c>
      <c r="F1871" t="s">
        <v>1640</v>
      </c>
      <c r="G1871" t="s">
        <v>5742</v>
      </c>
      <c r="H1871" t="s">
        <v>1642</v>
      </c>
      <c r="I1871" t="s">
        <v>29</v>
      </c>
      <c r="J1871">
        <v>1</v>
      </c>
      <c r="K1871">
        <f>1-888-395-160</f>
        <v>-1442</v>
      </c>
      <c r="L1871" t="s">
        <v>5750</v>
      </c>
      <c r="M1871" t="s">
        <v>5751</v>
      </c>
      <c r="N1871" t="s">
        <v>452</v>
      </c>
      <c r="O1871" t="s">
        <v>134</v>
      </c>
      <c r="P1871" t="s">
        <v>292</v>
      </c>
      <c r="Q1871">
        <v>49</v>
      </c>
      <c r="R1871">
        <v>2.32131</v>
      </c>
    </row>
    <row r="1872" spans="1:18" x14ac:dyDescent="0.2">
      <c r="A1872" t="s">
        <v>1637</v>
      </c>
      <c r="B1872" t="s">
        <v>5740</v>
      </c>
      <c r="C1872">
        <v>1</v>
      </c>
      <c r="D1872" s="1">
        <v>43994.955069444448</v>
      </c>
      <c r="E1872" t="s">
        <v>5752</v>
      </c>
      <c r="F1872" t="s">
        <v>5753</v>
      </c>
      <c r="G1872" t="s">
        <v>5742</v>
      </c>
      <c r="H1872" t="s">
        <v>1642</v>
      </c>
      <c r="I1872" t="s">
        <v>29</v>
      </c>
      <c r="J1872">
        <v>1</v>
      </c>
      <c r="K1872">
        <f>1-888-440-989</f>
        <v>-2316</v>
      </c>
      <c r="L1872" t="s">
        <v>5754</v>
      </c>
      <c r="M1872" t="s">
        <v>5755</v>
      </c>
      <c r="N1872" t="s">
        <v>36</v>
      </c>
      <c r="O1872" t="s">
        <v>134</v>
      </c>
      <c r="P1872" t="s">
        <v>292</v>
      </c>
      <c r="Q1872">
        <v>49</v>
      </c>
      <c r="R1872">
        <v>2.3985099999999999</v>
      </c>
    </row>
    <row r="1873" spans="1:18" x14ac:dyDescent="0.2">
      <c r="A1873" t="s">
        <v>1637</v>
      </c>
      <c r="B1873" t="s">
        <v>5740</v>
      </c>
      <c r="C1873">
        <v>1</v>
      </c>
      <c r="D1873" s="1">
        <v>43994.952696759261</v>
      </c>
      <c r="E1873" t="s">
        <v>5756</v>
      </c>
      <c r="F1873" t="s">
        <v>5753</v>
      </c>
      <c r="G1873" t="s">
        <v>5742</v>
      </c>
      <c r="H1873" t="s">
        <v>1642</v>
      </c>
      <c r="I1873" t="s">
        <v>29</v>
      </c>
      <c r="J1873">
        <v>1</v>
      </c>
      <c r="K1873">
        <f>1-888-572-1017</f>
        <v>-2476</v>
      </c>
      <c r="L1873" t="s">
        <v>5757</v>
      </c>
      <c r="M1873" t="s">
        <v>5758</v>
      </c>
      <c r="N1873" t="s">
        <v>36</v>
      </c>
      <c r="O1873" t="s">
        <v>134</v>
      </c>
      <c r="P1873" t="s">
        <v>292</v>
      </c>
      <c r="Q1873">
        <v>49</v>
      </c>
      <c r="R1873">
        <v>2.3985099999999999</v>
      </c>
    </row>
    <row r="1874" spans="1:18" x14ac:dyDescent="0.2">
      <c r="A1874" t="s">
        <v>1637</v>
      </c>
      <c r="B1874" t="s">
        <v>5740</v>
      </c>
      <c r="C1874">
        <v>1</v>
      </c>
      <c r="D1874" s="1">
        <v>43992.876157407409</v>
      </c>
      <c r="E1874" t="s">
        <v>5759</v>
      </c>
      <c r="F1874" t="s">
        <v>5753</v>
      </c>
      <c r="G1874" t="s">
        <v>5742</v>
      </c>
      <c r="H1874" t="s">
        <v>1642</v>
      </c>
      <c r="I1874" t="s">
        <v>29</v>
      </c>
      <c r="J1874">
        <v>1</v>
      </c>
      <c r="K1874">
        <f>1-888-406-5992</f>
        <v>-7285</v>
      </c>
      <c r="L1874" t="s">
        <v>5760</v>
      </c>
      <c r="M1874" t="s">
        <v>5761</v>
      </c>
      <c r="N1874" t="s">
        <v>1645</v>
      </c>
      <c r="O1874" t="s">
        <v>134</v>
      </c>
      <c r="P1874" t="s">
        <v>292</v>
      </c>
      <c r="Q1874">
        <v>49</v>
      </c>
      <c r="R1874">
        <v>2.3985099999999999</v>
      </c>
    </row>
    <row r="1875" spans="1:18" x14ac:dyDescent="0.2">
      <c r="A1875" t="s">
        <v>1637</v>
      </c>
      <c r="B1875" t="s">
        <v>5740</v>
      </c>
      <c r="C1875">
        <v>1</v>
      </c>
      <c r="D1875" s="1">
        <v>43992.852129629631</v>
      </c>
      <c r="E1875" t="s">
        <v>5762</v>
      </c>
      <c r="F1875" t="s">
        <v>5753</v>
      </c>
      <c r="G1875" t="s">
        <v>5742</v>
      </c>
      <c r="H1875" t="s">
        <v>1642</v>
      </c>
      <c r="I1875" t="s">
        <v>29</v>
      </c>
      <c r="J1875">
        <v>1</v>
      </c>
      <c r="K1875">
        <f>1-888-406-5992</f>
        <v>-7285</v>
      </c>
      <c r="L1875" t="s">
        <v>5763</v>
      </c>
      <c r="M1875" t="s">
        <v>5764</v>
      </c>
      <c r="N1875" t="s">
        <v>36</v>
      </c>
      <c r="O1875" t="s">
        <v>134</v>
      </c>
      <c r="P1875" t="s">
        <v>292</v>
      </c>
      <c r="Q1875">
        <v>49</v>
      </c>
      <c r="R1875">
        <v>2.3985099999999999</v>
      </c>
    </row>
    <row r="1876" spans="1:18" x14ac:dyDescent="0.2">
      <c r="A1876" t="s">
        <v>270</v>
      </c>
      <c r="B1876" t="s">
        <v>271</v>
      </c>
      <c r="C1876">
        <v>1</v>
      </c>
      <c r="D1876" s="1">
        <v>44227.87327546296</v>
      </c>
      <c r="E1876" t="s">
        <v>5765</v>
      </c>
      <c r="F1876" t="s">
        <v>273</v>
      </c>
      <c r="G1876" t="s">
        <v>5766</v>
      </c>
      <c r="H1876" t="s">
        <v>275</v>
      </c>
      <c r="I1876" t="s">
        <v>29</v>
      </c>
      <c r="J1876">
        <v>1</v>
      </c>
      <c r="K1876">
        <f>1-844-293-8364</f>
        <v>-9500</v>
      </c>
      <c r="L1876" t="s">
        <v>5767</v>
      </c>
      <c r="M1876" t="s">
        <v>5768</v>
      </c>
      <c r="N1876" t="s">
        <v>278</v>
      </c>
      <c r="O1876" t="s">
        <v>134</v>
      </c>
      <c r="P1876" t="s">
        <v>29</v>
      </c>
      <c r="Q1876">
        <v>42</v>
      </c>
      <c r="R1876">
        <v>-93.620800000000003</v>
      </c>
    </row>
    <row r="1877" spans="1:18" x14ac:dyDescent="0.2">
      <c r="A1877" t="s">
        <v>270</v>
      </c>
      <c r="B1877" t="s">
        <v>271</v>
      </c>
      <c r="C1877">
        <v>1</v>
      </c>
      <c r="D1877" s="1">
        <v>44227.873217592591</v>
      </c>
      <c r="E1877" t="s">
        <v>5769</v>
      </c>
      <c r="F1877" t="s">
        <v>273</v>
      </c>
      <c r="G1877" t="s">
        <v>5766</v>
      </c>
      <c r="H1877" t="s">
        <v>275</v>
      </c>
      <c r="I1877" t="s">
        <v>29</v>
      </c>
      <c r="J1877">
        <v>1</v>
      </c>
      <c r="K1877">
        <f>1-844-293-8364</f>
        <v>-9500</v>
      </c>
      <c r="L1877" t="s">
        <v>5770</v>
      </c>
      <c r="M1877" t="s">
        <v>5771</v>
      </c>
      <c r="N1877" t="s">
        <v>278</v>
      </c>
      <c r="O1877" t="s">
        <v>134</v>
      </c>
      <c r="P1877" t="s">
        <v>29</v>
      </c>
      <c r="Q1877">
        <v>42</v>
      </c>
      <c r="R1877">
        <v>-93.620800000000003</v>
      </c>
    </row>
    <row r="1878" spans="1:18" x14ac:dyDescent="0.2">
      <c r="A1878" t="s">
        <v>270</v>
      </c>
      <c r="B1878" t="s">
        <v>271</v>
      </c>
      <c r="C1878">
        <v>1</v>
      </c>
      <c r="D1878" s="1">
        <v>44227.872453703705</v>
      </c>
      <c r="E1878" t="s">
        <v>5772</v>
      </c>
      <c r="F1878" t="s">
        <v>273</v>
      </c>
      <c r="G1878" t="s">
        <v>5766</v>
      </c>
      <c r="H1878" t="s">
        <v>275</v>
      </c>
      <c r="I1878" t="s">
        <v>29</v>
      </c>
      <c r="J1878">
        <v>1</v>
      </c>
      <c r="K1878">
        <f>1-844-293-8364</f>
        <v>-9500</v>
      </c>
      <c r="L1878" t="s">
        <v>5773</v>
      </c>
      <c r="M1878" t="s">
        <v>5774</v>
      </c>
      <c r="N1878" t="s">
        <v>278</v>
      </c>
      <c r="O1878" t="s">
        <v>134</v>
      </c>
      <c r="P1878" t="s">
        <v>29</v>
      </c>
      <c r="Q1878">
        <v>42</v>
      </c>
      <c r="R1878">
        <v>-93.620800000000003</v>
      </c>
    </row>
    <row r="1879" spans="1:18" x14ac:dyDescent="0.2">
      <c r="A1879" t="s">
        <v>270</v>
      </c>
      <c r="B1879" t="s">
        <v>271</v>
      </c>
      <c r="C1879">
        <v>1</v>
      </c>
      <c r="D1879" s="1">
        <v>44227.860636574071</v>
      </c>
      <c r="E1879" t="s">
        <v>5775</v>
      </c>
      <c r="F1879" t="s">
        <v>273</v>
      </c>
      <c r="G1879" t="s">
        <v>5766</v>
      </c>
      <c r="H1879" t="s">
        <v>275</v>
      </c>
      <c r="I1879" t="s">
        <v>29</v>
      </c>
      <c r="J1879">
        <v>1</v>
      </c>
      <c r="K1879">
        <f>1-844-293-8364</f>
        <v>-9500</v>
      </c>
      <c r="L1879" t="s">
        <v>5776</v>
      </c>
      <c r="M1879" t="s">
        <v>5777</v>
      </c>
      <c r="N1879" t="s">
        <v>278</v>
      </c>
      <c r="O1879" t="s">
        <v>134</v>
      </c>
      <c r="P1879" t="s">
        <v>29</v>
      </c>
      <c r="Q1879">
        <v>42</v>
      </c>
      <c r="R1879">
        <v>-93.620800000000003</v>
      </c>
    </row>
    <row r="1880" spans="1:18" x14ac:dyDescent="0.2">
      <c r="A1880" t="s">
        <v>270</v>
      </c>
      <c r="B1880" t="s">
        <v>271</v>
      </c>
      <c r="C1880">
        <v>1</v>
      </c>
      <c r="D1880" s="1">
        <v>44114.388738425929</v>
      </c>
      <c r="E1880" t="s">
        <v>5778</v>
      </c>
      <c r="F1880" t="s">
        <v>273</v>
      </c>
      <c r="G1880" t="s">
        <v>5766</v>
      </c>
      <c r="H1880" t="s">
        <v>275</v>
      </c>
      <c r="I1880" t="s">
        <v>29</v>
      </c>
      <c r="J1880">
        <v>1</v>
      </c>
      <c r="K1880">
        <f>1-888-910-5531</f>
        <v>-7328</v>
      </c>
      <c r="L1880" t="s">
        <v>5779</v>
      </c>
      <c r="M1880" t="s">
        <v>5780</v>
      </c>
      <c r="N1880" t="s">
        <v>278</v>
      </c>
      <c r="O1880" t="s">
        <v>134</v>
      </c>
      <c r="P1880" t="s">
        <v>29</v>
      </c>
      <c r="Q1880">
        <v>42</v>
      </c>
      <c r="R1880">
        <v>-93.620800000000003</v>
      </c>
    </row>
    <row r="1881" spans="1:18" x14ac:dyDescent="0.2">
      <c r="A1881" t="s">
        <v>270</v>
      </c>
      <c r="B1881" t="s">
        <v>271</v>
      </c>
      <c r="C1881">
        <v>1</v>
      </c>
      <c r="D1881" s="1">
        <v>43992.904444444444</v>
      </c>
      <c r="E1881" t="s">
        <v>5781</v>
      </c>
      <c r="F1881" t="s">
        <v>273</v>
      </c>
      <c r="G1881" t="s">
        <v>5766</v>
      </c>
      <c r="H1881" t="s">
        <v>275</v>
      </c>
      <c r="I1881" t="s">
        <v>29</v>
      </c>
      <c r="J1881">
        <v>1</v>
      </c>
      <c r="K1881">
        <f>1-866-264-8242</f>
        <v>-9371</v>
      </c>
      <c r="L1881" t="s">
        <v>5782</v>
      </c>
      <c r="M1881" t="s">
        <v>5783</v>
      </c>
      <c r="N1881" t="s">
        <v>278</v>
      </c>
      <c r="O1881" t="s">
        <v>28</v>
      </c>
      <c r="P1881" t="s">
        <v>29</v>
      </c>
      <c r="Q1881">
        <v>42</v>
      </c>
      <c r="R1881">
        <v>-93.620800000000003</v>
      </c>
    </row>
    <row r="1882" spans="1:18" x14ac:dyDescent="0.2">
      <c r="A1882" t="s">
        <v>663</v>
      </c>
      <c r="B1882" t="s">
        <v>5784</v>
      </c>
      <c r="C1882">
        <v>1</v>
      </c>
      <c r="D1882" s="1">
        <v>43992.904861111114</v>
      </c>
      <c r="E1882" t="s">
        <v>5785</v>
      </c>
      <c r="F1882" t="s">
        <v>666</v>
      </c>
      <c r="G1882" t="s">
        <v>5786</v>
      </c>
      <c r="H1882" t="s">
        <v>667</v>
      </c>
      <c r="I1882" t="s">
        <v>29</v>
      </c>
      <c r="J1882">
        <v>1</v>
      </c>
      <c r="K1882">
        <f>1-833-617-6111</f>
        <v>-7560</v>
      </c>
      <c r="L1882" t="s">
        <v>5787</v>
      </c>
      <c r="M1882" t="s">
        <v>5788</v>
      </c>
      <c r="N1882" t="s">
        <v>452</v>
      </c>
      <c r="O1882" t="s">
        <v>28</v>
      </c>
      <c r="P1882" t="s">
        <v>5789</v>
      </c>
      <c r="Q1882">
        <v>13</v>
      </c>
      <c r="R1882">
        <v>77.593299999999999</v>
      </c>
    </row>
    <row r="1883" spans="1:18" x14ac:dyDescent="0.2">
      <c r="A1883" t="s">
        <v>5790</v>
      </c>
      <c r="B1883" t="s">
        <v>5791</v>
      </c>
      <c r="C1883">
        <v>1</v>
      </c>
      <c r="D1883" s="1">
        <v>43992.907604166663</v>
      </c>
      <c r="E1883" t="s">
        <v>5792</v>
      </c>
      <c r="F1883" t="s">
        <v>5793</v>
      </c>
      <c r="G1883" t="s">
        <v>5794</v>
      </c>
      <c r="H1883" t="s">
        <v>5795</v>
      </c>
      <c r="I1883" t="s">
        <v>29</v>
      </c>
      <c r="J1883">
        <v>1</v>
      </c>
      <c r="K1883">
        <f>1-844-900-923</f>
        <v>-2666</v>
      </c>
      <c r="L1883" t="s">
        <v>5796</v>
      </c>
      <c r="M1883" t="s">
        <v>5797</v>
      </c>
      <c r="N1883" t="s">
        <v>452</v>
      </c>
      <c r="O1883" t="s">
        <v>28</v>
      </c>
      <c r="P1883" t="s">
        <v>29</v>
      </c>
      <c r="Q1883">
        <v>39</v>
      </c>
      <c r="R1883">
        <v>-77.329300000000003</v>
      </c>
    </row>
    <row r="1884" spans="1:18" x14ac:dyDescent="0.2">
      <c r="A1884" t="s">
        <v>663</v>
      </c>
      <c r="B1884" t="s">
        <v>3385</v>
      </c>
      <c r="C1884">
        <v>1</v>
      </c>
      <c r="D1884" s="1">
        <v>43992.911909722221</v>
      </c>
      <c r="E1884" t="s">
        <v>5798</v>
      </c>
      <c r="F1884" t="s">
        <v>666</v>
      </c>
      <c r="G1884" t="s">
        <v>5799</v>
      </c>
      <c r="H1884" t="s">
        <v>667</v>
      </c>
      <c r="I1884" t="s">
        <v>29</v>
      </c>
      <c r="J1884">
        <v>1</v>
      </c>
      <c r="K1884">
        <f>1-833-957-2543</f>
        <v>-4332</v>
      </c>
      <c r="L1884" t="s">
        <v>5800</v>
      </c>
      <c r="M1884" t="s">
        <v>5801</v>
      </c>
      <c r="N1884" t="s">
        <v>452</v>
      </c>
      <c r="O1884" t="s">
        <v>28</v>
      </c>
      <c r="P1884" t="s">
        <v>29</v>
      </c>
      <c r="Q1884">
        <v>41</v>
      </c>
      <c r="R1884">
        <v>-74.002899999999997</v>
      </c>
    </row>
    <row r="1885" spans="1:18" x14ac:dyDescent="0.2">
      <c r="A1885" t="s">
        <v>439</v>
      </c>
      <c r="B1885" t="s">
        <v>4321</v>
      </c>
      <c r="C1885">
        <v>1</v>
      </c>
      <c r="D1885" s="1">
        <v>43992.927499999998</v>
      </c>
      <c r="E1885" t="s">
        <v>5802</v>
      </c>
      <c r="F1885" t="s">
        <v>442</v>
      </c>
      <c r="G1885" t="s">
        <v>5803</v>
      </c>
      <c r="H1885" t="s">
        <v>444</v>
      </c>
      <c r="I1885" t="s">
        <v>29</v>
      </c>
      <c r="J1885">
        <v>1</v>
      </c>
      <c r="K1885">
        <f>1-833-922-2013</f>
        <v>-3767</v>
      </c>
      <c r="L1885" t="s">
        <v>5804</v>
      </c>
      <c r="M1885" t="s">
        <v>5805</v>
      </c>
      <c r="N1885" t="s">
        <v>2475</v>
      </c>
      <c r="O1885" t="s">
        <v>28</v>
      </c>
      <c r="P1885" t="s">
        <v>29</v>
      </c>
      <c r="Q1885">
        <v>42</v>
      </c>
      <c r="R1885">
        <v>-87.629800000000003</v>
      </c>
    </row>
    <row r="1886" spans="1:18" x14ac:dyDescent="0.2">
      <c r="A1886" t="s">
        <v>439</v>
      </c>
      <c r="B1886" t="s">
        <v>4321</v>
      </c>
      <c r="C1886">
        <v>81</v>
      </c>
      <c r="D1886" s="1">
        <v>43993.33090277778</v>
      </c>
      <c r="E1886" t="s">
        <v>5806</v>
      </c>
      <c r="F1886" t="s">
        <v>442</v>
      </c>
      <c r="G1886" t="s">
        <v>5807</v>
      </c>
      <c r="H1886" t="s">
        <v>444</v>
      </c>
      <c r="I1886" t="s">
        <v>53</v>
      </c>
      <c r="J1886">
        <v>81</v>
      </c>
      <c r="K1886">
        <f>81-50-5809-7267</f>
        <v>-13045</v>
      </c>
      <c r="L1886" t="s">
        <v>5808</v>
      </c>
      <c r="M1886" t="s">
        <v>5809</v>
      </c>
      <c r="N1886" t="s">
        <v>213</v>
      </c>
      <c r="O1886" t="s">
        <v>28</v>
      </c>
      <c r="P1886" t="s">
        <v>29</v>
      </c>
      <c r="Q1886">
        <v>42</v>
      </c>
      <c r="R1886">
        <v>-87.629800000000003</v>
      </c>
    </row>
    <row r="1887" spans="1:18" x14ac:dyDescent="0.2">
      <c r="A1887" t="s">
        <v>663</v>
      </c>
      <c r="B1887" t="s">
        <v>3245</v>
      </c>
      <c r="C1887">
        <v>44</v>
      </c>
      <c r="D1887" s="1">
        <v>43995.625925925924</v>
      </c>
      <c r="E1887" t="s">
        <v>5810</v>
      </c>
      <c r="F1887" t="s">
        <v>666</v>
      </c>
      <c r="G1887" t="s">
        <v>5811</v>
      </c>
      <c r="H1887" t="s">
        <v>667</v>
      </c>
      <c r="I1887" t="s">
        <v>618</v>
      </c>
      <c r="J1887">
        <v>44</v>
      </c>
      <c r="K1887">
        <f>44-808-101-7269</f>
        <v>-8134</v>
      </c>
      <c r="L1887" t="s">
        <v>5812</v>
      </c>
      <c r="M1887" t="s">
        <v>5813</v>
      </c>
      <c r="N1887" t="s">
        <v>1645</v>
      </c>
      <c r="O1887" t="s">
        <v>28</v>
      </c>
      <c r="P1887" t="s">
        <v>29</v>
      </c>
      <c r="Q1887">
        <v>41</v>
      </c>
      <c r="R1887">
        <v>-74.140299999999996</v>
      </c>
    </row>
    <row r="1888" spans="1:18" x14ac:dyDescent="0.2">
      <c r="A1888" t="s">
        <v>675</v>
      </c>
      <c r="B1888" t="s">
        <v>1412</v>
      </c>
      <c r="C1888">
        <v>61</v>
      </c>
      <c r="D1888" s="1">
        <v>44035.751701388886</v>
      </c>
      <c r="E1888" t="s">
        <v>5814</v>
      </c>
      <c r="F1888" t="s">
        <v>678</v>
      </c>
      <c r="G1888" t="s">
        <v>5815</v>
      </c>
      <c r="H1888" t="s">
        <v>680</v>
      </c>
      <c r="I1888" t="s">
        <v>782</v>
      </c>
      <c r="J1888">
        <v>61</v>
      </c>
      <c r="K1888">
        <f>61-1800-557-863</f>
        <v>-3159</v>
      </c>
      <c r="L1888" t="s">
        <v>5816</v>
      </c>
      <c r="M1888" t="s">
        <v>5817</v>
      </c>
      <c r="N1888" t="s">
        <v>1645</v>
      </c>
      <c r="O1888" t="s">
        <v>28</v>
      </c>
      <c r="P1888" t="s">
        <v>29</v>
      </c>
      <c r="Q1888">
        <v>41</v>
      </c>
      <c r="R1888">
        <v>-74.172399999999996</v>
      </c>
    </row>
    <row r="1889" spans="1:18" x14ac:dyDescent="0.2">
      <c r="A1889" t="s">
        <v>675</v>
      </c>
      <c r="B1889" t="s">
        <v>1412</v>
      </c>
      <c r="C1889">
        <v>1</v>
      </c>
      <c r="D1889" s="1">
        <v>44033.890208333331</v>
      </c>
      <c r="E1889" t="s">
        <v>5818</v>
      </c>
      <c r="F1889" t="s">
        <v>678</v>
      </c>
      <c r="G1889" t="s">
        <v>5815</v>
      </c>
      <c r="H1889" t="s">
        <v>680</v>
      </c>
      <c r="I1889" t="s">
        <v>29</v>
      </c>
      <c r="J1889">
        <v>1</v>
      </c>
      <c r="K1889">
        <f>1-855-949-1010</f>
        <v>-2813</v>
      </c>
      <c r="L1889" t="s">
        <v>5819</v>
      </c>
      <c r="M1889" t="s">
        <v>5820</v>
      </c>
      <c r="N1889" t="s">
        <v>1645</v>
      </c>
      <c r="O1889" t="s">
        <v>28</v>
      </c>
      <c r="P1889" t="s">
        <v>29</v>
      </c>
      <c r="Q1889">
        <v>41</v>
      </c>
      <c r="R1889">
        <v>-74.172399999999996</v>
      </c>
    </row>
    <row r="1890" spans="1:18" x14ac:dyDescent="0.2">
      <c r="A1890" t="s">
        <v>675</v>
      </c>
      <c r="B1890" t="s">
        <v>1412</v>
      </c>
      <c r="C1890">
        <v>1</v>
      </c>
      <c r="D1890" s="1">
        <v>44032.491793981484</v>
      </c>
      <c r="E1890" t="s">
        <v>5821</v>
      </c>
      <c r="F1890" t="s">
        <v>678</v>
      </c>
      <c r="G1890" t="s">
        <v>5815</v>
      </c>
      <c r="H1890" t="s">
        <v>680</v>
      </c>
      <c r="I1890" t="s">
        <v>29</v>
      </c>
      <c r="J1890">
        <v>1</v>
      </c>
      <c r="K1890">
        <f>1-855-949-1010</f>
        <v>-2813</v>
      </c>
      <c r="L1890" t="s">
        <v>5822</v>
      </c>
      <c r="M1890" t="s">
        <v>5823</v>
      </c>
      <c r="N1890" t="s">
        <v>683</v>
      </c>
      <c r="O1890" t="s">
        <v>28</v>
      </c>
      <c r="P1890" t="s">
        <v>29</v>
      </c>
      <c r="Q1890">
        <v>41</v>
      </c>
      <c r="R1890">
        <v>-74.172399999999996</v>
      </c>
    </row>
    <row r="1891" spans="1:18" x14ac:dyDescent="0.2">
      <c r="A1891" t="s">
        <v>675</v>
      </c>
      <c r="B1891" t="s">
        <v>1412</v>
      </c>
      <c r="C1891">
        <v>61</v>
      </c>
      <c r="D1891" s="1">
        <v>44032.489884259259</v>
      </c>
      <c r="E1891" t="s">
        <v>5824</v>
      </c>
      <c r="F1891" t="s">
        <v>678</v>
      </c>
      <c r="G1891" t="s">
        <v>5815</v>
      </c>
      <c r="H1891" t="s">
        <v>680</v>
      </c>
      <c r="I1891" t="s">
        <v>782</v>
      </c>
      <c r="J1891">
        <v>61</v>
      </c>
      <c r="K1891">
        <f>61-1800-557-863</f>
        <v>-3159</v>
      </c>
      <c r="L1891" t="s">
        <v>5825</v>
      </c>
      <c r="M1891" t="s">
        <v>5826</v>
      </c>
      <c r="N1891" t="s">
        <v>1645</v>
      </c>
      <c r="O1891" t="s">
        <v>28</v>
      </c>
      <c r="P1891" t="s">
        <v>29</v>
      </c>
      <c r="Q1891">
        <v>41</v>
      </c>
      <c r="R1891">
        <v>-74.172399999999996</v>
      </c>
    </row>
    <row r="1892" spans="1:18" x14ac:dyDescent="0.2">
      <c r="A1892" t="s">
        <v>675</v>
      </c>
      <c r="B1892" t="s">
        <v>1412</v>
      </c>
      <c r="C1892">
        <v>61</v>
      </c>
      <c r="D1892" s="1">
        <v>44030.519525462965</v>
      </c>
      <c r="E1892" t="s">
        <v>5827</v>
      </c>
      <c r="F1892" t="s">
        <v>678</v>
      </c>
      <c r="G1892" t="s">
        <v>5815</v>
      </c>
      <c r="H1892" t="s">
        <v>680</v>
      </c>
      <c r="I1892" t="s">
        <v>782</v>
      </c>
      <c r="J1892">
        <v>61</v>
      </c>
      <c r="K1892">
        <f>61-1800-557-863</f>
        <v>-3159</v>
      </c>
      <c r="L1892" t="s">
        <v>5828</v>
      </c>
      <c r="M1892" t="s">
        <v>5829</v>
      </c>
      <c r="N1892" t="s">
        <v>1645</v>
      </c>
      <c r="O1892" t="s">
        <v>28</v>
      </c>
      <c r="P1892" t="s">
        <v>29</v>
      </c>
      <c r="Q1892">
        <v>41</v>
      </c>
      <c r="R1892">
        <v>-74.172399999999996</v>
      </c>
    </row>
    <row r="1893" spans="1:18" x14ac:dyDescent="0.2">
      <c r="A1893" t="s">
        <v>675</v>
      </c>
      <c r="B1893" t="s">
        <v>1412</v>
      </c>
      <c r="C1893">
        <v>61</v>
      </c>
      <c r="D1893" s="1">
        <v>44029.471145833333</v>
      </c>
      <c r="E1893" t="s">
        <v>5830</v>
      </c>
      <c r="F1893" t="s">
        <v>678</v>
      </c>
      <c r="G1893" t="s">
        <v>5815</v>
      </c>
      <c r="H1893" t="s">
        <v>680</v>
      </c>
      <c r="I1893" t="s">
        <v>782</v>
      </c>
      <c r="J1893">
        <v>61</v>
      </c>
      <c r="K1893">
        <f>61-1800-557-863</f>
        <v>-3159</v>
      </c>
      <c r="L1893" t="s">
        <v>5831</v>
      </c>
      <c r="M1893" t="s">
        <v>5832</v>
      </c>
      <c r="N1893" t="s">
        <v>1645</v>
      </c>
      <c r="O1893" t="s">
        <v>28</v>
      </c>
      <c r="P1893" t="s">
        <v>29</v>
      </c>
      <c r="Q1893">
        <v>41</v>
      </c>
      <c r="R1893">
        <v>-74.172399999999996</v>
      </c>
    </row>
    <row r="1894" spans="1:18" x14ac:dyDescent="0.2">
      <c r="A1894" t="s">
        <v>675</v>
      </c>
      <c r="B1894" t="s">
        <v>1412</v>
      </c>
      <c r="C1894">
        <v>1</v>
      </c>
      <c r="D1894" s="1">
        <v>44023.861481481479</v>
      </c>
      <c r="E1894" t="s">
        <v>5833</v>
      </c>
      <c r="F1894" t="s">
        <v>678</v>
      </c>
      <c r="G1894" t="s">
        <v>5815</v>
      </c>
      <c r="H1894" t="s">
        <v>680</v>
      </c>
      <c r="I1894" t="s">
        <v>29</v>
      </c>
      <c r="J1894">
        <v>1</v>
      </c>
      <c r="K1894">
        <f>1-888-928-1735</f>
        <v>-3550</v>
      </c>
      <c r="L1894" t="s">
        <v>5834</v>
      </c>
      <c r="M1894" t="s">
        <v>5835</v>
      </c>
      <c r="N1894" t="s">
        <v>1645</v>
      </c>
      <c r="O1894" t="s">
        <v>28</v>
      </c>
      <c r="P1894" t="s">
        <v>29</v>
      </c>
      <c r="Q1894">
        <v>41</v>
      </c>
      <c r="R1894">
        <v>-74.172399999999996</v>
      </c>
    </row>
    <row r="1895" spans="1:18" x14ac:dyDescent="0.2">
      <c r="A1895" t="s">
        <v>675</v>
      </c>
      <c r="B1895" t="s">
        <v>1412</v>
      </c>
      <c r="C1895">
        <v>1</v>
      </c>
      <c r="D1895" s="1">
        <v>44023.089016203703</v>
      </c>
      <c r="E1895" t="s">
        <v>5836</v>
      </c>
      <c r="F1895" t="s">
        <v>678</v>
      </c>
      <c r="G1895" t="s">
        <v>5815</v>
      </c>
      <c r="H1895" t="s">
        <v>680</v>
      </c>
      <c r="I1895" t="s">
        <v>29</v>
      </c>
      <c r="J1895">
        <v>1</v>
      </c>
      <c r="K1895">
        <f>1-833-300-885</f>
        <v>-2017</v>
      </c>
      <c r="L1895" t="s">
        <v>5837</v>
      </c>
      <c r="M1895" t="s">
        <v>5838</v>
      </c>
      <c r="N1895" t="s">
        <v>1645</v>
      </c>
      <c r="O1895" t="s">
        <v>28</v>
      </c>
      <c r="P1895" t="s">
        <v>29</v>
      </c>
      <c r="Q1895">
        <v>41</v>
      </c>
      <c r="R1895">
        <v>-74.172399999999996</v>
      </c>
    </row>
    <row r="1896" spans="1:18" x14ac:dyDescent="0.2">
      <c r="A1896" t="s">
        <v>675</v>
      </c>
      <c r="B1896" t="s">
        <v>1412</v>
      </c>
      <c r="C1896">
        <v>1</v>
      </c>
      <c r="D1896" s="1">
        <v>44023.788113425922</v>
      </c>
      <c r="E1896" t="s">
        <v>5839</v>
      </c>
      <c r="F1896" t="s">
        <v>678</v>
      </c>
      <c r="G1896" t="s">
        <v>5815</v>
      </c>
      <c r="H1896" t="s">
        <v>680</v>
      </c>
      <c r="I1896" t="s">
        <v>29</v>
      </c>
      <c r="J1896">
        <v>1</v>
      </c>
      <c r="K1896">
        <f>1-833-600-186</f>
        <v>-1618</v>
      </c>
      <c r="L1896" t="s">
        <v>5840</v>
      </c>
      <c r="M1896" t="s">
        <v>5841</v>
      </c>
      <c r="N1896" t="s">
        <v>1645</v>
      </c>
      <c r="O1896" t="s">
        <v>28</v>
      </c>
      <c r="P1896" t="s">
        <v>29</v>
      </c>
      <c r="Q1896">
        <v>41</v>
      </c>
      <c r="R1896">
        <v>-74.172399999999996</v>
      </c>
    </row>
    <row r="1897" spans="1:18" x14ac:dyDescent="0.2">
      <c r="A1897" t="s">
        <v>675</v>
      </c>
      <c r="B1897" t="s">
        <v>1412</v>
      </c>
      <c r="C1897">
        <v>44</v>
      </c>
      <c r="D1897" s="1">
        <v>44014.56858796296</v>
      </c>
      <c r="E1897" t="s">
        <v>5842</v>
      </c>
      <c r="F1897" t="s">
        <v>678</v>
      </c>
      <c r="G1897" t="s">
        <v>5815</v>
      </c>
      <c r="H1897" t="s">
        <v>680</v>
      </c>
      <c r="I1897" t="s">
        <v>618</v>
      </c>
      <c r="J1897">
        <v>44</v>
      </c>
      <c r="K1897">
        <f>44-808-196-1144</f>
        <v>-2104</v>
      </c>
      <c r="L1897" t="s">
        <v>5843</v>
      </c>
      <c r="M1897" t="s">
        <v>5844</v>
      </c>
      <c r="N1897" t="s">
        <v>1645</v>
      </c>
      <c r="O1897" t="s">
        <v>28</v>
      </c>
      <c r="P1897" t="s">
        <v>29</v>
      </c>
      <c r="Q1897">
        <v>41</v>
      </c>
      <c r="R1897">
        <v>-74.172399999999996</v>
      </c>
    </row>
    <row r="1898" spans="1:18" x14ac:dyDescent="0.2">
      <c r="A1898" t="s">
        <v>675</v>
      </c>
      <c r="B1898" t="s">
        <v>1412</v>
      </c>
      <c r="C1898">
        <v>61</v>
      </c>
      <c r="D1898" s="1">
        <v>43996.364664351851</v>
      </c>
      <c r="E1898" t="s">
        <v>5845</v>
      </c>
      <c r="F1898" t="s">
        <v>678</v>
      </c>
      <c r="G1898" t="s">
        <v>5815</v>
      </c>
      <c r="H1898" t="s">
        <v>680</v>
      </c>
      <c r="I1898" t="s">
        <v>782</v>
      </c>
      <c r="J1898">
        <v>61</v>
      </c>
      <c r="K1898">
        <f>61-1800-215-992</f>
        <v>-2946</v>
      </c>
      <c r="L1898" t="s">
        <v>5846</v>
      </c>
      <c r="M1898" t="s">
        <v>5847</v>
      </c>
      <c r="N1898" t="s">
        <v>1645</v>
      </c>
      <c r="O1898" t="s">
        <v>28</v>
      </c>
      <c r="P1898" t="s">
        <v>29</v>
      </c>
      <c r="Q1898">
        <v>41</v>
      </c>
      <c r="R1898">
        <v>-74.172399999999996</v>
      </c>
    </row>
    <row r="1899" spans="1:18" x14ac:dyDescent="0.2">
      <c r="A1899" t="s">
        <v>675</v>
      </c>
      <c r="B1899" t="s">
        <v>1412</v>
      </c>
      <c r="C1899">
        <v>1</v>
      </c>
      <c r="D1899" s="1">
        <v>43993.345879629633</v>
      </c>
      <c r="E1899" t="s">
        <v>5848</v>
      </c>
      <c r="F1899" t="s">
        <v>678</v>
      </c>
      <c r="G1899" t="s">
        <v>5815</v>
      </c>
      <c r="H1899" t="s">
        <v>680</v>
      </c>
      <c r="I1899" t="s">
        <v>29</v>
      </c>
      <c r="J1899">
        <v>1</v>
      </c>
      <c r="K1899">
        <f>1-877-777-2143</f>
        <v>-3796</v>
      </c>
      <c r="L1899" t="s">
        <v>5849</v>
      </c>
      <c r="M1899" t="s">
        <v>5850</v>
      </c>
      <c r="N1899" t="s">
        <v>1645</v>
      </c>
      <c r="O1899" t="s">
        <v>28</v>
      </c>
      <c r="P1899" t="s">
        <v>29</v>
      </c>
      <c r="Q1899">
        <v>41</v>
      </c>
      <c r="R1899">
        <v>-74.172399999999996</v>
      </c>
    </row>
    <row r="1900" spans="1:18" x14ac:dyDescent="0.2">
      <c r="A1900" t="s">
        <v>675</v>
      </c>
      <c r="B1900" t="s">
        <v>1412</v>
      </c>
      <c r="C1900">
        <v>61</v>
      </c>
      <c r="D1900" s="1">
        <v>43993.345335648148</v>
      </c>
      <c r="E1900" t="s">
        <v>5851</v>
      </c>
      <c r="F1900" t="s">
        <v>678</v>
      </c>
      <c r="G1900" t="s">
        <v>5815</v>
      </c>
      <c r="H1900" t="s">
        <v>680</v>
      </c>
      <c r="I1900" t="s">
        <v>782</v>
      </c>
      <c r="J1900">
        <v>61</v>
      </c>
      <c r="K1900">
        <f>61-1800-215-992</f>
        <v>-2946</v>
      </c>
      <c r="L1900" t="s">
        <v>5852</v>
      </c>
      <c r="M1900" t="s">
        <v>5853</v>
      </c>
      <c r="N1900" t="s">
        <v>1645</v>
      </c>
      <c r="O1900" t="s">
        <v>28</v>
      </c>
      <c r="P1900" t="s">
        <v>29</v>
      </c>
      <c r="Q1900">
        <v>41</v>
      </c>
      <c r="R1900">
        <v>-74.172399999999996</v>
      </c>
    </row>
    <row r="1901" spans="1:18" x14ac:dyDescent="0.2">
      <c r="A1901" t="s">
        <v>663</v>
      </c>
      <c r="B1901" t="s">
        <v>3385</v>
      </c>
      <c r="C1901">
        <v>44</v>
      </c>
      <c r="D1901" s="1">
        <v>43993.650520833333</v>
      </c>
      <c r="E1901" t="s">
        <v>5854</v>
      </c>
      <c r="F1901" t="s">
        <v>666</v>
      </c>
      <c r="G1901" t="s">
        <v>5855</v>
      </c>
      <c r="H1901" t="s">
        <v>667</v>
      </c>
      <c r="I1901" t="s">
        <v>618</v>
      </c>
      <c r="J1901">
        <v>44</v>
      </c>
      <c r="K1901">
        <f>44-808-101-7269</f>
        <v>-8134</v>
      </c>
      <c r="L1901" t="s">
        <v>5856</v>
      </c>
      <c r="M1901" t="s">
        <v>5857</v>
      </c>
      <c r="N1901" t="s">
        <v>1645</v>
      </c>
      <c r="O1901" t="s">
        <v>28</v>
      </c>
      <c r="P1901" t="s">
        <v>29</v>
      </c>
      <c r="Q1901">
        <v>41</v>
      </c>
      <c r="R1901">
        <v>-73.996600000000001</v>
      </c>
    </row>
    <row r="1902" spans="1:18" x14ac:dyDescent="0.2">
      <c r="A1902" t="s">
        <v>5365</v>
      </c>
      <c r="B1902" t="s">
        <v>5858</v>
      </c>
      <c r="C1902">
        <v>81</v>
      </c>
      <c r="D1902" s="1">
        <v>44088.27275462963</v>
      </c>
      <c r="E1902" t="s">
        <v>5859</v>
      </c>
      <c r="F1902" t="s">
        <v>5368</v>
      </c>
      <c r="G1902" t="s">
        <v>5860</v>
      </c>
      <c r="H1902" t="s">
        <v>5370</v>
      </c>
      <c r="I1902" t="s">
        <v>53</v>
      </c>
      <c r="J1902">
        <v>81</v>
      </c>
      <c r="K1902">
        <f>81-50-5534-5805</f>
        <v>-11308</v>
      </c>
      <c r="L1902" t="s">
        <v>5861</v>
      </c>
      <c r="M1902" t="s">
        <v>5862</v>
      </c>
      <c r="N1902" t="s">
        <v>3454</v>
      </c>
      <c r="O1902" t="s">
        <v>28</v>
      </c>
      <c r="P1902" t="s">
        <v>29</v>
      </c>
      <c r="Q1902">
        <v>42</v>
      </c>
      <c r="R1902">
        <v>-83.0458</v>
      </c>
    </row>
    <row r="1903" spans="1:18" x14ac:dyDescent="0.2">
      <c r="A1903" t="s">
        <v>5365</v>
      </c>
      <c r="B1903" t="s">
        <v>5858</v>
      </c>
      <c r="C1903">
        <v>81</v>
      </c>
      <c r="D1903" s="1">
        <v>44087.407685185186</v>
      </c>
      <c r="E1903" t="s">
        <v>5863</v>
      </c>
      <c r="F1903" t="s">
        <v>5368</v>
      </c>
      <c r="G1903" t="s">
        <v>5860</v>
      </c>
      <c r="H1903" t="s">
        <v>5370</v>
      </c>
      <c r="I1903" t="s">
        <v>53</v>
      </c>
      <c r="J1903">
        <v>81</v>
      </c>
      <c r="K1903">
        <f>81-50-5534-5805</f>
        <v>-11308</v>
      </c>
      <c r="L1903" t="s">
        <v>5864</v>
      </c>
      <c r="M1903" t="s">
        <v>5865</v>
      </c>
      <c r="N1903" t="s">
        <v>3454</v>
      </c>
      <c r="O1903" t="s">
        <v>28</v>
      </c>
      <c r="P1903" t="s">
        <v>29</v>
      </c>
      <c r="Q1903">
        <v>42</v>
      </c>
      <c r="R1903">
        <v>-83.0458</v>
      </c>
    </row>
    <row r="1904" spans="1:18" x14ac:dyDescent="0.2">
      <c r="A1904" t="s">
        <v>5365</v>
      </c>
      <c r="B1904" t="s">
        <v>5858</v>
      </c>
      <c r="C1904">
        <v>81</v>
      </c>
      <c r="D1904" s="1">
        <v>44087.611562500002</v>
      </c>
      <c r="E1904" t="s">
        <v>5863</v>
      </c>
      <c r="F1904" t="s">
        <v>5368</v>
      </c>
      <c r="G1904" t="s">
        <v>5860</v>
      </c>
      <c r="H1904" t="s">
        <v>5370</v>
      </c>
      <c r="I1904" t="s">
        <v>53</v>
      </c>
      <c r="J1904">
        <v>81</v>
      </c>
      <c r="K1904">
        <f>81-50-5534-5805</f>
        <v>-11308</v>
      </c>
      <c r="L1904" t="s">
        <v>5866</v>
      </c>
      <c r="M1904" t="s">
        <v>5867</v>
      </c>
      <c r="N1904" t="s">
        <v>3454</v>
      </c>
      <c r="O1904" t="s">
        <v>28</v>
      </c>
      <c r="P1904" t="s">
        <v>29</v>
      </c>
      <c r="Q1904">
        <v>42</v>
      </c>
      <c r="R1904">
        <v>-83.0458</v>
      </c>
    </row>
    <row r="1905" spans="1:18" x14ac:dyDescent="0.2">
      <c r="A1905" t="s">
        <v>5365</v>
      </c>
      <c r="B1905" t="s">
        <v>5858</v>
      </c>
      <c r="C1905">
        <v>81</v>
      </c>
      <c r="D1905" s="1">
        <v>44083.404340277775</v>
      </c>
      <c r="E1905" t="s">
        <v>5868</v>
      </c>
      <c r="F1905" t="s">
        <v>5368</v>
      </c>
      <c r="G1905" t="s">
        <v>5860</v>
      </c>
      <c r="H1905" t="s">
        <v>5370</v>
      </c>
      <c r="I1905" t="s">
        <v>53</v>
      </c>
      <c r="J1905">
        <v>81</v>
      </c>
      <c r="K1905">
        <f>81-50-5534-5805</f>
        <v>-11308</v>
      </c>
      <c r="L1905" t="s">
        <v>5869</v>
      </c>
      <c r="M1905" t="s">
        <v>5870</v>
      </c>
      <c r="N1905" t="s">
        <v>3454</v>
      </c>
      <c r="O1905" t="s">
        <v>28</v>
      </c>
      <c r="P1905" t="s">
        <v>29</v>
      </c>
      <c r="Q1905">
        <v>42</v>
      </c>
      <c r="R1905">
        <v>-83.0458</v>
      </c>
    </row>
    <row r="1906" spans="1:18" x14ac:dyDescent="0.2">
      <c r="A1906" t="s">
        <v>5365</v>
      </c>
      <c r="B1906" t="s">
        <v>5858</v>
      </c>
      <c r="C1906">
        <v>81</v>
      </c>
      <c r="D1906" s="1">
        <v>44074.955960648149</v>
      </c>
      <c r="E1906" t="s">
        <v>5871</v>
      </c>
      <c r="F1906" t="s">
        <v>5368</v>
      </c>
      <c r="G1906" t="s">
        <v>5860</v>
      </c>
      <c r="H1906" t="s">
        <v>5370</v>
      </c>
      <c r="I1906" t="s">
        <v>53</v>
      </c>
      <c r="J1906">
        <v>81</v>
      </c>
      <c r="K1906">
        <f>81-50-5539-1088</f>
        <v>-6596</v>
      </c>
      <c r="L1906" t="s">
        <v>5872</v>
      </c>
      <c r="M1906" t="s">
        <v>5873</v>
      </c>
      <c r="N1906" t="s">
        <v>447</v>
      </c>
      <c r="O1906" t="s">
        <v>134</v>
      </c>
      <c r="P1906" t="s">
        <v>29</v>
      </c>
      <c r="Q1906">
        <v>42</v>
      </c>
      <c r="R1906">
        <v>-83.0458</v>
      </c>
    </row>
    <row r="1907" spans="1:18" x14ac:dyDescent="0.2">
      <c r="A1907" t="s">
        <v>5365</v>
      </c>
      <c r="B1907" t="s">
        <v>5858</v>
      </c>
      <c r="C1907">
        <v>81</v>
      </c>
      <c r="D1907" s="1">
        <v>44067.283009259256</v>
      </c>
      <c r="E1907" t="s">
        <v>5874</v>
      </c>
      <c r="F1907" t="s">
        <v>5368</v>
      </c>
      <c r="G1907" t="s">
        <v>5860</v>
      </c>
      <c r="H1907" t="s">
        <v>5370</v>
      </c>
      <c r="I1907" t="s">
        <v>53</v>
      </c>
      <c r="J1907">
        <v>81</v>
      </c>
      <c r="K1907">
        <f>81-50-5532-8833</f>
        <v>-14334</v>
      </c>
      <c r="L1907" t="s">
        <v>5875</v>
      </c>
      <c r="M1907" t="s">
        <v>5876</v>
      </c>
      <c r="N1907" t="s">
        <v>3454</v>
      </c>
      <c r="O1907" t="s">
        <v>28</v>
      </c>
      <c r="P1907" t="s">
        <v>29</v>
      </c>
      <c r="Q1907">
        <v>42</v>
      </c>
      <c r="R1907">
        <v>-83.0458</v>
      </c>
    </row>
    <row r="1908" spans="1:18" x14ac:dyDescent="0.2">
      <c r="A1908" t="s">
        <v>5365</v>
      </c>
      <c r="B1908" t="s">
        <v>5858</v>
      </c>
      <c r="C1908">
        <v>81</v>
      </c>
      <c r="D1908" s="1">
        <v>44065.572812500002</v>
      </c>
      <c r="E1908" t="s">
        <v>5877</v>
      </c>
      <c r="F1908" t="s">
        <v>5368</v>
      </c>
      <c r="G1908" t="s">
        <v>5860</v>
      </c>
      <c r="H1908" t="s">
        <v>5370</v>
      </c>
      <c r="I1908" t="s">
        <v>53</v>
      </c>
      <c r="J1908">
        <v>81</v>
      </c>
      <c r="K1908">
        <f>81-50-5534-7429</f>
        <v>-12932</v>
      </c>
      <c r="L1908" t="s">
        <v>5878</v>
      </c>
      <c r="M1908" t="s">
        <v>5879</v>
      </c>
      <c r="N1908" t="s">
        <v>3454</v>
      </c>
      <c r="O1908" t="s">
        <v>28</v>
      </c>
      <c r="P1908" t="s">
        <v>29</v>
      </c>
      <c r="Q1908">
        <v>42</v>
      </c>
      <c r="R1908">
        <v>-83.0458</v>
      </c>
    </row>
    <row r="1909" spans="1:18" x14ac:dyDescent="0.2">
      <c r="A1909" t="s">
        <v>5365</v>
      </c>
      <c r="B1909" t="s">
        <v>5858</v>
      </c>
      <c r="C1909">
        <v>81</v>
      </c>
      <c r="D1909" s="1">
        <v>44065.555208333331</v>
      </c>
      <c r="E1909" t="s">
        <v>5877</v>
      </c>
      <c r="F1909" t="s">
        <v>5368</v>
      </c>
      <c r="G1909" t="s">
        <v>5860</v>
      </c>
      <c r="H1909" t="s">
        <v>5370</v>
      </c>
      <c r="I1909" t="s">
        <v>53</v>
      </c>
      <c r="J1909">
        <v>81</v>
      </c>
      <c r="K1909">
        <f>81-50-5534-7429</f>
        <v>-12932</v>
      </c>
      <c r="L1909" t="s">
        <v>5880</v>
      </c>
      <c r="M1909" t="s">
        <v>5881</v>
      </c>
      <c r="N1909" t="s">
        <v>3454</v>
      </c>
      <c r="O1909" t="s">
        <v>28</v>
      </c>
      <c r="P1909" t="s">
        <v>29</v>
      </c>
      <c r="Q1909">
        <v>42</v>
      </c>
      <c r="R1909">
        <v>-83.0458</v>
      </c>
    </row>
    <row r="1910" spans="1:18" x14ac:dyDescent="0.2">
      <c r="A1910" t="s">
        <v>5365</v>
      </c>
      <c r="B1910" t="s">
        <v>5858</v>
      </c>
      <c r="C1910">
        <v>81</v>
      </c>
      <c r="D1910" s="1">
        <v>44039.170034722221</v>
      </c>
      <c r="E1910" t="s">
        <v>5882</v>
      </c>
      <c r="F1910" t="s">
        <v>5368</v>
      </c>
      <c r="G1910" t="s">
        <v>5860</v>
      </c>
      <c r="H1910" t="s">
        <v>5370</v>
      </c>
      <c r="I1910" t="s">
        <v>53</v>
      </c>
      <c r="J1910">
        <v>81</v>
      </c>
      <c r="K1910">
        <f>81-50-5532-8833</f>
        <v>-14334</v>
      </c>
      <c r="L1910" t="s">
        <v>5883</v>
      </c>
      <c r="M1910" t="s">
        <v>5884</v>
      </c>
      <c r="N1910" t="s">
        <v>213</v>
      </c>
      <c r="O1910" t="s">
        <v>28</v>
      </c>
      <c r="P1910" t="s">
        <v>29</v>
      </c>
      <c r="Q1910">
        <v>42</v>
      </c>
      <c r="R1910">
        <v>-83.0458</v>
      </c>
    </row>
    <row r="1911" spans="1:18" x14ac:dyDescent="0.2">
      <c r="A1911" t="s">
        <v>5365</v>
      </c>
      <c r="B1911" t="s">
        <v>5858</v>
      </c>
      <c r="C1911">
        <v>81</v>
      </c>
      <c r="D1911" s="1">
        <v>44037.540185185186</v>
      </c>
      <c r="E1911" t="s">
        <v>5885</v>
      </c>
      <c r="F1911" t="s">
        <v>5368</v>
      </c>
      <c r="G1911" t="s">
        <v>5860</v>
      </c>
      <c r="H1911" t="s">
        <v>5370</v>
      </c>
      <c r="I1911" t="s">
        <v>53</v>
      </c>
      <c r="J1911">
        <v>81</v>
      </c>
      <c r="K1911">
        <f>81-50-5532-8833</f>
        <v>-14334</v>
      </c>
      <c r="L1911" t="s">
        <v>5886</v>
      </c>
      <c r="M1911" t="s">
        <v>5887</v>
      </c>
      <c r="N1911" t="s">
        <v>3454</v>
      </c>
      <c r="O1911" t="s">
        <v>134</v>
      </c>
      <c r="P1911" t="s">
        <v>29</v>
      </c>
      <c r="Q1911">
        <v>42</v>
      </c>
      <c r="R1911">
        <v>-83.0458</v>
      </c>
    </row>
    <row r="1912" spans="1:18" x14ac:dyDescent="0.2">
      <c r="A1912" t="s">
        <v>5365</v>
      </c>
      <c r="B1912" t="s">
        <v>5858</v>
      </c>
      <c r="C1912">
        <v>81</v>
      </c>
      <c r="D1912" s="1">
        <v>44037.36922453704</v>
      </c>
      <c r="E1912" t="s">
        <v>5888</v>
      </c>
      <c r="F1912" t="s">
        <v>5368</v>
      </c>
      <c r="G1912" t="s">
        <v>5860</v>
      </c>
      <c r="H1912" t="s">
        <v>5370</v>
      </c>
      <c r="I1912" t="s">
        <v>53</v>
      </c>
      <c r="J1912">
        <v>81</v>
      </c>
      <c r="K1912">
        <f>81-50-5532-8833</f>
        <v>-14334</v>
      </c>
      <c r="L1912" t="s">
        <v>5889</v>
      </c>
      <c r="M1912" t="s">
        <v>5890</v>
      </c>
      <c r="N1912" t="s">
        <v>3454</v>
      </c>
      <c r="O1912" t="s">
        <v>28</v>
      </c>
      <c r="P1912" t="s">
        <v>29</v>
      </c>
      <c r="Q1912">
        <v>42</v>
      </c>
      <c r="R1912">
        <v>-83.0458</v>
      </c>
    </row>
    <row r="1913" spans="1:18" x14ac:dyDescent="0.2">
      <c r="A1913" t="s">
        <v>5365</v>
      </c>
      <c r="B1913" t="s">
        <v>5858</v>
      </c>
      <c r="C1913">
        <v>81</v>
      </c>
      <c r="D1913" s="1">
        <v>44032.227766203701</v>
      </c>
      <c r="E1913" t="s">
        <v>5891</v>
      </c>
      <c r="F1913" t="s">
        <v>5368</v>
      </c>
      <c r="G1913" t="s">
        <v>5860</v>
      </c>
      <c r="H1913" t="s">
        <v>5370</v>
      </c>
      <c r="I1913" t="s">
        <v>53</v>
      </c>
      <c r="J1913">
        <v>81</v>
      </c>
      <c r="K1913">
        <f>81-50-5539-1088</f>
        <v>-6596</v>
      </c>
      <c r="L1913" t="s">
        <v>5892</v>
      </c>
      <c r="M1913" t="s">
        <v>5893</v>
      </c>
      <c r="N1913" t="s">
        <v>213</v>
      </c>
      <c r="O1913" t="s">
        <v>134</v>
      </c>
      <c r="P1913" t="s">
        <v>29</v>
      </c>
      <c r="Q1913">
        <v>42</v>
      </c>
      <c r="R1913">
        <v>-83.0458</v>
      </c>
    </row>
    <row r="1914" spans="1:18" x14ac:dyDescent="0.2">
      <c r="A1914" t="s">
        <v>5365</v>
      </c>
      <c r="B1914" t="s">
        <v>5858</v>
      </c>
      <c r="C1914">
        <v>81</v>
      </c>
      <c r="D1914" s="1">
        <v>44032.106793981482</v>
      </c>
      <c r="E1914" t="s">
        <v>5894</v>
      </c>
      <c r="F1914" t="s">
        <v>5368</v>
      </c>
      <c r="G1914" t="s">
        <v>5860</v>
      </c>
      <c r="H1914" t="s">
        <v>5370</v>
      </c>
      <c r="I1914" t="s">
        <v>53</v>
      </c>
      <c r="J1914">
        <v>81</v>
      </c>
      <c r="K1914">
        <f>81-50-5539-1088</f>
        <v>-6596</v>
      </c>
      <c r="L1914" t="s">
        <v>5895</v>
      </c>
      <c r="M1914" t="s">
        <v>5896</v>
      </c>
      <c r="N1914" t="s">
        <v>447</v>
      </c>
      <c r="O1914" t="s">
        <v>28</v>
      </c>
      <c r="P1914" t="s">
        <v>29</v>
      </c>
      <c r="Q1914">
        <v>42</v>
      </c>
      <c r="R1914">
        <v>-83.0458</v>
      </c>
    </row>
    <row r="1915" spans="1:18" x14ac:dyDescent="0.2">
      <c r="A1915" t="s">
        <v>5365</v>
      </c>
      <c r="B1915" t="s">
        <v>5858</v>
      </c>
      <c r="C1915">
        <v>81</v>
      </c>
      <c r="D1915" s="1">
        <v>44020.453657407408</v>
      </c>
      <c r="E1915" t="s">
        <v>5897</v>
      </c>
      <c r="F1915" t="s">
        <v>5368</v>
      </c>
      <c r="G1915" t="s">
        <v>5860</v>
      </c>
      <c r="H1915" t="s">
        <v>5370</v>
      </c>
      <c r="I1915" t="s">
        <v>53</v>
      </c>
      <c r="J1915">
        <v>81</v>
      </c>
      <c r="K1915">
        <f>81-50-5539-1088</f>
        <v>-6596</v>
      </c>
      <c r="L1915" t="s">
        <v>5898</v>
      </c>
      <c r="M1915" t="s">
        <v>5899</v>
      </c>
      <c r="N1915" t="s">
        <v>447</v>
      </c>
      <c r="O1915" t="s">
        <v>28</v>
      </c>
      <c r="P1915" t="s">
        <v>29</v>
      </c>
      <c r="Q1915">
        <v>42</v>
      </c>
      <c r="R1915">
        <v>-83.0458</v>
      </c>
    </row>
    <row r="1916" spans="1:18" x14ac:dyDescent="0.2">
      <c r="A1916" t="s">
        <v>5365</v>
      </c>
      <c r="B1916" t="s">
        <v>5858</v>
      </c>
      <c r="C1916">
        <v>41</v>
      </c>
      <c r="D1916" s="1">
        <v>43993.668842592589</v>
      </c>
      <c r="E1916" t="s">
        <v>5900</v>
      </c>
      <c r="F1916" t="s">
        <v>5368</v>
      </c>
      <c r="G1916" t="s">
        <v>5860</v>
      </c>
      <c r="H1916" t="s">
        <v>5370</v>
      </c>
      <c r="I1916" t="s">
        <v>204</v>
      </c>
      <c r="J1916">
        <v>41</v>
      </c>
      <c r="K1916">
        <f>41-22-5188-918</f>
        <v>-6087</v>
      </c>
      <c r="L1916" t="s">
        <v>5901</v>
      </c>
      <c r="M1916" t="s">
        <v>5902</v>
      </c>
      <c r="N1916" t="s">
        <v>452</v>
      </c>
      <c r="O1916" t="s">
        <v>28</v>
      </c>
      <c r="P1916" t="s">
        <v>29</v>
      </c>
      <c r="Q1916">
        <v>42</v>
      </c>
      <c r="R1916">
        <v>-83.0458</v>
      </c>
    </row>
    <row r="1917" spans="1:18" x14ac:dyDescent="0.2">
      <c r="A1917" t="s">
        <v>1637</v>
      </c>
      <c r="B1917" t="s">
        <v>1638</v>
      </c>
      <c r="C1917">
        <v>1</v>
      </c>
      <c r="D1917" s="1">
        <v>44131.871886574074</v>
      </c>
      <c r="E1917" t="s">
        <v>5903</v>
      </c>
      <c r="F1917" t="s">
        <v>5753</v>
      </c>
      <c r="G1917" t="s">
        <v>5904</v>
      </c>
      <c r="H1917" t="s">
        <v>1642</v>
      </c>
      <c r="I1917" t="s">
        <v>29</v>
      </c>
      <c r="J1917">
        <v>1</v>
      </c>
      <c r="K1917">
        <f>1-888-669-3196</f>
        <v>-4752</v>
      </c>
      <c r="L1917" t="s">
        <v>5905</v>
      </c>
      <c r="M1917" t="s">
        <v>5906</v>
      </c>
      <c r="N1917" t="s">
        <v>1645</v>
      </c>
      <c r="O1917" t="s">
        <v>134</v>
      </c>
      <c r="P1917" t="s">
        <v>292</v>
      </c>
      <c r="Q1917">
        <v>49</v>
      </c>
      <c r="R1917">
        <v>2.32131</v>
      </c>
    </row>
    <row r="1918" spans="1:18" x14ac:dyDescent="0.2">
      <c r="A1918" t="s">
        <v>1637</v>
      </c>
      <c r="B1918" t="s">
        <v>1638</v>
      </c>
      <c r="C1918">
        <v>1</v>
      </c>
      <c r="D1918" s="1">
        <v>44131.859085648146</v>
      </c>
      <c r="E1918" t="s">
        <v>5903</v>
      </c>
      <c r="F1918" t="s">
        <v>5753</v>
      </c>
      <c r="G1918" t="s">
        <v>5904</v>
      </c>
      <c r="H1918" t="s">
        <v>1642</v>
      </c>
      <c r="I1918" t="s">
        <v>29</v>
      </c>
      <c r="J1918">
        <v>1</v>
      </c>
      <c r="K1918">
        <f>1-888-792-4452</f>
        <v>-6131</v>
      </c>
      <c r="L1918" t="s">
        <v>5907</v>
      </c>
      <c r="M1918" t="s">
        <v>5908</v>
      </c>
      <c r="N1918" t="s">
        <v>1645</v>
      </c>
      <c r="O1918" t="s">
        <v>134</v>
      </c>
      <c r="P1918" t="s">
        <v>292</v>
      </c>
      <c r="Q1918">
        <v>49</v>
      </c>
      <c r="R1918">
        <v>2.32131</v>
      </c>
    </row>
    <row r="1919" spans="1:18" x14ac:dyDescent="0.2">
      <c r="A1919" t="s">
        <v>1637</v>
      </c>
      <c r="B1919" t="s">
        <v>1638</v>
      </c>
      <c r="C1919">
        <v>1</v>
      </c>
      <c r="D1919" s="1">
        <v>44131.76284722222</v>
      </c>
      <c r="E1919" t="s">
        <v>5909</v>
      </c>
      <c r="F1919" t="s">
        <v>5753</v>
      </c>
      <c r="G1919" t="s">
        <v>5904</v>
      </c>
      <c r="H1919" t="s">
        <v>1642</v>
      </c>
      <c r="I1919" t="s">
        <v>29</v>
      </c>
      <c r="J1919">
        <v>1</v>
      </c>
      <c r="K1919">
        <f>1-888-407-6392</f>
        <v>-7686</v>
      </c>
      <c r="L1919" t="s">
        <v>5910</v>
      </c>
      <c r="M1919" t="s">
        <v>5911</v>
      </c>
      <c r="N1919" t="s">
        <v>1645</v>
      </c>
      <c r="O1919" t="s">
        <v>134</v>
      </c>
      <c r="P1919" t="s">
        <v>292</v>
      </c>
      <c r="Q1919">
        <v>49</v>
      </c>
      <c r="R1919">
        <v>2.32131</v>
      </c>
    </row>
    <row r="1920" spans="1:18" x14ac:dyDescent="0.2">
      <c r="A1920" t="s">
        <v>1637</v>
      </c>
      <c r="B1920" t="s">
        <v>1638</v>
      </c>
      <c r="C1920">
        <v>1</v>
      </c>
      <c r="D1920" s="1">
        <v>44122.628449074073</v>
      </c>
      <c r="E1920" t="s">
        <v>5912</v>
      </c>
      <c r="F1920" t="s">
        <v>5753</v>
      </c>
      <c r="G1920" t="s">
        <v>5904</v>
      </c>
      <c r="H1920" t="s">
        <v>1642</v>
      </c>
      <c r="I1920" t="s">
        <v>29</v>
      </c>
      <c r="J1920">
        <v>1</v>
      </c>
      <c r="K1920">
        <f>1-888-406-8019</f>
        <v>-9312</v>
      </c>
      <c r="L1920" t="s">
        <v>5913</v>
      </c>
      <c r="M1920" t="s">
        <v>5914</v>
      </c>
      <c r="N1920" t="s">
        <v>36</v>
      </c>
      <c r="O1920" t="s">
        <v>134</v>
      </c>
      <c r="P1920" t="s">
        <v>292</v>
      </c>
      <c r="Q1920">
        <v>49</v>
      </c>
      <c r="R1920">
        <v>2.32131</v>
      </c>
    </row>
    <row r="1921" spans="1:18" x14ac:dyDescent="0.2">
      <c r="A1921" t="s">
        <v>1637</v>
      </c>
      <c r="B1921" t="s">
        <v>1638</v>
      </c>
      <c r="C1921">
        <v>1</v>
      </c>
      <c r="D1921" s="1">
        <v>44122.628287037034</v>
      </c>
      <c r="E1921" t="s">
        <v>5915</v>
      </c>
      <c r="F1921" t="s">
        <v>5753</v>
      </c>
      <c r="G1921" t="s">
        <v>5904</v>
      </c>
      <c r="H1921" t="s">
        <v>1642</v>
      </c>
      <c r="I1921" t="s">
        <v>29</v>
      </c>
      <c r="J1921">
        <v>1</v>
      </c>
      <c r="K1921">
        <f>1-888-406-8019</f>
        <v>-9312</v>
      </c>
      <c r="L1921" t="s">
        <v>5916</v>
      </c>
      <c r="M1921" t="s">
        <v>5917</v>
      </c>
      <c r="N1921" t="s">
        <v>452</v>
      </c>
      <c r="O1921" t="s">
        <v>134</v>
      </c>
      <c r="P1921" t="s">
        <v>292</v>
      </c>
      <c r="Q1921">
        <v>49</v>
      </c>
      <c r="R1921">
        <v>2.32131</v>
      </c>
    </row>
    <row r="1922" spans="1:18" x14ac:dyDescent="0.2">
      <c r="A1922" t="s">
        <v>1637</v>
      </c>
      <c r="B1922" t="s">
        <v>1638</v>
      </c>
      <c r="C1922">
        <v>1</v>
      </c>
      <c r="D1922" s="1">
        <v>44122.626967592594</v>
      </c>
      <c r="E1922" t="s">
        <v>5918</v>
      </c>
      <c r="F1922" t="s">
        <v>5753</v>
      </c>
      <c r="G1922" t="s">
        <v>5904</v>
      </c>
      <c r="H1922" t="s">
        <v>1642</v>
      </c>
      <c r="I1922" t="s">
        <v>29</v>
      </c>
      <c r="J1922">
        <v>1</v>
      </c>
      <c r="K1922">
        <f>1-888-406-8019</f>
        <v>-9312</v>
      </c>
      <c r="L1922" t="s">
        <v>5919</v>
      </c>
      <c r="M1922" t="s">
        <v>5920</v>
      </c>
      <c r="N1922" t="s">
        <v>36</v>
      </c>
      <c r="O1922" t="s">
        <v>134</v>
      </c>
      <c r="P1922" t="s">
        <v>292</v>
      </c>
      <c r="Q1922">
        <v>49</v>
      </c>
      <c r="R1922">
        <v>2.32131</v>
      </c>
    </row>
    <row r="1923" spans="1:18" x14ac:dyDescent="0.2">
      <c r="A1923" t="s">
        <v>1637</v>
      </c>
      <c r="B1923" t="s">
        <v>1638</v>
      </c>
      <c r="C1923">
        <v>1</v>
      </c>
      <c r="D1923" s="1">
        <v>44121.912557870368</v>
      </c>
      <c r="E1923" t="s">
        <v>5921</v>
      </c>
      <c r="F1923" t="s">
        <v>5753</v>
      </c>
      <c r="G1923" t="s">
        <v>5904</v>
      </c>
      <c r="H1923" t="s">
        <v>1642</v>
      </c>
      <c r="I1923" t="s">
        <v>29</v>
      </c>
      <c r="J1923">
        <v>1</v>
      </c>
      <c r="K1923">
        <f>1-888-406-8019</f>
        <v>-9312</v>
      </c>
      <c r="L1923" t="s">
        <v>5922</v>
      </c>
      <c r="M1923" t="s">
        <v>5923</v>
      </c>
      <c r="N1923" t="s">
        <v>1645</v>
      </c>
      <c r="O1923" t="s">
        <v>134</v>
      </c>
      <c r="P1923" t="s">
        <v>292</v>
      </c>
      <c r="Q1923">
        <v>49</v>
      </c>
      <c r="R1923">
        <v>2.32131</v>
      </c>
    </row>
    <row r="1924" spans="1:18" x14ac:dyDescent="0.2">
      <c r="A1924" t="s">
        <v>1637</v>
      </c>
      <c r="B1924" t="s">
        <v>1638</v>
      </c>
      <c r="C1924">
        <v>1</v>
      </c>
      <c r="D1924" s="1">
        <v>44121.900787037041</v>
      </c>
      <c r="E1924" t="s">
        <v>5918</v>
      </c>
      <c r="F1924" t="s">
        <v>5753</v>
      </c>
      <c r="G1924" t="s">
        <v>5904</v>
      </c>
      <c r="H1924" t="s">
        <v>1642</v>
      </c>
      <c r="I1924" t="s">
        <v>29</v>
      </c>
      <c r="J1924">
        <v>1</v>
      </c>
      <c r="K1924">
        <f>1-888-621-2878</f>
        <v>-4386</v>
      </c>
      <c r="L1924" t="s">
        <v>5924</v>
      </c>
      <c r="M1924" t="s">
        <v>5925</v>
      </c>
      <c r="N1924" t="s">
        <v>36</v>
      </c>
      <c r="O1924" t="s">
        <v>134</v>
      </c>
      <c r="P1924" t="s">
        <v>292</v>
      </c>
      <c r="Q1924">
        <v>49</v>
      </c>
      <c r="R1924">
        <v>2.32131</v>
      </c>
    </row>
    <row r="1925" spans="1:18" x14ac:dyDescent="0.2">
      <c r="A1925" t="s">
        <v>1637</v>
      </c>
      <c r="B1925" t="s">
        <v>1638</v>
      </c>
      <c r="C1925">
        <v>1</v>
      </c>
      <c r="D1925" s="1">
        <v>44113.053333333337</v>
      </c>
      <c r="E1925" t="s">
        <v>5926</v>
      </c>
      <c r="F1925" t="s">
        <v>5753</v>
      </c>
      <c r="G1925" t="s">
        <v>5904</v>
      </c>
      <c r="H1925" t="s">
        <v>1642</v>
      </c>
      <c r="I1925" t="s">
        <v>29</v>
      </c>
      <c r="J1925">
        <v>1</v>
      </c>
      <c r="K1925">
        <f>1-888-405-8644</f>
        <v>-9936</v>
      </c>
      <c r="L1925" t="s">
        <v>5927</v>
      </c>
      <c r="M1925" t="s">
        <v>5928</v>
      </c>
      <c r="N1925" t="s">
        <v>2475</v>
      </c>
      <c r="O1925" t="s">
        <v>134</v>
      </c>
      <c r="P1925" t="s">
        <v>292</v>
      </c>
      <c r="Q1925">
        <v>49</v>
      </c>
      <c r="R1925">
        <v>2.32131</v>
      </c>
    </row>
    <row r="1926" spans="1:18" x14ac:dyDescent="0.2">
      <c r="A1926" t="s">
        <v>1637</v>
      </c>
      <c r="B1926" t="s">
        <v>1638</v>
      </c>
      <c r="C1926">
        <v>1</v>
      </c>
      <c r="D1926" s="1">
        <v>44112.886967592596</v>
      </c>
      <c r="E1926" t="s">
        <v>5929</v>
      </c>
      <c r="F1926" t="s">
        <v>5753</v>
      </c>
      <c r="G1926" t="s">
        <v>5904</v>
      </c>
      <c r="H1926" t="s">
        <v>1642</v>
      </c>
      <c r="I1926" t="s">
        <v>29</v>
      </c>
      <c r="J1926">
        <v>1</v>
      </c>
      <c r="K1926">
        <f>1-888-407-5232</f>
        <v>-6526</v>
      </c>
      <c r="L1926" t="s">
        <v>5930</v>
      </c>
      <c r="M1926" t="s">
        <v>5931</v>
      </c>
      <c r="N1926" t="s">
        <v>452</v>
      </c>
      <c r="O1926" t="s">
        <v>134</v>
      </c>
      <c r="P1926" t="s">
        <v>292</v>
      </c>
      <c r="Q1926">
        <v>49</v>
      </c>
      <c r="R1926">
        <v>2.32131</v>
      </c>
    </row>
    <row r="1927" spans="1:18" x14ac:dyDescent="0.2">
      <c r="A1927" t="s">
        <v>1637</v>
      </c>
      <c r="B1927" t="s">
        <v>1638</v>
      </c>
      <c r="C1927">
        <v>1</v>
      </c>
      <c r="D1927" s="1">
        <v>44112.864803240744</v>
      </c>
      <c r="E1927" t="s">
        <v>5932</v>
      </c>
      <c r="F1927" t="s">
        <v>5753</v>
      </c>
      <c r="G1927" t="s">
        <v>5904</v>
      </c>
      <c r="H1927" t="s">
        <v>1642</v>
      </c>
      <c r="I1927" t="s">
        <v>29</v>
      </c>
      <c r="J1927">
        <v>1</v>
      </c>
      <c r="K1927">
        <f>1-888-438-1504</f>
        <v>-2829</v>
      </c>
      <c r="L1927" t="s">
        <v>5933</v>
      </c>
      <c r="M1927" t="s">
        <v>5934</v>
      </c>
      <c r="N1927" t="s">
        <v>1645</v>
      </c>
      <c r="O1927" t="s">
        <v>134</v>
      </c>
      <c r="P1927" t="s">
        <v>292</v>
      </c>
      <c r="Q1927">
        <v>49</v>
      </c>
      <c r="R1927">
        <v>2.32131</v>
      </c>
    </row>
    <row r="1928" spans="1:18" x14ac:dyDescent="0.2">
      <c r="A1928" t="s">
        <v>1637</v>
      </c>
      <c r="B1928" t="s">
        <v>1638</v>
      </c>
      <c r="C1928">
        <v>1</v>
      </c>
      <c r="D1928" s="1">
        <v>44112.112071759257</v>
      </c>
      <c r="E1928" t="s">
        <v>5935</v>
      </c>
      <c r="F1928" t="s">
        <v>5753</v>
      </c>
      <c r="G1928" t="s">
        <v>5904</v>
      </c>
      <c r="H1928" t="s">
        <v>1642</v>
      </c>
      <c r="I1928" t="s">
        <v>29</v>
      </c>
      <c r="J1928">
        <v>1</v>
      </c>
      <c r="K1928">
        <f>1-888-438-1504</f>
        <v>-2829</v>
      </c>
      <c r="L1928" t="s">
        <v>5936</v>
      </c>
      <c r="M1928" t="s">
        <v>5937</v>
      </c>
      <c r="N1928" t="s">
        <v>36</v>
      </c>
      <c r="O1928" t="s">
        <v>134</v>
      </c>
      <c r="P1928" t="s">
        <v>292</v>
      </c>
      <c r="Q1928">
        <v>49</v>
      </c>
      <c r="R1928">
        <v>2.32131</v>
      </c>
    </row>
    <row r="1929" spans="1:18" x14ac:dyDescent="0.2">
      <c r="A1929" t="s">
        <v>1637</v>
      </c>
      <c r="B1929" t="s">
        <v>1638</v>
      </c>
      <c r="C1929">
        <v>1</v>
      </c>
      <c r="D1929" s="1">
        <v>44062.709791666668</v>
      </c>
      <c r="E1929" t="s">
        <v>5938</v>
      </c>
      <c r="F1929" t="s">
        <v>5753</v>
      </c>
      <c r="G1929" t="s">
        <v>5904</v>
      </c>
      <c r="H1929" t="s">
        <v>1642</v>
      </c>
      <c r="I1929" t="s">
        <v>29</v>
      </c>
      <c r="J1929">
        <v>1</v>
      </c>
      <c r="K1929">
        <f>1-888-603-968</f>
        <v>-2458</v>
      </c>
      <c r="L1929" t="s">
        <v>5939</v>
      </c>
      <c r="M1929" t="s">
        <v>5940</v>
      </c>
      <c r="N1929" t="s">
        <v>452</v>
      </c>
      <c r="O1929" t="s">
        <v>134</v>
      </c>
      <c r="P1929" t="s">
        <v>292</v>
      </c>
      <c r="Q1929">
        <v>49</v>
      </c>
      <c r="R1929">
        <v>2.32131</v>
      </c>
    </row>
    <row r="1930" spans="1:18" x14ac:dyDescent="0.2">
      <c r="A1930" t="s">
        <v>1637</v>
      </c>
      <c r="B1930" t="s">
        <v>1638</v>
      </c>
      <c r="C1930">
        <v>1</v>
      </c>
      <c r="D1930" s="1">
        <v>44062.708692129629</v>
      </c>
      <c r="E1930" t="s">
        <v>5941</v>
      </c>
      <c r="F1930" t="s">
        <v>5753</v>
      </c>
      <c r="G1930" t="s">
        <v>5904</v>
      </c>
      <c r="H1930" t="s">
        <v>1642</v>
      </c>
      <c r="I1930" t="s">
        <v>29</v>
      </c>
      <c r="J1930">
        <v>1</v>
      </c>
      <c r="K1930">
        <f>1-888-790-8655</f>
        <v>-10332</v>
      </c>
      <c r="L1930" t="s">
        <v>5942</v>
      </c>
      <c r="M1930" t="s">
        <v>5943</v>
      </c>
      <c r="N1930" t="s">
        <v>2475</v>
      </c>
      <c r="O1930" t="s">
        <v>134</v>
      </c>
      <c r="P1930" t="s">
        <v>292</v>
      </c>
      <c r="Q1930">
        <v>49</v>
      </c>
      <c r="R1930">
        <v>2.32131</v>
      </c>
    </row>
    <row r="1931" spans="1:18" x14ac:dyDescent="0.2">
      <c r="A1931" t="s">
        <v>1637</v>
      </c>
      <c r="B1931" t="s">
        <v>1638</v>
      </c>
      <c r="C1931">
        <v>1</v>
      </c>
      <c r="D1931" s="1">
        <v>44062.708541666667</v>
      </c>
      <c r="E1931" t="s">
        <v>5944</v>
      </c>
      <c r="F1931" t="s">
        <v>5753</v>
      </c>
      <c r="G1931" t="s">
        <v>5904</v>
      </c>
      <c r="H1931" t="s">
        <v>1642</v>
      </c>
      <c r="I1931" t="s">
        <v>29</v>
      </c>
      <c r="J1931">
        <v>1</v>
      </c>
      <c r="K1931">
        <f>1-888-603-968</f>
        <v>-2458</v>
      </c>
      <c r="L1931" t="s">
        <v>5945</v>
      </c>
      <c r="M1931" t="s">
        <v>5946</v>
      </c>
      <c r="N1931" t="s">
        <v>1645</v>
      </c>
      <c r="O1931" t="s">
        <v>134</v>
      </c>
      <c r="P1931" t="s">
        <v>292</v>
      </c>
      <c r="Q1931">
        <v>49</v>
      </c>
      <c r="R1931">
        <v>2.32131</v>
      </c>
    </row>
    <row r="1932" spans="1:18" x14ac:dyDescent="0.2">
      <c r="A1932" t="s">
        <v>1637</v>
      </c>
      <c r="B1932" t="s">
        <v>1638</v>
      </c>
      <c r="C1932">
        <v>1</v>
      </c>
      <c r="D1932" s="1">
        <v>44059.881712962961</v>
      </c>
      <c r="E1932" t="s">
        <v>5947</v>
      </c>
      <c r="F1932" t="s">
        <v>5753</v>
      </c>
      <c r="G1932" t="s">
        <v>5904</v>
      </c>
      <c r="H1932" t="s">
        <v>1642</v>
      </c>
      <c r="I1932" t="s">
        <v>29</v>
      </c>
      <c r="J1932">
        <v>1</v>
      </c>
      <c r="K1932">
        <f>1-888-640-2935</f>
        <v>-4462</v>
      </c>
      <c r="L1932" t="s">
        <v>5948</v>
      </c>
      <c r="M1932" t="s">
        <v>5949</v>
      </c>
      <c r="N1932" t="s">
        <v>1645</v>
      </c>
      <c r="O1932" t="s">
        <v>134</v>
      </c>
      <c r="P1932" t="s">
        <v>292</v>
      </c>
      <c r="Q1932">
        <v>49</v>
      </c>
      <c r="R1932">
        <v>2.32131</v>
      </c>
    </row>
    <row r="1933" spans="1:18" x14ac:dyDescent="0.2">
      <c r="A1933" t="s">
        <v>1637</v>
      </c>
      <c r="B1933" t="s">
        <v>1638</v>
      </c>
      <c r="C1933">
        <v>1</v>
      </c>
      <c r="D1933" s="1">
        <v>44059.854467592595</v>
      </c>
      <c r="E1933" t="s">
        <v>5947</v>
      </c>
      <c r="F1933" t="s">
        <v>5753</v>
      </c>
      <c r="G1933" t="s">
        <v>5904</v>
      </c>
      <c r="H1933" t="s">
        <v>1642</v>
      </c>
      <c r="I1933" t="s">
        <v>29</v>
      </c>
      <c r="J1933">
        <v>1</v>
      </c>
      <c r="K1933">
        <f>1-888-715-8029</f>
        <v>-9631</v>
      </c>
      <c r="L1933" t="s">
        <v>5950</v>
      </c>
      <c r="M1933" t="s">
        <v>5951</v>
      </c>
      <c r="N1933" t="s">
        <v>1645</v>
      </c>
      <c r="O1933" t="s">
        <v>134</v>
      </c>
      <c r="P1933" t="s">
        <v>292</v>
      </c>
      <c r="Q1933">
        <v>49</v>
      </c>
      <c r="R1933">
        <v>2.32131</v>
      </c>
    </row>
    <row r="1934" spans="1:18" x14ac:dyDescent="0.2">
      <c r="A1934" t="s">
        <v>1637</v>
      </c>
      <c r="B1934" t="s">
        <v>1638</v>
      </c>
      <c r="C1934">
        <v>1</v>
      </c>
      <c r="D1934" s="1">
        <v>44059.827627314815</v>
      </c>
      <c r="E1934" t="s">
        <v>5952</v>
      </c>
      <c r="F1934" t="s">
        <v>5753</v>
      </c>
      <c r="G1934" t="s">
        <v>5904</v>
      </c>
      <c r="H1934" t="s">
        <v>1642</v>
      </c>
      <c r="I1934" t="s">
        <v>29</v>
      </c>
      <c r="J1934">
        <v>1</v>
      </c>
      <c r="K1934">
        <f>1-888-715-8029</f>
        <v>-9631</v>
      </c>
      <c r="L1934" t="s">
        <v>5953</v>
      </c>
      <c r="M1934" t="s">
        <v>5954</v>
      </c>
      <c r="N1934" t="s">
        <v>36</v>
      </c>
      <c r="O1934" t="s">
        <v>134</v>
      </c>
      <c r="P1934" t="s">
        <v>292</v>
      </c>
      <c r="Q1934">
        <v>49</v>
      </c>
      <c r="R1934">
        <v>2.32131</v>
      </c>
    </row>
    <row r="1935" spans="1:18" x14ac:dyDescent="0.2">
      <c r="A1935" t="s">
        <v>1637</v>
      </c>
      <c r="B1935" t="s">
        <v>1638</v>
      </c>
      <c r="C1935">
        <v>1</v>
      </c>
      <c r="D1935" s="1">
        <v>44061.588738425926</v>
      </c>
      <c r="E1935" t="s">
        <v>5955</v>
      </c>
      <c r="F1935" t="s">
        <v>5753</v>
      </c>
      <c r="G1935" t="s">
        <v>5904</v>
      </c>
      <c r="H1935" t="s">
        <v>1642</v>
      </c>
      <c r="I1935" t="s">
        <v>29</v>
      </c>
      <c r="J1935">
        <v>1</v>
      </c>
      <c r="K1935">
        <f>1-888-407-3693</f>
        <v>-4987</v>
      </c>
      <c r="L1935" t="s">
        <v>5956</v>
      </c>
      <c r="M1935" t="s">
        <v>5957</v>
      </c>
      <c r="N1935" t="s">
        <v>36</v>
      </c>
      <c r="O1935" t="s">
        <v>134</v>
      </c>
      <c r="P1935" t="s">
        <v>292</v>
      </c>
      <c r="Q1935">
        <v>49</v>
      </c>
      <c r="R1935">
        <v>2.32131</v>
      </c>
    </row>
    <row r="1936" spans="1:18" x14ac:dyDescent="0.2">
      <c r="A1936" t="s">
        <v>1637</v>
      </c>
      <c r="B1936" t="s">
        <v>1638</v>
      </c>
      <c r="C1936">
        <v>1</v>
      </c>
      <c r="D1936" s="1">
        <v>44052.886412037034</v>
      </c>
      <c r="E1936" t="s">
        <v>5958</v>
      </c>
      <c r="F1936" t="s">
        <v>5753</v>
      </c>
      <c r="G1936" t="s">
        <v>5904</v>
      </c>
      <c r="H1936" t="s">
        <v>1642</v>
      </c>
      <c r="I1936" t="s">
        <v>29</v>
      </c>
      <c r="J1936">
        <v>1</v>
      </c>
      <c r="K1936">
        <f>1-888-407-7042</f>
        <v>-8336</v>
      </c>
      <c r="L1936" t="s">
        <v>5959</v>
      </c>
      <c r="M1936" t="s">
        <v>5960</v>
      </c>
      <c r="N1936" t="s">
        <v>36</v>
      </c>
      <c r="O1936" t="s">
        <v>134</v>
      </c>
      <c r="P1936" t="s">
        <v>292</v>
      </c>
      <c r="Q1936">
        <v>49</v>
      </c>
      <c r="R1936">
        <v>2.32131</v>
      </c>
    </row>
    <row r="1937" spans="1:18" x14ac:dyDescent="0.2">
      <c r="A1937" t="s">
        <v>1637</v>
      </c>
      <c r="B1937" t="s">
        <v>1638</v>
      </c>
      <c r="C1937">
        <v>1</v>
      </c>
      <c r="D1937" s="1">
        <v>44052.874942129631</v>
      </c>
      <c r="E1937" t="s">
        <v>5961</v>
      </c>
      <c r="F1937" t="s">
        <v>5753</v>
      </c>
      <c r="G1937" t="s">
        <v>5904</v>
      </c>
      <c r="H1937" t="s">
        <v>1642</v>
      </c>
      <c r="I1937" t="s">
        <v>29</v>
      </c>
      <c r="J1937">
        <v>1</v>
      </c>
      <c r="K1937">
        <f>1-888-406-9649</f>
        <v>-10942</v>
      </c>
      <c r="L1937" t="s">
        <v>5962</v>
      </c>
      <c r="M1937" t="s">
        <v>5963</v>
      </c>
      <c r="N1937" t="s">
        <v>452</v>
      </c>
      <c r="O1937" t="s">
        <v>134</v>
      </c>
      <c r="P1937" t="s">
        <v>292</v>
      </c>
      <c r="Q1937">
        <v>49</v>
      </c>
      <c r="R1937">
        <v>2.32131</v>
      </c>
    </row>
    <row r="1938" spans="1:18" x14ac:dyDescent="0.2">
      <c r="A1938" t="s">
        <v>1637</v>
      </c>
      <c r="B1938" t="s">
        <v>1638</v>
      </c>
      <c r="C1938">
        <v>1</v>
      </c>
      <c r="D1938" s="1">
        <v>44036.882453703707</v>
      </c>
      <c r="E1938" t="s">
        <v>5964</v>
      </c>
      <c r="F1938" t="s">
        <v>5753</v>
      </c>
      <c r="G1938" t="s">
        <v>5904</v>
      </c>
      <c r="H1938" t="s">
        <v>1642</v>
      </c>
      <c r="I1938" t="s">
        <v>29</v>
      </c>
      <c r="J1938">
        <v>1</v>
      </c>
      <c r="K1938">
        <f>1-888-407-2656</f>
        <v>-3950</v>
      </c>
      <c r="L1938" t="s">
        <v>5965</v>
      </c>
      <c r="M1938" t="s">
        <v>5966</v>
      </c>
      <c r="N1938" t="s">
        <v>36</v>
      </c>
      <c r="O1938" t="s">
        <v>134</v>
      </c>
      <c r="P1938" t="s">
        <v>292</v>
      </c>
      <c r="Q1938">
        <v>49</v>
      </c>
      <c r="R1938">
        <v>2.32131</v>
      </c>
    </row>
    <row r="1939" spans="1:18" x14ac:dyDescent="0.2">
      <c r="A1939" t="s">
        <v>1637</v>
      </c>
      <c r="B1939" t="s">
        <v>1638</v>
      </c>
      <c r="C1939">
        <v>1</v>
      </c>
      <c r="D1939" s="1">
        <v>44036.854456018518</v>
      </c>
      <c r="E1939" t="s">
        <v>5967</v>
      </c>
      <c r="F1939" t="s">
        <v>5753</v>
      </c>
      <c r="G1939" t="s">
        <v>5904</v>
      </c>
      <c r="H1939" t="s">
        <v>1642</v>
      </c>
      <c r="I1939" t="s">
        <v>29</v>
      </c>
      <c r="J1939">
        <v>1</v>
      </c>
      <c r="K1939">
        <f>1-888-635-558</f>
        <v>-2080</v>
      </c>
      <c r="L1939" t="s">
        <v>5968</v>
      </c>
      <c r="M1939" t="s">
        <v>5969</v>
      </c>
      <c r="N1939" t="s">
        <v>1645</v>
      </c>
      <c r="O1939" t="s">
        <v>134</v>
      </c>
      <c r="P1939" t="s">
        <v>292</v>
      </c>
      <c r="Q1939">
        <v>49</v>
      </c>
      <c r="R1939">
        <v>2.32131</v>
      </c>
    </row>
    <row r="1940" spans="1:18" x14ac:dyDescent="0.2">
      <c r="A1940" t="s">
        <v>1637</v>
      </c>
      <c r="B1940" t="s">
        <v>1638</v>
      </c>
      <c r="C1940">
        <v>1</v>
      </c>
      <c r="D1940" s="1">
        <v>44024.778194444443</v>
      </c>
      <c r="E1940" t="s">
        <v>5970</v>
      </c>
      <c r="F1940" t="s">
        <v>5753</v>
      </c>
      <c r="G1940" t="s">
        <v>5904</v>
      </c>
      <c r="H1940" t="s">
        <v>1642</v>
      </c>
      <c r="I1940" t="s">
        <v>29</v>
      </c>
      <c r="J1940">
        <v>1</v>
      </c>
      <c r="K1940">
        <f>1-888-405-3166</f>
        <v>-4458</v>
      </c>
      <c r="L1940" t="s">
        <v>5971</v>
      </c>
      <c r="M1940" t="s">
        <v>5972</v>
      </c>
      <c r="N1940" t="s">
        <v>1645</v>
      </c>
      <c r="O1940" t="s">
        <v>134</v>
      </c>
      <c r="P1940" t="s">
        <v>292</v>
      </c>
      <c r="Q1940">
        <v>49</v>
      </c>
      <c r="R1940">
        <v>2.32131</v>
      </c>
    </row>
    <row r="1941" spans="1:18" x14ac:dyDescent="0.2">
      <c r="A1941" t="s">
        <v>1637</v>
      </c>
      <c r="B1941" t="s">
        <v>1638</v>
      </c>
      <c r="C1941">
        <v>1</v>
      </c>
      <c r="D1941" s="1">
        <v>44002.098900462966</v>
      </c>
      <c r="E1941" t="s">
        <v>5973</v>
      </c>
      <c r="F1941" t="s">
        <v>5753</v>
      </c>
      <c r="G1941" t="s">
        <v>5904</v>
      </c>
      <c r="H1941" t="s">
        <v>1642</v>
      </c>
      <c r="I1941" t="s">
        <v>29</v>
      </c>
      <c r="J1941">
        <v>1</v>
      </c>
      <c r="K1941">
        <f>1-888-778-5359</f>
        <v>-7024</v>
      </c>
      <c r="L1941" t="s">
        <v>5974</v>
      </c>
      <c r="M1941" t="s">
        <v>5975</v>
      </c>
      <c r="N1941" t="s">
        <v>3305</v>
      </c>
      <c r="O1941" t="s">
        <v>134</v>
      </c>
      <c r="P1941" t="s">
        <v>292</v>
      </c>
      <c r="Q1941">
        <v>49</v>
      </c>
      <c r="R1941">
        <v>2.32131</v>
      </c>
    </row>
    <row r="1942" spans="1:18" x14ac:dyDescent="0.2">
      <c r="A1942" t="s">
        <v>1637</v>
      </c>
      <c r="B1942" t="s">
        <v>1638</v>
      </c>
      <c r="C1942">
        <v>1</v>
      </c>
      <c r="D1942" s="1">
        <v>44001.08630787037</v>
      </c>
      <c r="E1942" t="s">
        <v>5976</v>
      </c>
      <c r="F1942" t="s">
        <v>5753</v>
      </c>
      <c r="G1942" t="s">
        <v>5904</v>
      </c>
      <c r="H1942" t="s">
        <v>1642</v>
      </c>
      <c r="I1942" t="s">
        <v>29</v>
      </c>
      <c r="J1942">
        <v>1</v>
      </c>
      <c r="K1942">
        <f>1-888-406-3632</f>
        <v>-4925</v>
      </c>
      <c r="L1942" t="s">
        <v>5977</v>
      </c>
      <c r="M1942" t="s">
        <v>5978</v>
      </c>
      <c r="N1942" t="s">
        <v>36</v>
      </c>
      <c r="O1942" t="s">
        <v>134</v>
      </c>
      <c r="P1942" t="s">
        <v>292</v>
      </c>
      <c r="Q1942">
        <v>49</v>
      </c>
      <c r="R1942">
        <v>2.32131</v>
      </c>
    </row>
    <row r="1943" spans="1:18" x14ac:dyDescent="0.2">
      <c r="A1943" t="s">
        <v>1637</v>
      </c>
      <c r="B1943" t="s">
        <v>1638</v>
      </c>
      <c r="C1943">
        <v>1</v>
      </c>
      <c r="D1943" s="1">
        <v>43993.964583333334</v>
      </c>
      <c r="E1943" t="s">
        <v>5979</v>
      </c>
      <c r="F1943" t="s">
        <v>5753</v>
      </c>
      <c r="G1943" t="s">
        <v>5904</v>
      </c>
      <c r="H1943" t="s">
        <v>1642</v>
      </c>
      <c r="I1943" t="s">
        <v>29</v>
      </c>
      <c r="J1943">
        <v>1</v>
      </c>
      <c r="K1943">
        <f>1-888-832-4178</f>
        <v>-5897</v>
      </c>
      <c r="L1943" t="s">
        <v>5980</v>
      </c>
      <c r="M1943" t="s">
        <v>5981</v>
      </c>
      <c r="N1943" t="s">
        <v>36</v>
      </c>
      <c r="O1943" t="s">
        <v>134</v>
      </c>
      <c r="P1943" t="s">
        <v>292</v>
      </c>
      <c r="Q1943">
        <v>49</v>
      </c>
      <c r="R1943">
        <v>2.32131</v>
      </c>
    </row>
    <row r="1944" spans="1:18" x14ac:dyDescent="0.2">
      <c r="A1944" t="s">
        <v>2349</v>
      </c>
      <c r="B1944" t="s">
        <v>1651</v>
      </c>
      <c r="C1944">
        <v>1</v>
      </c>
      <c r="D1944" s="1">
        <v>43993.999814814815</v>
      </c>
      <c r="E1944" t="s">
        <v>5982</v>
      </c>
      <c r="F1944" t="s">
        <v>2352</v>
      </c>
      <c r="G1944" t="s">
        <v>5983</v>
      </c>
      <c r="H1944" t="s">
        <v>2353</v>
      </c>
      <c r="I1944" t="s">
        <v>29</v>
      </c>
      <c r="J1944">
        <v>1</v>
      </c>
      <c r="K1944">
        <f>1-866-833-3735</f>
        <v>-5433</v>
      </c>
      <c r="L1944" t="s">
        <v>5984</v>
      </c>
      <c r="M1944" t="s">
        <v>5985</v>
      </c>
      <c r="N1944" t="s">
        <v>5986</v>
      </c>
      <c r="O1944" t="s">
        <v>28</v>
      </c>
      <c r="P1944" t="s">
        <v>29</v>
      </c>
      <c r="Q1944">
        <v>48</v>
      </c>
      <c r="R1944">
        <v>-99.999999000000003</v>
      </c>
    </row>
    <row r="1945" spans="1:18" x14ac:dyDescent="0.2">
      <c r="A1945" t="s">
        <v>439</v>
      </c>
      <c r="B1945" t="s">
        <v>1412</v>
      </c>
      <c r="C1945">
        <v>1</v>
      </c>
      <c r="D1945" s="1">
        <v>43994.683553240742</v>
      </c>
      <c r="E1945" t="s">
        <v>5987</v>
      </c>
      <c r="F1945" t="s">
        <v>442</v>
      </c>
      <c r="G1945" t="s">
        <v>5988</v>
      </c>
      <c r="H1945" t="s">
        <v>444</v>
      </c>
      <c r="I1945" t="s">
        <v>29</v>
      </c>
      <c r="J1945">
        <v>1</v>
      </c>
      <c r="K1945">
        <f>1-888-523-4552</f>
        <v>-5962</v>
      </c>
      <c r="L1945" t="s">
        <v>5989</v>
      </c>
      <c r="M1945" t="s">
        <v>5990</v>
      </c>
      <c r="N1945" t="s">
        <v>213</v>
      </c>
      <c r="O1945" t="s">
        <v>28</v>
      </c>
      <c r="P1945" t="s">
        <v>29</v>
      </c>
      <c r="Q1945">
        <v>41</v>
      </c>
      <c r="R1945">
        <v>-74.172399999999996</v>
      </c>
    </row>
    <row r="1946" spans="1:18" x14ac:dyDescent="0.2">
      <c r="A1946" t="s">
        <v>439</v>
      </c>
      <c r="B1946" t="s">
        <v>440</v>
      </c>
      <c r="C1946">
        <v>1</v>
      </c>
      <c r="D1946" s="1">
        <v>43994.794606481482</v>
      </c>
      <c r="E1946" t="s">
        <v>5991</v>
      </c>
      <c r="F1946" t="s">
        <v>442</v>
      </c>
      <c r="G1946" t="s">
        <v>5992</v>
      </c>
      <c r="H1946" t="s">
        <v>444</v>
      </c>
      <c r="I1946" t="s">
        <v>29</v>
      </c>
      <c r="J1946">
        <v>1</v>
      </c>
      <c r="K1946">
        <f>1-888-523-4552</f>
        <v>-5962</v>
      </c>
      <c r="L1946" t="s">
        <v>5993</v>
      </c>
      <c r="M1946" t="s">
        <v>5994</v>
      </c>
      <c r="N1946" t="s">
        <v>674</v>
      </c>
      <c r="O1946" t="s">
        <v>28</v>
      </c>
      <c r="P1946" t="s">
        <v>29</v>
      </c>
      <c r="Q1946">
        <v>39</v>
      </c>
      <c r="R1946">
        <v>-77.487399999999994</v>
      </c>
    </row>
    <row r="1947" spans="1:18" x14ac:dyDescent="0.2">
      <c r="A1947" t="s">
        <v>270</v>
      </c>
      <c r="B1947" t="s">
        <v>271</v>
      </c>
      <c r="C1947">
        <v>1</v>
      </c>
      <c r="D1947" s="1">
        <v>44174.722800925927</v>
      </c>
      <c r="E1947" t="s">
        <v>5995</v>
      </c>
      <c r="F1947" t="s">
        <v>273</v>
      </c>
      <c r="G1947" t="s">
        <v>5996</v>
      </c>
      <c r="H1947" t="s">
        <v>275</v>
      </c>
      <c r="I1947" t="s">
        <v>29</v>
      </c>
      <c r="J1947">
        <v>1</v>
      </c>
      <c r="K1947">
        <f>1-888-207-2799</f>
        <v>-3893</v>
      </c>
      <c r="L1947" t="s">
        <v>5997</v>
      </c>
      <c r="M1947" t="s">
        <v>5998</v>
      </c>
      <c r="N1947" t="s">
        <v>278</v>
      </c>
      <c r="O1947" t="s">
        <v>28</v>
      </c>
      <c r="P1947" t="s">
        <v>29</v>
      </c>
      <c r="Q1947">
        <v>42</v>
      </c>
      <c r="R1947">
        <v>-93.620800000000003</v>
      </c>
    </row>
    <row r="1948" spans="1:18" x14ac:dyDescent="0.2">
      <c r="A1948" t="s">
        <v>270</v>
      </c>
      <c r="B1948" t="s">
        <v>271</v>
      </c>
      <c r="C1948">
        <v>1</v>
      </c>
      <c r="D1948" s="1">
        <v>44160.001446759263</v>
      </c>
      <c r="E1948" t="s">
        <v>5999</v>
      </c>
      <c r="F1948" t="s">
        <v>273</v>
      </c>
      <c r="G1948" t="s">
        <v>5996</v>
      </c>
      <c r="H1948" t="s">
        <v>275</v>
      </c>
      <c r="I1948" t="s">
        <v>29</v>
      </c>
      <c r="J1948">
        <v>1</v>
      </c>
      <c r="K1948">
        <f>1-844-303-4258</f>
        <v>-5404</v>
      </c>
      <c r="L1948" t="s">
        <v>6000</v>
      </c>
      <c r="M1948" t="s">
        <v>6001</v>
      </c>
      <c r="N1948" t="s">
        <v>278</v>
      </c>
      <c r="O1948" t="s">
        <v>28</v>
      </c>
      <c r="P1948" t="s">
        <v>29</v>
      </c>
      <c r="Q1948">
        <v>42</v>
      </c>
      <c r="R1948">
        <v>-93.620800000000003</v>
      </c>
    </row>
    <row r="1949" spans="1:18" x14ac:dyDescent="0.2">
      <c r="A1949" t="s">
        <v>270</v>
      </c>
      <c r="B1949" t="s">
        <v>271</v>
      </c>
      <c r="C1949">
        <v>1</v>
      </c>
      <c r="D1949" s="1">
        <v>44088.775150462963</v>
      </c>
      <c r="E1949" t="s">
        <v>6002</v>
      </c>
      <c r="F1949" t="s">
        <v>273</v>
      </c>
      <c r="G1949" t="s">
        <v>5996</v>
      </c>
      <c r="H1949" t="s">
        <v>275</v>
      </c>
      <c r="I1949" t="s">
        <v>29</v>
      </c>
      <c r="J1949">
        <v>1</v>
      </c>
      <c r="K1949">
        <f>1-844-212-7353</f>
        <v>-8408</v>
      </c>
      <c r="L1949" t="s">
        <v>6003</v>
      </c>
      <c r="M1949" t="s">
        <v>6004</v>
      </c>
      <c r="N1949" t="s">
        <v>278</v>
      </c>
      <c r="O1949" t="s">
        <v>28</v>
      </c>
      <c r="P1949" t="s">
        <v>29</v>
      </c>
      <c r="Q1949">
        <v>42</v>
      </c>
      <c r="R1949">
        <v>-93.620800000000003</v>
      </c>
    </row>
    <row r="1950" spans="1:18" x14ac:dyDescent="0.2">
      <c r="A1950" t="s">
        <v>270</v>
      </c>
      <c r="B1950" t="s">
        <v>271</v>
      </c>
      <c r="C1950">
        <v>1</v>
      </c>
      <c r="D1950" s="1">
        <v>44073.027696759258</v>
      </c>
      <c r="E1950" t="s">
        <v>6005</v>
      </c>
      <c r="F1950" t="s">
        <v>273</v>
      </c>
      <c r="G1950" t="s">
        <v>5996</v>
      </c>
      <c r="H1950" t="s">
        <v>275</v>
      </c>
      <c r="I1950" t="s">
        <v>29</v>
      </c>
      <c r="J1950">
        <v>1</v>
      </c>
      <c r="K1950">
        <f>1-888-417-4065</f>
        <v>-5369</v>
      </c>
      <c r="L1950" t="s">
        <v>6006</v>
      </c>
      <c r="M1950" t="s">
        <v>6007</v>
      </c>
      <c r="N1950" t="s">
        <v>278</v>
      </c>
      <c r="O1950" t="s">
        <v>134</v>
      </c>
      <c r="P1950" t="s">
        <v>29</v>
      </c>
      <c r="Q1950">
        <v>42</v>
      </c>
      <c r="R1950">
        <v>-93.620800000000003</v>
      </c>
    </row>
    <row r="1951" spans="1:18" x14ac:dyDescent="0.2">
      <c r="A1951" t="s">
        <v>270</v>
      </c>
      <c r="B1951" t="s">
        <v>271</v>
      </c>
      <c r="C1951">
        <v>1</v>
      </c>
      <c r="D1951" s="1">
        <v>44066.538460648146</v>
      </c>
      <c r="E1951" t="s">
        <v>6008</v>
      </c>
      <c r="F1951" t="s">
        <v>273</v>
      </c>
      <c r="G1951" t="s">
        <v>5996</v>
      </c>
      <c r="H1951" t="s">
        <v>275</v>
      </c>
      <c r="I1951" t="s">
        <v>29</v>
      </c>
      <c r="J1951">
        <v>1</v>
      </c>
      <c r="K1951">
        <f>1-888-304-1281</f>
        <v>-2472</v>
      </c>
      <c r="L1951" t="s">
        <v>6009</v>
      </c>
      <c r="M1951" t="s">
        <v>6010</v>
      </c>
      <c r="N1951" t="s">
        <v>278</v>
      </c>
      <c r="O1951" t="s">
        <v>134</v>
      </c>
      <c r="P1951" t="s">
        <v>29</v>
      </c>
      <c r="Q1951">
        <v>42</v>
      </c>
      <c r="R1951">
        <v>-93.620800000000003</v>
      </c>
    </row>
    <row r="1952" spans="1:18" x14ac:dyDescent="0.2">
      <c r="A1952" t="s">
        <v>270</v>
      </c>
      <c r="B1952" t="s">
        <v>271</v>
      </c>
      <c r="C1952">
        <v>34</v>
      </c>
      <c r="D1952" s="1">
        <v>44066.537430555552</v>
      </c>
      <c r="E1952" t="s">
        <v>6011</v>
      </c>
      <c r="F1952" t="s">
        <v>273</v>
      </c>
      <c r="G1952" t="s">
        <v>5996</v>
      </c>
      <c r="H1952" t="s">
        <v>275</v>
      </c>
      <c r="I1952" t="s">
        <v>700</v>
      </c>
      <c r="J1952">
        <v>34</v>
      </c>
      <c r="K1952">
        <f>34-1-86-61-64-63</f>
        <v>-241</v>
      </c>
      <c r="L1952" t="s">
        <v>6012</v>
      </c>
      <c r="M1952" t="s">
        <v>6013</v>
      </c>
      <c r="N1952" t="s">
        <v>278</v>
      </c>
      <c r="O1952" t="s">
        <v>134</v>
      </c>
      <c r="P1952" t="s">
        <v>29</v>
      </c>
      <c r="Q1952">
        <v>42</v>
      </c>
      <c r="R1952">
        <v>-93.620800000000003</v>
      </c>
    </row>
    <row r="1953" spans="1:18" x14ac:dyDescent="0.2">
      <c r="A1953" t="s">
        <v>270</v>
      </c>
      <c r="B1953" t="s">
        <v>271</v>
      </c>
      <c r="C1953">
        <v>33</v>
      </c>
      <c r="D1953" s="1">
        <v>44065.561527777776</v>
      </c>
      <c r="E1953" t="s">
        <v>6011</v>
      </c>
      <c r="F1953" t="s">
        <v>273</v>
      </c>
      <c r="G1953" t="s">
        <v>5996</v>
      </c>
      <c r="H1953" t="s">
        <v>275</v>
      </c>
      <c r="I1953" t="s">
        <v>292</v>
      </c>
      <c r="J1953">
        <v>33</v>
      </c>
      <c r="K1953">
        <f>33-1-86-61-64-63</f>
        <v>-242</v>
      </c>
      <c r="L1953" t="s">
        <v>6014</v>
      </c>
      <c r="M1953" t="s">
        <v>6015</v>
      </c>
      <c r="N1953" t="s">
        <v>278</v>
      </c>
      <c r="O1953" t="s">
        <v>134</v>
      </c>
      <c r="P1953" t="s">
        <v>29</v>
      </c>
      <c r="Q1953">
        <v>42</v>
      </c>
      <c r="R1953">
        <v>-93.620800000000003</v>
      </c>
    </row>
    <row r="1954" spans="1:18" x14ac:dyDescent="0.2">
      <c r="A1954" t="s">
        <v>270</v>
      </c>
      <c r="B1954" t="s">
        <v>271</v>
      </c>
      <c r="C1954">
        <v>1</v>
      </c>
      <c r="D1954" s="1">
        <v>43994.818796296298</v>
      </c>
      <c r="E1954" t="s">
        <v>6016</v>
      </c>
      <c r="F1954" t="s">
        <v>273</v>
      </c>
      <c r="G1954" t="s">
        <v>5996</v>
      </c>
      <c r="H1954" t="s">
        <v>275</v>
      </c>
      <c r="I1954" t="s">
        <v>29</v>
      </c>
      <c r="J1954">
        <v>1</v>
      </c>
      <c r="K1954">
        <f>1-855-551-1568</f>
        <v>-2973</v>
      </c>
      <c r="L1954" t="s">
        <v>6017</v>
      </c>
      <c r="M1954" t="s">
        <v>6018</v>
      </c>
      <c r="N1954" t="s">
        <v>278</v>
      </c>
      <c r="O1954" t="s">
        <v>28</v>
      </c>
      <c r="P1954" t="s">
        <v>29</v>
      </c>
      <c r="Q1954">
        <v>42</v>
      </c>
      <c r="R1954">
        <v>-93.620800000000003</v>
      </c>
    </row>
    <row r="1955" spans="1:18" x14ac:dyDescent="0.2">
      <c r="A1955" t="s">
        <v>270</v>
      </c>
      <c r="B1955" t="s">
        <v>271</v>
      </c>
      <c r="C1955">
        <v>1</v>
      </c>
      <c r="D1955" s="1">
        <v>43994.817777777775</v>
      </c>
      <c r="E1955" t="s">
        <v>6019</v>
      </c>
      <c r="F1955" t="s">
        <v>273</v>
      </c>
      <c r="G1955" t="s">
        <v>5996</v>
      </c>
      <c r="H1955" t="s">
        <v>275</v>
      </c>
      <c r="I1955" t="s">
        <v>29</v>
      </c>
      <c r="J1955">
        <v>1</v>
      </c>
      <c r="K1955">
        <f>1-855-551-1568</f>
        <v>-2973</v>
      </c>
      <c r="L1955" t="s">
        <v>6020</v>
      </c>
      <c r="M1955" t="s">
        <v>6021</v>
      </c>
      <c r="N1955" t="s">
        <v>278</v>
      </c>
      <c r="O1955" t="s">
        <v>28</v>
      </c>
      <c r="P1955" t="s">
        <v>29</v>
      </c>
      <c r="Q1955">
        <v>42</v>
      </c>
      <c r="R1955">
        <v>-93.620800000000003</v>
      </c>
    </row>
    <row r="1956" spans="1:18" x14ac:dyDescent="0.2">
      <c r="A1956" t="s">
        <v>270</v>
      </c>
      <c r="B1956" t="s">
        <v>271</v>
      </c>
      <c r="C1956">
        <v>1</v>
      </c>
      <c r="D1956" s="1">
        <v>43994.81726851852</v>
      </c>
      <c r="E1956" t="s">
        <v>6022</v>
      </c>
      <c r="F1956" t="s">
        <v>273</v>
      </c>
      <c r="G1956" t="s">
        <v>5996</v>
      </c>
      <c r="H1956" t="s">
        <v>275</v>
      </c>
      <c r="I1956" t="s">
        <v>29</v>
      </c>
      <c r="J1956">
        <v>1</v>
      </c>
      <c r="K1956">
        <f>1-855-551-1568</f>
        <v>-2973</v>
      </c>
      <c r="L1956" t="s">
        <v>6023</v>
      </c>
      <c r="M1956" t="s">
        <v>6024</v>
      </c>
      <c r="N1956" t="s">
        <v>278</v>
      </c>
      <c r="O1956" t="s">
        <v>28</v>
      </c>
      <c r="P1956" t="s">
        <v>29</v>
      </c>
      <c r="Q1956">
        <v>42</v>
      </c>
      <c r="R1956">
        <v>-93.620800000000003</v>
      </c>
    </row>
    <row r="1957" spans="1:18" x14ac:dyDescent="0.2">
      <c r="A1957" t="s">
        <v>270</v>
      </c>
      <c r="B1957" t="s">
        <v>271</v>
      </c>
      <c r="C1957">
        <v>1</v>
      </c>
      <c r="D1957" s="1">
        <v>43994.816979166666</v>
      </c>
      <c r="E1957" t="s">
        <v>6025</v>
      </c>
      <c r="F1957" t="s">
        <v>273</v>
      </c>
      <c r="G1957" t="s">
        <v>5996</v>
      </c>
      <c r="H1957" t="s">
        <v>275</v>
      </c>
      <c r="I1957" t="s">
        <v>29</v>
      </c>
      <c r="J1957">
        <v>1</v>
      </c>
      <c r="K1957">
        <f>1-855-551-1568</f>
        <v>-2973</v>
      </c>
      <c r="L1957" t="s">
        <v>6026</v>
      </c>
      <c r="M1957" t="s">
        <v>6027</v>
      </c>
      <c r="N1957" t="s">
        <v>278</v>
      </c>
      <c r="O1957" t="s">
        <v>28</v>
      </c>
      <c r="P1957" t="s">
        <v>29</v>
      </c>
      <c r="Q1957">
        <v>42</v>
      </c>
      <c r="R1957">
        <v>-93.620800000000003</v>
      </c>
    </row>
    <row r="1958" spans="1:18" x14ac:dyDescent="0.2">
      <c r="A1958" t="s">
        <v>439</v>
      </c>
      <c r="B1958" t="s">
        <v>4321</v>
      </c>
      <c r="C1958">
        <v>1</v>
      </c>
      <c r="D1958" s="1">
        <v>43994.838391203702</v>
      </c>
      <c r="E1958" t="s">
        <v>6028</v>
      </c>
      <c r="F1958" t="s">
        <v>442</v>
      </c>
      <c r="G1958" t="s">
        <v>6029</v>
      </c>
      <c r="H1958" t="s">
        <v>444</v>
      </c>
      <c r="I1958" t="s">
        <v>29</v>
      </c>
      <c r="J1958">
        <v>1</v>
      </c>
      <c r="K1958">
        <f>1-888-864-1666</f>
        <v>-3417</v>
      </c>
      <c r="L1958" t="s">
        <v>6030</v>
      </c>
      <c r="M1958" t="s">
        <v>6031</v>
      </c>
      <c r="N1958" t="s">
        <v>213</v>
      </c>
      <c r="O1958" t="s">
        <v>28</v>
      </c>
      <c r="P1958" t="s">
        <v>29</v>
      </c>
      <c r="Q1958">
        <v>42</v>
      </c>
      <c r="R1958">
        <v>-87.629800000000003</v>
      </c>
    </row>
    <row r="1959" spans="1:18" x14ac:dyDescent="0.2">
      <c r="A1959" t="s">
        <v>2225</v>
      </c>
      <c r="B1959" t="s">
        <v>2226</v>
      </c>
      <c r="C1959">
        <v>1</v>
      </c>
      <c r="D1959" s="1">
        <v>43995.096921296295</v>
      </c>
      <c r="E1959" t="s">
        <v>6032</v>
      </c>
      <c r="F1959" t="s">
        <v>2228</v>
      </c>
      <c r="G1959" t="s">
        <v>6033</v>
      </c>
      <c r="H1959" t="s">
        <v>2230</v>
      </c>
      <c r="I1959" t="s">
        <v>29</v>
      </c>
      <c r="J1959">
        <v>1</v>
      </c>
      <c r="K1959">
        <f>1-888-850-2394</f>
        <v>-4131</v>
      </c>
      <c r="L1959" t="s">
        <v>6034</v>
      </c>
      <c r="M1959" t="s">
        <v>6035</v>
      </c>
      <c r="N1959" t="s">
        <v>5354</v>
      </c>
      <c r="O1959" t="s">
        <v>28</v>
      </c>
      <c r="P1959" t="s">
        <v>24</v>
      </c>
      <c r="Q1959">
        <v>50</v>
      </c>
      <c r="R1959">
        <v>12.365</v>
      </c>
    </row>
    <row r="1960" spans="1:18" x14ac:dyDescent="0.2">
      <c r="A1960" t="s">
        <v>270</v>
      </c>
      <c r="B1960" t="s">
        <v>271</v>
      </c>
      <c r="C1960">
        <v>1</v>
      </c>
      <c r="D1960" s="1">
        <v>44131.717152777775</v>
      </c>
      <c r="E1960" t="s">
        <v>6036</v>
      </c>
      <c r="F1960" t="s">
        <v>273</v>
      </c>
      <c r="G1960" t="s">
        <v>6037</v>
      </c>
      <c r="H1960" t="s">
        <v>275</v>
      </c>
      <c r="I1960" t="s">
        <v>29</v>
      </c>
      <c r="J1960">
        <v>1</v>
      </c>
      <c r="K1960">
        <f>1-888-393-4112</f>
        <v>-5392</v>
      </c>
      <c r="L1960" t="s">
        <v>6038</v>
      </c>
      <c r="M1960" t="s">
        <v>6039</v>
      </c>
      <c r="N1960" t="s">
        <v>278</v>
      </c>
      <c r="O1960" t="s">
        <v>28</v>
      </c>
      <c r="P1960" t="s">
        <v>29</v>
      </c>
      <c r="Q1960">
        <v>42</v>
      </c>
      <c r="R1960">
        <v>-93.620800000000003</v>
      </c>
    </row>
    <row r="1961" spans="1:18" x14ac:dyDescent="0.2">
      <c r="A1961" t="s">
        <v>270</v>
      </c>
      <c r="B1961" t="s">
        <v>271</v>
      </c>
      <c r="C1961">
        <v>1</v>
      </c>
      <c r="D1961" s="1">
        <v>44103.83898148148</v>
      </c>
      <c r="E1961" t="s">
        <v>6040</v>
      </c>
      <c r="F1961" t="s">
        <v>273</v>
      </c>
      <c r="G1961" t="s">
        <v>6037</v>
      </c>
      <c r="H1961" t="s">
        <v>275</v>
      </c>
      <c r="I1961" t="s">
        <v>29</v>
      </c>
      <c r="J1961">
        <v>1</v>
      </c>
      <c r="K1961">
        <f>1-888-211-8144</f>
        <v>-9242</v>
      </c>
      <c r="L1961" t="s">
        <v>6041</v>
      </c>
      <c r="M1961" t="s">
        <v>6042</v>
      </c>
      <c r="N1961" t="s">
        <v>278</v>
      </c>
      <c r="O1961" t="s">
        <v>28</v>
      </c>
      <c r="P1961" t="s">
        <v>29</v>
      </c>
      <c r="Q1961">
        <v>42</v>
      </c>
      <c r="R1961">
        <v>-93.620800000000003</v>
      </c>
    </row>
    <row r="1962" spans="1:18" x14ac:dyDescent="0.2">
      <c r="A1962" t="s">
        <v>270</v>
      </c>
      <c r="B1962" t="s">
        <v>271</v>
      </c>
      <c r="C1962">
        <v>1</v>
      </c>
      <c r="D1962" s="1">
        <v>44103.763761574075</v>
      </c>
      <c r="E1962" t="s">
        <v>6043</v>
      </c>
      <c r="F1962" t="s">
        <v>273</v>
      </c>
      <c r="G1962" t="s">
        <v>6037</v>
      </c>
      <c r="H1962" t="s">
        <v>275</v>
      </c>
      <c r="I1962" t="s">
        <v>29</v>
      </c>
      <c r="J1962">
        <v>1</v>
      </c>
      <c r="K1962">
        <f>1-888-211-6160</f>
        <v>-7258</v>
      </c>
      <c r="L1962" t="s">
        <v>6044</v>
      </c>
      <c r="M1962" t="s">
        <v>6045</v>
      </c>
      <c r="N1962" t="s">
        <v>278</v>
      </c>
      <c r="O1962" t="s">
        <v>134</v>
      </c>
      <c r="P1962" t="s">
        <v>29</v>
      </c>
      <c r="Q1962">
        <v>42</v>
      </c>
      <c r="R1962">
        <v>-93.620800000000003</v>
      </c>
    </row>
    <row r="1963" spans="1:18" x14ac:dyDescent="0.2">
      <c r="A1963" t="s">
        <v>270</v>
      </c>
      <c r="B1963" t="s">
        <v>271</v>
      </c>
      <c r="C1963">
        <v>1</v>
      </c>
      <c r="D1963" s="1">
        <v>44096.837372685186</v>
      </c>
      <c r="E1963" t="s">
        <v>6046</v>
      </c>
      <c r="F1963" t="s">
        <v>273</v>
      </c>
      <c r="G1963" t="s">
        <v>6037</v>
      </c>
      <c r="H1963" t="s">
        <v>275</v>
      </c>
      <c r="I1963" t="s">
        <v>29</v>
      </c>
      <c r="J1963">
        <v>1</v>
      </c>
      <c r="K1963">
        <f>1-888-257-7505</f>
        <v>-8649</v>
      </c>
      <c r="L1963" t="s">
        <v>6047</v>
      </c>
      <c r="M1963" t="s">
        <v>6048</v>
      </c>
      <c r="N1963" t="s">
        <v>278</v>
      </c>
      <c r="O1963" t="s">
        <v>28</v>
      </c>
      <c r="P1963" t="s">
        <v>29</v>
      </c>
      <c r="Q1963">
        <v>42</v>
      </c>
      <c r="R1963">
        <v>-93.620800000000003</v>
      </c>
    </row>
    <row r="1964" spans="1:18" x14ac:dyDescent="0.2">
      <c r="A1964" t="s">
        <v>270</v>
      </c>
      <c r="B1964" t="s">
        <v>271</v>
      </c>
      <c r="C1964">
        <v>1</v>
      </c>
      <c r="D1964" s="1">
        <v>44095.784305555557</v>
      </c>
      <c r="E1964" t="s">
        <v>6049</v>
      </c>
      <c r="F1964" t="s">
        <v>273</v>
      </c>
      <c r="G1964" t="s">
        <v>6037</v>
      </c>
      <c r="H1964" t="s">
        <v>275</v>
      </c>
      <c r="I1964" t="s">
        <v>29</v>
      </c>
      <c r="J1964">
        <v>1</v>
      </c>
      <c r="K1964">
        <f>1-844-288-9111</f>
        <v>-10242</v>
      </c>
      <c r="L1964" t="s">
        <v>6050</v>
      </c>
      <c r="M1964" t="s">
        <v>6051</v>
      </c>
      <c r="N1964" t="s">
        <v>278</v>
      </c>
      <c r="O1964" t="s">
        <v>28</v>
      </c>
      <c r="P1964" t="s">
        <v>29</v>
      </c>
      <c r="Q1964">
        <v>42</v>
      </c>
      <c r="R1964">
        <v>-93.620800000000003</v>
      </c>
    </row>
    <row r="1965" spans="1:18" x14ac:dyDescent="0.2">
      <c r="A1965" t="s">
        <v>270</v>
      </c>
      <c r="B1965" t="s">
        <v>271</v>
      </c>
      <c r="C1965">
        <v>1</v>
      </c>
      <c r="D1965" s="1">
        <v>44090.991631944446</v>
      </c>
      <c r="E1965" t="s">
        <v>6052</v>
      </c>
      <c r="F1965" t="s">
        <v>273</v>
      </c>
      <c r="G1965" t="s">
        <v>6037</v>
      </c>
      <c r="H1965" t="s">
        <v>275</v>
      </c>
      <c r="I1965" t="s">
        <v>29</v>
      </c>
      <c r="J1965">
        <v>1</v>
      </c>
      <c r="K1965">
        <f>1-844-242-3148</f>
        <v>-4233</v>
      </c>
      <c r="L1965" t="s">
        <v>6053</v>
      </c>
      <c r="M1965" t="s">
        <v>6054</v>
      </c>
      <c r="N1965" t="s">
        <v>278</v>
      </c>
      <c r="O1965" t="s">
        <v>28</v>
      </c>
      <c r="P1965" t="s">
        <v>29</v>
      </c>
      <c r="Q1965">
        <v>42</v>
      </c>
      <c r="R1965">
        <v>-93.620800000000003</v>
      </c>
    </row>
    <row r="1966" spans="1:18" x14ac:dyDescent="0.2">
      <c r="A1966" t="s">
        <v>270</v>
      </c>
      <c r="B1966" t="s">
        <v>271</v>
      </c>
      <c r="C1966">
        <v>1</v>
      </c>
      <c r="D1966" s="1">
        <v>44090.414456018516</v>
      </c>
      <c r="E1966" t="s">
        <v>6055</v>
      </c>
      <c r="F1966" t="s">
        <v>273</v>
      </c>
      <c r="G1966" t="s">
        <v>6037</v>
      </c>
      <c r="H1966" t="s">
        <v>275</v>
      </c>
      <c r="I1966" t="s">
        <v>29</v>
      </c>
      <c r="J1966">
        <v>1</v>
      </c>
      <c r="K1966">
        <f>1-844-311-7591</f>
        <v>-8745</v>
      </c>
      <c r="L1966" t="s">
        <v>6056</v>
      </c>
      <c r="M1966" t="s">
        <v>6057</v>
      </c>
      <c r="N1966" t="s">
        <v>278</v>
      </c>
      <c r="O1966" t="s">
        <v>28</v>
      </c>
      <c r="P1966" t="s">
        <v>29</v>
      </c>
      <c r="Q1966">
        <v>42</v>
      </c>
      <c r="R1966">
        <v>-93.620800000000003</v>
      </c>
    </row>
    <row r="1967" spans="1:18" x14ac:dyDescent="0.2">
      <c r="A1967" t="s">
        <v>270</v>
      </c>
      <c r="B1967" t="s">
        <v>271</v>
      </c>
      <c r="C1967">
        <v>34</v>
      </c>
      <c r="D1967" s="1">
        <v>44081.448993055557</v>
      </c>
      <c r="E1967" t="s">
        <v>6058</v>
      </c>
      <c r="F1967" t="s">
        <v>273</v>
      </c>
      <c r="G1967" t="s">
        <v>6037</v>
      </c>
      <c r="H1967" t="s">
        <v>275</v>
      </c>
      <c r="I1967" t="s">
        <v>700</v>
      </c>
      <c r="J1967">
        <v>34</v>
      </c>
      <c r="K1967">
        <f>34-900-649-684</f>
        <v>-2199</v>
      </c>
      <c r="L1967" t="s">
        <v>6059</v>
      </c>
      <c r="M1967" t="s">
        <v>6060</v>
      </c>
      <c r="N1967" t="s">
        <v>278</v>
      </c>
      <c r="O1967" t="s">
        <v>134</v>
      </c>
      <c r="P1967" t="s">
        <v>29</v>
      </c>
      <c r="Q1967">
        <v>42</v>
      </c>
      <c r="R1967">
        <v>-93.620800000000003</v>
      </c>
    </row>
    <row r="1968" spans="1:18" x14ac:dyDescent="0.2">
      <c r="A1968" t="s">
        <v>270</v>
      </c>
      <c r="B1968" t="s">
        <v>271</v>
      </c>
      <c r="C1968">
        <v>34</v>
      </c>
      <c r="D1968" s="1">
        <v>44080.722511574073</v>
      </c>
      <c r="E1968" t="s">
        <v>6061</v>
      </c>
      <c r="F1968" t="s">
        <v>273</v>
      </c>
      <c r="G1968" t="s">
        <v>6037</v>
      </c>
      <c r="H1968" t="s">
        <v>275</v>
      </c>
      <c r="I1968" t="s">
        <v>700</v>
      </c>
      <c r="J1968">
        <v>34</v>
      </c>
      <c r="K1968">
        <f>34-900-649-684</f>
        <v>-2199</v>
      </c>
      <c r="L1968" t="s">
        <v>6062</v>
      </c>
      <c r="M1968" t="s">
        <v>6063</v>
      </c>
      <c r="N1968" t="s">
        <v>278</v>
      </c>
      <c r="O1968" t="s">
        <v>134</v>
      </c>
      <c r="P1968" t="s">
        <v>29</v>
      </c>
      <c r="Q1968">
        <v>42</v>
      </c>
      <c r="R1968">
        <v>-93.620800000000003</v>
      </c>
    </row>
    <row r="1969" spans="1:18" x14ac:dyDescent="0.2">
      <c r="A1969" t="s">
        <v>270</v>
      </c>
      <c r="B1969" t="s">
        <v>271</v>
      </c>
      <c r="C1969">
        <v>1</v>
      </c>
      <c r="D1969" s="1">
        <v>44073.93922453704</v>
      </c>
      <c r="E1969" t="s">
        <v>6064</v>
      </c>
      <c r="F1969" t="s">
        <v>273</v>
      </c>
      <c r="G1969" t="s">
        <v>6037</v>
      </c>
      <c r="H1969" t="s">
        <v>275</v>
      </c>
      <c r="I1969" t="s">
        <v>29</v>
      </c>
      <c r="J1969">
        <v>1</v>
      </c>
      <c r="K1969">
        <f>1-888-417-4066</f>
        <v>-5370</v>
      </c>
      <c r="L1969" t="s">
        <v>6065</v>
      </c>
      <c r="M1969" t="s">
        <v>6066</v>
      </c>
      <c r="N1969" t="s">
        <v>278</v>
      </c>
      <c r="O1969" t="s">
        <v>134</v>
      </c>
      <c r="P1969" t="s">
        <v>29</v>
      </c>
      <c r="Q1969">
        <v>42</v>
      </c>
      <c r="R1969">
        <v>-93.620800000000003</v>
      </c>
    </row>
    <row r="1970" spans="1:18" x14ac:dyDescent="0.2">
      <c r="A1970" t="s">
        <v>270</v>
      </c>
      <c r="B1970" t="s">
        <v>271</v>
      </c>
      <c r="C1970">
        <v>1</v>
      </c>
      <c r="D1970" s="1">
        <v>44073.930428240739</v>
      </c>
      <c r="E1970" t="s">
        <v>6067</v>
      </c>
      <c r="F1970" t="s">
        <v>273</v>
      </c>
      <c r="G1970" t="s">
        <v>6037</v>
      </c>
      <c r="H1970" t="s">
        <v>275</v>
      </c>
      <c r="I1970" t="s">
        <v>29</v>
      </c>
      <c r="J1970">
        <v>1</v>
      </c>
      <c r="K1970">
        <f>1-888-530-1472</f>
        <v>-2889</v>
      </c>
      <c r="L1970" t="s">
        <v>6068</v>
      </c>
      <c r="M1970" t="s">
        <v>6069</v>
      </c>
      <c r="N1970" t="s">
        <v>278</v>
      </c>
      <c r="O1970" t="s">
        <v>134</v>
      </c>
      <c r="P1970" t="s">
        <v>29</v>
      </c>
      <c r="Q1970">
        <v>42</v>
      </c>
      <c r="R1970">
        <v>-93.620800000000003</v>
      </c>
    </row>
    <row r="1971" spans="1:18" x14ac:dyDescent="0.2">
      <c r="A1971" t="s">
        <v>270</v>
      </c>
      <c r="B1971" t="s">
        <v>271</v>
      </c>
      <c r="C1971">
        <v>1</v>
      </c>
      <c r="D1971" s="1">
        <v>44073.926203703704</v>
      </c>
      <c r="E1971" t="s">
        <v>6070</v>
      </c>
      <c r="F1971" t="s">
        <v>273</v>
      </c>
      <c r="G1971" t="s">
        <v>6037</v>
      </c>
      <c r="H1971" t="s">
        <v>275</v>
      </c>
      <c r="I1971" t="s">
        <v>29</v>
      </c>
      <c r="J1971">
        <v>1</v>
      </c>
      <c r="K1971">
        <f>1-888-538-1073</f>
        <v>-2498</v>
      </c>
      <c r="L1971" t="s">
        <v>6071</v>
      </c>
      <c r="M1971" t="s">
        <v>6072</v>
      </c>
      <c r="N1971" t="s">
        <v>278</v>
      </c>
      <c r="O1971" t="s">
        <v>134</v>
      </c>
      <c r="P1971" t="s">
        <v>29</v>
      </c>
      <c r="Q1971">
        <v>42</v>
      </c>
      <c r="R1971">
        <v>-93.620800000000003</v>
      </c>
    </row>
    <row r="1972" spans="1:18" x14ac:dyDescent="0.2">
      <c r="A1972" t="s">
        <v>270</v>
      </c>
      <c r="B1972" t="s">
        <v>271</v>
      </c>
      <c r="C1972">
        <v>1</v>
      </c>
      <c r="D1972" s="1">
        <v>44073.925983796296</v>
      </c>
      <c r="E1972" t="s">
        <v>6073</v>
      </c>
      <c r="F1972" t="s">
        <v>273</v>
      </c>
      <c r="G1972" t="s">
        <v>6037</v>
      </c>
      <c r="H1972" t="s">
        <v>275</v>
      </c>
      <c r="I1972" t="s">
        <v>29</v>
      </c>
      <c r="J1972">
        <v>1</v>
      </c>
      <c r="K1972">
        <f>1-888-538-1073</f>
        <v>-2498</v>
      </c>
      <c r="L1972" t="s">
        <v>6074</v>
      </c>
      <c r="M1972" t="s">
        <v>6075</v>
      </c>
      <c r="N1972" t="s">
        <v>278</v>
      </c>
      <c r="O1972" t="s">
        <v>134</v>
      </c>
      <c r="P1972" t="s">
        <v>29</v>
      </c>
      <c r="Q1972">
        <v>42</v>
      </c>
      <c r="R1972">
        <v>-93.620800000000003</v>
      </c>
    </row>
    <row r="1973" spans="1:18" x14ac:dyDescent="0.2">
      <c r="A1973" t="s">
        <v>270</v>
      </c>
      <c r="B1973" t="s">
        <v>271</v>
      </c>
      <c r="C1973">
        <v>1</v>
      </c>
      <c r="D1973" s="1">
        <v>44073.058483796296</v>
      </c>
      <c r="E1973" t="s">
        <v>6076</v>
      </c>
      <c r="F1973" t="s">
        <v>273</v>
      </c>
      <c r="G1973" t="s">
        <v>6037</v>
      </c>
      <c r="H1973" t="s">
        <v>275</v>
      </c>
      <c r="I1973" t="s">
        <v>29</v>
      </c>
      <c r="J1973">
        <v>1</v>
      </c>
      <c r="K1973">
        <f>1-888-541-8493</f>
        <v>-9921</v>
      </c>
      <c r="L1973" t="s">
        <v>6077</v>
      </c>
      <c r="M1973" t="s">
        <v>6078</v>
      </c>
      <c r="N1973" t="s">
        <v>278</v>
      </c>
      <c r="O1973" t="s">
        <v>134</v>
      </c>
      <c r="P1973" t="s">
        <v>29</v>
      </c>
      <c r="Q1973">
        <v>42</v>
      </c>
      <c r="R1973">
        <v>-93.620800000000003</v>
      </c>
    </row>
    <row r="1974" spans="1:18" x14ac:dyDescent="0.2">
      <c r="A1974" t="s">
        <v>270</v>
      </c>
      <c r="B1974" t="s">
        <v>271</v>
      </c>
      <c r="C1974">
        <v>1</v>
      </c>
      <c r="D1974" s="1">
        <v>44071.905821759261</v>
      </c>
      <c r="E1974" t="s">
        <v>6079</v>
      </c>
      <c r="F1974" t="s">
        <v>273</v>
      </c>
      <c r="G1974" t="s">
        <v>6037</v>
      </c>
      <c r="H1974" t="s">
        <v>275</v>
      </c>
      <c r="I1974" t="s">
        <v>29</v>
      </c>
      <c r="J1974">
        <v>1</v>
      </c>
      <c r="K1974">
        <f>1-888-803-850</f>
        <v>-2540</v>
      </c>
      <c r="L1974" t="s">
        <v>6080</v>
      </c>
      <c r="M1974" t="s">
        <v>6081</v>
      </c>
      <c r="N1974" t="s">
        <v>278</v>
      </c>
      <c r="O1974" t="s">
        <v>134</v>
      </c>
      <c r="P1974" t="s">
        <v>29</v>
      </c>
      <c r="Q1974">
        <v>42</v>
      </c>
      <c r="R1974">
        <v>-93.620800000000003</v>
      </c>
    </row>
    <row r="1975" spans="1:18" x14ac:dyDescent="0.2">
      <c r="A1975" t="s">
        <v>270</v>
      </c>
      <c r="B1975" t="s">
        <v>271</v>
      </c>
      <c r="C1975">
        <v>1</v>
      </c>
      <c r="D1975" s="1">
        <v>44012.974062499998</v>
      </c>
      <c r="E1975" t="s">
        <v>6082</v>
      </c>
      <c r="F1975" t="s">
        <v>273</v>
      </c>
      <c r="G1975" t="s">
        <v>6037</v>
      </c>
      <c r="H1975" t="s">
        <v>275</v>
      </c>
      <c r="I1975" t="s">
        <v>29</v>
      </c>
      <c r="J1975">
        <v>1</v>
      </c>
      <c r="K1975">
        <f>1-833-327-349</f>
        <v>-1508</v>
      </c>
      <c r="L1975" t="s">
        <v>6083</v>
      </c>
      <c r="M1975" t="s">
        <v>6084</v>
      </c>
      <c r="N1975" t="s">
        <v>278</v>
      </c>
      <c r="O1975" t="s">
        <v>28</v>
      </c>
      <c r="P1975" t="s">
        <v>29</v>
      </c>
      <c r="Q1975">
        <v>42</v>
      </c>
      <c r="R1975">
        <v>-93.620800000000003</v>
      </c>
    </row>
    <row r="1976" spans="1:18" x14ac:dyDescent="0.2">
      <c r="A1976" t="s">
        <v>270</v>
      </c>
      <c r="B1976" t="s">
        <v>271</v>
      </c>
      <c r="C1976">
        <v>1</v>
      </c>
      <c r="D1976" s="1">
        <v>44012.965520833335</v>
      </c>
      <c r="E1976" t="s">
        <v>6082</v>
      </c>
      <c r="F1976" t="s">
        <v>273</v>
      </c>
      <c r="G1976" t="s">
        <v>6037</v>
      </c>
      <c r="H1976" t="s">
        <v>275</v>
      </c>
      <c r="I1976" t="s">
        <v>29</v>
      </c>
      <c r="J1976">
        <v>1</v>
      </c>
      <c r="K1976">
        <f>1-833-330-6602</f>
        <v>-7764</v>
      </c>
      <c r="L1976" t="s">
        <v>6085</v>
      </c>
      <c r="M1976" t="s">
        <v>6086</v>
      </c>
      <c r="N1976" t="s">
        <v>278</v>
      </c>
      <c r="O1976" t="s">
        <v>28</v>
      </c>
      <c r="P1976" t="s">
        <v>29</v>
      </c>
      <c r="Q1976">
        <v>42</v>
      </c>
      <c r="R1976">
        <v>-93.620800000000003</v>
      </c>
    </row>
    <row r="1977" spans="1:18" x14ac:dyDescent="0.2">
      <c r="A1977" t="s">
        <v>270</v>
      </c>
      <c r="B1977" t="s">
        <v>271</v>
      </c>
      <c r="C1977">
        <v>1</v>
      </c>
      <c r="D1977" s="1">
        <v>44012.915902777779</v>
      </c>
      <c r="E1977" t="s">
        <v>6082</v>
      </c>
      <c r="F1977" t="s">
        <v>273</v>
      </c>
      <c r="G1977" t="s">
        <v>6037</v>
      </c>
      <c r="H1977" t="s">
        <v>275</v>
      </c>
      <c r="I1977" t="s">
        <v>29</v>
      </c>
      <c r="J1977">
        <v>1</v>
      </c>
      <c r="K1977">
        <f>1-833-333-9008</f>
        <v>-10173</v>
      </c>
      <c r="L1977" t="s">
        <v>6087</v>
      </c>
      <c r="M1977" t="s">
        <v>6088</v>
      </c>
      <c r="N1977" t="s">
        <v>278</v>
      </c>
      <c r="O1977" t="s">
        <v>28</v>
      </c>
      <c r="P1977" t="s">
        <v>29</v>
      </c>
      <c r="Q1977">
        <v>42</v>
      </c>
      <c r="R1977">
        <v>-93.620800000000003</v>
      </c>
    </row>
    <row r="1978" spans="1:18" x14ac:dyDescent="0.2">
      <c r="A1978" t="s">
        <v>270</v>
      </c>
      <c r="B1978" t="s">
        <v>271</v>
      </c>
      <c r="C1978">
        <v>1</v>
      </c>
      <c r="D1978" s="1">
        <v>44005.781701388885</v>
      </c>
      <c r="E1978" t="s">
        <v>6089</v>
      </c>
      <c r="F1978" t="s">
        <v>273</v>
      </c>
      <c r="G1978" t="s">
        <v>6037</v>
      </c>
      <c r="H1978" t="s">
        <v>275</v>
      </c>
      <c r="I1978" t="s">
        <v>29</v>
      </c>
      <c r="J1978">
        <v>1</v>
      </c>
      <c r="K1978">
        <f>1-833-410-2471</f>
        <v>-3713</v>
      </c>
      <c r="L1978" t="s">
        <v>6090</v>
      </c>
      <c r="M1978" t="s">
        <v>6091</v>
      </c>
      <c r="N1978" t="s">
        <v>278</v>
      </c>
      <c r="O1978" t="s">
        <v>28</v>
      </c>
      <c r="P1978" t="s">
        <v>29</v>
      </c>
      <c r="Q1978">
        <v>42</v>
      </c>
      <c r="R1978">
        <v>-93.620800000000003</v>
      </c>
    </row>
    <row r="1979" spans="1:18" x14ac:dyDescent="0.2">
      <c r="A1979" t="s">
        <v>270</v>
      </c>
      <c r="B1979" t="s">
        <v>271</v>
      </c>
      <c r="C1979">
        <v>1</v>
      </c>
      <c r="D1979" s="1">
        <v>44005.7815625</v>
      </c>
      <c r="E1979" t="s">
        <v>6089</v>
      </c>
      <c r="F1979" t="s">
        <v>273</v>
      </c>
      <c r="G1979" t="s">
        <v>6037</v>
      </c>
      <c r="H1979" t="s">
        <v>275</v>
      </c>
      <c r="I1979" t="s">
        <v>29</v>
      </c>
      <c r="J1979">
        <v>1</v>
      </c>
      <c r="K1979">
        <f>1-833-358-742</f>
        <v>-1932</v>
      </c>
      <c r="L1979" t="s">
        <v>6092</v>
      </c>
      <c r="M1979" t="s">
        <v>6093</v>
      </c>
      <c r="N1979" t="s">
        <v>278</v>
      </c>
      <c r="O1979" t="s">
        <v>28</v>
      </c>
      <c r="P1979" t="s">
        <v>29</v>
      </c>
      <c r="Q1979">
        <v>42</v>
      </c>
      <c r="R1979">
        <v>-93.620800000000003</v>
      </c>
    </row>
    <row r="1980" spans="1:18" x14ac:dyDescent="0.2">
      <c r="A1980" t="s">
        <v>270</v>
      </c>
      <c r="B1980" t="s">
        <v>271</v>
      </c>
      <c r="C1980">
        <v>1</v>
      </c>
      <c r="D1980" s="1">
        <v>44005.781527777777</v>
      </c>
      <c r="E1980" t="s">
        <v>6094</v>
      </c>
      <c r="F1980" t="s">
        <v>273</v>
      </c>
      <c r="G1980" t="s">
        <v>6037</v>
      </c>
      <c r="H1980" t="s">
        <v>275</v>
      </c>
      <c r="I1980" t="s">
        <v>29</v>
      </c>
      <c r="J1980">
        <v>1</v>
      </c>
      <c r="K1980">
        <f>1-888-473-1252</f>
        <v>-2612</v>
      </c>
      <c r="L1980" t="s">
        <v>6095</v>
      </c>
      <c r="M1980" t="s">
        <v>6096</v>
      </c>
      <c r="N1980" t="s">
        <v>278</v>
      </c>
      <c r="O1980" t="s">
        <v>28</v>
      </c>
      <c r="P1980" t="s">
        <v>29</v>
      </c>
      <c r="Q1980">
        <v>42</v>
      </c>
      <c r="R1980">
        <v>-93.620800000000003</v>
      </c>
    </row>
    <row r="1981" spans="1:18" x14ac:dyDescent="0.2">
      <c r="A1981" t="s">
        <v>270</v>
      </c>
      <c r="B1981" t="s">
        <v>271</v>
      </c>
      <c r="C1981">
        <v>1</v>
      </c>
      <c r="D1981" s="1">
        <v>44004.838067129633</v>
      </c>
      <c r="E1981" t="s">
        <v>6097</v>
      </c>
      <c r="F1981" t="s">
        <v>273</v>
      </c>
      <c r="G1981" t="s">
        <v>6037</v>
      </c>
      <c r="H1981" t="s">
        <v>275</v>
      </c>
      <c r="I1981" t="s">
        <v>29</v>
      </c>
      <c r="J1981">
        <v>1</v>
      </c>
      <c r="K1981">
        <f>1-833-298-5980</f>
        <v>-7110</v>
      </c>
      <c r="L1981" t="s">
        <v>6098</v>
      </c>
      <c r="M1981" t="s">
        <v>6099</v>
      </c>
      <c r="N1981" t="s">
        <v>278</v>
      </c>
      <c r="O1981" t="s">
        <v>28</v>
      </c>
      <c r="P1981" t="s">
        <v>29</v>
      </c>
      <c r="Q1981">
        <v>42</v>
      </c>
      <c r="R1981">
        <v>-93.620800000000003</v>
      </c>
    </row>
    <row r="1982" spans="1:18" x14ac:dyDescent="0.2">
      <c r="A1982" t="s">
        <v>270</v>
      </c>
      <c r="B1982" t="s">
        <v>271</v>
      </c>
      <c r="C1982">
        <v>1</v>
      </c>
      <c r="D1982" s="1">
        <v>44003.979699074072</v>
      </c>
      <c r="E1982" t="s">
        <v>6100</v>
      </c>
      <c r="F1982" t="s">
        <v>273</v>
      </c>
      <c r="G1982" t="s">
        <v>6037</v>
      </c>
      <c r="H1982" t="s">
        <v>275</v>
      </c>
      <c r="I1982" t="s">
        <v>29</v>
      </c>
      <c r="J1982">
        <v>1</v>
      </c>
      <c r="K1982">
        <f>1-833-358-742</f>
        <v>-1932</v>
      </c>
      <c r="L1982" t="s">
        <v>6101</v>
      </c>
      <c r="M1982" t="s">
        <v>6102</v>
      </c>
      <c r="N1982" t="s">
        <v>278</v>
      </c>
      <c r="O1982" t="s">
        <v>134</v>
      </c>
      <c r="P1982" t="s">
        <v>29</v>
      </c>
      <c r="Q1982">
        <v>42</v>
      </c>
      <c r="R1982">
        <v>-93.620800000000003</v>
      </c>
    </row>
    <row r="1983" spans="1:18" x14ac:dyDescent="0.2">
      <c r="A1983" t="s">
        <v>270</v>
      </c>
      <c r="B1983" t="s">
        <v>271</v>
      </c>
      <c r="C1983">
        <v>1</v>
      </c>
      <c r="D1983" s="1">
        <v>44003.799050925925</v>
      </c>
      <c r="E1983" t="s">
        <v>6103</v>
      </c>
      <c r="F1983" t="s">
        <v>273</v>
      </c>
      <c r="G1983" t="s">
        <v>6037</v>
      </c>
      <c r="H1983" t="s">
        <v>275</v>
      </c>
      <c r="I1983" t="s">
        <v>29</v>
      </c>
      <c r="J1983">
        <v>1</v>
      </c>
      <c r="K1983">
        <f>1-833-378-3348</f>
        <v>-4558</v>
      </c>
      <c r="L1983" t="s">
        <v>6104</v>
      </c>
      <c r="M1983" t="s">
        <v>6105</v>
      </c>
      <c r="N1983" t="s">
        <v>278</v>
      </c>
      <c r="O1983" t="s">
        <v>28</v>
      </c>
      <c r="P1983" t="s">
        <v>29</v>
      </c>
      <c r="Q1983">
        <v>42</v>
      </c>
      <c r="R1983">
        <v>-93.620800000000003</v>
      </c>
    </row>
    <row r="1984" spans="1:18" x14ac:dyDescent="0.2">
      <c r="A1984" t="s">
        <v>270</v>
      </c>
      <c r="B1984" t="s">
        <v>271</v>
      </c>
      <c r="C1984">
        <v>1</v>
      </c>
      <c r="D1984" s="1">
        <v>44002.767893518518</v>
      </c>
      <c r="E1984" t="s">
        <v>6106</v>
      </c>
      <c r="F1984" t="s">
        <v>273</v>
      </c>
      <c r="G1984" t="s">
        <v>6037</v>
      </c>
      <c r="H1984" t="s">
        <v>275</v>
      </c>
      <c r="I1984" t="s">
        <v>29</v>
      </c>
      <c r="J1984">
        <v>1</v>
      </c>
      <c r="K1984">
        <f>1-833-378-3348</f>
        <v>-4558</v>
      </c>
      <c r="L1984" t="s">
        <v>6107</v>
      </c>
      <c r="M1984" t="s">
        <v>6108</v>
      </c>
      <c r="N1984" t="s">
        <v>278</v>
      </c>
      <c r="O1984" t="s">
        <v>28</v>
      </c>
      <c r="P1984" t="s">
        <v>29</v>
      </c>
      <c r="Q1984">
        <v>42</v>
      </c>
      <c r="R1984">
        <v>-93.620800000000003</v>
      </c>
    </row>
    <row r="1985" spans="1:18" x14ac:dyDescent="0.2">
      <c r="A1985" t="s">
        <v>270</v>
      </c>
      <c r="B1985" t="s">
        <v>271</v>
      </c>
      <c r="C1985">
        <v>1</v>
      </c>
      <c r="D1985" s="1">
        <v>44002.740567129629</v>
      </c>
      <c r="E1985" t="s">
        <v>6109</v>
      </c>
      <c r="F1985" t="s">
        <v>273</v>
      </c>
      <c r="G1985" t="s">
        <v>6037</v>
      </c>
      <c r="H1985" t="s">
        <v>275</v>
      </c>
      <c r="I1985" t="s">
        <v>29</v>
      </c>
      <c r="J1985">
        <v>1</v>
      </c>
      <c r="K1985">
        <f>1-833-378-3348</f>
        <v>-4558</v>
      </c>
      <c r="L1985" t="s">
        <v>6110</v>
      </c>
      <c r="M1985" t="s">
        <v>6111</v>
      </c>
      <c r="N1985" t="s">
        <v>278</v>
      </c>
      <c r="O1985" t="s">
        <v>28</v>
      </c>
      <c r="P1985" t="s">
        <v>29</v>
      </c>
      <c r="Q1985">
        <v>42</v>
      </c>
      <c r="R1985">
        <v>-93.620800000000003</v>
      </c>
    </row>
    <row r="1986" spans="1:18" x14ac:dyDescent="0.2">
      <c r="A1986" t="s">
        <v>270</v>
      </c>
      <c r="B1986" t="s">
        <v>271</v>
      </c>
      <c r="C1986">
        <v>1</v>
      </c>
      <c r="D1986" s="1">
        <v>43996.878819444442</v>
      </c>
      <c r="E1986" t="s">
        <v>6112</v>
      </c>
      <c r="F1986" t="s">
        <v>273</v>
      </c>
      <c r="G1986" t="s">
        <v>6037</v>
      </c>
      <c r="H1986" t="s">
        <v>275</v>
      </c>
      <c r="I1986" t="s">
        <v>29</v>
      </c>
      <c r="J1986">
        <v>1</v>
      </c>
      <c r="K1986">
        <f>1-888-466-6036</f>
        <v>-7389</v>
      </c>
      <c r="L1986" t="s">
        <v>6113</v>
      </c>
      <c r="M1986" t="s">
        <v>6114</v>
      </c>
      <c r="N1986" t="s">
        <v>278</v>
      </c>
      <c r="O1986" t="s">
        <v>28</v>
      </c>
      <c r="P1986" t="s">
        <v>29</v>
      </c>
      <c r="Q1986">
        <v>42</v>
      </c>
      <c r="R1986">
        <v>-93.620800000000003</v>
      </c>
    </row>
    <row r="1987" spans="1:18" x14ac:dyDescent="0.2">
      <c r="A1987" t="s">
        <v>270</v>
      </c>
      <c r="B1987" t="s">
        <v>271</v>
      </c>
      <c r="C1987">
        <v>1</v>
      </c>
      <c r="D1987" s="1">
        <v>43995.787997685184</v>
      </c>
      <c r="E1987" t="s">
        <v>6115</v>
      </c>
      <c r="F1987" t="s">
        <v>273</v>
      </c>
      <c r="G1987" t="s">
        <v>6037</v>
      </c>
      <c r="H1987" t="s">
        <v>275</v>
      </c>
      <c r="I1987" t="s">
        <v>29</v>
      </c>
      <c r="J1987">
        <v>1</v>
      </c>
      <c r="K1987">
        <f>1-888-426-9801</f>
        <v>-11114</v>
      </c>
      <c r="L1987" t="s">
        <v>6116</v>
      </c>
      <c r="M1987" t="s">
        <v>6117</v>
      </c>
      <c r="N1987" t="s">
        <v>278</v>
      </c>
      <c r="O1987" t="s">
        <v>28</v>
      </c>
      <c r="P1987" t="s">
        <v>29</v>
      </c>
      <c r="Q1987">
        <v>42</v>
      </c>
      <c r="R1987">
        <v>-93.620800000000003</v>
      </c>
    </row>
    <row r="1988" spans="1:18" x14ac:dyDescent="0.2">
      <c r="A1988" t="s">
        <v>439</v>
      </c>
      <c r="B1988" t="s">
        <v>4321</v>
      </c>
      <c r="C1988">
        <v>1</v>
      </c>
      <c r="D1988" s="1">
        <v>43995.910775462966</v>
      </c>
      <c r="E1988" t="s">
        <v>6118</v>
      </c>
      <c r="F1988" t="s">
        <v>442</v>
      </c>
      <c r="G1988" t="s">
        <v>6119</v>
      </c>
      <c r="H1988" t="s">
        <v>444</v>
      </c>
      <c r="I1988" t="s">
        <v>29</v>
      </c>
      <c r="J1988">
        <v>1</v>
      </c>
      <c r="K1988">
        <f>1-888-523-775</f>
        <v>-2185</v>
      </c>
      <c r="L1988" t="s">
        <v>6120</v>
      </c>
      <c r="M1988" t="s">
        <v>6121</v>
      </c>
      <c r="N1988" t="s">
        <v>447</v>
      </c>
      <c r="O1988" t="s">
        <v>28</v>
      </c>
      <c r="P1988" t="s">
        <v>29</v>
      </c>
      <c r="Q1988">
        <v>42</v>
      </c>
      <c r="R1988">
        <v>-87.629800000000003</v>
      </c>
    </row>
    <row r="1989" spans="1:18" x14ac:dyDescent="0.2">
      <c r="A1989" t="s">
        <v>439</v>
      </c>
      <c r="B1989" t="s">
        <v>4321</v>
      </c>
      <c r="C1989">
        <v>81</v>
      </c>
      <c r="D1989" s="1">
        <v>43996.412534722222</v>
      </c>
      <c r="E1989" t="s">
        <v>6122</v>
      </c>
      <c r="F1989" t="s">
        <v>442</v>
      </c>
      <c r="G1989" t="s">
        <v>6123</v>
      </c>
      <c r="H1989" t="s">
        <v>444</v>
      </c>
      <c r="I1989" t="s">
        <v>53</v>
      </c>
      <c r="J1989">
        <v>81</v>
      </c>
      <c r="K1989">
        <f>81-50-5809-6308</f>
        <v>-12086</v>
      </c>
      <c r="L1989" t="s">
        <v>6124</v>
      </c>
      <c r="M1989" t="s">
        <v>6125</v>
      </c>
      <c r="N1989" t="s">
        <v>213</v>
      </c>
      <c r="O1989" t="s">
        <v>28</v>
      </c>
      <c r="P1989" t="s">
        <v>29</v>
      </c>
      <c r="Q1989">
        <v>42</v>
      </c>
      <c r="R1989">
        <v>-87.629800000000003</v>
      </c>
    </row>
    <row r="1990" spans="1:18" x14ac:dyDescent="0.2">
      <c r="A1990" t="s">
        <v>439</v>
      </c>
      <c r="B1990" t="s">
        <v>440</v>
      </c>
      <c r="C1990">
        <v>81</v>
      </c>
      <c r="D1990" s="1">
        <v>43996.454861111109</v>
      </c>
      <c r="E1990" t="s">
        <v>6126</v>
      </c>
      <c r="F1990" t="s">
        <v>442</v>
      </c>
      <c r="G1990" t="s">
        <v>6127</v>
      </c>
      <c r="H1990" t="s">
        <v>444</v>
      </c>
      <c r="I1990" t="s">
        <v>53</v>
      </c>
      <c r="J1990">
        <v>81</v>
      </c>
      <c r="K1990">
        <f>81-50-5809-6308</f>
        <v>-12086</v>
      </c>
      <c r="L1990" t="s">
        <v>6128</v>
      </c>
      <c r="M1990" t="s">
        <v>6129</v>
      </c>
      <c r="N1990" t="s">
        <v>213</v>
      </c>
      <c r="O1990" t="s">
        <v>28</v>
      </c>
      <c r="P1990" t="s">
        <v>29</v>
      </c>
      <c r="Q1990">
        <v>39</v>
      </c>
      <c r="R1990">
        <v>-77.487399999999994</v>
      </c>
    </row>
    <row r="1991" spans="1:18" x14ac:dyDescent="0.2">
      <c r="A1991" t="s">
        <v>439</v>
      </c>
      <c r="B1991" t="s">
        <v>4321</v>
      </c>
      <c r="C1991">
        <v>1</v>
      </c>
      <c r="D1991" s="1">
        <v>43996.469305555554</v>
      </c>
      <c r="E1991" t="s">
        <v>6130</v>
      </c>
      <c r="F1991" t="s">
        <v>442</v>
      </c>
      <c r="G1991" t="s">
        <v>6131</v>
      </c>
      <c r="H1991" t="s">
        <v>444</v>
      </c>
      <c r="I1991" t="s">
        <v>29</v>
      </c>
      <c r="J1991">
        <v>1</v>
      </c>
      <c r="K1991">
        <f>1-888-521-4386</f>
        <v>-5794</v>
      </c>
      <c r="L1991" t="s">
        <v>6132</v>
      </c>
      <c r="M1991" t="s">
        <v>6133</v>
      </c>
      <c r="N1991" t="s">
        <v>213</v>
      </c>
      <c r="O1991" t="s">
        <v>28</v>
      </c>
      <c r="P1991" t="s">
        <v>29</v>
      </c>
      <c r="Q1991">
        <v>42</v>
      </c>
      <c r="R1991">
        <v>-87.629800000000003</v>
      </c>
    </row>
    <row r="1992" spans="1:18" x14ac:dyDescent="0.2">
      <c r="A1992" t="s">
        <v>2349</v>
      </c>
      <c r="B1992" t="s">
        <v>6134</v>
      </c>
      <c r="C1992">
        <v>1</v>
      </c>
      <c r="D1992" s="1">
        <v>43996.476886574077</v>
      </c>
      <c r="E1992" t="s">
        <v>6135</v>
      </c>
      <c r="F1992" t="s">
        <v>2352</v>
      </c>
      <c r="G1992" t="s">
        <v>6136</v>
      </c>
      <c r="H1992" t="s">
        <v>2353</v>
      </c>
      <c r="I1992" t="s">
        <v>29</v>
      </c>
      <c r="J1992">
        <v>1</v>
      </c>
      <c r="K1992">
        <f>1-833-292-6282</f>
        <v>-7406</v>
      </c>
      <c r="L1992" t="s">
        <v>6137</v>
      </c>
      <c r="M1992" t="s">
        <v>6138</v>
      </c>
      <c r="N1992" t="s">
        <v>5986</v>
      </c>
      <c r="O1992" t="s">
        <v>28</v>
      </c>
      <c r="P1992" t="s">
        <v>29</v>
      </c>
      <c r="Q1992">
        <v>33</v>
      </c>
      <c r="R1992">
        <v>-96.802099999999996</v>
      </c>
    </row>
    <row r="1993" spans="1:18" x14ac:dyDescent="0.2">
      <c r="A1993" t="s">
        <v>439</v>
      </c>
      <c r="B1993" t="s">
        <v>4321</v>
      </c>
      <c r="C1993">
        <v>1</v>
      </c>
      <c r="D1993" s="1">
        <v>43996.879270833335</v>
      </c>
      <c r="E1993" t="s">
        <v>6139</v>
      </c>
      <c r="F1993" t="s">
        <v>442</v>
      </c>
      <c r="G1993" t="s">
        <v>6140</v>
      </c>
      <c r="H1993" t="s">
        <v>444</v>
      </c>
      <c r="I1993" t="s">
        <v>29</v>
      </c>
      <c r="J1993">
        <v>1</v>
      </c>
      <c r="K1993">
        <f>1-866-288-2012</f>
        <v>-3165</v>
      </c>
      <c r="L1993" t="s">
        <v>6141</v>
      </c>
      <c r="M1993" t="s">
        <v>6142</v>
      </c>
      <c r="N1993" t="s">
        <v>213</v>
      </c>
      <c r="O1993" t="s">
        <v>28</v>
      </c>
      <c r="P1993" t="s">
        <v>29</v>
      </c>
      <c r="Q1993">
        <v>42</v>
      </c>
      <c r="R1993">
        <v>-87.629800000000003</v>
      </c>
    </row>
    <row r="1994" spans="1:18" x14ac:dyDescent="0.2">
      <c r="A1994" t="s">
        <v>663</v>
      </c>
      <c r="B1994" t="s">
        <v>2500</v>
      </c>
      <c r="C1994">
        <v>1</v>
      </c>
      <c r="D1994" s="1">
        <v>43997.254143518519</v>
      </c>
      <c r="E1994" t="s">
        <v>6143</v>
      </c>
      <c r="F1994" t="s">
        <v>666</v>
      </c>
      <c r="G1994" t="s">
        <v>6143</v>
      </c>
      <c r="H1994" t="s">
        <v>667</v>
      </c>
      <c r="I1994" t="s">
        <v>29</v>
      </c>
      <c r="J1994">
        <v>1</v>
      </c>
      <c r="K1994">
        <f>1-800-531-607</f>
        <v>-1937</v>
      </c>
      <c r="L1994" t="s">
        <v>6144</v>
      </c>
      <c r="M1994" t="s">
        <v>6145</v>
      </c>
      <c r="N1994">
        <v>16</v>
      </c>
      <c r="O1994" t="s">
        <v>134</v>
      </c>
      <c r="P1994" t="s">
        <v>2500</v>
      </c>
      <c r="Q1994">
        <v>1</v>
      </c>
      <c r="R1994">
        <v>99.999999000000003</v>
      </c>
    </row>
    <row r="1995" spans="1:18" x14ac:dyDescent="0.2">
      <c r="A1995" t="s">
        <v>439</v>
      </c>
      <c r="B1995" t="s">
        <v>4321</v>
      </c>
      <c r="C1995">
        <v>81</v>
      </c>
      <c r="D1995" s="1">
        <v>43997.265497685185</v>
      </c>
      <c r="E1995" t="s">
        <v>6146</v>
      </c>
      <c r="F1995" t="s">
        <v>442</v>
      </c>
      <c r="G1995" t="s">
        <v>6147</v>
      </c>
      <c r="H1995" t="s">
        <v>444</v>
      </c>
      <c r="I1995" t="s">
        <v>53</v>
      </c>
      <c r="J1995">
        <v>81</v>
      </c>
      <c r="K1995">
        <f>81-50-5809-6308</f>
        <v>-12086</v>
      </c>
      <c r="L1995" t="s">
        <v>6148</v>
      </c>
      <c r="M1995" t="s">
        <v>6149</v>
      </c>
      <c r="N1995" t="s">
        <v>674</v>
      </c>
      <c r="O1995" t="s">
        <v>28</v>
      </c>
      <c r="P1995" t="s">
        <v>29</v>
      </c>
      <c r="Q1995">
        <v>42</v>
      </c>
      <c r="R1995">
        <v>-87.629800000000003</v>
      </c>
    </row>
    <row r="1996" spans="1:18" x14ac:dyDescent="0.2">
      <c r="A1996" t="s">
        <v>439</v>
      </c>
      <c r="B1996" t="s">
        <v>1412</v>
      </c>
      <c r="C1996">
        <v>1</v>
      </c>
      <c r="D1996" s="1">
        <v>43997.463888888888</v>
      </c>
      <c r="E1996" t="s">
        <v>6150</v>
      </c>
      <c r="F1996" t="s">
        <v>442</v>
      </c>
      <c r="G1996" t="s">
        <v>6151</v>
      </c>
      <c r="H1996" t="s">
        <v>444</v>
      </c>
      <c r="I1996" t="s">
        <v>29</v>
      </c>
      <c r="J1996">
        <v>1</v>
      </c>
      <c r="K1996">
        <f>1-866-219-2992</f>
        <v>-4076</v>
      </c>
      <c r="L1996" t="s">
        <v>6152</v>
      </c>
      <c r="M1996" t="s">
        <v>6153</v>
      </c>
      <c r="N1996" t="s">
        <v>674</v>
      </c>
      <c r="O1996" t="s">
        <v>28</v>
      </c>
      <c r="P1996" t="s">
        <v>29</v>
      </c>
      <c r="Q1996">
        <v>41</v>
      </c>
      <c r="R1996">
        <v>-74.172399999999996</v>
      </c>
    </row>
    <row r="1997" spans="1:18" x14ac:dyDescent="0.2">
      <c r="A1997" t="s">
        <v>439</v>
      </c>
      <c r="B1997" t="s">
        <v>1412</v>
      </c>
      <c r="C1997">
        <v>1</v>
      </c>
      <c r="D1997" s="1">
        <v>43997.464513888888</v>
      </c>
      <c r="E1997" t="s">
        <v>6154</v>
      </c>
      <c r="F1997" t="s">
        <v>442</v>
      </c>
      <c r="G1997" t="s">
        <v>6155</v>
      </c>
      <c r="H1997" t="s">
        <v>444</v>
      </c>
      <c r="I1997" t="s">
        <v>29</v>
      </c>
      <c r="J1997">
        <v>1</v>
      </c>
      <c r="K1997">
        <f>1-866-284-2216</f>
        <v>-3365</v>
      </c>
      <c r="L1997" t="s">
        <v>6156</v>
      </c>
      <c r="M1997" t="s">
        <v>6157</v>
      </c>
      <c r="N1997" t="s">
        <v>447</v>
      </c>
      <c r="O1997" t="s">
        <v>28</v>
      </c>
      <c r="P1997" t="s">
        <v>29</v>
      </c>
      <c r="Q1997">
        <v>41</v>
      </c>
      <c r="R1997">
        <v>-74.172399999999996</v>
      </c>
    </row>
    <row r="1998" spans="1:18" x14ac:dyDescent="0.2">
      <c r="A1998" t="s">
        <v>18</v>
      </c>
      <c r="B1998" t="s">
        <v>462</v>
      </c>
      <c r="C1998">
        <v>1</v>
      </c>
      <c r="D1998" s="1">
        <v>44288.809155092589</v>
      </c>
      <c r="E1998" t="s">
        <v>6158</v>
      </c>
      <c r="F1998" t="s">
        <v>482</v>
      </c>
      <c r="G1998" t="s">
        <v>6159</v>
      </c>
      <c r="H1998" t="s">
        <v>466</v>
      </c>
      <c r="I1998" t="s">
        <v>29</v>
      </c>
      <c r="J1998">
        <v>1</v>
      </c>
      <c r="K1998">
        <f>1-334-422-4891</f>
        <v>-5646</v>
      </c>
      <c r="L1998" t="s">
        <v>6160</v>
      </c>
      <c r="M1998" t="s">
        <v>6161</v>
      </c>
      <c r="N1998" t="s">
        <v>5354</v>
      </c>
      <c r="O1998" t="s">
        <v>134</v>
      </c>
      <c r="P1998" t="s">
        <v>29</v>
      </c>
      <c r="Q1998">
        <v>40</v>
      </c>
      <c r="R1998">
        <v>-99.999999000000003</v>
      </c>
    </row>
    <row r="1999" spans="1:18" x14ac:dyDescent="0.2">
      <c r="A1999" t="s">
        <v>18</v>
      </c>
      <c r="B1999" t="s">
        <v>462</v>
      </c>
      <c r="C1999">
        <v>1</v>
      </c>
      <c r="D1999" s="1">
        <v>44279.731099537035</v>
      </c>
      <c r="E1999" t="s">
        <v>6158</v>
      </c>
      <c r="F1999" t="s">
        <v>482</v>
      </c>
      <c r="G1999" t="s">
        <v>6159</v>
      </c>
      <c r="H1999" t="s">
        <v>466</v>
      </c>
      <c r="I1999" t="s">
        <v>29</v>
      </c>
      <c r="J1999">
        <v>1</v>
      </c>
      <c r="K1999">
        <f>1-669-201-765</f>
        <v>-1634</v>
      </c>
      <c r="L1999" t="s">
        <v>6162</v>
      </c>
      <c r="M1999" t="s">
        <v>6163</v>
      </c>
      <c r="N1999" t="s">
        <v>5354</v>
      </c>
      <c r="O1999" t="s">
        <v>134</v>
      </c>
      <c r="P1999" t="s">
        <v>29</v>
      </c>
      <c r="Q1999">
        <v>40</v>
      </c>
      <c r="R1999">
        <v>-99.999999000000003</v>
      </c>
    </row>
    <row r="2000" spans="1:18" x14ac:dyDescent="0.2">
      <c r="A2000" t="s">
        <v>18</v>
      </c>
      <c r="B2000" t="s">
        <v>462</v>
      </c>
      <c r="C2000">
        <v>1</v>
      </c>
      <c r="D2000" s="1">
        <v>44273.789699074077</v>
      </c>
      <c r="E2000" t="s">
        <v>6158</v>
      </c>
      <c r="F2000" t="s">
        <v>482</v>
      </c>
      <c r="G2000" t="s">
        <v>6159</v>
      </c>
      <c r="H2000" t="s">
        <v>466</v>
      </c>
      <c r="I2000" t="s">
        <v>29</v>
      </c>
      <c r="J2000">
        <v>1</v>
      </c>
      <c r="K2000">
        <f>1-888-927-758</f>
        <v>-2572</v>
      </c>
      <c r="L2000" t="s">
        <v>6164</v>
      </c>
      <c r="M2000" t="s">
        <v>6165</v>
      </c>
      <c r="N2000" t="s">
        <v>5354</v>
      </c>
      <c r="O2000" t="s">
        <v>28</v>
      </c>
      <c r="P2000" t="s">
        <v>29</v>
      </c>
      <c r="Q2000">
        <v>40</v>
      </c>
      <c r="R2000">
        <v>-99.999999000000003</v>
      </c>
    </row>
    <row r="2001" spans="1:18" x14ac:dyDescent="0.2">
      <c r="A2001" t="s">
        <v>18</v>
      </c>
      <c r="B2001" t="s">
        <v>462</v>
      </c>
      <c r="C2001">
        <v>1</v>
      </c>
      <c r="D2001" s="1">
        <v>44274.967777777776</v>
      </c>
      <c r="E2001" t="s">
        <v>6166</v>
      </c>
      <c r="F2001" t="s">
        <v>482</v>
      </c>
      <c r="G2001" t="s">
        <v>6159</v>
      </c>
      <c r="H2001" t="s">
        <v>466</v>
      </c>
      <c r="I2001" t="s">
        <v>29</v>
      </c>
      <c r="J2001">
        <v>1</v>
      </c>
      <c r="K2001">
        <f>1-888-927-758</f>
        <v>-2572</v>
      </c>
      <c r="L2001" t="s">
        <v>6167</v>
      </c>
      <c r="M2001" t="s">
        <v>6168</v>
      </c>
      <c r="N2001" t="s">
        <v>674</v>
      </c>
      <c r="O2001" t="s">
        <v>134</v>
      </c>
      <c r="P2001" t="s">
        <v>29</v>
      </c>
      <c r="Q2001">
        <v>40</v>
      </c>
      <c r="R2001">
        <v>-99.999999000000003</v>
      </c>
    </row>
    <row r="2002" spans="1:18" x14ac:dyDescent="0.2">
      <c r="A2002" t="s">
        <v>18</v>
      </c>
      <c r="B2002" t="s">
        <v>462</v>
      </c>
      <c r="C2002">
        <v>1</v>
      </c>
      <c r="D2002" s="1">
        <v>44263.938298611109</v>
      </c>
      <c r="E2002" t="s">
        <v>6169</v>
      </c>
      <c r="F2002" t="s">
        <v>482</v>
      </c>
      <c r="G2002" t="s">
        <v>6159</v>
      </c>
      <c r="H2002" t="s">
        <v>466</v>
      </c>
      <c r="I2002" t="s">
        <v>29</v>
      </c>
      <c r="J2002">
        <v>1</v>
      </c>
      <c r="K2002">
        <f>1-415-338-9451</f>
        <v>-10203</v>
      </c>
      <c r="L2002" t="s">
        <v>6170</v>
      </c>
      <c r="M2002" t="s">
        <v>6171</v>
      </c>
      <c r="N2002" t="s">
        <v>6172</v>
      </c>
      <c r="O2002" t="s">
        <v>28</v>
      </c>
      <c r="P2002" t="s">
        <v>29</v>
      </c>
      <c r="Q2002">
        <v>40</v>
      </c>
      <c r="R2002">
        <v>-99.999999000000003</v>
      </c>
    </row>
    <row r="2003" spans="1:18" x14ac:dyDescent="0.2">
      <c r="A2003" t="s">
        <v>18</v>
      </c>
      <c r="B2003" t="s">
        <v>462</v>
      </c>
      <c r="C2003">
        <v>1</v>
      </c>
      <c r="D2003" s="1">
        <v>44262.909537037034</v>
      </c>
      <c r="E2003" t="s">
        <v>6169</v>
      </c>
      <c r="F2003" t="s">
        <v>482</v>
      </c>
      <c r="G2003" t="s">
        <v>6159</v>
      </c>
      <c r="H2003" t="s">
        <v>466</v>
      </c>
      <c r="I2003" t="s">
        <v>29</v>
      </c>
      <c r="J2003">
        <v>1</v>
      </c>
      <c r="K2003">
        <f>1-888-927-758</f>
        <v>-2572</v>
      </c>
      <c r="L2003" t="s">
        <v>6173</v>
      </c>
      <c r="M2003" t="s">
        <v>6174</v>
      </c>
      <c r="N2003" t="s">
        <v>6172</v>
      </c>
      <c r="O2003" t="s">
        <v>28</v>
      </c>
      <c r="P2003" t="s">
        <v>29</v>
      </c>
      <c r="Q2003">
        <v>40</v>
      </c>
      <c r="R2003">
        <v>-99.999999000000003</v>
      </c>
    </row>
    <row r="2004" spans="1:18" x14ac:dyDescent="0.2">
      <c r="A2004" t="s">
        <v>18</v>
      </c>
      <c r="B2004" t="s">
        <v>462</v>
      </c>
      <c r="C2004">
        <v>1</v>
      </c>
      <c r="D2004" s="1">
        <v>44016.913807870369</v>
      </c>
      <c r="E2004" t="s">
        <v>6175</v>
      </c>
      <c r="F2004" t="s">
        <v>464</v>
      </c>
      <c r="G2004" t="s">
        <v>6159</v>
      </c>
      <c r="H2004" t="s">
        <v>466</v>
      </c>
      <c r="I2004" t="s">
        <v>29</v>
      </c>
      <c r="J2004">
        <v>1</v>
      </c>
      <c r="K2004">
        <f>1-804-876-166</f>
        <v>-1845</v>
      </c>
      <c r="L2004" t="s">
        <v>6176</v>
      </c>
      <c r="M2004" t="s">
        <v>6177</v>
      </c>
      <c r="N2004" t="s">
        <v>3454</v>
      </c>
      <c r="O2004" t="s">
        <v>134</v>
      </c>
      <c r="P2004" t="s">
        <v>29</v>
      </c>
      <c r="Q2004">
        <v>40</v>
      </c>
      <c r="R2004">
        <v>-99.999999000000003</v>
      </c>
    </row>
    <row r="2005" spans="1:18" x14ac:dyDescent="0.2">
      <c r="A2005" t="s">
        <v>18</v>
      </c>
      <c r="B2005" t="s">
        <v>462</v>
      </c>
      <c r="C2005">
        <v>1</v>
      </c>
      <c r="D2005" s="1">
        <v>43997.466446759259</v>
      </c>
      <c r="E2005" t="s">
        <v>6178</v>
      </c>
      <c r="F2005" t="s">
        <v>464</v>
      </c>
      <c r="G2005" t="s">
        <v>6159</v>
      </c>
      <c r="H2005" t="s">
        <v>466</v>
      </c>
      <c r="I2005" t="s">
        <v>29</v>
      </c>
      <c r="J2005">
        <v>1</v>
      </c>
      <c r="K2005">
        <f>1-844-446-3977</f>
        <v>-5266</v>
      </c>
      <c r="L2005" t="s">
        <v>6179</v>
      </c>
      <c r="M2005" t="s">
        <v>6180</v>
      </c>
      <c r="N2005" t="s">
        <v>213</v>
      </c>
      <c r="O2005" t="s">
        <v>134</v>
      </c>
      <c r="P2005" t="s">
        <v>29</v>
      </c>
      <c r="Q2005">
        <v>40</v>
      </c>
      <c r="R2005">
        <v>-99.999999000000003</v>
      </c>
    </row>
    <row r="2006" spans="1:18" x14ac:dyDescent="0.2">
      <c r="A2006" t="s">
        <v>663</v>
      </c>
      <c r="B2006" t="s">
        <v>2493</v>
      </c>
      <c r="C2006">
        <v>41</v>
      </c>
      <c r="D2006" s="1">
        <v>43997.625925925924</v>
      </c>
      <c r="E2006" t="s">
        <v>6181</v>
      </c>
      <c r="F2006" t="s">
        <v>666</v>
      </c>
      <c r="G2006" t="s">
        <v>6182</v>
      </c>
      <c r="H2006" t="s">
        <v>667</v>
      </c>
      <c r="I2006" t="s">
        <v>204</v>
      </c>
      <c r="J2006">
        <v>41</v>
      </c>
      <c r="K2006">
        <f>41-800-562-281</f>
        <v>-1602</v>
      </c>
      <c r="L2006" t="s">
        <v>6183</v>
      </c>
      <c r="M2006" t="s">
        <v>6184</v>
      </c>
      <c r="N2006" t="s">
        <v>452</v>
      </c>
      <c r="O2006" t="s">
        <v>28</v>
      </c>
      <c r="P2006" t="s">
        <v>29</v>
      </c>
      <c r="Q2006">
        <v>41</v>
      </c>
      <c r="R2006">
        <v>-74.024699999999996</v>
      </c>
    </row>
    <row r="2007" spans="1:18" x14ac:dyDescent="0.2">
      <c r="A2007" t="s">
        <v>663</v>
      </c>
      <c r="B2007" t="s">
        <v>2493</v>
      </c>
      <c r="C2007">
        <v>47</v>
      </c>
      <c r="D2007" s="1">
        <v>43997.625810185185</v>
      </c>
      <c r="E2007" t="s">
        <v>6181</v>
      </c>
      <c r="F2007" t="s">
        <v>666</v>
      </c>
      <c r="G2007" t="s">
        <v>6182</v>
      </c>
      <c r="H2007" t="s">
        <v>667</v>
      </c>
      <c r="I2007" t="s">
        <v>6185</v>
      </c>
      <c r="J2007">
        <v>47</v>
      </c>
      <c r="K2007">
        <f>47-800-24-669</f>
        <v>-1446</v>
      </c>
      <c r="L2007" t="s">
        <v>6186</v>
      </c>
      <c r="M2007" t="s">
        <v>6187</v>
      </c>
      <c r="N2007" t="s">
        <v>452</v>
      </c>
      <c r="O2007" t="s">
        <v>28</v>
      </c>
      <c r="P2007" t="s">
        <v>29</v>
      </c>
      <c r="Q2007">
        <v>41</v>
      </c>
      <c r="R2007">
        <v>-74.024699999999996</v>
      </c>
    </row>
    <row r="2008" spans="1:18" x14ac:dyDescent="0.2">
      <c r="A2008" t="s">
        <v>663</v>
      </c>
      <c r="B2008" t="s">
        <v>2493</v>
      </c>
      <c r="C2008">
        <v>353</v>
      </c>
      <c r="D2008" s="1">
        <v>43997.62572916667</v>
      </c>
      <c r="E2008" t="s">
        <v>6181</v>
      </c>
      <c r="F2008" t="s">
        <v>666</v>
      </c>
      <c r="G2008" t="s">
        <v>6182</v>
      </c>
      <c r="H2008" t="s">
        <v>667</v>
      </c>
      <c r="I2008" t="s">
        <v>6188</v>
      </c>
      <c r="J2008">
        <v>353</v>
      </c>
      <c r="K2008">
        <f>353-1800-832-261</f>
        <v>-2540</v>
      </c>
      <c r="L2008" t="s">
        <v>6189</v>
      </c>
      <c r="M2008" t="s">
        <v>6190</v>
      </c>
      <c r="N2008" t="s">
        <v>452</v>
      </c>
      <c r="O2008" t="s">
        <v>28</v>
      </c>
      <c r="P2008" t="s">
        <v>29</v>
      </c>
      <c r="Q2008">
        <v>41</v>
      </c>
      <c r="R2008">
        <v>-74.024699999999996</v>
      </c>
    </row>
    <row r="2009" spans="1:18" x14ac:dyDescent="0.2">
      <c r="A2009" t="s">
        <v>663</v>
      </c>
      <c r="B2009" t="s">
        <v>2493</v>
      </c>
      <c r="C2009">
        <v>58</v>
      </c>
      <c r="D2009" s="1">
        <v>43997.611979166664</v>
      </c>
      <c r="E2009" t="s">
        <v>6181</v>
      </c>
      <c r="F2009" t="s">
        <v>666</v>
      </c>
      <c r="G2009" t="s">
        <v>6182</v>
      </c>
      <c r="H2009" t="s">
        <v>667</v>
      </c>
      <c r="I2009" t="s">
        <v>6191</v>
      </c>
      <c r="J2009">
        <v>58</v>
      </c>
      <c r="K2009">
        <f>58-800-552-99</f>
        <v>-1393</v>
      </c>
      <c r="L2009" t="s">
        <v>6192</v>
      </c>
      <c r="M2009" t="s">
        <v>6193</v>
      </c>
      <c r="N2009" t="s">
        <v>452</v>
      </c>
      <c r="O2009" t="s">
        <v>28</v>
      </c>
      <c r="P2009" t="s">
        <v>29</v>
      </c>
      <c r="Q2009">
        <v>41</v>
      </c>
      <c r="R2009">
        <v>-74.024699999999996</v>
      </c>
    </row>
    <row r="2010" spans="1:18" x14ac:dyDescent="0.2">
      <c r="A2010" t="s">
        <v>663</v>
      </c>
      <c r="B2010" t="s">
        <v>2493</v>
      </c>
      <c r="C2010">
        <v>32</v>
      </c>
      <c r="D2010" s="1">
        <v>43997.604675925926</v>
      </c>
      <c r="E2010" t="s">
        <v>6181</v>
      </c>
      <c r="F2010" t="s">
        <v>666</v>
      </c>
      <c r="G2010" t="s">
        <v>6182</v>
      </c>
      <c r="H2010" t="s">
        <v>667</v>
      </c>
      <c r="I2010" t="s">
        <v>4288</v>
      </c>
      <c r="J2010">
        <v>32</v>
      </c>
      <c r="K2010">
        <f>32-800-26-767</f>
        <v>-1561</v>
      </c>
      <c r="L2010" t="s">
        <v>6194</v>
      </c>
      <c r="M2010" t="s">
        <v>6195</v>
      </c>
      <c r="N2010" t="s">
        <v>452</v>
      </c>
      <c r="O2010" t="s">
        <v>28</v>
      </c>
      <c r="P2010" t="s">
        <v>29</v>
      </c>
      <c r="Q2010">
        <v>41</v>
      </c>
      <c r="R2010">
        <v>-74.024699999999996</v>
      </c>
    </row>
    <row r="2011" spans="1:18" x14ac:dyDescent="0.2">
      <c r="A2011" t="s">
        <v>3420</v>
      </c>
      <c r="B2011" t="s">
        <v>440</v>
      </c>
      <c r="C2011">
        <v>49</v>
      </c>
      <c r="D2011" s="1">
        <v>43998.474849537037</v>
      </c>
      <c r="E2011" t="s">
        <v>6196</v>
      </c>
      <c r="F2011" t="s">
        <v>3422</v>
      </c>
      <c r="G2011" t="s">
        <v>6196</v>
      </c>
      <c r="H2011" t="s">
        <v>3423</v>
      </c>
      <c r="I2011" t="s">
        <v>24</v>
      </c>
      <c r="J2011">
        <v>49</v>
      </c>
      <c r="K2011">
        <f>49-800-182-6614</f>
        <v>-7547</v>
      </c>
      <c r="L2011" t="s">
        <v>6197</v>
      </c>
      <c r="M2011" t="s">
        <v>6198</v>
      </c>
      <c r="N2011">
        <v>82</v>
      </c>
      <c r="O2011" t="s">
        <v>134</v>
      </c>
      <c r="P2011" t="s">
        <v>29</v>
      </c>
      <c r="Q2011">
        <v>39</v>
      </c>
      <c r="R2011">
        <v>-77.487399999999994</v>
      </c>
    </row>
    <row r="2012" spans="1:18" x14ac:dyDescent="0.2">
      <c r="A2012" t="s">
        <v>439</v>
      </c>
      <c r="B2012" t="s">
        <v>1412</v>
      </c>
      <c r="C2012">
        <v>1</v>
      </c>
      <c r="D2012" s="1">
        <v>43998.478171296294</v>
      </c>
      <c r="E2012" t="s">
        <v>6199</v>
      </c>
      <c r="F2012" t="s">
        <v>442</v>
      </c>
      <c r="G2012" t="s">
        <v>6200</v>
      </c>
      <c r="H2012" t="s">
        <v>444</v>
      </c>
      <c r="I2012" t="s">
        <v>29</v>
      </c>
      <c r="J2012">
        <v>1</v>
      </c>
      <c r="K2012">
        <f>1-888-925-6222</f>
        <v>-8034</v>
      </c>
      <c r="L2012" t="s">
        <v>6201</v>
      </c>
      <c r="M2012" t="s">
        <v>6202</v>
      </c>
      <c r="N2012" t="s">
        <v>447</v>
      </c>
      <c r="O2012" t="s">
        <v>28</v>
      </c>
      <c r="P2012" t="s">
        <v>29</v>
      </c>
      <c r="Q2012">
        <v>41</v>
      </c>
      <c r="R2012">
        <v>-74.172399999999996</v>
      </c>
    </row>
    <row r="2013" spans="1:18" x14ac:dyDescent="0.2">
      <c r="A2013" t="s">
        <v>675</v>
      </c>
      <c r="B2013" t="s">
        <v>1212</v>
      </c>
      <c r="C2013">
        <v>49</v>
      </c>
      <c r="D2013" s="1">
        <v>44000.585856481484</v>
      </c>
      <c r="E2013" t="s">
        <v>6203</v>
      </c>
      <c r="F2013" t="s">
        <v>1396</v>
      </c>
      <c r="G2013" t="s">
        <v>6204</v>
      </c>
      <c r="H2013" t="s">
        <v>680</v>
      </c>
      <c r="I2013" t="s">
        <v>24</v>
      </c>
      <c r="J2013">
        <v>49</v>
      </c>
      <c r="K2013">
        <f>49-800-7237981</f>
        <v>-7238732</v>
      </c>
      <c r="L2013" t="s">
        <v>6205</v>
      </c>
      <c r="M2013" t="s">
        <v>6206</v>
      </c>
      <c r="N2013" t="s">
        <v>452</v>
      </c>
      <c r="O2013" t="s">
        <v>28</v>
      </c>
      <c r="P2013" t="s">
        <v>618</v>
      </c>
      <c r="Q2013">
        <v>52</v>
      </c>
      <c r="R2013">
        <v>-0.12775800000000001</v>
      </c>
    </row>
    <row r="2014" spans="1:18" x14ac:dyDescent="0.2">
      <c r="A2014" t="s">
        <v>675</v>
      </c>
      <c r="B2014" t="s">
        <v>1212</v>
      </c>
      <c r="C2014">
        <v>49</v>
      </c>
      <c r="D2014" s="1">
        <v>44000.47452546296</v>
      </c>
      <c r="E2014" t="s">
        <v>6207</v>
      </c>
      <c r="F2014" t="s">
        <v>1396</v>
      </c>
      <c r="G2014" t="s">
        <v>6204</v>
      </c>
      <c r="H2014" t="s">
        <v>680</v>
      </c>
      <c r="I2014" t="s">
        <v>24</v>
      </c>
      <c r="J2014">
        <v>49</v>
      </c>
      <c r="K2014">
        <f>49-800-7237981</f>
        <v>-7238732</v>
      </c>
      <c r="L2014" t="s">
        <v>6208</v>
      </c>
      <c r="M2014" t="s">
        <v>6209</v>
      </c>
      <c r="N2014" t="s">
        <v>452</v>
      </c>
      <c r="O2014" t="s">
        <v>28</v>
      </c>
      <c r="P2014" t="s">
        <v>618</v>
      </c>
      <c r="Q2014">
        <v>52</v>
      </c>
      <c r="R2014">
        <v>-0.12775800000000001</v>
      </c>
    </row>
    <row r="2015" spans="1:18" x14ac:dyDescent="0.2">
      <c r="A2015" t="s">
        <v>675</v>
      </c>
      <c r="B2015" t="s">
        <v>1212</v>
      </c>
      <c r="C2015">
        <v>49</v>
      </c>
      <c r="D2015" s="1">
        <v>43999.693518518521</v>
      </c>
      <c r="E2015" t="s">
        <v>6210</v>
      </c>
      <c r="F2015" t="s">
        <v>1396</v>
      </c>
      <c r="G2015" t="s">
        <v>6204</v>
      </c>
      <c r="H2015" t="s">
        <v>680</v>
      </c>
      <c r="I2015" t="s">
        <v>24</v>
      </c>
      <c r="J2015">
        <v>49</v>
      </c>
      <c r="K2015">
        <f>49-800-7237981</f>
        <v>-7238732</v>
      </c>
      <c r="L2015" t="s">
        <v>6211</v>
      </c>
      <c r="M2015" t="s">
        <v>6212</v>
      </c>
      <c r="N2015" t="s">
        <v>452</v>
      </c>
      <c r="O2015" t="s">
        <v>28</v>
      </c>
      <c r="P2015" t="s">
        <v>618</v>
      </c>
      <c r="Q2015">
        <v>52</v>
      </c>
      <c r="R2015">
        <v>-0.12775800000000001</v>
      </c>
    </row>
    <row r="2016" spans="1:18" x14ac:dyDescent="0.2">
      <c r="A2016" t="s">
        <v>675</v>
      </c>
      <c r="B2016" t="s">
        <v>1212</v>
      </c>
      <c r="C2016">
        <v>49</v>
      </c>
      <c r="D2016" s="1">
        <v>43999.519861111112</v>
      </c>
      <c r="E2016" t="s">
        <v>6213</v>
      </c>
      <c r="F2016" t="s">
        <v>1396</v>
      </c>
      <c r="G2016" t="s">
        <v>6204</v>
      </c>
      <c r="H2016" t="s">
        <v>680</v>
      </c>
      <c r="I2016" t="s">
        <v>24</v>
      </c>
      <c r="J2016">
        <v>49</v>
      </c>
      <c r="K2016">
        <f>49-800-7237981</f>
        <v>-7238732</v>
      </c>
      <c r="L2016" t="s">
        <v>6214</v>
      </c>
      <c r="M2016" t="s">
        <v>6215</v>
      </c>
      <c r="N2016" t="s">
        <v>452</v>
      </c>
      <c r="O2016" t="s">
        <v>28</v>
      </c>
      <c r="P2016" t="s">
        <v>618</v>
      </c>
      <c r="Q2016">
        <v>52</v>
      </c>
      <c r="R2016">
        <v>-0.12775800000000001</v>
      </c>
    </row>
    <row r="2017" spans="1:18" x14ac:dyDescent="0.2">
      <c r="A2017" t="s">
        <v>675</v>
      </c>
      <c r="B2017" t="s">
        <v>1212</v>
      </c>
      <c r="C2017">
        <v>49</v>
      </c>
      <c r="D2017" s="1">
        <v>43999.46943287037</v>
      </c>
      <c r="E2017" t="s">
        <v>6216</v>
      </c>
      <c r="F2017" t="s">
        <v>1396</v>
      </c>
      <c r="G2017" t="s">
        <v>6204</v>
      </c>
      <c r="H2017" t="s">
        <v>680</v>
      </c>
      <c r="I2017" t="s">
        <v>24</v>
      </c>
      <c r="J2017">
        <v>49</v>
      </c>
      <c r="K2017">
        <f>49-421-3658315</f>
        <v>-3658687</v>
      </c>
      <c r="L2017" t="s">
        <v>6217</v>
      </c>
      <c r="M2017" t="s">
        <v>6218</v>
      </c>
      <c r="N2017" t="s">
        <v>452</v>
      </c>
      <c r="O2017" t="s">
        <v>28</v>
      </c>
      <c r="P2017" t="s">
        <v>618</v>
      </c>
      <c r="Q2017">
        <v>52</v>
      </c>
      <c r="R2017">
        <v>-0.12775800000000001</v>
      </c>
    </row>
    <row r="2018" spans="1:18" x14ac:dyDescent="0.2">
      <c r="A2018" t="s">
        <v>675</v>
      </c>
      <c r="B2018" t="s">
        <v>1212</v>
      </c>
      <c r="C2018">
        <v>49</v>
      </c>
      <c r="D2018" s="1">
        <v>43998.492210648146</v>
      </c>
      <c r="E2018" t="s">
        <v>6219</v>
      </c>
      <c r="F2018" t="s">
        <v>1396</v>
      </c>
      <c r="G2018" t="s">
        <v>6204</v>
      </c>
      <c r="H2018" t="s">
        <v>680</v>
      </c>
      <c r="I2018" t="s">
        <v>24</v>
      </c>
      <c r="J2018">
        <v>49</v>
      </c>
      <c r="K2018">
        <f>49-800-7237981</f>
        <v>-7238732</v>
      </c>
      <c r="L2018" t="s">
        <v>6220</v>
      </c>
      <c r="M2018" t="s">
        <v>6221</v>
      </c>
      <c r="N2018" t="s">
        <v>452</v>
      </c>
      <c r="O2018" t="s">
        <v>28</v>
      </c>
      <c r="P2018" t="s">
        <v>618</v>
      </c>
      <c r="Q2018">
        <v>52</v>
      </c>
      <c r="R2018">
        <v>-0.12775800000000001</v>
      </c>
    </row>
    <row r="2019" spans="1:18" x14ac:dyDescent="0.2">
      <c r="A2019" t="s">
        <v>439</v>
      </c>
      <c r="B2019" t="s">
        <v>440</v>
      </c>
      <c r="C2019">
        <v>1</v>
      </c>
      <c r="D2019" s="1">
        <v>43998.750717592593</v>
      </c>
      <c r="E2019" t="s">
        <v>6222</v>
      </c>
      <c r="F2019" t="s">
        <v>442</v>
      </c>
      <c r="G2019" t="s">
        <v>6223</v>
      </c>
      <c r="H2019" t="s">
        <v>444</v>
      </c>
      <c r="I2019" t="s">
        <v>29</v>
      </c>
      <c r="J2019">
        <v>1</v>
      </c>
      <c r="K2019">
        <f>1-855-926-6568</f>
        <v>-8348</v>
      </c>
      <c r="L2019" t="s">
        <v>6224</v>
      </c>
      <c r="M2019" t="s">
        <v>6225</v>
      </c>
      <c r="N2019" t="s">
        <v>447</v>
      </c>
      <c r="O2019" t="s">
        <v>28</v>
      </c>
      <c r="P2019" t="s">
        <v>29</v>
      </c>
      <c r="Q2019">
        <v>39</v>
      </c>
      <c r="R2019">
        <v>-77.487399999999994</v>
      </c>
    </row>
    <row r="2020" spans="1:18" x14ac:dyDescent="0.2">
      <c r="A2020" t="s">
        <v>2349</v>
      </c>
      <c r="B2020" t="s">
        <v>6226</v>
      </c>
      <c r="C2020">
        <v>1</v>
      </c>
      <c r="D2020" s="1">
        <v>43998.767534722225</v>
      </c>
      <c r="E2020" t="s">
        <v>6227</v>
      </c>
      <c r="F2020" t="s">
        <v>2352</v>
      </c>
      <c r="G2020" t="s">
        <v>6228</v>
      </c>
      <c r="H2020" t="s">
        <v>2353</v>
      </c>
      <c r="I2020" t="s">
        <v>29</v>
      </c>
      <c r="J2020">
        <v>1</v>
      </c>
      <c r="K2020">
        <f>1-888-984-4248</f>
        <v>-6119</v>
      </c>
      <c r="L2020" t="s">
        <v>6229</v>
      </c>
      <c r="M2020" t="s">
        <v>6230</v>
      </c>
      <c r="N2020" t="s">
        <v>4606</v>
      </c>
      <c r="O2020" t="s">
        <v>28</v>
      </c>
      <c r="P2020" t="s">
        <v>29</v>
      </c>
      <c r="Q2020">
        <v>26</v>
      </c>
      <c r="R2020">
        <v>-80.231800000000007</v>
      </c>
    </row>
    <row r="2021" spans="1:18" x14ac:dyDescent="0.2">
      <c r="A2021" t="s">
        <v>2349</v>
      </c>
      <c r="B2021" t="s">
        <v>6226</v>
      </c>
      <c r="C2021">
        <v>1</v>
      </c>
      <c r="D2021" s="1">
        <v>43998.769652777781</v>
      </c>
      <c r="E2021" t="s">
        <v>6231</v>
      </c>
      <c r="F2021" t="s">
        <v>2352</v>
      </c>
      <c r="G2021" t="s">
        <v>6231</v>
      </c>
      <c r="H2021" t="s">
        <v>2353</v>
      </c>
      <c r="I2021" t="s">
        <v>29</v>
      </c>
      <c r="J2021">
        <v>1</v>
      </c>
      <c r="K2021">
        <f>1-888-844-9826</f>
        <v>-11557</v>
      </c>
      <c r="L2021" t="s">
        <v>6232</v>
      </c>
      <c r="M2021" t="s">
        <v>6233</v>
      </c>
      <c r="N2021">
        <v>158</v>
      </c>
      <c r="O2021" t="s">
        <v>134</v>
      </c>
      <c r="P2021" t="s">
        <v>29</v>
      </c>
      <c r="Q2021">
        <v>26</v>
      </c>
      <c r="R2021">
        <v>-80.231800000000007</v>
      </c>
    </row>
    <row r="2022" spans="1:18" x14ac:dyDescent="0.2">
      <c r="A2022" t="s">
        <v>663</v>
      </c>
      <c r="B2022" t="s">
        <v>2493</v>
      </c>
      <c r="C2022">
        <v>32</v>
      </c>
      <c r="D2022" s="1">
        <v>43998.780162037037</v>
      </c>
      <c r="E2022" t="s">
        <v>6234</v>
      </c>
      <c r="F2022" t="s">
        <v>666</v>
      </c>
      <c r="G2022" t="s">
        <v>6235</v>
      </c>
      <c r="H2022" t="s">
        <v>667</v>
      </c>
      <c r="I2022" t="s">
        <v>4288</v>
      </c>
      <c r="J2022">
        <v>32</v>
      </c>
      <c r="K2022">
        <f>32-800-26-767</f>
        <v>-1561</v>
      </c>
      <c r="L2022" t="s">
        <v>6236</v>
      </c>
      <c r="M2022" t="s">
        <v>6237</v>
      </c>
      <c r="N2022" t="s">
        <v>452</v>
      </c>
      <c r="O2022" t="s">
        <v>28</v>
      </c>
      <c r="P2022" t="s">
        <v>29</v>
      </c>
      <c r="Q2022">
        <v>41</v>
      </c>
      <c r="R2022">
        <v>-74.024699999999996</v>
      </c>
    </row>
    <row r="2023" spans="1:18" x14ac:dyDescent="0.2">
      <c r="A2023" t="s">
        <v>663</v>
      </c>
      <c r="B2023" t="s">
        <v>2493</v>
      </c>
      <c r="C2023">
        <v>358</v>
      </c>
      <c r="D2023" s="1">
        <v>43998.77542824074</v>
      </c>
      <c r="E2023" t="s">
        <v>6234</v>
      </c>
      <c r="F2023" t="s">
        <v>666</v>
      </c>
      <c r="G2023" t="s">
        <v>6235</v>
      </c>
      <c r="H2023" t="s">
        <v>667</v>
      </c>
      <c r="I2023" t="s">
        <v>6238</v>
      </c>
      <c r="J2023">
        <v>358</v>
      </c>
      <c r="K2023">
        <f>358-800-552-99</f>
        <v>-1093</v>
      </c>
      <c r="L2023" t="s">
        <v>6239</v>
      </c>
      <c r="M2023" t="s">
        <v>6240</v>
      </c>
      <c r="N2023" t="s">
        <v>452</v>
      </c>
      <c r="O2023" t="s">
        <v>28</v>
      </c>
      <c r="P2023" t="s">
        <v>29</v>
      </c>
      <c r="Q2023">
        <v>41</v>
      </c>
      <c r="R2023">
        <v>-74.024699999999996</v>
      </c>
    </row>
    <row r="2024" spans="1:18" x14ac:dyDescent="0.2">
      <c r="A2024" t="s">
        <v>439</v>
      </c>
      <c r="B2024" t="s">
        <v>440</v>
      </c>
      <c r="C2024">
        <v>1</v>
      </c>
      <c r="D2024" s="1">
        <v>43998.816481481481</v>
      </c>
      <c r="E2024" t="s">
        <v>6241</v>
      </c>
      <c r="F2024" t="s">
        <v>442</v>
      </c>
      <c r="G2024" t="s">
        <v>6242</v>
      </c>
      <c r="H2024" t="s">
        <v>444</v>
      </c>
      <c r="I2024" t="s">
        <v>29</v>
      </c>
      <c r="J2024">
        <v>1</v>
      </c>
      <c r="K2024">
        <f>1-888-413-7940</f>
        <v>-9240</v>
      </c>
      <c r="L2024" t="s">
        <v>6243</v>
      </c>
      <c r="M2024" t="s">
        <v>6244</v>
      </c>
      <c r="N2024" t="s">
        <v>447</v>
      </c>
      <c r="O2024" t="s">
        <v>28</v>
      </c>
      <c r="P2024" t="s">
        <v>29</v>
      </c>
      <c r="Q2024">
        <v>39</v>
      </c>
      <c r="R2024">
        <v>-77.487399999999994</v>
      </c>
    </row>
    <row r="2025" spans="1:18" x14ac:dyDescent="0.2">
      <c r="A2025" t="s">
        <v>18</v>
      </c>
      <c r="B2025" t="s">
        <v>19</v>
      </c>
      <c r="C2025">
        <v>1</v>
      </c>
      <c r="D2025" s="1">
        <v>43998.891284722224</v>
      </c>
      <c r="E2025" t="s">
        <v>6245</v>
      </c>
      <c r="F2025" t="s">
        <v>464</v>
      </c>
      <c r="G2025" t="s">
        <v>6246</v>
      </c>
      <c r="H2025" t="s">
        <v>466</v>
      </c>
      <c r="I2025" t="s">
        <v>29</v>
      </c>
      <c r="J2025">
        <v>1</v>
      </c>
      <c r="K2025">
        <f>1-800-674-9345</f>
        <v>-10818</v>
      </c>
      <c r="L2025" t="s">
        <v>6247</v>
      </c>
      <c r="M2025" t="s">
        <v>6248</v>
      </c>
      <c r="N2025" t="s">
        <v>3454</v>
      </c>
      <c r="O2025" t="s">
        <v>134</v>
      </c>
      <c r="P2025" t="s">
        <v>29</v>
      </c>
      <c r="Q2025">
        <v>30</v>
      </c>
      <c r="R2025">
        <v>-95.369799999999998</v>
      </c>
    </row>
    <row r="2026" spans="1:18" x14ac:dyDescent="0.2">
      <c r="A2026" t="s">
        <v>439</v>
      </c>
      <c r="B2026" t="s">
        <v>440</v>
      </c>
      <c r="C2026">
        <v>1</v>
      </c>
      <c r="D2026" s="1">
        <v>43998.894988425927</v>
      </c>
      <c r="E2026" t="s">
        <v>6249</v>
      </c>
      <c r="F2026" t="s">
        <v>442</v>
      </c>
      <c r="G2026" t="s">
        <v>6250</v>
      </c>
      <c r="H2026" t="s">
        <v>444</v>
      </c>
      <c r="I2026" t="s">
        <v>29</v>
      </c>
      <c r="J2026">
        <v>1</v>
      </c>
      <c r="K2026">
        <f>1-888-864-1666</f>
        <v>-3417</v>
      </c>
      <c r="L2026" t="s">
        <v>6251</v>
      </c>
      <c r="M2026" t="s">
        <v>6252</v>
      </c>
      <c r="N2026" t="s">
        <v>674</v>
      </c>
      <c r="O2026" t="s">
        <v>28</v>
      </c>
      <c r="P2026" t="s">
        <v>29</v>
      </c>
      <c r="Q2026">
        <v>39</v>
      </c>
      <c r="R2026">
        <v>-77.487399999999994</v>
      </c>
    </row>
    <row r="2027" spans="1:18" x14ac:dyDescent="0.2">
      <c r="A2027" t="s">
        <v>6253</v>
      </c>
      <c r="B2027" t="s">
        <v>454</v>
      </c>
      <c r="C2027">
        <v>1</v>
      </c>
      <c r="D2027" s="1">
        <v>44001.794710648152</v>
      </c>
      <c r="E2027" t="s">
        <v>6254</v>
      </c>
      <c r="F2027" t="s">
        <v>6255</v>
      </c>
      <c r="G2027" t="s">
        <v>6256</v>
      </c>
      <c r="H2027" t="s">
        <v>6257</v>
      </c>
      <c r="I2027" t="s">
        <v>29</v>
      </c>
      <c r="J2027">
        <v>1</v>
      </c>
      <c r="K2027">
        <f>1-888-414-7484</f>
        <v>-8785</v>
      </c>
      <c r="L2027" t="s">
        <v>6258</v>
      </c>
      <c r="M2027" t="s">
        <v>6259</v>
      </c>
      <c r="N2027" t="s">
        <v>36</v>
      </c>
      <c r="O2027" t="s">
        <v>134</v>
      </c>
      <c r="P2027" t="s">
        <v>461</v>
      </c>
      <c r="Q2027">
        <v>52</v>
      </c>
      <c r="R2027">
        <v>4.8945400000000001</v>
      </c>
    </row>
    <row r="2028" spans="1:18" x14ac:dyDescent="0.2">
      <c r="A2028" t="s">
        <v>6253</v>
      </c>
      <c r="B2028" t="s">
        <v>454</v>
      </c>
      <c r="C2028">
        <v>1</v>
      </c>
      <c r="D2028" s="1">
        <v>43998.931319444448</v>
      </c>
      <c r="E2028" t="s">
        <v>6260</v>
      </c>
      <c r="F2028" t="s">
        <v>6255</v>
      </c>
      <c r="G2028" t="s">
        <v>6256</v>
      </c>
      <c r="H2028" t="s">
        <v>6257</v>
      </c>
      <c r="I2028" t="s">
        <v>29</v>
      </c>
      <c r="J2028">
        <v>1</v>
      </c>
      <c r="K2028">
        <f>1-888-414-7484</f>
        <v>-8785</v>
      </c>
      <c r="L2028" t="s">
        <v>6261</v>
      </c>
      <c r="M2028" t="s">
        <v>6262</v>
      </c>
      <c r="N2028" t="s">
        <v>36</v>
      </c>
      <c r="O2028" t="s">
        <v>134</v>
      </c>
      <c r="P2028" t="s">
        <v>461</v>
      </c>
      <c r="Q2028">
        <v>52</v>
      </c>
      <c r="R2028">
        <v>4.8945400000000001</v>
      </c>
    </row>
    <row r="2029" spans="1:18" x14ac:dyDescent="0.2">
      <c r="A2029" t="s">
        <v>439</v>
      </c>
      <c r="B2029" t="s">
        <v>4321</v>
      </c>
      <c r="C2029">
        <v>1</v>
      </c>
      <c r="D2029" s="1">
        <v>43998.938101851854</v>
      </c>
      <c r="E2029" t="s">
        <v>6263</v>
      </c>
      <c r="F2029" t="s">
        <v>442</v>
      </c>
      <c r="G2029" t="s">
        <v>6264</v>
      </c>
      <c r="H2029" t="s">
        <v>444</v>
      </c>
      <c r="I2029" t="s">
        <v>29</v>
      </c>
      <c r="J2029">
        <v>1</v>
      </c>
      <c r="K2029">
        <f>1-800-760-4902</f>
        <v>-6461</v>
      </c>
      <c r="L2029" t="s">
        <v>6265</v>
      </c>
      <c r="M2029" t="s">
        <v>6266</v>
      </c>
      <c r="N2029" t="s">
        <v>213</v>
      </c>
      <c r="O2029" t="s">
        <v>28</v>
      </c>
      <c r="P2029" t="s">
        <v>29</v>
      </c>
      <c r="Q2029">
        <v>42</v>
      </c>
      <c r="R2029">
        <v>-87.629800000000003</v>
      </c>
    </row>
    <row r="2030" spans="1:18" x14ac:dyDescent="0.2">
      <c r="A2030" t="s">
        <v>663</v>
      </c>
      <c r="B2030" t="s">
        <v>3385</v>
      </c>
      <c r="C2030">
        <v>44</v>
      </c>
      <c r="D2030" s="1">
        <v>43999.519629629627</v>
      </c>
      <c r="E2030" t="s">
        <v>6267</v>
      </c>
      <c r="F2030" t="s">
        <v>666</v>
      </c>
      <c r="G2030" t="s">
        <v>6268</v>
      </c>
      <c r="H2030" t="s">
        <v>667</v>
      </c>
      <c r="I2030" t="s">
        <v>618</v>
      </c>
      <c r="J2030">
        <v>44</v>
      </c>
      <c r="K2030">
        <f>44-808-101-7269</f>
        <v>-8134</v>
      </c>
      <c r="L2030" t="s">
        <v>6269</v>
      </c>
      <c r="M2030" t="s">
        <v>6270</v>
      </c>
      <c r="N2030" t="s">
        <v>1645</v>
      </c>
      <c r="O2030" t="s">
        <v>28</v>
      </c>
      <c r="P2030" t="s">
        <v>29</v>
      </c>
      <c r="Q2030">
        <v>41</v>
      </c>
      <c r="R2030">
        <v>-74.002899999999997</v>
      </c>
    </row>
    <row r="2031" spans="1:18" x14ac:dyDescent="0.2">
      <c r="A2031" t="s">
        <v>663</v>
      </c>
      <c r="B2031" t="s">
        <v>2493</v>
      </c>
      <c r="C2031">
        <v>32</v>
      </c>
      <c r="D2031" s="1">
        <v>43999.703842592593</v>
      </c>
      <c r="E2031" t="s">
        <v>6271</v>
      </c>
      <c r="F2031" t="s">
        <v>666</v>
      </c>
      <c r="G2031" t="s">
        <v>6272</v>
      </c>
      <c r="H2031" t="s">
        <v>667</v>
      </c>
      <c r="I2031" t="s">
        <v>4288</v>
      </c>
      <c r="J2031">
        <v>32</v>
      </c>
      <c r="K2031">
        <f>32-800-26-767</f>
        <v>-1561</v>
      </c>
      <c r="L2031" t="s">
        <v>6273</v>
      </c>
      <c r="M2031" t="s">
        <v>6274</v>
      </c>
      <c r="N2031" t="s">
        <v>452</v>
      </c>
      <c r="O2031" t="s">
        <v>28</v>
      </c>
      <c r="P2031" t="s">
        <v>29</v>
      </c>
      <c r="Q2031">
        <v>41</v>
      </c>
      <c r="R2031">
        <v>-74.024699999999996</v>
      </c>
    </row>
    <row r="2032" spans="1:18" x14ac:dyDescent="0.2">
      <c r="A2032" t="s">
        <v>663</v>
      </c>
      <c r="B2032" t="s">
        <v>2493</v>
      </c>
      <c r="C2032">
        <v>358</v>
      </c>
      <c r="D2032" s="1">
        <v>43999.703796296293</v>
      </c>
      <c r="E2032" t="s">
        <v>6271</v>
      </c>
      <c r="F2032" t="s">
        <v>666</v>
      </c>
      <c r="G2032" t="s">
        <v>6272</v>
      </c>
      <c r="H2032" t="s">
        <v>667</v>
      </c>
      <c r="I2032" t="s">
        <v>6238</v>
      </c>
      <c r="J2032">
        <v>358</v>
      </c>
      <c r="K2032">
        <f>358-800-552-99</f>
        <v>-1093</v>
      </c>
      <c r="L2032" t="s">
        <v>6275</v>
      </c>
      <c r="M2032" t="s">
        <v>6276</v>
      </c>
      <c r="N2032" t="s">
        <v>452</v>
      </c>
      <c r="O2032" t="s">
        <v>28</v>
      </c>
      <c r="P2032" t="s">
        <v>29</v>
      </c>
      <c r="Q2032">
        <v>41</v>
      </c>
      <c r="R2032">
        <v>-74.024699999999996</v>
      </c>
    </row>
    <row r="2033" spans="1:18" x14ac:dyDescent="0.2">
      <c r="A2033" t="s">
        <v>663</v>
      </c>
      <c r="B2033" t="s">
        <v>2493</v>
      </c>
      <c r="C2033">
        <v>353</v>
      </c>
      <c r="D2033" s="1">
        <v>43999.703148148146</v>
      </c>
      <c r="E2033" t="s">
        <v>6271</v>
      </c>
      <c r="F2033" t="s">
        <v>666</v>
      </c>
      <c r="G2033" t="s">
        <v>6272</v>
      </c>
      <c r="H2033" t="s">
        <v>667</v>
      </c>
      <c r="I2033" t="s">
        <v>6188</v>
      </c>
      <c r="J2033">
        <v>353</v>
      </c>
      <c r="K2033">
        <f>353-1800-832-261</f>
        <v>-2540</v>
      </c>
      <c r="L2033" t="s">
        <v>6277</v>
      </c>
      <c r="M2033" t="s">
        <v>6278</v>
      </c>
      <c r="N2033" t="s">
        <v>452</v>
      </c>
      <c r="O2033" t="s">
        <v>28</v>
      </c>
      <c r="P2033" t="s">
        <v>29</v>
      </c>
      <c r="Q2033">
        <v>41</v>
      </c>
      <c r="R2033">
        <v>-74.024699999999996</v>
      </c>
    </row>
    <row r="2034" spans="1:18" x14ac:dyDescent="0.2">
      <c r="A2034" t="s">
        <v>663</v>
      </c>
      <c r="B2034" t="s">
        <v>2493</v>
      </c>
      <c r="C2034">
        <v>47</v>
      </c>
      <c r="D2034" s="1">
        <v>43999.703055555554</v>
      </c>
      <c r="E2034" t="s">
        <v>6271</v>
      </c>
      <c r="F2034" t="s">
        <v>666</v>
      </c>
      <c r="G2034" t="s">
        <v>6272</v>
      </c>
      <c r="H2034" t="s">
        <v>667</v>
      </c>
      <c r="I2034" t="s">
        <v>6185</v>
      </c>
      <c r="J2034">
        <v>47</v>
      </c>
      <c r="K2034">
        <f>47-800-24-669</f>
        <v>-1446</v>
      </c>
      <c r="L2034" t="s">
        <v>6279</v>
      </c>
      <c r="M2034" t="s">
        <v>6280</v>
      </c>
      <c r="N2034" t="s">
        <v>452</v>
      </c>
      <c r="O2034" t="s">
        <v>28</v>
      </c>
      <c r="P2034" t="s">
        <v>29</v>
      </c>
      <c r="Q2034">
        <v>41</v>
      </c>
      <c r="R2034">
        <v>-74.024699999999996</v>
      </c>
    </row>
    <row r="2035" spans="1:18" x14ac:dyDescent="0.2">
      <c r="A2035" t="s">
        <v>663</v>
      </c>
      <c r="B2035" t="s">
        <v>2493</v>
      </c>
      <c r="C2035">
        <v>41</v>
      </c>
      <c r="D2035" s="1">
        <v>43999.698946759258</v>
      </c>
      <c r="E2035" t="s">
        <v>6271</v>
      </c>
      <c r="F2035" t="s">
        <v>666</v>
      </c>
      <c r="G2035" t="s">
        <v>6272</v>
      </c>
      <c r="H2035" t="s">
        <v>667</v>
      </c>
      <c r="I2035" t="s">
        <v>204</v>
      </c>
      <c r="J2035">
        <v>41</v>
      </c>
      <c r="K2035">
        <f>41-800-562-281</f>
        <v>-1602</v>
      </c>
      <c r="L2035" t="s">
        <v>6281</v>
      </c>
      <c r="M2035" t="s">
        <v>6282</v>
      </c>
      <c r="N2035" t="s">
        <v>452</v>
      </c>
      <c r="O2035" t="s">
        <v>28</v>
      </c>
      <c r="P2035" t="s">
        <v>29</v>
      </c>
      <c r="Q2035">
        <v>41</v>
      </c>
      <c r="R2035">
        <v>-74.024699999999996</v>
      </c>
    </row>
    <row r="2036" spans="1:18" x14ac:dyDescent="0.2">
      <c r="A2036" t="s">
        <v>270</v>
      </c>
      <c r="B2036" t="s">
        <v>271</v>
      </c>
      <c r="C2036">
        <v>1</v>
      </c>
      <c r="D2036" s="1">
        <v>44016.803368055553</v>
      </c>
      <c r="E2036" t="s">
        <v>6283</v>
      </c>
      <c r="F2036" t="s">
        <v>273</v>
      </c>
      <c r="G2036" t="s">
        <v>6284</v>
      </c>
      <c r="H2036" t="s">
        <v>275</v>
      </c>
      <c r="I2036" t="s">
        <v>29</v>
      </c>
      <c r="J2036">
        <v>1</v>
      </c>
      <c r="K2036">
        <f>1-844-532-6059</f>
        <v>-7434</v>
      </c>
      <c r="L2036" t="s">
        <v>6285</v>
      </c>
      <c r="M2036" t="s">
        <v>6286</v>
      </c>
      <c r="N2036" t="s">
        <v>278</v>
      </c>
      <c r="O2036" t="s">
        <v>28</v>
      </c>
      <c r="P2036" t="s">
        <v>29</v>
      </c>
      <c r="Q2036">
        <v>42</v>
      </c>
      <c r="R2036">
        <v>-93.620800000000003</v>
      </c>
    </row>
    <row r="2037" spans="1:18" x14ac:dyDescent="0.2">
      <c r="A2037" t="s">
        <v>6287</v>
      </c>
      <c r="B2037" t="s">
        <v>3426</v>
      </c>
      <c r="C2037">
        <v>27</v>
      </c>
      <c r="D2037" s="1">
        <v>43999.701851851853</v>
      </c>
      <c r="E2037" t="s">
        <v>6288</v>
      </c>
      <c r="F2037" t="s">
        <v>6289</v>
      </c>
      <c r="G2037" t="s">
        <v>6290</v>
      </c>
      <c r="H2037" t="s">
        <v>6291</v>
      </c>
      <c r="I2037" t="s">
        <v>6292</v>
      </c>
      <c r="J2037">
        <v>27</v>
      </c>
      <c r="K2037">
        <f>27-87-821-7599</f>
        <v>-8480</v>
      </c>
      <c r="L2037" t="s">
        <v>6293</v>
      </c>
      <c r="M2037" t="s">
        <v>6294</v>
      </c>
      <c r="N2037" t="s">
        <v>452</v>
      </c>
      <c r="O2037" t="s">
        <v>134</v>
      </c>
      <c r="P2037" t="s">
        <v>29</v>
      </c>
      <c r="Q2037">
        <v>42</v>
      </c>
      <c r="R2037">
        <v>-71.1935</v>
      </c>
    </row>
    <row r="2038" spans="1:18" x14ac:dyDescent="0.2">
      <c r="A2038" t="s">
        <v>439</v>
      </c>
      <c r="B2038" t="s">
        <v>4321</v>
      </c>
      <c r="C2038">
        <v>1</v>
      </c>
      <c r="D2038" s="1">
        <v>43999.815960648149</v>
      </c>
      <c r="E2038" t="s">
        <v>6295</v>
      </c>
      <c r="F2038" t="s">
        <v>442</v>
      </c>
      <c r="G2038" t="s">
        <v>6296</v>
      </c>
      <c r="H2038" t="s">
        <v>444</v>
      </c>
      <c r="I2038" t="s">
        <v>29</v>
      </c>
      <c r="J2038">
        <v>1</v>
      </c>
      <c r="K2038">
        <f>1-833-760-1239</f>
        <v>-2831</v>
      </c>
      <c r="L2038" t="s">
        <v>6297</v>
      </c>
      <c r="M2038" t="s">
        <v>6298</v>
      </c>
      <c r="N2038" t="s">
        <v>452</v>
      </c>
      <c r="O2038" t="s">
        <v>28</v>
      </c>
      <c r="P2038" t="s">
        <v>29</v>
      </c>
      <c r="Q2038">
        <v>42</v>
      </c>
      <c r="R2038">
        <v>-87.629800000000003</v>
      </c>
    </row>
    <row r="2039" spans="1:18" x14ac:dyDescent="0.2">
      <c r="A2039" t="s">
        <v>439</v>
      </c>
      <c r="B2039" t="s">
        <v>1412</v>
      </c>
      <c r="C2039">
        <v>1</v>
      </c>
      <c r="D2039" s="1">
        <v>43999.831064814818</v>
      </c>
      <c r="E2039" t="s">
        <v>6299</v>
      </c>
      <c r="F2039" t="s">
        <v>442</v>
      </c>
      <c r="G2039" t="s">
        <v>6300</v>
      </c>
      <c r="H2039" t="s">
        <v>444</v>
      </c>
      <c r="I2039" t="s">
        <v>29</v>
      </c>
      <c r="J2039">
        <v>1</v>
      </c>
      <c r="K2039">
        <f>1-833-256-2778</f>
        <v>-3866</v>
      </c>
      <c r="L2039" t="s">
        <v>6301</v>
      </c>
      <c r="M2039" t="s">
        <v>6302</v>
      </c>
      <c r="N2039" t="s">
        <v>36</v>
      </c>
      <c r="O2039" t="s">
        <v>28</v>
      </c>
      <c r="P2039" t="s">
        <v>29</v>
      </c>
      <c r="Q2039">
        <v>41</v>
      </c>
      <c r="R2039">
        <v>-74.172399999999996</v>
      </c>
    </row>
    <row r="2040" spans="1:18" x14ac:dyDescent="0.2">
      <c r="A2040" t="s">
        <v>6303</v>
      </c>
      <c r="B2040" t="s">
        <v>1212</v>
      </c>
      <c r="C2040">
        <v>33</v>
      </c>
      <c r="D2040" s="1">
        <v>44000.450439814813</v>
      </c>
      <c r="E2040" t="s">
        <v>6304</v>
      </c>
      <c r="F2040" t="s">
        <v>6305</v>
      </c>
      <c r="G2040" t="s">
        <v>6306</v>
      </c>
      <c r="H2040" t="s">
        <v>6307</v>
      </c>
      <c r="I2040" t="s">
        <v>292</v>
      </c>
      <c r="J2040">
        <v>33</v>
      </c>
      <c r="K2040">
        <f>33-1-84-14-42-51</f>
        <v>-159</v>
      </c>
      <c r="L2040" t="s">
        <v>6308</v>
      </c>
      <c r="M2040" t="s">
        <v>6309</v>
      </c>
      <c r="N2040" t="s">
        <v>278</v>
      </c>
      <c r="O2040" t="s">
        <v>134</v>
      </c>
      <c r="P2040" t="s">
        <v>618</v>
      </c>
      <c r="Q2040">
        <v>52</v>
      </c>
      <c r="R2040">
        <v>-9.2999999999999999E-2</v>
      </c>
    </row>
    <row r="2041" spans="1:18" x14ac:dyDescent="0.2">
      <c r="A2041" t="s">
        <v>675</v>
      </c>
      <c r="B2041" t="s">
        <v>6310</v>
      </c>
      <c r="C2041">
        <v>33</v>
      </c>
      <c r="D2041" s="1">
        <v>44000.463217592594</v>
      </c>
      <c r="E2041" t="s">
        <v>6311</v>
      </c>
      <c r="F2041" t="s">
        <v>3107</v>
      </c>
      <c r="G2041" t="s">
        <v>6312</v>
      </c>
      <c r="H2041" t="s">
        <v>680</v>
      </c>
      <c r="I2041" t="s">
        <v>292</v>
      </c>
      <c r="J2041">
        <v>33</v>
      </c>
      <c r="K2041">
        <f>33-1-84-14-42-51</f>
        <v>-159</v>
      </c>
      <c r="L2041" t="s">
        <v>6313</v>
      </c>
      <c r="M2041" t="s">
        <v>6314</v>
      </c>
      <c r="N2041" t="s">
        <v>452</v>
      </c>
      <c r="O2041" t="s">
        <v>134</v>
      </c>
      <c r="P2041" t="s">
        <v>29</v>
      </c>
      <c r="Q2041">
        <v>34</v>
      </c>
      <c r="R2041">
        <v>-84.425700000000006</v>
      </c>
    </row>
    <row r="2042" spans="1:18" x14ac:dyDescent="0.2">
      <c r="A2042" t="s">
        <v>2349</v>
      </c>
      <c r="B2042" t="s">
        <v>4667</v>
      </c>
      <c r="C2042">
        <v>1</v>
      </c>
      <c r="D2042" s="1">
        <v>44003.979803240742</v>
      </c>
      <c r="E2042" t="s">
        <v>6315</v>
      </c>
      <c r="F2042" t="s">
        <v>2352</v>
      </c>
      <c r="G2042" t="s">
        <v>6316</v>
      </c>
      <c r="H2042" t="s">
        <v>2353</v>
      </c>
      <c r="I2042" t="s">
        <v>29</v>
      </c>
      <c r="J2042">
        <v>1</v>
      </c>
      <c r="K2042">
        <f>1-888-984-4253</f>
        <v>-6124</v>
      </c>
      <c r="L2042" t="s">
        <v>6317</v>
      </c>
      <c r="M2042" t="s">
        <v>6318</v>
      </c>
      <c r="N2042" t="s">
        <v>4606</v>
      </c>
      <c r="O2042" t="s">
        <v>28</v>
      </c>
      <c r="P2042" t="s">
        <v>53</v>
      </c>
      <c r="Q2042">
        <v>36</v>
      </c>
      <c r="R2042">
        <v>99.999999000000003</v>
      </c>
    </row>
    <row r="2043" spans="1:18" x14ac:dyDescent="0.2">
      <c r="A2043" t="s">
        <v>2349</v>
      </c>
      <c r="B2043" t="s">
        <v>4667</v>
      </c>
      <c r="C2043">
        <v>1</v>
      </c>
      <c r="D2043" s="1">
        <v>44002.76835648148</v>
      </c>
      <c r="E2043" t="s">
        <v>6319</v>
      </c>
      <c r="F2043" t="s">
        <v>2352</v>
      </c>
      <c r="G2043" t="s">
        <v>6316</v>
      </c>
      <c r="H2043" t="s">
        <v>2353</v>
      </c>
      <c r="I2043" t="s">
        <v>29</v>
      </c>
      <c r="J2043">
        <v>1</v>
      </c>
      <c r="K2043">
        <f>1-888-984-4323</f>
        <v>-6194</v>
      </c>
      <c r="L2043" t="s">
        <v>6320</v>
      </c>
      <c r="M2043" t="s">
        <v>6321</v>
      </c>
      <c r="N2043" t="s">
        <v>452</v>
      </c>
      <c r="O2043" t="s">
        <v>28</v>
      </c>
      <c r="P2043" t="s">
        <v>53</v>
      </c>
      <c r="Q2043">
        <v>36</v>
      </c>
      <c r="R2043">
        <v>99.999999000000003</v>
      </c>
    </row>
    <row r="2044" spans="1:18" x14ac:dyDescent="0.2">
      <c r="A2044" t="s">
        <v>2349</v>
      </c>
      <c r="B2044" t="s">
        <v>4667</v>
      </c>
      <c r="C2044">
        <v>1</v>
      </c>
      <c r="D2044" s="1">
        <v>44003.798622685186</v>
      </c>
      <c r="E2044" t="s">
        <v>6322</v>
      </c>
      <c r="F2044" t="s">
        <v>2352</v>
      </c>
      <c r="G2044" t="s">
        <v>6316</v>
      </c>
      <c r="H2044" t="s">
        <v>2353</v>
      </c>
      <c r="I2044" t="s">
        <v>29</v>
      </c>
      <c r="J2044">
        <v>1</v>
      </c>
      <c r="K2044">
        <f>1-888-984-4356</f>
        <v>-6227</v>
      </c>
      <c r="L2044" t="s">
        <v>6323</v>
      </c>
      <c r="M2044" t="s">
        <v>6324</v>
      </c>
      <c r="N2044" t="s">
        <v>4606</v>
      </c>
      <c r="O2044" t="s">
        <v>28</v>
      </c>
      <c r="P2044" t="s">
        <v>53</v>
      </c>
      <c r="Q2044">
        <v>36</v>
      </c>
      <c r="R2044">
        <v>99.999999000000003</v>
      </c>
    </row>
    <row r="2045" spans="1:18" x14ac:dyDescent="0.2">
      <c r="A2045" t="s">
        <v>675</v>
      </c>
      <c r="B2045" t="s">
        <v>1412</v>
      </c>
      <c r="C2045">
        <v>33</v>
      </c>
      <c r="D2045" s="1">
        <v>44000.465717592589</v>
      </c>
      <c r="E2045" t="s">
        <v>6325</v>
      </c>
      <c r="F2045" t="s">
        <v>678</v>
      </c>
      <c r="G2045" t="s">
        <v>6326</v>
      </c>
      <c r="H2045" t="s">
        <v>680</v>
      </c>
      <c r="I2045" t="s">
        <v>292</v>
      </c>
      <c r="J2045">
        <v>33</v>
      </c>
      <c r="K2045">
        <f>33-1-84-14-42-51</f>
        <v>-159</v>
      </c>
      <c r="L2045" t="s">
        <v>6327</v>
      </c>
      <c r="M2045" t="s">
        <v>6328</v>
      </c>
      <c r="N2045" t="s">
        <v>6329</v>
      </c>
      <c r="O2045" t="s">
        <v>134</v>
      </c>
      <c r="P2045" t="s">
        <v>29</v>
      </c>
      <c r="Q2045">
        <v>41</v>
      </c>
      <c r="R2045">
        <v>-74.172399999999996</v>
      </c>
    </row>
    <row r="2046" spans="1:18" x14ac:dyDescent="0.2">
      <c r="A2046" t="s">
        <v>2233</v>
      </c>
      <c r="B2046" t="s">
        <v>6330</v>
      </c>
      <c r="C2046">
        <v>33</v>
      </c>
      <c r="D2046" s="1">
        <v>44000.474398148152</v>
      </c>
      <c r="E2046" t="s">
        <v>6331</v>
      </c>
      <c r="F2046" t="s">
        <v>2236</v>
      </c>
      <c r="G2046" t="s">
        <v>6332</v>
      </c>
      <c r="H2046" t="s">
        <v>2237</v>
      </c>
      <c r="I2046" t="s">
        <v>292</v>
      </c>
      <c r="J2046">
        <v>33</v>
      </c>
      <c r="K2046">
        <f>33-9-70-18-34-35</f>
        <v>-133</v>
      </c>
      <c r="L2046" t="s">
        <v>6333</v>
      </c>
      <c r="M2046" t="s">
        <v>6334</v>
      </c>
      <c r="N2046" t="s">
        <v>278</v>
      </c>
      <c r="O2046" t="s">
        <v>28</v>
      </c>
      <c r="P2046" t="s">
        <v>24</v>
      </c>
      <c r="Q2046">
        <v>51</v>
      </c>
      <c r="R2046">
        <v>6.77346</v>
      </c>
    </row>
    <row r="2047" spans="1:18" x14ac:dyDescent="0.2">
      <c r="A2047" t="s">
        <v>2233</v>
      </c>
      <c r="B2047" t="s">
        <v>2234</v>
      </c>
      <c r="C2047">
        <v>49</v>
      </c>
      <c r="D2047" s="1">
        <v>44001.498715277776</v>
      </c>
      <c r="E2047" t="s">
        <v>6335</v>
      </c>
      <c r="F2047" t="s">
        <v>2236</v>
      </c>
      <c r="G2047" t="s">
        <v>6336</v>
      </c>
      <c r="H2047" t="s">
        <v>2237</v>
      </c>
      <c r="I2047" t="s">
        <v>24</v>
      </c>
      <c r="J2047">
        <v>49</v>
      </c>
      <c r="K2047">
        <f>49-421-3658315</f>
        <v>-3658687</v>
      </c>
      <c r="L2047" t="s">
        <v>6337</v>
      </c>
      <c r="M2047" t="s">
        <v>6338</v>
      </c>
      <c r="N2047" t="s">
        <v>5354</v>
      </c>
      <c r="O2047" t="s">
        <v>134</v>
      </c>
      <c r="P2047" t="s">
        <v>29</v>
      </c>
      <c r="Q2047">
        <v>40</v>
      </c>
      <c r="R2047">
        <v>-83.114099999999993</v>
      </c>
    </row>
    <row r="2048" spans="1:18" x14ac:dyDescent="0.2">
      <c r="A2048" t="s">
        <v>439</v>
      </c>
      <c r="B2048" t="s">
        <v>440</v>
      </c>
      <c r="C2048">
        <v>1</v>
      </c>
      <c r="D2048" s="1">
        <v>44000.832789351851</v>
      </c>
      <c r="E2048" t="s">
        <v>6339</v>
      </c>
      <c r="F2048" t="s">
        <v>442</v>
      </c>
      <c r="G2048" t="s">
        <v>6340</v>
      </c>
      <c r="H2048" t="s">
        <v>444</v>
      </c>
      <c r="I2048" t="s">
        <v>29</v>
      </c>
      <c r="J2048">
        <v>1</v>
      </c>
      <c r="K2048">
        <f>1-888-415-4457</f>
        <v>-5759</v>
      </c>
      <c r="L2048" t="s">
        <v>6341</v>
      </c>
      <c r="M2048" t="s">
        <v>6342</v>
      </c>
      <c r="N2048" t="s">
        <v>447</v>
      </c>
      <c r="O2048" t="s">
        <v>28</v>
      </c>
      <c r="P2048" t="s">
        <v>29</v>
      </c>
      <c r="Q2048">
        <v>39</v>
      </c>
      <c r="R2048">
        <v>-77.487399999999994</v>
      </c>
    </row>
    <row r="2049" spans="1:18" x14ac:dyDescent="0.2">
      <c r="A2049" t="s">
        <v>439</v>
      </c>
      <c r="B2049" t="s">
        <v>1412</v>
      </c>
      <c r="C2049">
        <v>1</v>
      </c>
      <c r="D2049" s="1">
        <v>44000.836655092593</v>
      </c>
      <c r="E2049" t="s">
        <v>6343</v>
      </c>
      <c r="F2049" t="s">
        <v>442</v>
      </c>
      <c r="G2049" t="s">
        <v>6344</v>
      </c>
      <c r="H2049" t="s">
        <v>444</v>
      </c>
      <c r="I2049" t="s">
        <v>29</v>
      </c>
      <c r="J2049">
        <v>1</v>
      </c>
      <c r="K2049">
        <f>1-888-335-363</f>
        <v>-1585</v>
      </c>
      <c r="L2049" t="s">
        <v>6345</v>
      </c>
      <c r="M2049" t="s">
        <v>6346</v>
      </c>
      <c r="N2049" t="s">
        <v>674</v>
      </c>
      <c r="O2049" t="s">
        <v>28</v>
      </c>
      <c r="P2049" t="s">
        <v>29</v>
      </c>
      <c r="Q2049">
        <v>41</v>
      </c>
      <c r="R2049">
        <v>-74.172399999999996</v>
      </c>
    </row>
    <row r="2050" spans="1:18" x14ac:dyDescent="0.2">
      <c r="A2050" t="s">
        <v>1200</v>
      </c>
      <c r="B2050" t="s">
        <v>1201</v>
      </c>
      <c r="C2050">
        <v>1</v>
      </c>
      <c r="D2050" s="1">
        <v>44000.883229166669</v>
      </c>
      <c r="E2050" t="s">
        <v>6347</v>
      </c>
      <c r="F2050" t="s">
        <v>1203</v>
      </c>
      <c r="G2050" t="s">
        <v>6348</v>
      </c>
      <c r="H2050" t="s">
        <v>1205</v>
      </c>
      <c r="I2050" t="s">
        <v>29</v>
      </c>
      <c r="J2050">
        <v>1</v>
      </c>
      <c r="K2050">
        <f>1-855-766-6466</f>
        <v>-8086</v>
      </c>
      <c r="L2050" t="s">
        <v>6349</v>
      </c>
      <c r="M2050" t="s">
        <v>6350</v>
      </c>
      <c r="N2050" t="s">
        <v>5354</v>
      </c>
      <c r="O2050" t="s">
        <v>134</v>
      </c>
      <c r="P2050" t="s">
        <v>29</v>
      </c>
      <c r="Q2050">
        <v>34</v>
      </c>
      <c r="R2050">
        <v>-99.999999000000003</v>
      </c>
    </row>
    <row r="2051" spans="1:18" x14ac:dyDescent="0.2">
      <c r="A2051" t="s">
        <v>439</v>
      </c>
      <c r="B2051" t="s">
        <v>440</v>
      </c>
      <c r="C2051">
        <v>1</v>
      </c>
      <c r="D2051" s="1">
        <v>44000.99931712963</v>
      </c>
      <c r="E2051" t="s">
        <v>6351</v>
      </c>
      <c r="F2051" t="s">
        <v>442</v>
      </c>
      <c r="G2051" t="s">
        <v>6352</v>
      </c>
      <c r="H2051" t="s">
        <v>444</v>
      </c>
      <c r="I2051" t="s">
        <v>29</v>
      </c>
      <c r="J2051">
        <v>1</v>
      </c>
      <c r="K2051">
        <f>1-888-413-2393</f>
        <v>-3693</v>
      </c>
      <c r="L2051" t="s">
        <v>6353</v>
      </c>
      <c r="M2051" t="s">
        <v>6354</v>
      </c>
      <c r="N2051" t="s">
        <v>1645</v>
      </c>
      <c r="O2051" t="s">
        <v>134</v>
      </c>
      <c r="P2051" t="s">
        <v>29</v>
      </c>
      <c r="Q2051">
        <v>39</v>
      </c>
      <c r="R2051">
        <v>-77.487399999999994</v>
      </c>
    </row>
    <row r="2052" spans="1:18" x14ac:dyDescent="0.2">
      <c r="A2052" t="s">
        <v>439</v>
      </c>
      <c r="B2052" t="s">
        <v>440</v>
      </c>
      <c r="C2052">
        <v>1</v>
      </c>
      <c r="D2052" s="1">
        <v>44000.999548611115</v>
      </c>
      <c r="E2052" t="s">
        <v>6351</v>
      </c>
      <c r="F2052" t="s">
        <v>442</v>
      </c>
      <c r="G2052" t="s">
        <v>6355</v>
      </c>
      <c r="H2052" t="s">
        <v>444</v>
      </c>
      <c r="I2052" t="s">
        <v>29</v>
      </c>
      <c r="J2052">
        <v>1</v>
      </c>
      <c r="K2052">
        <f>1-888-477-5279</f>
        <v>-6643</v>
      </c>
      <c r="L2052" t="s">
        <v>6356</v>
      </c>
      <c r="M2052" t="s">
        <v>6357</v>
      </c>
      <c r="N2052" t="s">
        <v>1645</v>
      </c>
      <c r="O2052" t="s">
        <v>28</v>
      </c>
      <c r="P2052" t="s">
        <v>29</v>
      </c>
      <c r="Q2052">
        <v>39</v>
      </c>
      <c r="R2052">
        <v>-77.487399999999994</v>
      </c>
    </row>
    <row r="2053" spans="1:18" x14ac:dyDescent="0.2">
      <c r="A2053" t="s">
        <v>439</v>
      </c>
      <c r="B2053" t="s">
        <v>440</v>
      </c>
      <c r="C2053">
        <v>1</v>
      </c>
      <c r="D2053" s="1">
        <v>44003.035358796296</v>
      </c>
      <c r="E2053" t="s">
        <v>6358</v>
      </c>
      <c r="F2053" t="s">
        <v>442</v>
      </c>
      <c r="G2053" t="s">
        <v>6359</v>
      </c>
      <c r="H2053" t="s">
        <v>444</v>
      </c>
      <c r="I2053" t="s">
        <v>29</v>
      </c>
      <c r="J2053">
        <v>1</v>
      </c>
      <c r="K2053">
        <f>1-888-864-1666</f>
        <v>-3417</v>
      </c>
      <c r="L2053" t="s">
        <v>6360</v>
      </c>
      <c r="M2053" t="s">
        <v>6361</v>
      </c>
      <c r="N2053" t="s">
        <v>447</v>
      </c>
      <c r="O2053" t="s">
        <v>28</v>
      </c>
      <c r="P2053" t="s">
        <v>29</v>
      </c>
      <c r="Q2053">
        <v>39</v>
      </c>
      <c r="R2053">
        <v>-77.487399999999994</v>
      </c>
    </row>
    <row r="2054" spans="1:18" x14ac:dyDescent="0.2">
      <c r="A2054" t="s">
        <v>663</v>
      </c>
      <c r="B2054" t="s">
        <v>5337</v>
      </c>
      <c r="C2054">
        <v>43</v>
      </c>
      <c r="D2054" s="1">
        <v>44001.708449074074</v>
      </c>
      <c r="E2054" t="s">
        <v>6362</v>
      </c>
      <c r="F2054" t="s">
        <v>2495</v>
      </c>
      <c r="G2054" t="s">
        <v>6363</v>
      </c>
      <c r="H2054" t="s">
        <v>667</v>
      </c>
      <c r="I2054" t="s">
        <v>3432</v>
      </c>
      <c r="J2054">
        <v>43</v>
      </c>
      <c r="K2054">
        <f>43-800-10-62</f>
        <v>-829</v>
      </c>
      <c r="L2054" t="s">
        <v>6364</v>
      </c>
      <c r="M2054" t="s">
        <v>6365</v>
      </c>
      <c r="N2054" t="s">
        <v>3441</v>
      </c>
      <c r="O2054" t="s">
        <v>28</v>
      </c>
      <c r="P2054" t="s">
        <v>29</v>
      </c>
      <c r="Q2054">
        <v>38</v>
      </c>
      <c r="R2054">
        <v>-99.999999000000003</v>
      </c>
    </row>
    <row r="2055" spans="1:18" x14ac:dyDescent="0.2">
      <c r="A2055" t="s">
        <v>663</v>
      </c>
      <c r="B2055" t="s">
        <v>2493</v>
      </c>
      <c r="C2055">
        <v>41</v>
      </c>
      <c r="D2055" s="1">
        <v>44001.714826388888</v>
      </c>
      <c r="E2055" t="s">
        <v>6366</v>
      </c>
      <c r="F2055" t="s">
        <v>666</v>
      </c>
      <c r="G2055" t="s">
        <v>6367</v>
      </c>
      <c r="H2055" t="s">
        <v>667</v>
      </c>
      <c r="I2055" t="s">
        <v>204</v>
      </c>
      <c r="J2055">
        <v>41</v>
      </c>
      <c r="K2055">
        <f>41-800-562-281</f>
        <v>-1602</v>
      </c>
      <c r="L2055" t="s">
        <v>6368</v>
      </c>
      <c r="M2055" t="s">
        <v>6369</v>
      </c>
      <c r="N2055" t="s">
        <v>452</v>
      </c>
      <c r="O2055" t="s">
        <v>28</v>
      </c>
      <c r="P2055" t="s">
        <v>29</v>
      </c>
      <c r="Q2055">
        <v>41</v>
      </c>
      <c r="R2055">
        <v>-74.024100000000004</v>
      </c>
    </row>
    <row r="2056" spans="1:18" x14ac:dyDescent="0.2">
      <c r="A2056" t="s">
        <v>675</v>
      </c>
      <c r="B2056" t="s">
        <v>1412</v>
      </c>
      <c r="C2056">
        <v>44</v>
      </c>
      <c r="D2056" s="1">
        <v>44001.715879629628</v>
      </c>
      <c r="E2056" t="s">
        <v>6370</v>
      </c>
      <c r="F2056" t="s">
        <v>678</v>
      </c>
      <c r="G2056" t="s">
        <v>6371</v>
      </c>
      <c r="H2056" t="s">
        <v>680</v>
      </c>
      <c r="I2056" t="s">
        <v>618</v>
      </c>
      <c r="J2056">
        <v>44</v>
      </c>
      <c r="K2056">
        <f>44-20-3290-6847</f>
        <v>-10113</v>
      </c>
      <c r="L2056" t="s">
        <v>6372</v>
      </c>
      <c r="M2056" t="s">
        <v>6373</v>
      </c>
      <c r="N2056" t="s">
        <v>683</v>
      </c>
      <c r="O2056" t="s">
        <v>28</v>
      </c>
      <c r="P2056" t="s">
        <v>29</v>
      </c>
      <c r="Q2056">
        <v>41</v>
      </c>
      <c r="R2056">
        <v>-74.172399999999996</v>
      </c>
    </row>
    <row r="2057" spans="1:18" x14ac:dyDescent="0.2">
      <c r="A2057" t="s">
        <v>439</v>
      </c>
      <c r="B2057" t="s">
        <v>1412</v>
      </c>
      <c r="C2057">
        <v>1</v>
      </c>
      <c r="D2057" s="1">
        <v>44001.75273148148</v>
      </c>
      <c r="E2057" t="s">
        <v>6374</v>
      </c>
      <c r="F2057" t="s">
        <v>442</v>
      </c>
      <c r="G2057" t="s">
        <v>6375</v>
      </c>
      <c r="H2057" t="s">
        <v>444</v>
      </c>
      <c r="I2057" t="s">
        <v>29</v>
      </c>
      <c r="J2057">
        <v>1</v>
      </c>
      <c r="K2057">
        <f>1-833-760-784</f>
        <v>-2376</v>
      </c>
      <c r="L2057" t="s">
        <v>6376</v>
      </c>
      <c r="M2057" t="s">
        <v>6377</v>
      </c>
      <c r="N2057" t="s">
        <v>452</v>
      </c>
      <c r="O2057" t="s">
        <v>28</v>
      </c>
      <c r="P2057" t="s">
        <v>29</v>
      </c>
      <c r="Q2057">
        <v>41</v>
      </c>
      <c r="R2057">
        <v>-74.172399999999996</v>
      </c>
    </row>
    <row r="2058" spans="1:18" x14ac:dyDescent="0.2">
      <c r="A2058" t="s">
        <v>439</v>
      </c>
      <c r="B2058" t="s">
        <v>440</v>
      </c>
      <c r="C2058">
        <v>1</v>
      </c>
      <c r="D2058" s="1">
        <v>44001.864907407406</v>
      </c>
      <c r="E2058" t="s">
        <v>6378</v>
      </c>
      <c r="F2058" t="s">
        <v>442</v>
      </c>
      <c r="G2058" t="s">
        <v>6379</v>
      </c>
      <c r="H2058" t="s">
        <v>444</v>
      </c>
      <c r="I2058" t="s">
        <v>29</v>
      </c>
      <c r="J2058">
        <v>1</v>
      </c>
      <c r="K2058">
        <f>1-877-224-6252</f>
        <v>-7352</v>
      </c>
      <c r="L2058" t="s">
        <v>6380</v>
      </c>
      <c r="M2058" t="s">
        <v>6381</v>
      </c>
      <c r="N2058" t="s">
        <v>452</v>
      </c>
      <c r="O2058" t="s">
        <v>28</v>
      </c>
      <c r="P2058" t="s">
        <v>29</v>
      </c>
      <c r="Q2058">
        <v>39</v>
      </c>
      <c r="R2058">
        <v>-77.487399999999994</v>
      </c>
    </row>
    <row r="2059" spans="1:18" x14ac:dyDescent="0.2">
      <c r="A2059" t="s">
        <v>453</v>
      </c>
      <c r="B2059" t="s">
        <v>454</v>
      </c>
      <c r="C2059">
        <v>44</v>
      </c>
      <c r="D2059" s="1">
        <v>44001.981689814813</v>
      </c>
      <c r="E2059" t="s">
        <v>6382</v>
      </c>
      <c r="F2059" t="s">
        <v>456</v>
      </c>
      <c r="G2059" t="s">
        <v>6383</v>
      </c>
      <c r="H2059" t="s">
        <v>458</v>
      </c>
      <c r="I2059" t="s">
        <v>618</v>
      </c>
      <c r="J2059">
        <v>44</v>
      </c>
      <c r="K2059">
        <f>44-800-368-9743</f>
        <v>-10867</v>
      </c>
      <c r="L2059" t="s">
        <v>6384</v>
      </c>
      <c r="M2059" t="s">
        <v>6385</v>
      </c>
      <c r="N2059" t="s">
        <v>452</v>
      </c>
      <c r="O2059" t="s">
        <v>134</v>
      </c>
      <c r="P2059" t="s">
        <v>461</v>
      </c>
      <c r="Q2059">
        <v>52</v>
      </c>
      <c r="R2059">
        <v>4.8945400000000001</v>
      </c>
    </row>
    <row r="2060" spans="1:18" x14ac:dyDescent="0.2">
      <c r="A2060" t="s">
        <v>2233</v>
      </c>
      <c r="B2060" t="s">
        <v>2234</v>
      </c>
      <c r="C2060">
        <v>49</v>
      </c>
      <c r="D2060" s="1">
        <v>44005.523530092592</v>
      </c>
      <c r="E2060" t="s">
        <v>6386</v>
      </c>
      <c r="F2060" t="s">
        <v>2236</v>
      </c>
      <c r="G2060" t="s">
        <v>6387</v>
      </c>
      <c r="H2060" t="s">
        <v>2237</v>
      </c>
      <c r="I2060" t="s">
        <v>24</v>
      </c>
      <c r="J2060">
        <v>49</v>
      </c>
      <c r="K2060">
        <f>49-421-3658315</f>
        <v>-3658687</v>
      </c>
      <c r="L2060" t="s">
        <v>6388</v>
      </c>
      <c r="M2060" t="s">
        <v>6389</v>
      </c>
      <c r="N2060" t="s">
        <v>5354</v>
      </c>
      <c r="O2060" t="s">
        <v>134</v>
      </c>
      <c r="P2060" t="s">
        <v>29</v>
      </c>
      <c r="Q2060">
        <v>40</v>
      </c>
      <c r="R2060">
        <v>-83.114099999999993</v>
      </c>
    </row>
    <row r="2061" spans="1:18" x14ac:dyDescent="0.2">
      <c r="A2061" t="s">
        <v>2233</v>
      </c>
      <c r="B2061" t="s">
        <v>6390</v>
      </c>
      <c r="C2061">
        <v>1</v>
      </c>
      <c r="D2061" s="1">
        <v>44002.000462962962</v>
      </c>
      <c r="E2061" t="s">
        <v>6391</v>
      </c>
      <c r="F2061" t="s">
        <v>2236</v>
      </c>
      <c r="G2061" t="s">
        <v>6392</v>
      </c>
      <c r="H2061" t="s">
        <v>2237</v>
      </c>
      <c r="I2061" t="s">
        <v>29</v>
      </c>
      <c r="J2061">
        <v>1</v>
      </c>
      <c r="K2061">
        <f>1-323-818-297</f>
        <v>-1437</v>
      </c>
      <c r="L2061" t="s">
        <v>6393</v>
      </c>
      <c r="M2061" t="s">
        <v>6394</v>
      </c>
      <c r="N2061" t="s">
        <v>5354</v>
      </c>
      <c r="O2061" t="s">
        <v>134</v>
      </c>
      <c r="P2061" t="s">
        <v>29</v>
      </c>
      <c r="Q2061">
        <v>37</v>
      </c>
      <c r="R2061">
        <v>-99.999999000000003</v>
      </c>
    </row>
    <row r="2062" spans="1:18" x14ac:dyDescent="0.2">
      <c r="A2062" t="s">
        <v>675</v>
      </c>
      <c r="B2062" t="s">
        <v>1412</v>
      </c>
      <c r="C2062">
        <v>1</v>
      </c>
      <c r="D2062" s="1">
        <v>44002.015335648146</v>
      </c>
      <c r="E2062" t="s">
        <v>6395</v>
      </c>
      <c r="F2062" t="s">
        <v>678</v>
      </c>
      <c r="G2062" t="s">
        <v>6396</v>
      </c>
      <c r="H2062" t="s">
        <v>680</v>
      </c>
      <c r="I2062" t="s">
        <v>29</v>
      </c>
      <c r="J2062">
        <v>1</v>
      </c>
      <c r="K2062">
        <f>1-734-292-3316</f>
        <v>-4341</v>
      </c>
      <c r="L2062" t="s">
        <v>6397</v>
      </c>
      <c r="M2062" t="s">
        <v>6398</v>
      </c>
      <c r="N2062" t="s">
        <v>452</v>
      </c>
      <c r="O2062" t="s">
        <v>134</v>
      </c>
      <c r="P2062" t="s">
        <v>29</v>
      </c>
      <c r="Q2062">
        <v>41</v>
      </c>
      <c r="R2062">
        <v>-74.172399999999996</v>
      </c>
    </row>
    <row r="2063" spans="1:18" x14ac:dyDescent="0.2">
      <c r="A2063" t="s">
        <v>663</v>
      </c>
      <c r="B2063" t="s">
        <v>2500</v>
      </c>
      <c r="C2063">
        <v>61</v>
      </c>
      <c r="D2063" s="1">
        <v>44002.331018518518</v>
      </c>
      <c r="E2063" t="s">
        <v>6399</v>
      </c>
      <c r="F2063" t="s">
        <v>666</v>
      </c>
      <c r="G2063" t="s">
        <v>6399</v>
      </c>
      <c r="H2063" t="s">
        <v>667</v>
      </c>
      <c r="I2063" t="s">
        <v>782</v>
      </c>
      <c r="J2063">
        <v>61</v>
      </c>
      <c r="K2063">
        <f>61-1-800-531-607</f>
        <v>-1878</v>
      </c>
      <c r="L2063" t="s">
        <v>6400</v>
      </c>
      <c r="M2063" t="s">
        <v>6401</v>
      </c>
      <c r="N2063">
        <v>221</v>
      </c>
      <c r="O2063" t="s">
        <v>134</v>
      </c>
      <c r="P2063" t="s">
        <v>2500</v>
      </c>
      <c r="Q2063">
        <v>1</v>
      </c>
      <c r="R2063">
        <v>99.999999000000003</v>
      </c>
    </row>
    <row r="2064" spans="1:18" x14ac:dyDescent="0.2">
      <c r="A2064" t="s">
        <v>2233</v>
      </c>
      <c r="B2064" t="s">
        <v>4281</v>
      </c>
      <c r="C2064">
        <v>39</v>
      </c>
      <c r="D2064" s="1">
        <v>44002.566516203704</v>
      </c>
      <c r="E2064" t="s">
        <v>6402</v>
      </c>
      <c r="F2064" t="s">
        <v>2236</v>
      </c>
      <c r="G2064" t="s">
        <v>6403</v>
      </c>
      <c r="H2064" t="s">
        <v>2237</v>
      </c>
      <c r="I2064" t="s">
        <v>6404</v>
      </c>
      <c r="J2064">
        <v>39</v>
      </c>
      <c r="K2064">
        <f>39-6-8350-26</f>
        <v>-8343</v>
      </c>
      <c r="L2064" t="s">
        <v>6405</v>
      </c>
      <c r="M2064" t="s">
        <v>6406</v>
      </c>
      <c r="N2064" t="s">
        <v>278</v>
      </c>
      <c r="O2064" t="s">
        <v>28</v>
      </c>
      <c r="P2064" t="s">
        <v>24</v>
      </c>
      <c r="Q2064">
        <v>50</v>
      </c>
      <c r="R2064">
        <v>8.6821300000000008</v>
      </c>
    </row>
    <row r="2065" spans="1:18" x14ac:dyDescent="0.2">
      <c r="A2065" t="s">
        <v>663</v>
      </c>
      <c r="B2065" t="s">
        <v>5337</v>
      </c>
      <c r="C2065">
        <v>1</v>
      </c>
      <c r="D2065" s="1">
        <v>44002.479444444441</v>
      </c>
      <c r="E2065" t="s">
        <v>6407</v>
      </c>
      <c r="F2065" t="s">
        <v>2495</v>
      </c>
      <c r="G2065" t="s">
        <v>6408</v>
      </c>
      <c r="H2065" t="s">
        <v>667</v>
      </c>
      <c r="I2065" t="s">
        <v>29</v>
      </c>
      <c r="J2065">
        <v>1</v>
      </c>
      <c r="K2065">
        <f>1-888-709-6244</f>
        <v>-7840</v>
      </c>
      <c r="L2065" t="s">
        <v>6409</v>
      </c>
      <c r="M2065" t="s">
        <v>6410</v>
      </c>
      <c r="N2065" t="s">
        <v>3454</v>
      </c>
      <c r="O2065" t="s">
        <v>28</v>
      </c>
      <c r="P2065" t="s">
        <v>29</v>
      </c>
      <c r="Q2065">
        <v>38</v>
      </c>
      <c r="R2065">
        <v>-99.999999000000003</v>
      </c>
    </row>
    <row r="2066" spans="1:18" x14ac:dyDescent="0.2">
      <c r="A2066" t="s">
        <v>2233</v>
      </c>
      <c r="B2066" t="s">
        <v>2234</v>
      </c>
      <c r="C2066">
        <v>49</v>
      </c>
      <c r="D2066" s="1">
        <v>44002.485555555555</v>
      </c>
      <c r="E2066" t="s">
        <v>6411</v>
      </c>
      <c r="F2066" t="s">
        <v>2236</v>
      </c>
      <c r="G2066" t="s">
        <v>6412</v>
      </c>
      <c r="H2066" t="s">
        <v>2237</v>
      </c>
      <c r="I2066" t="s">
        <v>24</v>
      </c>
      <c r="J2066">
        <v>49</v>
      </c>
      <c r="K2066">
        <f>49-421-3658315</f>
        <v>-3658687</v>
      </c>
      <c r="L2066" t="s">
        <v>6413</v>
      </c>
      <c r="M2066" t="s">
        <v>6414</v>
      </c>
      <c r="N2066" t="s">
        <v>5354</v>
      </c>
      <c r="O2066" t="s">
        <v>134</v>
      </c>
      <c r="P2066" t="s">
        <v>29</v>
      </c>
      <c r="Q2066">
        <v>40</v>
      </c>
      <c r="R2066">
        <v>-83.114099999999993</v>
      </c>
    </row>
    <row r="2067" spans="1:18" x14ac:dyDescent="0.2">
      <c r="A2067" t="s">
        <v>663</v>
      </c>
      <c r="B2067" t="s">
        <v>5337</v>
      </c>
      <c r="C2067">
        <v>44</v>
      </c>
      <c r="D2067" s="1">
        <v>44002.582187499997</v>
      </c>
      <c r="E2067" t="s">
        <v>6415</v>
      </c>
      <c r="F2067" t="s">
        <v>666</v>
      </c>
      <c r="G2067" t="s">
        <v>6416</v>
      </c>
      <c r="H2067" t="s">
        <v>667</v>
      </c>
      <c r="I2067" t="s">
        <v>618</v>
      </c>
      <c r="J2067">
        <v>44</v>
      </c>
      <c r="K2067">
        <f>44-808-101-7269</f>
        <v>-8134</v>
      </c>
      <c r="L2067" t="s">
        <v>6417</v>
      </c>
      <c r="M2067" t="s">
        <v>6418</v>
      </c>
      <c r="N2067" t="s">
        <v>1645</v>
      </c>
      <c r="O2067" t="s">
        <v>28</v>
      </c>
      <c r="P2067" t="s">
        <v>29</v>
      </c>
      <c r="Q2067">
        <v>38</v>
      </c>
      <c r="R2067">
        <v>-99.999999000000003</v>
      </c>
    </row>
    <row r="2068" spans="1:18" x14ac:dyDescent="0.2">
      <c r="A2068" t="s">
        <v>5349</v>
      </c>
      <c r="B2068" t="s">
        <v>440</v>
      </c>
      <c r="C2068">
        <v>1</v>
      </c>
      <c r="D2068" s="1">
        <v>44002.787870370368</v>
      </c>
      <c r="E2068" t="s">
        <v>6419</v>
      </c>
      <c r="F2068" t="s">
        <v>2236</v>
      </c>
      <c r="G2068" t="s">
        <v>6420</v>
      </c>
      <c r="H2068" t="s">
        <v>2237</v>
      </c>
      <c r="I2068" t="s">
        <v>29</v>
      </c>
      <c r="J2068">
        <v>1</v>
      </c>
      <c r="K2068">
        <f>1-855-838-12</f>
        <v>-1704</v>
      </c>
      <c r="L2068" t="s">
        <v>6421</v>
      </c>
      <c r="M2068" t="s">
        <v>6422</v>
      </c>
      <c r="N2068" t="s">
        <v>5354</v>
      </c>
      <c r="O2068" t="s">
        <v>134</v>
      </c>
      <c r="P2068" t="s">
        <v>29</v>
      </c>
      <c r="Q2068">
        <v>39</v>
      </c>
      <c r="R2068">
        <v>-77.487399999999994</v>
      </c>
    </row>
    <row r="2069" spans="1:18" x14ac:dyDescent="0.2">
      <c r="A2069" t="s">
        <v>439</v>
      </c>
      <c r="B2069" t="s">
        <v>440</v>
      </c>
      <c r="C2069">
        <v>1</v>
      </c>
      <c r="D2069" s="1">
        <v>44003.055590277778</v>
      </c>
      <c r="E2069" t="s">
        <v>6423</v>
      </c>
      <c r="F2069" t="s">
        <v>442</v>
      </c>
      <c r="G2069" t="s">
        <v>6424</v>
      </c>
      <c r="H2069" t="s">
        <v>444</v>
      </c>
      <c r="I2069" t="s">
        <v>29</v>
      </c>
      <c r="J2069">
        <v>1</v>
      </c>
      <c r="K2069">
        <f>1-888-925-6222</f>
        <v>-8034</v>
      </c>
      <c r="L2069" t="s">
        <v>6425</v>
      </c>
      <c r="M2069" t="s">
        <v>6426</v>
      </c>
      <c r="N2069" t="s">
        <v>213</v>
      </c>
      <c r="O2069" t="s">
        <v>28</v>
      </c>
      <c r="P2069" t="s">
        <v>29</v>
      </c>
      <c r="Q2069">
        <v>39</v>
      </c>
      <c r="R2069">
        <v>-77.487399999999994</v>
      </c>
    </row>
    <row r="2070" spans="1:18" x14ac:dyDescent="0.2">
      <c r="A2070" t="s">
        <v>439</v>
      </c>
      <c r="B2070" t="s">
        <v>1412</v>
      </c>
      <c r="C2070">
        <v>1</v>
      </c>
      <c r="D2070" s="1">
        <v>44004.320231481484</v>
      </c>
      <c r="E2070" t="s">
        <v>6427</v>
      </c>
      <c r="F2070" t="s">
        <v>442</v>
      </c>
      <c r="G2070" t="s">
        <v>6428</v>
      </c>
      <c r="H2070" t="s">
        <v>444</v>
      </c>
      <c r="I2070" t="s">
        <v>29</v>
      </c>
      <c r="J2070">
        <v>1</v>
      </c>
      <c r="K2070">
        <f>1-855-926-6568</f>
        <v>-8348</v>
      </c>
      <c r="L2070" t="s">
        <v>6429</v>
      </c>
      <c r="M2070" t="s">
        <v>6430</v>
      </c>
      <c r="N2070" t="s">
        <v>213</v>
      </c>
      <c r="O2070" t="s">
        <v>28</v>
      </c>
      <c r="P2070" t="s">
        <v>29</v>
      </c>
      <c r="Q2070">
        <v>41</v>
      </c>
      <c r="R2070">
        <v>-74.172399999999996</v>
      </c>
    </row>
    <row r="2071" spans="1:18" x14ac:dyDescent="0.2">
      <c r="A2071" t="s">
        <v>2225</v>
      </c>
      <c r="B2071" t="s">
        <v>2226</v>
      </c>
      <c r="C2071">
        <v>44</v>
      </c>
      <c r="D2071" s="1">
        <v>44007.450706018521</v>
      </c>
      <c r="E2071" t="s">
        <v>6431</v>
      </c>
      <c r="F2071" t="s">
        <v>2228</v>
      </c>
      <c r="G2071" t="s">
        <v>6432</v>
      </c>
      <c r="H2071" t="s">
        <v>2230</v>
      </c>
      <c r="I2071" t="s">
        <v>618</v>
      </c>
      <c r="J2071">
        <v>44</v>
      </c>
      <c r="K2071">
        <f>44-808-143-3684</f>
        <v>-4591</v>
      </c>
      <c r="L2071" t="s">
        <v>6433</v>
      </c>
      <c r="M2071" t="s">
        <v>6434</v>
      </c>
      <c r="N2071" t="s">
        <v>2475</v>
      </c>
      <c r="O2071" t="s">
        <v>28</v>
      </c>
      <c r="P2071" t="s">
        <v>24</v>
      </c>
      <c r="Q2071">
        <v>50</v>
      </c>
      <c r="R2071">
        <v>12.365</v>
      </c>
    </row>
    <row r="2072" spans="1:18" x14ac:dyDescent="0.2">
      <c r="A2072" t="s">
        <v>2225</v>
      </c>
      <c r="B2072" t="s">
        <v>2226</v>
      </c>
      <c r="C2072">
        <v>44</v>
      </c>
      <c r="D2072" s="1">
        <v>44004.638611111113</v>
      </c>
      <c r="E2072" t="s">
        <v>6435</v>
      </c>
      <c r="F2072" t="s">
        <v>2228</v>
      </c>
      <c r="G2072" t="s">
        <v>6432</v>
      </c>
      <c r="H2072" t="s">
        <v>2230</v>
      </c>
      <c r="I2072" t="s">
        <v>618</v>
      </c>
      <c r="J2072">
        <v>44</v>
      </c>
      <c r="K2072">
        <f>44-808-143-3686</f>
        <v>-4593</v>
      </c>
      <c r="L2072" t="s">
        <v>6436</v>
      </c>
      <c r="M2072" t="s">
        <v>6437</v>
      </c>
      <c r="N2072" t="s">
        <v>2475</v>
      </c>
      <c r="O2072" t="s">
        <v>28</v>
      </c>
      <c r="P2072" t="s">
        <v>24</v>
      </c>
      <c r="Q2072">
        <v>50</v>
      </c>
      <c r="R2072">
        <v>12.365</v>
      </c>
    </row>
    <row r="2073" spans="1:18" x14ac:dyDescent="0.2">
      <c r="A2073" t="s">
        <v>675</v>
      </c>
      <c r="B2073" t="s">
        <v>1412</v>
      </c>
      <c r="C2073">
        <v>1</v>
      </c>
      <c r="D2073" s="1">
        <v>44024.094965277778</v>
      </c>
      <c r="E2073" t="s">
        <v>6438</v>
      </c>
      <c r="F2073" t="s">
        <v>678</v>
      </c>
      <c r="G2073" t="s">
        <v>6439</v>
      </c>
      <c r="H2073" t="s">
        <v>680</v>
      </c>
      <c r="I2073" t="s">
        <v>29</v>
      </c>
      <c r="J2073">
        <v>1</v>
      </c>
      <c r="K2073">
        <f>1-888-928-1736</f>
        <v>-3551</v>
      </c>
      <c r="L2073" t="s">
        <v>6440</v>
      </c>
      <c r="M2073" t="s">
        <v>6441</v>
      </c>
      <c r="N2073" t="s">
        <v>1645</v>
      </c>
      <c r="O2073" t="s">
        <v>28</v>
      </c>
      <c r="P2073" t="s">
        <v>29</v>
      </c>
      <c r="Q2073">
        <v>41</v>
      </c>
      <c r="R2073">
        <v>-74.172399999999996</v>
      </c>
    </row>
    <row r="2074" spans="1:18" x14ac:dyDescent="0.2">
      <c r="A2074" t="s">
        <v>675</v>
      </c>
      <c r="B2074" t="s">
        <v>1412</v>
      </c>
      <c r="C2074">
        <v>1</v>
      </c>
      <c r="D2074" s="1">
        <v>44021.767280092594</v>
      </c>
      <c r="E2074" t="s">
        <v>6442</v>
      </c>
      <c r="F2074" t="s">
        <v>678</v>
      </c>
      <c r="G2074" t="s">
        <v>6439</v>
      </c>
      <c r="H2074" t="s">
        <v>680</v>
      </c>
      <c r="I2074" t="s">
        <v>29</v>
      </c>
      <c r="J2074">
        <v>1</v>
      </c>
      <c r="K2074">
        <f>1-844-508-33</f>
        <v>-1384</v>
      </c>
      <c r="L2074" t="s">
        <v>6443</v>
      </c>
      <c r="M2074" t="s">
        <v>6444</v>
      </c>
      <c r="N2074" t="s">
        <v>1645</v>
      </c>
      <c r="O2074" t="s">
        <v>28</v>
      </c>
      <c r="P2074" t="s">
        <v>29</v>
      </c>
      <c r="Q2074">
        <v>41</v>
      </c>
      <c r="R2074">
        <v>-74.172399999999996</v>
      </c>
    </row>
    <row r="2075" spans="1:18" x14ac:dyDescent="0.2">
      <c r="A2075" t="s">
        <v>675</v>
      </c>
      <c r="B2075" t="s">
        <v>1412</v>
      </c>
      <c r="C2075">
        <v>1</v>
      </c>
      <c r="D2075" s="1">
        <v>44019.833923611113</v>
      </c>
      <c r="E2075" t="s">
        <v>6445</v>
      </c>
      <c r="F2075" t="s">
        <v>678</v>
      </c>
      <c r="G2075" t="s">
        <v>6439</v>
      </c>
      <c r="H2075" t="s">
        <v>680</v>
      </c>
      <c r="I2075" t="s">
        <v>29</v>
      </c>
      <c r="J2075">
        <v>1</v>
      </c>
      <c r="K2075">
        <f>1-888-928-1736</f>
        <v>-3551</v>
      </c>
      <c r="L2075" t="s">
        <v>6446</v>
      </c>
      <c r="M2075" t="s">
        <v>6447</v>
      </c>
      <c r="N2075" t="s">
        <v>1645</v>
      </c>
      <c r="O2075" t="s">
        <v>28</v>
      </c>
      <c r="P2075" t="s">
        <v>29</v>
      </c>
      <c r="Q2075">
        <v>41</v>
      </c>
      <c r="R2075">
        <v>-74.172399999999996</v>
      </c>
    </row>
    <row r="2076" spans="1:18" x14ac:dyDescent="0.2">
      <c r="A2076" t="s">
        <v>675</v>
      </c>
      <c r="B2076" t="s">
        <v>1412</v>
      </c>
      <c r="C2076">
        <v>44</v>
      </c>
      <c r="D2076" s="1">
        <v>44004.638796296298</v>
      </c>
      <c r="E2076" t="s">
        <v>6448</v>
      </c>
      <c r="F2076" t="s">
        <v>678</v>
      </c>
      <c r="G2076" t="s">
        <v>6439</v>
      </c>
      <c r="H2076" t="s">
        <v>680</v>
      </c>
      <c r="I2076" t="s">
        <v>618</v>
      </c>
      <c r="J2076">
        <v>44</v>
      </c>
      <c r="K2076">
        <f>44-800-66-4120</f>
        <v>-4942</v>
      </c>
      <c r="L2076" t="s">
        <v>6449</v>
      </c>
      <c r="M2076" t="s">
        <v>6450</v>
      </c>
      <c r="N2076" t="s">
        <v>1645</v>
      </c>
      <c r="O2076" t="s">
        <v>28</v>
      </c>
      <c r="P2076" t="s">
        <v>29</v>
      </c>
      <c r="Q2076">
        <v>41</v>
      </c>
      <c r="R2076">
        <v>-74.172399999999996</v>
      </c>
    </row>
    <row r="2077" spans="1:18" x14ac:dyDescent="0.2">
      <c r="A2077" t="s">
        <v>663</v>
      </c>
      <c r="B2077" t="s">
        <v>3385</v>
      </c>
      <c r="C2077">
        <v>1</v>
      </c>
      <c r="D2077" s="1">
        <v>44004.837789351855</v>
      </c>
      <c r="E2077" t="s">
        <v>6451</v>
      </c>
      <c r="F2077" t="s">
        <v>666</v>
      </c>
      <c r="G2077" t="s">
        <v>6452</v>
      </c>
      <c r="H2077" t="s">
        <v>667</v>
      </c>
      <c r="I2077" t="s">
        <v>29</v>
      </c>
      <c r="J2077">
        <v>1</v>
      </c>
      <c r="K2077">
        <f>1-855-671-639</f>
        <v>-2164</v>
      </c>
      <c r="L2077" t="s">
        <v>6453</v>
      </c>
      <c r="M2077" t="s">
        <v>6454</v>
      </c>
      <c r="N2077" t="s">
        <v>1645</v>
      </c>
      <c r="O2077" t="s">
        <v>28</v>
      </c>
      <c r="P2077" t="s">
        <v>29</v>
      </c>
      <c r="Q2077">
        <v>41</v>
      </c>
      <c r="R2077">
        <v>-74.002899999999997</v>
      </c>
    </row>
    <row r="2078" spans="1:18" x14ac:dyDescent="0.2">
      <c r="A2078" t="s">
        <v>1200</v>
      </c>
      <c r="B2078" t="s">
        <v>2500</v>
      </c>
      <c r="C2078">
        <v>1</v>
      </c>
      <c r="D2078" s="1">
        <v>44014.367743055554</v>
      </c>
      <c r="E2078" t="s">
        <v>6455</v>
      </c>
      <c r="F2078" t="s">
        <v>1203</v>
      </c>
      <c r="G2078" t="s">
        <v>6456</v>
      </c>
      <c r="H2078" t="s">
        <v>1205</v>
      </c>
      <c r="I2078" t="s">
        <v>29</v>
      </c>
      <c r="J2078">
        <v>1</v>
      </c>
      <c r="K2078">
        <f>1-800-418-6901</f>
        <v>-8118</v>
      </c>
      <c r="L2078" t="s">
        <v>6457</v>
      </c>
      <c r="M2078" t="s">
        <v>6458</v>
      </c>
      <c r="N2078" t="s">
        <v>452</v>
      </c>
      <c r="O2078" t="s">
        <v>134</v>
      </c>
      <c r="P2078" t="s">
        <v>2500</v>
      </c>
      <c r="Q2078">
        <v>1</v>
      </c>
      <c r="R2078">
        <v>99.999999000000003</v>
      </c>
    </row>
    <row r="2079" spans="1:18" x14ac:dyDescent="0.2">
      <c r="A2079" t="s">
        <v>1200</v>
      </c>
      <c r="B2079" t="s">
        <v>2500</v>
      </c>
      <c r="C2079">
        <v>1</v>
      </c>
      <c r="D2079" s="1">
        <v>44012.915798611109</v>
      </c>
      <c r="E2079" t="s">
        <v>6459</v>
      </c>
      <c r="F2079" t="s">
        <v>1203</v>
      </c>
      <c r="G2079" t="s">
        <v>6456</v>
      </c>
      <c r="H2079" t="s">
        <v>1205</v>
      </c>
      <c r="I2079" t="s">
        <v>29</v>
      </c>
      <c r="J2079">
        <v>1</v>
      </c>
      <c r="K2079">
        <f>1-800-484-6713</f>
        <v>-7996</v>
      </c>
      <c r="L2079" t="s">
        <v>6460</v>
      </c>
      <c r="M2079" t="s">
        <v>6461</v>
      </c>
      <c r="N2079" t="s">
        <v>452</v>
      </c>
      <c r="O2079" t="s">
        <v>134</v>
      </c>
      <c r="P2079" t="s">
        <v>2500</v>
      </c>
      <c r="Q2079">
        <v>1</v>
      </c>
      <c r="R2079">
        <v>99.999999000000003</v>
      </c>
    </row>
    <row r="2080" spans="1:18" x14ac:dyDescent="0.2">
      <c r="A2080" t="s">
        <v>1200</v>
      </c>
      <c r="B2080" t="s">
        <v>2500</v>
      </c>
      <c r="C2080">
        <v>1</v>
      </c>
      <c r="D2080" s="1">
        <v>44009.78334490741</v>
      </c>
      <c r="E2080" t="s">
        <v>6462</v>
      </c>
      <c r="F2080" t="s">
        <v>1203</v>
      </c>
      <c r="G2080" t="s">
        <v>6456</v>
      </c>
      <c r="H2080" t="s">
        <v>1205</v>
      </c>
      <c r="I2080" t="s">
        <v>29</v>
      </c>
      <c r="J2080">
        <v>1</v>
      </c>
      <c r="K2080">
        <f>1-800-297-2140</f>
        <v>-3236</v>
      </c>
      <c r="L2080" t="s">
        <v>6463</v>
      </c>
      <c r="M2080" t="s">
        <v>6464</v>
      </c>
      <c r="N2080" t="s">
        <v>452</v>
      </c>
      <c r="O2080" t="s">
        <v>134</v>
      </c>
      <c r="P2080" t="s">
        <v>2500</v>
      </c>
      <c r="Q2080">
        <v>1</v>
      </c>
      <c r="R2080">
        <v>99.999999000000003</v>
      </c>
    </row>
    <row r="2081" spans="1:18" x14ac:dyDescent="0.2">
      <c r="A2081" t="s">
        <v>1200</v>
      </c>
      <c r="B2081" t="s">
        <v>2500</v>
      </c>
      <c r="C2081">
        <v>1</v>
      </c>
      <c r="D2081" s="1">
        <v>44005.112013888887</v>
      </c>
      <c r="E2081" t="s">
        <v>6465</v>
      </c>
      <c r="F2081" t="s">
        <v>1203</v>
      </c>
      <c r="G2081" t="s">
        <v>6456</v>
      </c>
      <c r="H2081" t="s">
        <v>1205</v>
      </c>
      <c r="I2081" t="s">
        <v>29</v>
      </c>
      <c r="J2081">
        <v>1</v>
      </c>
      <c r="K2081">
        <f>1-800-910-9881</f>
        <v>-11590</v>
      </c>
      <c r="L2081" t="s">
        <v>6466</v>
      </c>
      <c r="M2081" t="s">
        <v>6467</v>
      </c>
      <c r="N2081" t="s">
        <v>452</v>
      </c>
      <c r="O2081" t="s">
        <v>134</v>
      </c>
      <c r="P2081" t="s">
        <v>2500</v>
      </c>
      <c r="Q2081">
        <v>1</v>
      </c>
      <c r="R2081">
        <v>99.999999000000003</v>
      </c>
    </row>
    <row r="2082" spans="1:18" x14ac:dyDescent="0.2">
      <c r="A2082" t="s">
        <v>270</v>
      </c>
      <c r="B2082" t="s">
        <v>271</v>
      </c>
      <c r="C2082">
        <v>1</v>
      </c>
      <c r="D2082" s="1">
        <v>44005.81417824074</v>
      </c>
      <c r="E2082" t="s">
        <v>6468</v>
      </c>
      <c r="F2082" t="s">
        <v>273</v>
      </c>
      <c r="G2082" t="s">
        <v>6469</v>
      </c>
      <c r="H2082" t="s">
        <v>275</v>
      </c>
      <c r="I2082" t="s">
        <v>29</v>
      </c>
      <c r="J2082">
        <v>1</v>
      </c>
      <c r="K2082">
        <f>1-844-211-8924</f>
        <v>-9978</v>
      </c>
      <c r="L2082" t="s">
        <v>6470</v>
      </c>
      <c r="M2082" t="s">
        <v>6471</v>
      </c>
      <c r="N2082" t="s">
        <v>278</v>
      </c>
      <c r="O2082" t="s">
        <v>28</v>
      </c>
      <c r="P2082" t="s">
        <v>29</v>
      </c>
      <c r="Q2082">
        <v>42</v>
      </c>
      <c r="R2082">
        <v>-93.620800000000003</v>
      </c>
    </row>
    <row r="2083" spans="1:18" x14ac:dyDescent="0.2">
      <c r="A2083" t="s">
        <v>439</v>
      </c>
      <c r="B2083" t="s">
        <v>440</v>
      </c>
      <c r="C2083">
        <v>1</v>
      </c>
      <c r="D2083" s="1">
        <v>44005.817118055558</v>
      </c>
      <c r="E2083" t="s">
        <v>6472</v>
      </c>
      <c r="F2083" t="s">
        <v>442</v>
      </c>
      <c r="G2083" t="s">
        <v>6473</v>
      </c>
      <c r="H2083" t="s">
        <v>444</v>
      </c>
      <c r="I2083" t="s">
        <v>29</v>
      </c>
      <c r="J2083">
        <v>1</v>
      </c>
      <c r="K2083">
        <f>1-888-250-8779</f>
        <v>-9916</v>
      </c>
      <c r="L2083" t="s">
        <v>6474</v>
      </c>
      <c r="M2083" t="s">
        <v>6475</v>
      </c>
      <c r="N2083" t="s">
        <v>674</v>
      </c>
      <c r="O2083" t="s">
        <v>28</v>
      </c>
      <c r="P2083" t="s">
        <v>29</v>
      </c>
      <c r="Q2083">
        <v>39</v>
      </c>
      <c r="R2083">
        <v>-77.487399999999994</v>
      </c>
    </row>
    <row r="2084" spans="1:18" x14ac:dyDescent="0.2">
      <c r="A2084" t="s">
        <v>439</v>
      </c>
      <c r="B2084" t="s">
        <v>1412</v>
      </c>
      <c r="C2084">
        <v>1</v>
      </c>
      <c r="D2084" s="1">
        <v>44005.852939814817</v>
      </c>
      <c r="E2084" t="s">
        <v>6476</v>
      </c>
      <c r="F2084" t="s">
        <v>442</v>
      </c>
      <c r="G2084" t="s">
        <v>6477</v>
      </c>
      <c r="H2084" t="s">
        <v>444</v>
      </c>
      <c r="I2084" t="s">
        <v>29</v>
      </c>
      <c r="J2084">
        <v>1</v>
      </c>
      <c r="K2084">
        <f>1-833-706-1100</f>
        <v>-2638</v>
      </c>
      <c r="L2084" t="s">
        <v>6478</v>
      </c>
      <c r="M2084" t="s">
        <v>6479</v>
      </c>
      <c r="N2084" t="s">
        <v>452</v>
      </c>
      <c r="O2084" t="s">
        <v>28</v>
      </c>
      <c r="P2084" t="s">
        <v>29</v>
      </c>
      <c r="Q2084">
        <v>41</v>
      </c>
      <c r="R2084">
        <v>-74.172399999999996</v>
      </c>
    </row>
    <row r="2085" spans="1:18" x14ac:dyDescent="0.2">
      <c r="A2085" t="s">
        <v>663</v>
      </c>
      <c r="B2085" t="s">
        <v>454</v>
      </c>
      <c r="C2085">
        <v>1</v>
      </c>
      <c r="D2085" s="1">
        <v>44005.853495370371</v>
      </c>
      <c r="E2085" t="s">
        <v>6480</v>
      </c>
      <c r="F2085" t="s">
        <v>666</v>
      </c>
      <c r="G2085" t="s">
        <v>6480</v>
      </c>
      <c r="H2085" t="s">
        <v>667</v>
      </c>
      <c r="I2085" t="s">
        <v>29</v>
      </c>
      <c r="J2085">
        <v>1</v>
      </c>
      <c r="K2085">
        <f>1-833-746-8696</f>
        <v>-10274</v>
      </c>
      <c r="L2085" t="s">
        <v>6481</v>
      </c>
      <c r="M2085" t="s">
        <v>6482</v>
      </c>
      <c r="N2085">
        <v>115</v>
      </c>
      <c r="O2085" t="s">
        <v>134</v>
      </c>
      <c r="P2085" t="s">
        <v>461</v>
      </c>
      <c r="Q2085">
        <v>52</v>
      </c>
      <c r="R2085">
        <v>4.8975</v>
      </c>
    </row>
    <row r="2086" spans="1:18" x14ac:dyDescent="0.2">
      <c r="A2086" t="s">
        <v>439</v>
      </c>
      <c r="B2086" t="s">
        <v>440</v>
      </c>
      <c r="C2086">
        <v>1</v>
      </c>
      <c r="D2086" s="1">
        <v>44005.858437499999</v>
      </c>
      <c r="E2086" t="s">
        <v>6483</v>
      </c>
      <c r="F2086" t="s">
        <v>442</v>
      </c>
      <c r="G2086" t="s">
        <v>6484</v>
      </c>
      <c r="H2086" t="s">
        <v>444</v>
      </c>
      <c r="I2086" t="s">
        <v>29</v>
      </c>
      <c r="J2086">
        <v>1</v>
      </c>
      <c r="K2086">
        <f>1-888-406-9601</f>
        <v>-10894</v>
      </c>
      <c r="L2086" t="s">
        <v>6485</v>
      </c>
      <c r="M2086" t="s">
        <v>6486</v>
      </c>
      <c r="N2086" t="s">
        <v>36</v>
      </c>
      <c r="O2086" t="s">
        <v>28</v>
      </c>
      <c r="P2086" t="s">
        <v>29</v>
      </c>
      <c r="Q2086">
        <v>39</v>
      </c>
      <c r="R2086">
        <v>-77.487399999999994</v>
      </c>
    </row>
    <row r="2087" spans="1:18" x14ac:dyDescent="0.2">
      <c r="A2087" t="s">
        <v>439</v>
      </c>
      <c r="B2087" t="s">
        <v>4321</v>
      </c>
      <c r="C2087">
        <v>1</v>
      </c>
      <c r="D2087" s="1">
        <v>44005.904513888891</v>
      </c>
      <c r="E2087" t="s">
        <v>6483</v>
      </c>
      <c r="F2087" t="s">
        <v>442</v>
      </c>
      <c r="G2087" t="s">
        <v>6487</v>
      </c>
      <c r="H2087" t="s">
        <v>444</v>
      </c>
      <c r="I2087" t="s">
        <v>29</v>
      </c>
      <c r="J2087">
        <v>1</v>
      </c>
      <c r="K2087">
        <f>1-888-520-4375</f>
        <v>-5782</v>
      </c>
      <c r="L2087" t="s">
        <v>6488</v>
      </c>
      <c r="M2087" t="s">
        <v>6489</v>
      </c>
      <c r="N2087" t="s">
        <v>36</v>
      </c>
      <c r="O2087" t="s">
        <v>28</v>
      </c>
      <c r="P2087" t="s">
        <v>29</v>
      </c>
      <c r="Q2087">
        <v>42</v>
      </c>
      <c r="R2087">
        <v>-87.629800000000003</v>
      </c>
    </row>
    <row r="2088" spans="1:18" x14ac:dyDescent="0.2">
      <c r="A2088" t="s">
        <v>439</v>
      </c>
      <c r="B2088" t="s">
        <v>1412</v>
      </c>
      <c r="C2088">
        <v>1</v>
      </c>
      <c r="D2088" s="1">
        <v>44006.022106481483</v>
      </c>
      <c r="E2088" t="s">
        <v>6490</v>
      </c>
      <c r="F2088" t="s">
        <v>442</v>
      </c>
      <c r="G2088" t="s">
        <v>6491</v>
      </c>
      <c r="H2088" t="s">
        <v>444</v>
      </c>
      <c r="I2088" t="s">
        <v>29</v>
      </c>
      <c r="J2088">
        <v>1</v>
      </c>
      <c r="K2088">
        <f>1-888-335-363</f>
        <v>-1585</v>
      </c>
      <c r="L2088" t="s">
        <v>6492</v>
      </c>
      <c r="M2088" t="s">
        <v>6493</v>
      </c>
      <c r="N2088" t="s">
        <v>674</v>
      </c>
      <c r="O2088" t="s">
        <v>28</v>
      </c>
      <c r="P2088" t="s">
        <v>29</v>
      </c>
      <c r="Q2088">
        <v>41</v>
      </c>
      <c r="R2088">
        <v>-74.172399999999996</v>
      </c>
    </row>
    <row r="2089" spans="1:18" x14ac:dyDescent="0.2">
      <c r="A2089" t="s">
        <v>2349</v>
      </c>
      <c r="B2089" t="s">
        <v>4281</v>
      </c>
      <c r="C2089">
        <v>49</v>
      </c>
      <c r="D2089" s="1">
        <v>44006.459849537037</v>
      </c>
      <c r="E2089" t="s">
        <v>6494</v>
      </c>
      <c r="F2089" t="s">
        <v>4584</v>
      </c>
      <c r="G2089" t="s">
        <v>6494</v>
      </c>
      <c r="H2089" t="s">
        <v>2353</v>
      </c>
      <c r="I2089" t="s">
        <v>24</v>
      </c>
      <c r="J2089">
        <v>49</v>
      </c>
      <c r="K2089">
        <f>49-800-723-7181</f>
        <v>-8655</v>
      </c>
      <c r="L2089" t="s">
        <v>6495</v>
      </c>
      <c r="M2089" t="s">
        <v>6496</v>
      </c>
      <c r="N2089">
        <v>72</v>
      </c>
      <c r="O2089" t="s">
        <v>134</v>
      </c>
      <c r="P2089" t="s">
        <v>24</v>
      </c>
      <c r="Q2089">
        <v>50</v>
      </c>
      <c r="R2089">
        <v>8.7147000000000006</v>
      </c>
    </row>
    <row r="2090" spans="1:18" x14ac:dyDescent="0.2">
      <c r="A2090" t="s">
        <v>663</v>
      </c>
      <c r="B2090" t="s">
        <v>2500</v>
      </c>
      <c r="C2090">
        <v>81</v>
      </c>
      <c r="D2090" s="1">
        <v>44006.186249999999</v>
      </c>
      <c r="E2090" t="s">
        <v>6497</v>
      </c>
      <c r="F2090" t="s">
        <v>666</v>
      </c>
      <c r="G2090" t="s">
        <v>6497</v>
      </c>
      <c r="H2090" t="s">
        <v>667</v>
      </c>
      <c r="I2090" t="s">
        <v>53</v>
      </c>
      <c r="J2090">
        <v>81</v>
      </c>
      <c r="K2090">
        <f>81-50-5539-7636</f>
        <v>-13144</v>
      </c>
      <c r="L2090" t="s">
        <v>6498</v>
      </c>
      <c r="M2090" t="s">
        <v>6499</v>
      </c>
      <c r="N2090">
        <v>242</v>
      </c>
      <c r="O2090" t="s">
        <v>134</v>
      </c>
      <c r="P2090" t="s">
        <v>2500</v>
      </c>
      <c r="Q2090">
        <v>1</v>
      </c>
      <c r="R2090">
        <v>99.999999000000003</v>
      </c>
    </row>
    <row r="2091" spans="1:18" x14ac:dyDescent="0.2">
      <c r="A2091" t="s">
        <v>663</v>
      </c>
      <c r="B2091" t="s">
        <v>3385</v>
      </c>
      <c r="C2091">
        <v>1</v>
      </c>
      <c r="D2091" s="1">
        <v>44006.812025462961</v>
      </c>
      <c r="E2091" t="s">
        <v>6500</v>
      </c>
      <c r="F2091" t="s">
        <v>666</v>
      </c>
      <c r="G2091" t="s">
        <v>6501</v>
      </c>
      <c r="H2091" t="s">
        <v>667</v>
      </c>
      <c r="I2091" t="s">
        <v>29</v>
      </c>
      <c r="J2091">
        <v>1</v>
      </c>
      <c r="K2091">
        <f>1-855-671-781</f>
        <v>-2306</v>
      </c>
      <c r="L2091" t="s">
        <v>6502</v>
      </c>
      <c r="M2091" t="s">
        <v>6503</v>
      </c>
      <c r="N2091" t="s">
        <v>1645</v>
      </c>
      <c r="O2091" t="s">
        <v>28</v>
      </c>
      <c r="P2091" t="s">
        <v>29</v>
      </c>
      <c r="Q2091">
        <v>41</v>
      </c>
      <c r="R2091">
        <v>-74.002899999999997</v>
      </c>
    </row>
    <row r="2092" spans="1:18" x14ac:dyDescent="0.2">
      <c r="A2092" t="s">
        <v>1637</v>
      </c>
      <c r="B2092" t="s">
        <v>1638</v>
      </c>
      <c r="C2092">
        <v>1</v>
      </c>
      <c r="D2092" s="1">
        <v>44058.057013888887</v>
      </c>
      <c r="E2092" t="s">
        <v>6504</v>
      </c>
      <c r="F2092" t="s">
        <v>5753</v>
      </c>
      <c r="G2092" t="s">
        <v>6505</v>
      </c>
      <c r="H2092" t="s">
        <v>1642</v>
      </c>
      <c r="I2092" t="s">
        <v>29</v>
      </c>
      <c r="J2092">
        <v>1</v>
      </c>
      <c r="K2092">
        <f>1-888-405-8919</f>
        <v>-10211</v>
      </c>
      <c r="L2092" t="s">
        <v>6506</v>
      </c>
      <c r="M2092" t="s">
        <v>6507</v>
      </c>
      <c r="N2092" t="s">
        <v>1645</v>
      </c>
      <c r="O2092" t="s">
        <v>134</v>
      </c>
      <c r="P2092" t="s">
        <v>292</v>
      </c>
      <c r="Q2092">
        <v>49</v>
      </c>
      <c r="R2092">
        <v>2.32131</v>
      </c>
    </row>
    <row r="2093" spans="1:18" x14ac:dyDescent="0.2">
      <c r="A2093" t="s">
        <v>1637</v>
      </c>
      <c r="B2093" t="s">
        <v>1638</v>
      </c>
      <c r="C2093">
        <v>1</v>
      </c>
      <c r="D2093" s="1">
        <v>44058.056666666664</v>
      </c>
      <c r="E2093" t="s">
        <v>6508</v>
      </c>
      <c r="F2093" t="s">
        <v>5753</v>
      </c>
      <c r="G2093" t="s">
        <v>6505</v>
      </c>
      <c r="H2093" t="s">
        <v>1642</v>
      </c>
      <c r="I2093" t="s">
        <v>29</v>
      </c>
      <c r="J2093">
        <v>1</v>
      </c>
      <c r="K2093">
        <f>1-888-407-7870</f>
        <v>-9164</v>
      </c>
      <c r="L2093" t="s">
        <v>6509</v>
      </c>
      <c r="M2093" t="s">
        <v>6510</v>
      </c>
      <c r="N2093" t="s">
        <v>36</v>
      </c>
      <c r="O2093" t="s">
        <v>134</v>
      </c>
      <c r="P2093" t="s">
        <v>292</v>
      </c>
      <c r="Q2093">
        <v>49</v>
      </c>
      <c r="R2093">
        <v>2.32131</v>
      </c>
    </row>
    <row r="2094" spans="1:18" x14ac:dyDescent="0.2">
      <c r="A2094" t="s">
        <v>1637</v>
      </c>
      <c r="B2094" t="s">
        <v>1638</v>
      </c>
      <c r="C2094">
        <v>1</v>
      </c>
      <c r="D2094" s="1">
        <v>44058.056435185186</v>
      </c>
      <c r="E2094" t="s">
        <v>6511</v>
      </c>
      <c r="F2094" t="s">
        <v>5753</v>
      </c>
      <c r="G2094" t="s">
        <v>6505</v>
      </c>
      <c r="H2094" t="s">
        <v>1642</v>
      </c>
      <c r="I2094" t="s">
        <v>29</v>
      </c>
      <c r="J2094">
        <v>1</v>
      </c>
      <c r="K2094">
        <f>1-888-405-8919</f>
        <v>-10211</v>
      </c>
      <c r="L2094" t="s">
        <v>6512</v>
      </c>
      <c r="M2094" t="s">
        <v>6513</v>
      </c>
      <c r="N2094" t="s">
        <v>2475</v>
      </c>
      <c r="O2094" t="s">
        <v>134</v>
      </c>
      <c r="P2094" t="s">
        <v>292</v>
      </c>
      <c r="Q2094">
        <v>49</v>
      </c>
      <c r="R2094">
        <v>2.32131</v>
      </c>
    </row>
    <row r="2095" spans="1:18" x14ac:dyDescent="0.2">
      <c r="A2095" t="s">
        <v>1637</v>
      </c>
      <c r="B2095" t="s">
        <v>1638</v>
      </c>
      <c r="C2095">
        <v>1</v>
      </c>
      <c r="D2095" s="1">
        <v>44058.055983796294</v>
      </c>
      <c r="E2095" t="s">
        <v>6514</v>
      </c>
      <c r="F2095" t="s">
        <v>5753</v>
      </c>
      <c r="G2095" t="s">
        <v>6505</v>
      </c>
      <c r="H2095" t="s">
        <v>1642</v>
      </c>
      <c r="I2095" t="s">
        <v>29</v>
      </c>
      <c r="J2095">
        <v>1</v>
      </c>
      <c r="K2095">
        <f>1-888-405-8919</f>
        <v>-10211</v>
      </c>
      <c r="L2095" t="s">
        <v>6515</v>
      </c>
      <c r="M2095" t="s">
        <v>6516</v>
      </c>
      <c r="N2095" t="s">
        <v>36</v>
      </c>
      <c r="O2095" t="s">
        <v>134</v>
      </c>
      <c r="P2095" t="s">
        <v>292</v>
      </c>
      <c r="Q2095">
        <v>49</v>
      </c>
      <c r="R2095">
        <v>2.32131</v>
      </c>
    </row>
    <row r="2096" spans="1:18" x14ac:dyDescent="0.2">
      <c r="A2096" t="s">
        <v>1637</v>
      </c>
      <c r="B2096" t="s">
        <v>1638</v>
      </c>
      <c r="C2096">
        <v>1</v>
      </c>
      <c r="D2096" s="1">
        <v>44058.03533564815</v>
      </c>
      <c r="E2096" t="s">
        <v>6517</v>
      </c>
      <c r="F2096" t="s">
        <v>5753</v>
      </c>
      <c r="G2096" t="s">
        <v>6505</v>
      </c>
      <c r="H2096" t="s">
        <v>1642</v>
      </c>
      <c r="I2096" t="s">
        <v>29</v>
      </c>
      <c r="J2096">
        <v>1</v>
      </c>
      <c r="K2096">
        <f>1-888-901-9724</f>
        <v>-11512</v>
      </c>
      <c r="L2096" t="s">
        <v>6518</v>
      </c>
      <c r="M2096" t="s">
        <v>6519</v>
      </c>
      <c r="N2096" t="s">
        <v>36</v>
      </c>
      <c r="O2096" t="s">
        <v>134</v>
      </c>
      <c r="P2096" t="s">
        <v>292</v>
      </c>
      <c r="Q2096">
        <v>49</v>
      </c>
      <c r="R2096">
        <v>2.32131</v>
      </c>
    </row>
    <row r="2097" spans="1:18" x14ac:dyDescent="0.2">
      <c r="A2097" t="s">
        <v>1637</v>
      </c>
      <c r="B2097" t="s">
        <v>1638</v>
      </c>
      <c r="C2097">
        <v>1</v>
      </c>
      <c r="D2097" s="1">
        <v>44057.023668981485</v>
      </c>
      <c r="E2097" t="s">
        <v>6520</v>
      </c>
      <c r="F2097" t="s">
        <v>5753</v>
      </c>
      <c r="G2097" t="s">
        <v>6505</v>
      </c>
      <c r="H2097" t="s">
        <v>1642</v>
      </c>
      <c r="I2097" t="s">
        <v>29</v>
      </c>
      <c r="J2097">
        <v>1</v>
      </c>
      <c r="K2097">
        <f>1-888-405-8919</f>
        <v>-10211</v>
      </c>
      <c r="L2097" t="s">
        <v>6521</v>
      </c>
      <c r="M2097" t="s">
        <v>6522</v>
      </c>
      <c r="N2097" t="s">
        <v>452</v>
      </c>
      <c r="O2097" t="s">
        <v>134</v>
      </c>
      <c r="P2097" t="s">
        <v>292</v>
      </c>
      <c r="Q2097">
        <v>49</v>
      </c>
      <c r="R2097">
        <v>2.32131</v>
      </c>
    </row>
    <row r="2098" spans="1:18" x14ac:dyDescent="0.2">
      <c r="A2098" t="s">
        <v>1637</v>
      </c>
      <c r="B2098" t="s">
        <v>1638</v>
      </c>
      <c r="C2098">
        <v>1</v>
      </c>
      <c r="D2098" s="1">
        <v>44056.013055555559</v>
      </c>
      <c r="E2098" t="s">
        <v>6523</v>
      </c>
      <c r="F2098" t="s">
        <v>5753</v>
      </c>
      <c r="G2098" t="s">
        <v>6505</v>
      </c>
      <c r="H2098" t="s">
        <v>1642</v>
      </c>
      <c r="I2098" t="s">
        <v>29</v>
      </c>
      <c r="J2098">
        <v>1</v>
      </c>
      <c r="K2098">
        <f>1-888-407-7870</f>
        <v>-9164</v>
      </c>
      <c r="L2098" t="s">
        <v>6524</v>
      </c>
      <c r="M2098" t="s">
        <v>6525</v>
      </c>
      <c r="N2098" t="s">
        <v>2475</v>
      </c>
      <c r="O2098" t="s">
        <v>134</v>
      </c>
      <c r="P2098" t="s">
        <v>292</v>
      </c>
      <c r="Q2098">
        <v>49</v>
      </c>
      <c r="R2098">
        <v>2.32131</v>
      </c>
    </row>
    <row r="2099" spans="1:18" x14ac:dyDescent="0.2">
      <c r="A2099" t="s">
        <v>1637</v>
      </c>
      <c r="B2099" t="s">
        <v>1638</v>
      </c>
      <c r="C2099">
        <v>1</v>
      </c>
      <c r="D2099" s="1">
        <v>44043.105995370373</v>
      </c>
      <c r="E2099" t="s">
        <v>6526</v>
      </c>
      <c r="F2099" t="s">
        <v>5753</v>
      </c>
      <c r="G2099" t="s">
        <v>6505</v>
      </c>
      <c r="H2099" t="s">
        <v>1642</v>
      </c>
      <c r="I2099" t="s">
        <v>29</v>
      </c>
      <c r="J2099">
        <v>1</v>
      </c>
      <c r="K2099">
        <f>1-888-300-9035</f>
        <v>-10222</v>
      </c>
      <c r="L2099" t="s">
        <v>6527</v>
      </c>
      <c r="M2099" t="s">
        <v>6528</v>
      </c>
      <c r="N2099" t="s">
        <v>2475</v>
      </c>
      <c r="O2099" t="s">
        <v>134</v>
      </c>
      <c r="P2099" t="s">
        <v>292</v>
      </c>
      <c r="Q2099">
        <v>49</v>
      </c>
      <c r="R2099">
        <v>2.32131</v>
      </c>
    </row>
    <row r="2100" spans="1:18" x14ac:dyDescent="0.2">
      <c r="A2100" t="s">
        <v>1637</v>
      </c>
      <c r="B2100" t="s">
        <v>1638</v>
      </c>
      <c r="C2100">
        <v>1</v>
      </c>
      <c r="D2100" s="1">
        <v>44036.761006944442</v>
      </c>
      <c r="E2100" t="s">
        <v>6529</v>
      </c>
      <c r="F2100" t="s">
        <v>5753</v>
      </c>
      <c r="G2100" t="s">
        <v>6505</v>
      </c>
      <c r="H2100" t="s">
        <v>1642</v>
      </c>
      <c r="I2100" t="s">
        <v>29</v>
      </c>
      <c r="J2100">
        <v>1</v>
      </c>
      <c r="K2100">
        <f>1-888-856-2295</f>
        <v>-4038</v>
      </c>
      <c r="L2100" t="s">
        <v>6530</v>
      </c>
      <c r="M2100" t="s">
        <v>6531</v>
      </c>
      <c r="N2100" t="s">
        <v>1645</v>
      </c>
      <c r="O2100" t="s">
        <v>134</v>
      </c>
      <c r="P2100" t="s">
        <v>292</v>
      </c>
      <c r="Q2100">
        <v>49</v>
      </c>
      <c r="R2100">
        <v>2.32131</v>
      </c>
    </row>
    <row r="2101" spans="1:18" x14ac:dyDescent="0.2">
      <c r="A2101" t="s">
        <v>1637</v>
      </c>
      <c r="B2101" t="s">
        <v>1638</v>
      </c>
      <c r="C2101">
        <v>1</v>
      </c>
      <c r="D2101" s="1">
        <v>44036.622013888889</v>
      </c>
      <c r="E2101" t="s">
        <v>6532</v>
      </c>
      <c r="F2101" t="s">
        <v>5753</v>
      </c>
      <c r="G2101" t="s">
        <v>6505</v>
      </c>
      <c r="H2101" t="s">
        <v>1642</v>
      </c>
      <c r="I2101" t="s">
        <v>29</v>
      </c>
      <c r="J2101">
        <v>1</v>
      </c>
      <c r="K2101">
        <f>1-888-507-5344</f>
        <v>-6738</v>
      </c>
      <c r="L2101" t="s">
        <v>6533</v>
      </c>
      <c r="M2101" t="s">
        <v>6534</v>
      </c>
      <c r="N2101" t="s">
        <v>36</v>
      </c>
      <c r="O2101" t="s">
        <v>134</v>
      </c>
      <c r="P2101" t="s">
        <v>292</v>
      </c>
      <c r="Q2101">
        <v>49</v>
      </c>
      <c r="R2101">
        <v>2.32131</v>
      </c>
    </row>
    <row r="2102" spans="1:18" x14ac:dyDescent="0.2">
      <c r="A2102" t="s">
        <v>1637</v>
      </c>
      <c r="B2102" t="s">
        <v>1638</v>
      </c>
      <c r="C2102">
        <v>1</v>
      </c>
      <c r="D2102" s="1">
        <v>44035.828958333332</v>
      </c>
      <c r="E2102" t="s">
        <v>6535</v>
      </c>
      <c r="F2102" t="s">
        <v>5753</v>
      </c>
      <c r="G2102" t="s">
        <v>6505</v>
      </c>
      <c r="H2102" t="s">
        <v>1642</v>
      </c>
      <c r="I2102" t="s">
        <v>29</v>
      </c>
      <c r="J2102">
        <v>1</v>
      </c>
      <c r="K2102">
        <f>1-888-430-1457</f>
        <v>-2774</v>
      </c>
      <c r="L2102" t="s">
        <v>6536</v>
      </c>
      <c r="M2102" t="s">
        <v>6537</v>
      </c>
      <c r="N2102" t="s">
        <v>2475</v>
      </c>
      <c r="O2102" t="s">
        <v>134</v>
      </c>
      <c r="P2102" t="s">
        <v>292</v>
      </c>
      <c r="Q2102">
        <v>49</v>
      </c>
      <c r="R2102">
        <v>2.32131</v>
      </c>
    </row>
    <row r="2103" spans="1:18" x14ac:dyDescent="0.2">
      <c r="A2103" t="s">
        <v>1637</v>
      </c>
      <c r="B2103" t="s">
        <v>1638</v>
      </c>
      <c r="C2103">
        <v>1</v>
      </c>
      <c r="D2103" s="1">
        <v>44035.817361111112</v>
      </c>
      <c r="E2103" t="s">
        <v>6538</v>
      </c>
      <c r="F2103" t="s">
        <v>5753</v>
      </c>
      <c r="G2103" t="s">
        <v>6505</v>
      </c>
      <c r="H2103" t="s">
        <v>1642</v>
      </c>
      <c r="I2103" t="s">
        <v>29</v>
      </c>
      <c r="J2103">
        <v>1</v>
      </c>
      <c r="K2103">
        <f>1-888-659-972</f>
        <v>-2518</v>
      </c>
      <c r="L2103" t="s">
        <v>6539</v>
      </c>
      <c r="M2103" t="s">
        <v>6540</v>
      </c>
      <c r="N2103" t="s">
        <v>36</v>
      </c>
      <c r="O2103" t="s">
        <v>134</v>
      </c>
      <c r="P2103" t="s">
        <v>292</v>
      </c>
      <c r="Q2103">
        <v>49</v>
      </c>
      <c r="R2103">
        <v>2.32131</v>
      </c>
    </row>
    <row r="2104" spans="1:18" x14ac:dyDescent="0.2">
      <c r="A2104" t="s">
        <v>1637</v>
      </c>
      <c r="B2104" t="s">
        <v>1638</v>
      </c>
      <c r="C2104">
        <v>1</v>
      </c>
      <c r="D2104" s="1">
        <v>44035.037893518522</v>
      </c>
      <c r="E2104" t="s">
        <v>6541</v>
      </c>
      <c r="F2104" t="s">
        <v>5753</v>
      </c>
      <c r="G2104" t="s">
        <v>6505</v>
      </c>
      <c r="H2104" t="s">
        <v>1642</v>
      </c>
      <c r="I2104" t="s">
        <v>29</v>
      </c>
      <c r="J2104">
        <v>1</v>
      </c>
      <c r="K2104">
        <f>1-888-702-987</f>
        <v>-2576</v>
      </c>
      <c r="L2104" t="s">
        <v>6542</v>
      </c>
      <c r="M2104" t="s">
        <v>6543</v>
      </c>
      <c r="N2104" t="s">
        <v>1645</v>
      </c>
      <c r="O2104" t="s">
        <v>134</v>
      </c>
      <c r="P2104" t="s">
        <v>292</v>
      </c>
      <c r="Q2104">
        <v>49</v>
      </c>
      <c r="R2104">
        <v>2.32131</v>
      </c>
    </row>
    <row r="2105" spans="1:18" x14ac:dyDescent="0.2">
      <c r="A2105" t="s">
        <v>1637</v>
      </c>
      <c r="B2105" t="s">
        <v>1638</v>
      </c>
      <c r="C2105">
        <v>1</v>
      </c>
      <c r="D2105" s="1">
        <v>44035.004548611112</v>
      </c>
      <c r="E2105" t="s">
        <v>6544</v>
      </c>
      <c r="F2105" t="s">
        <v>5753</v>
      </c>
      <c r="G2105" t="s">
        <v>6505</v>
      </c>
      <c r="H2105" t="s">
        <v>1642</v>
      </c>
      <c r="I2105" t="s">
        <v>29</v>
      </c>
      <c r="J2105">
        <v>1</v>
      </c>
      <c r="K2105">
        <f>1-888-856-2295</f>
        <v>-4038</v>
      </c>
      <c r="L2105" t="s">
        <v>6545</v>
      </c>
      <c r="M2105" t="s">
        <v>6546</v>
      </c>
      <c r="N2105" t="s">
        <v>36</v>
      </c>
      <c r="O2105" t="s">
        <v>134</v>
      </c>
      <c r="P2105" t="s">
        <v>292</v>
      </c>
      <c r="Q2105">
        <v>49</v>
      </c>
      <c r="R2105">
        <v>2.32131</v>
      </c>
    </row>
    <row r="2106" spans="1:18" x14ac:dyDescent="0.2">
      <c r="A2106" t="s">
        <v>1637</v>
      </c>
      <c r="B2106" t="s">
        <v>1638</v>
      </c>
      <c r="C2106">
        <v>1</v>
      </c>
      <c r="D2106" s="1">
        <v>44034.801261574074</v>
      </c>
      <c r="E2106" t="s">
        <v>6547</v>
      </c>
      <c r="F2106" t="s">
        <v>5753</v>
      </c>
      <c r="G2106" t="s">
        <v>6505</v>
      </c>
      <c r="H2106" t="s">
        <v>1642</v>
      </c>
      <c r="I2106" t="s">
        <v>29</v>
      </c>
      <c r="J2106">
        <v>1</v>
      </c>
      <c r="K2106">
        <f>1-888-507-5344</f>
        <v>-6738</v>
      </c>
      <c r="L2106" t="s">
        <v>6548</v>
      </c>
      <c r="M2106" t="s">
        <v>6549</v>
      </c>
      <c r="N2106" t="s">
        <v>1645</v>
      </c>
      <c r="O2106" t="s">
        <v>134</v>
      </c>
      <c r="P2106" t="s">
        <v>292</v>
      </c>
      <c r="Q2106">
        <v>49</v>
      </c>
      <c r="R2106">
        <v>2.32131</v>
      </c>
    </row>
    <row r="2107" spans="1:18" x14ac:dyDescent="0.2">
      <c r="A2107" t="s">
        <v>1637</v>
      </c>
      <c r="B2107" t="s">
        <v>1638</v>
      </c>
      <c r="C2107">
        <v>1</v>
      </c>
      <c r="D2107" s="1">
        <v>44027.795891203707</v>
      </c>
      <c r="E2107" t="s">
        <v>6550</v>
      </c>
      <c r="F2107" t="s">
        <v>5753</v>
      </c>
      <c r="G2107" t="s">
        <v>6505</v>
      </c>
      <c r="H2107" t="s">
        <v>1642</v>
      </c>
      <c r="I2107" t="s">
        <v>29</v>
      </c>
      <c r="J2107">
        <v>1</v>
      </c>
      <c r="K2107">
        <f>1-888-864-1807</f>
        <v>-3558</v>
      </c>
      <c r="L2107" t="s">
        <v>6551</v>
      </c>
      <c r="M2107" t="s">
        <v>6552</v>
      </c>
      <c r="N2107" t="s">
        <v>2475</v>
      </c>
      <c r="O2107" t="s">
        <v>134</v>
      </c>
      <c r="P2107" t="s">
        <v>292</v>
      </c>
      <c r="Q2107">
        <v>49</v>
      </c>
      <c r="R2107">
        <v>2.32131</v>
      </c>
    </row>
    <row r="2108" spans="1:18" x14ac:dyDescent="0.2">
      <c r="A2108" t="s">
        <v>1637</v>
      </c>
      <c r="B2108" t="s">
        <v>1638</v>
      </c>
      <c r="C2108">
        <v>1</v>
      </c>
      <c r="D2108" s="1">
        <v>44026.857488425929</v>
      </c>
      <c r="E2108" t="s">
        <v>6553</v>
      </c>
      <c r="F2108" t="s">
        <v>5753</v>
      </c>
      <c r="G2108" t="s">
        <v>6505</v>
      </c>
      <c r="H2108" t="s">
        <v>1642</v>
      </c>
      <c r="I2108" t="s">
        <v>29</v>
      </c>
      <c r="J2108">
        <v>1</v>
      </c>
      <c r="K2108">
        <f>1-888-701-9736</f>
        <v>-11324</v>
      </c>
      <c r="L2108" t="s">
        <v>6554</v>
      </c>
      <c r="M2108" t="s">
        <v>6555</v>
      </c>
      <c r="N2108" t="s">
        <v>2475</v>
      </c>
      <c r="O2108" t="s">
        <v>134</v>
      </c>
      <c r="P2108" t="s">
        <v>292</v>
      </c>
      <c r="Q2108">
        <v>49</v>
      </c>
      <c r="R2108">
        <v>2.32131</v>
      </c>
    </row>
    <row r="2109" spans="1:18" x14ac:dyDescent="0.2">
      <c r="A2109" t="s">
        <v>1637</v>
      </c>
      <c r="B2109" t="s">
        <v>1638</v>
      </c>
      <c r="C2109">
        <v>1</v>
      </c>
      <c r="D2109" s="1">
        <v>44026.84952546296</v>
      </c>
      <c r="E2109" t="s">
        <v>6556</v>
      </c>
      <c r="F2109" t="s">
        <v>5753</v>
      </c>
      <c r="G2109" t="s">
        <v>6505</v>
      </c>
      <c r="H2109" t="s">
        <v>1642</v>
      </c>
      <c r="I2109" t="s">
        <v>29</v>
      </c>
      <c r="J2109">
        <v>1</v>
      </c>
      <c r="K2109">
        <f>1-888-701-9736</f>
        <v>-11324</v>
      </c>
      <c r="L2109" t="s">
        <v>6557</v>
      </c>
      <c r="M2109" t="s">
        <v>6558</v>
      </c>
      <c r="N2109" t="s">
        <v>36</v>
      </c>
      <c r="O2109" t="s">
        <v>134</v>
      </c>
      <c r="P2109" t="s">
        <v>292</v>
      </c>
      <c r="Q2109">
        <v>49</v>
      </c>
      <c r="R2109">
        <v>2.32131</v>
      </c>
    </row>
    <row r="2110" spans="1:18" x14ac:dyDescent="0.2">
      <c r="A2110" t="s">
        <v>1637</v>
      </c>
      <c r="B2110" t="s">
        <v>1638</v>
      </c>
      <c r="C2110">
        <v>1</v>
      </c>
      <c r="D2110" s="1">
        <v>44015.913715277777</v>
      </c>
      <c r="E2110" t="s">
        <v>6559</v>
      </c>
      <c r="F2110" t="s">
        <v>5753</v>
      </c>
      <c r="G2110" t="s">
        <v>6505</v>
      </c>
      <c r="H2110" t="s">
        <v>1642</v>
      </c>
      <c r="I2110" t="s">
        <v>29</v>
      </c>
      <c r="J2110">
        <v>1</v>
      </c>
      <c r="K2110">
        <f>1-888-603-9199</f>
        <v>-10689</v>
      </c>
      <c r="L2110" t="s">
        <v>6560</v>
      </c>
      <c r="M2110" t="s">
        <v>6561</v>
      </c>
      <c r="N2110" t="s">
        <v>1645</v>
      </c>
      <c r="O2110" t="s">
        <v>134</v>
      </c>
      <c r="P2110" t="s">
        <v>292</v>
      </c>
      <c r="Q2110">
        <v>49</v>
      </c>
      <c r="R2110">
        <v>2.32131</v>
      </c>
    </row>
    <row r="2111" spans="1:18" x14ac:dyDescent="0.2">
      <c r="A2111" t="s">
        <v>1637</v>
      </c>
      <c r="B2111" t="s">
        <v>1638</v>
      </c>
      <c r="C2111">
        <v>1</v>
      </c>
      <c r="D2111" s="1">
        <v>44014.941990740743</v>
      </c>
      <c r="E2111" t="s">
        <v>6562</v>
      </c>
      <c r="F2111" t="s">
        <v>5753</v>
      </c>
      <c r="G2111" t="s">
        <v>6505</v>
      </c>
      <c r="H2111" t="s">
        <v>1642</v>
      </c>
      <c r="I2111" t="s">
        <v>29</v>
      </c>
      <c r="J2111">
        <v>1</v>
      </c>
      <c r="K2111">
        <f>1-888-407-5029</f>
        <v>-6323</v>
      </c>
      <c r="L2111" t="s">
        <v>6563</v>
      </c>
      <c r="M2111" t="s">
        <v>6564</v>
      </c>
      <c r="N2111" t="s">
        <v>1645</v>
      </c>
      <c r="O2111" t="s">
        <v>134</v>
      </c>
      <c r="P2111" t="s">
        <v>292</v>
      </c>
      <c r="Q2111">
        <v>49</v>
      </c>
      <c r="R2111">
        <v>2.32131</v>
      </c>
    </row>
    <row r="2112" spans="1:18" x14ac:dyDescent="0.2">
      <c r="A2112" t="s">
        <v>1637</v>
      </c>
      <c r="B2112" t="s">
        <v>1638</v>
      </c>
      <c r="C2112">
        <v>1</v>
      </c>
      <c r="D2112" s="1">
        <v>44014.927291666667</v>
      </c>
      <c r="E2112" t="s">
        <v>6565</v>
      </c>
      <c r="F2112" t="s">
        <v>5753</v>
      </c>
      <c r="G2112" t="s">
        <v>6505</v>
      </c>
      <c r="H2112" t="s">
        <v>1642</v>
      </c>
      <c r="I2112" t="s">
        <v>29</v>
      </c>
      <c r="J2112">
        <v>1</v>
      </c>
      <c r="K2112">
        <f>1-888-471-8903</f>
        <v>-10261</v>
      </c>
      <c r="L2112" t="s">
        <v>6566</v>
      </c>
      <c r="M2112" t="s">
        <v>6567</v>
      </c>
      <c r="N2112" t="s">
        <v>36</v>
      </c>
      <c r="O2112" t="s">
        <v>134</v>
      </c>
      <c r="P2112" t="s">
        <v>292</v>
      </c>
      <c r="Q2112">
        <v>49</v>
      </c>
      <c r="R2112">
        <v>2.32131</v>
      </c>
    </row>
    <row r="2113" spans="1:18" x14ac:dyDescent="0.2">
      <c r="A2113" t="s">
        <v>1637</v>
      </c>
      <c r="B2113" t="s">
        <v>1638</v>
      </c>
      <c r="C2113">
        <v>1</v>
      </c>
      <c r="D2113" s="1">
        <v>44006.922152777777</v>
      </c>
      <c r="E2113" t="s">
        <v>6568</v>
      </c>
      <c r="F2113" t="s">
        <v>5753</v>
      </c>
      <c r="G2113" t="s">
        <v>6505</v>
      </c>
      <c r="H2113" t="s">
        <v>1642</v>
      </c>
      <c r="I2113" t="s">
        <v>29</v>
      </c>
      <c r="J2113">
        <v>1</v>
      </c>
      <c r="K2113">
        <f>1-888-594-5380</f>
        <v>-6861</v>
      </c>
      <c r="L2113" t="s">
        <v>6569</v>
      </c>
      <c r="M2113" t="s">
        <v>6570</v>
      </c>
      <c r="N2113" t="s">
        <v>1645</v>
      </c>
      <c r="O2113" t="s">
        <v>134</v>
      </c>
      <c r="P2113" t="s">
        <v>292</v>
      </c>
      <c r="Q2113">
        <v>49</v>
      </c>
      <c r="R2113">
        <v>2.32131</v>
      </c>
    </row>
    <row r="2114" spans="1:18" x14ac:dyDescent="0.2">
      <c r="A2114" t="s">
        <v>663</v>
      </c>
      <c r="B2114" t="s">
        <v>2500</v>
      </c>
      <c r="C2114">
        <v>81</v>
      </c>
      <c r="D2114" s="1">
        <v>44007.122025462966</v>
      </c>
      <c r="E2114" t="s">
        <v>6571</v>
      </c>
      <c r="F2114" t="s">
        <v>666</v>
      </c>
      <c r="G2114" t="s">
        <v>6571</v>
      </c>
      <c r="H2114" t="s">
        <v>667</v>
      </c>
      <c r="I2114" t="s">
        <v>53</v>
      </c>
      <c r="J2114">
        <v>81</v>
      </c>
      <c r="K2114">
        <f>81-50-5539-7636</f>
        <v>-13144</v>
      </c>
      <c r="L2114" t="s">
        <v>6572</v>
      </c>
      <c r="M2114" t="s">
        <v>6573</v>
      </c>
      <c r="N2114">
        <v>57</v>
      </c>
      <c r="O2114" t="s">
        <v>134</v>
      </c>
      <c r="P2114" t="s">
        <v>2500</v>
      </c>
      <c r="Q2114">
        <v>1</v>
      </c>
      <c r="R2114">
        <v>99.999999000000003</v>
      </c>
    </row>
    <row r="2115" spans="1:18" x14ac:dyDescent="0.2">
      <c r="A2115" t="s">
        <v>164</v>
      </c>
      <c r="B2115" t="s">
        <v>19</v>
      </c>
      <c r="C2115">
        <v>49</v>
      </c>
      <c r="D2115" s="1">
        <v>44008.494756944441</v>
      </c>
      <c r="E2115" t="s">
        <v>6574</v>
      </c>
      <c r="F2115" t="s">
        <v>6575</v>
      </c>
      <c r="G2115" t="s">
        <v>6576</v>
      </c>
      <c r="H2115" t="s">
        <v>466</v>
      </c>
      <c r="I2115" t="s">
        <v>24</v>
      </c>
      <c r="J2115">
        <v>49</v>
      </c>
      <c r="K2115">
        <f>49-421-3658-3158</f>
        <v>-7188</v>
      </c>
      <c r="L2115" t="s">
        <v>6577</v>
      </c>
      <c r="M2115" t="s">
        <v>6578</v>
      </c>
      <c r="N2115" t="s">
        <v>452</v>
      </c>
      <c r="O2115" t="s">
        <v>28</v>
      </c>
      <c r="P2115" t="s">
        <v>29</v>
      </c>
      <c r="Q2115">
        <v>30</v>
      </c>
      <c r="R2115">
        <v>-95.369799999999998</v>
      </c>
    </row>
    <row r="2116" spans="1:18" x14ac:dyDescent="0.2">
      <c r="A2116" t="s">
        <v>164</v>
      </c>
      <c r="B2116" t="s">
        <v>19</v>
      </c>
      <c r="C2116">
        <v>49</v>
      </c>
      <c r="D2116" s="1">
        <v>44007.506215277775</v>
      </c>
      <c r="E2116" t="s">
        <v>6579</v>
      </c>
      <c r="F2116" t="s">
        <v>6575</v>
      </c>
      <c r="G2116" t="s">
        <v>6576</v>
      </c>
      <c r="H2116" t="s">
        <v>466</v>
      </c>
      <c r="I2116" t="s">
        <v>24</v>
      </c>
      <c r="J2116">
        <v>49</v>
      </c>
      <c r="K2116">
        <f>49-421-3658-3158</f>
        <v>-7188</v>
      </c>
      <c r="L2116" t="s">
        <v>6580</v>
      </c>
      <c r="M2116" t="s">
        <v>6581</v>
      </c>
      <c r="N2116" t="s">
        <v>452</v>
      </c>
      <c r="O2116" t="s">
        <v>28</v>
      </c>
      <c r="P2116" t="s">
        <v>29</v>
      </c>
      <c r="Q2116">
        <v>30</v>
      </c>
      <c r="R2116">
        <v>-95.369799999999998</v>
      </c>
    </row>
    <row r="2117" spans="1:18" x14ac:dyDescent="0.2">
      <c r="A2117" t="s">
        <v>439</v>
      </c>
      <c r="B2117" t="s">
        <v>1412</v>
      </c>
      <c r="C2117">
        <v>1</v>
      </c>
      <c r="D2117" s="1">
        <v>44007.694699074076</v>
      </c>
      <c r="E2117" t="s">
        <v>6582</v>
      </c>
      <c r="F2117" t="s">
        <v>442</v>
      </c>
      <c r="G2117" t="s">
        <v>6583</v>
      </c>
      <c r="H2117" t="s">
        <v>444</v>
      </c>
      <c r="I2117" t="s">
        <v>29</v>
      </c>
      <c r="J2117">
        <v>1</v>
      </c>
      <c r="K2117">
        <f>1-833-314-2030</f>
        <v>-3176</v>
      </c>
      <c r="L2117" t="s">
        <v>6584</v>
      </c>
      <c r="M2117" t="s">
        <v>6585</v>
      </c>
      <c r="N2117" t="s">
        <v>674</v>
      </c>
      <c r="O2117" t="s">
        <v>28</v>
      </c>
      <c r="P2117" t="s">
        <v>29</v>
      </c>
      <c r="Q2117">
        <v>41</v>
      </c>
      <c r="R2117">
        <v>-74.172399999999996</v>
      </c>
    </row>
    <row r="2118" spans="1:18" x14ac:dyDescent="0.2">
      <c r="A2118" t="s">
        <v>6586</v>
      </c>
      <c r="B2118" t="s">
        <v>6134</v>
      </c>
      <c r="C2118">
        <v>1</v>
      </c>
      <c r="D2118" s="1">
        <v>44007.695509259262</v>
      </c>
      <c r="E2118" t="s">
        <v>6587</v>
      </c>
      <c r="F2118" t="s">
        <v>6588</v>
      </c>
      <c r="G2118" t="s">
        <v>6589</v>
      </c>
      <c r="H2118" t="s">
        <v>6590</v>
      </c>
      <c r="I2118" t="s">
        <v>29</v>
      </c>
      <c r="J2118">
        <v>1</v>
      </c>
      <c r="K2118">
        <f>1-833-503-337</f>
        <v>-1672</v>
      </c>
      <c r="L2118" t="s">
        <v>6591</v>
      </c>
      <c r="M2118" t="s">
        <v>6592</v>
      </c>
      <c r="N2118" t="s">
        <v>452</v>
      </c>
      <c r="O2118" t="s">
        <v>134</v>
      </c>
      <c r="P2118" t="s">
        <v>29</v>
      </c>
      <c r="Q2118">
        <v>33</v>
      </c>
      <c r="R2118">
        <v>-96.821700000000007</v>
      </c>
    </row>
    <row r="2119" spans="1:18" x14ac:dyDescent="0.2">
      <c r="A2119" t="s">
        <v>1200</v>
      </c>
      <c r="B2119" t="s">
        <v>1201</v>
      </c>
      <c r="C2119">
        <v>1</v>
      </c>
      <c r="D2119" s="1">
        <v>44049.855578703704</v>
      </c>
      <c r="E2119" t="s">
        <v>6593</v>
      </c>
      <c r="F2119" t="s">
        <v>1203</v>
      </c>
      <c r="G2119" t="s">
        <v>6594</v>
      </c>
      <c r="H2119" t="s">
        <v>1205</v>
      </c>
      <c r="I2119" t="s">
        <v>29</v>
      </c>
      <c r="J2119">
        <v>1</v>
      </c>
      <c r="K2119">
        <f>1-866-707-3465</f>
        <v>-5037</v>
      </c>
      <c r="L2119" t="s">
        <v>6595</v>
      </c>
      <c r="M2119" t="s">
        <v>6596</v>
      </c>
      <c r="N2119" t="s">
        <v>447</v>
      </c>
      <c r="O2119" t="s">
        <v>134</v>
      </c>
      <c r="P2119" t="s">
        <v>29</v>
      </c>
      <c r="Q2119">
        <v>34</v>
      </c>
      <c r="R2119">
        <v>-99.999999000000003</v>
      </c>
    </row>
    <row r="2120" spans="1:18" x14ac:dyDescent="0.2">
      <c r="A2120" t="s">
        <v>1200</v>
      </c>
      <c r="B2120" t="s">
        <v>1201</v>
      </c>
      <c r="C2120">
        <v>1</v>
      </c>
      <c r="D2120" s="1">
        <v>44047.785497685189</v>
      </c>
      <c r="E2120" t="s">
        <v>6597</v>
      </c>
      <c r="F2120" t="s">
        <v>1203</v>
      </c>
      <c r="G2120" t="s">
        <v>6594</v>
      </c>
      <c r="H2120" t="s">
        <v>1205</v>
      </c>
      <c r="I2120" t="s">
        <v>29</v>
      </c>
      <c r="J2120">
        <v>1</v>
      </c>
      <c r="K2120">
        <f>1-866-589-6389</f>
        <v>-7843</v>
      </c>
      <c r="L2120" t="s">
        <v>6598</v>
      </c>
      <c r="M2120" t="s">
        <v>6599</v>
      </c>
      <c r="N2120" t="s">
        <v>674</v>
      </c>
      <c r="O2120" t="s">
        <v>134</v>
      </c>
      <c r="P2120" t="s">
        <v>29</v>
      </c>
      <c r="Q2120">
        <v>34</v>
      </c>
      <c r="R2120">
        <v>-99.999999000000003</v>
      </c>
    </row>
    <row r="2121" spans="1:18" x14ac:dyDescent="0.2">
      <c r="A2121" t="s">
        <v>1200</v>
      </c>
      <c r="B2121" t="s">
        <v>1201</v>
      </c>
      <c r="C2121">
        <v>44</v>
      </c>
      <c r="D2121" s="1">
        <v>44043.587222222224</v>
      </c>
      <c r="E2121" t="s">
        <v>6600</v>
      </c>
      <c r="F2121" t="s">
        <v>1203</v>
      </c>
      <c r="G2121" t="s">
        <v>6594</v>
      </c>
      <c r="H2121" t="s">
        <v>1205</v>
      </c>
      <c r="I2121" t="s">
        <v>618</v>
      </c>
      <c r="J2121">
        <v>44</v>
      </c>
      <c r="K2121">
        <f>44-808-196-8124</f>
        <v>-9084</v>
      </c>
      <c r="L2121" t="s">
        <v>6601</v>
      </c>
      <c r="M2121" t="s">
        <v>6602</v>
      </c>
      <c r="N2121" t="s">
        <v>674</v>
      </c>
      <c r="O2121" t="s">
        <v>134</v>
      </c>
      <c r="P2121" t="s">
        <v>29</v>
      </c>
      <c r="Q2121">
        <v>34</v>
      </c>
      <c r="R2121">
        <v>-99.999999000000003</v>
      </c>
    </row>
    <row r="2122" spans="1:18" x14ac:dyDescent="0.2">
      <c r="A2122" t="s">
        <v>1200</v>
      </c>
      <c r="B2122" t="s">
        <v>1201</v>
      </c>
      <c r="C2122">
        <v>1</v>
      </c>
      <c r="D2122" s="1">
        <v>44027.782627314817</v>
      </c>
      <c r="E2122" t="s">
        <v>6603</v>
      </c>
      <c r="F2122" t="s">
        <v>1203</v>
      </c>
      <c r="G2122" t="s">
        <v>6594</v>
      </c>
      <c r="H2122" t="s">
        <v>1205</v>
      </c>
      <c r="I2122" t="s">
        <v>29</v>
      </c>
      <c r="J2122">
        <v>1</v>
      </c>
      <c r="K2122">
        <f>1-888-537-1837</f>
        <v>-3261</v>
      </c>
      <c r="L2122" t="s">
        <v>6604</v>
      </c>
      <c r="M2122" t="s">
        <v>6605</v>
      </c>
      <c r="N2122" t="s">
        <v>674</v>
      </c>
      <c r="O2122" t="s">
        <v>134</v>
      </c>
      <c r="P2122" t="s">
        <v>29</v>
      </c>
      <c r="Q2122">
        <v>34</v>
      </c>
      <c r="R2122">
        <v>-99.999999000000003</v>
      </c>
    </row>
    <row r="2123" spans="1:18" x14ac:dyDescent="0.2">
      <c r="A2123" t="s">
        <v>1200</v>
      </c>
      <c r="B2123" t="s">
        <v>1201</v>
      </c>
      <c r="C2123">
        <v>1</v>
      </c>
      <c r="D2123" s="1">
        <v>44026.93582175926</v>
      </c>
      <c r="E2123" t="s">
        <v>6606</v>
      </c>
      <c r="F2123" t="s">
        <v>1203</v>
      </c>
      <c r="G2123" t="s">
        <v>6594</v>
      </c>
      <c r="H2123" t="s">
        <v>1205</v>
      </c>
      <c r="I2123" t="s">
        <v>29</v>
      </c>
      <c r="J2123">
        <v>1</v>
      </c>
      <c r="K2123">
        <f>1-888-537-1837</f>
        <v>-3261</v>
      </c>
      <c r="L2123" t="s">
        <v>6607</v>
      </c>
      <c r="M2123" t="s">
        <v>6608</v>
      </c>
      <c r="N2123" t="s">
        <v>674</v>
      </c>
      <c r="O2123" t="s">
        <v>134</v>
      </c>
      <c r="P2123" t="s">
        <v>29</v>
      </c>
      <c r="Q2123">
        <v>34</v>
      </c>
      <c r="R2123">
        <v>-99.999999000000003</v>
      </c>
    </row>
    <row r="2124" spans="1:18" x14ac:dyDescent="0.2">
      <c r="A2124" t="s">
        <v>1200</v>
      </c>
      <c r="B2124" t="s">
        <v>1201</v>
      </c>
      <c r="C2124">
        <v>1</v>
      </c>
      <c r="D2124" s="1">
        <v>44021.785624999997</v>
      </c>
      <c r="E2124" t="s">
        <v>6606</v>
      </c>
      <c r="F2124" t="s">
        <v>1203</v>
      </c>
      <c r="G2124" t="s">
        <v>6594</v>
      </c>
      <c r="H2124" t="s">
        <v>1205</v>
      </c>
      <c r="I2124" t="s">
        <v>29</v>
      </c>
      <c r="J2124">
        <v>1</v>
      </c>
      <c r="K2124">
        <f>1-833-427-9179</f>
        <v>-10438</v>
      </c>
      <c r="L2124" t="s">
        <v>6609</v>
      </c>
      <c r="M2124" t="s">
        <v>6610</v>
      </c>
      <c r="N2124" t="s">
        <v>674</v>
      </c>
      <c r="O2124" t="s">
        <v>134</v>
      </c>
      <c r="P2124" t="s">
        <v>29</v>
      </c>
      <c r="Q2124">
        <v>34</v>
      </c>
      <c r="R2124">
        <v>-99.999999000000003</v>
      </c>
    </row>
    <row r="2125" spans="1:18" x14ac:dyDescent="0.2">
      <c r="A2125" t="s">
        <v>1200</v>
      </c>
      <c r="B2125" t="s">
        <v>1201</v>
      </c>
      <c r="C2125">
        <v>1</v>
      </c>
      <c r="D2125" s="1">
        <v>44020.808993055558</v>
      </c>
      <c r="E2125" t="s">
        <v>6611</v>
      </c>
      <c r="F2125" t="s">
        <v>1203</v>
      </c>
      <c r="G2125" t="s">
        <v>6594</v>
      </c>
      <c r="H2125" t="s">
        <v>1205</v>
      </c>
      <c r="I2125" t="s">
        <v>29</v>
      </c>
      <c r="J2125">
        <v>1</v>
      </c>
      <c r="K2125">
        <f>1-833-427-9179</f>
        <v>-10438</v>
      </c>
      <c r="L2125" t="s">
        <v>6612</v>
      </c>
      <c r="M2125" t="s">
        <v>6613</v>
      </c>
      <c r="N2125" t="s">
        <v>674</v>
      </c>
      <c r="O2125" t="s">
        <v>134</v>
      </c>
      <c r="P2125" t="s">
        <v>29</v>
      </c>
      <c r="Q2125">
        <v>34</v>
      </c>
      <c r="R2125">
        <v>-99.999999000000003</v>
      </c>
    </row>
    <row r="2126" spans="1:18" x14ac:dyDescent="0.2">
      <c r="A2126" t="s">
        <v>1200</v>
      </c>
      <c r="B2126" t="s">
        <v>1201</v>
      </c>
      <c r="C2126">
        <v>1</v>
      </c>
      <c r="D2126" s="1">
        <v>44007.767430555556</v>
      </c>
      <c r="E2126" t="s">
        <v>6614</v>
      </c>
      <c r="F2126" t="s">
        <v>1203</v>
      </c>
      <c r="G2126" t="s">
        <v>6594</v>
      </c>
      <c r="H2126" t="s">
        <v>1205</v>
      </c>
      <c r="I2126" t="s">
        <v>29</v>
      </c>
      <c r="J2126">
        <v>1</v>
      </c>
      <c r="K2126">
        <f>1-888-513-3930</f>
        <v>-5330</v>
      </c>
      <c r="L2126" t="s">
        <v>6615</v>
      </c>
      <c r="M2126" t="s">
        <v>6616</v>
      </c>
      <c r="N2126" t="s">
        <v>36</v>
      </c>
      <c r="O2126" t="s">
        <v>134</v>
      </c>
      <c r="P2126" t="s">
        <v>29</v>
      </c>
      <c r="Q2126">
        <v>34</v>
      </c>
      <c r="R2126">
        <v>-99.999999000000003</v>
      </c>
    </row>
    <row r="2127" spans="1:18" x14ac:dyDescent="0.2">
      <c r="A2127" t="s">
        <v>2233</v>
      </c>
      <c r="B2127" t="s">
        <v>4281</v>
      </c>
      <c r="C2127">
        <v>39</v>
      </c>
      <c r="D2127" s="1">
        <v>44007.77070601852</v>
      </c>
      <c r="E2127" t="s">
        <v>6617</v>
      </c>
      <c r="F2127" t="s">
        <v>6618</v>
      </c>
      <c r="G2127" t="s">
        <v>6619</v>
      </c>
      <c r="H2127" t="s">
        <v>2237</v>
      </c>
      <c r="I2127" t="s">
        <v>6404</v>
      </c>
      <c r="J2127">
        <v>39</v>
      </c>
      <c r="K2127">
        <f>39-6-8350-29</f>
        <v>-8346</v>
      </c>
      <c r="L2127" t="s">
        <v>6620</v>
      </c>
      <c r="M2127" t="s">
        <v>6621</v>
      </c>
      <c r="N2127" t="s">
        <v>278</v>
      </c>
      <c r="O2127" t="s">
        <v>28</v>
      </c>
      <c r="P2127" t="s">
        <v>24</v>
      </c>
      <c r="Q2127">
        <v>50</v>
      </c>
      <c r="R2127">
        <v>8.6821300000000008</v>
      </c>
    </row>
    <row r="2128" spans="1:18" x14ac:dyDescent="0.2">
      <c r="A2128" t="s">
        <v>1200</v>
      </c>
      <c r="B2128" t="s">
        <v>2500</v>
      </c>
      <c r="C2128">
        <v>1</v>
      </c>
      <c r="D2128" s="1">
        <v>44007.775891203702</v>
      </c>
      <c r="E2128" t="s">
        <v>6622</v>
      </c>
      <c r="F2128" t="s">
        <v>1203</v>
      </c>
      <c r="G2128" t="s">
        <v>6623</v>
      </c>
      <c r="H2128" t="s">
        <v>1205</v>
      </c>
      <c r="I2128" t="s">
        <v>29</v>
      </c>
      <c r="J2128">
        <v>1</v>
      </c>
      <c r="K2128">
        <f>1-855-224-6374</f>
        <v>-7452</v>
      </c>
      <c r="L2128" t="s">
        <v>6624</v>
      </c>
      <c r="M2128" t="s">
        <v>6625</v>
      </c>
      <c r="N2128" t="s">
        <v>452</v>
      </c>
      <c r="O2128" t="s">
        <v>134</v>
      </c>
      <c r="P2128" t="s">
        <v>2500</v>
      </c>
      <c r="Q2128">
        <v>1</v>
      </c>
      <c r="R2128">
        <v>99.999999000000003</v>
      </c>
    </row>
    <row r="2129" spans="1:18" x14ac:dyDescent="0.2">
      <c r="A2129" t="s">
        <v>675</v>
      </c>
      <c r="B2129" t="s">
        <v>676</v>
      </c>
      <c r="C2129">
        <v>1</v>
      </c>
      <c r="D2129" s="1">
        <v>44008.015648148146</v>
      </c>
      <c r="E2129" t="s">
        <v>6626</v>
      </c>
      <c r="F2129" t="s">
        <v>678</v>
      </c>
      <c r="G2129" t="s">
        <v>6627</v>
      </c>
      <c r="H2129" t="s">
        <v>680</v>
      </c>
      <c r="I2129" t="s">
        <v>29</v>
      </c>
      <c r="J2129">
        <v>1</v>
      </c>
      <c r="K2129">
        <f>1-888-880-3522</f>
        <v>-5289</v>
      </c>
      <c r="L2129" t="s">
        <v>6628</v>
      </c>
      <c r="M2129" t="s">
        <v>6629</v>
      </c>
      <c r="N2129" t="s">
        <v>452</v>
      </c>
      <c r="O2129" t="s">
        <v>28</v>
      </c>
      <c r="P2129" t="s">
        <v>29</v>
      </c>
      <c r="Q2129">
        <v>33</v>
      </c>
      <c r="R2129">
        <v>-99.999999000000003</v>
      </c>
    </row>
    <row r="2130" spans="1:18" x14ac:dyDescent="0.2">
      <c r="A2130" t="s">
        <v>1637</v>
      </c>
      <c r="B2130" t="s">
        <v>5740</v>
      </c>
      <c r="C2130">
        <v>1</v>
      </c>
      <c r="D2130" s="1">
        <v>44117.833032407405</v>
      </c>
      <c r="E2130" t="s">
        <v>6630</v>
      </c>
      <c r="F2130" t="s">
        <v>5753</v>
      </c>
      <c r="G2130" t="s">
        <v>6631</v>
      </c>
      <c r="H2130" t="s">
        <v>1642</v>
      </c>
      <c r="I2130" t="s">
        <v>29</v>
      </c>
      <c r="J2130">
        <v>1</v>
      </c>
      <c r="K2130">
        <f>1-888-406-2528</f>
        <v>-3821</v>
      </c>
      <c r="L2130" t="s">
        <v>6632</v>
      </c>
      <c r="M2130" t="s">
        <v>6633</v>
      </c>
      <c r="N2130" t="s">
        <v>452</v>
      </c>
      <c r="O2130" t="s">
        <v>134</v>
      </c>
      <c r="P2130" t="s">
        <v>292</v>
      </c>
      <c r="Q2130">
        <v>49</v>
      </c>
      <c r="R2130">
        <v>2.3985099999999999</v>
      </c>
    </row>
    <row r="2131" spans="1:18" x14ac:dyDescent="0.2">
      <c r="A2131" t="s">
        <v>1637</v>
      </c>
      <c r="B2131" t="s">
        <v>5740</v>
      </c>
      <c r="C2131">
        <v>1</v>
      </c>
      <c r="D2131" s="1">
        <v>44117.806793981479</v>
      </c>
      <c r="E2131" t="s">
        <v>6630</v>
      </c>
      <c r="F2131" t="s">
        <v>5753</v>
      </c>
      <c r="G2131" t="s">
        <v>6631</v>
      </c>
      <c r="H2131" t="s">
        <v>1642</v>
      </c>
      <c r="I2131" t="s">
        <v>29</v>
      </c>
      <c r="J2131">
        <v>1</v>
      </c>
      <c r="K2131">
        <f>1-888-654-735</f>
        <v>-2276</v>
      </c>
      <c r="L2131" t="s">
        <v>6634</v>
      </c>
      <c r="M2131" t="s">
        <v>6635</v>
      </c>
      <c r="N2131" t="s">
        <v>452</v>
      </c>
      <c r="O2131" t="s">
        <v>134</v>
      </c>
      <c r="P2131" t="s">
        <v>292</v>
      </c>
      <c r="Q2131">
        <v>49</v>
      </c>
      <c r="R2131">
        <v>2.3985099999999999</v>
      </c>
    </row>
    <row r="2132" spans="1:18" x14ac:dyDescent="0.2">
      <c r="A2132" t="s">
        <v>1637</v>
      </c>
      <c r="B2132" t="s">
        <v>5740</v>
      </c>
      <c r="C2132">
        <v>1</v>
      </c>
      <c r="D2132" s="1">
        <v>44067.449965277781</v>
      </c>
      <c r="E2132" t="s">
        <v>6636</v>
      </c>
      <c r="F2132" t="s">
        <v>5753</v>
      </c>
      <c r="G2132" t="s">
        <v>6631</v>
      </c>
      <c r="H2132" t="s">
        <v>1642</v>
      </c>
      <c r="I2132" t="s">
        <v>29</v>
      </c>
      <c r="J2132">
        <v>1</v>
      </c>
      <c r="K2132">
        <f>1-888-703-1660</f>
        <v>-3250</v>
      </c>
      <c r="L2132" t="s">
        <v>6637</v>
      </c>
      <c r="M2132" t="s">
        <v>6638</v>
      </c>
      <c r="N2132" t="s">
        <v>1645</v>
      </c>
      <c r="O2132" t="s">
        <v>134</v>
      </c>
      <c r="P2132" t="s">
        <v>292</v>
      </c>
      <c r="Q2132">
        <v>49</v>
      </c>
      <c r="R2132">
        <v>2.3985099999999999</v>
      </c>
    </row>
    <row r="2133" spans="1:18" x14ac:dyDescent="0.2">
      <c r="A2133" t="s">
        <v>1637</v>
      </c>
      <c r="B2133" t="s">
        <v>5740</v>
      </c>
      <c r="C2133">
        <v>1</v>
      </c>
      <c r="D2133" s="1">
        <v>44066.88925925926</v>
      </c>
      <c r="E2133" t="s">
        <v>6639</v>
      </c>
      <c r="F2133" t="s">
        <v>5753</v>
      </c>
      <c r="G2133" t="s">
        <v>6631</v>
      </c>
      <c r="H2133" t="s">
        <v>1642</v>
      </c>
      <c r="I2133" t="s">
        <v>29</v>
      </c>
      <c r="J2133">
        <v>1</v>
      </c>
      <c r="K2133">
        <f>1-888-407-2892</f>
        <v>-4186</v>
      </c>
      <c r="L2133" t="s">
        <v>6640</v>
      </c>
      <c r="M2133" t="s">
        <v>6641</v>
      </c>
      <c r="N2133" t="s">
        <v>452</v>
      </c>
      <c r="O2133" t="s">
        <v>134</v>
      </c>
      <c r="P2133" t="s">
        <v>292</v>
      </c>
      <c r="Q2133">
        <v>49</v>
      </c>
      <c r="R2133">
        <v>2.3985099999999999</v>
      </c>
    </row>
    <row r="2134" spans="1:18" x14ac:dyDescent="0.2">
      <c r="A2134" t="s">
        <v>1637</v>
      </c>
      <c r="B2134" t="s">
        <v>5740</v>
      </c>
      <c r="C2134">
        <v>1</v>
      </c>
      <c r="D2134" s="1">
        <v>44066.0002662037</v>
      </c>
      <c r="E2134" t="s">
        <v>6642</v>
      </c>
      <c r="F2134" t="s">
        <v>5753</v>
      </c>
      <c r="G2134" t="s">
        <v>6631</v>
      </c>
      <c r="H2134" t="s">
        <v>1642</v>
      </c>
      <c r="I2134" t="s">
        <v>29</v>
      </c>
      <c r="J2134">
        <v>1</v>
      </c>
      <c r="K2134">
        <f>1-888-407-5724</f>
        <v>-7018</v>
      </c>
      <c r="L2134" t="s">
        <v>6643</v>
      </c>
      <c r="M2134" t="s">
        <v>6644</v>
      </c>
      <c r="N2134" t="s">
        <v>36</v>
      </c>
      <c r="O2134" t="s">
        <v>134</v>
      </c>
      <c r="P2134" t="s">
        <v>292</v>
      </c>
      <c r="Q2134">
        <v>49</v>
      </c>
      <c r="R2134">
        <v>2.3985099999999999</v>
      </c>
    </row>
    <row r="2135" spans="1:18" x14ac:dyDescent="0.2">
      <c r="A2135" t="s">
        <v>1637</v>
      </c>
      <c r="B2135" t="s">
        <v>5740</v>
      </c>
      <c r="C2135">
        <v>1</v>
      </c>
      <c r="D2135" s="1">
        <v>44008.105694444443</v>
      </c>
      <c r="E2135" t="s">
        <v>6645</v>
      </c>
      <c r="F2135" t="s">
        <v>5753</v>
      </c>
      <c r="G2135" t="s">
        <v>6631</v>
      </c>
      <c r="H2135" t="s">
        <v>1642</v>
      </c>
      <c r="I2135" t="s">
        <v>29</v>
      </c>
      <c r="J2135">
        <v>1</v>
      </c>
      <c r="K2135">
        <f>1-888-806-6268</f>
        <v>-7961</v>
      </c>
      <c r="L2135" t="s">
        <v>6646</v>
      </c>
      <c r="M2135" t="s">
        <v>6647</v>
      </c>
      <c r="N2135" t="s">
        <v>1645</v>
      </c>
      <c r="O2135" t="s">
        <v>134</v>
      </c>
      <c r="P2135" t="s">
        <v>292</v>
      </c>
      <c r="Q2135">
        <v>49</v>
      </c>
      <c r="R2135">
        <v>2.3985099999999999</v>
      </c>
    </row>
    <row r="2136" spans="1:18" x14ac:dyDescent="0.2">
      <c r="A2136" t="s">
        <v>439</v>
      </c>
      <c r="B2136" t="s">
        <v>440</v>
      </c>
      <c r="C2136">
        <v>1</v>
      </c>
      <c r="D2136" s="1">
        <v>44010.106481481482</v>
      </c>
      <c r="E2136" t="s">
        <v>6648</v>
      </c>
      <c r="F2136" t="s">
        <v>442</v>
      </c>
      <c r="G2136" t="s">
        <v>6649</v>
      </c>
      <c r="H2136" t="s">
        <v>444</v>
      </c>
      <c r="I2136" t="s">
        <v>29</v>
      </c>
      <c r="J2136">
        <v>1</v>
      </c>
      <c r="K2136">
        <f>1-866-303-3729</f>
        <v>-4897</v>
      </c>
      <c r="L2136" t="s">
        <v>6650</v>
      </c>
      <c r="M2136" t="s">
        <v>6651</v>
      </c>
      <c r="N2136" t="s">
        <v>674</v>
      </c>
      <c r="O2136" t="s">
        <v>28</v>
      </c>
      <c r="P2136" t="s">
        <v>29</v>
      </c>
      <c r="Q2136">
        <v>39</v>
      </c>
      <c r="R2136">
        <v>-77.487399999999994</v>
      </c>
    </row>
    <row r="2137" spans="1:18" x14ac:dyDescent="0.2">
      <c r="A2137" t="s">
        <v>2233</v>
      </c>
      <c r="B2137" t="s">
        <v>4281</v>
      </c>
      <c r="C2137">
        <v>39</v>
      </c>
      <c r="D2137" s="1">
        <v>44011.792557870373</v>
      </c>
      <c r="E2137" t="s">
        <v>6652</v>
      </c>
      <c r="F2137" t="s">
        <v>2236</v>
      </c>
      <c r="G2137" t="s">
        <v>6653</v>
      </c>
      <c r="H2137" t="s">
        <v>2237</v>
      </c>
      <c r="I2137" t="s">
        <v>6404</v>
      </c>
      <c r="J2137">
        <v>39</v>
      </c>
      <c r="K2137">
        <f>39-6-8350-29</f>
        <v>-8346</v>
      </c>
      <c r="L2137" t="s">
        <v>6654</v>
      </c>
      <c r="M2137" t="s">
        <v>6655</v>
      </c>
      <c r="N2137" t="s">
        <v>278</v>
      </c>
      <c r="O2137" t="s">
        <v>28</v>
      </c>
      <c r="P2137" t="s">
        <v>24</v>
      </c>
      <c r="Q2137">
        <v>50</v>
      </c>
      <c r="R2137">
        <v>8.6821300000000008</v>
      </c>
    </row>
    <row r="2138" spans="1:18" x14ac:dyDescent="0.2">
      <c r="A2138" t="s">
        <v>2233</v>
      </c>
      <c r="B2138" t="s">
        <v>2234</v>
      </c>
      <c r="C2138">
        <v>1</v>
      </c>
      <c r="D2138" s="1">
        <v>44012.124479166669</v>
      </c>
      <c r="E2138" t="s">
        <v>6656</v>
      </c>
      <c r="F2138" t="s">
        <v>2236</v>
      </c>
      <c r="G2138" t="s">
        <v>6657</v>
      </c>
      <c r="H2138" t="s">
        <v>2237</v>
      </c>
      <c r="I2138" t="s">
        <v>29</v>
      </c>
      <c r="J2138">
        <v>1</v>
      </c>
      <c r="K2138">
        <f>1-855-608-1263</f>
        <v>-2725</v>
      </c>
      <c r="L2138" t="s">
        <v>6658</v>
      </c>
      <c r="M2138" t="s">
        <v>6659</v>
      </c>
      <c r="N2138" t="s">
        <v>5354</v>
      </c>
      <c r="O2138" t="s">
        <v>28</v>
      </c>
      <c r="P2138" t="s">
        <v>29</v>
      </c>
      <c r="Q2138">
        <v>40</v>
      </c>
      <c r="R2138">
        <v>-83.114099999999993</v>
      </c>
    </row>
    <row r="2139" spans="1:18" x14ac:dyDescent="0.2">
      <c r="A2139" t="s">
        <v>6660</v>
      </c>
      <c r="B2139" t="s">
        <v>6661</v>
      </c>
      <c r="C2139">
        <v>1</v>
      </c>
      <c r="D2139" s="1">
        <v>44012.139444444445</v>
      </c>
      <c r="E2139" t="s">
        <v>6662</v>
      </c>
      <c r="F2139" t="s">
        <v>6663</v>
      </c>
      <c r="G2139" t="s">
        <v>6664</v>
      </c>
      <c r="H2139" t="s">
        <v>6665</v>
      </c>
      <c r="I2139" t="s">
        <v>29</v>
      </c>
      <c r="J2139">
        <v>1</v>
      </c>
      <c r="K2139">
        <f>1-833-256-2778</f>
        <v>-3866</v>
      </c>
      <c r="L2139" t="s">
        <v>6666</v>
      </c>
      <c r="M2139" t="s">
        <v>6667</v>
      </c>
      <c r="N2139" t="s">
        <v>452</v>
      </c>
      <c r="O2139" t="s">
        <v>134</v>
      </c>
      <c r="P2139" t="s">
        <v>29</v>
      </c>
      <c r="Q2139">
        <v>36</v>
      </c>
      <c r="R2139">
        <v>-82.551500000000004</v>
      </c>
    </row>
    <row r="2140" spans="1:18" x14ac:dyDescent="0.2">
      <c r="A2140" t="s">
        <v>663</v>
      </c>
      <c r="B2140" t="s">
        <v>3245</v>
      </c>
      <c r="C2140">
        <v>44</v>
      </c>
      <c r="D2140" s="1">
        <v>44012.648912037039</v>
      </c>
      <c r="E2140" t="s">
        <v>6668</v>
      </c>
      <c r="F2140" t="s">
        <v>666</v>
      </c>
      <c r="G2140" t="s">
        <v>6669</v>
      </c>
      <c r="H2140" t="s">
        <v>667</v>
      </c>
      <c r="I2140" t="s">
        <v>618</v>
      </c>
      <c r="J2140">
        <v>44</v>
      </c>
      <c r="K2140">
        <f>44-808-101-7269</f>
        <v>-8134</v>
      </c>
      <c r="L2140" t="s">
        <v>6670</v>
      </c>
      <c r="M2140" t="s">
        <v>6671</v>
      </c>
      <c r="N2140" t="s">
        <v>1645</v>
      </c>
      <c r="O2140" t="s">
        <v>28</v>
      </c>
      <c r="P2140" t="s">
        <v>29</v>
      </c>
      <c r="Q2140">
        <v>41</v>
      </c>
      <c r="R2140">
        <v>-74.140299999999996</v>
      </c>
    </row>
    <row r="2141" spans="1:18" x14ac:dyDescent="0.2">
      <c r="A2141" t="s">
        <v>1200</v>
      </c>
      <c r="B2141" t="s">
        <v>1201</v>
      </c>
      <c r="C2141">
        <v>1</v>
      </c>
      <c r="D2141" s="1">
        <v>44041.283645833333</v>
      </c>
      <c r="E2141" t="s">
        <v>6672</v>
      </c>
      <c r="F2141" t="s">
        <v>1203</v>
      </c>
      <c r="G2141" t="s">
        <v>6673</v>
      </c>
      <c r="H2141" t="s">
        <v>1205</v>
      </c>
      <c r="I2141" t="s">
        <v>29</v>
      </c>
      <c r="J2141">
        <v>1</v>
      </c>
      <c r="K2141">
        <f>1-877-841-9777</f>
        <v>-11494</v>
      </c>
      <c r="L2141" t="s">
        <v>6674</v>
      </c>
      <c r="M2141" t="s">
        <v>6675</v>
      </c>
      <c r="N2141" t="s">
        <v>36</v>
      </c>
      <c r="O2141" t="s">
        <v>134</v>
      </c>
      <c r="P2141" t="s">
        <v>29</v>
      </c>
      <c r="Q2141">
        <v>34</v>
      </c>
      <c r="R2141">
        <v>-99.999999000000003</v>
      </c>
    </row>
    <row r="2142" spans="1:18" x14ac:dyDescent="0.2">
      <c r="A2142" t="s">
        <v>1200</v>
      </c>
      <c r="B2142" t="s">
        <v>1201</v>
      </c>
      <c r="C2142">
        <v>1</v>
      </c>
      <c r="D2142" s="1">
        <v>44040.615555555552</v>
      </c>
      <c r="E2142" t="s">
        <v>6676</v>
      </c>
      <c r="F2142" t="s">
        <v>1203</v>
      </c>
      <c r="G2142" t="s">
        <v>6673</v>
      </c>
      <c r="H2142" t="s">
        <v>1205</v>
      </c>
      <c r="I2142" t="s">
        <v>29</v>
      </c>
      <c r="J2142">
        <v>1</v>
      </c>
      <c r="K2142">
        <f>1-866-774-3218</f>
        <v>-4857</v>
      </c>
      <c r="L2142" t="s">
        <v>6677</v>
      </c>
      <c r="M2142" t="s">
        <v>6678</v>
      </c>
      <c r="N2142" t="s">
        <v>36</v>
      </c>
      <c r="O2142" t="s">
        <v>134</v>
      </c>
      <c r="P2142" t="s">
        <v>29</v>
      </c>
      <c r="Q2142">
        <v>34</v>
      </c>
      <c r="R2142">
        <v>-99.999999000000003</v>
      </c>
    </row>
    <row r="2143" spans="1:18" x14ac:dyDescent="0.2">
      <c r="A2143" t="s">
        <v>1200</v>
      </c>
      <c r="B2143" t="s">
        <v>1201</v>
      </c>
      <c r="C2143">
        <v>1</v>
      </c>
      <c r="D2143" s="1">
        <v>44027.012384259258</v>
      </c>
      <c r="E2143" t="s">
        <v>6679</v>
      </c>
      <c r="F2143" t="s">
        <v>1203</v>
      </c>
      <c r="G2143" t="s">
        <v>6673</v>
      </c>
      <c r="H2143" t="s">
        <v>1205</v>
      </c>
      <c r="I2143" t="s">
        <v>29</v>
      </c>
      <c r="J2143">
        <v>1</v>
      </c>
      <c r="K2143">
        <f>1-877-384-8555</f>
        <v>-9815</v>
      </c>
      <c r="L2143" t="s">
        <v>6680</v>
      </c>
      <c r="M2143" t="s">
        <v>6681</v>
      </c>
      <c r="N2143" t="s">
        <v>36</v>
      </c>
      <c r="O2143" t="s">
        <v>134</v>
      </c>
      <c r="P2143" t="s">
        <v>29</v>
      </c>
      <c r="Q2143">
        <v>34</v>
      </c>
      <c r="R2143">
        <v>-99.999999000000003</v>
      </c>
    </row>
    <row r="2144" spans="1:18" x14ac:dyDescent="0.2">
      <c r="A2144" t="s">
        <v>1200</v>
      </c>
      <c r="B2144" t="s">
        <v>1201</v>
      </c>
      <c r="C2144">
        <v>1</v>
      </c>
      <c r="D2144" s="1">
        <v>44022.769247685188</v>
      </c>
      <c r="E2144" t="s">
        <v>6682</v>
      </c>
      <c r="F2144" t="s">
        <v>1203</v>
      </c>
      <c r="G2144" t="s">
        <v>6673</v>
      </c>
      <c r="H2144" t="s">
        <v>1205</v>
      </c>
      <c r="I2144" t="s">
        <v>29</v>
      </c>
      <c r="J2144">
        <v>1</v>
      </c>
      <c r="K2144">
        <f>1-877-841-9777</f>
        <v>-11494</v>
      </c>
      <c r="L2144" t="s">
        <v>6683</v>
      </c>
      <c r="M2144" t="s">
        <v>6684</v>
      </c>
      <c r="N2144" t="s">
        <v>36</v>
      </c>
      <c r="O2144" t="s">
        <v>134</v>
      </c>
      <c r="P2144" t="s">
        <v>29</v>
      </c>
      <c r="Q2144">
        <v>34</v>
      </c>
      <c r="R2144">
        <v>-99.999999000000003</v>
      </c>
    </row>
    <row r="2145" spans="1:18" x14ac:dyDescent="0.2">
      <c r="A2145" t="s">
        <v>1200</v>
      </c>
      <c r="B2145" t="s">
        <v>1201</v>
      </c>
      <c r="C2145">
        <v>1</v>
      </c>
      <c r="D2145" s="1">
        <v>44016.862719907411</v>
      </c>
      <c r="E2145" t="s">
        <v>6685</v>
      </c>
      <c r="F2145" t="s">
        <v>1203</v>
      </c>
      <c r="G2145" t="s">
        <v>6673</v>
      </c>
      <c r="H2145" t="s">
        <v>1205</v>
      </c>
      <c r="I2145" t="s">
        <v>29</v>
      </c>
      <c r="J2145">
        <v>1</v>
      </c>
      <c r="K2145">
        <f>1-866-774-3218</f>
        <v>-4857</v>
      </c>
      <c r="L2145" t="s">
        <v>6686</v>
      </c>
      <c r="M2145" t="s">
        <v>6687</v>
      </c>
      <c r="N2145" t="s">
        <v>36</v>
      </c>
      <c r="O2145" t="s">
        <v>134</v>
      </c>
      <c r="P2145" t="s">
        <v>29</v>
      </c>
      <c r="Q2145">
        <v>34</v>
      </c>
      <c r="R2145">
        <v>-99.999999000000003</v>
      </c>
    </row>
    <row r="2146" spans="1:18" x14ac:dyDescent="0.2">
      <c r="A2146" t="s">
        <v>1200</v>
      </c>
      <c r="B2146" t="s">
        <v>1201</v>
      </c>
      <c r="C2146">
        <v>1</v>
      </c>
      <c r="D2146" s="1">
        <v>44014.902083333334</v>
      </c>
      <c r="E2146" t="s">
        <v>6688</v>
      </c>
      <c r="F2146" t="s">
        <v>1203</v>
      </c>
      <c r="G2146" t="s">
        <v>6673</v>
      </c>
      <c r="H2146" t="s">
        <v>1205</v>
      </c>
      <c r="I2146" t="s">
        <v>29</v>
      </c>
      <c r="J2146">
        <v>1</v>
      </c>
      <c r="K2146">
        <f>1-866-774-3218</f>
        <v>-4857</v>
      </c>
      <c r="L2146" t="s">
        <v>6689</v>
      </c>
      <c r="M2146" t="s">
        <v>6690</v>
      </c>
      <c r="N2146" t="s">
        <v>36</v>
      </c>
      <c r="O2146" t="s">
        <v>134</v>
      </c>
      <c r="P2146" t="s">
        <v>29</v>
      </c>
      <c r="Q2146">
        <v>34</v>
      </c>
      <c r="R2146">
        <v>-99.999999000000003</v>
      </c>
    </row>
    <row r="2147" spans="1:18" x14ac:dyDescent="0.2">
      <c r="A2147" t="s">
        <v>1200</v>
      </c>
      <c r="B2147" t="s">
        <v>1201</v>
      </c>
      <c r="C2147">
        <v>1</v>
      </c>
      <c r="D2147" s="1">
        <v>44012.766909722224</v>
      </c>
      <c r="E2147" t="s">
        <v>6691</v>
      </c>
      <c r="F2147" t="s">
        <v>1203</v>
      </c>
      <c r="G2147" t="s">
        <v>6673</v>
      </c>
      <c r="H2147" t="s">
        <v>1205</v>
      </c>
      <c r="I2147" t="s">
        <v>29</v>
      </c>
      <c r="J2147">
        <v>1</v>
      </c>
      <c r="K2147">
        <f>1-866-774-3218</f>
        <v>-4857</v>
      </c>
      <c r="L2147" t="s">
        <v>6692</v>
      </c>
      <c r="M2147" t="s">
        <v>6693</v>
      </c>
      <c r="N2147" t="s">
        <v>36</v>
      </c>
      <c r="O2147" t="s">
        <v>134</v>
      </c>
      <c r="P2147" t="s">
        <v>29</v>
      </c>
      <c r="Q2147">
        <v>34</v>
      </c>
      <c r="R2147">
        <v>-99.999999000000003</v>
      </c>
    </row>
    <row r="2148" spans="1:18" x14ac:dyDescent="0.2">
      <c r="A2148" t="s">
        <v>439</v>
      </c>
      <c r="B2148" t="s">
        <v>1412</v>
      </c>
      <c r="C2148">
        <v>44</v>
      </c>
      <c r="D2148" s="1">
        <v>44012.732800925929</v>
      </c>
      <c r="E2148" t="s">
        <v>6694</v>
      </c>
      <c r="F2148" t="s">
        <v>442</v>
      </c>
      <c r="G2148" t="s">
        <v>6695</v>
      </c>
      <c r="H2148" t="s">
        <v>444</v>
      </c>
      <c r="I2148" t="s">
        <v>618</v>
      </c>
      <c r="J2148">
        <v>44</v>
      </c>
      <c r="K2148">
        <f>44-20-3290-684</f>
        <v>-3950</v>
      </c>
      <c r="L2148" t="s">
        <v>6696</v>
      </c>
      <c r="M2148" t="s">
        <v>6697</v>
      </c>
      <c r="N2148" t="s">
        <v>213</v>
      </c>
      <c r="O2148" t="s">
        <v>28</v>
      </c>
      <c r="P2148" t="s">
        <v>29</v>
      </c>
      <c r="Q2148">
        <v>41</v>
      </c>
      <c r="R2148">
        <v>-74.172399999999996</v>
      </c>
    </row>
    <row r="2149" spans="1:18" x14ac:dyDescent="0.2">
      <c r="A2149" t="s">
        <v>2233</v>
      </c>
      <c r="B2149" t="s">
        <v>2234</v>
      </c>
      <c r="C2149">
        <v>1</v>
      </c>
      <c r="D2149" s="1">
        <v>44014.954861111109</v>
      </c>
      <c r="E2149" t="s">
        <v>6698</v>
      </c>
      <c r="F2149" t="s">
        <v>2236</v>
      </c>
      <c r="G2149" t="s">
        <v>6699</v>
      </c>
      <c r="H2149" t="s">
        <v>2237</v>
      </c>
      <c r="I2149" t="s">
        <v>29</v>
      </c>
      <c r="J2149">
        <v>1</v>
      </c>
      <c r="K2149">
        <f>1-206-809-231</f>
        <v>-1245</v>
      </c>
      <c r="L2149" t="s">
        <v>6700</v>
      </c>
      <c r="M2149" t="s">
        <v>6701</v>
      </c>
      <c r="N2149" t="s">
        <v>452</v>
      </c>
      <c r="O2149" t="s">
        <v>28</v>
      </c>
      <c r="P2149" t="s">
        <v>29</v>
      </c>
      <c r="Q2149">
        <v>40</v>
      </c>
      <c r="R2149">
        <v>-83.114099999999993</v>
      </c>
    </row>
    <row r="2150" spans="1:18" x14ac:dyDescent="0.2">
      <c r="A2150" t="s">
        <v>2233</v>
      </c>
      <c r="B2150" t="s">
        <v>2234</v>
      </c>
      <c r="C2150">
        <v>1</v>
      </c>
      <c r="D2150" s="1">
        <v>44014.729780092595</v>
      </c>
      <c r="E2150" t="s">
        <v>6702</v>
      </c>
      <c r="F2150" t="s">
        <v>2236</v>
      </c>
      <c r="G2150" t="s">
        <v>6699</v>
      </c>
      <c r="H2150" t="s">
        <v>2237</v>
      </c>
      <c r="I2150" t="s">
        <v>29</v>
      </c>
      <c r="J2150">
        <v>1</v>
      </c>
      <c r="K2150">
        <f>1-206-809-351</f>
        <v>-1365</v>
      </c>
      <c r="L2150" t="s">
        <v>6703</v>
      </c>
      <c r="M2150" t="s">
        <v>6704</v>
      </c>
      <c r="N2150" t="s">
        <v>452</v>
      </c>
      <c r="O2150" t="s">
        <v>28</v>
      </c>
      <c r="P2150" t="s">
        <v>29</v>
      </c>
      <c r="Q2150">
        <v>40</v>
      </c>
      <c r="R2150">
        <v>-83.114099999999993</v>
      </c>
    </row>
    <row r="2151" spans="1:18" x14ac:dyDescent="0.2">
      <c r="A2151" t="s">
        <v>2233</v>
      </c>
      <c r="B2151" t="s">
        <v>2234</v>
      </c>
      <c r="C2151">
        <v>1</v>
      </c>
      <c r="D2151" s="1">
        <v>44013.777245370373</v>
      </c>
      <c r="E2151" t="s">
        <v>6702</v>
      </c>
      <c r="F2151" t="s">
        <v>2236</v>
      </c>
      <c r="G2151" t="s">
        <v>6699</v>
      </c>
      <c r="H2151" t="s">
        <v>2237</v>
      </c>
      <c r="I2151" t="s">
        <v>29</v>
      </c>
      <c r="J2151">
        <v>1</v>
      </c>
      <c r="K2151">
        <f>1-206-809-231</f>
        <v>-1245</v>
      </c>
      <c r="L2151" t="s">
        <v>6705</v>
      </c>
      <c r="M2151" t="s">
        <v>6706</v>
      </c>
      <c r="N2151" t="s">
        <v>452</v>
      </c>
      <c r="O2151" t="s">
        <v>28</v>
      </c>
      <c r="P2151" t="s">
        <v>29</v>
      </c>
      <c r="Q2151">
        <v>40</v>
      </c>
      <c r="R2151">
        <v>-83.114099999999993</v>
      </c>
    </row>
    <row r="2152" spans="1:18" x14ac:dyDescent="0.2">
      <c r="A2152" t="s">
        <v>2233</v>
      </c>
      <c r="B2152" t="s">
        <v>2234</v>
      </c>
      <c r="C2152">
        <v>1</v>
      </c>
      <c r="D2152" s="1">
        <v>44012.859918981485</v>
      </c>
      <c r="E2152" t="s">
        <v>6698</v>
      </c>
      <c r="F2152" t="s">
        <v>2236</v>
      </c>
      <c r="G2152" t="s">
        <v>6699</v>
      </c>
      <c r="H2152" t="s">
        <v>2237</v>
      </c>
      <c r="I2152" t="s">
        <v>29</v>
      </c>
      <c r="J2152">
        <v>1</v>
      </c>
      <c r="K2152">
        <f>1-844-748-8701</f>
        <v>-10292</v>
      </c>
      <c r="L2152" t="s">
        <v>6707</v>
      </c>
      <c r="M2152" t="s">
        <v>6708</v>
      </c>
      <c r="N2152" t="s">
        <v>452</v>
      </c>
      <c r="O2152" t="s">
        <v>28</v>
      </c>
      <c r="P2152" t="s">
        <v>29</v>
      </c>
      <c r="Q2152">
        <v>40</v>
      </c>
      <c r="R2152">
        <v>-83.114099999999993</v>
      </c>
    </row>
    <row r="2153" spans="1:18" x14ac:dyDescent="0.2">
      <c r="A2153" t="s">
        <v>2233</v>
      </c>
      <c r="B2153" t="s">
        <v>2234</v>
      </c>
      <c r="C2153">
        <v>65</v>
      </c>
      <c r="D2153" s="1">
        <v>44012.768391203703</v>
      </c>
      <c r="E2153" t="s">
        <v>6709</v>
      </c>
      <c r="F2153" t="s">
        <v>2236</v>
      </c>
      <c r="G2153" t="s">
        <v>6699</v>
      </c>
      <c r="H2153" t="s">
        <v>2237</v>
      </c>
      <c r="I2153" t="s">
        <v>2500</v>
      </c>
      <c r="J2153">
        <v>65</v>
      </c>
      <c r="K2153">
        <f>65-3158-155</f>
        <v>-3248</v>
      </c>
      <c r="L2153" t="s">
        <v>6710</v>
      </c>
      <c r="M2153" t="s">
        <v>6711</v>
      </c>
      <c r="N2153" t="s">
        <v>452</v>
      </c>
      <c r="O2153" t="s">
        <v>28</v>
      </c>
      <c r="P2153" t="s">
        <v>29</v>
      </c>
      <c r="Q2153">
        <v>40</v>
      </c>
      <c r="R2153">
        <v>-83.114099999999993</v>
      </c>
    </row>
    <row r="2154" spans="1:18" x14ac:dyDescent="0.2">
      <c r="A2154" t="s">
        <v>2233</v>
      </c>
      <c r="B2154" t="s">
        <v>2234</v>
      </c>
      <c r="C2154">
        <v>1</v>
      </c>
      <c r="D2154" s="1">
        <v>44012.768136574072</v>
      </c>
      <c r="E2154" t="s">
        <v>6712</v>
      </c>
      <c r="F2154" t="s">
        <v>2236</v>
      </c>
      <c r="G2154" t="s">
        <v>6699</v>
      </c>
      <c r="H2154" t="s">
        <v>2237</v>
      </c>
      <c r="I2154" t="s">
        <v>29</v>
      </c>
      <c r="J2154">
        <v>1</v>
      </c>
      <c r="K2154">
        <f>1-65-3129-550</f>
        <v>-3743</v>
      </c>
      <c r="L2154" t="s">
        <v>6713</v>
      </c>
      <c r="M2154" t="s">
        <v>6714</v>
      </c>
      <c r="N2154" t="s">
        <v>452</v>
      </c>
      <c r="O2154" t="s">
        <v>28</v>
      </c>
      <c r="P2154" t="s">
        <v>29</v>
      </c>
      <c r="Q2154">
        <v>40</v>
      </c>
      <c r="R2154">
        <v>-83.114099999999993</v>
      </c>
    </row>
    <row r="2155" spans="1:18" x14ac:dyDescent="0.2">
      <c r="A2155" t="s">
        <v>2233</v>
      </c>
      <c r="B2155" t="s">
        <v>2234</v>
      </c>
      <c r="C2155">
        <v>1</v>
      </c>
      <c r="D2155" s="1">
        <v>44012.768020833333</v>
      </c>
      <c r="E2155" t="s">
        <v>6715</v>
      </c>
      <c r="F2155" t="s">
        <v>2236</v>
      </c>
      <c r="G2155" t="s">
        <v>6699</v>
      </c>
      <c r="H2155" t="s">
        <v>2237</v>
      </c>
      <c r="I2155" t="s">
        <v>29</v>
      </c>
      <c r="J2155">
        <v>1</v>
      </c>
      <c r="K2155">
        <f>1-206-905-1501</f>
        <v>-2611</v>
      </c>
      <c r="L2155" t="s">
        <v>6716</v>
      </c>
      <c r="M2155" t="s">
        <v>6717</v>
      </c>
      <c r="N2155" t="s">
        <v>452</v>
      </c>
      <c r="O2155" t="s">
        <v>28</v>
      </c>
      <c r="P2155" t="s">
        <v>29</v>
      </c>
      <c r="Q2155">
        <v>40</v>
      </c>
      <c r="R2155">
        <v>-83.114099999999993</v>
      </c>
    </row>
    <row r="2156" spans="1:18" x14ac:dyDescent="0.2">
      <c r="A2156" t="s">
        <v>2233</v>
      </c>
      <c r="B2156" t="s">
        <v>2234</v>
      </c>
      <c r="C2156">
        <v>1</v>
      </c>
      <c r="D2156" s="1">
        <v>44012.733182870368</v>
      </c>
      <c r="E2156" t="s">
        <v>6718</v>
      </c>
      <c r="F2156" t="s">
        <v>2236</v>
      </c>
      <c r="G2156" t="s">
        <v>6699</v>
      </c>
      <c r="H2156" t="s">
        <v>2237</v>
      </c>
      <c r="I2156" t="s">
        <v>29</v>
      </c>
      <c r="J2156">
        <v>1</v>
      </c>
      <c r="K2156">
        <f>1-206-809-231</f>
        <v>-1245</v>
      </c>
      <c r="L2156" t="s">
        <v>6719</v>
      </c>
      <c r="M2156" t="s">
        <v>6720</v>
      </c>
      <c r="N2156" t="s">
        <v>452</v>
      </c>
      <c r="O2156" t="s">
        <v>28</v>
      </c>
      <c r="P2156" t="s">
        <v>29</v>
      </c>
      <c r="Q2156">
        <v>40</v>
      </c>
      <c r="R2156">
        <v>-83.114099999999993</v>
      </c>
    </row>
    <row r="2157" spans="1:18" x14ac:dyDescent="0.2">
      <c r="A2157" t="s">
        <v>2233</v>
      </c>
      <c r="B2157" t="s">
        <v>440</v>
      </c>
      <c r="C2157">
        <v>1</v>
      </c>
      <c r="D2157" s="1">
        <v>44012.777245370373</v>
      </c>
      <c r="E2157" t="s">
        <v>6721</v>
      </c>
      <c r="F2157" t="s">
        <v>2236</v>
      </c>
      <c r="G2157" t="s">
        <v>6722</v>
      </c>
      <c r="H2157" t="s">
        <v>2237</v>
      </c>
      <c r="I2157" t="s">
        <v>29</v>
      </c>
      <c r="J2157">
        <v>1</v>
      </c>
      <c r="K2157">
        <f>1-302-505-5030</f>
        <v>-5836</v>
      </c>
      <c r="L2157" t="s">
        <v>6723</v>
      </c>
      <c r="M2157" t="s">
        <v>6724</v>
      </c>
      <c r="N2157" t="s">
        <v>5354</v>
      </c>
      <c r="O2157" t="s">
        <v>134</v>
      </c>
      <c r="P2157" t="s">
        <v>29</v>
      </c>
      <c r="Q2157">
        <v>39</v>
      </c>
      <c r="R2157">
        <v>-77.487399999999994</v>
      </c>
    </row>
    <row r="2158" spans="1:18" x14ac:dyDescent="0.2">
      <c r="A2158" t="s">
        <v>270</v>
      </c>
      <c r="B2158" t="s">
        <v>271</v>
      </c>
      <c r="C2158">
        <v>1</v>
      </c>
      <c r="D2158" s="1">
        <v>44058.787395833337</v>
      </c>
      <c r="E2158" t="s">
        <v>6725</v>
      </c>
      <c r="F2158" t="s">
        <v>273</v>
      </c>
      <c r="G2158" t="s">
        <v>6726</v>
      </c>
      <c r="H2158" t="s">
        <v>275</v>
      </c>
      <c r="I2158" t="s">
        <v>29</v>
      </c>
      <c r="J2158">
        <v>1</v>
      </c>
      <c r="K2158">
        <f>1-888-381-5256</f>
        <v>-6524</v>
      </c>
      <c r="L2158" t="s">
        <v>6727</v>
      </c>
      <c r="M2158" t="s">
        <v>6728</v>
      </c>
      <c r="N2158" t="s">
        <v>278</v>
      </c>
      <c r="O2158" t="s">
        <v>134</v>
      </c>
      <c r="P2158" t="s">
        <v>29</v>
      </c>
      <c r="Q2158">
        <v>42</v>
      </c>
      <c r="R2158">
        <v>-93.620800000000003</v>
      </c>
    </row>
    <row r="2159" spans="1:18" x14ac:dyDescent="0.2">
      <c r="A2159" t="s">
        <v>270</v>
      </c>
      <c r="B2159" t="s">
        <v>271</v>
      </c>
      <c r="C2159">
        <v>1</v>
      </c>
      <c r="D2159" s="1">
        <v>44014.829317129632</v>
      </c>
      <c r="E2159" t="s">
        <v>6729</v>
      </c>
      <c r="F2159" t="s">
        <v>273</v>
      </c>
      <c r="G2159" t="s">
        <v>6726</v>
      </c>
      <c r="H2159" t="s">
        <v>275</v>
      </c>
      <c r="I2159" t="s">
        <v>29</v>
      </c>
      <c r="J2159">
        <v>1</v>
      </c>
      <c r="K2159">
        <f>1-844-910-2037</f>
        <v>-3790</v>
      </c>
      <c r="L2159" t="s">
        <v>6730</v>
      </c>
      <c r="M2159" t="s">
        <v>6731</v>
      </c>
      <c r="N2159" t="s">
        <v>278</v>
      </c>
      <c r="O2159" t="s">
        <v>28</v>
      </c>
      <c r="P2159" t="s">
        <v>29</v>
      </c>
      <c r="Q2159">
        <v>42</v>
      </c>
      <c r="R2159">
        <v>-93.620800000000003</v>
      </c>
    </row>
    <row r="2160" spans="1:18" x14ac:dyDescent="0.2">
      <c r="A2160" t="s">
        <v>270</v>
      </c>
      <c r="B2160" t="s">
        <v>271</v>
      </c>
      <c r="C2160">
        <v>1</v>
      </c>
      <c r="D2160" s="1">
        <v>44013.791006944448</v>
      </c>
      <c r="E2160" t="s">
        <v>6732</v>
      </c>
      <c r="F2160" t="s">
        <v>273</v>
      </c>
      <c r="G2160" t="s">
        <v>6726</v>
      </c>
      <c r="H2160" t="s">
        <v>275</v>
      </c>
      <c r="I2160" t="s">
        <v>29</v>
      </c>
      <c r="J2160">
        <v>1</v>
      </c>
      <c r="K2160">
        <f>1-844-211-8924</f>
        <v>-9978</v>
      </c>
      <c r="L2160" t="s">
        <v>6733</v>
      </c>
      <c r="M2160" t="s">
        <v>6734</v>
      </c>
      <c r="N2160" t="s">
        <v>278</v>
      </c>
      <c r="O2160" t="s">
        <v>28</v>
      </c>
      <c r="P2160" t="s">
        <v>29</v>
      </c>
      <c r="Q2160">
        <v>42</v>
      </c>
      <c r="R2160">
        <v>-93.620800000000003</v>
      </c>
    </row>
    <row r="2161" spans="1:18" x14ac:dyDescent="0.2">
      <c r="A2161" t="s">
        <v>270</v>
      </c>
      <c r="B2161" t="s">
        <v>271</v>
      </c>
      <c r="C2161">
        <v>1</v>
      </c>
      <c r="D2161" s="1">
        <v>44013.790717592594</v>
      </c>
      <c r="E2161" t="s">
        <v>6735</v>
      </c>
      <c r="F2161" t="s">
        <v>273</v>
      </c>
      <c r="G2161" t="s">
        <v>6726</v>
      </c>
      <c r="H2161" t="s">
        <v>275</v>
      </c>
      <c r="I2161" t="s">
        <v>29</v>
      </c>
      <c r="J2161">
        <v>1</v>
      </c>
      <c r="K2161">
        <f>1-844-942-737</f>
        <v>-2522</v>
      </c>
      <c r="L2161" t="s">
        <v>6736</v>
      </c>
      <c r="M2161" t="s">
        <v>6737</v>
      </c>
      <c r="N2161" t="s">
        <v>278</v>
      </c>
      <c r="O2161" t="s">
        <v>28</v>
      </c>
      <c r="P2161" t="s">
        <v>29</v>
      </c>
      <c r="Q2161">
        <v>42</v>
      </c>
      <c r="R2161">
        <v>-93.620800000000003</v>
      </c>
    </row>
    <row r="2162" spans="1:18" x14ac:dyDescent="0.2">
      <c r="A2162" t="s">
        <v>270</v>
      </c>
      <c r="B2162" t="s">
        <v>271</v>
      </c>
      <c r="C2162">
        <v>1</v>
      </c>
      <c r="D2162" s="1">
        <v>44012.78570601852</v>
      </c>
      <c r="E2162" t="s">
        <v>6738</v>
      </c>
      <c r="F2162" t="s">
        <v>273</v>
      </c>
      <c r="G2162" t="s">
        <v>6726</v>
      </c>
      <c r="H2162" t="s">
        <v>275</v>
      </c>
      <c r="I2162" t="s">
        <v>29</v>
      </c>
      <c r="J2162">
        <v>1</v>
      </c>
      <c r="K2162">
        <f>1-844-230-8967</f>
        <v>-10040</v>
      </c>
      <c r="L2162" t="s">
        <v>6739</v>
      </c>
      <c r="M2162" t="s">
        <v>6740</v>
      </c>
      <c r="N2162" t="s">
        <v>278</v>
      </c>
      <c r="O2162" t="s">
        <v>28</v>
      </c>
      <c r="P2162" t="s">
        <v>29</v>
      </c>
      <c r="Q2162">
        <v>42</v>
      </c>
      <c r="R2162">
        <v>-93.620800000000003</v>
      </c>
    </row>
    <row r="2163" spans="1:18" x14ac:dyDescent="0.2">
      <c r="A2163" t="s">
        <v>2233</v>
      </c>
      <c r="B2163" t="s">
        <v>4281</v>
      </c>
      <c r="C2163">
        <v>39</v>
      </c>
      <c r="D2163" s="1">
        <v>44012.788310185184</v>
      </c>
      <c r="E2163" t="s">
        <v>6741</v>
      </c>
      <c r="F2163" t="s">
        <v>6618</v>
      </c>
      <c r="G2163" t="s">
        <v>6742</v>
      </c>
      <c r="H2163" t="s">
        <v>2237</v>
      </c>
      <c r="I2163" t="s">
        <v>6404</v>
      </c>
      <c r="J2163">
        <v>39</v>
      </c>
      <c r="K2163">
        <f>39-6-8350-29</f>
        <v>-8346</v>
      </c>
      <c r="L2163" t="s">
        <v>6743</v>
      </c>
      <c r="M2163" t="s">
        <v>6744</v>
      </c>
      <c r="N2163" t="s">
        <v>278</v>
      </c>
      <c r="O2163" t="s">
        <v>28</v>
      </c>
      <c r="P2163" t="s">
        <v>24</v>
      </c>
      <c r="Q2163">
        <v>50</v>
      </c>
      <c r="R2163">
        <v>8.6821300000000008</v>
      </c>
    </row>
    <row r="2164" spans="1:18" x14ac:dyDescent="0.2">
      <c r="A2164" t="s">
        <v>439</v>
      </c>
      <c r="B2164" t="s">
        <v>4321</v>
      </c>
      <c r="C2164">
        <v>1</v>
      </c>
      <c r="D2164" s="1">
        <v>44012.792523148149</v>
      </c>
      <c r="E2164" t="s">
        <v>6745</v>
      </c>
      <c r="F2164" t="s">
        <v>442</v>
      </c>
      <c r="G2164" t="s">
        <v>6746</v>
      </c>
      <c r="H2164" t="s">
        <v>444</v>
      </c>
      <c r="I2164" t="s">
        <v>29</v>
      </c>
      <c r="J2164">
        <v>1</v>
      </c>
      <c r="K2164">
        <f>1-888-490-82</f>
        <v>-1459</v>
      </c>
      <c r="L2164" t="s">
        <v>6747</v>
      </c>
      <c r="M2164" t="s">
        <v>6748</v>
      </c>
      <c r="N2164" t="s">
        <v>36</v>
      </c>
      <c r="O2164" t="s">
        <v>28</v>
      </c>
      <c r="P2164" t="s">
        <v>29</v>
      </c>
      <c r="Q2164">
        <v>42</v>
      </c>
      <c r="R2164">
        <v>-87.629800000000003</v>
      </c>
    </row>
    <row r="2165" spans="1:18" x14ac:dyDescent="0.2">
      <c r="A2165" t="s">
        <v>439</v>
      </c>
      <c r="B2165" t="s">
        <v>1412</v>
      </c>
      <c r="C2165">
        <v>1</v>
      </c>
      <c r="D2165" s="1">
        <v>44012.810752314814</v>
      </c>
      <c r="E2165" t="s">
        <v>6749</v>
      </c>
      <c r="F2165" t="s">
        <v>442</v>
      </c>
      <c r="G2165" t="s">
        <v>6750</v>
      </c>
      <c r="H2165" t="s">
        <v>444</v>
      </c>
      <c r="I2165" t="s">
        <v>29</v>
      </c>
      <c r="J2165">
        <v>1</v>
      </c>
      <c r="K2165">
        <f>1-888-522-9542</f>
        <v>-10951</v>
      </c>
      <c r="L2165" t="s">
        <v>6751</v>
      </c>
      <c r="M2165" t="s">
        <v>6752</v>
      </c>
      <c r="N2165" t="s">
        <v>36</v>
      </c>
      <c r="O2165" t="s">
        <v>28</v>
      </c>
      <c r="P2165" t="s">
        <v>29</v>
      </c>
      <c r="Q2165">
        <v>41</v>
      </c>
      <c r="R2165">
        <v>-74.172399999999996</v>
      </c>
    </row>
    <row r="2166" spans="1:18" x14ac:dyDescent="0.2">
      <c r="A2166" t="s">
        <v>2233</v>
      </c>
      <c r="B2166" t="s">
        <v>2234</v>
      </c>
      <c r="C2166">
        <v>1</v>
      </c>
      <c r="D2166" s="1">
        <v>44104.218263888892</v>
      </c>
      <c r="E2166" t="s">
        <v>6753</v>
      </c>
      <c r="F2166" t="s">
        <v>2236</v>
      </c>
      <c r="G2166" t="s">
        <v>6754</v>
      </c>
      <c r="H2166" t="s">
        <v>2237</v>
      </c>
      <c r="I2166" t="s">
        <v>29</v>
      </c>
      <c r="J2166">
        <v>1</v>
      </c>
      <c r="K2166">
        <f>1-888-381-4926</f>
        <v>-6194</v>
      </c>
      <c r="L2166" t="s">
        <v>6755</v>
      </c>
      <c r="M2166" t="s">
        <v>6756</v>
      </c>
      <c r="N2166" t="s">
        <v>6757</v>
      </c>
      <c r="O2166" t="s">
        <v>28</v>
      </c>
      <c r="P2166" t="s">
        <v>29</v>
      </c>
      <c r="Q2166">
        <v>40</v>
      </c>
      <c r="R2166">
        <v>-83.114099999999993</v>
      </c>
    </row>
    <row r="2167" spans="1:18" x14ac:dyDescent="0.2">
      <c r="A2167" t="s">
        <v>2233</v>
      </c>
      <c r="B2167" t="s">
        <v>2234</v>
      </c>
      <c r="C2167">
        <v>1</v>
      </c>
      <c r="D2167" s="1">
        <v>44012.823969907404</v>
      </c>
      <c r="E2167" t="s">
        <v>6758</v>
      </c>
      <c r="F2167" t="s">
        <v>2236</v>
      </c>
      <c r="G2167" t="s">
        <v>6754</v>
      </c>
      <c r="H2167" t="s">
        <v>2237</v>
      </c>
      <c r="I2167" t="s">
        <v>29</v>
      </c>
      <c r="J2167">
        <v>1</v>
      </c>
      <c r="K2167">
        <f>1-855-608-1264</f>
        <v>-2726</v>
      </c>
      <c r="L2167" t="s">
        <v>6759</v>
      </c>
      <c r="M2167" t="s">
        <v>6760</v>
      </c>
      <c r="N2167" t="s">
        <v>6761</v>
      </c>
      <c r="O2167" t="s">
        <v>28</v>
      </c>
      <c r="P2167" t="s">
        <v>29</v>
      </c>
      <c r="Q2167">
        <v>40</v>
      </c>
      <c r="R2167">
        <v>-83.114099999999993</v>
      </c>
    </row>
    <row r="2168" spans="1:18" x14ac:dyDescent="0.2">
      <c r="A2168" t="s">
        <v>439</v>
      </c>
      <c r="B2168" t="s">
        <v>4321</v>
      </c>
      <c r="C2168">
        <v>1</v>
      </c>
      <c r="D2168" s="1">
        <v>44012.824386574073</v>
      </c>
      <c r="E2168" t="s">
        <v>6762</v>
      </c>
      <c r="F2168" t="s">
        <v>442</v>
      </c>
      <c r="G2168" t="s">
        <v>6763</v>
      </c>
      <c r="H2168" t="s">
        <v>444</v>
      </c>
      <c r="I2168" t="s">
        <v>29</v>
      </c>
      <c r="J2168">
        <v>1</v>
      </c>
      <c r="K2168">
        <f>1-855-412-9146</f>
        <v>-10412</v>
      </c>
      <c r="L2168" t="s">
        <v>6764</v>
      </c>
      <c r="M2168" t="s">
        <v>6765</v>
      </c>
      <c r="N2168" t="s">
        <v>447</v>
      </c>
      <c r="O2168" t="s">
        <v>28</v>
      </c>
      <c r="P2168" t="s">
        <v>29</v>
      </c>
      <c r="Q2168">
        <v>42</v>
      </c>
      <c r="R2168">
        <v>-87.629800000000003</v>
      </c>
    </row>
    <row r="2169" spans="1:18" x14ac:dyDescent="0.2">
      <c r="A2169" t="s">
        <v>675</v>
      </c>
      <c r="B2169" t="s">
        <v>1412</v>
      </c>
      <c r="C2169">
        <v>1</v>
      </c>
      <c r="D2169" s="1">
        <v>44074.954571759263</v>
      </c>
      <c r="E2169" t="s">
        <v>6766</v>
      </c>
      <c r="F2169" t="s">
        <v>678</v>
      </c>
      <c r="G2169" t="s">
        <v>6767</v>
      </c>
      <c r="H2169" t="s">
        <v>680</v>
      </c>
      <c r="I2169" t="s">
        <v>29</v>
      </c>
      <c r="J2169">
        <v>1</v>
      </c>
      <c r="K2169">
        <f>1-833-543-89</f>
        <v>-1464</v>
      </c>
      <c r="L2169" t="s">
        <v>6768</v>
      </c>
      <c r="M2169" t="s">
        <v>6769</v>
      </c>
      <c r="N2169" t="s">
        <v>3441</v>
      </c>
      <c r="O2169" t="s">
        <v>28</v>
      </c>
      <c r="P2169" t="s">
        <v>29</v>
      </c>
      <c r="Q2169">
        <v>41</v>
      </c>
      <c r="R2169">
        <v>-74.172399999999996</v>
      </c>
    </row>
    <row r="2170" spans="1:18" x14ac:dyDescent="0.2">
      <c r="A2170" t="s">
        <v>675</v>
      </c>
      <c r="B2170" t="s">
        <v>1412</v>
      </c>
      <c r="C2170">
        <v>1</v>
      </c>
      <c r="D2170" s="1">
        <v>44074.954432870371</v>
      </c>
      <c r="E2170" t="s">
        <v>6770</v>
      </c>
      <c r="F2170" t="s">
        <v>678</v>
      </c>
      <c r="G2170" t="s">
        <v>6767</v>
      </c>
      <c r="H2170" t="s">
        <v>680</v>
      </c>
      <c r="I2170" t="s">
        <v>29</v>
      </c>
      <c r="J2170">
        <v>1</v>
      </c>
      <c r="K2170">
        <f>1-833-610-1506</f>
        <v>-2948</v>
      </c>
      <c r="L2170" t="s">
        <v>6771</v>
      </c>
      <c r="M2170" t="s">
        <v>6772</v>
      </c>
      <c r="N2170" t="s">
        <v>674</v>
      </c>
      <c r="O2170" t="s">
        <v>28</v>
      </c>
      <c r="P2170" t="s">
        <v>29</v>
      </c>
      <c r="Q2170">
        <v>41</v>
      </c>
      <c r="R2170">
        <v>-74.172399999999996</v>
      </c>
    </row>
    <row r="2171" spans="1:18" x14ac:dyDescent="0.2">
      <c r="A2171" t="s">
        <v>675</v>
      </c>
      <c r="B2171" t="s">
        <v>1412</v>
      </c>
      <c r="C2171">
        <v>1</v>
      </c>
      <c r="D2171" s="1">
        <v>44074.954421296294</v>
      </c>
      <c r="E2171" t="s">
        <v>6773</v>
      </c>
      <c r="F2171" t="s">
        <v>678</v>
      </c>
      <c r="G2171" t="s">
        <v>6767</v>
      </c>
      <c r="H2171" t="s">
        <v>680</v>
      </c>
      <c r="I2171" t="s">
        <v>29</v>
      </c>
      <c r="J2171">
        <v>1</v>
      </c>
      <c r="K2171">
        <f>1-866-262-5232</f>
        <v>-6359</v>
      </c>
      <c r="L2171" t="s">
        <v>6774</v>
      </c>
      <c r="M2171" t="s">
        <v>6775</v>
      </c>
      <c r="N2171" t="s">
        <v>213</v>
      </c>
      <c r="O2171" t="s">
        <v>28</v>
      </c>
      <c r="P2171" t="s">
        <v>29</v>
      </c>
      <c r="Q2171">
        <v>41</v>
      </c>
      <c r="R2171">
        <v>-74.172399999999996</v>
      </c>
    </row>
    <row r="2172" spans="1:18" x14ac:dyDescent="0.2">
      <c r="A2172" t="s">
        <v>675</v>
      </c>
      <c r="B2172" t="s">
        <v>1412</v>
      </c>
      <c r="C2172">
        <v>1</v>
      </c>
      <c r="D2172" s="1">
        <v>44074.954317129632</v>
      </c>
      <c r="E2172" t="s">
        <v>6776</v>
      </c>
      <c r="F2172" t="s">
        <v>678</v>
      </c>
      <c r="G2172" t="s">
        <v>6767</v>
      </c>
      <c r="H2172" t="s">
        <v>680</v>
      </c>
      <c r="I2172" t="s">
        <v>29</v>
      </c>
      <c r="J2172">
        <v>1</v>
      </c>
      <c r="K2172">
        <f>1-866-262-5232</f>
        <v>-6359</v>
      </c>
      <c r="L2172" t="s">
        <v>6777</v>
      </c>
      <c r="M2172" t="s">
        <v>6778</v>
      </c>
      <c r="N2172" t="s">
        <v>447</v>
      </c>
      <c r="O2172" t="s">
        <v>28</v>
      </c>
      <c r="P2172" t="s">
        <v>29</v>
      </c>
      <c r="Q2172">
        <v>41</v>
      </c>
      <c r="R2172">
        <v>-74.172399999999996</v>
      </c>
    </row>
    <row r="2173" spans="1:18" x14ac:dyDescent="0.2">
      <c r="A2173" t="s">
        <v>675</v>
      </c>
      <c r="B2173" t="s">
        <v>1412</v>
      </c>
      <c r="C2173">
        <v>1</v>
      </c>
      <c r="D2173" s="1">
        <v>44074.953553240739</v>
      </c>
      <c r="E2173" t="s">
        <v>6779</v>
      </c>
      <c r="F2173" t="s">
        <v>678</v>
      </c>
      <c r="G2173" t="s">
        <v>6767</v>
      </c>
      <c r="H2173" t="s">
        <v>680</v>
      </c>
      <c r="I2173" t="s">
        <v>29</v>
      </c>
      <c r="J2173">
        <v>1</v>
      </c>
      <c r="K2173">
        <f>1-866-262-5232</f>
        <v>-6359</v>
      </c>
      <c r="L2173" t="s">
        <v>6780</v>
      </c>
      <c r="M2173" t="s">
        <v>6781</v>
      </c>
      <c r="N2173" t="s">
        <v>3454</v>
      </c>
      <c r="O2173" t="s">
        <v>28</v>
      </c>
      <c r="P2173" t="s">
        <v>29</v>
      </c>
      <c r="Q2173">
        <v>41</v>
      </c>
      <c r="R2173">
        <v>-74.172399999999996</v>
      </c>
    </row>
    <row r="2174" spans="1:18" x14ac:dyDescent="0.2">
      <c r="A2174" t="s">
        <v>675</v>
      </c>
      <c r="B2174" t="s">
        <v>1412</v>
      </c>
      <c r="C2174">
        <v>1</v>
      </c>
      <c r="D2174" s="1">
        <v>44033.66915509259</v>
      </c>
      <c r="E2174" t="s">
        <v>6782</v>
      </c>
      <c r="F2174" t="s">
        <v>678</v>
      </c>
      <c r="G2174" t="s">
        <v>6767</v>
      </c>
      <c r="H2174" t="s">
        <v>680</v>
      </c>
      <c r="I2174" t="s">
        <v>29</v>
      </c>
      <c r="J2174">
        <v>1</v>
      </c>
      <c r="K2174">
        <f>1-888-534-7543</f>
        <v>-8964</v>
      </c>
      <c r="L2174" t="s">
        <v>6783</v>
      </c>
      <c r="M2174" t="s">
        <v>6784</v>
      </c>
      <c r="N2174" t="s">
        <v>3454</v>
      </c>
      <c r="O2174" t="s">
        <v>134</v>
      </c>
      <c r="P2174" t="s">
        <v>29</v>
      </c>
      <c r="Q2174">
        <v>41</v>
      </c>
      <c r="R2174">
        <v>-74.172399999999996</v>
      </c>
    </row>
    <row r="2175" spans="1:18" x14ac:dyDescent="0.2">
      <c r="A2175" t="s">
        <v>675</v>
      </c>
      <c r="B2175" t="s">
        <v>1412</v>
      </c>
      <c r="C2175">
        <v>1</v>
      </c>
      <c r="D2175" s="1">
        <v>44025.86310185185</v>
      </c>
      <c r="E2175" t="s">
        <v>6785</v>
      </c>
      <c r="F2175" t="s">
        <v>678</v>
      </c>
      <c r="G2175" t="s">
        <v>6767</v>
      </c>
      <c r="H2175" t="s">
        <v>680</v>
      </c>
      <c r="I2175" t="s">
        <v>29</v>
      </c>
      <c r="J2175">
        <v>1</v>
      </c>
      <c r="K2175">
        <f>1-888-534-7543</f>
        <v>-8964</v>
      </c>
      <c r="L2175" t="s">
        <v>6786</v>
      </c>
      <c r="M2175" t="s">
        <v>6787</v>
      </c>
      <c r="N2175" t="s">
        <v>3454</v>
      </c>
      <c r="O2175" t="s">
        <v>28</v>
      </c>
      <c r="P2175" t="s">
        <v>29</v>
      </c>
      <c r="Q2175">
        <v>41</v>
      </c>
      <c r="R2175">
        <v>-74.172399999999996</v>
      </c>
    </row>
    <row r="2176" spans="1:18" x14ac:dyDescent="0.2">
      <c r="A2176" t="s">
        <v>675</v>
      </c>
      <c r="B2176" t="s">
        <v>1412</v>
      </c>
      <c r="C2176">
        <v>1</v>
      </c>
      <c r="D2176" s="1">
        <v>44020.764594907407</v>
      </c>
      <c r="E2176" t="s">
        <v>6788</v>
      </c>
      <c r="F2176" t="s">
        <v>678</v>
      </c>
      <c r="G2176" t="s">
        <v>6767</v>
      </c>
      <c r="H2176" t="s">
        <v>680</v>
      </c>
      <c r="I2176" t="s">
        <v>29</v>
      </c>
      <c r="J2176">
        <v>1</v>
      </c>
      <c r="K2176">
        <f>1-888-404-6850</f>
        <v>-8141</v>
      </c>
      <c r="L2176" t="s">
        <v>6789</v>
      </c>
      <c r="M2176" t="s">
        <v>6790</v>
      </c>
      <c r="N2176" t="s">
        <v>447</v>
      </c>
      <c r="O2176" t="s">
        <v>28</v>
      </c>
      <c r="P2176" t="s">
        <v>29</v>
      </c>
      <c r="Q2176">
        <v>41</v>
      </c>
      <c r="R2176">
        <v>-74.172399999999996</v>
      </c>
    </row>
    <row r="2177" spans="1:18" x14ac:dyDescent="0.2">
      <c r="A2177" t="s">
        <v>675</v>
      </c>
      <c r="B2177" t="s">
        <v>1412</v>
      </c>
      <c r="C2177">
        <v>1</v>
      </c>
      <c r="D2177" s="1">
        <v>44015.852303240739</v>
      </c>
      <c r="E2177" t="s">
        <v>6791</v>
      </c>
      <c r="F2177" t="s">
        <v>678</v>
      </c>
      <c r="G2177" t="s">
        <v>6767</v>
      </c>
      <c r="H2177" t="s">
        <v>680</v>
      </c>
      <c r="I2177" t="s">
        <v>29</v>
      </c>
      <c r="J2177">
        <v>1</v>
      </c>
      <c r="K2177">
        <f>1-833-268-4535</f>
        <v>-5635</v>
      </c>
      <c r="L2177" t="s">
        <v>6792</v>
      </c>
      <c r="M2177" t="s">
        <v>6793</v>
      </c>
      <c r="N2177" t="s">
        <v>3454</v>
      </c>
      <c r="O2177" t="s">
        <v>28</v>
      </c>
      <c r="P2177" t="s">
        <v>29</v>
      </c>
      <c r="Q2177">
        <v>41</v>
      </c>
      <c r="R2177">
        <v>-74.172399999999996</v>
      </c>
    </row>
    <row r="2178" spans="1:18" x14ac:dyDescent="0.2">
      <c r="A2178" t="s">
        <v>675</v>
      </c>
      <c r="B2178" t="s">
        <v>1412</v>
      </c>
      <c r="C2178">
        <v>1</v>
      </c>
      <c r="D2178" s="1">
        <v>44015.786736111113</v>
      </c>
      <c r="E2178" t="s">
        <v>6794</v>
      </c>
      <c r="F2178" t="s">
        <v>678</v>
      </c>
      <c r="G2178" t="s">
        <v>6767</v>
      </c>
      <c r="H2178" t="s">
        <v>680</v>
      </c>
      <c r="I2178" t="s">
        <v>29</v>
      </c>
      <c r="J2178">
        <v>1</v>
      </c>
      <c r="K2178">
        <f>1-833-361-3649</f>
        <v>-4842</v>
      </c>
      <c r="L2178" t="s">
        <v>6795</v>
      </c>
      <c r="M2178" t="s">
        <v>6796</v>
      </c>
      <c r="N2178" t="s">
        <v>447</v>
      </c>
      <c r="O2178" t="s">
        <v>28</v>
      </c>
      <c r="P2178" t="s">
        <v>29</v>
      </c>
      <c r="Q2178">
        <v>41</v>
      </c>
      <c r="R2178">
        <v>-74.172399999999996</v>
      </c>
    </row>
    <row r="2179" spans="1:18" x14ac:dyDescent="0.2">
      <c r="A2179" t="s">
        <v>675</v>
      </c>
      <c r="B2179" t="s">
        <v>1412</v>
      </c>
      <c r="C2179">
        <v>1</v>
      </c>
      <c r="D2179" s="1">
        <v>44014.937638888892</v>
      </c>
      <c r="E2179" t="s">
        <v>6797</v>
      </c>
      <c r="F2179" t="s">
        <v>678</v>
      </c>
      <c r="G2179" t="s">
        <v>6767</v>
      </c>
      <c r="H2179" t="s">
        <v>680</v>
      </c>
      <c r="I2179" t="s">
        <v>29</v>
      </c>
      <c r="J2179">
        <v>1</v>
      </c>
      <c r="K2179">
        <f>1-833-428-1209</f>
        <v>-2469</v>
      </c>
      <c r="L2179" t="s">
        <v>6798</v>
      </c>
      <c r="M2179" t="s">
        <v>6799</v>
      </c>
      <c r="N2179" t="s">
        <v>213</v>
      </c>
      <c r="O2179" t="s">
        <v>28</v>
      </c>
      <c r="P2179" t="s">
        <v>29</v>
      </c>
      <c r="Q2179">
        <v>41</v>
      </c>
      <c r="R2179">
        <v>-74.172399999999996</v>
      </c>
    </row>
    <row r="2180" spans="1:18" x14ac:dyDescent="0.2">
      <c r="A2180" t="s">
        <v>675</v>
      </c>
      <c r="B2180" t="s">
        <v>1412</v>
      </c>
      <c r="C2180">
        <v>1</v>
      </c>
      <c r="D2180" s="1">
        <v>44014.820625</v>
      </c>
      <c r="E2180" t="s">
        <v>6800</v>
      </c>
      <c r="F2180" t="s">
        <v>678</v>
      </c>
      <c r="G2180" t="s">
        <v>6767</v>
      </c>
      <c r="H2180" t="s">
        <v>680</v>
      </c>
      <c r="I2180" t="s">
        <v>29</v>
      </c>
      <c r="J2180">
        <v>1</v>
      </c>
      <c r="K2180">
        <f>1-833-298-5225</f>
        <v>-6355</v>
      </c>
      <c r="L2180" t="s">
        <v>6801</v>
      </c>
      <c r="M2180" t="s">
        <v>6802</v>
      </c>
      <c r="N2180" t="s">
        <v>3441</v>
      </c>
      <c r="O2180" t="s">
        <v>28</v>
      </c>
      <c r="P2180" t="s">
        <v>29</v>
      </c>
      <c r="Q2180">
        <v>41</v>
      </c>
      <c r="R2180">
        <v>-74.172399999999996</v>
      </c>
    </row>
    <row r="2181" spans="1:18" x14ac:dyDescent="0.2">
      <c r="A2181" t="s">
        <v>675</v>
      </c>
      <c r="B2181" t="s">
        <v>1412</v>
      </c>
      <c r="C2181">
        <v>1</v>
      </c>
      <c r="D2181" s="1">
        <v>44014.810578703706</v>
      </c>
      <c r="E2181" t="s">
        <v>6803</v>
      </c>
      <c r="F2181" t="s">
        <v>678</v>
      </c>
      <c r="G2181" t="s">
        <v>6767</v>
      </c>
      <c r="H2181" t="s">
        <v>680</v>
      </c>
      <c r="I2181" t="s">
        <v>29</v>
      </c>
      <c r="J2181">
        <v>1</v>
      </c>
      <c r="K2181">
        <f>1-833-414-7899</f>
        <v>-9145</v>
      </c>
      <c r="L2181" t="s">
        <v>6804</v>
      </c>
      <c r="M2181" t="s">
        <v>6805</v>
      </c>
      <c r="N2181" t="s">
        <v>3454</v>
      </c>
      <c r="O2181" t="s">
        <v>28</v>
      </c>
      <c r="P2181" t="s">
        <v>29</v>
      </c>
      <c r="Q2181">
        <v>41</v>
      </c>
      <c r="R2181">
        <v>-74.172399999999996</v>
      </c>
    </row>
    <row r="2182" spans="1:18" x14ac:dyDescent="0.2">
      <c r="A2182" t="s">
        <v>675</v>
      </c>
      <c r="B2182" t="s">
        <v>1412</v>
      </c>
      <c r="C2182">
        <v>1</v>
      </c>
      <c r="D2182" s="1">
        <v>44014.802685185183</v>
      </c>
      <c r="E2182" t="s">
        <v>6806</v>
      </c>
      <c r="F2182" t="s">
        <v>678</v>
      </c>
      <c r="G2182" t="s">
        <v>6767</v>
      </c>
      <c r="H2182" t="s">
        <v>680</v>
      </c>
      <c r="I2182" t="s">
        <v>29</v>
      </c>
      <c r="J2182">
        <v>1</v>
      </c>
      <c r="K2182">
        <f>1-833-428-586</f>
        <v>-1846</v>
      </c>
      <c r="L2182" t="s">
        <v>6807</v>
      </c>
      <c r="M2182" t="s">
        <v>6808</v>
      </c>
      <c r="N2182" t="s">
        <v>674</v>
      </c>
      <c r="O2182" t="s">
        <v>28</v>
      </c>
      <c r="P2182" t="s">
        <v>29</v>
      </c>
      <c r="Q2182">
        <v>41</v>
      </c>
      <c r="R2182">
        <v>-74.172399999999996</v>
      </c>
    </row>
    <row r="2183" spans="1:18" x14ac:dyDescent="0.2">
      <c r="A2183" t="s">
        <v>675</v>
      </c>
      <c r="B2183" t="s">
        <v>1412</v>
      </c>
      <c r="C2183">
        <v>1</v>
      </c>
      <c r="D2183" s="1">
        <v>44012.879791666666</v>
      </c>
      <c r="E2183" t="s">
        <v>6809</v>
      </c>
      <c r="F2183" t="s">
        <v>678</v>
      </c>
      <c r="G2183" t="s">
        <v>6767</v>
      </c>
      <c r="H2183" t="s">
        <v>680</v>
      </c>
      <c r="I2183" t="s">
        <v>29</v>
      </c>
      <c r="J2183">
        <v>1</v>
      </c>
      <c r="K2183">
        <f>1-833-337-129</f>
        <v>-1298</v>
      </c>
      <c r="L2183" t="s">
        <v>6810</v>
      </c>
      <c r="M2183" t="s">
        <v>6811</v>
      </c>
      <c r="N2183" t="s">
        <v>447</v>
      </c>
      <c r="O2183" t="s">
        <v>28</v>
      </c>
      <c r="P2183" t="s">
        <v>29</v>
      </c>
      <c r="Q2183">
        <v>41</v>
      </c>
      <c r="R2183">
        <v>-74.172399999999996</v>
      </c>
    </row>
    <row r="2184" spans="1:18" x14ac:dyDescent="0.2">
      <c r="A2184" t="s">
        <v>675</v>
      </c>
      <c r="B2184" t="s">
        <v>1412</v>
      </c>
      <c r="C2184">
        <v>1</v>
      </c>
      <c r="D2184" s="1">
        <v>44012.826053240744</v>
      </c>
      <c r="E2184" t="s">
        <v>6812</v>
      </c>
      <c r="F2184" t="s">
        <v>678</v>
      </c>
      <c r="G2184" t="s">
        <v>6767</v>
      </c>
      <c r="H2184" t="s">
        <v>680</v>
      </c>
      <c r="I2184" t="s">
        <v>29</v>
      </c>
      <c r="J2184">
        <v>1</v>
      </c>
      <c r="K2184">
        <f>1-833-428-586</f>
        <v>-1846</v>
      </c>
      <c r="L2184" t="s">
        <v>6813</v>
      </c>
      <c r="M2184" t="s">
        <v>6814</v>
      </c>
      <c r="N2184" t="s">
        <v>213</v>
      </c>
      <c r="O2184" t="s">
        <v>28</v>
      </c>
      <c r="P2184" t="s">
        <v>29</v>
      </c>
      <c r="Q2184">
        <v>41</v>
      </c>
      <c r="R2184">
        <v>-74.172399999999996</v>
      </c>
    </row>
    <row r="2185" spans="1:18" x14ac:dyDescent="0.2">
      <c r="A2185" t="s">
        <v>2233</v>
      </c>
      <c r="B2185" t="s">
        <v>440</v>
      </c>
      <c r="C2185">
        <v>1</v>
      </c>
      <c r="D2185" s="1">
        <v>44012.828773148147</v>
      </c>
      <c r="E2185" t="s">
        <v>6815</v>
      </c>
      <c r="F2185" t="s">
        <v>2236</v>
      </c>
      <c r="G2185" t="s">
        <v>6816</v>
      </c>
      <c r="H2185" t="s">
        <v>2237</v>
      </c>
      <c r="I2185" t="s">
        <v>29</v>
      </c>
      <c r="J2185">
        <v>1</v>
      </c>
      <c r="K2185">
        <f>1-855-945-3168</f>
        <v>-4967</v>
      </c>
      <c r="L2185" t="s">
        <v>6817</v>
      </c>
      <c r="M2185" t="s">
        <v>6818</v>
      </c>
      <c r="N2185" t="s">
        <v>6819</v>
      </c>
      <c r="O2185" t="s">
        <v>28</v>
      </c>
      <c r="P2185" t="s">
        <v>29</v>
      </c>
      <c r="Q2185">
        <v>39</v>
      </c>
      <c r="R2185">
        <v>-77.487399999999994</v>
      </c>
    </row>
    <row r="2186" spans="1:18" x14ac:dyDescent="0.2">
      <c r="A2186" t="s">
        <v>6660</v>
      </c>
      <c r="B2186" t="s">
        <v>6661</v>
      </c>
      <c r="C2186">
        <v>1</v>
      </c>
      <c r="D2186" s="1">
        <v>44143.1325462963</v>
      </c>
      <c r="E2186" t="s">
        <v>6820</v>
      </c>
      <c r="F2186" t="s">
        <v>6663</v>
      </c>
      <c r="G2186" t="s">
        <v>6821</v>
      </c>
      <c r="H2186" t="s">
        <v>6665</v>
      </c>
      <c r="I2186" t="s">
        <v>29</v>
      </c>
      <c r="J2186">
        <v>1</v>
      </c>
      <c r="K2186">
        <f>1-832-450-3396</f>
        <v>-4677</v>
      </c>
      <c r="L2186" t="s">
        <v>6822</v>
      </c>
      <c r="M2186" t="s">
        <v>6823</v>
      </c>
      <c r="N2186" t="s">
        <v>3454</v>
      </c>
      <c r="O2186" t="s">
        <v>134</v>
      </c>
      <c r="P2186" t="s">
        <v>29</v>
      </c>
      <c r="Q2186">
        <v>36</v>
      </c>
      <c r="R2186">
        <v>-82.551500000000004</v>
      </c>
    </row>
    <row r="2187" spans="1:18" x14ac:dyDescent="0.2">
      <c r="A2187" t="s">
        <v>6660</v>
      </c>
      <c r="B2187" t="s">
        <v>6661</v>
      </c>
      <c r="C2187">
        <v>1</v>
      </c>
      <c r="D2187" s="1">
        <v>44096.898240740738</v>
      </c>
      <c r="E2187" t="s">
        <v>6824</v>
      </c>
      <c r="F2187" t="s">
        <v>6663</v>
      </c>
      <c r="G2187" t="s">
        <v>6821</v>
      </c>
      <c r="H2187" t="s">
        <v>6665</v>
      </c>
      <c r="I2187" t="s">
        <v>29</v>
      </c>
      <c r="J2187">
        <v>1</v>
      </c>
      <c r="K2187">
        <f>1-800-301-2924</f>
        <v>-4024</v>
      </c>
      <c r="L2187" t="s">
        <v>6825</v>
      </c>
      <c r="M2187" t="s">
        <v>6826</v>
      </c>
      <c r="N2187" t="s">
        <v>3441</v>
      </c>
      <c r="O2187" t="s">
        <v>134</v>
      </c>
      <c r="P2187" t="s">
        <v>29</v>
      </c>
      <c r="Q2187">
        <v>36</v>
      </c>
      <c r="R2187">
        <v>-82.551500000000004</v>
      </c>
    </row>
    <row r="2188" spans="1:18" x14ac:dyDescent="0.2">
      <c r="A2188" t="s">
        <v>6660</v>
      </c>
      <c r="B2188" t="s">
        <v>6661</v>
      </c>
      <c r="C2188">
        <v>1</v>
      </c>
      <c r="D2188" s="1">
        <v>44012.866840277777</v>
      </c>
      <c r="E2188" t="s">
        <v>6827</v>
      </c>
      <c r="F2188" t="s">
        <v>6663</v>
      </c>
      <c r="G2188" t="s">
        <v>6821</v>
      </c>
      <c r="H2188" t="s">
        <v>6665</v>
      </c>
      <c r="I2188" t="s">
        <v>29</v>
      </c>
      <c r="J2188">
        <v>1</v>
      </c>
      <c r="K2188">
        <f>1-833-256-2778</f>
        <v>-3866</v>
      </c>
      <c r="L2188" t="s">
        <v>6828</v>
      </c>
      <c r="M2188" t="s">
        <v>6829</v>
      </c>
      <c r="N2188" t="s">
        <v>2475</v>
      </c>
      <c r="O2188" t="s">
        <v>134</v>
      </c>
      <c r="P2188" t="s">
        <v>29</v>
      </c>
      <c r="Q2188">
        <v>36</v>
      </c>
      <c r="R2188">
        <v>-82.551500000000004</v>
      </c>
    </row>
    <row r="2189" spans="1:18" x14ac:dyDescent="0.2">
      <c r="A2189" t="s">
        <v>2349</v>
      </c>
      <c r="B2189" t="s">
        <v>2488</v>
      </c>
      <c r="C2189">
        <v>1</v>
      </c>
      <c r="D2189" s="1">
        <v>44012.880509259259</v>
      </c>
      <c r="E2189" t="s">
        <v>6830</v>
      </c>
      <c r="F2189" t="s">
        <v>6831</v>
      </c>
      <c r="G2189" t="s">
        <v>6830</v>
      </c>
      <c r="H2189" t="s">
        <v>2353</v>
      </c>
      <c r="I2189" t="s">
        <v>29</v>
      </c>
      <c r="J2189">
        <v>1</v>
      </c>
      <c r="K2189">
        <f>1-888-660-1343</f>
        <v>-2890</v>
      </c>
      <c r="L2189" t="s">
        <v>6832</v>
      </c>
      <c r="M2189" t="s">
        <v>6833</v>
      </c>
      <c r="N2189">
        <v>76</v>
      </c>
      <c r="O2189" t="s">
        <v>134</v>
      </c>
      <c r="P2189" t="s">
        <v>29</v>
      </c>
      <c r="Q2189">
        <v>41</v>
      </c>
      <c r="R2189">
        <v>-74.460599999999999</v>
      </c>
    </row>
    <row r="2190" spans="1:18" x14ac:dyDescent="0.2">
      <c r="A2190" t="s">
        <v>2349</v>
      </c>
      <c r="B2190" t="s">
        <v>6834</v>
      </c>
      <c r="C2190">
        <v>1</v>
      </c>
      <c r="D2190" s="1">
        <v>44012.916712962964</v>
      </c>
      <c r="E2190" t="s">
        <v>6835</v>
      </c>
      <c r="F2190" t="s">
        <v>2352</v>
      </c>
      <c r="G2190" t="s">
        <v>6835</v>
      </c>
      <c r="H2190" t="s">
        <v>2353</v>
      </c>
      <c r="I2190" t="s">
        <v>29</v>
      </c>
      <c r="J2190">
        <v>1</v>
      </c>
      <c r="K2190">
        <f>1-888-906-1833</f>
        <v>-3626</v>
      </c>
      <c r="L2190" t="s">
        <v>6836</v>
      </c>
      <c r="M2190" t="s">
        <v>6837</v>
      </c>
      <c r="N2190">
        <v>154</v>
      </c>
      <c r="O2190" t="s">
        <v>134</v>
      </c>
      <c r="P2190" t="s">
        <v>29</v>
      </c>
      <c r="Q2190">
        <v>34</v>
      </c>
      <c r="R2190">
        <v>-99.999999000000003</v>
      </c>
    </row>
    <row r="2191" spans="1:18" x14ac:dyDescent="0.2">
      <c r="A2191" t="s">
        <v>2349</v>
      </c>
      <c r="B2191" t="s">
        <v>6134</v>
      </c>
      <c r="C2191">
        <v>1</v>
      </c>
      <c r="D2191" s="1">
        <v>44012.984675925924</v>
      </c>
      <c r="E2191" t="s">
        <v>6838</v>
      </c>
      <c r="F2191" t="s">
        <v>2352</v>
      </c>
      <c r="G2191" t="s">
        <v>6839</v>
      </c>
      <c r="H2191" t="s">
        <v>2353</v>
      </c>
      <c r="I2191" t="s">
        <v>29</v>
      </c>
      <c r="J2191">
        <v>1</v>
      </c>
      <c r="K2191">
        <f>1-855-582-7048</f>
        <v>-8484</v>
      </c>
      <c r="L2191" t="s">
        <v>6840</v>
      </c>
      <c r="M2191" t="s">
        <v>6841</v>
      </c>
      <c r="N2191" t="s">
        <v>452</v>
      </c>
      <c r="O2191" t="s">
        <v>28</v>
      </c>
      <c r="P2191" t="s">
        <v>29</v>
      </c>
      <c r="Q2191">
        <v>33</v>
      </c>
      <c r="R2191">
        <v>-96.794200000000004</v>
      </c>
    </row>
    <row r="2192" spans="1:18" x14ac:dyDescent="0.2">
      <c r="A2192" t="s">
        <v>2233</v>
      </c>
      <c r="B2192" t="s">
        <v>4281</v>
      </c>
      <c r="C2192">
        <v>33</v>
      </c>
      <c r="D2192" s="1">
        <v>44013.667071759257</v>
      </c>
      <c r="E2192" t="s">
        <v>6842</v>
      </c>
      <c r="F2192" t="s">
        <v>6618</v>
      </c>
      <c r="G2192" t="s">
        <v>6843</v>
      </c>
      <c r="H2192" t="s">
        <v>2237</v>
      </c>
      <c r="I2192" t="s">
        <v>292</v>
      </c>
      <c r="J2192">
        <v>33</v>
      </c>
      <c r="K2192">
        <f>33-9-70-18-35-19</f>
        <v>-118</v>
      </c>
      <c r="L2192" t="s">
        <v>6844</v>
      </c>
      <c r="M2192" t="s">
        <v>6845</v>
      </c>
      <c r="N2192" t="s">
        <v>278</v>
      </c>
      <c r="O2192" t="s">
        <v>28</v>
      </c>
      <c r="P2192" t="s">
        <v>24</v>
      </c>
      <c r="Q2192">
        <v>50</v>
      </c>
      <c r="R2192">
        <v>8.6821300000000008</v>
      </c>
    </row>
    <row r="2193" spans="1:18" x14ac:dyDescent="0.2">
      <c r="A2193" t="s">
        <v>663</v>
      </c>
      <c r="B2193" t="s">
        <v>6846</v>
      </c>
      <c r="C2193">
        <v>44</v>
      </c>
      <c r="D2193" s="1">
        <v>44013.779317129629</v>
      </c>
      <c r="E2193" t="s">
        <v>6847</v>
      </c>
      <c r="F2193" t="s">
        <v>666</v>
      </c>
      <c r="G2193" t="s">
        <v>6847</v>
      </c>
      <c r="H2193" t="s">
        <v>667</v>
      </c>
      <c r="I2193" t="s">
        <v>618</v>
      </c>
      <c r="J2193">
        <v>44</v>
      </c>
      <c r="K2193">
        <f>44-19-1308-60</f>
        <v>-1343</v>
      </c>
      <c r="L2193" t="s">
        <v>6848</v>
      </c>
      <c r="M2193" t="s">
        <v>6849</v>
      </c>
      <c r="N2193">
        <v>30</v>
      </c>
      <c r="O2193" t="s">
        <v>134</v>
      </c>
      <c r="P2193" t="s">
        <v>618</v>
      </c>
      <c r="Q2193">
        <v>52</v>
      </c>
      <c r="R2193">
        <v>-0.62150000000000005</v>
      </c>
    </row>
    <row r="2194" spans="1:18" x14ac:dyDescent="0.2">
      <c r="A2194" t="s">
        <v>439</v>
      </c>
      <c r="B2194" t="s">
        <v>4321</v>
      </c>
      <c r="C2194">
        <v>1</v>
      </c>
      <c r="D2194" s="1">
        <v>44013.791701388887</v>
      </c>
      <c r="E2194" t="s">
        <v>6850</v>
      </c>
      <c r="F2194" t="s">
        <v>442</v>
      </c>
      <c r="G2194" t="s">
        <v>6851</v>
      </c>
      <c r="H2194" t="s">
        <v>444</v>
      </c>
      <c r="I2194" t="s">
        <v>29</v>
      </c>
      <c r="J2194">
        <v>1</v>
      </c>
      <c r="K2194">
        <f>1-855-338-6072</f>
        <v>-7264</v>
      </c>
      <c r="L2194" t="s">
        <v>6852</v>
      </c>
      <c r="M2194" t="s">
        <v>6853</v>
      </c>
      <c r="N2194" t="s">
        <v>674</v>
      </c>
      <c r="O2194" t="s">
        <v>28</v>
      </c>
      <c r="P2194" t="s">
        <v>29</v>
      </c>
      <c r="Q2194">
        <v>42</v>
      </c>
      <c r="R2194">
        <v>-87.629800000000003</v>
      </c>
    </row>
    <row r="2195" spans="1:18" x14ac:dyDescent="0.2">
      <c r="A2195" t="s">
        <v>6660</v>
      </c>
      <c r="B2195" t="s">
        <v>6661</v>
      </c>
      <c r="C2195">
        <v>1</v>
      </c>
      <c r="D2195" s="1">
        <v>44013.800694444442</v>
      </c>
      <c r="E2195" t="s">
        <v>6854</v>
      </c>
      <c r="F2195" t="s">
        <v>6663</v>
      </c>
      <c r="G2195" t="s">
        <v>6855</v>
      </c>
      <c r="H2195" t="s">
        <v>6665</v>
      </c>
      <c r="I2195" t="s">
        <v>29</v>
      </c>
      <c r="J2195">
        <v>1</v>
      </c>
      <c r="K2195">
        <f>1-888-996-1579</f>
        <v>-3462</v>
      </c>
      <c r="L2195" t="s">
        <v>6856</v>
      </c>
      <c r="M2195" t="s">
        <v>6857</v>
      </c>
      <c r="N2195" t="s">
        <v>2475</v>
      </c>
      <c r="O2195" t="s">
        <v>134</v>
      </c>
      <c r="P2195" t="s">
        <v>29</v>
      </c>
      <c r="Q2195">
        <v>36</v>
      </c>
      <c r="R2195">
        <v>-82.551500000000004</v>
      </c>
    </row>
    <row r="2196" spans="1:18" x14ac:dyDescent="0.2">
      <c r="A2196" t="s">
        <v>2349</v>
      </c>
      <c r="B2196" t="s">
        <v>440</v>
      </c>
      <c r="C2196">
        <v>1</v>
      </c>
      <c r="D2196" s="1">
        <v>44013.814976851849</v>
      </c>
      <c r="E2196" t="s">
        <v>6858</v>
      </c>
      <c r="F2196" t="s">
        <v>2352</v>
      </c>
      <c r="G2196" t="s">
        <v>6859</v>
      </c>
      <c r="H2196" t="s">
        <v>2353</v>
      </c>
      <c r="I2196" t="s">
        <v>29</v>
      </c>
      <c r="J2196">
        <v>1</v>
      </c>
      <c r="K2196">
        <f>1-833-261-5808</f>
        <v>-6901</v>
      </c>
      <c r="L2196" t="s">
        <v>6860</v>
      </c>
      <c r="M2196" t="s">
        <v>6861</v>
      </c>
      <c r="N2196" t="s">
        <v>452</v>
      </c>
      <c r="O2196" t="s">
        <v>134</v>
      </c>
      <c r="P2196" t="s">
        <v>29</v>
      </c>
      <c r="Q2196">
        <v>39</v>
      </c>
      <c r="R2196">
        <v>-77.487399999999994</v>
      </c>
    </row>
    <row r="2197" spans="1:18" x14ac:dyDescent="0.2">
      <c r="A2197" t="s">
        <v>2233</v>
      </c>
      <c r="B2197" t="s">
        <v>440</v>
      </c>
      <c r="C2197">
        <v>1</v>
      </c>
      <c r="D2197" s="1">
        <v>44013.836168981485</v>
      </c>
      <c r="E2197" t="s">
        <v>6862</v>
      </c>
      <c r="F2197" t="s">
        <v>2236</v>
      </c>
      <c r="G2197" t="s">
        <v>6863</v>
      </c>
      <c r="H2197" t="s">
        <v>2237</v>
      </c>
      <c r="I2197" t="s">
        <v>29</v>
      </c>
      <c r="J2197">
        <v>1</v>
      </c>
      <c r="K2197">
        <f>1-855-951-4984</f>
        <v>-6789</v>
      </c>
      <c r="L2197" t="s">
        <v>6864</v>
      </c>
      <c r="M2197" t="s">
        <v>6865</v>
      </c>
      <c r="N2197" t="s">
        <v>6819</v>
      </c>
      <c r="O2197" t="s">
        <v>28</v>
      </c>
      <c r="P2197" t="s">
        <v>29</v>
      </c>
      <c r="Q2197">
        <v>39</v>
      </c>
      <c r="R2197">
        <v>-77.487399999999994</v>
      </c>
    </row>
    <row r="2198" spans="1:18" x14ac:dyDescent="0.2">
      <c r="A2198" t="s">
        <v>2349</v>
      </c>
      <c r="B2198" t="s">
        <v>1412</v>
      </c>
      <c r="C2198">
        <v>1</v>
      </c>
      <c r="D2198" s="1">
        <v>44013.836273148147</v>
      </c>
      <c r="E2198" t="s">
        <v>6866</v>
      </c>
      <c r="F2198" t="s">
        <v>2352</v>
      </c>
      <c r="G2198" t="s">
        <v>6866</v>
      </c>
      <c r="H2198" t="s">
        <v>2353</v>
      </c>
      <c r="I2198" t="s">
        <v>29</v>
      </c>
      <c r="J2198">
        <v>1</v>
      </c>
      <c r="K2198">
        <f>1-833-410-7368</f>
        <v>-8610</v>
      </c>
      <c r="L2198" t="s">
        <v>6867</v>
      </c>
      <c r="M2198" t="s">
        <v>6868</v>
      </c>
      <c r="N2198">
        <v>77</v>
      </c>
      <c r="O2198" t="s">
        <v>134</v>
      </c>
      <c r="P2198" t="s">
        <v>29</v>
      </c>
      <c r="Q2198">
        <v>41</v>
      </c>
      <c r="R2198">
        <v>-74.178200000000004</v>
      </c>
    </row>
    <row r="2199" spans="1:18" x14ac:dyDescent="0.2">
      <c r="A2199" t="s">
        <v>2233</v>
      </c>
      <c r="B2199" t="s">
        <v>2234</v>
      </c>
      <c r="C2199">
        <v>1</v>
      </c>
      <c r="D2199" s="1">
        <v>44014.363958333335</v>
      </c>
      <c r="E2199" t="s">
        <v>6869</v>
      </c>
      <c r="F2199" t="s">
        <v>2236</v>
      </c>
      <c r="G2199" t="s">
        <v>6870</v>
      </c>
      <c r="H2199" t="s">
        <v>2237</v>
      </c>
      <c r="I2199" t="s">
        <v>29</v>
      </c>
      <c r="J2199">
        <v>1</v>
      </c>
      <c r="K2199">
        <f>1-833-528-4685</f>
        <v>-6045</v>
      </c>
      <c r="L2199" t="s">
        <v>6871</v>
      </c>
      <c r="M2199" t="s">
        <v>6872</v>
      </c>
      <c r="N2199" t="s">
        <v>5354</v>
      </c>
      <c r="O2199" t="s">
        <v>134</v>
      </c>
      <c r="P2199" t="s">
        <v>29</v>
      </c>
      <c r="Q2199">
        <v>40</v>
      </c>
      <c r="R2199">
        <v>-83.114099999999993</v>
      </c>
    </row>
    <row r="2200" spans="1:18" x14ac:dyDescent="0.2">
      <c r="A2200" t="s">
        <v>439</v>
      </c>
      <c r="B2200" t="s">
        <v>4321</v>
      </c>
      <c r="C2200">
        <v>44</v>
      </c>
      <c r="D2200" s="1">
        <v>44014.366469907407</v>
      </c>
      <c r="E2200" t="s">
        <v>6873</v>
      </c>
      <c r="F2200" t="s">
        <v>442</v>
      </c>
      <c r="G2200" t="s">
        <v>6874</v>
      </c>
      <c r="H2200" t="s">
        <v>444</v>
      </c>
      <c r="I2200" t="s">
        <v>618</v>
      </c>
      <c r="J2200">
        <v>44</v>
      </c>
      <c r="K2200">
        <f>44-808-196-8122</f>
        <v>-9082</v>
      </c>
      <c r="L2200" t="s">
        <v>6875</v>
      </c>
      <c r="M2200" t="s">
        <v>6876</v>
      </c>
      <c r="N2200" t="s">
        <v>3454</v>
      </c>
      <c r="O2200" t="s">
        <v>28</v>
      </c>
      <c r="P2200" t="s">
        <v>29</v>
      </c>
      <c r="Q2200">
        <v>42</v>
      </c>
      <c r="R2200">
        <v>-87.629800000000003</v>
      </c>
    </row>
    <row r="2201" spans="1:18" x14ac:dyDescent="0.2">
      <c r="A2201" t="s">
        <v>2233</v>
      </c>
      <c r="B2201" t="s">
        <v>2234</v>
      </c>
      <c r="C2201">
        <v>41</v>
      </c>
      <c r="D2201" s="1">
        <v>44014.575949074075</v>
      </c>
      <c r="E2201" t="s">
        <v>6877</v>
      </c>
      <c r="F2201" t="s">
        <v>2236</v>
      </c>
      <c r="G2201" t="s">
        <v>6877</v>
      </c>
      <c r="H2201" t="s">
        <v>2237</v>
      </c>
      <c r="I2201" t="s">
        <v>204</v>
      </c>
      <c r="J2201">
        <v>41</v>
      </c>
      <c r="K2201">
        <f>41-800-101-202</f>
        <v>-1062</v>
      </c>
      <c r="L2201" t="s">
        <v>6878</v>
      </c>
      <c r="M2201" t="s">
        <v>6879</v>
      </c>
      <c r="N2201">
        <v>255</v>
      </c>
      <c r="O2201" t="s">
        <v>134</v>
      </c>
      <c r="P2201" t="s">
        <v>29</v>
      </c>
      <c r="Q2201">
        <v>40</v>
      </c>
      <c r="R2201">
        <v>-83.114099999999993</v>
      </c>
    </row>
    <row r="2202" spans="1:18" x14ac:dyDescent="0.2">
      <c r="A2202" t="s">
        <v>2233</v>
      </c>
      <c r="B2202" t="s">
        <v>2234</v>
      </c>
      <c r="C2202">
        <v>1</v>
      </c>
      <c r="D2202" s="1">
        <v>44014.855486111112</v>
      </c>
      <c r="E2202" t="s">
        <v>6880</v>
      </c>
      <c r="F2202" t="s">
        <v>2236</v>
      </c>
      <c r="G2202" t="s">
        <v>6881</v>
      </c>
      <c r="H2202" t="s">
        <v>2237</v>
      </c>
      <c r="I2202" t="s">
        <v>29</v>
      </c>
      <c r="J2202">
        <v>1</v>
      </c>
      <c r="K2202">
        <f>1-833-528-4685</f>
        <v>-6045</v>
      </c>
      <c r="L2202" t="s">
        <v>6882</v>
      </c>
      <c r="M2202" t="s">
        <v>6883</v>
      </c>
      <c r="N2202" t="s">
        <v>5354</v>
      </c>
      <c r="O2202" t="s">
        <v>134</v>
      </c>
      <c r="P2202" t="s">
        <v>29</v>
      </c>
      <c r="Q2202">
        <v>40</v>
      </c>
      <c r="R2202">
        <v>-83.114099999999993</v>
      </c>
    </row>
    <row r="2203" spans="1:18" x14ac:dyDescent="0.2">
      <c r="A2203" t="s">
        <v>663</v>
      </c>
      <c r="B2203" t="s">
        <v>454</v>
      </c>
      <c r="C2203">
        <v>1</v>
      </c>
      <c r="D2203" s="1">
        <v>44014.748310185183</v>
      </c>
      <c r="E2203" t="s">
        <v>6884</v>
      </c>
      <c r="F2203" t="s">
        <v>666</v>
      </c>
      <c r="G2203" t="s">
        <v>6884</v>
      </c>
      <c r="H2203" t="s">
        <v>667</v>
      </c>
      <c r="I2203" t="s">
        <v>29</v>
      </c>
      <c r="J2203">
        <v>1</v>
      </c>
      <c r="K2203">
        <f>1-833-317-791</f>
        <v>-1940</v>
      </c>
      <c r="L2203" t="s">
        <v>6885</v>
      </c>
      <c r="M2203" t="s">
        <v>6886</v>
      </c>
      <c r="N2203">
        <v>55</v>
      </c>
      <c r="O2203" t="s">
        <v>134</v>
      </c>
      <c r="P2203" t="s">
        <v>461</v>
      </c>
      <c r="Q2203">
        <v>52</v>
      </c>
      <c r="R2203">
        <v>4.9391999999999996</v>
      </c>
    </row>
    <row r="2204" spans="1:18" x14ac:dyDescent="0.2">
      <c r="A2204" t="s">
        <v>6887</v>
      </c>
      <c r="B2204" t="s">
        <v>6888</v>
      </c>
      <c r="C2204">
        <v>1</v>
      </c>
      <c r="D2204" s="1">
        <v>44014.776493055557</v>
      </c>
      <c r="E2204" t="s">
        <v>6889</v>
      </c>
      <c r="F2204" t="s">
        <v>6890</v>
      </c>
      <c r="G2204" t="s">
        <v>6891</v>
      </c>
      <c r="H2204" t="s">
        <v>6892</v>
      </c>
      <c r="I2204" t="s">
        <v>29</v>
      </c>
      <c r="J2204">
        <v>1</v>
      </c>
      <c r="K2204">
        <f>1-800-381-841</f>
        <v>-2021</v>
      </c>
      <c r="L2204" t="s">
        <v>6893</v>
      </c>
      <c r="M2204" t="s">
        <v>6894</v>
      </c>
      <c r="N2204" t="s">
        <v>2475</v>
      </c>
      <c r="O2204" t="s">
        <v>28</v>
      </c>
      <c r="P2204" t="s">
        <v>29</v>
      </c>
      <c r="Q2204">
        <v>46</v>
      </c>
      <c r="R2204">
        <v>-99.999999000000003</v>
      </c>
    </row>
    <row r="2205" spans="1:18" x14ac:dyDescent="0.2">
      <c r="A2205" t="s">
        <v>675</v>
      </c>
      <c r="B2205" t="s">
        <v>1412</v>
      </c>
      <c r="C2205">
        <v>81</v>
      </c>
      <c r="D2205" s="1">
        <v>44025.448958333334</v>
      </c>
      <c r="E2205" t="s">
        <v>6895</v>
      </c>
      <c r="F2205" t="s">
        <v>678</v>
      </c>
      <c r="G2205" t="s">
        <v>6896</v>
      </c>
      <c r="H2205" t="s">
        <v>680</v>
      </c>
      <c r="I2205" t="s">
        <v>53</v>
      </c>
      <c r="J2205">
        <v>81</v>
      </c>
      <c r="K2205">
        <f>81-50-5539-6444</f>
        <v>-11952</v>
      </c>
      <c r="L2205" t="s">
        <v>6897</v>
      </c>
      <c r="M2205" t="s">
        <v>6898</v>
      </c>
      <c r="N2205" t="s">
        <v>2475</v>
      </c>
      <c r="O2205" t="s">
        <v>28</v>
      </c>
      <c r="P2205" t="s">
        <v>29</v>
      </c>
      <c r="Q2205">
        <v>41</v>
      </c>
      <c r="R2205">
        <v>-74.172399999999996</v>
      </c>
    </row>
    <row r="2206" spans="1:18" x14ac:dyDescent="0.2">
      <c r="A2206" t="s">
        <v>675</v>
      </c>
      <c r="B2206" t="s">
        <v>1412</v>
      </c>
      <c r="C2206">
        <v>44</v>
      </c>
      <c r="D2206" s="1">
        <v>44014.828877314816</v>
      </c>
      <c r="E2206" t="s">
        <v>6895</v>
      </c>
      <c r="F2206" t="s">
        <v>678</v>
      </c>
      <c r="G2206" t="s">
        <v>6896</v>
      </c>
      <c r="H2206" t="s">
        <v>680</v>
      </c>
      <c r="I2206" t="s">
        <v>618</v>
      </c>
      <c r="J2206">
        <v>44</v>
      </c>
      <c r="K2206">
        <f>44-191-308-677</f>
        <v>-1132</v>
      </c>
      <c r="L2206" t="s">
        <v>6899</v>
      </c>
      <c r="M2206" t="s">
        <v>6900</v>
      </c>
      <c r="N2206" t="s">
        <v>2475</v>
      </c>
      <c r="O2206" t="s">
        <v>28</v>
      </c>
      <c r="P2206" t="s">
        <v>29</v>
      </c>
      <c r="Q2206">
        <v>41</v>
      </c>
      <c r="R2206">
        <v>-74.172399999999996</v>
      </c>
    </row>
    <row r="2207" spans="1:18" x14ac:dyDescent="0.2">
      <c r="A2207" t="s">
        <v>2349</v>
      </c>
      <c r="B2207" t="s">
        <v>4281</v>
      </c>
      <c r="C2207">
        <v>49</v>
      </c>
      <c r="D2207" s="1">
        <v>44019.464918981481</v>
      </c>
      <c r="E2207" t="s">
        <v>6901</v>
      </c>
      <c r="F2207" t="s">
        <v>2352</v>
      </c>
      <c r="G2207" t="s">
        <v>6901</v>
      </c>
      <c r="H2207" t="s">
        <v>2353</v>
      </c>
      <c r="I2207" t="s">
        <v>24</v>
      </c>
      <c r="J2207">
        <v>49</v>
      </c>
      <c r="K2207">
        <f>49-800-723-7181</f>
        <v>-8655</v>
      </c>
      <c r="L2207" t="s">
        <v>6902</v>
      </c>
      <c r="M2207" t="s">
        <v>6903</v>
      </c>
      <c r="N2207">
        <v>150</v>
      </c>
      <c r="O2207" t="s">
        <v>134</v>
      </c>
      <c r="P2207" t="s">
        <v>24</v>
      </c>
      <c r="Q2207">
        <v>50</v>
      </c>
      <c r="R2207">
        <v>8.72776</v>
      </c>
    </row>
    <row r="2208" spans="1:18" x14ac:dyDescent="0.2">
      <c r="A2208" t="s">
        <v>6904</v>
      </c>
      <c r="B2208" t="s">
        <v>6905</v>
      </c>
      <c r="C2208">
        <v>1</v>
      </c>
      <c r="D2208" s="1">
        <v>44014.888067129628</v>
      </c>
      <c r="E2208" t="s">
        <v>6906</v>
      </c>
      <c r="F2208" t="s">
        <v>6907</v>
      </c>
      <c r="G2208" t="s">
        <v>6908</v>
      </c>
      <c r="H2208" t="s">
        <v>6909</v>
      </c>
      <c r="I2208" t="s">
        <v>29</v>
      </c>
      <c r="J2208">
        <v>1</v>
      </c>
      <c r="K2208">
        <f>1-800-211-9632</f>
        <v>-10642</v>
      </c>
      <c r="L2208" t="s">
        <v>6910</v>
      </c>
      <c r="M2208" t="s">
        <v>6911</v>
      </c>
      <c r="N2208" t="s">
        <v>452</v>
      </c>
      <c r="O2208" t="s">
        <v>28</v>
      </c>
      <c r="P2208" t="s">
        <v>29</v>
      </c>
      <c r="Q2208">
        <v>34</v>
      </c>
      <c r="R2208">
        <v>-99.999999000000003</v>
      </c>
    </row>
    <row r="2209" spans="1:18" x14ac:dyDescent="0.2">
      <c r="A2209" t="s">
        <v>6912</v>
      </c>
      <c r="B2209" t="s">
        <v>6913</v>
      </c>
      <c r="C2209">
        <v>1</v>
      </c>
      <c r="D2209" s="1">
        <v>44067.687175925923</v>
      </c>
      <c r="E2209" t="s">
        <v>6914</v>
      </c>
      <c r="F2209" t="s">
        <v>6663</v>
      </c>
      <c r="G2209" t="s">
        <v>6915</v>
      </c>
      <c r="H2209" t="s">
        <v>6665</v>
      </c>
      <c r="I2209" t="s">
        <v>29</v>
      </c>
      <c r="J2209">
        <v>1</v>
      </c>
      <c r="K2209">
        <f>1-808-600-6735</f>
        <v>-8142</v>
      </c>
      <c r="L2209" t="s">
        <v>6916</v>
      </c>
      <c r="M2209" t="s">
        <v>6917</v>
      </c>
      <c r="N2209" t="s">
        <v>5354</v>
      </c>
      <c r="O2209" t="s">
        <v>28</v>
      </c>
      <c r="P2209" t="s">
        <v>29</v>
      </c>
      <c r="Q2209">
        <v>35</v>
      </c>
      <c r="R2209">
        <v>-80.843100000000007</v>
      </c>
    </row>
    <row r="2210" spans="1:18" x14ac:dyDescent="0.2">
      <c r="A2210" t="s">
        <v>6912</v>
      </c>
      <c r="B2210" t="s">
        <v>6913</v>
      </c>
      <c r="C2210">
        <v>1</v>
      </c>
      <c r="D2210" s="1">
        <v>44014.920972222222</v>
      </c>
      <c r="E2210" t="s">
        <v>6918</v>
      </c>
      <c r="F2210" t="s">
        <v>6663</v>
      </c>
      <c r="G2210" t="s">
        <v>6915</v>
      </c>
      <c r="H2210" t="s">
        <v>6665</v>
      </c>
      <c r="I2210" t="s">
        <v>29</v>
      </c>
      <c r="J2210">
        <v>1</v>
      </c>
      <c r="K2210">
        <f>1-866-615-3240</f>
        <v>-4720</v>
      </c>
      <c r="L2210" t="s">
        <v>6919</v>
      </c>
      <c r="M2210" t="s">
        <v>6920</v>
      </c>
      <c r="N2210" t="s">
        <v>5354</v>
      </c>
      <c r="O2210" t="s">
        <v>28</v>
      </c>
      <c r="P2210" t="s">
        <v>29</v>
      </c>
      <c r="Q2210">
        <v>35</v>
      </c>
      <c r="R2210">
        <v>-80.843100000000007</v>
      </c>
    </row>
    <row r="2211" spans="1:18" x14ac:dyDescent="0.2">
      <c r="A2211" t="s">
        <v>3420</v>
      </c>
      <c r="B2211" t="s">
        <v>6921</v>
      </c>
      <c r="C2211">
        <v>1</v>
      </c>
      <c r="D2211" s="1">
        <v>44014.927129629628</v>
      </c>
      <c r="E2211" t="s">
        <v>6922</v>
      </c>
      <c r="F2211" t="s">
        <v>3422</v>
      </c>
      <c r="G2211" t="s">
        <v>6922</v>
      </c>
      <c r="H2211" t="s">
        <v>3423</v>
      </c>
      <c r="I2211" t="s">
        <v>29</v>
      </c>
      <c r="J2211">
        <v>1</v>
      </c>
      <c r="K2211">
        <f>1-888-498-6991</f>
        <v>-8376</v>
      </c>
      <c r="L2211" t="s">
        <v>6923</v>
      </c>
      <c r="M2211" t="s">
        <v>6924</v>
      </c>
      <c r="N2211">
        <v>50</v>
      </c>
      <c r="O2211" t="s">
        <v>134</v>
      </c>
      <c r="P2211" t="s">
        <v>29</v>
      </c>
      <c r="Q2211">
        <v>41</v>
      </c>
      <c r="R2211">
        <v>-95.860799999999998</v>
      </c>
    </row>
    <row r="2212" spans="1:18" x14ac:dyDescent="0.2">
      <c r="A2212" t="s">
        <v>6660</v>
      </c>
      <c r="B2212" t="s">
        <v>6661</v>
      </c>
      <c r="C2212">
        <v>1</v>
      </c>
      <c r="D2212" s="1">
        <v>44033.813437500001</v>
      </c>
      <c r="E2212" t="s">
        <v>6925</v>
      </c>
      <c r="F2212" t="s">
        <v>6663</v>
      </c>
      <c r="G2212" t="s">
        <v>6926</v>
      </c>
      <c r="H2212" t="s">
        <v>6665</v>
      </c>
      <c r="I2212" t="s">
        <v>29</v>
      </c>
      <c r="J2212">
        <v>1</v>
      </c>
      <c r="K2212">
        <f>1-866-614-983</f>
        <v>-2462</v>
      </c>
      <c r="L2212" t="s">
        <v>6927</v>
      </c>
      <c r="M2212" t="s">
        <v>6928</v>
      </c>
      <c r="N2212" t="s">
        <v>452</v>
      </c>
      <c r="O2212" t="s">
        <v>134</v>
      </c>
      <c r="P2212" t="s">
        <v>29</v>
      </c>
      <c r="Q2212">
        <v>36</v>
      </c>
      <c r="R2212">
        <v>-82.551500000000004</v>
      </c>
    </row>
    <row r="2213" spans="1:18" x14ac:dyDescent="0.2">
      <c r="A2213" t="s">
        <v>6660</v>
      </c>
      <c r="B2213" t="s">
        <v>6661</v>
      </c>
      <c r="C2213">
        <v>1</v>
      </c>
      <c r="D2213" s="1">
        <v>44027.909861111111</v>
      </c>
      <c r="E2213" t="s">
        <v>6929</v>
      </c>
      <c r="F2213" t="s">
        <v>6663</v>
      </c>
      <c r="G2213" t="s">
        <v>6926</v>
      </c>
      <c r="H2213" t="s">
        <v>6665</v>
      </c>
      <c r="I2213" t="s">
        <v>29</v>
      </c>
      <c r="J2213">
        <v>1</v>
      </c>
      <c r="K2213">
        <f>1-866-440-9316</f>
        <v>-10621</v>
      </c>
      <c r="L2213" t="s">
        <v>6930</v>
      </c>
      <c r="M2213" t="s">
        <v>6931</v>
      </c>
      <c r="N2213" t="s">
        <v>3454</v>
      </c>
      <c r="O2213" t="s">
        <v>134</v>
      </c>
      <c r="P2213" t="s">
        <v>29</v>
      </c>
      <c r="Q2213">
        <v>36</v>
      </c>
      <c r="R2213">
        <v>-82.551500000000004</v>
      </c>
    </row>
    <row r="2214" spans="1:18" x14ac:dyDescent="0.2">
      <c r="A2214" t="s">
        <v>6660</v>
      </c>
      <c r="B2214" t="s">
        <v>6661</v>
      </c>
      <c r="C2214">
        <v>1</v>
      </c>
      <c r="D2214" s="1">
        <v>44027.870289351849</v>
      </c>
      <c r="E2214" t="s">
        <v>6932</v>
      </c>
      <c r="F2214" t="s">
        <v>6663</v>
      </c>
      <c r="G2214" t="s">
        <v>6926</v>
      </c>
      <c r="H2214" t="s">
        <v>6665</v>
      </c>
      <c r="I2214" t="s">
        <v>29</v>
      </c>
      <c r="J2214">
        <v>1</v>
      </c>
      <c r="K2214">
        <f>1-866-767-9920</f>
        <v>-11552</v>
      </c>
      <c r="L2214" t="s">
        <v>6933</v>
      </c>
      <c r="M2214" t="s">
        <v>6934</v>
      </c>
      <c r="N2214" t="s">
        <v>213</v>
      </c>
      <c r="O2214" t="s">
        <v>134</v>
      </c>
      <c r="P2214" t="s">
        <v>29</v>
      </c>
      <c r="Q2214">
        <v>36</v>
      </c>
      <c r="R2214">
        <v>-82.551500000000004</v>
      </c>
    </row>
    <row r="2215" spans="1:18" x14ac:dyDescent="0.2">
      <c r="A2215" t="s">
        <v>6660</v>
      </c>
      <c r="B2215" t="s">
        <v>6661</v>
      </c>
      <c r="C2215">
        <v>1</v>
      </c>
      <c r="D2215" s="1">
        <v>44027.772199074076</v>
      </c>
      <c r="E2215" t="s">
        <v>6935</v>
      </c>
      <c r="F2215" t="s">
        <v>6663</v>
      </c>
      <c r="G2215" t="s">
        <v>6926</v>
      </c>
      <c r="H2215" t="s">
        <v>6665</v>
      </c>
      <c r="I2215" t="s">
        <v>29</v>
      </c>
      <c r="J2215">
        <v>1</v>
      </c>
      <c r="K2215">
        <f>1-866-545-9232</f>
        <v>-10642</v>
      </c>
      <c r="L2215" t="s">
        <v>6936</v>
      </c>
      <c r="M2215" t="s">
        <v>6937</v>
      </c>
      <c r="N2215" t="s">
        <v>674</v>
      </c>
      <c r="O2215" t="s">
        <v>134</v>
      </c>
      <c r="P2215" t="s">
        <v>29</v>
      </c>
      <c r="Q2215">
        <v>36</v>
      </c>
      <c r="R2215">
        <v>-82.551500000000004</v>
      </c>
    </row>
    <row r="2216" spans="1:18" x14ac:dyDescent="0.2">
      <c r="A2216" t="s">
        <v>6660</v>
      </c>
      <c r="B2216" t="s">
        <v>6661</v>
      </c>
      <c r="C2216">
        <v>1</v>
      </c>
      <c r="D2216" s="1">
        <v>44027.046111111114</v>
      </c>
      <c r="E2216" t="s">
        <v>6938</v>
      </c>
      <c r="F2216" t="s">
        <v>6663</v>
      </c>
      <c r="G2216" t="s">
        <v>6926</v>
      </c>
      <c r="H2216" t="s">
        <v>6665</v>
      </c>
      <c r="I2216" t="s">
        <v>29</v>
      </c>
      <c r="J2216">
        <v>1</v>
      </c>
      <c r="K2216">
        <f>1-866-898-282</f>
        <v>-2045</v>
      </c>
      <c r="L2216" t="s">
        <v>6939</v>
      </c>
      <c r="M2216" t="s">
        <v>6940</v>
      </c>
      <c r="N2216" t="s">
        <v>447</v>
      </c>
      <c r="O2216" t="s">
        <v>134</v>
      </c>
      <c r="P2216" t="s">
        <v>29</v>
      </c>
      <c r="Q2216">
        <v>36</v>
      </c>
      <c r="R2216">
        <v>-82.551500000000004</v>
      </c>
    </row>
    <row r="2217" spans="1:18" x14ac:dyDescent="0.2">
      <c r="A2217" t="s">
        <v>6660</v>
      </c>
      <c r="B2217" t="s">
        <v>6661</v>
      </c>
      <c r="C2217">
        <v>1</v>
      </c>
      <c r="D2217" s="1">
        <v>44026.913275462961</v>
      </c>
      <c r="E2217" t="s">
        <v>6941</v>
      </c>
      <c r="F2217" t="s">
        <v>6663</v>
      </c>
      <c r="G2217" t="s">
        <v>6926</v>
      </c>
      <c r="H2217" t="s">
        <v>6665</v>
      </c>
      <c r="I2217" t="s">
        <v>29</v>
      </c>
      <c r="J2217">
        <v>1</v>
      </c>
      <c r="K2217">
        <f>1-866-459-401</f>
        <v>-1725</v>
      </c>
      <c r="L2217" t="s">
        <v>6942</v>
      </c>
      <c r="M2217" t="s">
        <v>6943</v>
      </c>
      <c r="N2217" t="s">
        <v>213</v>
      </c>
      <c r="O2217" t="s">
        <v>134</v>
      </c>
      <c r="P2217" t="s">
        <v>29</v>
      </c>
      <c r="Q2217">
        <v>36</v>
      </c>
      <c r="R2217">
        <v>-82.551500000000004</v>
      </c>
    </row>
    <row r="2218" spans="1:18" x14ac:dyDescent="0.2">
      <c r="A2218" t="s">
        <v>6660</v>
      </c>
      <c r="B2218" t="s">
        <v>6661</v>
      </c>
      <c r="C2218">
        <v>1</v>
      </c>
      <c r="D2218" s="1">
        <v>44026.859791666669</v>
      </c>
      <c r="E2218" t="s">
        <v>6944</v>
      </c>
      <c r="F2218" t="s">
        <v>6663</v>
      </c>
      <c r="G2218" t="s">
        <v>6926</v>
      </c>
      <c r="H2218" t="s">
        <v>6665</v>
      </c>
      <c r="I2218" t="s">
        <v>29</v>
      </c>
      <c r="J2218">
        <v>1</v>
      </c>
      <c r="K2218">
        <f>1-866-315-4247</f>
        <v>-5427</v>
      </c>
      <c r="L2218" t="s">
        <v>6945</v>
      </c>
      <c r="M2218" t="s">
        <v>6946</v>
      </c>
      <c r="N2218" t="s">
        <v>674</v>
      </c>
      <c r="O2218" t="s">
        <v>134</v>
      </c>
      <c r="P2218" t="s">
        <v>29</v>
      </c>
      <c r="Q2218">
        <v>36</v>
      </c>
      <c r="R2218">
        <v>-82.551500000000004</v>
      </c>
    </row>
    <row r="2219" spans="1:18" x14ac:dyDescent="0.2">
      <c r="A2219" t="s">
        <v>6660</v>
      </c>
      <c r="B2219" t="s">
        <v>6661</v>
      </c>
      <c r="C2219">
        <v>1</v>
      </c>
      <c r="D2219" s="1">
        <v>44026.811597222222</v>
      </c>
      <c r="E2219" t="s">
        <v>6947</v>
      </c>
      <c r="F2219" t="s">
        <v>6663</v>
      </c>
      <c r="G2219" t="s">
        <v>6926</v>
      </c>
      <c r="H2219" t="s">
        <v>6665</v>
      </c>
      <c r="I2219" t="s">
        <v>29</v>
      </c>
      <c r="J2219">
        <v>1</v>
      </c>
      <c r="K2219">
        <f>1-866-668-1460</f>
        <v>-2993</v>
      </c>
      <c r="L2219" t="s">
        <v>6948</v>
      </c>
      <c r="M2219" t="s">
        <v>6949</v>
      </c>
      <c r="N2219" t="s">
        <v>447</v>
      </c>
      <c r="O2219" t="s">
        <v>134</v>
      </c>
      <c r="P2219" t="s">
        <v>29</v>
      </c>
      <c r="Q2219">
        <v>36</v>
      </c>
      <c r="R2219">
        <v>-82.551500000000004</v>
      </c>
    </row>
    <row r="2220" spans="1:18" x14ac:dyDescent="0.2">
      <c r="A2220" t="s">
        <v>6660</v>
      </c>
      <c r="B2220" t="s">
        <v>6661</v>
      </c>
      <c r="C2220">
        <v>1</v>
      </c>
      <c r="D2220" s="1">
        <v>44026.800428240742</v>
      </c>
      <c r="E2220" t="s">
        <v>6950</v>
      </c>
      <c r="F2220" t="s">
        <v>6663</v>
      </c>
      <c r="G2220" t="s">
        <v>6926</v>
      </c>
      <c r="H2220" t="s">
        <v>6665</v>
      </c>
      <c r="I2220" t="s">
        <v>29</v>
      </c>
      <c r="J2220">
        <v>1</v>
      </c>
      <c r="K2220">
        <f>1-866-668-1460</f>
        <v>-2993</v>
      </c>
      <c r="L2220" t="s">
        <v>6951</v>
      </c>
      <c r="M2220" t="s">
        <v>6952</v>
      </c>
      <c r="N2220" t="s">
        <v>213</v>
      </c>
      <c r="O2220" t="s">
        <v>134</v>
      </c>
      <c r="P2220" t="s">
        <v>29</v>
      </c>
      <c r="Q2220">
        <v>36</v>
      </c>
      <c r="R2220">
        <v>-82.551500000000004</v>
      </c>
    </row>
    <row r="2221" spans="1:18" x14ac:dyDescent="0.2">
      <c r="A2221" t="s">
        <v>6660</v>
      </c>
      <c r="B2221" t="s">
        <v>6661</v>
      </c>
      <c r="C2221">
        <v>1</v>
      </c>
      <c r="D2221" s="1">
        <v>44015.830405092594</v>
      </c>
      <c r="E2221" t="s">
        <v>6953</v>
      </c>
      <c r="F2221" t="s">
        <v>6663</v>
      </c>
      <c r="G2221" t="s">
        <v>6926</v>
      </c>
      <c r="H2221" t="s">
        <v>6665</v>
      </c>
      <c r="I2221" t="s">
        <v>29</v>
      </c>
      <c r="J2221">
        <v>1</v>
      </c>
      <c r="K2221">
        <f>1-808-600-6735</f>
        <v>-8142</v>
      </c>
      <c r="L2221" t="s">
        <v>6954</v>
      </c>
      <c r="M2221" t="s">
        <v>6955</v>
      </c>
      <c r="N2221" t="s">
        <v>674</v>
      </c>
      <c r="O2221" t="s">
        <v>134</v>
      </c>
      <c r="P2221" t="s">
        <v>29</v>
      </c>
      <c r="Q2221">
        <v>36</v>
      </c>
      <c r="R2221">
        <v>-82.551500000000004</v>
      </c>
    </row>
    <row r="2222" spans="1:18" x14ac:dyDescent="0.2">
      <c r="A2222" t="s">
        <v>6660</v>
      </c>
      <c r="B2222" t="s">
        <v>6661</v>
      </c>
      <c r="C2222">
        <v>1</v>
      </c>
      <c r="D2222" s="1">
        <v>44015.707349537035</v>
      </c>
      <c r="E2222" t="s">
        <v>6956</v>
      </c>
      <c r="F2222" t="s">
        <v>6663</v>
      </c>
      <c r="G2222" t="s">
        <v>6926</v>
      </c>
      <c r="H2222" t="s">
        <v>6665</v>
      </c>
      <c r="I2222" t="s">
        <v>29</v>
      </c>
      <c r="J2222">
        <v>1</v>
      </c>
      <c r="K2222">
        <f>1-866-879-1691</f>
        <v>-3435</v>
      </c>
      <c r="L2222" t="s">
        <v>6957</v>
      </c>
      <c r="M2222" t="s">
        <v>6958</v>
      </c>
      <c r="N2222" t="s">
        <v>3454</v>
      </c>
      <c r="O2222" t="s">
        <v>134</v>
      </c>
      <c r="P2222" t="s">
        <v>29</v>
      </c>
      <c r="Q2222">
        <v>36</v>
      </c>
      <c r="R2222">
        <v>-82.551500000000004</v>
      </c>
    </row>
    <row r="2223" spans="1:18" x14ac:dyDescent="0.2">
      <c r="A2223" t="s">
        <v>6660</v>
      </c>
      <c r="B2223" t="s">
        <v>6661</v>
      </c>
      <c r="C2223">
        <v>1</v>
      </c>
      <c r="D2223" s="1">
        <v>44014.954085648147</v>
      </c>
      <c r="E2223" t="s">
        <v>6959</v>
      </c>
      <c r="F2223" t="s">
        <v>6663</v>
      </c>
      <c r="G2223" t="s">
        <v>6926</v>
      </c>
      <c r="H2223" t="s">
        <v>6665</v>
      </c>
      <c r="I2223" t="s">
        <v>29</v>
      </c>
      <c r="J2223">
        <v>1</v>
      </c>
      <c r="K2223">
        <f>1-866-879-1691</f>
        <v>-3435</v>
      </c>
      <c r="L2223" t="s">
        <v>6960</v>
      </c>
      <c r="M2223" t="s">
        <v>6961</v>
      </c>
      <c r="N2223" t="s">
        <v>3295</v>
      </c>
      <c r="O2223" t="s">
        <v>134</v>
      </c>
      <c r="P2223" t="s">
        <v>29</v>
      </c>
      <c r="Q2223">
        <v>36</v>
      </c>
      <c r="R2223">
        <v>-82.551500000000004</v>
      </c>
    </row>
    <row r="2224" spans="1:18" x14ac:dyDescent="0.2">
      <c r="A2224" t="s">
        <v>2349</v>
      </c>
      <c r="B2224" t="s">
        <v>6962</v>
      </c>
      <c r="C2224">
        <v>1</v>
      </c>
      <c r="D2224" s="1">
        <v>44015.003275462965</v>
      </c>
      <c r="E2224" t="s">
        <v>6963</v>
      </c>
      <c r="F2224" t="s">
        <v>2352</v>
      </c>
      <c r="G2224" t="s">
        <v>6963</v>
      </c>
      <c r="H2224" t="s">
        <v>2353</v>
      </c>
      <c r="I2224" t="s">
        <v>29</v>
      </c>
      <c r="J2224">
        <v>1</v>
      </c>
      <c r="K2224">
        <f>1-833-401-3665</f>
        <v>-4898</v>
      </c>
      <c r="L2224" t="s">
        <v>6964</v>
      </c>
      <c r="M2224" t="s">
        <v>6965</v>
      </c>
      <c r="N2224">
        <v>192</v>
      </c>
      <c r="O2224" t="s">
        <v>134</v>
      </c>
      <c r="P2224" t="s">
        <v>29</v>
      </c>
      <c r="Q2224">
        <v>42</v>
      </c>
      <c r="R2224">
        <v>-87.962000000000003</v>
      </c>
    </row>
    <row r="2225" spans="1:18" x14ac:dyDescent="0.2">
      <c r="A2225" t="s">
        <v>2349</v>
      </c>
      <c r="B2225" t="s">
        <v>6134</v>
      </c>
      <c r="C2225">
        <v>1</v>
      </c>
      <c r="D2225" s="1">
        <v>44015.061284722222</v>
      </c>
      <c r="E2225" t="s">
        <v>6966</v>
      </c>
      <c r="F2225" t="s">
        <v>2352</v>
      </c>
      <c r="G2225" t="s">
        <v>6966</v>
      </c>
      <c r="H2225" t="s">
        <v>2353</v>
      </c>
      <c r="I2225" t="s">
        <v>29</v>
      </c>
      <c r="J2225">
        <v>1</v>
      </c>
      <c r="K2225">
        <f>1-833-428-303</f>
        <v>-1563</v>
      </c>
      <c r="L2225" t="s">
        <v>6967</v>
      </c>
      <c r="M2225" t="s">
        <v>6968</v>
      </c>
      <c r="N2225">
        <v>7</v>
      </c>
      <c r="O2225" t="s">
        <v>134</v>
      </c>
      <c r="P2225" t="s">
        <v>29</v>
      </c>
      <c r="Q2225">
        <v>33</v>
      </c>
      <c r="R2225">
        <v>-96.833600000000004</v>
      </c>
    </row>
    <row r="2226" spans="1:18" x14ac:dyDescent="0.2">
      <c r="A2226" t="s">
        <v>663</v>
      </c>
      <c r="B2226" t="s">
        <v>2500</v>
      </c>
      <c r="C2226">
        <v>1</v>
      </c>
      <c r="D2226" s="1">
        <v>44015.166747685187</v>
      </c>
      <c r="E2226" t="s">
        <v>6969</v>
      </c>
      <c r="F2226" t="s">
        <v>666</v>
      </c>
      <c r="G2226" t="s">
        <v>6969</v>
      </c>
      <c r="H2226" t="s">
        <v>667</v>
      </c>
      <c r="I2226" t="s">
        <v>29</v>
      </c>
      <c r="J2226">
        <v>1</v>
      </c>
      <c r="K2226">
        <f>1-50-5539-7636</f>
        <v>-13224</v>
      </c>
      <c r="L2226" t="s">
        <v>6970</v>
      </c>
      <c r="M2226" t="s">
        <v>6971</v>
      </c>
      <c r="N2226">
        <v>7</v>
      </c>
      <c r="O2226" t="s">
        <v>134</v>
      </c>
      <c r="P2226" t="s">
        <v>2500</v>
      </c>
      <c r="Q2226">
        <v>1</v>
      </c>
      <c r="R2226">
        <v>99.999999000000003</v>
      </c>
    </row>
    <row r="2227" spans="1:18" x14ac:dyDescent="0.2">
      <c r="A2227" t="s">
        <v>6904</v>
      </c>
      <c r="B2227" t="s">
        <v>6905</v>
      </c>
      <c r="C2227">
        <v>1</v>
      </c>
      <c r="D2227" s="1">
        <v>44015.728194444448</v>
      </c>
      <c r="E2227" t="s">
        <v>6972</v>
      </c>
      <c r="F2227" t="s">
        <v>6907</v>
      </c>
      <c r="G2227" t="s">
        <v>6973</v>
      </c>
      <c r="H2227" t="s">
        <v>6909</v>
      </c>
      <c r="I2227" t="s">
        <v>29</v>
      </c>
      <c r="J2227">
        <v>1</v>
      </c>
      <c r="K2227">
        <f>1-800-301-2924</f>
        <v>-4024</v>
      </c>
      <c r="L2227" t="s">
        <v>6974</v>
      </c>
      <c r="M2227" t="s">
        <v>6975</v>
      </c>
      <c r="N2227" t="s">
        <v>452</v>
      </c>
      <c r="O2227" t="s">
        <v>28</v>
      </c>
      <c r="P2227" t="s">
        <v>29</v>
      </c>
      <c r="Q2227">
        <v>34</v>
      </c>
      <c r="R2227">
        <v>-99.999999000000003</v>
      </c>
    </row>
    <row r="2228" spans="1:18" x14ac:dyDescent="0.2">
      <c r="A2228" t="s">
        <v>663</v>
      </c>
      <c r="B2228" t="s">
        <v>3385</v>
      </c>
      <c r="C2228">
        <v>1</v>
      </c>
      <c r="D2228" s="1">
        <v>44015.732766203706</v>
      </c>
      <c r="E2228" t="s">
        <v>6976</v>
      </c>
      <c r="F2228" t="s">
        <v>666</v>
      </c>
      <c r="G2228" t="s">
        <v>6977</v>
      </c>
      <c r="H2228" t="s">
        <v>667</v>
      </c>
      <c r="I2228" t="s">
        <v>29</v>
      </c>
      <c r="J2228">
        <v>1</v>
      </c>
      <c r="K2228">
        <f>1-833-311-811</f>
        <v>-1954</v>
      </c>
      <c r="L2228" t="s">
        <v>6978</v>
      </c>
      <c r="M2228" t="s">
        <v>6979</v>
      </c>
      <c r="N2228" t="s">
        <v>213</v>
      </c>
      <c r="O2228" t="s">
        <v>28</v>
      </c>
      <c r="P2228" t="s">
        <v>29</v>
      </c>
      <c r="Q2228">
        <v>41</v>
      </c>
      <c r="R2228">
        <v>-74.002899999999997</v>
      </c>
    </row>
    <row r="2229" spans="1:18" x14ac:dyDescent="0.2">
      <c r="A2229" t="s">
        <v>2233</v>
      </c>
      <c r="B2229" t="s">
        <v>2234</v>
      </c>
      <c r="C2229">
        <v>1</v>
      </c>
      <c r="D2229" s="1">
        <v>44015.746030092596</v>
      </c>
      <c r="E2229" t="s">
        <v>6980</v>
      </c>
      <c r="F2229" t="s">
        <v>2236</v>
      </c>
      <c r="G2229" t="s">
        <v>6981</v>
      </c>
      <c r="H2229" t="s">
        <v>2237</v>
      </c>
      <c r="I2229" t="s">
        <v>29</v>
      </c>
      <c r="J2229">
        <v>1</v>
      </c>
      <c r="K2229">
        <f>1-855-608-1132</f>
        <v>-2594</v>
      </c>
      <c r="L2229" t="s">
        <v>6982</v>
      </c>
      <c r="M2229" t="s">
        <v>6983</v>
      </c>
      <c r="N2229" t="s">
        <v>6761</v>
      </c>
      <c r="O2229" t="s">
        <v>28</v>
      </c>
      <c r="P2229" t="s">
        <v>29</v>
      </c>
      <c r="Q2229">
        <v>40</v>
      </c>
      <c r="R2229">
        <v>-83.114099999999993</v>
      </c>
    </row>
    <row r="2230" spans="1:18" x14ac:dyDescent="0.2">
      <c r="A2230" t="s">
        <v>2233</v>
      </c>
      <c r="B2230" t="s">
        <v>440</v>
      </c>
      <c r="C2230">
        <v>1</v>
      </c>
      <c r="D2230" s="1">
        <v>44015.813333333332</v>
      </c>
      <c r="E2230" t="s">
        <v>6984</v>
      </c>
      <c r="F2230" t="s">
        <v>2236</v>
      </c>
      <c r="G2230" t="s">
        <v>6985</v>
      </c>
      <c r="H2230" t="s">
        <v>2237</v>
      </c>
      <c r="I2230" t="s">
        <v>29</v>
      </c>
      <c r="J2230">
        <v>1</v>
      </c>
      <c r="K2230">
        <f>1-855-914-2288</f>
        <v>-4056</v>
      </c>
      <c r="L2230" t="s">
        <v>6986</v>
      </c>
      <c r="M2230" t="s">
        <v>6987</v>
      </c>
      <c r="N2230" t="s">
        <v>6988</v>
      </c>
      <c r="O2230" t="s">
        <v>28</v>
      </c>
      <c r="P2230" t="s">
        <v>29</v>
      </c>
      <c r="Q2230">
        <v>39</v>
      </c>
      <c r="R2230">
        <v>-77.487399999999994</v>
      </c>
    </row>
    <row r="2231" spans="1:18" x14ac:dyDescent="0.2">
      <c r="A2231" t="s">
        <v>675</v>
      </c>
      <c r="B2231" t="s">
        <v>1412</v>
      </c>
      <c r="C2231">
        <v>1</v>
      </c>
      <c r="D2231" s="1">
        <v>44015.825127314813</v>
      </c>
      <c r="E2231" t="s">
        <v>6989</v>
      </c>
      <c r="F2231" t="s">
        <v>678</v>
      </c>
      <c r="G2231" t="s">
        <v>6990</v>
      </c>
      <c r="H2231" t="s">
        <v>680</v>
      </c>
      <c r="I2231" t="s">
        <v>29</v>
      </c>
      <c r="J2231">
        <v>1</v>
      </c>
      <c r="K2231">
        <f>1-845-377-204</f>
        <v>-1425</v>
      </c>
      <c r="L2231" t="s">
        <v>6991</v>
      </c>
      <c r="M2231" t="s">
        <v>6992</v>
      </c>
      <c r="N2231" t="s">
        <v>452</v>
      </c>
      <c r="O2231" t="s">
        <v>28</v>
      </c>
      <c r="P2231" t="s">
        <v>29</v>
      </c>
      <c r="Q2231">
        <v>41</v>
      </c>
      <c r="R2231">
        <v>-74.172399999999996</v>
      </c>
    </row>
    <row r="2232" spans="1:18" x14ac:dyDescent="0.2">
      <c r="A2232" t="s">
        <v>2349</v>
      </c>
      <c r="B2232" t="s">
        <v>6390</v>
      </c>
      <c r="C2232">
        <v>1</v>
      </c>
      <c r="D2232" s="1">
        <v>44015.857592592591</v>
      </c>
      <c r="E2232" t="s">
        <v>6993</v>
      </c>
      <c r="F2232" t="s">
        <v>2352</v>
      </c>
      <c r="G2232" t="s">
        <v>6994</v>
      </c>
      <c r="H2232" t="s">
        <v>2353</v>
      </c>
      <c r="I2232" t="s">
        <v>29</v>
      </c>
      <c r="J2232">
        <v>1</v>
      </c>
      <c r="K2232">
        <f>1-877-725-277</f>
        <v>-1878</v>
      </c>
      <c r="L2232" t="s">
        <v>6995</v>
      </c>
      <c r="M2232" t="s">
        <v>6996</v>
      </c>
      <c r="N2232" t="s">
        <v>213</v>
      </c>
      <c r="O2232" t="s">
        <v>28</v>
      </c>
      <c r="P2232" t="s">
        <v>29</v>
      </c>
      <c r="Q2232">
        <v>37</v>
      </c>
      <c r="R2232">
        <v>-99.999999000000003</v>
      </c>
    </row>
    <row r="2233" spans="1:18" x14ac:dyDescent="0.2">
      <c r="A2233" t="s">
        <v>663</v>
      </c>
      <c r="B2233" t="s">
        <v>5784</v>
      </c>
      <c r="C2233">
        <v>1</v>
      </c>
      <c r="D2233" s="1">
        <v>44015.900208333333</v>
      </c>
      <c r="E2233" t="s">
        <v>6997</v>
      </c>
      <c r="F2233" t="s">
        <v>666</v>
      </c>
      <c r="G2233" t="s">
        <v>6998</v>
      </c>
      <c r="H2233" t="s">
        <v>667</v>
      </c>
      <c r="I2233" t="s">
        <v>29</v>
      </c>
      <c r="J2233">
        <v>1</v>
      </c>
      <c r="K2233">
        <f>1-833-323-1444</f>
        <v>-2599</v>
      </c>
      <c r="L2233" t="s">
        <v>6999</v>
      </c>
      <c r="M2233" t="s">
        <v>7000</v>
      </c>
      <c r="N2233" t="s">
        <v>452</v>
      </c>
      <c r="O2233" t="s">
        <v>28</v>
      </c>
      <c r="P2233" t="s">
        <v>5789</v>
      </c>
      <c r="Q2233">
        <v>13</v>
      </c>
      <c r="R2233">
        <v>77.593299999999999</v>
      </c>
    </row>
    <row r="2234" spans="1:18" x14ac:dyDescent="0.2">
      <c r="A2234" t="s">
        <v>5790</v>
      </c>
      <c r="B2234" t="s">
        <v>6134</v>
      </c>
      <c r="C2234">
        <v>1</v>
      </c>
      <c r="D2234" s="1">
        <v>44015.887997685182</v>
      </c>
      <c r="E2234" t="s">
        <v>7001</v>
      </c>
      <c r="F2234" t="s">
        <v>5793</v>
      </c>
      <c r="G2234" t="s">
        <v>7002</v>
      </c>
      <c r="H2234" t="s">
        <v>5795</v>
      </c>
      <c r="I2234" t="s">
        <v>29</v>
      </c>
      <c r="J2234">
        <v>1</v>
      </c>
      <c r="K2234">
        <f>1-855-582-7048</f>
        <v>-8484</v>
      </c>
      <c r="L2234" t="s">
        <v>7003</v>
      </c>
      <c r="M2234" t="s">
        <v>7004</v>
      </c>
      <c r="N2234" t="s">
        <v>452</v>
      </c>
      <c r="O2234" t="s">
        <v>28</v>
      </c>
      <c r="P2234" t="s">
        <v>29</v>
      </c>
      <c r="Q2234">
        <v>33</v>
      </c>
      <c r="R2234">
        <v>-96.794200000000004</v>
      </c>
    </row>
    <row r="2235" spans="1:18" x14ac:dyDescent="0.2">
      <c r="A2235" t="s">
        <v>7005</v>
      </c>
      <c r="B2235" t="s">
        <v>7006</v>
      </c>
      <c r="C2235">
        <v>33</v>
      </c>
      <c r="D2235" s="1">
        <v>44040.609074074076</v>
      </c>
      <c r="E2235" t="s">
        <v>7007</v>
      </c>
      <c r="F2235" t="s">
        <v>7008</v>
      </c>
      <c r="G2235" t="s">
        <v>7009</v>
      </c>
      <c r="H2235" t="s">
        <v>7010</v>
      </c>
      <c r="I2235" t="s">
        <v>292</v>
      </c>
      <c r="J2235">
        <v>33</v>
      </c>
      <c r="K2235">
        <f>33-1-85-15-72-78</f>
        <v>-218</v>
      </c>
      <c r="L2235" t="s">
        <v>7011</v>
      </c>
      <c r="M2235" t="s">
        <v>7012</v>
      </c>
      <c r="N2235" t="s">
        <v>5354</v>
      </c>
      <c r="O2235" t="s">
        <v>134</v>
      </c>
      <c r="P2235" t="s">
        <v>292</v>
      </c>
      <c r="Q2235">
        <v>51</v>
      </c>
      <c r="R2235">
        <v>2.12554</v>
      </c>
    </row>
    <row r="2236" spans="1:18" x14ac:dyDescent="0.2">
      <c r="A2236" t="s">
        <v>7005</v>
      </c>
      <c r="B2236" t="s">
        <v>7006</v>
      </c>
      <c r="C2236">
        <v>81</v>
      </c>
      <c r="D2236" s="1">
        <v>44040.57402777778</v>
      </c>
      <c r="E2236" t="s">
        <v>7013</v>
      </c>
      <c r="F2236" t="s">
        <v>7008</v>
      </c>
      <c r="G2236" t="s">
        <v>7009</v>
      </c>
      <c r="H2236" t="s">
        <v>7010</v>
      </c>
      <c r="I2236" t="s">
        <v>53</v>
      </c>
      <c r="J2236">
        <v>81</v>
      </c>
      <c r="K2236">
        <f>81-1-85-15-83-2</f>
        <v>-105</v>
      </c>
      <c r="L2236" t="s">
        <v>7014</v>
      </c>
      <c r="M2236" t="s">
        <v>7015</v>
      </c>
      <c r="N2236" t="s">
        <v>7016</v>
      </c>
      <c r="O2236" t="s">
        <v>134</v>
      </c>
      <c r="P2236" t="s">
        <v>292</v>
      </c>
      <c r="Q2236">
        <v>51</v>
      </c>
      <c r="R2236">
        <v>2.12554</v>
      </c>
    </row>
    <row r="2237" spans="1:18" x14ac:dyDescent="0.2">
      <c r="A2237" t="s">
        <v>7005</v>
      </c>
      <c r="B2237" t="s">
        <v>7006</v>
      </c>
      <c r="C2237">
        <v>33</v>
      </c>
      <c r="D2237" s="1">
        <v>44021.161932870367</v>
      </c>
      <c r="E2237" t="s">
        <v>7017</v>
      </c>
      <c r="F2237" t="s">
        <v>7008</v>
      </c>
      <c r="G2237" t="s">
        <v>7009</v>
      </c>
      <c r="H2237" t="s">
        <v>7010</v>
      </c>
      <c r="I2237" t="s">
        <v>292</v>
      </c>
      <c r="J2237">
        <v>33</v>
      </c>
      <c r="K2237">
        <f>33-1-84-14-44-44</f>
        <v>-154</v>
      </c>
      <c r="L2237" t="s">
        <v>7018</v>
      </c>
      <c r="M2237" t="s">
        <v>7019</v>
      </c>
      <c r="N2237" t="s">
        <v>7016</v>
      </c>
      <c r="O2237" t="s">
        <v>134</v>
      </c>
      <c r="P2237" t="s">
        <v>292</v>
      </c>
      <c r="Q2237">
        <v>51</v>
      </c>
      <c r="R2237">
        <v>2.12554</v>
      </c>
    </row>
    <row r="2238" spans="1:18" x14ac:dyDescent="0.2">
      <c r="A2238" t="s">
        <v>7005</v>
      </c>
      <c r="B2238" t="s">
        <v>7006</v>
      </c>
      <c r="C2238">
        <v>33</v>
      </c>
      <c r="D2238" s="1">
        <v>44015.901562500003</v>
      </c>
      <c r="E2238" t="s">
        <v>7013</v>
      </c>
      <c r="F2238" t="s">
        <v>7008</v>
      </c>
      <c r="G2238" t="s">
        <v>7009</v>
      </c>
      <c r="H2238" t="s">
        <v>7010</v>
      </c>
      <c r="I2238" t="s">
        <v>292</v>
      </c>
      <c r="J2238">
        <v>33</v>
      </c>
      <c r="K2238">
        <f>33-1-84-14-44-44</f>
        <v>-154</v>
      </c>
      <c r="L2238" t="s">
        <v>7020</v>
      </c>
      <c r="M2238" t="s">
        <v>7021</v>
      </c>
      <c r="N2238" t="s">
        <v>7016</v>
      </c>
      <c r="O2238" t="s">
        <v>134</v>
      </c>
      <c r="P2238" t="s">
        <v>292</v>
      </c>
      <c r="Q2238">
        <v>51</v>
      </c>
      <c r="R2238">
        <v>2.12554</v>
      </c>
    </row>
    <row r="2239" spans="1:18" x14ac:dyDescent="0.2">
      <c r="A2239" t="s">
        <v>2233</v>
      </c>
      <c r="B2239" t="s">
        <v>4281</v>
      </c>
      <c r="C2239">
        <v>49</v>
      </c>
      <c r="D2239" s="1">
        <v>44286.73028935185</v>
      </c>
      <c r="E2239" t="s">
        <v>7022</v>
      </c>
      <c r="F2239" t="s">
        <v>7023</v>
      </c>
      <c r="G2239" t="s">
        <v>7022</v>
      </c>
      <c r="H2239" t="s">
        <v>2237</v>
      </c>
      <c r="I2239" t="s">
        <v>24</v>
      </c>
      <c r="J2239">
        <v>49</v>
      </c>
      <c r="K2239">
        <f>49-800-181-4587</f>
        <v>-5519</v>
      </c>
      <c r="L2239" t="s">
        <v>7024</v>
      </c>
      <c r="M2239" t="s">
        <v>7025</v>
      </c>
      <c r="N2239">
        <v>54</v>
      </c>
      <c r="O2239" t="s">
        <v>134</v>
      </c>
      <c r="P2239" t="s">
        <v>24</v>
      </c>
      <c r="Q2239">
        <v>50</v>
      </c>
      <c r="R2239">
        <v>8.6821300000000008</v>
      </c>
    </row>
    <row r="2240" spans="1:18" x14ac:dyDescent="0.2">
      <c r="A2240" t="s">
        <v>2349</v>
      </c>
      <c r="B2240" t="s">
        <v>6834</v>
      </c>
      <c r="C2240">
        <v>1</v>
      </c>
      <c r="D2240" s="1">
        <v>44015.988240740742</v>
      </c>
      <c r="E2240" t="s">
        <v>7026</v>
      </c>
      <c r="F2240" t="s">
        <v>2352</v>
      </c>
      <c r="G2240" t="s">
        <v>7026</v>
      </c>
      <c r="H2240" t="s">
        <v>2353</v>
      </c>
      <c r="I2240" t="s">
        <v>29</v>
      </c>
      <c r="J2240">
        <v>1</v>
      </c>
      <c r="K2240">
        <f>1-844-622-2122</f>
        <v>-3587</v>
      </c>
      <c r="L2240" t="s">
        <v>7027</v>
      </c>
      <c r="M2240" t="s">
        <v>7028</v>
      </c>
      <c r="N2240">
        <v>45</v>
      </c>
      <c r="O2240" t="s">
        <v>134</v>
      </c>
      <c r="P2240" t="s">
        <v>29</v>
      </c>
      <c r="Q2240">
        <v>34</v>
      </c>
      <c r="R2240">
        <v>-99.999999000000003</v>
      </c>
    </row>
    <row r="2241" spans="1:18" x14ac:dyDescent="0.2">
      <c r="A2241" t="s">
        <v>6660</v>
      </c>
      <c r="B2241" t="s">
        <v>6661</v>
      </c>
      <c r="C2241">
        <v>1</v>
      </c>
      <c r="D2241" s="1">
        <v>44157.898182870369</v>
      </c>
      <c r="E2241" t="s">
        <v>7029</v>
      </c>
      <c r="F2241" t="s">
        <v>6663</v>
      </c>
      <c r="G2241" t="s">
        <v>7030</v>
      </c>
      <c r="H2241" t="s">
        <v>6665</v>
      </c>
      <c r="I2241" t="s">
        <v>29</v>
      </c>
      <c r="J2241">
        <v>1</v>
      </c>
      <c r="K2241">
        <f>1-802-308-3856</f>
        <v>-4965</v>
      </c>
      <c r="L2241" t="s">
        <v>7031</v>
      </c>
      <c r="M2241" t="s">
        <v>7032</v>
      </c>
      <c r="N2241" t="s">
        <v>674</v>
      </c>
      <c r="O2241" t="s">
        <v>134</v>
      </c>
      <c r="P2241" t="s">
        <v>29</v>
      </c>
      <c r="Q2241">
        <v>36</v>
      </c>
      <c r="R2241">
        <v>-82.551500000000004</v>
      </c>
    </row>
    <row r="2242" spans="1:18" x14ac:dyDescent="0.2">
      <c r="A2242" t="s">
        <v>6660</v>
      </c>
      <c r="B2242" t="s">
        <v>6661</v>
      </c>
      <c r="C2242">
        <v>1</v>
      </c>
      <c r="D2242" s="1">
        <v>44154.78162037037</v>
      </c>
      <c r="E2242" t="s">
        <v>7033</v>
      </c>
      <c r="F2242" t="s">
        <v>6663</v>
      </c>
      <c r="G2242" t="s">
        <v>7030</v>
      </c>
      <c r="H2242" t="s">
        <v>6665</v>
      </c>
      <c r="I2242" t="s">
        <v>29</v>
      </c>
      <c r="J2242">
        <v>1</v>
      </c>
      <c r="K2242">
        <f>1-866-634-535</f>
        <v>-2034</v>
      </c>
      <c r="L2242" t="s">
        <v>7034</v>
      </c>
      <c r="M2242" t="s">
        <v>7035</v>
      </c>
      <c r="N2242" t="s">
        <v>3441</v>
      </c>
      <c r="O2242" t="s">
        <v>134</v>
      </c>
      <c r="P2242" t="s">
        <v>29</v>
      </c>
      <c r="Q2242">
        <v>36</v>
      </c>
      <c r="R2242">
        <v>-82.551500000000004</v>
      </c>
    </row>
    <row r="2243" spans="1:18" x14ac:dyDescent="0.2">
      <c r="A2243" t="s">
        <v>6660</v>
      </c>
      <c r="B2243" t="s">
        <v>6661</v>
      </c>
      <c r="C2243">
        <v>1</v>
      </c>
      <c r="D2243" s="1">
        <v>44154.0078587963</v>
      </c>
      <c r="E2243" t="s">
        <v>7036</v>
      </c>
      <c r="F2243" t="s">
        <v>6663</v>
      </c>
      <c r="G2243" t="s">
        <v>7030</v>
      </c>
      <c r="H2243" t="s">
        <v>6665</v>
      </c>
      <c r="I2243" t="s">
        <v>29</v>
      </c>
      <c r="J2243">
        <v>1</v>
      </c>
      <c r="K2243">
        <f>1-866-629-449</f>
        <v>-1943</v>
      </c>
      <c r="L2243" t="s">
        <v>7037</v>
      </c>
      <c r="M2243" t="s">
        <v>7038</v>
      </c>
      <c r="N2243" t="s">
        <v>674</v>
      </c>
      <c r="O2243" t="s">
        <v>134</v>
      </c>
      <c r="P2243" t="s">
        <v>29</v>
      </c>
      <c r="Q2243">
        <v>36</v>
      </c>
      <c r="R2243">
        <v>-82.551500000000004</v>
      </c>
    </row>
    <row r="2244" spans="1:18" x14ac:dyDescent="0.2">
      <c r="A2244" t="s">
        <v>6660</v>
      </c>
      <c r="B2244" t="s">
        <v>6661</v>
      </c>
      <c r="C2244">
        <v>1</v>
      </c>
      <c r="D2244" s="1">
        <v>44153.901712962965</v>
      </c>
      <c r="E2244" t="s">
        <v>7039</v>
      </c>
      <c r="F2244" t="s">
        <v>6663</v>
      </c>
      <c r="G2244" t="s">
        <v>7030</v>
      </c>
      <c r="H2244" t="s">
        <v>6665</v>
      </c>
      <c r="I2244" t="s">
        <v>29</v>
      </c>
      <c r="J2244">
        <v>1</v>
      </c>
      <c r="K2244">
        <f>1-844-213-1530</f>
        <v>-2586</v>
      </c>
      <c r="L2244" t="s">
        <v>7040</v>
      </c>
      <c r="M2244" t="s">
        <v>7041</v>
      </c>
      <c r="N2244" t="s">
        <v>213</v>
      </c>
      <c r="O2244" t="s">
        <v>134</v>
      </c>
      <c r="P2244" t="s">
        <v>29</v>
      </c>
      <c r="Q2244">
        <v>36</v>
      </c>
      <c r="R2244">
        <v>-82.551500000000004</v>
      </c>
    </row>
    <row r="2245" spans="1:18" x14ac:dyDescent="0.2">
      <c r="A2245" t="s">
        <v>6660</v>
      </c>
      <c r="B2245" t="s">
        <v>6661</v>
      </c>
      <c r="C2245">
        <v>1</v>
      </c>
      <c r="D2245" s="1">
        <v>44045.708645833336</v>
      </c>
      <c r="E2245" t="s">
        <v>7042</v>
      </c>
      <c r="F2245" t="s">
        <v>6663</v>
      </c>
      <c r="G2245" t="s">
        <v>7030</v>
      </c>
      <c r="H2245" t="s">
        <v>6665</v>
      </c>
      <c r="I2245" t="s">
        <v>29</v>
      </c>
      <c r="J2245">
        <v>1</v>
      </c>
      <c r="K2245">
        <f>1-855-606-2837</f>
        <v>-4297</v>
      </c>
      <c r="L2245" t="s">
        <v>7043</v>
      </c>
      <c r="M2245" t="s">
        <v>7044</v>
      </c>
      <c r="N2245" t="s">
        <v>452</v>
      </c>
      <c r="O2245" t="s">
        <v>134</v>
      </c>
      <c r="P2245" t="s">
        <v>29</v>
      </c>
      <c r="Q2245">
        <v>36</v>
      </c>
      <c r="R2245">
        <v>-82.551500000000004</v>
      </c>
    </row>
    <row r="2246" spans="1:18" x14ac:dyDescent="0.2">
      <c r="A2246" t="s">
        <v>6660</v>
      </c>
      <c r="B2246" t="s">
        <v>6661</v>
      </c>
      <c r="C2246">
        <v>1</v>
      </c>
      <c r="D2246" s="1">
        <v>44040.734849537039</v>
      </c>
      <c r="E2246" t="s">
        <v>7045</v>
      </c>
      <c r="F2246" t="s">
        <v>6663</v>
      </c>
      <c r="G2246" t="s">
        <v>7030</v>
      </c>
      <c r="H2246" t="s">
        <v>6665</v>
      </c>
      <c r="I2246" t="s">
        <v>29</v>
      </c>
      <c r="J2246">
        <v>1</v>
      </c>
      <c r="K2246">
        <f>1-978-386-9229</f>
        <v>-10592</v>
      </c>
      <c r="L2246" t="s">
        <v>7046</v>
      </c>
      <c r="M2246" t="s">
        <v>7047</v>
      </c>
      <c r="N2246" t="s">
        <v>2475</v>
      </c>
      <c r="O2246" t="s">
        <v>134</v>
      </c>
      <c r="P2246" t="s">
        <v>29</v>
      </c>
      <c r="Q2246">
        <v>36</v>
      </c>
      <c r="R2246">
        <v>-82.551500000000004</v>
      </c>
    </row>
    <row r="2247" spans="1:18" x14ac:dyDescent="0.2">
      <c r="A2247" t="s">
        <v>6660</v>
      </c>
      <c r="B2247" t="s">
        <v>6661</v>
      </c>
      <c r="C2247">
        <v>1</v>
      </c>
      <c r="D2247" s="1">
        <v>44040.726273148146</v>
      </c>
      <c r="E2247" t="s">
        <v>7048</v>
      </c>
      <c r="F2247" t="s">
        <v>6663</v>
      </c>
      <c r="G2247" t="s">
        <v>7030</v>
      </c>
      <c r="H2247" t="s">
        <v>6665</v>
      </c>
      <c r="I2247" t="s">
        <v>29</v>
      </c>
      <c r="J2247">
        <v>1</v>
      </c>
      <c r="K2247">
        <f>1-978-386-9229</f>
        <v>-10592</v>
      </c>
      <c r="L2247" t="s">
        <v>7049</v>
      </c>
      <c r="M2247" t="s">
        <v>7050</v>
      </c>
      <c r="N2247" t="s">
        <v>2475</v>
      </c>
      <c r="O2247" t="s">
        <v>134</v>
      </c>
      <c r="P2247" t="s">
        <v>29</v>
      </c>
      <c r="Q2247">
        <v>36</v>
      </c>
      <c r="R2247">
        <v>-82.551500000000004</v>
      </c>
    </row>
    <row r="2248" spans="1:18" x14ac:dyDescent="0.2">
      <c r="A2248" t="s">
        <v>6660</v>
      </c>
      <c r="B2248" t="s">
        <v>6661</v>
      </c>
      <c r="C2248">
        <v>1</v>
      </c>
      <c r="D2248" s="1">
        <v>44039.838576388887</v>
      </c>
      <c r="E2248" t="s">
        <v>7051</v>
      </c>
      <c r="F2248" t="s">
        <v>6663</v>
      </c>
      <c r="G2248" t="s">
        <v>7030</v>
      </c>
      <c r="H2248" t="s">
        <v>6665</v>
      </c>
      <c r="I2248" t="s">
        <v>29</v>
      </c>
      <c r="J2248">
        <v>1</v>
      </c>
      <c r="K2248">
        <f>1-866-212-4803</f>
        <v>-5880</v>
      </c>
      <c r="L2248" t="s">
        <v>7052</v>
      </c>
      <c r="M2248" t="s">
        <v>7053</v>
      </c>
      <c r="N2248" t="s">
        <v>2475</v>
      </c>
      <c r="O2248" t="s">
        <v>134</v>
      </c>
      <c r="P2248" t="s">
        <v>29</v>
      </c>
      <c r="Q2248">
        <v>36</v>
      </c>
      <c r="R2248">
        <v>-82.551500000000004</v>
      </c>
    </row>
    <row r="2249" spans="1:18" x14ac:dyDescent="0.2">
      <c r="A2249" t="s">
        <v>6660</v>
      </c>
      <c r="B2249" t="s">
        <v>6661</v>
      </c>
      <c r="C2249">
        <v>1</v>
      </c>
      <c r="D2249" s="1">
        <v>44037.913541666669</v>
      </c>
      <c r="E2249" t="s">
        <v>7054</v>
      </c>
      <c r="F2249" t="s">
        <v>6663</v>
      </c>
      <c r="G2249" t="s">
        <v>7030</v>
      </c>
      <c r="H2249" t="s">
        <v>6665</v>
      </c>
      <c r="I2249" t="s">
        <v>29</v>
      </c>
      <c r="J2249">
        <v>1</v>
      </c>
      <c r="K2249">
        <f>1-866-778-6352</f>
        <v>-7995</v>
      </c>
      <c r="L2249" t="s">
        <v>7055</v>
      </c>
      <c r="M2249" t="s">
        <v>7056</v>
      </c>
      <c r="N2249" t="s">
        <v>2475</v>
      </c>
      <c r="O2249" t="s">
        <v>134</v>
      </c>
      <c r="P2249" t="s">
        <v>29</v>
      </c>
      <c r="Q2249">
        <v>36</v>
      </c>
      <c r="R2249">
        <v>-82.551500000000004</v>
      </c>
    </row>
    <row r="2250" spans="1:18" x14ac:dyDescent="0.2">
      <c r="A2250" t="s">
        <v>6660</v>
      </c>
      <c r="B2250" t="s">
        <v>6661</v>
      </c>
      <c r="C2250">
        <v>1</v>
      </c>
      <c r="D2250" s="1">
        <v>44037.020995370367</v>
      </c>
      <c r="E2250" t="s">
        <v>7057</v>
      </c>
      <c r="F2250" t="s">
        <v>6663</v>
      </c>
      <c r="G2250" t="s">
        <v>7030</v>
      </c>
      <c r="H2250" t="s">
        <v>6665</v>
      </c>
      <c r="I2250" t="s">
        <v>29</v>
      </c>
      <c r="J2250">
        <v>1</v>
      </c>
      <c r="K2250">
        <f>1-866-817-5598</f>
        <v>-7280</v>
      </c>
      <c r="L2250" t="s">
        <v>7058</v>
      </c>
      <c r="M2250" t="s">
        <v>7059</v>
      </c>
      <c r="N2250" t="s">
        <v>452</v>
      </c>
      <c r="O2250" t="s">
        <v>134</v>
      </c>
      <c r="P2250" t="s">
        <v>29</v>
      </c>
      <c r="Q2250">
        <v>36</v>
      </c>
      <c r="R2250">
        <v>-82.551500000000004</v>
      </c>
    </row>
    <row r="2251" spans="1:18" x14ac:dyDescent="0.2">
      <c r="A2251" t="s">
        <v>6660</v>
      </c>
      <c r="B2251" t="s">
        <v>6661</v>
      </c>
      <c r="C2251">
        <v>1</v>
      </c>
      <c r="D2251" s="1">
        <v>44037.008611111109</v>
      </c>
      <c r="E2251" t="s">
        <v>7060</v>
      </c>
      <c r="F2251" t="s">
        <v>6663</v>
      </c>
      <c r="G2251" t="s">
        <v>7030</v>
      </c>
      <c r="H2251" t="s">
        <v>6665</v>
      </c>
      <c r="I2251" t="s">
        <v>29</v>
      </c>
      <c r="J2251">
        <v>1</v>
      </c>
      <c r="K2251">
        <f>1-866-901-9088</f>
        <v>-10854</v>
      </c>
      <c r="L2251" t="s">
        <v>7061</v>
      </c>
      <c r="M2251" t="s">
        <v>7062</v>
      </c>
      <c r="N2251" t="s">
        <v>2475</v>
      </c>
      <c r="O2251" t="s">
        <v>134</v>
      </c>
      <c r="P2251" t="s">
        <v>29</v>
      </c>
      <c r="Q2251">
        <v>36</v>
      </c>
      <c r="R2251">
        <v>-82.551500000000004</v>
      </c>
    </row>
    <row r="2252" spans="1:18" x14ac:dyDescent="0.2">
      <c r="A2252" t="s">
        <v>6660</v>
      </c>
      <c r="B2252" t="s">
        <v>6661</v>
      </c>
      <c r="C2252">
        <v>1</v>
      </c>
      <c r="D2252" s="1">
        <v>44036.878634259258</v>
      </c>
      <c r="E2252" t="s">
        <v>7063</v>
      </c>
      <c r="F2252" t="s">
        <v>6663</v>
      </c>
      <c r="G2252" t="s">
        <v>7030</v>
      </c>
      <c r="H2252" t="s">
        <v>6665</v>
      </c>
      <c r="I2252" t="s">
        <v>29</v>
      </c>
      <c r="J2252">
        <v>1</v>
      </c>
      <c r="K2252">
        <f>1-866-817-5598</f>
        <v>-7280</v>
      </c>
      <c r="L2252" t="s">
        <v>7064</v>
      </c>
      <c r="M2252" t="s">
        <v>7065</v>
      </c>
      <c r="N2252" t="s">
        <v>3305</v>
      </c>
      <c r="O2252" t="s">
        <v>134</v>
      </c>
      <c r="P2252" t="s">
        <v>29</v>
      </c>
      <c r="Q2252">
        <v>36</v>
      </c>
      <c r="R2252">
        <v>-82.551500000000004</v>
      </c>
    </row>
    <row r="2253" spans="1:18" x14ac:dyDescent="0.2">
      <c r="A2253" t="s">
        <v>6660</v>
      </c>
      <c r="B2253" t="s">
        <v>6661</v>
      </c>
      <c r="C2253">
        <v>1</v>
      </c>
      <c r="D2253" s="1">
        <v>44036.786643518521</v>
      </c>
      <c r="E2253" t="s">
        <v>7066</v>
      </c>
      <c r="F2253" t="s">
        <v>6663</v>
      </c>
      <c r="G2253" t="s">
        <v>7030</v>
      </c>
      <c r="H2253" t="s">
        <v>6665</v>
      </c>
      <c r="I2253" t="s">
        <v>29</v>
      </c>
      <c r="J2253">
        <v>1</v>
      </c>
      <c r="K2253">
        <f>1-866-705-9434</f>
        <v>-11004</v>
      </c>
      <c r="L2253" t="s">
        <v>7067</v>
      </c>
      <c r="M2253" t="s">
        <v>7068</v>
      </c>
      <c r="N2253" t="s">
        <v>1645</v>
      </c>
      <c r="O2253" t="s">
        <v>134</v>
      </c>
      <c r="P2253" t="s">
        <v>29</v>
      </c>
      <c r="Q2253">
        <v>36</v>
      </c>
      <c r="R2253">
        <v>-82.551500000000004</v>
      </c>
    </row>
    <row r="2254" spans="1:18" x14ac:dyDescent="0.2">
      <c r="A2254" t="s">
        <v>6660</v>
      </c>
      <c r="B2254" t="s">
        <v>6661</v>
      </c>
      <c r="C2254">
        <v>1</v>
      </c>
      <c r="D2254" s="1">
        <v>44040.914050925923</v>
      </c>
      <c r="E2254" t="s">
        <v>7057</v>
      </c>
      <c r="F2254" t="s">
        <v>6663</v>
      </c>
      <c r="G2254" t="s">
        <v>7030</v>
      </c>
      <c r="H2254" t="s">
        <v>6665</v>
      </c>
      <c r="I2254" t="s">
        <v>29</v>
      </c>
      <c r="J2254">
        <v>1</v>
      </c>
      <c r="K2254">
        <f>1-351-200-625</f>
        <v>-1175</v>
      </c>
      <c r="L2254" t="s">
        <v>7069</v>
      </c>
      <c r="M2254" t="s">
        <v>7070</v>
      </c>
      <c r="N2254" t="s">
        <v>452</v>
      </c>
      <c r="O2254" t="s">
        <v>134</v>
      </c>
      <c r="P2254" t="s">
        <v>29</v>
      </c>
      <c r="Q2254">
        <v>36</v>
      </c>
      <c r="R2254">
        <v>-82.551500000000004</v>
      </c>
    </row>
    <row r="2255" spans="1:18" x14ac:dyDescent="0.2">
      <c r="A2255" t="s">
        <v>6660</v>
      </c>
      <c r="B2255" t="s">
        <v>6661</v>
      </c>
      <c r="C2255">
        <v>1</v>
      </c>
      <c r="D2255" s="1">
        <v>44035.912789351853</v>
      </c>
      <c r="E2255" t="s">
        <v>7071</v>
      </c>
      <c r="F2255" t="s">
        <v>6663</v>
      </c>
      <c r="G2255" t="s">
        <v>7030</v>
      </c>
      <c r="H2255" t="s">
        <v>6665</v>
      </c>
      <c r="I2255" t="s">
        <v>29</v>
      </c>
      <c r="J2255">
        <v>1</v>
      </c>
      <c r="K2255">
        <f>1-866-881-8650</f>
        <v>-10396</v>
      </c>
      <c r="L2255" t="s">
        <v>7072</v>
      </c>
      <c r="M2255" t="s">
        <v>7073</v>
      </c>
      <c r="N2255" t="s">
        <v>452</v>
      </c>
      <c r="O2255" t="s">
        <v>134</v>
      </c>
      <c r="P2255" t="s">
        <v>29</v>
      </c>
      <c r="Q2255">
        <v>36</v>
      </c>
      <c r="R2255">
        <v>-82.551500000000004</v>
      </c>
    </row>
    <row r="2256" spans="1:18" x14ac:dyDescent="0.2">
      <c r="A2256" t="s">
        <v>6660</v>
      </c>
      <c r="B2256" t="s">
        <v>6661</v>
      </c>
      <c r="C2256">
        <v>1</v>
      </c>
      <c r="D2256" s="1">
        <v>44029.795266203706</v>
      </c>
      <c r="E2256" t="s">
        <v>7074</v>
      </c>
      <c r="F2256" t="s">
        <v>6663</v>
      </c>
      <c r="G2256" t="s">
        <v>7030</v>
      </c>
      <c r="H2256" t="s">
        <v>6665</v>
      </c>
      <c r="I2256" t="s">
        <v>29</v>
      </c>
      <c r="J2256">
        <v>1</v>
      </c>
      <c r="K2256">
        <f>1-866-268-1769</f>
        <v>-2902</v>
      </c>
      <c r="L2256" t="s">
        <v>7075</v>
      </c>
      <c r="M2256" t="s">
        <v>7076</v>
      </c>
      <c r="N2256" t="s">
        <v>3295</v>
      </c>
      <c r="O2256" t="s">
        <v>134</v>
      </c>
      <c r="P2256" t="s">
        <v>29</v>
      </c>
      <c r="Q2256">
        <v>36</v>
      </c>
      <c r="R2256">
        <v>-82.551500000000004</v>
      </c>
    </row>
    <row r="2257" spans="1:18" x14ac:dyDescent="0.2">
      <c r="A2257" t="s">
        <v>6660</v>
      </c>
      <c r="B2257" t="s">
        <v>6661</v>
      </c>
      <c r="C2257">
        <v>1</v>
      </c>
      <c r="D2257" s="1">
        <v>44018.870196759257</v>
      </c>
      <c r="E2257" t="s">
        <v>7077</v>
      </c>
      <c r="F2257" t="s">
        <v>6663</v>
      </c>
      <c r="G2257" t="s">
        <v>7030</v>
      </c>
      <c r="H2257" t="s">
        <v>6665</v>
      </c>
      <c r="I2257" t="s">
        <v>29</v>
      </c>
      <c r="J2257">
        <v>1</v>
      </c>
      <c r="K2257">
        <f>1-855-874-1780</f>
        <v>-3508</v>
      </c>
      <c r="L2257" t="s">
        <v>7078</v>
      </c>
      <c r="M2257" t="s">
        <v>7079</v>
      </c>
      <c r="N2257" t="s">
        <v>3305</v>
      </c>
      <c r="O2257" t="s">
        <v>134</v>
      </c>
      <c r="P2257" t="s">
        <v>29</v>
      </c>
      <c r="Q2257">
        <v>36</v>
      </c>
      <c r="R2257">
        <v>-82.551500000000004</v>
      </c>
    </row>
    <row r="2258" spans="1:18" x14ac:dyDescent="0.2">
      <c r="A2258" t="s">
        <v>6660</v>
      </c>
      <c r="B2258" t="s">
        <v>6661</v>
      </c>
      <c r="C2258">
        <v>1</v>
      </c>
      <c r="D2258" s="1">
        <v>44016.713750000003</v>
      </c>
      <c r="E2258" t="s">
        <v>7080</v>
      </c>
      <c r="F2258" t="s">
        <v>6663</v>
      </c>
      <c r="G2258" t="s">
        <v>7030</v>
      </c>
      <c r="H2258" t="s">
        <v>6665</v>
      </c>
      <c r="I2258" t="s">
        <v>29</v>
      </c>
      <c r="J2258">
        <v>1</v>
      </c>
      <c r="K2258">
        <f>1-844-901-1310</f>
        <v>-3054</v>
      </c>
      <c r="L2258" t="s">
        <v>7081</v>
      </c>
      <c r="M2258" t="s">
        <v>7082</v>
      </c>
      <c r="N2258" t="s">
        <v>7083</v>
      </c>
      <c r="O2258" t="s">
        <v>134</v>
      </c>
      <c r="P2258" t="s">
        <v>29</v>
      </c>
      <c r="Q2258">
        <v>36</v>
      </c>
      <c r="R2258">
        <v>-82.551500000000004</v>
      </c>
    </row>
    <row r="2259" spans="1:18" x14ac:dyDescent="0.2">
      <c r="A2259" t="s">
        <v>2349</v>
      </c>
      <c r="B2259" t="s">
        <v>1651</v>
      </c>
      <c r="C2259">
        <v>1</v>
      </c>
      <c r="D2259" s="1">
        <v>44016.755497685182</v>
      </c>
      <c r="E2259" t="s">
        <v>7084</v>
      </c>
      <c r="F2259" t="s">
        <v>2352</v>
      </c>
      <c r="G2259" t="s">
        <v>7085</v>
      </c>
      <c r="H2259" t="s">
        <v>2353</v>
      </c>
      <c r="I2259" t="s">
        <v>29</v>
      </c>
      <c r="J2259">
        <v>1</v>
      </c>
      <c r="K2259">
        <f>1-888-984-4467</f>
        <v>-6338</v>
      </c>
      <c r="L2259" t="s">
        <v>7086</v>
      </c>
      <c r="M2259" t="s">
        <v>7087</v>
      </c>
      <c r="N2259" t="s">
        <v>452</v>
      </c>
      <c r="O2259" t="s">
        <v>28</v>
      </c>
      <c r="P2259" t="s">
        <v>29</v>
      </c>
      <c r="Q2259">
        <v>48</v>
      </c>
      <c r="R2259">
        <v>-99.999999000000003</v>
      </c>
    </row>
    <row r="2260" spans="1:18" x14ac:dyDescent="0.2">
      <c r="A2260" t="s">
        <v>663</v>
      </c>
      <c r="B2260" t="s">
        <v>2493</v>
      </c>
      <c r="C2260">
        <v>1</v>
      </c>
      <c r="D2260" s="1">
        <v>44016.861840277779</v>
      </c>
      <c r="E2260" t="s">
        <v>7088</v>
      </c>
      <c r="F2260" t="s">
        <v>666</v>
      </c>
      <c r="G2260" t="s">
        <v>7088</v>
      </c>
      <c r="H2260" t="s">
        <v>667</v>
      </c>
      <c r="I2260" t="s">
        <v>29</v>
      </c>
      <c r="J2260">
        <v>1</v>
      </c>
      <c r="K2260">
        <f>1-888-984-4537</f>
        <v>-6408</v>
      </c>
      <c r="L2260" t="s">
        <v>7089</v>
      </c>
      <c r="M2260" t="s">
        <v>7090</v>
      </c>
      <c r="N2260">
        <v>216</v>
      </c>
      <c r="O2260" t="s">
        <v>134</v>
      </c>
      <c r="P2260" t="s">
        <v>29</v>
      </c>
      <c r="Q2260">
        <v>41</v>
      </c>
      <c r="R2260">
        <v>-74.024699999999996</v>
      </c>
    </row>
    <row r="2261" spans="1:18" x14ac:dyDescent="0.2">
      <c r="A2261" t="s">
        <v>439</v>
      </c>
      <c r="B2261" t="s">
        <v>440</v>
      </c>
      <c r="C2261">
        <v>1</v>
      </c>
      <c r="D2261" s="1">
        <v>44016.890405092592</v>
      </c>
      <c r="E2261" t="s">
        <v>7091</v>
      </c>
      <c r="F2261" t="s">
        <v>442</v>
      </c>
      <c r="G2261" t="s">
        <v>7092</v>
      </c>
      <c r="H2261" t="s">
        <v>444</v>
      </c>
      <c r="I2261" t="s">
        <v>29</v>
      </c>
      <c r="J2261">
        <v>1</v>
      </c>
      <c r="K2261">
        <f>1-888-490-82</f>
        <v>-1459</v>
      </c>
      <c r="L2261" t="s">
        <v>7093</v>
      </c>
      <c r="M2261" t="s">
        <v>7094</v>
      </c>
      <c r="N2261" t="s">
        <v>36</v>
      </c>
      <c r="O2261" t="s">
        <v>28</v>
      </c>
      <c r="P2261" t="s">
        <v>29</v>
      </c>
      <c r="Q2261">
        <v>39</v>
      </c>
      <c r="R2261">
        <v>-77.487399999999994</v>
      </c>
    </row>
    <row r="2262" spans="1:18" x14ac:dyDescent="0.2">
      <c r="A2262" t="s">
        <v>3420</v>
      </c>
      <c r="B2262" t="s">
        <v>6921</v>
      </c>
      <c r="C2262">
        <v>49</v>
      </c>
      <c r="D2262" s="1">
        <v>44017.431041666663</v>
      </c>
      <c r="E2262" t="s">
        <v>7095</v>
      </c>
      <c r="F2262" t="s">
        <v>3422</v>
      </c>
      <c r="G2262" t="s">
        <v>7095</v>
      </c>
      <c r="H2262" t="s">
        <v>3423</v>
      </c>
      <c r="I2262" t="s">
        <v>24</v>
      </c>
      <c r="J2262">
        <v>49</v>
      </c>
      <c r="K2262">
        <f>49-800-182-6614</f>
        <v>-7547</v>
      </c>
      <c r="L2262" t="s">
        <v>7096</v>
      </c>
      <c r="M2262" t="s">
        <v>7097</v>
      </c>
      <c r="N2262">
        <v>174</v>
      </c>
      <c r="O2262" t="s">
        <v>134</v>
      </c>
      <c r="P2262" t="s">
        <v>29</v>
      </c>
      <c r="Q2262">
        <v>41</v>
      </c>
      <c r="R2262">
        <v>-95.860799999999998</v>
      </c>
    </row>
    <row r="2263" spans="1:18" x14ac:dyDescent="0.2">
      <c r="A2263" t="s">
        <v>2349</v>
      </c>
      <c r="B2263" t="s">
        <v>6834</v>
      </c>
      <c r="C2263">
        <v>1</v>
      </c>
      <c r="D2263" s="1">
        <v>44017.795717592591</v>
      </c>
      <c r="E2263" t="s">
        <v>7098</v>
      </c>
      <c r="F2263" t="s">
        <v>2352</v>
      </c>
      <c r="G2263" t="s">
        <v>7099</v>
      </c>
      <c r="H2263" t="s">
        <v>2353</v>
      </c>
      <c r="I2263" t="s">
        <v>29</v>
      </c>
      <c r="J2263">
        <v>1</v>
      </c>
      <c r="K2263">
        <f>1-888-984-4345</f>
        <v>-6216</v>
      </c>
      <c r="L2263" t="s">
        <v>7100</v>
      </c>
      <c r="M2263" t="s">
        <v>7101</v>
      </c>
      <c r="N2263" t="s">
        <v>452</v>
      </c>
      <c r="O2263" t="s">
        <v>28</v>
      </c>
      <c r="P2263" t="s">
        <v>29</v>
      </c>
      <c r="Q2263">
        <v>34</v>
      </c>
      <c r="R2263">
        <v>-99.999999000000003</v>
      </c>
    </row>
    <row r="2264" spans="1:18" x14ac:dyDescent="0.2">
      <c r="A2264" t="s">
        <v>2233</v>
      </c>
      <c r="B2264" t="s">
        <v>440</v>
      </c>
      <c r="C2264">
        <v>1</v>
      </c>
      <c r="D2264" s="1">
        <v>44017.807569444441</v>
      </c>
      <c r="E2264" t="s">
        <v>6721</v>
      </c>
      <c r="F2264" t="s">
        <v>2236</v>
      </c>
      <c r="G2264" t="s">
        <v>7102</v>
      </c>
      <c r="H2264" t="s">
        <v>2237</v>
      </c>
      <c r="I2264" t="s">
        <v>29</v>
      </c>
      <c r="J2264">
        <v>1</v>
      </c>
      <c r="K2264">
        <f>1-804-666-213</f>
        <v>-1682</v>
      </c>
      <c r="L2264" t="s">
        <v>7103</v>
      </c>
      <c r="M2264" t="s">
        <v>7104</v>
      </c>
      <c r="N2264" t="s">
        <v>5354</v>
      </c>
      <c r="O2264" t="s">
        <v>134</v>
      </c>
      <c r="P2264" t="s">
        <v>29</v>
      </c>
      <c r="Q2264">
        <v>39</v>
      </c>
      <c r="R2264">
        <v>-77.487399999999994</v>
      </c>
    </row>
    <row r="2265" spans="1:18" x14ac:dyDescent="0.2">
      <c r="A2265" t="s">
        <v>663</v>
      </c>
      <c r="B2265" t="s">
        <v>664</v>
      </c>
      <c r="C2265">
        <v>1</v>
      </c>
      <c r="D2265" s="1">
        <v>44018.251030092593</v>
      </c>
      <c r="E2265" t="s">
        <v>7105</v>
      </c>
      <c r="F2265" t="s">
        <v>666</v>
      </c>
      <c r="G2265" t="s">
        <v>7105</v>
      </c>
      <c r="H2265" t="s">
        <v>667</v>
      </c>
      <c r="I2265" t="s">
        <v>29</v>
      </c>
      <c r="J2265">
        <v>1</v>
      </c>
      <c r="K2265">
        <f>1-888-712-621</f>
        <v>-2220</v>
      </c>
      <c r="L2265" t="s">
        <v>7106</v>
      </c>
      <c r="M2265" t="s">
        <v>7107</v>
      </c>
      <c r="N2265">
        <v>126</v>
      </c>
      <c r="O2265" t="s">
        <v>134</v>
      </c>
      <c r="P2265" t="s">
        <v>29</v>
      </c>
      <c r="Q2265">
        <v>37</v>
      </c>
      <c r="R2265">
        <v>-99.999999000000003</v>
      </c>
    </row>
    <row r="2266" spans="1:18" x14ac:dyDescent="0.2">
      <c r="A2266" t="s">
        <v>2233</v>
      </c>
      <c r="B2266" t="s">
        <v>440</v>
      </c>
      <c r="C2266">
        <v>1</v>
      </c>
      <c r="D2266" s="1">
        <v>44018.844074074077</v>
      </c>
      <c r="E2266" t="s">
        <v>7108</v>
      </c>
      <c r="F2266" t="s">
        <v>2236</v>
      </c>
      <c r="G2266" t="s">
        <v>7109</v>
      </c>
      <c r="H2266" t="s">
        <v>2237</v>
      </c>
      <c r="I2266" t="s">
        <v>29</v>
      </c>
      <c r="J2266">
        <v>1</v>
      </c>
      <c r="K2266">
        <f>1-855-914-2288</f>
        <v>-4056</v>
      </c>
      <c r="L2266" t="s">
        <v>7110</v>
      </c>
      <c r="M2266" t="s">
        <v>7111</v>
      </c>
      <c r="N2266" t="s">
        <v>7112</v>
      </c>
      <c r="O2266" t="s">
        <v>28</v>
      </c>
      <c r="P2266" t="s">
        <v>29</v>
      </c>
      <c r="Q2266">
        <v>39</v>
      </c>
      <c r="R2266">
        <v>-77.487399999999994</v>
      </c>
    </row>
    <row r="2267" spans="1:18" x14ac:dyDescent="0.2">
      <c r="A2267" t="s">
        <v>2349</v>
      </c>
      <c r="B2267" t="s">
        <v>4281</v>
      </c>
      <c r="C2267">
        <v>49</v>
      </c>
      <c r="D2267" s="1">
        <v>44018.843576388892</v>
      </c>
      <c r="E2267" t="s">
        <v>7113</v>
      </c>
      <c r="F2267" t="s">
        <v>4584</v>
      </c>
      <c r="G2267" t="s">
        <v>7113</v>
      </c>
      <c r="H2267" t="s">
        <v>2353</v>
      </c>
      <c r="I2267" t="s">
        <v>24</v>
      </c>
      <c r="J2267">
        <v>49</v>
      </c>
      <c r="K2267">
        <f>49-800-723-7181</f>
        <v>-8655</v>
      </c>
      <c r="L2267" t="s">
        <v>7114</v>
      </c>
      <c r="M2267" t="s">
        <v>7115</v>
      </c>
      <c r="N2267">
        <v>204</v>
      </c>
      <c r="O2267" t="s">
        <v>134</v>
      </c>
      <c r="P2267" t="s">
        <v>24</v>
      </c>
      <c r="Q2267">
        <v>50</v>
      </c>
      <c r="R2267">
        <v>8.7336100000000005</v>
      </c>
    </row>
    <row r="2268" spans="1:18" x14ac:dyDescent="0.2">
      <c r="A2268" t="s">
        <v>2349</v>
      </c>
      <c r="B2268" t="s">
        <v>6834</v>
      </c>
      <c r="C2268">
        <v>1</v>
      </c>
      <c r="D2268" s="1">
        <v>44018.846053240741</v>
      </c>
      <c r="E2268" t="s">
        <v>7116</v>
      </c>
      <c r="F2268" t="s">
        <v>2352</v>
      </c>
      <c r="G2268" t="s">
        <v>7117</v>
      </c>
      <c r="H2268" t="s">
        <v>2353</v>
      </c>
      <c r="I2268" t="s">
        <v>29</v>
      </c>
      <c r="J2268">
        <v>1</v>
      </c>
      <c r="K2268">
        <f>1-855-693-500</f>
        <v>-2047</v>
      </c>
      <c r="L2268" t="s">
        <v>7118</v>
      </c>
      <c r="M2268" t="s">
        <v>7119</v>
      </c>
      <c r="N2268" t="s">
        <v>36</v>
      </c>
      <c r="O2268" t="s">
        <v>28</v>
      </c>
      <c r="P2268" t="s">
        <v>29</v>
      </c>
      <c r="Q2268">
        <v>34</v>
      </c>
      <c r="R2268">
        <v>-99.999999000000003</v>
      </c>
    </row>
    <row r="2269" spans="1:18" x14ac:dyDescent="0.2">
      <c r="A2269" t="s">
        <v>663</v>
      </c>
      <c r="B2269" t="s">
        <v>3245</v>
      </c>
      <c r="C2269">
        <v>1</v>
      </c>
      <c r="D2269" s="1">
        <v>44018.89130787037</v>
      </c>
      <c r="E2269" t="s">
        <v>7120</v>
      </c>
      <c r="F2269" t="s">
        <v>666</v>
      </c>
      <c r="G2269" t="s">
        <v>7121</v>
      </c>
      <c r="H2269" t="s">
        <v>667</v>
      </c>
      <c r="I2269" t="s">
        <v>29</v>
      </c>
      <c r="J2269">
        <v>1</v>
      </c>
      <c r="K2269">
        <f>1-855-785-41</f>
        <v>-1680</v>
      </c>
      <c r="L2269" t="s">
        <v>7122</v>
      </c>
      <c r="M2269" t="s">
        <v>7123</v>
      </c>
      <c r="N2269" t="s">
        <v>452</v>
      </c>
      <c r="O2269" t="s">
        <v>28</v>
      </c>
      <c r="P2269" t="s">
        <v>29</v>
      </c>
      <c r="Q2269">
        <v>41</v>
      </c>
      <c r="R2269">
        <v>-74.140299999999996</v>
      </c>
    </row>
    <row r="2270" spans="1:18" x14ac:dyDescent="0.2">
      <c r="A2270" t="s">
        <v>2349</v>
      </c>
      <c r="B2270" t="s">
        <v>6962</v>
      </c>
      <c r="C2270">
        <v>1</v>
      </c>
      <c r="D2270" s="1">
        <v>44019.74114583333</v>
      </c>
      <c r="E2270" t="s">
        <v>7124</v>
      </c>
      <c r="F2270" t="s">
        <v>2352</v>
      </c>
      <c r="G2270" t="s">
        <v>7125</v>
      </c>
      <c r="H2270" t="s">
        <v>2353</v>
      </c>
      <c r="I2270" t="s">
        <v>29</v>
      </c>
      <c r="J2270">
        <v>1</v>
      </c>
      <c r="K2270">
        <f>1-888-984-4348</f>
        <v>-6219</v>
      </c>
      <c r="L2270" t="s">
        <v>7126</v>
      </c>
      <c r="M2270" t="s">
        <v>7127</v>
      </c>
      <c r="N2270" t="s">
        <v>452</v>
      </c>
      <c r="O2270" t="s">
        <v>28</v>
      </c>
      <c r="P2270" t="s">
        <v>29</v>
      </c>
      <c r="Q2270">
        <v>42</v>
      </c>
      <c r="R2270">
        <v>-87.995400000000004</v>
      </c>
    </row>
    <row r="2271" spans="1:18" x14ac:dyDescent="0.2">
      <c r="A2271" t="s">
        <v>663</v>
      </c>
      <c r="B2271" t="s">
        <v>3245</v>
      </c>
      <c r="C2271">
        <v>44</v>
      </c>
      <c r="D2271" s="1">
        <v>44019.60429398148</v>
      </c>
      <c r="E2271" t="s">
        <v>7128</v>
      </c>
      <c r="F2271" t="s">
        <v>666</v>
      </c>
      <c r="G2271" t="s">
        <v>7129</v>
      </c>
      <c r="H2271" t="s">
        <v>667</v>
      </c>
      <c r="I2271" t="s">
        <v>618</v>
      </c>
      <c r="J2271">
        <v>44</v>
      </c>
      <c r="K2271">
        <f>44-808-101-7269</f>
        <v>-8134</v>
      </c>
      <c r="L2271" t="s">
        <v>7130</v>
      </c>
      <c r="M2271" t="s">
        <v>7131</v>
      </c>
      <c r="N2271" t="s">
        <v>452</v>
      </c>
      <c r="O2271" t="s">
        <v>28</v>
      </c>
      <c r="P2271" t="s">
        <v>29</v>
      </c>
      <c r="Q2271">
        <v>41</v>
      </c>
      <c r="R2271">
        <v>-74.140299999999996</v>
      </c>
    </row>
    <row r="2272" spans="1:18" x14ac:dyDescent="0.2">
      <c r="A2272" t="s">
        <v>439</v>
      </c>
      <c r="B2272" t="s">
        <v>440</v>
      </c>
      <c r="C2272">
        <v>44</v>
      </c>
      <c r="D2272" s="1">
        <v>44019.618402777778</v>
      </c>
      <c r="E2272" t="s">
        <v>7132</v>
      </c>
      <c r="F2272" t="s">
        <v>442</v>
      </c>
      <c r="G2272" t="s">
        <v>7133</v>
      </c>
      <c r="H2272" t="s">
        <v>444</v>
      </c>
      <c r="I2272" t="s">
        <v>618</v>
      </c>
      <c r="J2272">
        <v>44</v>
      </c>
      <c r="K2272">
        <f>44-20-3290-684</f>
        <v>-3950</v>
      </c>
      <c r="L2272" t="s">
        <v>7134</v>
      </c>
      <c r="M2272" t="s">
        <v>7135</v>
      </c>
      <c r="N2272" t="s">
        <v>213</v>
      </c>
      <c r="O2272" t="s">
        <v>28</v>
      </c>
      <c r="P2272" t="s">
        <v>29</v>
      </c>
      <c r="Q2272">
        <v>39</v>
      </c>
      <c r="R2272">
        <v>-77.487399999999994</v>
      </c>
    </row>
    <row r="2273" spans="1:18" x14ac:dyDescent="0.2">
      <c r="A2273" t="s">
        <v>663</v>
      </c>
      <c r="B2273" t="s">
        <v>1212</v>
      </c>
      <c r="C2273">
        <v>44</v>
      </c>
      <c r="D2273" s="1">
        <v>44019.665208333332</v>
      </c>
      <c r="E2273" t="s">
        <v>7136</v>
      </c>
      <c r="F2273" t="s">
        <v>666</v>
      </c>
      <c r="G2273" t="s">
        <v>7136</v>
      </c>
      <c r="H2273" t="s">
        <v>667</v>
      </c>
      <c r="I2273" t="s">
        <v>618</v>
      </c>
      <c r="J2273">
        <v>44</v>
      </c>
      <c r="K2273">
        <f>44-20-8133-106</f>
        <v>-8215</v>
      </c>
      <c r="L2273" t="s">
        <v>7137</v>
      </c>
      <c r="M2273" t="s">
        <v>7138</v>
      </c>
      <c r="N2273">
        <v>38</v>
      </c>
      <c r="O2273" t="s">
        <v>134</v>
      </c>
      <c r="P2273" t="s">
        <v>618</v>
      </c>
      <c r="Q2273">
        <v>52</v>
      </c>
      <c r="R2273">
        <v>-9.2999999999999999E-2</v>
      </c>
    </row>
    <row r="2274" spans="1:18" x14ac:dyDescent="0.2">
      <c r="A2274" t="s">
        <v>1200</v>
      </c>
      <c r="B2274" t="s">
        <v>1201</v>
      </c>
      <c r="C2274">
        <v>1</v>
      </c>
      <c r="D2274" s="1">
        <v>44019.685439814813</v>
      </c>
      <c r="E2274" t="s">
        <v>7139</v>
      </c>
      <c r="F2274" t="s">
        <v>1203</v>
      </c>
      <c r="G2274" t="s">
        <v>7140</v>
      </c>
      <c r="H2274" t="s">
        <v>1205</v>
      </c>
      <c r="I2274" t="s">
        <v>29</v>
      </c>
      <c r="J2274">
        <v>1</v>
      </c>
      <c r="K2274">
        <f>1-800-799-3810</f>
        <v>-5408</v>
      </c>
      <c r="L2274" t="s">
        <v>7141</v>
      </c>
      <c r="M2274" t="s">
        <v>7142</v>
      </c>
      <c r="N2274" t="s">
        <v>1208</v>
      </c>
      <c r="O2274" t="s">
        <v>134</v>
      </c>
      <c r="P2274" t="s">
        <v>29</v>
      </c>
      <c r="Q2274">
        <v>34</v>
      </c>
      <c r="R2274">
        <v>-99.999999000000003</v>
      </c>
    </row>
    <row r="2275" spans="1:18" x14ac:dyDescent="0.2">
      <c r="A2275" t="s">
        <v>6912</v>
      </c>
      <c r="B2275" t="s">
        <v>6913</v>
      </c>
      <c r="C2275">
        <v>1</v>
      </c>
      <c r="D2275" s="1">
        <v>44019.808923611112</v>
      </c>
      <c r="E2275" t="s">
        <v>7143</v>
      </c>
      <c r="F2275" t="s">
        <v>6663</v>
      </c>
      <c r="G2275" t="s">
        <v>7144</v>
      </c>
      <c r="H2275" t="s">
        <v>6665</v>
      </c>
      <c r="I2275" t="s">
        <v>29</v>
      </c>
      <c r="J2275">
        <v>1</v>
      </c>
      <c r="K2275">
        <f>1-855-928-1555</f>
        <v>-3337</v>
      </c>
      <c r="L2275" t="s">
        <v>7145</v>
      </c>
      <c r="M2275" t="s">
        <v>7146</v>
      </c>
      <c r="N2275" t="s">
        <v>5354</v>
      </c>
      <c r="O2275" t="s">
        <v>28</v>
      </c>
      <c r="P2275" t="s">
        <v>29</v>
      </c>
      <c r="Q2275">
        <v>35</v>
      </c>
      <c r="R2275">
        <v>-80.843100000000007</v>
      </c>
    </row>
    <row r="2276" spans="1:18" x14ac:dyDescent="0.2">
      <c r="A2276" t="s">
        <v>6912</v>
      </c>
      <c r="B2276" t="s">
        <v>6913</v>
      </c>
      <c r="C2276">
        <v>1</v>
      </c>
      <c r="D2276" s="1">
        <v>44019.847905092596</v>
      </c>
      <c r="E2276" t="s">
        <v>7147</v>
      </c>
      <c r="F2276" t="s">
        <v>6663</v>
      </c>
      <c r="G2276" t="s">
        <v>7148</v>
      </c>
      <c r="H2276" t="s">
        <v>6665</v>
      </c>
      <c r="I2276" t="s">
        <v>29</v>
      </c>
      <c r="J2276">
        <v>1</v>
      </c>
      <c r="K2276">
        <f>1-351-200-3216</f>
        <v>-3766</v>
      </c>
      <c r="L2276" t="s">
        <v>7149</v>
      </c>
      <c r="M2276" t="s">
        <v>7150</v>
      </c>
      <c r="N2276" t="s">
        <v>5354</v>
      </c>
      <c r="O2276" t="s">
        <v>28</v>
      </c>
      <c r="P2276" t="s">
        <v>29</v>
      </c>
      <c r="Q2276">
        <v>35</v>
      </c>
      <c r="R2276">
        <v>-80.843100000000007</v>
      </c>
    </row>
    <row r="2277" spans="1:18" x14ac:dyDescent="0.2">
      <c r="A2277" t="s">
        <v>2233</v>
      </c>
      <c r="B2277" t="s">
        <v>6888</v>
      </c>
      <c r="C2277">
        <v>1</v>
      </c>
      <c r="D2277" s="1">
        <v>44019.911030092589</v>
      </c>
      <c r="E2277" t="s">
        <v>7151</v>
      </c>
      <c r="F2277" t="s">
        <v>2236</v>
      </c>
      <c r="G2277" t="s">
        <v>7152</v>
      </c>
      <c r="H2277" t="s">
        <v>2237</v>
      </c>
      <c r="I2277" t="s">
        <v>29</v>
      </c>
      <c r="J2277">
        <v>1</v>
      </c>
      <c r="K2277">
        <f>1-844-420-1080</f>
        <v>-2343</v>
      </c>
      <c r="L2277" t="s">
        <v>7153</v>
      </c>
      <c r="M2277" t="s">
        <v>7154</v>
      </c>
      <c r="N2277" t="s">
        <v>3441</v>
      </c>
      <c r="O2277" t="s">
        <v>28</v>
      </c>
      <c r="P2277" t="s">
        <v>29</v>
      </c>
      <c r="Q2277">
        <v>46</v>
      </c>
      <c r="R2277">
        <v>-99.999999000000003</v>
      </c>
    </row>
    <row r="2278" spans="1:18" x14ac:dyDescent="0.2">
      <c r="A2278" t="s">
        <v>2233</v>
      </c>
      <c r="B2278" t="s">
        <v>6888</v>
      </c>
      <c r="C2278">
        <v>1</v>
      </c>
      <c r="D2278" s="1">
        <v>44019.810706018521</v>
      </c>
      <c r="E2278" t="s">
        <v>7155</v>
      </c>
      <c r="F2278" t="s">
        <v>2236</v>
      </c>
      <c r="G2278" t="s">
        <v>7152</v>
      </c>
      <c r="H2278" t="s">
        <v>2237</v>
      </c>
      <c r="I2278" t="s">
        <v>29</v>
      </c>
      <c r="J2278">
        <v>1</v>
      </c>
      <c r="K2278">
        <f>1-844-420-1080</f>
        <v>-2343</v>
      </c>
      <c r="L2278" t="s">
        <v>7156</v>
      </c>
      <c r="M2278" t="s">
        <v>7157</v>
      </c>
      <c r="N2278" t="s">
        <v>674</v>
      </c>
      <c r="O2278" t="s">
        <v>28</v>
      </c>
      <c r="P2278" t="s">
        <v>29</v>
      </c>
      <c r="Q2278">
        <v>46</v>
      </c>
      <c r="R2278">
        <v>-99.999999000000003</v>
      </c>
    </row>
    <row r="2279" spans="1:18" x14ac:dyDescent="0.2">
      <c r="A2279" t="s">
        <v>2233</v>
      </c>
      <c r="B2279" t="s">
        <v>2234</v>
      </c>
      <c r="C2279">
        <v>1</v>
      </c>
      <c r="D2279" s="1">
        <v>44019.867951388886</v>
      </c>
      <c r="E2279" t="s">
        <v>7158</v>
      </c>
      <c r="F2279" t="s">
        <v>2236</v>
      </c>
      <c r="G2279" t="s">
        <v>7159</v>
      </c>
      <c r="H2279" t="s">
        <v>2237</v>
      </c>
      <c r="I2279" t="s">
        <v>29</v>
      </c>
      <c r="J2279">
        <v>1</v>
      </c>
      <c r="K2279">
        <f>1-855-608-1265</f>
        <v>-2727</v>
      </c>
      <c r="L2279" t="s">
        <v>7160</v>
      </c>
      <c r="M2279" t="s">
        <v>7161</v>
      </c>
      <c r="N2279" t="s">
        <v>6819</v>
      </c>
      <c r="O2279" t="s">
        <v>28</v>
      </c>
      <c r="P2279" t="s">
        <v>29</v>
      </c>
      <c r="Q2279">
        <v>40</v>
      </c>
      <c r="R2279">
        <v>-83.114099999999993</v>
      </c>
    </row>
    <row r="2280" spans="1:18" x14ac:dyDescent="0.2">
      <c r="A2280" t="s">
        <v>7162</v>
      </c>
      <c r="B2280" t="s">
        <v>454</v>
      </c>
      <c r="C2280">
        <v>44</v>
      </c>
      <c r="D2280" s="1">
        <v>44020.422083333331</v>
      </c>
      <c r="E2280" t="s">
        <v>7163</v>
      </c>
      <c r="F2280" t="s">
        <v>7164</v>
      </c>
      <c r="G2280" t="s">
        <v>7165</v>
      </c>
      <c r="H2280" t="s">
        <v>7166</v>
      </c>
      <c r="I2280" t="s">
        <v>618</v>
      </c>
      <c r="J2280">
        <v>44</v>
      </c>
      <c r="K2280">
        <f>44-800-229-4997</f>
        <v>-5982</v>
      </c>
      <c r="L2280" t="s">
        <v>7167</v>
      </c>
      <c r="M2280" t="s">
        <v>7168</v>
      </c>
      <c r="N2280" t="s">
        <v>7169</v>
      </c>
      <c r="O2280" t="s">
        <v>28</v>
      </c>
      <c r="P2280" t="s">
        <v>461</v>
      </c>
      <c r="Q2280">
        <v>52</v>
      </c>
      <c r="R2280">
        <v>4.8999800000000002</v>
      </c>
    </row>
    <row r="2281" spans="1:18" x14ac:dyDescent="0.2">
      <c r="A2281" t="s">
        <v>439</v>
      </c>
      <c r="B2281" t="s">
        <v>1412</v>
      </c>
      <c r="C2281">
        <v>1</v>
      </c>
      <c r="D2281" s="1">
        <v>44019.941805555558</v>
      </c>
      <c r="E2281" t="s">
        <v>7170</v>
      </c>
      <c r="F2281" t="s">
        <v>442</v>
      </c>
      <c r="G2281" t="s">
        <v>7171</v>
      </c>
      <c r="H2281" t="s">
        <v>444</v>
      </c>
      <c r="I2281" t="s">
        <v>29</v>
      </c>
      <c r="J2281">
        <v>1</v>
      </c>
      <c r="K2281">
        <f>1-888-888-8888</f>
        <v>-10663</v>
      </c>
      <c r="L2281" t="s">
        <v>7172</v>
      </c>
      <c r="M2281" t="s">
        <v>7173</v>
      </c>
      <c r="N2281" t="s">
        <v>36</v>
      </c>
      <c r="O2281" t="s">
        <v>28</v>
      </c>
      <c r="P2281" t="s">
        <v>29</v>
      </c>
      <c r="Q2281">
        <v>41</v>
      </c>
      <c r="R2281">
        <v>-74.172399999999996</v>
      </c>
    </row>
    <row r="2282" spans="1:18" x14ac:dyDescent="0.2">
      <c r="A2282" t="s">
        <v>439</v>
      </c>
      <c r="B2282" t="s">
        <v>440</v>
      </c>
      <c r="C2282">
        <v>1</v>
      </c>
      <c r="D2282" s="1">
        <v>44019.943761574075</v>
      </c>
      <c r="E2282" t="s">
        <v>7174</v>
      </c>
      <c r="F2282" t="s">
        <v>442</v>
      </c>
      <c r="G2282" t="s">
        <v>7175</v>
      </c>
      <c r="H2282" t="s">
        <v>444</v>
      </c>
      <c r="I2282" t="s">
        <v>29</v>
      </c>
      <c r="J2282">
        <v>1</v>
      </c>
      <c r="K2282">
        <f>1-888-888-8888</f>
        <v>-10663</v>
      </c>
      <c r="L2282" t="s">
        <v>7176</v>
      </c>
      <c r="M2282" t="s">
        <v>7177</v>
      </c>
      <c r="N2282" t="s">
        <v>36</v>
      </c>
      <c r="O2282" t="s">
        <v>28</v>
      </c>
      <c r="P2282" t="s">
        <v>29</v>
      </c>
      <c r="Q2282">
        <v>39</v>
      </c>
      <c r="R2282">
        <v>-77.487399999999994</v>
      </c>
    </row>
    <row r="2283" spans="1:18" x14ac:dyDescent="0.2">
      <c r="A2283" t="s">
        <v>439</v>
      </c>
      <c r="B2283" t="s">
        <v>3094</v>
      </c>
      <c r="C2283">
        <v>1</v>
      </c>
      <c r="D2283" s="1">
        <v>44019.94840277778</v>
      </c>
      <c r="E2283" t="s">
        <v>7178</v>
      </c>
      <c r="F2283" t="s">
        <v>442</v>
      </c>
      <c r="G2283" t="s">
        <v>7179</v>
      </c>
      <c r="H2283" t="s">
        <v>444</v>
      </c>
      <c r="I2283" t="s">
        <v>29</v>
      </c>
      <c r="J2283">
        <v>1</v>
      </c>
      <c r="K2283">
        <f>1-888-888-8888</f>
        <v>-10663</v>
      </c>
      <c r="L2283" t="s">
        <v>7180</v>
      </c>
      <c r="M2283" t="s">
        <v>7181</v>
      </c>
      <c r="N2283" t="s">
        <v>36</v>
      </c>
      <c r="O2283" t="s">
        <v>28</v>
      </c>
      <c r="P2283" t="s">
        <v>2268</v>
      </c>
      <c r="Q2283">
        <v>46</v>
      </c>
      <c r="R2283">
        <v>-73.567300000000003</v>
      </c>
    </row>
    <row r="2284" spans="1:18" x14ac:dyDescent="0.2">
      <c r="A2284" t="s">
        <v>439</v>
      </c>
      <c r="B2284" t="s">
        <v>3094</v>
      </c>
      <c r="C2284">
        <v>1</v>
      </c>
      <c r="D2284" s="1">
        <v>44019.951412037037</v>
      </c>
      <c r="E2284" t="s">
        <v>7182</v>
      </c>
      <c r="F2284" t="s">
        <v>442</v>
      </c>
      <c r="G2284" t="s">
        <v>7183</v>
      </c>
      <c r="H2284" t="s">
        <v>444</v>
      </c>
      <c r="I2284" t="s">
        <v>29</v>
      </c>
      <c r="J2284">
        <v>1</v>
      </c>
      <c r="K2284">
        <f>1-888-888-8888</f>
        <v>-10663</v>
      </c>
      <c r="L2284" t="s">
        <v>7184</v>
      </c>
      <c r="M2284" t="s">
        <v>7185</v>
      </c>
      <c r="N2284" t="s">
        <v>36</v>
      </c>
      <c r="O2284" t="s">
        <v>28</v>
      </c>
      <c r="P2284" t="s">
        <v>2268</v>
      </c>
      <c r="Q2284">
        <v>46</v>
      </c>
      <c r="R2284">
        <v>-73.567300000000003</v>
      </c>
    </row>
    <row r="2285" spans="1:18" x14ac:dyDescent="0.2">
      <c r="A2285" t="s">
        <v>439</v>
      </c>
      <c r="B2285" t="s">
        <v>1412</v>
      </c>
      <c r="C2285">
        <v>1</v>
      </c>
      <c r="D2285" s="1">
        <v>44019.952407407407</v>
      </c>
      <c r="E2285" t="s">
        <v>7186</v>
      </c>
      <c r="F2285" t="s">
        <v>442</v>
      </c>
      <c r="G2285" t="s">
        <v>7187</v>
      </c>
      <c r="H2285" t="s">
        <v>444</v>
      </c>
      <c r="I2285" t="s">
        <v>29</v>
      </c>
      <c r="J2285">
        <v>1</v>
      </c>
      <c r="K2285">
        <f>1-888-888-8888</f>
        <v>-10663</v>
      </c>
      <c r="L2285" t="s">
        <v>7188</v>
      </c>
      <c r="M2285" t="s">
        <v>7189</v>
      </c>
      <c r="N2285" t="s">
        <v>36</v>
      </c>
      <c r="O2285" t="s">
        <v>28</v>
      </c>
      <c r="P2285" t="s">
        <v>29</v>
      </c>
      <c r="Q2285">
        <v>41</v>
      </c>
      <c r="R2285">
        <v>-74.172399999999996</v>
      </c>
    </row>
    <row r="2286" spans="1:18" x14ac:dyDescent="0.2">
      <c r="A2286" t="s">
        <v>663</v>
      </c>
      <c r="B2286" t="s">
        <v>3245</v>
      </c>
      <c r="C2286">
        <v>1</v>
      </c>
      <c r="D2286" s="1">
        <v>44020.008993055555</v>
      </c>
      <c r="E2286" t="s">
        <v>7190</v>
      </c>
      <c r="F2286" t="s">
        <v>666</v>
      </c>
      <c r="G2286" t="s">
        <v>7191</v>
      </c>
      <c r="H2286" t="s">
        <v>667</v>
      </c>
      <c r="I2286" t="s">
        <v>29</v>
      </c>
      <c r="J2286">
        <v>1</v>
      </c>
      <c r="K2286">
        <f>1-855-671-785</f>
        <v>-2310</v>
      </c>
      <c r="L2286" t="s">
        <v>7192</v>
      </c>
      <c r="M2286" t="s">
        <v>7193</v>
      </c>
      <c r="N2286" t="s">
        <v>452</v>
      </c>
      <c r="O2286" t="s">
        <v>28</v>
      </c>
      <c r="P2286" t="s">
        <v>29</v>
      </c>
      <c r="Q2286">
        <v>41</v>
      </c>
      <c r="R2286">
        <v>-74.140299999999996</v>
      </c>
    </row>
    <row r="2287" spans="1:18" x14ac:dyDescent="0.2">
      <c r="A2287" t="s">
        <v>2225</v>
      </c>
      <c r="B2287" t="s">
        <v>2226</v>
      </c>
      <c r="C2287">
        <v>81</v>
      </c>
      <c r="D2287" s="1">
        <v>44083.404166666667</v>
      </c>
      <c r="E2287" t="s">
        <v>7194</v>
      </c>
      <c r="F2287" t="s">
        <v>2228</v>
      </c>
      <c r="G2287" t="s">
        <v>7195</v>
      </c>
      <c r="H2287" t="s">
        <v>2230</v>
      </c>
      <c r="I2287" t="s">
        <v>53</v>
      </c>
      <c r="J2287">
        <v>81</v>
      </c>
      <c r="K2287">
        <f>81-50-5806-9619</f>
        <v>-15394</v>
      </c>
      <c r="L2287" t="s">
        <v>7196</v>
      </c>
      <c r="M2287" t="s">
        <v>7197</v>
      </c>
      <c r="N2287" t="s">
        <v>2475</v>
      </c>
      <c r="O2287" t="s">
        <v>28</v>
      </c>
      <c r="P2287" t="s">
        <v>24</v>
      </c>
      <c r="Q2287">
        <v>50</v>
      </c>
      <c r="R2287">
        <v>12.365</v>
      </c>
    </row>
    <row r="2288" spans="1:18" x14ac:dyDescent="0.2">
      <c r="A2288" t="s">
        <v>2225</v>
      </c>
      <c r="B2288" t="s">
        <v>2226</v>
      </c>
      <c r="C2288">
        <v>81</v>
      </c>
      <c r="D2288" s="1">
        <v>44075.466990740744</v>
      </c>
      <c r="E2288" t="s">
        <v>7198</v>
      </c>
      <c r="F2288" t="s">
        <v>2228</v>
      </c>
      <c r="G2288" t="s">
        <v>7195</v>
      </c>
      <c r="H2288" t="s">
        <v>2230</v>
      </c>
      <c r="I2288" t="s">
        <v>53</v>
      </c>
      <c r="J2288">
        <v>81</v>
      </c>
      <c r="K2288">
        <f>81-50-5806-9619</f>
        <v>-15394</v>
      </c>
      <c r="L2288" t="s">
        <v>7199</v>
      </c>
      <c r="M2288" t="s">
        <v>7200</v>
      </c>
      <c r="N2288" t="s">
        <v>2475</v>
      </c>
      <c r="O2288" t="s">
        <v>28</v>
      </c>
      <c r="P2288" t="s">
        <v>24</v>
      </c>
      <c r="Q2288">
        <v>50</v>
      </c>
      <c r="R2288">
        <v>12.365</v>
      </c>
    </row>
    <row r="2289" spans="1:18" x14ac:dyDescent="0.2">
      <c r="A2289" t="s">
        <v>2225</v>
      </c>
      <c r="B2289" t="s">
        <v>2226</v>
      </c>
      <c r="C2289">
        <v>81</v>
      </c>
      <c r="D2289" s="1">
        <v>44068.348946759259</v>
      </c>
      <c r="E2289" t="s">
        <v>7201</v>
      </c>
      <c r="F2289" t="s">
        <v>2228</v>
      </c>
      <c r="G2289" t="s">
        <v>7195</v>
      </c>
      <c r="H2289" t="s">
        <v>2230</v>
      </c>
      <c r="I2289" t="s">
        <v>53</v>
      </c>
      <c r="J2289">
        <v>81</v>
      </c>
      <c r="K2289">
        <f>81-50-5532-6093</f>
        <v>-11594</v>
      </c>
      <c r="L2289" t="s">
        <v>7202</v>
      </c>
      <c r="M2289" t="s">
        <v>7203</v>
      </c>
      <c r="N2289" t="s">
        <v>2475</v>
      </c>
      <c r="O2289" t="s">
        <v>28</v>
      </c>
      <c r="P2289" t="s">
        <v>24</v>
      </c>
      <c r="Q2289">
        <v>50</v>
      </c>
      <c r="R2289">
        <v>12.365</v>
      </c>
    </row>
    <row r="2290" spans="1:18" x14ac:dyDescent="0.2">
      <c r="A2290" t="s">
        <v>2225</v>
      </c>
      <c r="B2290" t="s">
        <v>2226</v>
      </c>
      <c r="C2290">
        <v>61</v>
      </c>
      <c r="D2290" s="1">
        <v>44062.288564814815</v>
      </c>
      <c r="E2290" t="s">
        <v>7204</v>
      </c>
      <c r="F2290" t="s">
        <v>2228</v>
      </c>
      <c r="G2290" t="s">
        <v>7195</v>
      </c>
      <c r="H2290" t="s">
        <v>2230</v>
      </c>
      <c r="I2290" t="s">
        <v>782</v>
      </c>
      <c r="J2290">
        <v>61</v>
      </c>
      <c r="K2290">
        <f>61-1800-5-886</f>
        <v>-2630</v>
      </c>
      <c r="L2290" t="s">
        <v>7205</v>
      </c>
      <c r="M2290" t="s">
        <v>7206</v>
      </c>
      <c r="N2290" t="s">
        <v>2475</v>
      </c>
      <c r="O2290" t="s">
        <v>28</v>
      </c>
      <c r="P2290" t="s">
        <v>24</v>
      </c>
      <c r="Q2290">
        <v>50</v>
      </c>
      <c r="R2290">
        <v>12.365</v>
      </c>
    </row>
    <row r="2291" spans="1:18" x14ac:dyDescent="0.2">
      <c r="A2291" t="s">
        <v>2225</v>
      </c>
      <c r="B2291" t="s">
        <v>2226</v>
      </c>
      <c r="C2291">
        <v>81</v>
      </c>
      <c r="D2291" s="1">
        <v>44062.285324074073</v>
      </c>
      <c r="E2291" t="s">
        <v>7207</v>
      </c>
      <c r="F2291" t="s">
        <v>2228</v>
      </c>
      <c r="G2291" t="s">
        <v>7195</v>
      </c>
      <c r="H2291" t="s">
        <v>2230</v>
      </c>
      <c r="I2291" t="s">
        <v>53</v>
      </c>
      <c r="J2291">
        <v>81</v>
      </c>
      <c r="K2291">
        <f>81-50-5532-7277</f>
        <v>-12778</v>
      </c>
      <c r="L2291" t="s">
        <v>7208</v>
      </c>
      <c r="M2291" t="s">
        <v>7209</v>
      </c>
      <c r="N2291" t="s">
        <v>2475</v>
      </c>
      <c r="O2291" t="s">
        <v>28</v>
      </c>
      <c r="P2291" t="s">
        <v>24</v>
      </c>
      <c r="Q2291">
        <v>50</v>
      </c>
      <c r="R2291">
        <v>12.365</v>
      </c>
    </row>
    <row r="2292" spans="1:18" x14ac:dyDescent="0.2">
      <c r="A2292" t="s">
        <v>2225</v>
      </c>
      <c r="B2292" t="s">
        <v>2226</v>
      </c>
      <c r="C2292">
        <v>81</v>
      </c>
      <c r="D2292" s="1">
        <v>44049.331875000003</v>
      </c>
      <c r="E2292" t="s">
        <v>7210</v>
      </c>
      <c r="F2292" t="s">
        <v>2228</v>
      </c>
      <c r="G2292" t="s">
        <v>7195</v>
      </c>
      <c r="H2292" t="s">
        <v>2230</v>
      </c>
      <c r="I2292" t="s">
        <v>53</v>
      </c>
      <c r="J2292">
        <v>81</v>
      </c>
      <c r="K2292">
        <f>81-50-5806-9446</f>
        <v>-15221</v>
      </c>
      <c r="L2292" t="s">
        <v>7211</v>
      </c>
      <c r="M2292" t="s">
        <v>7212</v>
      </c>
      <c r="N2292" t="s">
        <v>2475</v>
      </c>
      <c r="O2292" t="s">
        <v>28</v>
      </c>
      <c r="P2292" t="s">
        <v>24</v>
      </c>
      <c r="Q2292">
        <v>50</v>
      </c>
      <c r="R2292">
        <v>12.365</v>
      </c>
    </row>
    <row r="2293" spans="1:18" x14ac:dyDescent="0.2">
      <c r="A2293" t="s">
        <v>2225</v>
      </c>
      <c r="B2293" t="s">
        <v>2226</v>
      </c>
      <c r="C2293">
        <v>81</v>
      </c>
      <c r="D2293" s="1">
        <v>44047.318148148152</v>
      </c>
      <c r="E2293" t="s">
        <v>7213</v>
      </c>
      <c r="F2293" t="s">
        <v>2228</v>
      </c>
      <c r="G2293" t="s">
        <v>7195</v>
      </c>
      <c r="H2293" t="s">
        <v>2230</v>
      </c>
      <c r="I2293" t="s">
        <v>53</v>
      </c>
      <c r="J2293">
        <v>81</v>
      </c>
      <c r="K2293">
        <f>81-50-5532-7277</f>
        <v>-12778</v>
      </c>
      <c r="L2293" t="s">
        <v>7214</v>
      </c>
      <c r="M2293" t="s">
        <v>7215</v>
      </c>
      <c r="N2293" t="s">
        <v>2475</v>
      </c>
      <c r="O2293" t="s">
        <v>28</v>
      </c>
      <c r="P2293" t="s">
        <v>24</v>
      </c>
      <c r="Q2293">
        <v>50</v>
      </c>
      <c r="R2293">
        <v>12.365</v>
      </c>
    </row>
    <row r="2294" spans="1:18" x14ac:dyDescent="0.2">
      <c r="A2294" t="s">
        <v>2225</v>
      </c>
      <c r="B2294" t="s">
        <v>2226</v>
      </c>
      <c r="C2294">
        <v>81</v>
      </c>
      <c r="D2294" s="1">
        <v>44046.307037037041</v>
      </c>
      <c r="E2294" t="s">
        <v>7216</v>
      </c>
      <c r="F2294" t="s">
        <v>2228</v>
      </c>
      <c r="G2294" t="s">
        <v>7195</v>
      </c>
      <c r="H2294" t="s">
        <v>2230</v>
      </c>
      <c r="I2294" t="s">
        <v>53</v>
      </c>
      <c r="J2294">
        <v>81</v>
      </c>
      <c r="K2294">
        <f>81-50-5806-9446</f>
        <v>-15221</v>
      </c>
      <c r="L2294" t="s">
        <v>7217</v>
      </c>
      <c r="M2294" t="s">
        <v>7218</v>
      </c>
      <c r="N2294" t="s">
        <v>2475</v>
      </c>
      <c r="O2294" t="s">
        <v>28</v>
      </c>
      <c r="P2294" t="s">
        <v>24</v>
      </c>
      <c r="Q2294">
        <v>50</v>
      </c>
      <c r="R2294">
        <v>12.365</v>
      </c>
    </row>
    <row r="2295" spans="1:18" x14ac:dyDescent="0.2">
      <c r="A2295" t="s">
        <v>2225</v>
      </c>
      <c r="B2295" t="s">
        <v>2226</v>
      </c>
      <c r="C2295">
        <v>81</v>
      </c>
      <c r="D2295" s="1">
        <v>44044.332974537036</v>
      </c>
      <c r="E2295" t="s">
        <v>7219</v>
      </c>
      <c r="F2295" t="s">
        <v>2228</v>
      </c>
      <c r="G2295" t="s">
        <v>7195</v>
      </c>
      <c r="H2295" t="s">
        <v>2230</v>
      </c>
      <c r="I2295" t="s">
        <v>53</v>
      </c>
      <c r="J2295">
        <v>81</v>
      </c>
      <c r="K2295">
        <f>81-50-5532-7277</f>
        <v>-12778</v>
      </c>
      <c r="L2295" t="s">
        <v>7220</v>
      </c>
      <c r="M2295" t="s">
        <v>7221</v>
      </c>
      <c r="N2295" t="s">
        <v>2475</v>
      </c>
      <c r="O2295" t="s">
        <v>28</v>
      </c>
      <c r="P2295" t="s">
        <v>24</v>
      </c>
      <c r="Q2295">
        <v>50</v>
      </c>
      <c r="R2295">
        <v>12.365</v>
      </c>
    </row>
    <row r="2296" spans="1:18" x14ac:dyDescent="0.2">
      <c r="A2296" t="s">
        <v>2225</v>
      </c>
      <c r="B2296" t="s">
        <v>2226</v>
      </c>
      <c r="C2296">
        <v>81</v>
      </c>
      <c r="D2296" s="1">
        <v>44043.38449074074</v>
      </c>
      <c r="E2296" t="s">
        <v>7222</v>
      </c>
      <c r="F2296" t="s">
        <v>2228</v>
      </c>
      <c r="G2296" t="s">
        <v>7195</v>
      </c>
      <c r="H2296" t="s">
        <v>2230</v>
      </c>
      <c r="I2296" t="s">
        <v>53</v>
      </c>
      <c r="J2296">
        <v>81</v>
      </c>
      <c r="K2296">
        <f>81-50-5532-7277</f>
        <v>-12778</v>
      </c>
      <c r="L2296" t="s">
        <v>7223</v>
      </c>
      <c r="M2296" t="s">
        <v>7224</v>
      </c>
      <c r="N2296" t="s">
        <v>2475</v>
      </c>
      <c r="O2296" t="s">
        <v>28</v>
      </c>
      <c r="P2296" t="s">
        <v>24</v>
      </c>
      <c r="Q2296">
        <v>50</v>
      </c>
      <c r="R2296">
        <v>12.365</v>
      </c>
    </row>
    <row r="2297" spans="1:18" x14ac:dyDescent="0.2">
      <c r="A2297" t="s">
        <v>2225</v>
      </c>
      <c r="B2297" t="s">
        <v>2226</v>
      </c>
      <c r="C2297">
        <v>81</v>
      </c>
      <c r="D2297" s="1">
        <v>44036.443287037036</v>
      </c>
      <c r="E2297" t="s">
        <v>7225</v>
      </c>
      <c r="F2297" t="s">
        <v>2228</v>
      </c>
      <c r="G2297" t="s">
        <v>7195</v>
      </c>
      <c r="H2297" t="s">
        <v>2230</v>
      </c>
      <c r="I2297" t="s">
        <v>53</v>
      </c>
      <c r="J2297">
        <v>81</v>
      </c>
      <c r="K2297">
        <f t="shared" ref="K2297:K2302" si="15">81-50-5532-1021</f>
        <v>-6522</v>
      </c>
      <c r="L2297" t="s">
        <v>7226</v>
      </c>
      <c r="M2297" t="s">
        <v>7227</v>
      </c>
      <c r="N2297" t="s">
        <v>2475</v>
      </c>
      <c r="O2297" t="s">
        <v>28</v>
      </c>
      <c r="P2297" t="s">
        <v>24</v>
      </c>
      <c r="Q2297">
        <v>50</v>
      </c>
      <c r="R2297">
        <v>12.365</v>
      </c>
    </row>
    <row r="2298" spans="1:18" x14ac:dyDescent="0.2">
      <c r="A2298" t="s">
        <v>2225</v>
      </c>
      <c r="B2298" t="s">
        <v>2226</v>
      </c>
      <c r="C2298">
        <v>81</v>
      </c>
      <c r="D2298" s="1">
        <v>44028.374907407408</v>
      </c>
      <c r="E2298" t="s">
        <v>7228</v>
      </c>
      <c r="F2298" t="s">
        <v>2228</v>
      </c>
      <c r="G2298" t="s">
        <v>7195</v>
      </c>
      <c r="H2298" t="s">
        <v>2230</v>
      </c>
      <c r="I2298" t="s">
        <v>53</v>
      </c>
      <c r="J2298">
        <v>81</v>
      </c>
      <c r="K2298">
        <f t="shared" si="15"/>
        <v>-6522</v>
      </c>
      <c r="L2298" t="s">
        <v>7229</v>
      </c>
      <c r="M2298" t="s">
        <v>7230</v>
      </c>
      <c r="N2298" t="s">
        <v>2475</v>
      </c>
      <c r="O2298" t="s">
        <v>28</v>
      </c>
      <c r="P2298" t="s">
        <v>24</v>
      </c>
      <c r="Q2298">
        <v>50</v>
      </c>
      <c r="R2298">
        <v>12.365</v>
      </c>
    </row>
    <row r="2299" spans="1:18" x14ac:dyDescent="0.2">
      <c r="A2299" t="s">
        <v>2225</v>
      </c>
      <c r="B2299" t="s">
        <v>2226</v>
      </c>
      <c r="C2299">
        <v>81</v>
      </c>
      <c r="D2299" s="1">
        <v>44028.374432870369</v>
      </c>
      <c r="E2299" t="s">
        <v>7231</v>
      </c>
      <c r="F2299" t="s">
        <v>2228</v>
      </c>
      <c r="G2299" t="s">
        <v>7195</v>
      </c>
      <c r="H2299" t="s">
        <v>2230</v>
      </c>
      <c r="I2299" t="s">
        <v>53</v>
      </c>
      <c r="J2299">
        <v>81</v>
      </c>
      <c r="K2299">
        <f t="shared" si="15"/>
        <v>-6522</v>
      </c>
      <c r="L2299" t="s">
        <v>7232</v>
      </c>
      <c r="M2299" t="s">
        <v>7233</v>
      </c>
      <c r="N2299" t="s">
        <v>2475</v>
      </c>
      <c r="O2299" t="s">
        <v>28</v>
      </c>
      <c r="P2299" t="s">
        <v>24</v>
      </c>
      <c r="Q2299">
        <v>50</v>
      </c>
      <c r="R2299">
        <v>12.365</v>
      </c>
    </row>
    <row r="2300" spans="1:18" x14ac:dyDescent="0.2">
      <c r="A2300" t="s">
        <v>2225</v>
      </c>
      <c r="B2300" t="s">
        <v>2226</v>
      </c>
      <c r="C2300">
        <v>81</v>
      </c>
      <c r="D2300" s="1">
        <v>44026.472881944443</v>
      </c>
      <c r="E2300" t="s">
        <v>7234</v>
      </c>
      <c r="F2300" t="s">
        <v>2228</v>
      </c>
      <c r="G2300" t="s">
        <v>7195</v>
      </c>
      <c r="H2300" t="s">
        <v>2230</v>
      </c>
      <c r="I2300" t="s">
        <v>53</v>
      </c>
      <c r="J2300">
        <v>81</v>
      </c>
      <c r="K2300">
        <f t="shared" si="15"/>
        <v>-6522</v>
      </c>
      <c r="L2300" t="s">
        <v>7235</v>
      </c>
      <c r="M2300" t="s">
        <v>7236</v>
      </c>
      <c r="N2300" t="s">
        <v>2475</v>
      </c>
      <c r="O2300" t="s">
        <v>28</v>
      </c>
      <c r="P2300" t="s">
        <v>24</v>
      </c>
      <c r="Q2300">
        <v>50</v>
      </c>
      <c r="R2300">
        <v>12.365</v>
      </c>
    </row>
    <row r="2301" spans="1:18" x14ac:dyDescent="0.2">
      <c r="A2301" t="s">
        <v>2225</v>
      </c>
      <c r="B2301" t="s">
        <v>2226</v>
      </c>
      <c r="C2301">
        <v>81</v>
      </c>
      <c r="D2301" s="1">
        <v>44021.465787037036</v>
      </c>
      <c r="E2301" t="s">
        <v>7237</v>
      </c>
      <c r="F2301" t="s">
        <v>2228</v>
      </c>
      <c r="G2301" t="s">
        <v>7195</v>
      </c>
      <c r="H2301" t="s">
        <v>2230</v>
      </c>
      <c r="I2301" t="s">
        <v>53</v>
      </c>
      <c r="J2301">
        <v>81</v>
      </c>
      <c r="K2301">
        <f t="shared" si="15"/>
        <v>-6522</v>
      </c>
      <c r="L2301" t="s">
        <v>7238</v>
      </c>
      <c r="M2301" t="s">
        <v>7239</v>
      </c>
      <c r="N2301" t="s">
        <v>2475</v>
      </c>
      <c r="O2301" t="s">
        <v>28</v>
      </c>
      <c r="P2301" t="s">
        <v>24</v>
      </c>
      <c r="Q2301">
        <v>50</v>
      </c>
      <c r="R2301">
        <v>12.365</v>
      </c>
    </row>
    <row r="2302" spans="1:18" x14ac:dyDescent="0.2">
      <c r="A2302" t="s">
        <v>2225</v>
      </c>
      <c r="B2302" t="s">
        <v>2226</v>
      </c>
      <c r="C2302">
        <v>81</v>
      </c>
      <c r="D2302" s="1">
        <v>44020.453148148146</v>
      </c>
      <c r="E2302" t="s">
        <v>7240</v>
      </c>
      <c r="F2302" t="s">
        <v>2228</v>
      </c>
      <c r="G2302" t="s">
        <v>7195</v>
      </c>
      <c r="H2302" t="s">
        <v>2230</v>
      </c>
      <c r="I2302" t="s">
        <v>53</v>
      </c>
      <c r="J2302">
        <v>81</v>
      </c>
      <c r="K2302">
        <f t="shared" si="15"/>
        <v>-6522</v>
      </c>
      <c r="L2302" t="s">
        <v>7241</v>
      </c>
      <c r="M2302" t="s">
        <v>7242</v>
      </c>
      <c r="N2302" t="s">
        <v>2475</v>
      </c>
      <c r="O2302" t="s">
        <v>28</v>
      </c>
      <c r="P2302" t="s">
        <v>24</v>
      </c>
      <c r="Q2302">
        <v>50</v>
      </c>
      <c r="R2302">
        <v>12.365</v>
      </c>
    </row>
    <row r="2303" spans="1:18" x14ac:dyDescent="0.2">
      <c r="A2303" t="s">
        <v>2225</v>
      </c>
      <c r="B2303" t="s">
        <v>2226</v>
      </c>
      <c r="C2303">
        <v>81</v>
      </c>
      <c r="D2303" s="1">
        <v>44049.331805555557</v>
      </c>
      <c r="E2303" t="s">
        <v>7243</v>
      </c>
      <c r="F2303" t="s">
        <v>2228</v>
      </c>
      <c r="G2303" t="s">
        <v>7244</v>
      </c>
      <c r="H2303" t="s">
        <v>2230</v>
      </c>
      <c r="I2303" t="s">
        <v>53</v>
      </c>
      <c r="J2303">
        <v>81</v>
      </c>
      <c r="K2303">
        <f>81-50-3136-5335</f>
        <v>-8440</v>
      </c>
      <c r="L2303" t="s">
        <v>7245</v>
      </c>
      <c r="M2303" t="s">
        <v>7246</v>
      </c>
      <c r="N2303" t="s">
        <v>2475</v>
      </c>
      <c r="O2303" t="s">
        <v>28</v>
      </c>
      <c r="P2303" t="s">
        <v>24</v>
      </c>
      <c r="Q2303">
        <v>50</v>
      </c>
      <c r="R2303">
        <v>12.365</v>
      </c>
    </row>
    <row r="2304" spans="1:18" x14ac:dyDescent="0.2">
      <c r="A2304" t="s">
        <v>2225</v>
      </c>
      <c r="B2304" t="s">
        <v>2226</v>
      </c>
      <c r="C2304">
        <v>81</v>
      </c>
      <c r="D2304" s="1">
        <v>44044.332858796297</v>
      </c>
      <c r="E2304" t="s">
        <v>7247</v>
      </c>
      <c r="F2304" t="s">
        <v>2228</v>
      </c>
      <c r="G2304" t="s">
        <v>7244</v>
      </c>
      <c r="H2304" t="s">
        <v>2230</v>
      </c>
      <c r="I2304" t="s">
        <v>53</v>
      </c>
      <c r="J2304">
        <v>81</v>
      </c>
      <c r="K2304">
        <f>81-50-3136-5138</f>
        <v>-8243</v>
      </c>
      <c r="L2304" t="s">
        <v>7248</v>
      </c>
      <c r="M2304" t="s">
        <v>7249</v>
      </c>
      <c r="N2304" t="s">
        <v>2475</v>
      </c>
      <c r="O2304" t="s">
        <v>28</v>
      </c>
      <c r="P2304" t="s">
        <v>24</v>
      </c>
      <c r="Q2304">
        <v>50</v>
      </c>
      <c r="R2304">
        <v>12.365</v>
      </c>
    </row>
    <row r="2305" spans="1:18" x14ac:dyDescent="0.2">
      <c r="A2305" t="s">
        <v>2225</v>
      </c>
      <c r="B2305" t="s">
        <v>2226</v>
      </c>
      <c r="C2305">
        <v>81</v>
      </c>
      <c r="D2305" s="1">
        <v>44043.384398148148</v>
      </c>
      <c r="E2305" t="s">
        <v>7250</v>
      </c>
      <c r="F2305" t="s">
        <v>2228</v>
      </c>
      <c r="G2305" t="s">
        <v>7244</v>
      </c>
      <c r="H2305" t="s">
        <v>2230</v>
      </c>
      <c r="I2305" t="s">
        <v>53</v>
      </c>
      <c r="J2305">
        <v>81</v>
      </c>
      <c r="K2305">
        <f>81-50-3136-5138</f>
        <v>-8243</v>
      </c>
      <c r="L2305" t="s">
        <v>7251</v>
      </c>
      <c r="M2305" t="s">
        <v>7252</v>
      </c>
      <c r="N2305" t="s">
        <v>2475</v>
      </c>
      <c r="O2305" t="s">
        <v>28</v>
      </c>
      <c r="P2305" t="s">
        <v>24</v>
      </c>
      <c r="Q2305">
        <v>50</v>
      </c>
      <c r="R2305">
        <v>12.365</v>
      </c>
    </row>
    <row r="2306" spans="1:18" x14ac:dyDescent="0.2">
      <c r="A2306" t="s">
        <v>2225</v>
      </c>
      <c r="B2306" t="s">
        <v>2226</v>
      </c>
      <c r="C2306">
        <v>81</v>
      </c>
      <c r="D2306" s="1">
        <v>44036.443368055552</v>
      </c>
      <c r="E2306" t="s">
        <v>7253</v>
      </c>
      <c r="F2306" t="s">
        <v>2228</v>
      </c>
      <c r="G2306" t="s">
        <v>7244</v>
      </c>
      <c r="H2306" t="s">
        <v>2230</v>
      </c>
      <c r="I2306" t="s">
        <v>53</v>
      </c>
      <c r="J2306">
        <v>81</v>
      </c>
      <c r="K2306">
        <f>81-50-5532-6384</f>
        <v>-11885</v>
      </c>
      <c r="L2306" t="s">
        <v>7254</v>
      </c>
      <c r="M2306" t="s">
        <v>7255</v>
      </c>
      <c r="N2306" t="s">
        <v>2475</v>
      </c>
      <c r="O2306" t="s">
        <v>28</v>
      </c>
      <c r="P2306" t="s">
        <v>24</v>
      </c>
      <c r="Q2306">
        <v>50</v>
      </c>
      <c r="R2306">
        <v>12.365</v>
      </c>
    </row>
    <row r="2307" spans="1:18" x14ac:dyDescent="0.2">
      <c r="A2307" t="s">
        <v>2225</v>
      </c>
      <c r="B2307" t="s">
        <v>2226</v>
      </c>
      <c r="C2307">
        <v>81</v>
      </c>
      <c r="D2307" s="1">
        <v>44028.374189814815</v>
      </c>
      <c r="E2307" t="s">
        <v>7256</v>
      </c>
      <c r="F2307" t="s">
        <v>2228</v>
      </c>
      <c r="G2307" t="s">
        <v>7244</v>
      </c>
      <c r="H2307" t="s">
        <v>2230</v>
      </c>
      <c r="I2307" t="s">
        <v>53</v>
      </c>
      <c r="J2307">
        <v>81</v>
      </c>
      <c r="K2307">
        <f>81-50-5806-6353</f>
        <v>-12128</v>
      </c>
      <c r="L2307" t="s">
        <v>7257</v>
      </c>
      <c r="M2307" t="s">
        <v>7258</v>
      </c>
      <c r="N2307" t="s">
        <v>2475</v>
      </c>
      <c r="O2307" t="s">
        <v>28</v>
      </c>
      <c r="P2307" t="s">
        <v>24</v>
      </c>
      <c r="Q2307">
        <v>50</v>
      </c>
      <c r="R2307">
        <v>12.365</v>
      </c>
    </row>
    <row r="2308" spans="1:18" x14ac:dyDescent="0.2">
      <c r="A2308" t="s">
        <v>2225</v>
      </c>
      <c r="B2308" t="s">
        <v>2226</v>
      </c>
      <c r="C2308">
        <v>81</v>
      </c>
      <c r="D2308" s="1">
        <v>44026.47210648148</v>
      </c>
      <c r="E2308" t="s">
        <v>7259</v>
      </c>
      <c r="F2308" t="s">
        <v>2228</v>
      </c>
      <c r="G2308" t="s">
        <v>7244</v>
      </c>
      <c r="H2308" t="s">
        <v>2230</v>
      </c>
      <c r="I2308" t="s">
        <v>53</v>
      </c>
      <c r="J2308">
        <v>81</v>
      </c>
      <c r="K2308">
        <f>81-50-5532-6384</f>
        <v>-11885</v>
      </c>
      <c r="L2308" t="s">
        <v>7260</v>
      </c>
      <c r="M2308" t="s">
        <v>7261</v>
      </c>
      <c r="N2308" t="s">
        <v>2475</v>
      </c>
      <c r="O2308" t="s">
        <v>28</v>
      </c>
      <c r="P2308" t="s">
        <v>24</v>
      </c>
      <c r="Q2308">
        <v>50</v>
      </c>
      <c r="R2308">
        <v>12.365</v>
      </c>
    </row>
    <row r="2309" spans="1:18" x14ac:dyDescent="0.2">
      <c r="A2309" t="s">
        <v>2225</v>
      </c>
      <c r="B2309" t="s">
        <v>2226</v>
      </c>
      <c r="C2309">
        <v>81</v>
      </c>
      <c r="D2309" s="1">
        <v>44025.448842592596</v>
      </c>
      <c r="E2309" t="s">
        <v>7262</v>
      </c>
      <c r="F2309" t="s">
        <v>2228</v>
      </c>
      <c r="G2309" t="s">
        <v>7244</v>
      </c>
      <c r="H2309" t="s">
        <v>2230</v>
      </c>
      <c r="I2309" t="s">
        <v>53</v>
      </c>
      <c r="J2309">
        <v>81</v>
      </c>
      <c r="K2309">
        <f>81-50-3136-997</f>
        <v>-4102</v>
      </c>
      <c r="L2309" t="s">
        <v>7263</v>
      </c>
      <c r="M2309" t="s">
        <v>7264</v>
      </c>
      <c r="N2309" t="s">
        <v>2475</v>
      </c>
      <c r="O2309" t="s">
        <v>28</v>
      </c>
      <c r="P2309" t="s">
        <v>24</v>
      </c>
      <c r="Q2309">
        <v>50</v>
      </c>
      <c r="R2309">
        <v>12.365</v>
      </c>
    </row>
    <row r="2310" spans="1:18" x14ac:dyDescent="0.2">
      <c r="A2310" t="s">
        <v>2225</v>
      </c>
      <c r="B2310" t="s">
        <v>2226</v>
      </c>
      <c r="C2310">
        <v>81</v>
      </c>
      <c r="D2310" s="1">
        <v>44021.465856481482</v>
      </c>
      <c r="E2310" t="s">
        <v>7265</v>
      </c>
      <c r="F2310" t="s">
        <v>2228</v>
      </c>
      <c r="G2310" t="s">
        <v>7244</v>
      </c>
      <c r="H2310" t="s">
        <v>2230</v>
      </c>
      <c r="I2310" t="s">
        <v>53</v>
      </c>
      <c r="J2310">
        <v>81</v>
      </c>
      <c r="K2310">
        <f>81-50-3136-997</f>
        <v>-4102</v>
      </c>
      <c r="L2310" t="s">
        <v>7266</v>
      </c>
      <c r="M2310" t="s">
        <v>7267</v>
      </c>
      <c r="N2310" t="s">
        <v>2475</v>
      </c>
      <c r="O2310" t="s">
        <v>28</v>
      </c>
      <c r="P2310" t="s">
        <v>24</v>
      </c>
      <c r="Q2310">
        <v>50</v>
      </c>
      <c r="R2310">
        <v>12.365</v>
      </c>
    </row>
    <row r="2311" spans="1:18" x14ac:dyDescent="0.2">
      <c r="A2311" t="s">
        <v>2225</v>
      </c>
      <c r="B2311" t="s">
        <v>2226</v>
      </c>
      <c r="C2311">
        <v>81</v>
      </c>
      <c r="D2311" s="1">
        <v>44020.453900462962</v>
      </c>
      <c r="E2311" t="s">
        <v>7268</v>
      </c>
      <c r="F2311" t="s">
        <v>2228</v>
      </c>
      <c r="G2311" t="s">
        <v>7244</v>
      </c>
      <c r="H2311" t="s">
        <v>2230</v>
      </c>
      <c r="I2311" t="s">
        <v>53</v>
      </c>
      <c r="J2311">
        <v>81</v>
      </c>
      <c r="K2311">
        <f>81-50-3136-997</f>
        <v>-4102</v>
      </c>
      <c r="L2311" t="s">
        <v>7269</v>
      </c>
      <c r="M2311" t="s">
        <v>7270</v>
      </c>
      <c r="N2311" t="s">
        <v>2475</v>
      </c>
      <c r="O2311" t="s">
        <v>28</v>
      </c>
      <c r="P2311" t="s">
        <v>24</v>
      </c>
      <c r="Q2311">
        <v>50</v>
      </c>
      <c r="R2311">
        <v>12.365</v>
      </c>
    </row>
    <row r="2312" spans="1:18" x14ac:dyDescent="0.2">
      <c r="A2312" t="s">
        <v>663</v>
      </c>
      <c r="B2312" t="s">
        <v>2263</v>
      </c>
      <c r="C2312">
        <v>61</v>
      </c>
      <c r="D2312" s="1">
        <v>44020.454710648148</v>
      </c>
      <c r="E2312" t="s">
        <v>2494</v>
      </c>
      <c r="F2312" t="s">
        <v>666</v>
      </c>
      <c r="G2312" t="s">
        <v>7271</v>
      </c>
      <c r="H2312" t="s">
        <v>667</v>
      </c>
      <c r="I2312" t="s">
        <v>782</v>
      </c>
      <c r="J2312">
        <v>61</v>
      </c>
      <c r="K2312">
        <f>61-1800-239-102</f>
        <v>-2080</v>
      </c>
      <c r="L2312" t="s">
        <v>7272</v>
      </c>
      <c r="M2312" t="s">
        <v>7273</v>
      </c>
      <c r="N2312" t="s">
        <v>2499</v>
      </c>
      <c r="O2312" t="s">
        <v>28</v>
      </c>
      <c r="P2312" t="s">
        <v>2268</v>
      </c>
      <c r="Q2312">
        <v>44</v>
      </c>
      <c r="R2312">
        <v>-79.362300000000005</v>
      </c>
    </row>
    <row r="2313" spans="1:18" x14ac:dyDescent="0.2">
      <c r="A2313" t="s">
        <v>663</v>
      </c>
      <c r="B2313" t="s">
        <v>3245</v>
      </c>
      <c r="C2313">
        <v>44</v>
      </c>
      <c r="D2313" s="1">
        <v>44020.602476851855</v>
      </c>
      <c r="E2313" t="s">
        <v>7274</v>
      </c>
      <c r="F2313" t="s">
        <v>666</v>
      </c>
      <c r="G2313" t="s">
        <v>7275</v>
      </c>
      <c r="H2313" t="s">
        <v>667</v>
      </c>
      <c r="I2313" t="s">
        <v>618</v>
      </c>
      <c r="J2313">
        <v>44</v>
      </c>
      <c r="K2313">
        <f>44-808-101-7269</f>
        <v>-8134</v>
      </c>
      <c r="L2313" t="s">
        <v>7276</v>
      </c>
      <c r="M2313" t="s">
        <v>7277</v>
      </c>
      <c r="N2313" t="s">
        <v>452</v>
      </c>
      <c r="O2313" t="s">
        <v>28</v>
      </c>
      <c r="P2313" t="s">
        <v>29</v>
      </c>
      <c r="Q2313">
        <v>41</v>
      </c>
      <c r="R2313">
        <v>-74.140299999999996</v>
      </c>
    </row>
    <row r="2314" spans="1:18" x14ac:dyDescent="0.2">
      <c r="A2314" t="s">
        <v>2225</v>
      </c>
      <c r="B2314" t="s">
        <v>2226</v>
      </c>
      <c r="C2314">
        <v>44</v>
      </c>
      <c r="D2314" s="1">
        <v>44029.554375</v>
      </c>
      <c r="E2314" t="s">
        <v>7278</v>
      </c>
      <c r="F2314" t="s">
        <v>2228</v>
      </c>
      <c r="G2314" t="s">
        <v>7279</v>
      </c>
      <c r="H2314" t="s">
        <v>2230</v>
      </c>
      <c r="I2314" t="s">
        <v>618</v>
      </c>
      <c r="J2314">
        <v>44</v>
      </c>
      <c r="K2314">
        <f>44-808-143-3684</f>
        <v>-4591</v>
      </c>
      <c r="L2314" t="s">
        <v>7280</v>
      </c>
      <c r="M2314" t="s">
        <v>7281</v>
      </c>
      <c r="N2314" t="s">
        <v>2475</v>
      </c>
      <c r="O2314" t="s">
        <v>28</v>
      </c>
      <c r="P2314" t="s">
        <v>24</v>
      </c>
      <c r="Q2314">
        <v>50</v>
      </c>
      <c r="R2314">
        <v>12.365</v>
      </c>
    </row>
    <row r="2315" spans="1:18" x14ac:dyDescent="0.2">
      <c r="A2315" t="s">
        <v>2225</v>
      </c>
      <c r="B2315" t="s">
        <v>2226</v>
      </c>
      <c r="C2315">
        <v>61</v>
      </c>
      <c r="D2315" s="1">
        <v>44028.372685185182</v>
      </c>
      <c r="E2315" t="s">
        <v>7282</v>
      </c>
      <c r="F2315" t="s">
        <v>2228</v>
      </c>
      <c r="G2315" t="s">
        <v>7279</v>
      </c>
      <c r="H2315" t="s">
        <v>2230</v>
      </c>
      <c r="I2315" t="s">
        <v>782</v>
      </c>
      <c r="J2315">
        <v>61</v>
      </c>
      <c r="K2315">
        <f>61-1800-5-886</f>
        <v>-2630</v>
      </c>
      <c r="L2315" t="s">
        <v>7283</v>
      </c>
      <c r="M2315" t="s">
        <v>7284</v>
      </c>
      <c r="N2315" t="s">
        <v>2475</v>
      </c>
      <c r="O2315" t="s">
        <v>28</v>
      </c>
      <c r="P2315" t="s">
        <v>24</v>
      </c>
      <c r="Q2315">
        <v>50</v>
      </c>
      <c r="R2315">
        <v>12.365</v>
      </c>
    </row>
    <row r="2316" spans="1:18" x14ac:dyDescent="0.2">
      <c r="A2316" t="s">
        <v>2225</v>
      </c>
      <c r="B2316" t="s">
        <v>2226</v>
      </c>
      <c r="C2316">
        <v>44</v>
      </c>
      <c r="D2316" s="1">
        <v>44027.50267361111</v>
      </c>
      <c r="E2316" t="s">
        <v>7285</v>
      </c>
      <c r="F2316" t="s">
        <v>2228</v>
      </c>
      <c r="G2316" t="s">
        <v>7279</v>
      </c>
      <c r="H2316" t="s">
        <v>2230</v>
      </c>
      <c r="I2316" t="s">
        <v>618</v>
      </c>
      <c r="J2316">
        <v>44</v>
      </c>
      <c r="K2316">
        <f t="shared" ref="K2316:K2322" si="16">44-808-143-3684</f>
        <v>-4591</v>
      </c>
      <c r="L2316" t="s">
        <v>7286</v>
      </c>
      <c r="M2316" t="s">
        <v>7287</v>
      </c>
      <c r="N2316" t="s">
        <v>2475</v>
      </c>
      <c r="O2316" t="s">
        <v>28</v>
      </c>
      <c r="P2316" t="s">
        <v>24</v>
      </c>
      <c r="Q2316">
        <v>50</v>
      </c>
      <c r="R2316">
        <v>12.365</v>
      </c>
    </row>
    <row r="2317" spans="1:18" x14ac:dyDescent="0.2">
      <c r="A2317" t="s">
        <v>2225</v>
      </c>
      <c r="B2317" t="s">
        <v>2226</v>
      </c>
      <c r="C2317">
        <v>44</v>
      </c>
      <c r="D2317" s="1">
        <v>44026.622233796297</v>
      </c>
      <c r="E2317" t="s">
        <v>7288</v>
      </c>
      <c r="F2317" t="s">
        <v>2228</v>
      </c>
      <c r="G2317" t="s">
        <v>7279</v>
      </c>
      <c r="H2317" t="s">
        <v>2230</v>
      </c>
      <c r="I2317" t="s">
        <v>618</v>
      </c>
      <c r="J2317">
        <v>44</v>
      </c>
      <c r="K2317">
        <f t="shared" si="16"/>
        <v>-4591</v>
      </c>
      <c r="L2317" t="s">
        <v>7289</v>
      </c>
      <c r="M2317" t="s">
        <v>7290</v>
      </c>
      <c r="N2317" t="s">
        <v>2475</v>
      </c>
      <c r="O2317" t="s">
        <v>28</v>
      </c>
      <c r="P2317" t="s">
        <v>24</v>
      </c>
      <c r="Q2317">
        <v>50</v>
      </c>
      <c r="R2317">
        <v>12.365</v>
      </c>
    </row>
    <row r="2318" spans="1:18" x14ac:dyDescent="0.2">
      <c r="A2318" t="s">
        <v>2225</v>
      </c>
      <c r="B2318" t="s">
        <v>2226</v>
      </c>
      <c r="C2318">
        <v>44</v>
      </c>
      <c r="D2318" s="1">
        <v>44026.458113425928</v>
      </c>
      <c r="E2318" t="s">
        <v>7291</v>
      </c>
      <c r="F2318" t="s">
        <v>2228</v>
      </c>
      <c r="G2318" t="s">
        <v>7279</v>
      </c>
      <c r="H2318" t="s">
        <v>2230</v>
      </c>
      <c r="I2318" t="s">
        <v>618</v>
      </c>
      <c r="J2318">
        <v>44</v>
      </c>
      <c r="K2318">
        <f t="shared" si="16"/>
        <v>-4591</v>
      </c>
      <c r="L2318" t="s">
        <v>7292</v>
      </c>
      <c r="M2318" t="s">
        <v>7293</v>
      </c>
      <c r="N2318" t="s">
        <v>2475</v>
      </c>
      <c r="O2318" t="s">
        <v>28</v>
      </c>
      <c r="P2318" t="s">
        <v>24</v>
      </c>
      <c r="Q2318">
        <v>50</v>
      </c>
      <c r="R2318">
        <v>12.365</v>
      </c>
    </row>
    <row r="2319" spans="1:18" x14ac:dyDescent="0.2">
      <c r="A2319" t="s">
        <v>2225</v>
      </c>
      <c r="B2319" t="s">
        <v>2226</v>
      </c>
      <c r="C2319">
        <v>44</v>
      </c>
      <c r="D2319" s="1">
        <v>44025.448645833334</v>
      </c>
      <c r="E2319" t="s">
        <v>7294</v>
      </c>
      <c r="F2319" t="s">
        <v>2228</v>
      </c>
      <c r="G2319" t="s">
        <v>7279</v>
      </c>
      <c r="H2319" t="s">
        <v>2230</v>
      </c>
      <c r="I2319" t="s">
        <v>618</v>
      </c>
      <c r="J2319">
        <v>44</v>
      </c>
      <c r="K2319">
        <f t="shared" si="16"/>
        <v>-4591</v>
      </c>
      <c r="L2319" t="s">
        <v>7295</v>
      </c>
      <c r="M2319" t="s">
        <v>7296</v>
      </c>
      <c r="N2319" t="s">
        <v>2475</v>
      </c>
      <c r="O2319" t="s">
        <v>28</v>
      </c>
      <c r="P2319" t="s">
        <v>24</v>
      </c>
      <c r="Q2319">
        <v>50</v>
      </c>
      <c r="R2319">
        <v>12.365</v>
      </c>
    </row>
    <row r="2320" spans="1:18" x14ac:dyDescent="0.2">
      <c r="A2320" t="s">
        <v>2225</v>
      </c>
      <c r="B2320" t="s">
        <v>2226</v>
      </c>
      <c r="C2320">
        <v>44</v>
      </c>
      <c r="D2320" s="1">
        <v>44022.610347222224</v>
      </c>
      <c r="E2320" t="s">
        <v>7297</v>
      </c>
      <c r="F2320" t="s">
        <v>2228</v>
      </c>
      <c r="G2320" t="s">
        <v>7279</v>
      </c>
      <c r="H2320" t="s">
        <v>2230</v>
      </c>
      <c r="I2320" t="s">
        <v>618</v>
      </c>
      <c r="J2320">
        <v>44</v>
      </c>
      <c r="K2320">
        <f t="shared" si="16"/>
        <v>-4591</v>
      </c>
      <c r="L2320" t="s">
        <v>7298</v>
      </c>
      <c r="M2320" t="s">
        <v>7299</v>
      </c>
      <c r="N2320" t="s">
        <v>2475</v>
      </c>
      <c r="O2320" t="s">
        <v>28</v>
      </c>
      <c r="P2320" t="s">
        <v>24</v>
      </c>
      <c r="Q2320">
        <v>50</v>
      </c>
      <c r="R2320">
        <v>12.365</v>
      </c>
    </row>
    <row r="2321" spans="1:18" x14ac:dyDescent="0.2">
      <c r="A2321" t="s">
        <v>2225</v>
      </c>
      <c r="B2321" t="s">
        <v>2226</v>
      </c>
      <c r="C2321">
        <v>44</v>
      </c>
      <c r="D2321" s="1">
        <v>44021.478715277779</v>
      </c>
      <c r="E2321" t="s">
        <v>7300</v>
      </c>
      <c r="F2321" t="s">
        <v>2228</v>
      </c>
      <c r="G2321" t="s">
        <v>7279</v>
      </c>
      <c r="H2321" t="s">
        <v>2230</v>
      </c>
      <c r="I2321" t="s">
        <v>618</v>
      </c>
      <c r="J2321">
        <v>44</v>
      </c>
      <c r="K2321">
        <f t="shared" si="16"/>
        <v>-4591</v>
      </c>
      <c r="L2321" t="s">
        <v>7301</v>
      </c>
      <c r="M2321" t="s">
        <v>7302</v>
      </c>
      <c r="N2321" t="s">
        <v>2475</v>
      </c>
      <c r="O2321" t="s">
        <v>28</v>
      </c>
      <c r="P2321" t="s">
        <v>24</v>
      </c>
      <c r="Q2321">
        <v>50</v>
      </c>
      <c r="R2321">
        <v>12.365</v>
      </c>
    </row>
    <row r="2322" spans="1:18" x14ac:dyDescent="0.2">
      <c r="A2322" t="s">
        <v>2225</v>
      </c>
      <c r="B2322" t="s">
        <v>2226</v>
      </c>
      <c r="C2322">
        <v>44</v>
      </c>
      <c r="D2322" s="1">
        <v>44020.602534722224</v>
      </c>
      <c r="E2322" t="s">
        <v>7303</v>
      </c>
      <c r="F2322" t="s">
        <v>2228</v>
      </c>
      <c r="G2322" t="s">
        <v>7279</v>
      </c>
      <c r="H2322" t="s">
        <v>2230</v>
      </c>
      <c r="I2322" t="s">
        <v>618</v>
      </c>
      <c r="J2322">
        <v>44</v>
      </c>
      <c r="K2322">
        <f t="shared" si="16"/>
        <v>-4591</v>
      </c>
      <c r="L2322" t="s">
        <v>7304</v>
      </c>
      <c r="M2322" t="s">
        <v>7305</v>
      </c>
      <c r="N2322" t="s">
        <v>2475</v>
      </c>
      <c r="O2322" t="s">
        <v>28</v>
      </c>
      <c r="P2322" t="s">
        <v>24</v>
      </c>
      <c r="Q2322">
        <v>50</v>
      </c>
      <c r="R2322">
        <v>12.365</v>
      </c>
    </row>
    <row r="2323" spans="1:18" x14ac:dyDescent="0.2">
      <c r="A2323" t="s">
        <v>663</v>
      </c>
      <c r="B2323" t="s">
        <v>5337</v>
      </c>
      <c r="C2323">
        <v>1</v>
      </c>
      <c r="D2323" s="1">
        <v>44020.605902777781</v>
      </c>
      <c r="E2323" t="s">
        <v>7306</v>
      </c>
      <c r="F2323" t="s">
        <v>666</v>
      </c>
      <c r="G2323" t="s">
        <v>7307</v>
      </c>
      <c r="H2323" t="s">
        <v>667</v>
      </c>
      <c r="I2323" t="s">
        <v>29</v>
      </c>
      <c r="J2323">
        <v>1</v>
      </c>
      <c r="K2323">
        <f>1-888-709-6244</f>
        <v>-7840</v>
      </c>
      <c r="L2323" t="s">
        <v>7308</v>
      </c>
      <c r="M2323" t="s">
        <v>7309</v>
      </c>
      <c r="N2323" t="s">
        <v>3454</v>
      </c>
      <c r="O2323" t="s">
        <v>28</v>
      </c>
      <c r="P2323" t="s">
        <v>29</v>
      </c>
      <c r="Q2323">
        <v>38</v>
      </c>
      <c r="R2323">
        <v>-99.999999000000003</v>
      </c>
    </row>
    <row r="2324" spans="1:18" x14ac:dyDescent="0.2">
      <c r="A2324" t="s">
        <v>2233</v>
      </c>
      <c r="B2324" t="s">
        <v>2263</v>
      </c>
      <c r="C2324">
        <v>1</v>
      </c>
      <c r="D2324" s="1">
        <v>44020.69295138889</v>
      </c>
      <c r="E2324" t="s">
        <v>7310</v>
      </c>
      <c r="F2324" t="s">
        <v>2236</v>
      </c>
      <c r="G2324" t="s">
        <v>7311</v>
      </c>
      <c r="H2324" t="s">
        <v>2237</v>
      </c>
      <c r="I2324" t="s">
        <v>29</v>
      </c>
      <c r="J2324">
        <v>1</v>
      </c>
      <c r="K2324">
        <f>1-909-245-4797</f>
        <v>-5950</v>
      </c>
      <c r="L2324" t="s">
        <v>7312</v>
      </c>
      <c r="M2324" t="s">
        <v>7313</v>
      </c>
      <c r="N2324" t="s">
        <v>5354</v>
      </c>
      <c r="O2324" t="s">
        <v>134</v>
      </c>
      <c r="P2324" t="s">
        <v>2268</v>
      </c>
      <c r="Q2324">
        <v>44</v>
      </c>
      <c r="R2324">
        <v>-79.383200000000002</v>
      </c>
    </row>
    <row r="2325" spans="1:18" x14ac:dyDescent="0.2">
      <c r="A2325" t="s">
        <v>1650</v>
      </c>
      <c r="B2325" t="s">
        <v>1651</v>
      </c>
      <c r="C2325">
        <v>1</v>
      </c>
      <c r="D2325" s="1">
        <v>44020.715266203704</v>
      </c>
      <c r="E2325" t="s">
        <v>7314</v>
      </c>
      <c r="F2325" t="s">
        <v>1653</v>
      </c>
      <c r="G2325" t="s">
        <v>7315</v>
      </c>
      <c r="H2325" t="s">
        <v>1655</v>
      </c>
      <c r="I2325" t="s">
        <v>29</v>
      </c>
      <c r="J2325">
        <v>1</v>
      </c>
      <c r="K2325">
        <f>1-888-385-1657</f>
        <v>-2929</v>
      </c>
      <c r="L2325" t="s">
        <v>7316</v>
      </c>
      <c r="M2325" t="s">
        <v>7317</v>
      </c>
      <c r="N2325" t="s">
        <v>36</v>
      </c>
      <c r="O2325" t="s">
        <v>28</v>
      </c>
      <c r="P2325" t="s">
        <v>29</v>
      </c>
      <c r="Q2325">
        <v>47</v>
      </c>
      <c r="R2325">
        <v>-99.999999000000003</v>
      </c>
    </row>
    <row r="2326" spans="1:18" x14ac:dyDescent="0.2">
      <c r="A2326" t="s">
        <v>439</v>
      </c>
      <c r="B2326" t="s">
        <v>440</v>
      </c>
      <c r="C2326">
        <v>1</v>
      </c>
      <c r="D2326" s="1">
        <v>44036.739444444444</v>
      </c>
      <c r="E2326" t="s">
        <v>7318</v>
      </c>
      <c r="F2326" t="s">
        <v>442</v>
      </c>
      <c r="G2326" t="s">
        <v>7319</v>
      </c>
      <c r="H2326" t="s">
        <v>444</v>
      </c>
      <c r="I2326" t="s">
        <v>29</v>
      </c>
      <c r="J2326">
        <v>1</v>
      </c>
      <c r="K2326">
        <f>1-858-386-7377</f>
        <v>-8620</v>
      </c>
      <c r="L2326" t="s">
        <v>7320</v>
      </c>
      <c r="M2326" t="s">
        <v>7321</v>
      </c>
      <c r="N2326" t="s">
        <v>5354</v>
      </c>
      <c r="O2326" t="s">
        <v>28</v>
      </c>
      <c r="P2326" t="s">
        <v>29</v>
      </c>
      <c r="Q2326">
        <v>39</v>
      </c>
      <c r="R2326">
        <v>-77.487399999999994</v>
      </c>
    </row>
    <row r="2327" spans="1:18" x14ac:dyDescent="0.2">
      <c r="A2327" t="s">
        <v>439</v>
      </c>
      <c r="B2327" t="s">
        <v>440</v>
      </c>
      <c r="C2327">
        <v>1</v>
      </c>
      <c r="D2327" s="1">
        <v>44034.76703703704</v>
      </c>
      <c r="E2327" t="s">
        <v>7322</v>
      </c>
      <c r="F2327" t="s">
        <v>442</v>
      </c>
      <c r="G2327" t="s">
        <v>7319</v>
      </c>
      <c r="H2327" t="s">
        <v>444</v>
      </c>
      <c r="I2327" t="s">
        <v>29</v>
      </c>
      <c r="J2327">
        <v>1</v>
      </c>
      <c r="K2327">
        <f>1-858-386-7377</f>
        <v>-8620</v>
      </c>
      <c r="L2327" t="s">
        <v>7323</v>
      </c>
      <c r="M2327" t="s">
        <v>7324</v>
      </c>
      <c r="N2327" t="s">
        <v>5354</v>
      </c>
      <c r="O2327" t="s">
        <v>28</v>
      </c>
      <c r="P2327" t="s">
        <v>29</v>
      </c>
      <c r="Q2327">
        <v>39</v>
      </c>
      <c r="R2327">
        <v>-77.487399999999994</v>
      </c>
    </row>
    <row r="2328" spans="1:18" x14ac:dyDescent="0.2">
      <c r="A2328" t="s">
        <v>439</v>
      </c>
      <c r="B2328" t="s">
        <v>440</v>
      </c>
      <c r="C2328">
        <v>1</v>
      </c>
      <c r="D2328" s="1">
        <v>44027.870925925927</v>
      </c>
      <c r="E2328" t="s">
        <v>7325</v>
      </c>
      <c r="F2328" t="s">
        <v>442</v>
      </c>
      <c r="G2328" t="s">
        <v>7319</v>
      </c>
      <c r="H2328" t="s">
        <v>444</v>
      </c>
      <c r="I2328" t="s">
        <v>29</v>
      </c>
      <c r="J2328">
        <v>1</v>
      </c>
      <c r="K2328">
        <f>1-425-409-3172</f>
        <v>-4005</v>
      </c>
      <c r="L2328" t="s">
        <v>7326</v>
      </c>
      <c r="M2328" t="s">
        <v>7327</v>
      </c>
      <c r="N2328" t="s">
        <v>5354</v>
      </c>
      <c r="O2328" t="s">
        <v>28</v>
      </c>
      <c r="P2328" t="s">
        <v>29</v>
      </c>
      <c r="Q2328">
        <v>39</v>
      </c>
      <c r="R2328">
        <v>-77.487399999999994</v>
      </c>
    </row>
    <row r="2329" spans="1:18" x14ac:dyDescent="0.2">
      <c r="A2329" t="s">
        <v>439</v>
      </c>
      <c r="B2329" t="s">
        <v>440</v>
      </c>
      <c r="C2329">
        <v>1</v>
      </c>
      <c r="D2329" s="1">
        <v>44020.755671296298</v>
      </c>
      <c r="E2329" t="s">
        <v>7328</v>
      </c>
      <c r="F2329" t="s">
        <v>442</v>
      </c>
      <c r="G2329" t="s">
        <v>7319</v>
      </c>
      <c r="H2329" t="s">
        <v>444</v>
      </c>
      <c r="I2329" t="s">
        <v>29</v>
      </c>
      <c r="J2329">
        <v>1</v>
      </c>
      <c r="K2329">
        <f>1-206-809-231</f>
        <v>-1245</v>
      </c>
      <c r="L2329" t="s">
        <v>7329</v>
      </c>
      <c r="M2329" t="s">
        <v>7330</v>
      </c>
      <c r="N2329" t="s">
        <v>5354</v>
      </c>
      <c r="O2329" t="s">
        <v>28</v>
      </c>
      <c r="P2329" t="s">
        <v>29</v>
      </c>
      <c r="Q2329">
        <v>39</v>
      </c>
      <c r="R2329">
        <v>-77.487399999999994</v>
      </c>
    </row>
    <row r="2330" spans="1:18" x14ac:dyDescent="0.2">
      <c r="A2330" t="s">
        <v>2233</v>
      </c>
      <c r="B2330" t="s">
        <v>2234</v>
      </c>
      <c r="C2330">
        <v>81</v>
      </c>
      <c r="D2330" s="1">
        <v>44021.465567129628</v>
      </c>
      <c r="E2330" t="s">
        <v>7331</v>
      </c>
      <c r="F2330" t="s">
        <v>2236</v>
      </c>
      <c r="G2330" t="s">
        <v>7331</v>
      </c>
      <c r="H2330" t="s">
        <v>2237</v>
      </c>
      <c r="I2330" t="s">
        <v>53</v>
      </c>
      <c r="J2330">
        <v>81</v>
      </c>
      <c r="K2330">
        <f>81-50-5534-357</f>
        <v>-5860</v>
      </c>
      <c r="L2330" t="s">
        <v>7332</v>
      </c>
      <c r="M2330" t="s">
        <v>7333</v>
      </c>
      <c r="N2330">
        <v>1</v>
      </c>
      <c r="O2330" t="s">
        <v>134</v>
      </c>
      <c r="P2330" t="s">
        <v>29</v>
      </c>
      <c r="Q2330">
        <v>40</v>
      </c>
      <c r="R2330">
        <v>-83.114099999999993</v>
      </c>
    </row>
    <row r="2331" spans="1:18" x14ac:dyDescent="0.2">
      <c r="A2331" t="s">
        <v>663</v>
      </c>
      <c r="B2331" t="s">
        <v>3385</v>
      </c>
      <c r="C2331">
        <v>1</v>
      </c>
      <c r="D2331" s="1">
        <v>44020.820486111108</v>
      </c>
      <c r="E2331" t="s">
        <v>7334</v>
      </c>
      <c r="F2331" t="s">
        <v>666</v>
      </c>
      <c r="G2331" t="s">
        <v>7335</v>
      </c>
      <c r="H2331" t="s">
        <v>667</v>
      </c>
      <c r="I2331" t="s">
        <v>29</v>
      </c>
      <c r="J2331">
        <v>1</v>
      </c>
      <c r="K2331">
        <f>1-855-785-44</f>
        <v>-1683</v>
      </c>
      <c r="L2331" t="s">
        <v>7336</v>
      </c>
      <c r="M2331" t="s">
        <v>7337</v>
      </c>
      <c r="N2331" t="s">
        <v>452</v>
      </c>
      <c r="O2331" t="s">
        <v>28</v>
      </c>
      <c r="P2331" t="s">
        <v>29</v>
      </c>
      <c r="Q2331">
        <v>41</v>
      </c>
      <c r="R2331">
        <v>-73.996600000000001</v>
      </c>
    </row>
    <row r="2332" spans="1:18" x14ac:dyDescent="0.2">
      <c r="A2332" t="s">
        <v>2233</v>
      </c>
      <c r="B2332" t="s">
        <v>440</v>
      </c>
      <c r="C2332">
        <v>1</v>
      </c>
      <c r="D2332" s="1">
        <v>44020.834074074075</v>
      </c>
      <c r="E2332" t="s">
        <v>7338</v>
      </c>
      <c r="F2332" t="s">
        <v>2236</v>
      </c>
      <c r="G2332" t="s">
        <v>7339</v>
      </c>
      <c r="H2332" t="s">
        <v>2237</v>
      </c>
      <c r="I2332" t="s">
        <v>29</v>
      </c>
      <c r="J2332">
        <v>1</v>
      </c>
      <c r="K2332">
        <f>1-855-951-4984</f>
        <v>-6789</v>
      </c>
      <c r="L2332" t="s">
        <v>7340</v>
      </c>
      <c r="M2332" t="s">
        <v>7341</v>
      </c>
      <c r="N2332" t="s">
        <v>6988</v>
      </c>
      <c r="O2332" t="s">
        <v>28</v>
      </c>
      <c r="P2332" t="s">
        <v>29</v>
      </c>
      <c r="Q2332">
        <v>39</v>
      </c>
      <c r="R2332">
        <v>-77.487399999999994</v>
      </c>
    </row>
    <row r="2333" spans="1:18" x14ac:dyDescent="0.2">
      <c r="A2333" t="s">
        <v>1650</v>
      </c>
      <c r="B2333" t="s">
        <v>1651</v>
      </c>
      <c r="C2333">
        <v>1</v>
      </c>
      <c r="D2333" s="1">
        <v>44060.90966435185</v>
      </c>
      <c r="E2333" t="s">
        <v>7342</v>
      </c>
      <c r="F2333" t="s">
        <v>1653</v>
      </c>
      <c r="G2333" t="s">
        <v>7343</v>
      </c>
      <c r="H2333" t="s">
        <v>1655</v>
      </c>
      <c r="I2333" t="s">
        <v>29</v>
      </c>
      <c r="J2333">
        <v>1</v>
      </c>
      <c r="K2333">
        <f>1-800-948-5091</f>
        <v>-6838</v>
      </c>
      <c r="L2333" t="s">
        <v>7344</v>
      </c>
      <c r="M2333" t="s">
        <v>7345</v>
      </c>
      <c r="N2333" t="s">
        <v>36</v>
      </c>
      <c r="O2333" t="s">
        <v>28</v>
      </c>
      <c r="P2333" t="s">
        <v>29</v>
      </c>
      <c r="Q2333">
        <v>47</v>
      </c>
      <c r="R2333">
        <v>-99.999999000000003</v>
      </c>
    </row>
    <row r="2334" spans="1:18" x14ac:dyDescent="0.2">
      <c r="A2334" t="s">
        <v>1650</v>
      </c>
      <c r="B2334" t="s">
        <v>1651</v>
      </c>
      <c r="C2334">
        <v>1</v>
      </c>
      <c r="D2334" s="1">
        <v>44060.909513888888</v>
      </c>
      <c r="E2334" t="s">
        <v>7346</v>
      </c>
      <c r="F2334" t="s">
        <v>1653</v>
      </c>
      <c r="G2334" t="s">
        <v>7343</v>
      </c>
      <c r="H2334" t="s">
        <v>1655</v>
      </c>
      <c r="I2334" t="s">
        <v>29</v>
      </c>
      <c r="J2334">
        <v>1</v>
      </c>
      <c r="K2334">
        <f>1-800-948-5091</f>
        <v>-6838</v>
      </c>
      <c r="L2334" t="s">
        <v>7347</v>
      </c>
      <c r="M2334" t="s">
        <v>7348</v>
      </c>
      <c r="N2334" t="s">
        <v>36</v>
      </c>
      <c r="O2334" t="s">
        <v>28</v>
      </c>
      <c r="P2334" t="s">
        <v>29</v>
      </c>
      <c r="Q2334">
        <v>47</v>
      </c>
      <c r="R2334">
        <v>-99.999999000000003</v>
      </c>
    </row>
    <row r="2335" spans="1:18" x14ac:dyDescent="0.2">
      <c r="A2335" t="s">
        <v>1650</v>
      </c>
      <c r="B2335" t="s">
        <v>1651</v>
      </c>
      <c r="C2335">
        <v>1</v>
      </c>
      <c r="D2335" s="1">
        <v>44060.907685185186</v>
      </c>
      <c r="E2335" t="s">
        <v>7349</v>
      </c>
      <c r="F2335" t="s">
        <v>1653</v>
      </c>
      <c r="G2335" t="s">
        <v>7343</v>
      </c>
      <c r="H2335" t="s">
        <v>1655</v>
      </c>
      <c r="I2335" t="s">
        <v>29</v>
      </c>
      <c r="J2335">
        <v>1</v>
      </c>
      <c r="K2335">
        <f>1-800-948-5091</f>
        <v>-6838</v>
      </c>
      <c r="L2335" t="s">
        <v>7350</v>
      </c>
      <c r="M2335" t="s">
        <v>7351</v>
      </c>
      <c r="N2335" t="s">
        <v>36</v>
      </c>
      <c r="O2335" t="s">
        <v>28</v>
      </c>
      <c r="P2335" t="s">
        <v>29</v>
      </c>
      <c r="Q2335">
        <v>47</v>
      </c>
      <c r="R2335">
        <v>-99.999999000000003</v>
      </c>
    </row>
    <row r="2336" spans="1:18" x14ac:dyDescent="0.2">
      <c r="A2336" t="s">
        <v>1650</v>
      </c>
      <c r="B2336" t="s">
        <v>1651</v>
      </c>
      <c r="C2336">
        <v>1</v>
      </c>
      <c r="D2336" s="1">
        <v>44060.99291666667</v>
      </c>
      <c r="E2336" t="s">
        <v>7352</v>
      </c>
      <c r="F2336" t="s">
        <v>1653</v>
      </c>
      <c r="G2336" t="s">
        <v>7343</v>
      </c>
      <c r="H2336" t="s">
        <v>1655</v>
      </c>
      <c r="I2336" t="s">
        <v>29</v>
      </c>
      <c r="J2336">
        <v>1</v>
      </c>
      <c r="K2336">
        <f>1-800-906-3194</f>
        <v>-4899</v>
      </c>
      <c r="L2336" t="s">
        <v>7353</v>
      </c>
      <c r="M2336" t="s">
        <v>7354</v>
      </c>
      <c r="N2336" t="s">
        <v>36</v>
      </c>
      <c r="O2336" t="s">
        <v>28</v>
      </c>
      <c r="P2336" t="s">
        <v>29</v>
      </c>
      <c r="Q2336">
        <v>47</v>
      </c>
      <c r="R2336">
        <v>-99.999999000000003</v>
      </c>
    </row>
    <row r="2337" spans="1:18" x14ac:dyDescent="0.2">
      <c r="A2337" t="s">
        <v>1650</v>
      </c>
      <c r="B2337" t="s">
        <v>1651</v>
      </c>
      <c r="C2337">
        <v>1</v>
      </c>
      <c r="D2337" s="1">
        <v>44057.799363425926</v>
      </c>
      <c r="E2337" t="s">
        <v>7355</v>
      </c>
      <c r="F2337" t="s">
        <v>1653</v>
      </c>
      <c r="G2337" t="s">
        <v>7343</v>
      </c>
      <c r="H2337" t="s">
        <v>1655</v>
      </c>
      <c r="I2337" t="s">
        <v>29</v>
      </c>
      <c r="J2337">
        <v>1</v>
      </c>
      <c r="K2337">
        <f>1-800-315-126</f>
        <v>-1240</v>
      </c>
      <c r="L2337" t="s">
        <v>7356</v>
      </c>
      <c r="M2337" t="s">
        <v>7357</v>
      </c>
      <c r="N2337" t="s">
        <v>1645</v>
      </c>
      <c r="O2337" t="s">
        <v>28</v>
      </c>
      <c r="P2337" t="s">
        <v>29</v>
      </c>
      <c r="Q2337">
        <v>47</v>
      </c>
      <c r="R2337">
        <v>-99.999999000000003</v>
      </c>
    </row>
    <row r="2338" spans="1:18" x14ac:dyDescent="0.2">
      <c r="A2338" t="s">
        <v>1650</v>
      </c>
      <c r="B2338" t="s">
        <v>1651</v>
      </c>
      <c r="C2338">
        <v>1</v>
      </c>
      <c r="D2338" s="1">
        <v>44057.021516203706</v>
      </c>
      <c r="E2338" t="s">
        <v>7358</v>
      </c>
      <c r="F2338" t="s">
        <v>1653</v>
      </c>
      <c r="G2338" t="s">
        <v>7343</v>
      </c>
      <c r="H2338" t="s">
        <v>1655</v>
      </c>
      <c r="I2338" t="s">
        <v>29</v>
      </c>
      <c r="J2338">
        <v>1</v>
      </c>
      <c r="K2338">
        <f>1-800-915-8053</f>
        <v>-9767</v>
      </c>
      <c r="L2338" t="s">
        <v>7359</v>
      </c>
      <c r="M2338" t="s">
        <v>7360</v>
      </c>
      <c r="N2338" t="s">
        <v>1645</v>
      </c>
      <c r="O2338" t="s">
        <v>28</v>
      </c>
      <c r="P2338" t="s">
        <v>29</v>
      </c>
      <c r="Q2338">
        <v>47</v>
      </c>
      <c r="R2338">
        <v>-99.999999000000003</v>
      </c>
    </row>
    <row r="2339" spans="1:18" x14ac:dyDescent="0.2">
      <c r="A2339" t="s">
        <v>1650</v>
      </c>
      <c r="B2339" t="s">
        <v>1651</v>
      </c>
      <c r="C2339">
        <v>1</v>
      </c>
      <c r="D2339" s="1">
        <v>44056.834791666668</v>
      </c>
      <c r="E2339" t="s">
        <v>7358</v>
      </c>
      <c r="F2339" t="s">
        <v>1653</v>
      </c>
      <c r="G2339" t="s">
        <v>7343</v>
      </c>
      <c r="H2339" t="s">
        <v>1655</v>
      </c>
      <c r="I2339" t="s">
        <v>29</v>
      </c>
      <c r="J2339">
        <v>1</v>
      </c>
      <c r="K2339">
        <f>1-800-691-649</f>
        <v>-2139</v>
      </c>
      <c r="L2339" t="s">
        <v>7361</v>
      </c>
      <c r="M2339" t="s">
        <v>7362</v>
      </c>
      <c r="N2339" t="s">
        <v>1645</v>
      </c>
      <c r="O2339" t="s">
        <v>28</v>
      </c>
      <c r="P2339" t="s">
        <v>29</v>
      </c>
      <c r="Q2339">
        <v>47</v>
      </c>
      <c r="R2339">
        <v>-99.999999000000003</v>
      </c>
    </row>
    <row r="2340" spans="1:18" x14ac:dyDescent="0.2">
      <c r="A2340" t="s">
        <v>1650</v>
      </c>
      <c r="B2340" t="s">
        <v>1651</v>
      </c>
      <c r="C2340">
        <v>1</v>
      </c>
      <c r="D2340" s="1">
        <v>44056.815324074072</v>
      </c>
      <c r="E2340" t="s">
        <v>7363</v>
      </c>
      <c r="F2340" t="s">
        <v>1653</v>
      </c>
      <c r="G2340" t="s">
        <v>7343</v>
      </c>
      <c r="H2340" t="s">
        <v>1655</v>
      </c>
      <c r="I2340" t="s">
        <v>29</v>
      </c>
      <c r="J2340">
        <v>1</v>
      </c>
      <c r="K2340">
        <f>1-800-583-5103</f>
        <v>-6485</v>
      </c>
      <c r="L2340" t="s">
        <v>7364</v>
      </c>
      <c r="M2340" t="s">
        <v>7365</v>
      </c>
      <c r="N2340" t="s">
        <v>1645</v>
      </c>
      <c r="O2340" t="s">
        <v>28</v>
      </c>
      <c r="P2340" t="s">
        <v>29</v>
      </c>
      <c r="Q2340">
        <v>47</v>
      </c>
      <c r="R2340">
        <v>-99.999999000000003</v>
      </c>
    </row>
    <row r="2341" spans="1:18" x14ac:dyDescent="0.2">
      <c r="A2341" t="s">
        <v>1650</v>
      </c>
      <c r="B2341" t="s">
        <v>1651</v>
      </c>
      <c r="C2341">
        <v>1</v>
      </c>
      <c r="D2341" s="1">
        <v>44056.010648148149</v>
      </c>
      <c r="E2341" t="s">
        <v>7366</v>
      </c>
      <c r="F2341" t="s">
        <v>1653</v>
      </c>
      <c r="G2341" t="s">
        <v>7343</v>
      </c>
      <c r="H2341" t="s">
        <v>1655</v>
      </c>
      <c r="I2341" t="s">
        <v>29</v>
      </c>
      <c r="J2341">
        <v>1</v>
      </c>
      <c r="K2341">
        <f>1-800-601-8718</f>
        <v>-10118</v>
      </c>
      <c r="L2341" t="s">
        <v>7367</v>
      </c>
      <c r="M2341" t="s">
        <v>7368</v>
      </c>
      <c r="N2341" t="s">
        <v>36</v>
      </c>
      <c r="O2341" t="s">
        <v>28</v>
      </c>
      <c r="P2341" t="s">
        <v>29</v>
      </c>
      <c r="Q2341">
        <v>47</v>
      </c>
      <c r="R2341">
        <v>-99.999999000000003</v>
      </c>
    </row>
    <row r="2342" spans="1:18" x14ac:dyDescent="0.2">
      <c r="A2342" t="s">
        <v>1650</v>
      </c>
      <c r="B2342" t="s">
        <v>1651</v>
      </c>
      <c r="C2342">
        <v>1</v>
      </c>
      <c r="D2342" s="1">
        <v>44054.848356481481</v>
      </c>
      <c r="E2342" t="s">
        <v>7369</v>
      </c>
      <c r="F2342" t="s">
        <v>1653</v>
      </c>
      <c r="G2342" t="s">
        <v>7343</v>
      </c>
      <c r="H2342" t="s">
        <v>1655</v>
      </c>
      <c r="I2342" t="s">
        <v>29</v>
      </c>
      <c r="J2342">
        <v>1</v>
      </c>
      <c r="K2342">
        <f>1-800-597-1502</f>
        <v>-2898</v>
      </c>
      <c r="L2342" t="s">
        <v>7370</v>
      </c>
      <c r="M2342" t="s">
        <v>7371</v>
      </c>
      <c r="N2342" t="s">
        <v>36</v>
      </c>
      <c r="O2342" t="s">
        <v>28</v>
      </c>
      <c r="P2342" t="s">
        <v>29</v>
      </c>
      <c r="Q2342">
        <v>47</v>
      </c>
      <c r="R2342">
        <v>-99.999999000000003</v>
      </c>
    </row>
    <row r="2343" spans="1:18" x14ac:dyDescent="0.2">
      <c r="A2343" t="s">
        <v>1650</v>
      </c>
      <c r="B2343" t="s">
        <v>1651</v>
      </c>
      <c r="C2343">
        <v>1</v>
      </c>
      <c r="D2343" s="1">
        <v>44054.058287037034</v>
      </c>
      <c r="E2343" t="s">
        <v>7372</v>
      </c>
      <c r="F2343" t="s">
        <v>1653</v>
      </c>
      <c r="G2343" t="s">
        <v>7343</v>
      </c>
      <c r="H2343" t="s">
        <v>1655</v>
      </c>
      <c r="I2343" t="s">
        <v>29</v>
      </c>
      <c r="J2343">
        <v>1</v>
      </c>
      <c r="K2343">
        <f>1-800-601-9861</f>
        <v>-11261</v>
      </c>
      <c r="L2343" t="s">
        <v>7373</v>
      </c>
      <c r="M2343" t="s">
        <v>7374</v>
      </c>
      <c r="N2343" t="s">
        <v>36</v>
      </c>
      <c r="O2343" t="s">
        <v>28</v>
      </c>
      <c r="P2343" t="s">
        <v>29</v>
      </c>
      <c r="Q2343">
        <v>47</v>
      </c>
      <c r="R2343">
        <v>-99.999999000000003</v>
      </c>
    </row>
    <row r="2344" spans="1:18" x14ac:dyDescent="0.2">
      <c r="A2344" t="s">
        <v>1650</v>
      </c>
      <c r="B2344" t="s">
        <v>1651</v>
      </c>
      <c r="C2344">
        <v>1</v>
      </c>
      <c r="D2344" s="1">
        <v>44053.764872685184</v>
      </c>
      <c r="E2344" t="s">
        <v>7375</v>
      </c>
      <c r="F2344" t="s">
        <v>1653</v>
      </c>
      <c r="G2344" t="s">
        <v>7343</v>
      </c>
      <c r="H2344" t="s">
        <v>1655</v>
      </c>
      <c r="I2344" t="s">
        <v>29</v>
      </c>
      <c r="J2344">
        <v>1</v>
      </c>
      <c r="K2344">
        <f>1-800-631-648</f>
        <v>-2078</v>
      </c>
      <c r="L2344" t="s">
        <v>7376</v>
      </c>
      <c r="M2344" t="s">
        <v>7377</v>
      </c>
      <c r="N2344" t="s">
        <v>36</v>
      </c>
      <c r="O2344" t="s">
        <v>28</v>
      </c>
      <c r="P2344" t="s">
        <v>29</v>
      </c>
      <c r="Q2344">
        <v>47</v>
      </c>
      <c r="R2344">
        <v>-99.999999000000003</v>
      </c>
    </row>
    <row r="2345" spans="1:18" x14ac:dyDescent="0.2">
      <c r="A2345" t="s">
        <v>1650</v>
      </c>
      <c r="B2345" t="s">
        <v>1651</v>
      </c>
      <c r="C2345">
        <v>1</v>
      </c>
      <c r="D2345" s="1">
        <v>44050.831064814818</v>
      </c>
      <c r="E2345" t="s">
        <v>7378</v>
      </c>
      <c r="F2345" t="s">
        <v>1653</v>
      </c>
      <c r="G2345" t="s">
        <v>7343</v>
      </c>
      <c r="H2345" t="s">
        <v>1655</v>
      </c>
      <c r="I2345" t="s">
        <v>29</v>
      </c>
      <c r="J2345">
        <v>1</v>
      </c>
      <c r="K2345">
        <f>1-800-914-6013</f>
        <v>-7726</v>
      </c>
      <c r="L2345" t="s">
        <v>7379</v>
      </c>
      <c r="M2345" t="s">
        <v>7380</v>
      </c>
      <c r="N2345" t="s">
        <v>36</v>
      </c>
      <c r="O2345" t="s">
        <v>28</v>
      </c>
      <c r="P2345" t="s">
        <v>29</v>
      </c>
      <c r="Q2345">
        <v>47</v>
      </c>
      <c r="R2345">
        <v>-99.999999000000003</v>
      </c>
    </row>
    <row r="2346" spans="1:18" x14ac:dyDescent="0.2">
      <c r="A2346" t="s">
        <v>1650</v>
      </c>
      <c r="B2346" t="s">
        <v>1651</v>
      </c>
      <c r="C2346">
        <v>1</v>
      </c>
      <c r="D2346" s="1">
        <v>44049.807488425926</v>
      </c>
      <c r="E2346" t="s">
        <v>7381</v>
      </c>
      <c r="F2346" t="s">
        <v>1653</v>
      </c>
      <c r="G2346" t="s">
        <v>7343</v>
      </c>
      <c r="H2346" t="s">
        <v>1655</v>
      </c>
      <c r="I2346" t="s">
        <v>29</v>
      </c>
      <c r="J2346">
        <v>1</v>
      </c>
      <c r="K2346">
        <f>1-800-587-9081</f>
        <v>-10467</v>
      </c>
      <c r="L2346" t="s">
        <v>7382</v>
      </c>
      <c r="M2346" t="s">
        <v>7383</v>
      </c>
      <c r="N2346" t="s">
        <v>36</v>
      </c>
      <c r="O2346" t="s">
        <v>28</v>
      </c>
      <c r="P2346" t="s">
        <v>29</v>
      </c>
      <c r="Q2346">
        <v>47</v>
      </c>
      <c r="R2346">
        <v>-99.999999000000003</v>
      </c>
    </row>
    <row r="2347" spans="1:18" x14ac:dyDescent="0.2">
      <c r="A2347" t="s">
        <v>1650</v>
      </c>
      <c r="B2347" t="s">
        <v>1651</v>
      </c>
      <c r="C2347">
        <v>1</v>
      </c>
      <c r="D2347" s="1">
        <v>44049.063726851855</v>
      </c>
      <c r="E2347" t="s">
        <v>7384</v>
      </c>
      <c r="F2347" t="s">
        <v>1653</v>
      </c>
      <c r="G2347" t="s">
        <v>7343</v>
      </c>
      <c r="H2347" t="s">
        <v>1655</v>
      </c>
      <c r="I2347" t="s">
        <v>29</v>
      </c>
      <c r="J2347">
        <v>1</v>
      </c>
      <c r="K2347">
        <f>1-800-497-214</f>
        <v>-1510</v>
      </c>
      <c r="L2347" t="s">
        <v>7385</v>
      </c>
      <c r="M2347" t="s">
        <v>7386</v>
      </c>
      <c r="N2347" t="s">
        <v>36</v>
      </c>
      <c r="O2347" t="s">
        <v>28</v>
      </c>
      <c r="P2347" t="s">
        <v>29</v>
      </c>
      <c r="Q2347">
        <v>47</v>
      </c>
      <c r="R2347">
        <v>-99.999999000000003</v>
      </c>
    </row>
    <row r="2348" spans="1:18" x14ac:dyDescent="0.2">
      <c r="A2348" t="s">
        <v>1650</v>
      </c>
      <c r="B2348" t="s">
        <v>1651</v>
      </c>
      <c r="C2348">
        <v>1</v>
      </c>
      <c r="D2348" s="1">
        <v>44044.08353009259</v>
      </c>
      <c r="E2348" t="s">
        <v>7387</v>
      </c>
      <c r="F2348" t="s">
        <v>1653</v>
      </c>
      <c r="G2348" t="s">
        <v>7343</v>
      </c>
      <c r="H2348" t="s">
        <v>1655</v>
      </c>
      <c r="I2348" t="s">
        <v>29</v>
      </c>
      <c r="J2348">
        <v>1</v>
      </c>
      <c r="K2348">
        <f>1-800-408-4163</f>
        <v>-5370</v>
      </c>
      <c r="L2348" t="s">
        <v>7388</v>
      </c>
      <c r="M2348" t="s">
        <v>7389</v>
      </c>
      <c r="N2348" t="s">
        <v>36</v>
      </c>
      <c r="O2348" t="s">
        <v>28</v>
      </c>
      <c r="P2348" t="s">
        <v>29</v>
      </c>
      <c r="Q2348">
        <v>47</v>
      </c>
      <c r="R2348">
        <v>-99.999999000000003</v>
      </c>
    </row>
    <row r="2349" spans="1:18" x14ac:dyDescent="0.2">
      <c r="A2349" t="s">
        <v>1650</v>
      </c>
      <c r="B2349" t="s">
        <v>1651</v>
      </c>
      <c r="C2349">
        <v>1</v>
      </c>
      <c r="D2349" s="1">
        <v>44043.782210648147</v>
      </c>
      <c r="E2349" t="s">
        <v>7390</v>
      </c>
      <c r="F2349" t="s">
        <v>1653</v>
      </c>
      <c r="G2349" t="s">
        <v>7343</v>
      </c>
      <c r="H2349" t="s">
        <v>1655</v>
      </c>
      <c r="I2349" t="s">
        <v>29</v>
      </c>
      <c r="J2349">
        <v>1</v>
      </c>
      <c r="K2349">
        <f>1-800-970-9658</f>
        <v>-11427</v>
      </c>
      <c r="L2349" t="s">
        <v>7391</v>
      </c>
      <c r="M2349" t="s">
        <v>7392</v>
      </c>
      <c r="N2349" t="s">
        <v>36</v>
      </c>
      <c r="O2349" t="s">
        <v>28</v>
      </c>
      <c r="P2349" t="s">
        <v>29</v>
      </c>
      <c r="Q2349">
        <v>47</v>
      </c>
      <c r="R2349">
        <v>-99.999999000000003</v>
      </c>
    </row>
    <row r="2350" spans="1:18" x14ac:dyDescent="0.2">
      <c r="A2350" t="s">
        <v>1650</v>
      </c>
      <c r="B2350" t="s">
        <v>1651</v>
      </c>
      <c r="C2350">
        <v>1</v>
      </c>
      <c r="D2350" s="1">
        <v>44043.04960648148</v>
      </c>
      <c r="E2350" t="s">
        <v>7393</v>
      </c>
      <c r="F2350" t="s">
        <v>1653</v>
      </c>
      <c r="G2350" t="s">
        <v>7343</v>
      </c>
      <c r="H2350" t="s">
        <v>1655</v>
      </c>
      <c r="I2350" t="s">
        <v>29</v>
      </c>
      <c r="J2350">
        <v>1</v>
      </c>
      <c r="K2350">
        <f>1-800-478-918</f>
        <v>-2195</v>
      </c>
      <c r="L2350" t="s">
        <v>7394</v>
      </c>
      <c r="M2350" t="s">
        <v>7395</v>
      </c>
      <c r="N2350" t="s">
        <v>36</v>
      </c>
      <c r="O2350" t="s">
        <v>28</v>
      </c>
      <c r="P2350" t="s">
        <v>29</v>
      </c>
      <c r="Q2350">
        <v>47</v>
      </c>
      <c r="R2350">
        <v>-99.999999000000003</v>
      </c>
    </row>
    <row r="2351" spans="1:18" x14ac:dyDescent="0.2">
      <c r="A2351" t="s">
        <v>1650</v>
      </c>
      <c r="B2351" t="s">
        <v>1651</v>
      </c>
      <c r="C2351">
        <v>1</v>
      </c>
      <c r="D2351" s="1">
        <v>44043.008368055554</v>
      </c>
      <c r="E2351" t="s">
        <v>7396</v>
      </c>
      <c r="F2351" t="s">
        <v>1653</v>
      </c>
      <c r="G2351" t="s">
        <v>7343</v>
      </c>
      <c r="H2351" t="s">
        <v>1655</v>
      </c>
      <c r="I2351" t="s">
        <v>29</v>
      </c>
      <c r="J2351">
        <v>1</v>
      </c>
      <c r="K2351">
        <f>1-800-478-918</f>
        <v>-2195</v>
      </c>
      <c r="L2351" t="s">
        <v>7397</v>
      </c>
      <c r="M2351" t="s">
        <v>7398</v>
      </c>
      <c r="N2351" t="s">
        <v>36</v>
      </c>
      <c r="O2351" t="s">
        <v>28</v>
      </c>
      <c r="P2351" t="s">
        <v>29</v>
      </c>
      <c r="Q2351">
        <v>47</v>
      </c>
      <c r="R2351">
        <v>-99.999999000000003</v>
      </c>
    </row>
    <row r="2352" spans="1:18" x14ac:dyDescent="0.2">
      <c r="A2352" t="s">
        <v>1650</v>
      </c>
      <c r="B2352" t="s">
        <v>1651</v>
      </c>
      <c r="C2352">
        <v>1</v>
      </c>
      <c r="D2352" s="1">
        <v>44043.993090277778</v>
      </c>
      <c r="E2352" t="s">
        <v>7399</v>
      </c>
      <c r="F2352" t="s">
        <v>1653</v>
      </c>
      <c r="G2352" t="s">
        <v>7343</v>
      </c>
      <c r="H2352" t="s">
        <v>1655</v>
      </c>
      <c r="I2352" t="s">
        <v>29</v>
      </c>
      <c r="J2352">
        <v>1</v>
      </c>
      <c r="K2352">
        <f>1-800-848-131</f>
        <v>-1778</v>
      </c>
      <c r="L2352" t="s">
        <v>7400</v>
      </c>
      <c r="M2352" t="s">
        <v>7401</v>
      </c>
      <c r="N2352" t="s">
        <v>36</v>
      </c>
      <c r="O2352" t="s">
        <v>28</v>
      </c>
      <c r="P2352" t="s">
        <v>29</v>
      </c>
      <c r="Q2352">
        <v>47</v>
      </c>
      <c r="R2352">
        <v>-99.999999000000003</v>
      </c>
    </row>
    <row r="2353" spans="1:18" x14ac:dyDescent="0.2">
      <c r="A2353" t="s">
        <v>1650</v>
      </c>
      <c r="B2353" t="s">
        <v>1651</v>
      </c>
      <c r="C2353">
        <v>1</v>
      </c>
      <c r="D2353" s="1">
        <v>44029.765451388892</v>
      </c>
      <c r="E2353" t="s">
        <v>7402</v>
      </c>
      <c r="F2353" t="s">
        <v>1653</v>
      </c>
      <c r="G2353" t="s">
        <v>7343</v>
      </c>
      <c r="H2353" t="s">
        <v>1655</v>
      </c>
      <c r="I2353" t="s">
        <v>29</v>
      </c>
      <c r="J2353">
        <v>1</v>
      </c>
      <c r="K2353">
        <f>1-800-912-6206</f>
        <v>-7917</v>
      </c>
      <c r="L2353" t="s">
        <v>7403</v>
      </c>
      <c r="M2353" t="s">
        <v>7404</v>
      </c>
      <c r="N2353" t="s">
        <v>36</v>
      </c>
      <c r="O2353" t="s">
        <v>28</v>
      </c>
      <c r="P2353" t="s">
        <v>29</v>
      </c>
      <c r="Q2353">
        <v>47</v>
      </c>
      <c r="R2353">
        <v>-99.999999000000003</v>
      </c>
    </row>
    <row r="2354" spans="1:18" x14ac:dyDescent="0.2">
      <c r="A2354" t="s">
        <v>1650</v>
      </c>
      <c r="B2354" t="s">
        <v>1651</v>
      </c>
      <c r="C2354">
        <v>1</v>
      </c>
      <c r="D2354" s="1">
        <v>44028.981851851851</v>
      </c>
      <c r="E2354" t="s">
        <v>7405</v>
      </c>
      <c r="F2354" t="s">
        <v>1653</v>
      </c>
      <c r="G2354" t="s">
        <v>7343</v>
      </c>
      <c r="H2354" t="s">
        <v>1655</v>
      </c>
      <c r="I2354" t="s">
        <v>29</v>
      </c>
      <c r="J2354">
        <v>1</v>
      </c>
      <c r="K2354">
        <f>1-800-485-2194</f>
        <v>-3478</v>
      </c>
      <c r="L2354" t="s">
        <v>7406</v>
      </c>
      <c r="M2354" t="s">
        <v>7407</v>
      </c>
      <c r="N2354" t="s">
        <v>36</v>
      </c>
      <c r="O2354" t="s">
        <v>28</v>
      </c>
      <c r="P2354" t="s">
        <v>29</v>
      </c>
      <c r="Q2354">
        <v>47</v>
      </c>
      <c r="R2354">
        <v>-99.999999000000003</v>
      </c>
    </row>
    <row r="2355" spans="1:18" x14ac:dyDescent="0.2">
      <c r="A2355" t="s">
        <v>1650</v>
      </c>
      <c r="B2355" t="s">
        <v>1651</v>
      </c>
      <c r="C2355">
        <v>1</v>
      </c>
      <c r="D2355" s="1">
        <v>44027.125462962962</v>
      </c>
      <c r="E2355" t="s">
        <v>7408</v>
      </c>
      <c r="F2355" t="s">
        <v>1653</v>
      </c>
      <c r="G2355" t="s">
        <v>7343</v>
      </c>
      <c r="H2355" t="s">
        <v>1655</v>
      </c>
      <c r="I2355" t="s">
        <v>29</v>
      </c>
      <c r="J2355">
        <v>1</v>
      </c>
      <c r="K2355">
        <f>1-888-533-3635</f>
        <v>-5055</v>
      </c>
      <c r="L2355" t="s">
        <v>7409</v>
      </c>
      <c r="M2355" t="s">
        <v>7410</v>
      </c>
      <c r="N2355" t="s">
        <v>36</v>
      </c>
      <c r="O2355" t="s">
        <v>28</v>
      </c>
      <c r="P2355" t="s">
        <v>29</v>
      </c>
      <c r="Q2355">
        <v>47</v>
      </c>
      <c r="R2355">
        <v>-99.999999000000003</v>
      </c>
    </row>
    <row r="2356" spans="1:18" x14ac:dyDescent="0.2">
      <c r="A2356" t="s">
        <v>1650</v>
      </c>
      <c r="B2356" t="s">
        <v>1651</v>
      </c>
      <c r="C2356">
        <v>1</v>
      </c>
      <c r="D2356" s="1">
        <v>44021.780694444446</v>
      </c>
      <c r="E2356" t="s">
        <v>7411</v>
      </c>
      <c r="F2356" t="s">
        <v>1653</v>
      </c>
      <c r="G2356" t="s">
        <v>7343</v>
      </c>
      <c r="H2356" t="s">
        <v>1655</v>
      </c>
      <c r="I2356" t="s">
        <v>29</v>
      </c>
      <c r="J2356">
        <v>1</v>
      </c>
      <c r="K2356">
        <f>1-888-404-2584</f>
        <v>-3875</v>
      </c>
      <c r="L2356" t="s">
        <v>7412</v>
      </c>
      <c r="M2356" t="s">
        <v>7413</v>
      </c>
      <c r="N2356" t="s">
        <v>36</v>
      </c>
      <c r="O2356" t="s">
        <v>28</v>
      </c>
      <c r="P2356" t="s">
        <v>29</v>
      </c>
      <c r="Q2356">
        <v>47</v>
      </c>
      <c r="R2356">
        <v>-99.999999000000003</v>
      </c>
    </row>
    <row r="2357" spans="1:18" x14ac:dyDescent="0.2">
      <c r="A2357" t="s">
        <v>1650</v>
      </c>
      <c r="B2357" t="s">
        <v>1651</v>
      </c>
      <c r="C2357">
        <v>1</v>
      </c>
      <c r="D2357" s="1">
        <v>44021.766875000001</v>
      </c>
      <c r="E2357" t="s">
        <v>7411</v>
      </c>
      <c r="F2357" t="s">
        <v>1653</v>
      </c>
      <c r="G2357" t="s">
        <v>7343</v>
      </c>
      <c r="H2357" t="s">
        <v>1655</v>
      </c>
      <c r="I2357" t="s">
        <v>29</v>
      </c>
      <c r="J2357">
        <v>1</v>
      </c>
      <c r="K2357">
        <f>1-888-396-6428</f>
        <v>-7711</v>
      </c>
      <c r="L2357" t="s">
        <v>7414</v>
      </c>
      <c r="M2357" t="s">
        <v>7415</v>
      </c>
      <c r="N2357" t="s">
        <v>36</v>
      </c>
      <c r="O2357" t="s">
        <v>28</v>
      </c>
      <c r="P2357" t="s">
        <v>29</v>
      </c>
      <c r="Q2357">
        <v>47</v>
      </c>
      <c r="R2357">
        <v>-99.999999000000003</v>
      </c>
    </row>
    <row r="2358" spans="1:18" x14ac:dyDescent="0.2">
      <c r="A2358" t="s">
        <v>1650</v>
      </c>
      <c r="B2358" t="s">
        <v>1651</v>
      </c>
      <c r="C2358">
        <v>1</v>
      </c>
      <c r="D2358" s="1">
        <v>44021.751261574071</v>
      </c>
      <c r="E2358" t="s">
        <v>7411</v>
      </c>
      <c r="F2358" t="s">
        <v>1653</v>
      </c>
      <c r="G2358" t="s">
        <v>7343</v>
      </c>
      <c r="H2358" t="s">
        <v>1655</v>
      </c>
      <c r="I2358" t="s">
        <v>29</v>
      </c>
      <c r="J2358">
        <v>1</v>
      </c>
      <c r="K2358">
        <f>1-888-385-1658</f>
        <v>-2930</v>
      </c>
      <c r="L2358" t="s">
        <v>7416</v>
      </c>
      <c r="M2358" t="s">
        <v>7417</v>
      </c>
      <c r="N2358" t="s">
        <v>36</v>
      </c>
      <c r="O2358" t="s">
        <v>28</v>
      </c>
      <c r="P2358" t="s">
        <v>29</v>
      </c>
      <c r="Q2358">
        <v>47</v>
      </c>
      <c r="R2358">
        <v>-99.999999000000003</v>
      </c>
    </row>
    <row r="2359" spans="1:18" x14ac:dyDescent="0.2">
      <c r="A2359" t="s">
        <v>1650</v>
      </c>
      <c r="B2359" t="s">
        <v>1651</v>
      </c>
      <c r="C2359">
        <v>1</v>
      </c>
      <c r="D2359" s="1">
        <v>44020.855150462965</v>
      </c>
      <c r="E2359" t="s">
        <v>7418</v>
      </c>
      <c r="F2359" t="s">
        <v>1653</v>
      </c>
      <c r="G2359" t="s">
        <v>7343</v>
      </c>
      <c r="H2359" t="s">
        <v>1655</v>
      </c>
      <c r="I2359" t="s">
        <v>29</v>
      </c>
      <c r="J2359">
        <v>1</v>
      </c>
      <c r="K2359">
        <f>1-888-382-6119</f>
        <v>-7388</v>
      </c>
      <c r="L2359" t="s">
        <v>7419</v>
      </c>
      <c r="M2359" t="s">
        <v>7420</v>
      </c>
      <c r="N2359" t="s">
        <v>36</v>
      </c>
      <c r="O2359" t="s">
        <v>28</v>
      </c>
      <c r="P2359" t="s">
        <v>29</v>
      </c>
      <c r="Q2359">
        <v>47</v>
      </c>
      <c r="R2359">
        <v>-99.999999000000003</v>
      </c>
    </row>
    <row r="2360" spans="1:18" x14ac:dyDescent="0.2">
      <c r="A2360" t="s">
        <v>663</v>
      </c>
      <c r="B2360" t="s">
        <v>2500</v>
      </c>
      <c r="C2360">
        <v>81</v>
      </c>
      <c r="D2360" s="1">
        <v>44021.465405092589</v>
      </c>
      <c r="E2360" t="s">
        <v>7421</v>
      </c>
      <c r="F2360" t="s">
        <v>666</v>
      </c>
      <c r="G2360" t="s">
        <v>7421</v>
      </c>
      <c r="H2360" t="s">
        <v>667</v>
      </c>
      <c r="I2360" t="s">
        <v>53</v>
      </c>
      <c r="J2360">
        <v>81</v>
      </c>
      <c r="K2360">
        <f>81-50-3131-1866</f>
        <v>-4966</v>
      </c>
      <c r="L2360" t="s">
        <v>7422</v>
      </c>
      <c r="M2360" t="s">
        <v>7423</v>
      </c>
      <c r="N2360">
        <v>239</v>
      </c>
      <c r="O2360" t="s">
        <v>134</v>
      </c>
      <c r="P2360" t="s">
        <v>2500</v>
      </c>
      <c r="Q2360">
        <v>1</v>
      </c>
      <c r="R2360">
        <v>99.999999000000003</v>
      </c>
    </row>
    <row r="2361" spans="1:18" x14ac:dyDescent="0.2">
      <c r="A2361" t="s">
        <v>7424</v>
      </c>
      <c r="B2361" t="s">
        <v>7425</v>
      </c>
      <c r="C2361">
        <v>81</v>
      </c>
      <c r="D2361" s="1">
        <v>44066.546770833331</v>
      </c>
      <c r="E2361" t="s">
        <v>7426</v>
      </c>
      <c r="F2361" t="s">
        <v>7427</v>
      </c>
      <c r="G2361" t="s">
        <v>7428</v>
      </c>
      <c r="H2361" t="s">
        <v>7429</v>
      </c>
      <c r="I2361" t="s">
        <v>53</v>
      </c>
      <c r="J2361">
        <v>81</v>
      </c>
      <c r="K2361">
        <f>81-50-5806-398</f>
        <v>-6173</v>
      </c>
      <c r="L2361" t="s">
        <v>7430</v>
      </c>
      <c r="M2361" t="s">
        <v>7431</v>
      </c>
      <c r="N2361" t="s">
        <v>36</v>
      </c>
      <c r="O2361" t="s">
        <v>134</v>
      </c>
      <c r="P2361" t="s">
        <v>29</v>
      </c>
      <c r="Q2361">
        <v>43</v>
      </c>
      <c r="R2361">
        <v>-84.642700000000005</v>
      </c>
    </row>
    <row r="2362" spans="1:18" x14ac:dyDescent="0.2">
      <c r="A2362" t="s">
        <v>7424</v>
      </c>
      <c r="B2362" t="s">
        <v>7425</v>
      </c>
      <c r="C2362">
        <v>81</v>
      </c>
      <c r="D2362" s="1">
        <v>44049.32435185185</v>
      </c>
      <c r="E2362" t="s">
        <v>7426</v>
      </c>
      <c r="F2362" t="s">
        <v>7427</v>
      </c>
      <c r="G2362" t="s">
        <v>7428</v>
      </c>
      <c r="H2362" t="s">
        <v>7429</v>
      </c>
      <c r="I2362" t="s">
        <v>53</v>
      </c>
      <c r="J2362">
        <v>81</v>
      </c>
      <c r="K2362">
        <f>81-50-5532-516</f>
        <v>-6017</v>
      </c>
      <c r="L2362" t="s">
        <v>7432</v>
      </c>
      <c r="M2362" t="s">
        <v>7433</v>
      </c>
      <c r="N2362" t="s">
        <v>36</v>
      </c>
      <c r="O2362" t="s">
        <v>134</v>
      </c>
      <c r="P2362" t="s">
        <v>29</v>
      </c>
      <c r="Q2362">
        <v>43</v>
      </c>
      <c r="R2362">
        <v>-84.642700000000005</v>
      </c>
    </row>
    <row r="2363" spans="1:18" x14ac:dyDescent="0.2">
      <c r="A2363" t="s">
        <v>7424</v>
      </c>
      <c r="B2363" t="s">
        <v>7425</v>
      </c>
      <c r="C2363">
        <v>81</v>
      </c>
      <c r="D2363" s="1">
        <v>44045.679965277777</v>
      </c>
      <c r="E2363" t="s">
        <v>7434</v>
      </c>
      <c r="F2363" t="s">
        <v>7427</v>
      </c>
      <c r="G2363" t="s">
        <v>7428</v>
      </c>
      <c r="H2363" t="s">
        <v>7429</v>
      </c>
      <c r="I2363" t="s">
        <v>53</v>
      </c>
      <c r="J2363">
        <v>81</v>
      </c>
      <c r="K2363">
        <f>81-50-5539-762</f>
        <v>-6270</v>
      </c>
      <c r="L2363" t="s">
        <v>7435</v>
      </c>
      <c r="M2363" t="s">
        <v>7436</v>
      </c>
      <c r="N2363" t="s">
        <v>36</v>
      </c>
      <c r="O2363" t="s">
        <v>134</v>
      </c>
      <c r="P2363" t="s">
        <v>29</v>
      </c>
      <c r="Q2363">
        <v>43</v>
      </c>
      <c r="R2363">
        <v>-84.642700000000005</v>
      </c>
    </row>
    <row r="2364" spans="1:18" x14ac:dyDescent="0.2">
      <c r="A2364" t="s">
        <v>7424</v>
      </c>
      <c r="B2364" t="s">
        <v>7425</v>
      </c>
      <c r="C2364">
        <v>81</v>
      </c>
      <c r="D2364" s="1">
        <v>44045.57234953704</v>
      </c>
      <c r="E2364" t="s">
        <v>7437</v>
      </c>
      <c r="F2364" t="s">
        <v>7427</v>
      </c>
      <c r="G2364" t="s">
        <v>7428</v>
      </c>
      <c r="H2364" t="s">
        <v>7429</v>
      </c>
      <c r="I2364" t="s">
        <v>53</v>
      </c>
      <c r="J2364">
        <v>81</v>
      </c>
      <c r="K2364">
        <f>81-80-880-2079</f>
        <v>-2958</v>
      </c>
      <c r="L2364" t="s">
        <v>7438</v>
      </c>
      <c r="M2364" t="s">
        <v>7439</v>
      </c>
      <c r="N2364" t="s">
        <v>36</v>
      </c>
      <c r="O2364" t="s">
        <v>134</v>
      </c>
      <c r="P2364" t="s">
        <v>29</v>
      </c>
      <c r="Q2364">
        <v>43</v>
      </c>
      <c r="R2364">
        <v>-84.642700000000005</v>
      </c>
    </row>
    <row r="2365" spans="1:18" x14ac:dyDescent="0.2">
      <c r="A2365" t="s">
        <v>7424</v>
      </c>
      <c r="B2365" t="s">
        <v>7425</v>
      </c>
      <c r="C2365">
        <v>81</v>
      </c>
      <c r="D2365" s="1">
        <v>44040.55804398148</v>
      </c>
      <c r="E2365" t="s">
        <v>7440</v>
      </c>
      <c r="F2365" t="s">
        <v>7427</v>
      </c>
      <c r="G2365" t="s">
        <v>7428</v>
      </c>
      <c r="H2365" t="s">
        <v>7429</v>
      </c>
      <c r="I2365" t="s">
        <v>53</v>
      </c>
      <c r="J2365">
        <v>81</v>
      </c>
      <c r="K2365">
        <f>81-50-5539-762</f>
        <v>-6270</v>
      </c>
      <c r="L2365" t="s">
        <v>7441</v>
      </c>
      <c r="M2365" t="s">
        <v>7442</v>
      </c>
      <c r="N2365" t="s">
        <v>36</v>
      </c>
      <c r="O2365" t="s">
        <v>134</v>
      </c>
      <c r="P2365" t="s">
        <v>29</v>
      </c>
      <c r="Q2365">
        <v>43</v>
      </c>
      <c r="R2365">
        <v>-84.642700000000005</v>
      </c>
    </row>
    <row r="2366" spans="1:18" x14ac:dyDescent="0.2">
      <c r="A2366" t="s">
        <v>7424</v>
      </c>
      <c r="B2366" t="s">
        <v>7425</v>
      </c>
      <c r="C2366">
        <v>81</v>
      </c>
      <c r="D2366" s="1">
        <v>44021.465624999997</v>
      </c>
      <c r="E2366" t="s">
        <v>7426</v>
      </c>
      <c r="F2366" t="s">
        <v>7427</v>
      </c>
      <c r="G2366" t="s">
        <v>7428</v>
      </c>
      <c r="H2366" t="s">
        <v>7429</v>
      </c>
      <c r="I2366" t="s">
        <v>53</v>
      </c>
      <c r="J2366">
        <v>81</v>
      </c>
      <c r="K2366">
        <f>81-50-5809-764</f>
        <v>-6542</v>
      </c>
      <c r="L2366" t="s">
        <v>7443</v>
      </c>
      <c r="M2366" t="s">
        <v>7444</v>
      </c>
      <c r="N2366" t="s">
        <v>36</v>
      </c>
      <c r="O2366" t="s">
        <v>28</v>
      </c>
      <c r="P2366" t="s">
        <v>29</v>
      </c>
      <c r="Q2366">
        <v>43</v>
      </c>
      <c r="R2366">
        <v>-84.642700000000005</v>
      </c>
    </row>
    <row r="2367" spans="1:18" x14ac:dyDescent="0.2">
      <c r="A2367" t="s">
        <v>270</v>
      </c>
      <c r="B2367" t="s">
        <v>5337</v>
      </c>
      <c r="C2367">
        <v>1</v>
      </c>
      <c r="D2367" s="1">
        <v>44021.711076388892</v>
      </c>
      <c r="E2367" t="s">
        <v>7445</v>
      </c>
      <c r="F2367" t="s">
        <v>273</v>
      </c>
      <c r="G2367" t="s">
        <v>7445</v>
      </c>
      <c r="H2367" t="s">
        <v>275</v>
      </c>
      <c r="I2367" t="s">
        <v>29</v>
      </c>
      <c r="J2367">
        <v>1</v>
      </c>
      <c r="K2367">
        <f>1-855-484-9434</f>
        <v>-10772</v>
      </c>
      <c r="L2367" t="s">
        <v>7446</v>
      </c>
      <c r="M2367" t="s">
        <v>7447</v>
      </c>
      <c r="N2367">
        <v>16</v>
      </c>
      <c r="O2367" t="s">
        <v>134</v>
      </c>
      <c r="P2367" t="s">
        <v>29</v>
      </c>
      <c r="Q2367">
        <v>38</v>
      </c>
      <c r="R2367">
        <v>-99.999999000000003</v>
      </c>
    </row>
    <row r="2368" spans="1:18" x14ac:dyDescent="0.2">
      <c r="A2368" t="s">
        <v>663</v>
      </c>
      <c r="B2368" t="s">
        <v>454</v>
      </c>
      <c r="C2368">
        <v>1</v>
      </c>
      <c r="D2368" s="1">
        <v>44021.479178240741</v>
      </c>
      <c r="E2368" t="s">
        <v>7448</v>
      </c>
      <c r="F2368" t="s">
        <v>666</v>
      </c>
      <c r="G2368" t="s">
        <v>7449</v>
      </c>
      <c r="H2368" t="s">
        <v>667</v>
      </c>
      <c r="I2368" t="s">
        <v>29</v>
      </c>
      <c r="J2368">
        <v>1</v>
      </c>
      <c r="K2368">
        <f>1-888-709-6244</f>
        <v>-7840</v>
      </c>
      <c r="L2368" t="s">
        <v>7450</v>
      </c>
      <c r="M2368" t="s">
        <v>7451</v>
      </c>
      <c r="N2368" t="s">
        <v>3441</v>
      </c>
      <c r="O2368" t="s">
        <v>28</v>
      </c>
      <c r="P2368" t="s">
        <v>461</v>
      </c>
      <c r="Q2368">
        <v>52</v>
      </c>
      <c r="R2368">
        <v>4.9391999999999996</v>
      </c>
    </row>
    <row r="2369" spans="1:18" x14ac:dyDescent="0.2">
      <c r="A2369" t="s">
        <v>3420</v>
      </c>
      <c r="B2369" t="s">
        <v>6921</v>
      </c>
      <c r="C2369">
        <v>49</v>
      </c>
      <c r="D2369" s="1">
        <v>44021.479594907411</v>
      </c>
      <c r="E2369" t="s">
        <v>7452</v>
      </c>
      <c r="F2369" t="s">
        <v>3422</v>
      </c>
      <c r="G2369" t="s">
        <v>7452</v>
      </c>
      <c r="H2369" t="s">
        <v>3423</v>
      </c>
      <c r="I2369" t="s">
        <v>24</v>
      </c>
      <c r="J2369">
        <v>49</v>
      </c>
      <c r="K2369">
        <f>49-800-182-6614</f>
        <v>-7547</v>
      </c>
      <c r="L2369" t="s">
        <v>7453</v>
      </c>
      <c r="M2369" t="s">
        <v>7454</v>
      </c>
      <c r="N2369">
        <v>68</v>
      </c>
      <c r="O2369" t="s">
        <v>134</v>
      </c>
      <c r="P2369" t="s">
        <v>29</v>
      </c>
      <c r="Q2369">
        <v>41</v>
      </c>
      <c r="R2369">
        <v>-95.860799999999998</v>
      </c>
    </row>
    <row r="2370" spans="1:18" x14ac:dyDescent="0.2">
      <c r="A2370" t="s">
        <v>2233</v>
      </c>
      <c r="B2370" t="s">
        <v>2234</v>
      </c>
      <c r="C2370">
        <v>49</v>
      </c>
      <c r="D2370" s="1">
        <v>44021.525763888887</v>
      </c>
      <c r="E2370" t="s">
        <v>7455</v>
      </c>
      <c r="F2370" t="s">
        <v>2236</v>
      </c>
      <c r="G2370" t="s">
        <v>7456</v>
      </c>
      <c r="H2370" t="s">
        <v>2237</v>
      </c>
      <c r="I2370" t="s">
        <v>24</v>
      </c>
      <c r="J2370">
        <v>49</v>
      </c>
      <c r="K2370">
        <f>49-800-7244539</f>
        <v>-7245290</v>
      </c>
      <c r="L2370" t="s">
        <v>7457</v>
      </c>
      <c r="M2370" t="s">
        <v>7458</v>
      </c>
      <c r="N2370" t="s">
        <v>7459</v>
      </c>
      <c r="O2370" t="s">
        <v>134</v>
      </c>
      <c r="P2370" t="s">
        <v>29</v>
      </c>
      <c r="Q2370">
        <v>40</v>
      </c>
      <c r="R2370">
        <v>-83.114099999999993</v>
      </c>
    </row>
    <row r="2371" spans="1:18" x14ac:dyDescent="0.2">
      <c r="A2371" t="s">
        <v>663</v>
      </c>
      <c r="B2371" t="s">
        <v>3245</v>
      </c>
      <c r="C2371">
        <v>32</v>
      </c>
      <c r="D2371" s="1">
        <v>44021.547974537039</v>
      </c>
      <c r="E2371" t="s">
        <v>7460</v>
      </c>
      <c r="F2371" t="s">
        <v>666</v>
      </c>
      <c r="G2371" t="s">
        <v>7461</v>
      </c>
      <c r="H2371" t="s">
        <v>667</v>
      </c>
      <c r="I2371" t="s">
        <v>4288</v>
      </c>
      <c r="J2371">
        <v>32</v>
      </c>
      <c r="K2371">
        <f>32-32-800-26-767</f>
        <v>-1593</v>
      </c>
      <c r="L2371" t="s">
        <v>7462</v>
      </c>
      <c r="M2371" t="s">
        <v>7463</v>
      </c>
      <c r="N2371" t="s">
        <v>452</v>
      </c>
      <c r="O2371" t="s">
        <v>28</v>
      </c>
      <c r="P2371" t="s">
        <v>29</v>
      </c>
      <c r="Q2371">
        <v>41</v>
      </c>
      <c r="R2371">
        <v>-74.140299999999996</v>
      </c>
    </row>
    <row r="2372" spans="1:18" x14ac:dyDescent="0.2">
      <c r="A2372" t="s">
        <v>453</v>
      </c>
      <c r="B2372" t="s">
        <v>454</v>
      </c>
      <c r="C2372">
        <v>32</v>
      </c>
      <c r="D2372" s="1">
        <v>44037.446805555555</v>
      </c>
      <c r="E2372" t="s">
        <v>7464</v>
      </c>
      <c r="F2372" t="s">
        <v>456</v>
      </c>
      <c r="G2372" t="s">
        <v>7465</v>
      </c>
      <c r="H2372" t="s">
        <v>458</v>
      </c>
      <c r="I2372" t="s">
        <v>4288</v>
      </c>
      <c r="J2372">
        <v>32</v>
      </c>
      <c r="K2372">
        <f t="shared" ref="K2372:K2380" si="17">32-78-25-11-40</f>
        <v>-122</v>
      </c>
      <c r="L2372" t="s">
        <v>7466</v>
      </c>
      <c r="M2372" t="s">
        <v>7467</v>
      </c>
      <c r="N2372" t="s">
        <v>452</v>
      </c>
      <c r="O2372" t="s">
        <v>134</v>
      </c>
      <c r="P2372" t="s">
        <v>461</v>
      </c>
      <c r="Q2372">
        <v>52</v>
      </c>
      <c r="R2372">
        <v>4.9391999999999996</v>
      </c>
    </row>
    <row r="2373" spans="1:18" x14ac:dyDescent="0.2">
      <c r="A2373" t="s">
        <v>453</v>
      </c>
      <c r="B2373" t="s">
        <v>454</v>
      </c>
      <c r="C2373">
        <v>32</v>
      </c>
      <c r="D2373" s="1">
        <v>44037.445914351854</v>
      </c>
      <c r="E2373" t="s">
        <v>7468</v>
      </c>
      <c r="F2373" t="s">
        <v>456</v>
      </c>
      <c r="G2373" t="s">
        <v>7465</v>
      </c>
      <c r="H2373" t="s">
        <v>458</v>
      </c>
      <c r="I2373" t="s">
        <v>4288</v>
      </c>
      <c r="J2373">
        <v>32</v>
      </c>
      <c r="K2373">
        <f t="shared" si="17"/>
        <v>-122</v>
      </c>
      <c r="L2373" t="s">
        <v>7469</v>
      </c>
      <c r="M2373" t="s">
        <v>7470</v>
      </c>
      <c r="N2373" t="s">
        <v>452</v>
      </c>
      <c r="O2373" t="s">
        <v>134</v>
      </c>
      <c r="P2373" t="s">
        <v>461</v>
      </c>
      <c r="Q2373">
        <v>52</v>
      </c>
      <c r="R2373">
        <v>4.9391999999999996</v>
      </c>
    </row>
    <row r="2374" spans="1:18" x14ac:dyDescent="0.2">
      <c r="A2374" t="s">
        <v>453</v>
      </c>
      <c r="B2374" t="s">
        <v>454</v>
      </c>
      <c r="C2374">
        <v>32</v>
      </c>
      <c r="D2374" s="1">
        <v>44037.444803240738</v>
      </c>
      <c r="E2374" t="s">
        <v>7471</v>
      </c>
      <c r="F2374" t="s">
        <v>456</v>
      </c>
      <c r="G2374" t="s">
        <v>7465</v>
      </c>
      <c r="H2374" t="s">
        <v>458</v>
      </c>
      <c r="I2374" t="s">
        <v>4288</v>
      </c>
      <c r="J2374">
        <v>32</v>
      </c>
      <c r="K2374">
        <f t="shared" si="17"/>
        <v>-122</v>
      </c>
      <c r="L2374" t="s">
        <v>7472</v>
      </c>
      <c r="M2374" t="s">
        <v>7473</v>
      </c>
      <c r="N2374" t="s">
        <v>452</v>
      </c>
      <c r="O2374" t="s">
        <v>134</v>
      </c>
      <c r="P2374" t="s">
        <v>461</v>
      </c>
      <c r="Q2374">
        <v>52</v>
      </c>
      <c r="R2374">
        <v>4.9391999999999996</v>
      </c>
    </row>
    <row r="2375" spans="1:18" x14ac:dyDescent="0.2">
      <c r="A2375" t="s">
        <v>453</v>
      </c>
      <c r="B2375" t="s">
        <v>454</v>
      </c>
      <c r="C2375">
        <v>32</v>
      </c>
      <c r="D2375" s="1">
        <v>44034.715277777781</v>
      </c>
      <c r="E2375" t="s">
        <v>7474</v>
      </c>
      <c r="F2375" t="s">
        <v>456</v>
      </c>
      <c r="G2375" t="s">
        <v>7465</v>
      </c>
      <c r="H2375" t="s">
        <v>458</v>
      </c>
      <c r="I2375" t="s">
        <v>4288</v>
      </c>
      <c r="J2375">
        <v>32</v>
      </c>
      <c r="K2375">
        <f t="shared" si="17"/>
        <v>-122</v>
      </c>
      <c r="L2375" t="s">
        <v>7475</v>
      </c>
      <c r="M2375" t="s">
        <v>7476</v>
      </c>
      <c r="N2375" t="s">
        <v>452</v>
      </c>
      <c r="O2375" t="s">
        <v>134</v>
      </c>
      <c r="P2375" t="s">
        <v>461</v>
      </c>
      <c r="Q2375">
        <v>52</v>
      </c>
      <c r="R2375">
        <v>4.9391999999999996</v>
      </c>
    </row>
    <row r="2376" spans="1:18" x14ac:dyDescent="0.2">
      <c r="A2376" t="s">
        <v>453</v>
      </c>
      <c r="B2376" t="s">
        <v>454</v>
      </c>
      <c r="C2376">
        <v>32</v>
      </c>
      <c r="D2376" s="1">
        <v>44034.71502314815</v>
      </c>
      <c r="E2376" t="s">
        <v>7477</v>
      </c>
      <c r="F2376" t="s">
        <v>456</v>
      </c>
      <c r="G2376" t="s">
        <v>7465</v>
      </c>
      <c r="H2376" t="s">
        <v>458</v>
      </c>
      <c r="I2376" t="s">
        <v>4288</v>
      </c>
      <c r="J2376">
        <v>32</v>
      </c>
      <c r="K2376">
        <f t="shared" si="17"/>
        <v>-122</v>
      </c>
      <c r="L2376" t="s">
        <v>7478</v>
      </c>
      <c r="M2376" t="s">
        <v>7479</v>
      </c>
      <c r="N2376" t="s">
        <v>452</v>
      </c>
      <c r="O2376" t="s">
        <v>134</v>
      </c>
      <c r="P2376" t="s">
        <v>461</v>
      </c>
      <c r="Q2376">
        <v>52</v>
      </c>
      <c r="R2376">
        <v>4.9391999999999996</v>
      </c>
    </row>
    <row r="2377" spans="1:18" x14ac:dyDescent="0.2">
      <c r="A2377" t="s">
        <v>453</v>
      </c>
      <c r="B2377" t="s">
        <v>454</v>
      </c>
      <c r="C2377">
        <v>32</v>
      </c>
      <c r="D2377" s="1">
        <v>44034.71434027778</v>
      </c>
      <c r="E2377" t="s">
        <v>7480</v>
      </c>
      <c r="F2377" t="s">
        <v>456</v>
      </c>
      <c r="G2377" t="s">
        <v>7465</v>
      </c>
      <c r="H2377" t="s">
        <v>458</v>
      </c>
      <c r="I2377" t="s">
        <v>4288</v>
      </c>
      <c r="J2377">
        <v>32</v>
      </c>
      <c r="K2377">
        <f t="shared" si="17"/>
        <v>-122</v>
      </c>
      <c r="L2377" t="s">
        <v>7481</v>
      </c>
      <c r="M2377" t="s">
        <v>7482</v>
      </c>
      <c r="N2377" t="s">
        <v>452</v>
      </c>
      <c r="O2377" t="s">
        <v>134</v>
      </c>
      <c r="P2377" t="s">
        <v>461</v>
      </c>
      <c r="Q2377">
        <v>52</v>
      </c>
      <c r="R2377">
        <v>4.9391999999999996</v>
      </c>
    </row>
    <row r="2378" spans="1:18" x14ac:dyDescent="0.2">
      <c r="A2378" t="s">
        <v>453</v>
      </c>
      <c r="B2378" t="s">
        <v>454</v>
      </c>
      <c r="C2378">
        <v>32</v>
      </c>
      <c r="D2378" s="1">
        <v>44034.714120370372</v>
      </c>
      <c r="E2378" t="s">
        <v>7483</v>
      </c>
      <c r="F2378" t="s">
        <v>456</v>
      </c>
      <c r="G2378" t="s">
        <v>7465</v>
      </c>
      <c r="H2378" t="s">
        <v>458</v>
      </c>
      <c r="I2378" t="s">
        <v>4288</v>
      </c>
      <c r="J2378">
        <v>32</v>
      </c>
      <c r="K2378">
        <f t="shared" si="17"/>
        <v>-122</v>
      </c>
      <c r="L2378" t="s">
        <v>7484</v>
      </c>
      <c r="M2378" t="s">
        <v>7485</v>
      </c>
      <c r="N2378" t="s">
        <v>452</v>
      </c>
      <c r="O2378" t="s">
        <v>134</v>
      </c>
      <c r="P2378" t="s">
        <v>461</v>
      </c>
      <c r="Q2378">
        <v>52</v>
      </c>
      <c r="R2378">
        <v>4.9391999999999996</v>
      </c>
    </row>
    <row r="2379" spans="1:18" x14ac:dyDescent="0.2">
      <c r="A2379" t="s">
        <v>453</v>
      </c>
      <c r="B2379" t="s">
        <v>454</v>
      </c>
      <c r="C2379">
        <v>32</v>
      </c>
      <c r="D2379" s="1">
        <v>44034.713692129626</v>
      </c>
      <c r="E2379" t="s">
        <v>7486</v>
      </c>
      <c r="F2379" t="s">
        <v>456</v>
      </c>
      <c r="G2379" t="s">
        <v>7465</v>
      </c>
      <c r="H2379" t="s">
        <v>458</v>
      </c>
      <c r="I2379" t="s">
        <v>4288</v>
      </c>
      <c r="J2379">
        <v>32</v>
      </c>
      <c r="K2379">
        <f t="shared" si="17"/>
        <v>-122</v>
      </c>
      <c r="L2379" t="s">
        <v>7487</v>
      </c>
      <c r="M2379" t="s">
        <v>7488</v>
      </c>
      <c r="N2379" t="s">
        <v>452</v>
      </c>
      <c r="O2379" t="s">
        <v>134</v>
      </c>
      <c r="P2379" t="s">
        <v>461</v>
      </c>
      <c r="Q2379">
        <v>52</v>
      </c>
      <c r="R2379">
        <v>4.9391999999999996</v>
      </c>
    </row>
    <row r="2380" spans="1:18" x14ac:dyDescent="0.2">
      <c r="A2380" t="s">
        <v>453</v>
      </c>
      <c r="B2380" t="s">
        <v>454</v>
      </c>
      <c r="C2380">
        <v>32</v>
      </c>
      <c r="D2380" s="1">
        <v>44034.712743055556</v>
      </c>
      <c r="E2380" t="s">
        <v>7489</v>
      </c>
      <c r="F2380" t="s">
        <v>456</v>
      </c>
      <c r="G2380" t="s">
        <v>7465</v>
      </c>
      <c r="H2380" t="s">
        <v>458</v>
      </c>
      <c r="I2380" t="s">
        <v>4288</v>
      </c>
      <c r="J2380">
        <v>32</v>
      </c>
      <c r="K2380">
        <f t="shared" si="17"/>
        <v>-122</v>
      </c>
      <c r="L2380" t="s">
        <v>7490</v>
      </c>
      <c r="M2380" t="s">
        <v>7491</v>
      </c>
      <c r="N2380" t="s">
        <v>452</v>
      </c>
      <c r="O2380" t="s">
        <v>134</v>
      </c>
      <c r="P2380" t="s">
        <v>461</v>
      </c>
      <c r="Q2380">
        <v>52</v>
      </c>
      <c r="R2380">
        <v>4.9391999999999996</v>
      </c>
    </row>
    <row r="2381" spans="1:18" x14ac:dyDescent="0.2">
      <c r="A2381" t="s">
        <v>453</v>
      </c>
      <c r="B2381" t="s">
        <v>454</v>
      </c>
      <c r="C2381">
        <v>32</v>
      </c>
      <c r="D2381" s="1">
        <v>44033.669965277775</v>
      </c>
      <c r="E2381" t="s">
        <v>7492</v>
      </c>
      <c r="F2381" t="s">
        <v>456</v>
      </c>
      <c r="G2381" t="s">
        <v>7465</v>
      </c>
      <c r="H2381" t="s">
        <v>458</v>
      </c>
      <c r="I2381" t="s">
        <v>4288</v>
      </c>
      <c r="J2381">
        <v>32</v>
      </c>
      <c r="K2381">
        <f>32-782-59-244</f>
        <v>-1053</v>
      </c>
      <c r="L2381" t="s">
        <v>7493</v>
      </c>
      <c r="M2381" t="s">
        <v>7494</v>
      </c>
      <c r="N2381" t="s">
        <v>452</v>
      </c>
      <c r="O2381" t="s">
        <v>134</v>
      </c>
      <c r="P2381" t="s">
        <v>461</v>
      </c>
      <c r="Q2381">
        <v>52</v>
      </c>
      <c r="R2381">
        <v>4.9391999999999996</v>
      </c>
    </row>
    <row r="2382" spans="1:18" x14ac:dyDescent="0.2">
      <c r="A2382" t="s">
        <v>453</v>
      </c>
      <c r="B2382" t="s">
        <v>454</v>
      </c>
      <c r="C2382">
        <v>32</v>
      </c>
      <c r="D2382" s="1">
        <v>44033.605798611112</v>
      </c>
      <c r="E2382" t="s">
        <v>7495</v>
      </c>
      <c r="F2382" t="s">
        <v>456</v>
      </c>
      <c r="G2382" t="s">
        <v>7465</v>
      </c>
      <c r="H2382" t="s">
        <v>458</v>
      </c>
      <c r="I2382" t="s">
        <v>4288</v>
      </c>
      <c r="J2382">
        <v>32</v>
      </c>
      <c r="K2382">
        <f>32-782-59-244</f>
        <v>-1053</v>
      </c>
      <c r="L2382" t="s">
        <v>7496</v>
      </c>
      <c r="M2382" t="s">
        <v>7497</v>
      </c>
      <c r="N2382" t="s">
        <v>452</v>
      </c>
      <c r="O2382" t="s">
        <v>134</v>
      </c>
      <c r="P2382" t="s">
        <v>461</v>
      </c>
      <c r="Q2382">
        <v>52</v>
      </c>
      <c r="R2382">
        <v>4.9391999999999996</v>
      </c>
    </row>
    <row r="2383" spans="1:18" x14ac:dyDescent="0.2">
      <c r="A2383" t="s">
        <v>1200</v>
      </c>
      <c r="B2383" t="s">
        <v>454</v>
      </c>
      <c r="C2383">
        <v>32</v>
      </c>
      <c r="D2383" s="1">
        <v>44021.550115740742</v>
      </c>
      <c r="E2383" t="s">
        <v>7477</v>
      </c>
      <c r="F2383" t="s">
        <v>456</v>
      </c>
      <c r="G2383" t="s">
        <v>7465</v>
      </c>
      <c r="H2383" t="s">
        <v>458</v>
      </c>
      <c r="I2383" t="s">
        <v>4288</v>
      </c>
      <c r="J2383">
        <v>32</v>
      </c>
      <c r="K2383">
        <f>32-32-782-51-168</f>
        <v>-1001</v>
      </c>
      <c r="L2383" t="s">
        <v>7498</v>
      </c>
      <c r="M2383" t="s">
        <v>7499</v>
      </c>
      <c r="N2383" t="s">
        <v>452</v>
      </c>
      <c r="O2383" t="s">
        <v>134</v>
      </c>
      <c r="P2383" t="s">
        <v>461</v>
      </c>
      <c r="Q2383">
        <v>52</v>
      </c>
      <c r="R2383">
        <v>4.9391999999999996</v>
      </c>
    </row>
    <row r="2384" spans="1:18" x14ac:dyDescent="0.2">
      <c r="A2384" t="s">
        <v>270</v>
      </c>
      <c r="B2384" t="s">
        <v>271</v>
      </c>
      <c r="C2384">
        <v>34</v>
      </c>
      <c r="D2384" s="1">
        <v>44031.844189814816</v>
      </c>
      <c r="E2384" t="s">
        <v>7500</v>
      </c>
      <c r="F2384" t="s">
        <v>273</v>
      </c>
      <c r="G2384" t="s">
        <v>7501</v>
      </c>
      <c r="H2384" t="s">
        <v>275</v>
      </c>
      <c r="I2384" t="s">
        <v>700</v>
      </c>
      <c r="J2384">
        <v>34</v>
      </c>
      <c r="K2384">
        <f>34-900-670-25</f>
        <v>-1561</v>
      </c>
      <c r="L2384" t="s">
        <v>7502</v>
      </c>
      <c r="M2384" t="s">
        <v>7503</v>
      </c>
      <c r="N2384" t="s">
        <v>278</v>
      </c>
      <c r="O2384" t="s">
        <v>134</v>
      </c>
      <c r="P2384" t="s">
        <v>29</v>
      </c>
      <c r="Q2384">
        <v>42</v>
      </c>
      <c r="R2384">
        <v>-93.620800000000003</v>
      </c>
    </row>
    <row r="2385" spans="1:18" x14ac:dyDescent="0.2">
      <c r="A2385" t="s">
        <v>270</v>
      </c>
      <c r="B2385" t="s">
        <v>271</v>
      </c>
      <c r="C2385">
        <v>34</v>
      </c>
      <c r="D2385" s="1">
        <v>44031.843946759262</v>
      </c>
      <c r="E2385" t="s">
        <v>7504</v>
      </c>
      <c r="F2385" t="s">
        <v>273</v>
      </c>
      <c r="G2385" t="s">
        <v>7501</v>
      </c>
      <c r="H2385" t="s">
        <v>275</v>
      </c>
      <c r="I2385" t="s">
        <v>700</v>
      </c>
      <c r="J2385">
        <v>34</v>
      </c>
      <c r="K2385">
        <f>34-900-998-437</f>
        <v>-2301</v>
      </c>
      <c r="L2385" t="s">
        <v>7505</v>
      </c>
      <c r="M2385" t="s">
        <v>7506</v>
      </c>
      <c r="N2385" t="s">
        <v>278</v>
      </c>
      <c r="O2385" t="s">
        <v>134</v>
      </c>
      <c r="P2385" t="s">
        <v>29</v>
      </c>
      <c r="Q2385">
        <v>42</v>
      </c>
      <c r="R2385">
        <v>-93.620800000000003</v>
      </c>
    </row>
    <row r="2386" spans="1:18" x14ac:dyDescent="0.2">
      <c r="A2386" t="s">
        <v>270</v>
      </c>
      <c r="B2386" t="s">
        <v>271</v>
      </c>
      <c r="C2386">
        <v>34</v>
      </c>
      <c r="D2386" s="1">
        <v>44031.843773148146</v>
      </c>
      <c r="E2386" t="s">
        <v>7507</v>
      </c>
      <c r="F2386" t="s">
        <v>273</v>
      </c>
      <c r="G2386" t="s">
        <v>7501</v>
      </c>
      <c r="H2386" t="s">
        <v>275</v>
      </c>
      <c r="I2386" t="s">
        <v>700</v>
      </c>
      <c r="J2386">
        <v>34</v>
      </c>
      <c r="K2386">
        <f t="shared" ref="K2386:K2391" si="18">34-900-670-25</f>
        <v>-1561</v>
      </c>
      <c r="L2386" t="s">
        <v>7508</v>
      </c>
      <c r="M2386" t="s">
        <v>7509</v>
      </c>
      <c r="N2386" t="s">
        <v>278</v>
      </c>
      <c r="O2386" t="s">
        <v>134</v>
      </c>
      <c r="P2386" t="s">
        <v>29</v>
      </c>
      <c r="Q2386">
        <v>42</v>
      </c>
      <c r="R2386">
        <v>-93.620800000000003</v>
      </c>
    </row>
    <row r="2387" spans="1:18" x14ac:dyDescent="0.2">
      <c r="A2387" t="s">
        <v>270</v>
      </c>
      <c r="B2387" t="s">
        <v>271</v>
      </c>
      <c r="C2387">
        <v>34</v>
      </c>
      <c r="D2387" s="1">
        <v>44031.841793981483</v>
      </c>
      <c r="E2387" t="s">
        <v>7510</v>
      </c>
      <c r="F2387" t="s">
        <v>273</v>
      </c>
      <c r="G2387" t="s">
        <v>7501</v>
      </c>
      <c r="H2387" t="s">
        <v>275</v>
      </c>
      <c r="I2387" t="s">
        <v>700</v>
      </c>
      <c r="J2387">
        <v>34</v>
      </c>
      <c r="K2387">
        <f t="shared" si="18"/>
        <v>-1561</v>
      </c>
      <c r="L2387" t="s">
        <v>7511</v>
      </c>
      <c r="M2387" t="s">
        <v>7512</v>
      </c>
      <c r="N2387" t="s">
        <v>278</v>
      </c>
      <c r="O2387" t="s">
        <v>134</v>
      </c>
      <c r="P2387" t="s">
        <v>29</v>
      </c>
      <c r="Q2387">
        <v>42</v>
      </c>
      <c r="R2387">
        <v>-93.620800000000003</v>
      </c>
    </row>
    <row r="2388" spans="1:18" x14ac:dyDescent="0.2">
      <c r="A2388" t="s">
        <v>270</v>
      </c>
      <c r="B2388" t="s">
        <v>271</v>
      </c>
      <c r="C2388">
        <v>34</v>
      </c>
      <c r="D2388" s="1">
        <v>44031.841365740744</v>
      </c>
      <c r="E2388" t="s">
        <v>7513</v>
      </c>
      <c r="F2388" t="s">
        <v>273</v>
      </c>
      <c r="G2388" t="s">
        <v>7501</v>
      </c>
      <c r="H2388" t="s">
        <v>275</v>
      </c>
      <c r="I2388" t="s">
        <v>700</v>
      </c>
      <c r="J2388">
        <v>34</v>
      </c>
      <c r="K2388">
        <f t="shared" si="18"/>
        <v>-1561</v>
      </c>
      <c r="L2388" t="s">
        <v>7514</v>
      </c>
      <c r="M2388" t="s">
        <v>7515</v>
      </c>
      <c r="N2388" t="s">
        <v>278</v>
      </c>
      <c r="O2388" t="s">
        <v>134</v>
      </c>
      <c r="P2388" t="s">
        <v>29</v>
      </c>
      <c r="Q2388">
        <v>42</v>
      </c>
      <c r="R2388">
        <v>-93.620800000000003</v>
      </c>
    </row>
    <row r="2389" spans="1:18" x14ac:dyDescent="0.2">
      <c r="A2389" t="s">
        <v>270</v>
      </c>
      <c r="B2389" t="s">
        <v>271</v>
      </c>
      <c r="C2389">
        <v>34</v>
      </c>
      <c r="D2389" s="1">
        <v>44031.840914351851</v>
      </c>
      <c r="E2389" t="s">
        <v>7516</v>
      </c>
      <c r="F2389" t="s">
        <v>273</v>
      </c>
      <c r="G2389" t="s">
        <v>7501</v>
      </c>
      <c r="H2389" t="s">
        <v>275</v>
      </c>
      <c r="I2389" t="s">
        <v>700</v>
      </c>
      <c r="J2389">
        <v>34</v>
      </c>
      <c r="K2389">
        <f t="shared" si="18"/>
        <v>-1561</v>
      </c>
      <c r="L2389" t="s">
        <v>7517</v>
      </c>
      <c r="M2389" t="s">
        <v>7518</v>
      </c>
      <c r="N2389" t="s">
        <v>278</v>
      </c>
      <c r="O2389" t="s">
        <v>134</v>
      </c>
      <c r="P2389" t="s">
        <v>29</v>
      </c>
      <c r="Q2389">
        <v>42</v>
      </c>
      <c r="R2389">
        <v>-93.620800000000003</v>
      </c>
    </row>
    <row r="2390" spans="1:18" x14ac:dyDescent="0.2">
      <c r="A2390" t="s">
        <v>270</v>
      </c>
      <c r="B2390" t="s">
        <v>271</v>
      </c>
      <c r="C2390">
        <v>34</v>
      </c>
      <c r="D2390" s="1">
        <v>44031.840509259258</v>
      </c>
      <c r="E2390" t="s">
        <v>7519</v>
      </c>
      <c r="F2390" t="s">
        <v>273</v>
      </c>
      <c r="G2390" t="s">
        <v>7501</v>
      </c>
      <c r="H2390" t="s">
        <v>275</v>
      </c>
      <c r="I2390" t="s">
        <v>700</v>
      </c>
      <c r="J2390">
        <v>34</v>
      </c>
      <c r="K2390">
        <f t="shared" si="18"/>
        <v>-1561</v>
      </c>
      <c r="L2390" t="s">
        <v>7520</v>
      </c>
      <c r="M2390" t="s">
        <v>7521</v>
      </c>
      <c r="N2390" t="s">
        <v>278</v>
      </c>
      <c r="O2390" t="s">
        <v>134</v>
      </c>
      <c r="P2390" t="s">
        <v>29</v>
      </c>
      <c r="Q2390">
        <v>42</v>
      </c>
      <c r="R2390">
        <v>-93.620800000000003</v>
      </c>
    </row>
    <row r="2391" spans="1:18" x14ac:dyDescent="0.2">
      <c r="A2391" t="s">
        <v>270</v>
      </c>
      <c r="B2391" t="s">
        <v>271</v>
      </c>
      <c r="C2391">
        <v>34</v>
      </c>
      <c r="D2391" s="1">
        <v>44031.839444444442</v>
      </c>
      <c r="E2391" t="s">
        <v>7522</v>
      </c>
      <c r="F2391" t="s">
        <v>273</v>
      </c>
      <c r="G2391" t="s">
        <v>7501</v>
      </c>
      <c r="H2391" t="s">
        <v>275</v>
      </c>
      <c r="I2391" t="s">
        <v>700</v>
      </c>
      <c r="J2391">
        <v>34</v>
      </c>
      <c r="K2391">
        <f t="shared" si="18"/>
        <v>-1561</v>
      </c>
      <c r="L2391" t="s">
        <v>7523</v>
      </c>
      <c r="M2391" t="s">
        <v>7524</v>
      </c>
      <c r="N2391" t="s">
        <v>278</v>
      </c>
      <c r="O2391" t="s">
        <v>134</v>
      </c>
      <c r="P2391" t="s">
        <v>29</v>
      </c>
      <c r="Q2391">
        <v>42</v>
      </c>
      <c r="R2391">
        <v>-93.620800000000003</v>
      </c>
    </row>
    <row r="2392" spans="1:18" x14ac:dyDescent="0.2">
      <c r="A2392" t="s">
        <v>270</v>
      </c>
      <c r="B2392" t="s">
        <v>271</v>
      </c>
      <c r="C2392">
        <v>34</v>
      </c>
      <c r="D2392" s="1">
        <v>44031.838599537034</v>
      </c>
      <c r="E2392" t="s">
        <v>7525</v>
      </c>
      <c r="F2392" t="s">
        <v>273</v>
      </c>
      <c r="G2392" t="s">
        <v>7501</v>
      </c>
      <c r="H2392" t="s">
        <v>275</v>
      </c>
      <c r="I2392" t="s">
        <v>700</v>
      </c>
      <c r="J2392">
        <v>34</v>
      </c>
      <c r="K2392">
        <f>34-900-998-437</f>
        <v>-2301</v>
      </c>
      <c r="L2392" t="s">
        <v>7526</v>
      </c>
      <c r="M2392" t="s">
        <v>7527</v>
      </c>
      <c r="N2392" t="s">
        <v>278</v>
      </c>
      <c r="O2392" t="s">
        <v>134</v>
      </c>
      <c r="P2392" t="s">
        <v>29</v>
      </c>
      <c r="Q2392">
        <v>42</v>
      </c>
      <c r="R2392">
        <v>-93.620800000000003</v>
      </c>
    </row>
    <row r="2393" spans="1:18" x14ac:dyDescent="0.2">
      <c r="A2393" t="s">
        <v>270</v>
      </c>
      <c r="B2393" t="s">
        <v>271</v>
      </c>
      <c r="C2393">
        <v>34</v>
      </c>
      <c r="D2393" s="1">
        <v>44031.83829861111</v>
      </c>
      <c r="E2393" t="s">
        <v>7528</v>
      </c>
      <c r="F2393" t="s">
        <v>273</v>
      </c>
      <c r="G2393" t="s">
        <v>7501</v>
      </c>
      <c r="H2393" t="s">
        <v>275</v>
      </c>
      <c r="I2393" t="s">
        <v>700</v>
      </c>
      <c r="J2393">
        <v>34</v>
      </c>
      <c r="K2393">
        <f>34-900-998-437</f>
        <v>-2301</v>
      </c>
      <c r="L2393" t="s">
        <v>7529</v>
      </c>
      <c r="M2393" t="s">
        <v>7530</v>
      </c>
      <c r="N2393" t="s">
        <v>278</v>
      </c>
      <c r="O2393" t="s">
        <v>134</v>
      </c>
      <c r="P2393" t="s">
        <v>29</v>
      </c>
      <c r="Q2393">
        <v>42</v>
      </c>
      <c r="R2393">
        <v>-93.620800000000003</v>
      </c>
    </row>
    <row r="2394" spans="1:18" x14ac:dyDescent="0.2">
      <c r="A2394" t="s">
        <v>270</v>
      </c>
      <c r="B2394" t="s">
        <v>271</v>
      </c>
      <c r="C2394">
        <v>34</v>
      </c>
      <c r="D2394" s="1">
        <v>44029.789502314816</v>
      </c>
      <c r="E2394" t="s">
        <v>7531</v>
      </c>
      <c r="F2394" t="s">
        <v>273</v>
      </c>
      <c r="G2394" t="s">
        <v>7501</v>
      </c>
      <c r="H2394" t="s">
        <v>275</v>
      </c>
      <c r="I2394" t="s">
        <v>700</v>
      </c>
      <c r="J2394">
        <v>34</v>
      </c>
      <c r="K2394">
        <f>34-900-670-25</f>
        <v>-1561</v>
      </c>
      <c r="L2394" t="s">
        <v>7532</v>
      </c>
      <c r="M2394" t="s">
        <v>7533</v>
      </c>
      <c r="N2394" t="s">
        <v>278</v>
      </c>
      <c r="O2394" t="s">
        <v>28</v>
      </c>
      <c r="P2394" t="s">
        <v>29</v>
      </c>
      <c r="Q2394">
        <v>42</v>
      </c>
      <c r="R2394">
        <v>-93.620800000000003</v>
      </c>
    </row>
    <row r="2395" spans="1:18" x14ac:dyDescent="0.2">
      <c r="A2395" t="s">
        <v>270</v>
      </c>
      <c r="B2395" t="s">
        <v>271</v>
      </c>
      <c r="C2395">
        <v>1</v>
      </c>
      <c r="D2395" s="1">
        <v>44029.635578703703</v>
      </c>
      <c r="E2395" t="s">
        <v>7534</v>
      </c>
      <c r="F2395" t="s">
        <v>273</v>
      </c>
      <c r="G2395" t="s">
        <v>7501</v>
      </c>
      <c r="H2395" t="s">
        <v>275</v>
      </c>
      <c r="I2395" t="s">
        <v>29</v>
      </c>
      <c r="J2395">
        <v>1</v>
      </c>
      <c r="K2395">
        <f>1-900-670-25</f>
        <v>-1594</v>
      </c>
      <c r="L2395" t="s">
        <v>7535</v>
      </c>
      <c r="M2395" t="s">
        <v>7536</v>
      </c>
      <c r="N2395" t="s">
        <v>278</v>
      </c>
      <c r="O2395" t="s">
        <v>28</v>
      </c>
      <c r="P2395" t="s">
        <v>29</v>
      </c>
      <c r="Q2395">
        <v>42</v>
      </c>
      <c r="R2395">
        <v>-93.620800000000003</v>
      </c>
    </row>
    <row r="2396" spans="1:18" x14ac:dyDescent="0.2">
      <c r="A2396" t="s">
        <v>270</v>
      </c>
      <c r="B2396" t="s">
        <v>271</v>
      </c>
      <c r="C2396">
        <v>1</v>
      </c>
      <c r="D2396" s="1">
        <v>44028.6409375</v>
      </c>
      <c r="E2396" t="s">
        <v>7537</v>
      </c>
      <c r="F2396" t="s">
        <v>273</v>
      </c>
      <c r="G2396" t="s">
        <v>7501</v>
      </c>
      <c r="H2396" t="s">
        <v>275</v>
      </c>
      <c r="I2396" t="s">
        <v>29</v>
      </c>
      <c r="J2396">
        <v>1</v>
      </c>
      <c r="K2396">
        <f>1-900-670-25</f>
        <v>-1594</v>
      </c>
      <c r="L2396" t="s">
        <v>7538</v>
      </c>
      <c r="M2396" t="s">
        <v>7539</v>
      </c>
      <c r="N2396" t="s">
        <v>278</v>
      </c>
      <c r="O2396" t="s">
        <v>28</v>
      </c>
      <c r="P2396" t="s">
        <v>29</v>
      </c>
      <c r="Q2396">
        <v>42</v>
      </c>
      <c r="R2396">
        <v>-93.620800000000003</v>
      </c>
    </row>
    <row r="2397" spans="1:18" x14ac:dyDescent="0.2">
      <c r="A2397" t="s">
        <v>270</v>
      </c>
      <c r="B2397" t="s">
        <v>271</v>
      </c>
      <c r="C2397">
        <v>34</v>
      </c>
      <c r="D2397" s="1">
        <v>44027.528611111113</v>
      </c>
      <c r="E2397" t="s">
        <v>7540</v>
      </c>
      <c r="F2397" t="s">
        <v>273</v>
      </c>
      <c r="G2397" t="s">
        <v>7501</v>
      </c>
      <c r="H2397" t="s">
        <v>275</v>
      </c>
      <c r="I2397" t="s">
        <v>700</v>
      </c>
      <c r="J2397">
        <v>34</v>
      </c>
      <c r="K2397">
        <f>34-900-670-25</f>
        <v>-1561</v>
      </c>
      <c r="L2397" t="s">
        <v>7541</v>
      </c>
      <c r="M2397" t="s">
        <v>7542</v>
      </c>
      <c r="N2397" t="s">
        <v>278</v>
      </c>
      <c r="O2397" t="s">
        <v>28</v>
      </c>
      <c r="P2397" t="s">
        <v>29</v>
      </c>
      <c r="Q2397">
        <v>42</v>
      </c>
      <c r="R2397">
        <v>-93.620800000000003</v>
      </c>
    </row>
    <row r="2398" spans="1:18" x14ac:dyDescent="0.2">
      <c r="A2398" t="s">
        <v>270</v>
      </c>
      <c r="B2398" t="s">
        <v>271</v>
      </c>
      <c r="C2398">
        <v>34</v>
      </c>
      <c r="D2398" s="1">
        <v>44027.528553240743</v>
      </c>
      <c r="E2398" t="s">
        <v>7543</v>
      </c>
      <c r="F2398" t="s">
        <v>273</v>
      </c>
      <c r="G2398" t="s">
        <v>7501</v>
      </c>
      <c r="H2398" t="s">
        <v>275</v>
      </c>
      <c r="I2398" t="s">
        <v>700</v>
      </c>
      <c r="J2398">
        <v>34</v>
      </c>
      <c r="K2398">
        <f>34-900-670-25</f>
        <v>-1561</v>
      </c>
      <c r="L2398" t="s">
        <v>7544</v>
      </c>
      <c r="M2398" t="s">
        <v>7545</v>
      </c>
      <c r="N2398" t="s">
        <v>278</v>
      </c>
      <c r="O2398" t="s">
        <v>28</v>
      </c>
      <c r="P2398" t="s">
        <v>29</v>
      </c>
      <c r="Q2398">
        <v>42</v>
      </c>
      <c r="R2398">
        <v>-93.620800000000003</v>
      </c>
    </row>
    <row r="2399" spans="1:18" x14ac:dyDescent="0.2">
      <c r="A2399" t="s">
        <v>270</v>
      </c>
      <c r="B2399" t="s">
        <v>271</v>
      </c>
      <c r="C2399">
        <v>34</v>
      </c>
      <c r="D2399" s="1">
        <v>44025.479861111111</v>
      </c>
      <c r="E2399" t="s">
        <v>7546</v>
      </c>
      <c r="F2399" t="s">
        <v>273</v>
      </c>
      <c r="G2399" t="s">
        <v>7501</v>
      </c>
      <c r="H2399" t="s">
        <v>275</v>
      </c>
      <c r="I2399" t="s">
        <v>700</v>
      </c>
      <c r="J2399">
        <v>34</v>
      </c>
      <c r="K2399">
        <f>34-900-670-25</f>
        <v>-1561</v>
      </c>
      <c r="L2399" t="s">
        <v>7547</v>
      </c>
      <c r="M2399" t="s">
        <v>7548</v>
      </c>
      <c r="N2399" t="s">
        <v>278</v>
      </c>
      <c r="O2399" t="s">
        <v>28</v>
      </c>
      <c r="P2399" t="s">
        <v>29</v>
      </c>
      <c r="Q2399">
        <v>42</v>
      </c>
      <c r="R2399">
        <v>-93.620800000000003</v>
      </c>
    </row>
    <row r="2400" spans="1:18" x14ac:dyDescent="0.2">
      <c r="A2400" t="s">
        <v>270</v>
      </c>
      <c r="B2400" t="s">
        <v>271</v>
      </c>
      <c r="C2400">
        <v>34</v>
      </c>
      <c r="D2400" s="1">
        <v>44021.550254629627</v>
      </c>
      <c r="E2400" t="s">
        <v>7549</v>
      </c>
      <c r="F2400" t="s">
        <v>273</v>
      </c>
      <c r="G2400" t="s">
        <v>7501</v>
      </c>
      <c r="H2400" t="s">
        <v>275</v>
      </c>
      <c r="I2400" t="s">
        <v>700</v>
      </c>
      <c r="J2400">
        <v>34</v>
      </c>
      <c r="K2400">
        <f>34-900-670-25</f>
        <v>-1561</v>
      </c>
      <c r="L2400" t="s">
        <v>7550</v>
      </c>
      <c r="M2400" t="s">
        <v>7551</v>
      </c>
      <c r="N2400" t="s">
        <v>278</v>
      </c>
      <c r="O2400" t="s">
        <v>28</v>
      </c>
      <c r="P2400" t="s">
        <v>29</v>
      </c>
      <c r="Q2400">
        <v>42</v>
      </c>
      <c r="R2400">
        <v>-93.620800000000003</v>
      </c>
    </row>
    <row r="2401" spans="1:18" x14ac:dyDescent="0.2">
      <c r="A2401" t="s">
        <v>2349</v>
      </c>
      <c r="B2401" t="s">
        <v>6834</v>
      </c>
      <c r="C2401">
        <v>1</v>
      </c>
      <c r="D2401" s="1">
        <v>44021.716145833336</v>
      </c>
      <c r="E2401" t="s">
        <v>7552</v>
      </c>
      <c r="F2401" t="s">
        <v>2352</v>
      </c>
      <c r="G2401" t="s">
        <v>7553</v>
      </c>
      <c r="H2401" t="s">
        <v>2353</v>
      </c>
      <c r="I2401" t="s">
        <v>29</v>
      </c>
      <c r="J2401">
        <v>1</v>
      </c>
      <c r="K2401">
        <f>1-844-887-8188</f>
        <v>-9918</v>
      </c>
      <c r="L2401" t="s">
        <v>7554</v>
      </c>
      <c r="M2401" t="s">
        <v>7555</v>
      </c>
      <c r="N2401" t="s">
        <v>3454</v>
      </c>
      <c r="O2401" t="s">
        <v>28</v>
      </c>
      <c r="P2401" t="s">
        <v>29</v>
      </c>
      <c r="Q2401">
        <v>34</v>
      </c>
      <c r="R2401">
        <v>-99.999999000000003</v>
      </c>
    </row>
    <row r="2402" spans="1:18" x14ac:dyDescent="0.2">
      <c r="A2402" t="s">
        <v>663</v>
      </c>
      <c r="B2402" t="s">
        <v>3245</v>
      </c>
      <c r="C2402">
        <v>44</v>
      </c>
      <c r="D2402" s="1">
        <v>44021.73332175926</v>
      </c>
      <c r="E2402" t="s">
        <v>7556</v>
      </c>
      <c r="F2402" t="s">
        <v>666</v>
      </c>
      <c r="G2402" t="s">
        <v>7557</v>
      </c>
      <c r="H2402" t="s">
        <v>667</v>
      </c>
      <c r="I2402" t="s">
        <v>618</v>
      </c>
      <c r="J2402">
        <v>44</v>
      </c>
      <c r="K2402">
        <f>44-800-31-4241</f>
        <v>-5028</v>
      </c>
      <c r="L2402" t="s">
        <v>7558</v>
      </c>
      <c r="M2402" t="s">
        <v>7559</v>
      </c>
      <c r="N2402" t="s">
        <v>452</v>
      </c>
      <c r="O2402" t="s">
        <v>28</v>
      </c>
      <c r="P2402" t="s">
        <v>29</v>
      </c>
      <c r="Q2402">
        <v>41</v>
      </c>
      <c r="R2402">
        <v>-74.140299999999996</v>
      </c>
    </row>
    <row r="2403" spans="1:18" x14ac:dyDescent="0.2">
      <c r="A2403" t="s">
        <v>2233</v>
      </c>
      <c r="B2403" t="s">
        <v>2234</v>
      </c>
      <c r="C2403">
        <v>1</v>
      </c>
      <c r="D2403" s="1">
        <v>44279.880856481483</v>
      </c>
      <c r="E2403" t="s">
        <v>7560</v>
      </c>
      <c r="F2403" t="s">
        <v>2236</v>
      </c>
      <c r="G2403" t="s">
        <v>7561</v>
      </c>
      <c r="H2403" t="s">
        <v>2237</v>
      </c>
      <c r="I2403" t="s">
        <v>29</v>
      </c>
      <c r="J2403">
        <v>1</v>
      </c>
      <c r="K2403">
        <f>1-833-220-3945</f>
        <v>-4997</v>
      </c>
      <c r="L2403" t="s">
        <v>7562</v>
      </c>
      <c r="M2403" t="s">
        <v>7563</v>
      </c>
      <c r="N2403" t="s">
        <v>5354</v>
      </c>
      <c r="O2403" t="s">
        <v>28</v>
      </c>
      <c r="P2403" t="s">
        <v>29</v>
      </c>
      <c r="Q2403">
        <v>40</v>
      </c>
      <c r="R2403">
        <v>-83.114099999999993</v>
      </c>
    </row>
    <row r="2404" spans="1:18" x14ac:dyDescent="0.2">
      <c r="A2404" t="s">
        <v>2233</v>
      </c>
      <c r="B2404" t="s">
        <v>2234</v>
      </c>
      <c r="C2404">
        <v>1</v>
      </c>
      <c r="D2404" s="1">
        <v>44021.793356481481</v>
      </c>
      <c r="E2404" t="s">
        <v>7564</v>
      </c>
      <c r="F2404" t="s">
        <v>2236</v>
      </c>
      <c r="G2404" t="s">
        <v>7561</v>
      </c>
      <c r="H2404" t="s">
        <v>2237</v>
      </c>
      <c r="I2404" t="s">
        <v>29</v>
      </c>
      <c r="J2404">
        <v>1</v>
      </c>
      <c r="K2404">
        <f>1-855-608-1266</f>
        <v>-2728</v>
      </c>
      <c r="L2404" t="s">
        <v>7565</v>
      </c>
      <c r="M2404" t="s">
        <v>7566</v>
      </c>
      <c r="N2404" t="s">
        <v>6819</v>
      </c>
      <c r="O2404" t="s">
        <v>28</v>
      </c>
      <c r="P2404" t="s">
        <v>29</v>
      </c>
      <c r="Q2404">
        <v>40</v>
      </c>
      <c r="R2404">
        <v>-83.114099999999993</v>
      </c>
    </row>
    <row r="2405" spans="1:18" x14ac:dyDescent="0.2">
      <c r="A2405" t="s">
        <v>663</v>
      </c>
      <c r="B2405" t="s">
        <v>3245</v>
      </c>
      <c r="C2405">
        <v>1</v>
      </c>
      <c r="D2405" s="1">
        <v>44021.835138888891</v>
      </c>
      <c r="E2405" t="s">
        <v>7567</v>
      </c>
      <c r="F2405" t="s">
        <v>666</v>
      </c>
      <c r="G2405" t="s">
        <v>7568</v>
      </c>
      <c r="H2405" t="s">
        <v>667</v>
      </c>
      <c r="I2405" t="s">
        <v>29</v>
      </c>
      <c r="J2405">
        <v>1</v>
      </c>
      <c r="K2405">
        <f>1-855-785-43</f>
        <v>-1682</v>
      </c>
      <c r="L2405" t="s">
        <v>7569</v>
      </c>
      <c r="M2405" t="s">
        <v>7570</v>
      </c>
      <c r="N2405" t="s">
        <v>452</v>
      </c>
      <c r="O2405" t="s">
        <v>28</v>
      </c>
      <c r="P2405" t="s">
        <v>29</v>
      </c>
      <c r="Q2405">
        <v>41</v>
      </c>
      <c r="R2405">
        <v>-74.140299999999996</v>
      </c>
    </row>
    <row r="2406" spans="1:18" x14ac:dyDescent="0.2">
      <c r="A2406" t="s">
        <v>663</v>
      </c>
      <c r="B2406" t="s">
        <v>5337</v>
      </c>
      <c r="C2406">
        <v>1</v>
      </c>
      <c r="D2406" s="1">
        <v>44021.863356481481</v>
      </c>
      <c r="E2406" t="s">
        <v>7571</v>
      </c>
      <c r="F2406" t="s">
        <v>666</v>
      </c>
      <c r="G2406" t="s">
        <v>7572</v>
      </c>
      <c r="H2406" t="s">
        <v>667</v>
      </c>
      <c r="I2406" t="s">
        <v>29</v>
      </c>
      <c r="J2406">
        <v>1</v>
      </c>
      <c r="K2406">
        <f>1-866-475-904</f>
        <v>-2244</v>
      </c>
      <c r="L2406" t="s">
        <v>7573</v>
      </c>
      <c r="M2406" t="s">
        <v>7574</v>
      </c>
      <c r="N2406" t="s">
        <v>213</v>
      </c>
      <c r="O2406" t="s">
        <v>28</v>
      </c>
      <c r="P2406" t="s">
        <v>29</v>
      </c>
      <c r="Q2406">
        <v>38</v>
      </c>
      <c r="R2406">
        <v>-99.999999000000003</v>
      </c>
    </row>
    <row r="2407" spans="1:18" x14ac:dyDescent="0.2">
      <c r="A2407" t="s">
        <v>6287</v>
      </c>
      <c r="B2407" t="s">
        <v>7575</v>
      </c>
      <c r="C2407">
        <v>27</v>
      </c>
      <c r="D2407" s="1">
        <v>44022.634444444448</v>
      </c>
      <c r="E2407" t="s">
        <v>7576</v>
      </c>
      <c r="F2407" t="s">
        <v>6289</v>
      </c>
      <c r="G2407" t="s">
        <v>7577</v>
      </c>
      <c r="H2407" t="s">
        <v>466</v>
      </c>
      <c r="I2407" t="s">
        <v>6292</v>
      </c>
      <c r="J2407">
        <v>27</v>
      </c>
      <c r="K2407">
        <f>27-87-821-7995</f>
        <v>-8876</v>
      </c>
      <c r="L2407" t="s">
        <v>7578</v>
      </c>
      <c r="M2407" t="s">
        <v>7579</v>
      </c>
      <c r="N2407" t="s">
        <v>452</v>
      </c>
      <c r="O2407" t="s">
        <v>134</v>
      </c>
      <c r="P2407" t="s">
        <v>29</v>
      </c>
      <c r="Q2407">
        <v>30</v>
      </c>
      <c r="R2407">
        <v>-97.713800000000006</v>
      </c>
    </row>
    <row r="2408" spans="1:18" x14ac:dyDescent="0.2">
      <c r="A2408" t="s">
        <v>663</v>
      </c>
      <c r="B2408" t="s">
        <v>664</v>
      </c>
      <c r="C2408">
        <v>1</v>
      </c>
      <c r="D2408" s="1">
        <v>44022.77</v>
      </c>
      <c r="E2408" t="s">
        <v>7580</v>
      </c>
      <c r="F2408" t="s">
        <v>666</v>
      </c>
      <c r="G2408" t="s">
        <v>7580</v>
      </c>
      <c r="H2408" t="s">
        <v>667</v>
      </c>
      <c r="I2408" t="s">
        <v>29</v>
      </c>
      <c r="J2408">
        <v>1</v>
      </c>
      <c r="K2408">
        <f>1-888-525-5936</f>
        <v>-7348</v>
      </c>
      <c r="L2408" t="s">
        <v>7581</v>
      </c>
      <c r="M2408" t="s">
        <v>7582</v>
      </c>
      <c r="N2408">
        <v>126</v>
      </c>
      <c r="O2408" t="s">
        <v>134</v>
      </c>
      <c r="P2408" t="s">
        <v>29</v>
      </c>
      <c r="Q2408">
        <v>37</v>
      </c>
      <c r="R2408">
        <v>-99.999999000000003</v>
      </c>
    </row>
    <row r="2409" spans="1:18" x14ac:dyDescent="0.2">
      <c r="A2409" t="s">
        <v>439</v>
      </c>
      <c r="B2409" t="s">
        <v>3094</v>
      </c>
      <c r="C2409">
        <v>1</v>
      </c>
      <c r="D2409" s="1">
        <v>44082.858472222222</v>
      </c>
      <c r="E2409" t="s">
        <v>7583</v>
      </c>
      <c r="F2409" t="s">
        <v>442</v>
      </c>
      <c r="G2409" t="s">
        <v>7584</v>
      </c>
      <c r="H2409" t="s">
        <v>444</v>
      </c>
      <c r="I2409" t="s">
        <v>29</v>
      </c>
      <c r="J2409">
        <v>1</v>
      </c>
      <c r="K2409">
        <f>1-845-521-7845</f>
        <v>-9210</v>
      </c>
      <c r="L2409" t="s">
        <v>7585</v>
      </c>
      <c r="M2409" t="s">
        <v>7586</v>
      </c>
      <c r="N2409" t="s">
        <v>5354</v>
      </c>
      <c r="O2409" t="s">
        <v>134</v>
      </c>
      <c r="P2409" t="s">
        <v>2268</v>
      </c>
      <c r="Q2409">
        <v>46</v>
      </c>
      <c r="R2409">
        <v>-73.567300000000003</v>
      </c>
    </row>
    <row r="2410" spans="1:18" x14ac:dyDescent="0.2">
      <c r="A2410" t="s">
        <v>439</v>
      </c>
      <c r="B2410" t="s">
        <v>3094</v>
      </c>
      <c r="C2410">
        <v>1</v>
      </c>
      <c r="D2410" s="1">
        <v>44070.863043981481</v>
      </c>
      <c r="E2410" t="s">
        <v>7587</v>
      </c>
      <c r="F2410" t="s">
        <v>442</v>
      </c>
      <c r="G2410" t="s">
        <v>7584</v>
      </c>
      <c r="H2410" t="s">
        <v>444</v>
      </c>
      <c r="I2410" t="s">
        <v>29</v>
      </c>
      <c r="J2410">
        <v>1</v>
      </c>
      <c r="K2410">
        <f>1-425-318-1036</f>
        <v>-1778</v>
      </c>
      <c r="L2410" t="s">
        <v>7588</v>
      </c>
      <c r="M2410" t="s">
        <v>7589</v>
      </c>
      <c r="N2410" t="s">
        <v>5354</v>
      </c>
      <c r="O2410" t="s">
        <v>28</v>
      </c>
      <c r="P2410" t="s">
        <v>2268</v>
      </c>
      <c r="Q2410">
        <v>46</v>
      </c>
      <c r="R2410">
        <v>-73.567300000000003</v>
      </c>
    </row>
    <row r="2411" spans="1:18" x14ac:dyDescent="0.2">
      <c r="A2411" t="s">
        <v>439</v>
      </c>
      <c r="B2411" t="s">
        <v>440</v>
      </c>
      <c r="C2411">
        <v>1</v>
      </c>
      <c r="D2411" s="1">
        <v>44040.718217592592</v>
      </c>
      <c r="E2411" t="s">
        <v>7590</v>
      </c>
      <c r="F2411" t="s">
        <v>442</v>
      </c>
      <c r="G2411" t="s">
        <v>7584</v>
      </c>
      <c r="H2411" t="s">
        <v>444</v>
      </c>
      <c r="I2411" t="s">
        <v>29</v>
      </c>
      <c r="J2411">
        <v>1</v>
      </c>
      <c r="K2411">
        <f>1-425-318-1036</f>
        <v>-1778</v>
      </c>
      <c r="L2411" t="s">
        <v>7591</v>
      </c>
      <c r="M2411" t="s">
        <v>7592</v>
      </c>
      <c r="N2411" t="s">
        <v>5354</v>
      </c>
      <c r="O2411" t="s">
        <v>28</v>
      </c>
      <c r="P2411" t="s">
        <v>29</v>
      </c>
      <c r="Q2411">
        <v>39</v>
      </c>
      <c r="R2411">
        <v>-77.487399999999994</v>
      </c>
    </row>
    <row r="2412" spans="1:18" x14ac:dyDescent="0.2">
      <c r="A2412" t="s">
        <v>439</v>
      </c>
      <c r="B2412" t="s">
        <v>440</v>
      </c>
      <c r="C2412">
        <v>1</v>
      </c>
      <c r="D2412" s="1">
        <v>44039.775706018518</v>
      </c>
      <c r="E2412" t="s">
        <v>7593</v>
      </c>
      <c r="F2412" t="s">
        <v>442</v>
      </c>
      <c r="G2412" t="s">
        <v>7584</v>
      </c>
      <c r="H2412" t="s">
        <v>444</v>
      </c>
      <c r="I2412" t="s">
        <v>29</v>
      </c>
      <c r="J2412">
        <v>1</v>
      </c>
      <c r="K2412">
        <f>1-866-892-1055</f>
        <v>-2812</v>
      </c>
      <c r="L2412" t="s">
        <v>7594</v>
      </c>
      <c r="M2412" t="s">
        <v>7595</v>
      </c>
      <c r="N2412" t="s">
        <v>5354</v>
      </c>
      <c r="O2412" t="s">
        <v>134</v>
      </c>
      <c r="P2412" t="s">
        <v>29</v>
      </c>
      <c r="Q2412">
        <v>39</v>
      </c>
      <c r="R2412">
        <v>-77.487399999999994</v>
      </c>
    </row>
    <row r="2413" spans="1:18" x14ac:dyDescent="0.2">
      <c r="A2413" t="s">
        <v>439</v>
      </c>
      <c r="B2413" t="s">
        <v>440</v>
      </c>
      <c r="C2413">
        <v>1</v>
      </c>
      <c r="D2413" s="1">
        <v>44039.761562500003</v>
      </c>
      <c r="E2413" t="s">
        <v>7596</v>
      </c>
      <c r="F2413" t="s">
        <v>442</v>
      </c>
      <c r="G2413" t="s">
        <v>7584</v>
      </c>
      <c r="H2413" t="s">
        <v>444</v>
      </c>
      <c r="I2413" t="s">
        <v>29</v>
      </c>
      <c r="J2413">
        <v>1</v>
      </c>
      <c r="K2413">
        <f>1-858-386-7377</f>
        <v>-8620</v>
      </c>
      <c r="L2413" t="s">
        <v>7597</v>
      </c>
      <c r="M2413" t="s">
        <v>7598</v>
      </c>
      <c r="N2413" t="s">
        <v>5354</v>
      </c>
      <c r="O2413" t="s">
        <v>28</v>
      </c>
      <c r="P2413" t="s">
        <v>29</v>
      </c>
      <c r="Q2413">
        <v>39</v>
      </c>
      <c r="R2413">
        <v>-77.487399999999994</v>
      </c>
    </row>
    <row r="2414" spans="1:18" x14ac:dyDescent="0.2">
      <c r="A2414" t="s">
        <v>439</v>
      </c>
      <c r="B2414" t="s">
        <v>440</v>
      </c>
      <c r="C2414">
        <v>1</v>
      </c>
      <c r="D2414" s="1">
        <v>44039.761458333334</v>
      </c>
      <c r="E2414" t="s">
        <v>7599</v>
      </c>
      <c r="F2414" t="s">
        <v>442</v>
      </c>
      <c r="G2414" t="s">
        <v>7584</v>
      </c>
      <c r="H2414" t="s">
        <v>444</v>
      </c>
      <c r="I2414" t="s">
        <v>29</v>
      </c>
      <c r="J2414">
        <v>1</v>
      </c>
      <c r="K2414">
        <f>1-866-301-170</f>
        <v>-1336</v>
      </c>
      <c r="L2414" t="s">
        <v>7600</v>
      </c>
      <c r="M2414" t="s">
        <v>7601</v>
      </c>
      <c r="N2414" t="s">
        <v>5354</v>
      </c>
      <c r="O2414" t="s">
        <v>28</v>
      </c>
      <c r="P2414" t="s">
        <v>29</v>
      </c>
      <c r="Q2414">
        <v>39</v>
      </c>
      <c r="R2414">
        <v>-77.487399999999994</v>
      </c>
    </row>
    <row r="2415" spans="1:18" x14ac:dyDescent="0.2">
      <c r="A2415" t="s">
        <v>439</v>
      </c>
      <c r="B2415" t="s">
        <v>440</v>
      </c>
      <c r="C2415">
        <v>1</v>
      </c>
      <c r="D2415" s="1">
        <v>44036.781053240738</v>
      </c>
      <c r="E2415" t="s">
        <v>7602</v>
      </c>
      <c r="F2415" t="s">
        <v>442</v>
      </c>
      <c r="G2415" t="s">
        <v>7584</v>
      </c>
      <c r="H2415" t="s">
        <v>444</v>
      </c>
      <c r="I2415" t="s">
        <v>29</v>
      </c>
      <c r="J2415">
        <v>1</v>
      </c>
      <c r="K2415">
        <f>1-929-444-7059</f>
        <v>-8431</v>
      </c>
      <c r="L2415" t="s">
        <v>7603</v>
      </c>
      <c r="M2415" t="s">
        <v>7604</v>
      </c>
      <c r="N2415" t="s">
        <v>5354</v>
      </c>
      <c r="O2415" t="s">
        <v>134</v>
      </c>
      <c r="P2415" t="s">
        <v>29</v>
      </c>
      <c r="Q2415">
        <v>39</v>
      </c>
      <c r="R2415">
        <v>-77.487399999999994</v>
      </c>
    </row>
    <row r="2416" spans="1:18" x14ac:dyDescent="0.2">
      <c r="A2416" t="s">
        <v>439</v>
      </c>
      <c r="B2416" t="s">
        <v>440</v>
      </c>
      <c r="C2416">
        <v>1</v>
      </c>
      <c r="D2416" s="1">
        <v>44033.825300925928</v>
      </c>
      <c r="E2416" t="s">
        <v>7605</v>
      </c>
      <c r="F2416" t="s">
        <v>442</v>
      </c>
      <c r="G2416" t="s">
        <v>7584</v>
      </c>
      <c r="H2416" t="s">
        <v>444</v>
      </c>
      <c r="I2416" t="s">
        <v>29</v>
      </c>
      <c r="J2416">
        <v>1</v>
      </c>
      <c r="K2416">
        <f>1-206-809-503</f>
        <v>-1517</v>
      </c>
      <c r="L2416" t="s">
        <v>7606</v>
      </c>
      <c r="M2416" t="s">
        <v>7607</v>
      </c>
      <c r="N2416" t="s">
        <v>5354</v>
      </c>
      <c r="O2416" t="s">
        <v>28</v>
      </c>
      <c r="P2416" t="s">
        <v>29</v>
      </c>
      <c r="Q2416">
        <v>39</v>
      </c>
      <c r="R2416">
        <v>-77.487399999999994</v>
      </c>
    </row>
    <row r="2417" spans="1:18" x14ac:dyDescent="0.2">
      <c r="A2417" t="s">
        <v>439</v>
      </c>
      <c r="B2417" t="s">
        <v>440</v>
      </c>
      <c r="C2417">
        <v>1</v>
      </c>
      <c r="D2417" s="1">
        <v>44026.869409722225</v>
      </c>
      <c r="E2417" t="s">
        <v>7608</v>
      </c>
      <c r="F2417" t="s">
        <v>442</v>
      </c>
      <c r="G2417" t="s">
        <v>7584</v>
      </c>
      <c r="H2417" t="s">
        <v>444</v>
      </c>
      <c r="I2417" t="s">
        <v>29</v>
      </c>
      <c r="J2417">
        <v>1</v>
      </c>
      <c r="K2417">
        <f>1-425-409-3172</f>
        <v>-4005</v>
      </c>
      <c r="L2417" t="s">
        <v>7609</v>
      </c>
      <c r="M2417" t="s">
        <v>7610</v>
      </c>
      <c r="N2417" t="s">
        <v>5354</v>
      </c>
      <c r="O2417" t="s">
        <v>28</v>
      </c>
      <c r="P2417" t="s">
        <v>29</v>
      </c>
      <c r="Q2417">
        <v>39</v>
      </c>
      <c r="R2417">
        <v>-77.487399999999994</v>
      </c>
    </row>
    <row r="2418" spans="1:18" x14ac:dyDescent="0.2">
      <c r="A2418" t="s">
        <v>439</v>
      </c>
      <c r="B2418" t="s">
        <v>440</v>
      </c>
      <c r="C2418">
        <v>1</v>
      </c>
      <c r="D2418" s="1">
        <v>44025.755879629629</v>
      </c>
      <c r="E2418" t="s">
        <v>7611</v>
      </c>
      <c r="F2418" t="s">
        <v>442</v>
      </c>
      <c r="G2418" t="s">
        <v>7584</v>
      </c>
      <c r="H2418" t="s">
        <v>444</v>
      </c>
      <c r="I2418" t="s">
        <v>29</v>
      </c>
      <c r="J2418">
        <v>1</v>
      </c>
      <c r="K2418">
        <f>1-206-809-1331</f>
        <v>-2345</v>
      </c>
      <c r="L2418" t="s">
        <v>7612</v>
      </c>
      <c r="M2418" t="s">
        <v>7613</v>
      </c>
      <c r="N2418" t="s">
        <v>5354</v>
      </c>
      <c r="O2418" t="s">
        <v>28</v>
      </c>
      <c r="P2418" t="s">
        <v>29</v>
      </c>
      <c r="Q2418">
        <v>39</v>
      </c>
      <c r="R2418">
        <v>-77.487399999999994</v>
      </c>
    </row>
    <row r="2419" spans="1:18" x14ac:dyDescent="0.2">
      <c r="A2419" t="s">
        <v>439</v>
      </c>
      <c r="B2419" t="s">
        <v>440</v>
      </c>
      <c r="C2419">
        <v>1</v>
      </c>
      <c r="D2419" s="1">
        <v>44022.776967592596</v>
      </c>
      <c r="E2419" t="s">
        <v>7614</v>
      </c>
      <c r="F2419" t="s">
        <v>442</v>
      </c>
      <c r="G2419" t="s">
        <v>7584</v>
      </c>
      <c r="H2419" t="s">
        <v>444</v>
      </c>
      <c r="I2419" t="s">
        <v>29</v>
      </c>
      <c r="J2419">
        <v>1</v>
      </c>
      <c r="K2419">
        <f>1-206-809-1331</f>
        <v>-2345</v>
      </c>
      <c r="L2419" t="s">
        <v>7615</v>
      </c>
      <c r="M2419" t="s">
        <v>7616</v>
      </c>
      <c r="N2419" t="s">
        <v>5354</v>
      </c>
      <c r="O2419" t="s">
        <v>28</v>
      </c>
      <c r="P2419" t="s">
        <v>29</v>
      </c>
      <c r="Q2419">
        <v>39</v>
      </c>
      <c r="R2419">
        <v>-77.487399999999994</v>
      </c>
    </row>
    <row r="2420" spans="1:18" x14ac:dyDescent="0.2">
      <c r="A2420" t="s">
        <v>6912</v>
      </c>
      <c r="B2420" t="s">
        <v>6913</v>
      </c>
      <c r="C2420">
        <v>1</v>
      </c>
      <c r="D2420" s="1">
        <v>44022.868460648147</v>
      </c>
      <c r="E2420" t="s">
        <v>7617</v>
      </c>
      <c r="F2420" t="s">
        <v>6663</v>
      </c>
      <c r="G2420" t="s">
        <v>7618</v>
      </c>
      <c r="H2420" t="s">
        <v>6665</v>
      </c>
      <c r="I2420" t="s">
        <v>29</v>
      </c>
      <c r="J2420">
        <v>1</v>
      </c>
      <c r="K2420">
        <f>1-866-444-827</f>
        <v>-2136</v>
      </c>
      <c r="L2420" t="s">
        <v>7619</v>
      </c>
      <c r="M2420" t="s">
        <v>7620</v>
      </c>
      <c r="N2420" t="s">
        <v>5354</v>
      </c>
      <c r="O2420" t="s">
        <v>28</v>
      </c>
      <c r="P2420" t="s">
        <v>29</v>
      </c>
      <c r="Q2420">
        <v>35</v>
      </c>
      <c r="R2420">
        <v>-80.843100000000007</v>
      </c>
    </row>
    <row r="2421" spans="1:18" x14ac:dyDescent="0.2">
      <c r="A2421" t="s">
        <v>663</v>
      </c>
      <c r="B2421" t="s">
        <v>664</v>
      </c>
      <c r="C2421">
        <v>1</v>
      </c>
      <c r="D2421" s="1">
        <v>44023.878344907411</v>
      </c>
      <c r="E2421" t="s">
        <v>7621</v>
      </c>
      <c r="F2421" t="s">
        <v>666</v>
      </c>
      <c r="G2421" t="s">
        <v>7621</v>
      </c>
      <c r="H2421" t="s">
        <v>667</v>
      </c>
      <c r="I2421" t="s">
        <v>29</v>
      </c>
      <c r="J2421">
        <v>1</v>
      </c>
      <c r="K2421">
        <f>1-888-524-753</f>
        <v>-2164</v>
      </c>
      <c r="L2421" t="s">
        <v>7622</v>
      </c>
      <c r="M2421" t="s">
        <v>7623</v>
      </c>
      <c r="N2421">
        <v>108</v>
      </c>
      <c r="O2421" t="s">
        <v>134</v>
      </c>
      <c r="P2421" t="s">
        <v>29</v>
      </c>
      <c r="Q2421">
        <v>37</v>
      </c>
      <c r="R2421">
        <v>-99.999999000000003</v>
      </c>
    </row>
    <row r="2422" spans="1:18" x14ac:dyDescent="0.2">
      <c r="A2422" t="s">
        <v>5349</v>
      </c>
      <c r="B2422" t="s">
        <v>440</v>
      </c>
      <c r="C2422">
        <v>1</v>
      </c>
      <c r="D2422" s="1">
        <v>44024.761979166666</v>
      </c>
      <c r="E2422" t="s">
        <v>7624</v>
      </c>
      <c r="F2422" t="s">
        <v>2236</v>
      </c>
      <c r="G2422" t="s">
        <v>7625</v>
      </c>
      <c r="H2422" t="s">
        <v>2237</v>
      </c>
      <c r="I2422" t="s">
        <v>29</v>
      </c>
      <c r="J2422">
        <v>1</v>
      </c>
      <c r="K2422">
        <f>1-866-265-5456</f>
        <v>-6586</v>
      </c>
      <c r="L2422" t="s">
        <v>7626</v>
      </c>
      <c r="M2422" t="s">
        <v>7627</v>
      </c>
      <c r="N2422" t="s">
        <v>5354</v>
      </c>
      <c r="O2422" t="s">
        <v>134</v>
      </c>
      <c r="P2422" t="s">
        <v>29</v>
      </c>
      <c r="Q2422">
        <v>39</v>
      </c>
      <c r="R2422">
        <v>-77.487399999999994</v>
      </c>
    </row>
    <row r="2423" spans="1:18" x14ac:dyDescent="0.2">
      <c r="A2423" t="s">
        <v>663</v>
      </c>
      <c r="B2423" t="s">
        <v>664</v>
      </c>
      <c r="C2423">
        <v>1</v>
      </c>
      <c r="D2423" s="1">
        <v>44024.874201388891</v>
      </c>
      <c r="E2423" t="s">
        <v>7628</v>
      </c>
      <c r="F2423" t="s">
        <v>666</v>
      </c>
      <c r="G2423" t="s">
        <v>7628</v>
      </c>
      <c r="H2423" t="s">
        <v>667</v>
      </c>
      <c r="I2423" t="s">
        <v>29</v>
      </c>
      <c r="J2423">
        <v>1</v>
      </c>
      <c r="K2423">
        <f>1-888-529-6231</f>
        <v>-7647</v>
      </c>
      <c r="L2423" t="s">
        <v>7629</v>
      </c>
      <c r="M2423" t="s">
        <v>7630</v>
      </c>
      <c r="N2423">
        <v>154</v>
      </c>
      <c r="O2423" t="s">
        <v>134</v>
      </c>
      <c r="P2423" t="s">
        <v>29</v>
      </c>
      <c r="Q2423">
        <v>37</v>
      </c>
      <c r="R2423">
        <v>-99.999999000000003</v>
      </c>
    </row>
    <row r="2424" spans="1:18" x14ac:dyDescent="0.2">
      <c r="A2424" t="s">
        <v>663</v>
      </c>
      <c r="B2424" t="s">
        <v>664</v>
      </c>
      <c r="C2424">
        <v>1</v>
      </c>
      <c r="D2424" s="1">
        <v>44024.841562499998</v>
      </c>
      <c r="E2424" t="s">
        <v>7631</v>
      </c>
      <c r="F2424" t="s">
        <v>666</v>
      </c>
      <c r="G2424" t="s">
        <v>7631</v>
      </c>
      <c r="H2424" t="s">
        <v>667</v>
      </c>
      <c r="I2424" t="s">
        <v>29</v>
      </c>
      <c r="J2424">
        <v>1</v>
      </c>
      <c r="K2424">
        <f>1-888-526-1029</f>
        <v>-2442</v>
      </c>
      <c r="L2424" t="s">
        <v>7632</v>
      </c>
      <c r="M2424" t="s">
        <v>7633</v>
      </c>
      <c r="N2424">
        <v>129</v>
      </c>
      <c r="O2424" t="s">
        <v>134</v>
      </c>
      <c r="P2424" t="s">
        <v>29</v>
      </c>
      <c r="Q2424">
        <v>37</v>
      </c>
      <c r="R2424">
        <v>-99.999999000000003</v>
      </c>
    </row>
    <row r="2425" spans="1:18" x14ac:dyDescent="0.2">
      <c r="A2425" t="s">
        <v>663</v>
      </c>
      <c r="B2425" t="s">
        <v>3245</v>
      </c>
      <c r="C2425">
        <v>1</v>
      </c>
      <c r="D2425" s="1">
        <v>44042.982974537037</v>
      </c>
      <c r="E2425" t="s">
        <v>7634</v>
      </c>
      <c r="F2425" t="s">
        <v>666</v>
      </c>
      <c r="G2425" t="s">
        <v>7635</v>
      </c>
      <c r="H2425" t="s">
        <v>667</v>
      </c>
      <c r="I2425" t="s">
        <v>29</v>
      </c>
      <c r="J2425">
        <v>1</v>
      </c>
      <c r="K2425">
        <f t="shared" ref="K2425:K2431" si="19">1-855-619-255</f>
        <v>-1728</v>
      </c>
      <c r="L2425" t="s">
        <v>7636</v>
      </c>
      <c r="M2425" t="s">
        <v>7637</v>
      </c>
      <c r="N2425" t="s">
        <v>674</v>
      </c>
      <c r="O2425" t="s">
        <v>28</v>
      </c>
      <c r="P2425" t="s">
        <v>29</v>
      </c>
      <c r="Q2425">
        <v>41</v>
      </c>
      <c r="R2425">
        <v>-74.140299999999996</v>
      </c>
    </row>
    <row r="2426" spans="1:18" x14ac:dyDescent="0.2">
      <c r="A2426" t="s">
        <v>663</v>
      </c>
      <c r="B2426" t="s">
        <v>3245</v>
      </c>
      <c r="C2426">
        <v>1</v>
      </c>
      <c r="D2426" s="1">
        <v>44042.982893518521</v>
      </c>
      <c r="E2426" t="s">
        <v>7638</v>
      </c>
      <c r="F2426" t="s">
        <v>666</v>
      </c>
      <c r="G2426" t="s">
        <v>7635</v>
      </c>
      <c r="H2426" t="s">
        <v>667</v>
      </c>
      <c r="I2426" t="s">
        <v>29</v>
      </c>
      <c r="J2426">
        <v>1</v>
      </c>
      <c r="K2426">
        <f t="shared" si="19"/>
        <v>-1728</v>
      </c>
      <c r="L2426" t="s">
        <v>7639</v>
      </c>
      <c r="M2426" t="s">
        <v>7640</v>
      </c>
      <c r="N2426" t="s">
        <v>447</v>
      </c>
      <c r="O2426" t="s">
        <v>28</v>
      </c>
      <c r="P2426" t="s">
        <v>29</v>
      </c>
      <c r="Q2426">
        <v>41</v>
      </c>
      <c r="R2426">
        <v>-74.140299999999996</v>
      </c>
    </row>
    <row r="2427" spans="1:18" x14ac:dyDescent="0.2">
      <c r="A2427" t="s">
        <v>663</v>
      </c>
      <c r="B2427" t="s">
        <v>3245</v>
      </c>
      <c r="C2427">
        <v>1</v>
      </c>
      <c r="D2427" s="1">
        <v>44043.248159722221</v>
      </c>
      <c r="E2427" t="s">
        <v>7641</v>
      </c>
      <c r="F2427" t="s">
        <v>666</v>
      </c>
      <c r="G2427" t="s">
        <v>7635</v>
      </c>
      <c r="H2427" t="s">
        <v>667</v>
      </c>
      <c r="I2427" t="s">
        <v>29</v>
      </c>
      <c r="J2427">
        <v>1</v>
      </c>
      <c r="K2427">
        <f t="shared" si="19"/>
        <v>-1728</v>
      </c>
      <c r="L2427" t="s">
        <v>7642</v>
      </c>
      <c r="M2427" t="s">
        <v>7643</v>
      </c>
      <c r="N2427" t="s">
        <v>3441</v>
      </c>
      <c r="O2427" t="s">
        <v>28</v>
      </c>
      <c r="P2427" t="s">
        <v>29</v>
      </c>
      <c r="Q2427">
        <v>41</v>
      </c>
      <c r="R2427">
        <v>-74.140299999999996</v>
      </c>
    </row>
    <row r="2428" spans="1:18" x14ac:dyDescent="0.2">
      <c r="A2428" t="s">
        <v>663</v>
      </c>
      <c r="B2428" t="s">
        <v>3245</v>
      </c>
      <c r="C2428">
        <v>1</v>
      </c>
      <c r="D2428" s="1">
        <v>44042.892164351855</v>
      </c>
      <c r="E2428" t="s">
        <v>7644</v>
      </c>
      <c r="F2428" t="s">
        <v>666</v>
      </c>
      <c r="G2428" t="s">
        <v>7635</v>
      </c>
      <c r="H2428" t="s">
        <v>667</v>
      </c>
      <c r="I2428" t="s">
        <v>29</v>
      </c>
      <c r="J2428">
        <v>1</v>
      </c>
      <c r="K2428">
        <f t="shared" si="19"/>
        <v>-1728</v>
      </c>
      <c r="L2428" t="s">
        <v>7645</v>
      </c>
      <c r="M2428" t="s">
        <v>7646</v>
      </c>
      <c r="N2428" t="s">
        <v>213</v>
      </c>
      <c r="O2428" t="s">
        <v>28</v>
      </c>
      <c r="P2428" t="s">
        <v>29</v>
      </c>
      <c r="Q2428">
        <v>41</v>
      </c>
      <c r="R2428">
        <v>-74.140299999999996</v>
      </c>
    </row>
    <row r="2429" spans="1:18" x14ac:dyDescent="0.2">
      <c r="A2429" t="s">
        <v>663</v>
      </c>
      <c r="B2429" t="s">
        <v>3245</v>
      </c>
      <c r="C2429">
        <v>1</v>
      </c>
      <c r="D2429" s="1">
        <v>44042.982233796298</v>
      </c>
      <c r="E2429" t="s">
        <v>7647</v>
      </c>
      <c r="F2429" t="s">
        <v>666</v>
      </c>
      <c r="G2429" t="s">
        <v>7635</v>
      </c>
      <c r="H2429" t="s">
        <v>667</v>
      </c>
      <c r="I2429" t="s">
        <v>29</v>
      </c>
      <c r="J2429">
        <v>1</v>
      </c>
      <c r="K2429">
        <f t="shared" si="19"/>
        <v>-1728</v>
      </c>
      <c r="L2429" t="s">
        <v>7648</v>
      </c>
      <c r="M2429" t="s">
        <v>7649</v>
      </c>
      <c r="N2429" t="s">
        <v>447</v>
      </c>
      <c r="O2429" t="s">
        <v>28</v>
      </c>
      <c r="P2429" t="s">
        <v>29</v>
      </c>
      <c r="Q2429">
        <v>41</v>
      </c>
      <c r="R2429">
        <v>-74.140299999999996</v>
      </c>
    </row>
    <row r="2430" spans="1:18" x14ac:dyDescent="0.2">
      <c r="A2430" t="s">
        <v>663</v>
      </c>
      <c r="B2430" t="s">
        <v>3245</v>
      </c>
      <c r="C2430">
        <v>1</v>
      </c>
      <c r="D2430" s="1">
        <v>44042.982361111113</v>
      </c>
      <c r="E2430" t="s">
        <v>7650</v>
      </c>
      <c r="F2430" t="s">
        <v>666</v>
      </c>
      <c r="G2430" t="s">
        <v>7635</v>
      </c>
      <c r="H2430" t="s">
        <v>667</v>
      </c>
      <c r="I2430" t="s">
        <v>29</v>
      </c>
      <c r="J2430">
        <v>1</v>
      </c>
      <c r="K2430">
        <f t="shared" si="19"/>
        <v>-1728</v>
      </c>
      <c r="L2430" t="s">
        <v>7651</v>
      </c>
      <c r="M2430" t="s">
        <v>7652</v>
      </c>
      <c r="N2430" t="s">
        <v>674</v>
      </c>
      <c r="O2430" t="s">
        <v>28</v>
      </c>
      <c r="P2430" t="s">
        <v>29</v>
      </c>
      <c r="Q2430">
        <v>41</v>
      </c>
      <c r="R2430">
        <v>-74.140299999999996</v>
      </c>
    </row>
    <row r="2431" spans="1:18" x14ac:dyDescent="0.2">
      <c r="A2431" t="s">
        <v>663</v>
      </c>
      <c r="B2431" t="s">
        <v>3245</v>
      </c>
      <c r="C2431">
        <v>1</v>
      </c>
      <c r="D2431" s="1">
        <v>44042.982523148145</v>
      </c>
      <c r="E2431" t="s">
        <v>7653</v>
      </c>
      <c r="F2431" t="s">
        <v>666</v>
      </c>
      <c r="G2431" t="s">
        <v>7635</v>
      </c>
      <c r="H2431" t="s">
        <v>667</v>
      </c>
      <c r="I2431" t="s">
        <v>29</v>
      </c>
      <c r="J2431">
        <v>1</v>
      </c>
      <c r="K2431">
        <f t="shared" si="19"/>
        <v>-1728</v>
      </c>
      <c r="L2431" t="s">
        <v>7654</v>
      </c>
      <c r="M2431" t="s">
        <v>7655</v>
      </c>
      <c r="N2431" t="s">
        <v>3441</v>
      </c>
      <c r="O2431" t="s">
        <v>28</v>
      </c>
      <c r="P2431" t="s">
        <v>29</v>
      </c>
      <c r="Q2431">
        <v>41</v>
      </c>
      <c r="R2431">
        <v>-74.140299999999996</v>
      </c>
    </row>
    <row r="2432" spans="1:18" x14ac:dyDescent="0.2">
      <c r="A2432" t="s">
        <v>663</v>
      </c>
      <c r="B2432" t="s">
        <v>3245</v>
      </c>
      <c r="C2432">
        <v>1</v>
      </c>
      <c r="D2432" s="1">
        <v>44041.767164351855</v>
      </c>
      <c r="E2432" t="s">
        <v>7656</v>
      </c>
      <c r="F2432" t="s">
        <v>666</v>
      </c>
      <c r="G2432" t="s">
        <v>7635</v>
      </c>
      <c r="H2432" t="s">
        <v>667</v>
      </c>
      <c r="I2432" t="s">
        <v>29</v>
      </c>
      <c r="J2432">
        <v>1</v>
      </c>
      <c r="K2432">
        <f>1-855-719-930</f>
        <v>-2503</v>
      </c>
      <c r="L2432" t="s">
        <v>7657</v>
      </c>
      <c r="M2432" t="s">
        <v>7658</v>
      </c>
      <c r="N2432" t="s">
        <v>674</v>
      </c>
      <c r="O2432" t="s">
        <v>28</v>
      </c>
      <c r="P2432" t="s">
        <v>29</v>
      </c>
      <c r="Q2432">
        <v>41</v>
      </c>
      <c r="R2432">
        <v>-74.140299999999996</v>
      </c>
    </row>
    <row r="2433" spans="1:18" x14ac:dyDescent="0.2">
      <c r="A2433" t="s">
        <v>663</v>
      </c>
      <c r="B2433" t="s">
        <v>3245</v>
      </c>
      <c r="C2433">
        <v>1</v>
      </c>
      <c r="D2433" s="1">
        <v>44027.01357638889</v>
      </c>
      <c r="E2433" t="s">
        <v>7659</v>
      </c>
      <c r="F2433" t="s">
        <v>666</v>
      </c>
      <c r="G2433" t="s">
        <v>7635</v>
      </c>
      <c r="H2433" t="s">
        <v>667</v>
      </c>
      <c r="I2433" t="s">
        <v>29</v>
      </c>
      <c r="J2433">
        <v>1</v>
      </c>
      <c r="K2433">
        <f>1-855-734-90</f>
        <v>-1678</v>
      </c>
      <c r="L2433" t="s">
        <v>7660</v>
      </c>
      <c r="M2433" t="s">
        <v>7661</v>
      </c>
      <c r="N2433" t="s">
        <v>213</v>
      </c>
      <c r="O2433" t="s">
        <v>28</v>
      </c>
      <c r="P2433" t="s">
        <v>29</v>
      </c>
      <c r="Q2433">
        <v>41</v>
      </c>
      <c r="R2433">
        <v>-74.140299999999996</v>
      </c>
    </row>
    <row r="2434" spans="1:18" x14ac:dyDescent="0.2">
      <c r="A2434" t="s">
        <v>663</v>
      </c>
      <c r="B2434" t="s">
        <v>3245</v>
      </c>
      <c r="C2434">
        <v>1</v>
      </c>
      <c r="D2434" s="1">
        <v>44025.862222222226</v>
      </c>
      <c r="E2434" t="s">
        <v>7662</v>
      </c>
      <c r="F2434" t="s">
        <v>666</v>
      </c>
      <c r="G2434" t="s">
        <v>7635</v>
      </c>
      <c r="H2434" t="s">
        <v>667</v>
      </c>
      <c r="I2434" t="s">
        <v>29</v>
      </c>
      <c r="J2434">
        <v>1</v>
      </c>
      <c r="K2434">
        <f>1-800-916-5651</f>
        <v>-7366</v>
      </c>
      <c r="L2434" t="s">
        <v>7663</v>
      </c>
      <c r="M2434" t="s">
        <v>7664</v>
      </c>
      <c r="N2434" t="s">
        <v>447</v>
      </c>
      <c r="O2434" t="s">
        <v>28</v>
      </c>
      <c r="P2434" t="s">
        <v>29</v>
      </c>
      <c r="Q2434">
        <v>41</v>
      </c>
      <c r="R2434">
        <v>-74.140299999999996</v>
      </c>
    </row>
    <row r="2435" spans="1:18" x14ac:dyDescent="0.2">
      <c r="A2435" t="s">
        <v>3420</v>
      </c>
      <c r="B2435" t="s">
        <v>6921</v>
      </c>
      <c r="C2435">
        <v>49</v>
      </c>
      <c r="D2435" s="1">
        <v>44025.448240740741</v>
      </c>
      <c r="E2435" t="s">
        <v>7665</v>
      </c>
      <c r="F2435" t="s">
        <v>3422</v>
      </c>
      <c r="G2435" t="s">
        <v>7665</v>
      </c>
      <c r="H2435" t="s">
        <v>3423</v>
      </c>
      <c r="I2435" t="s">
        <v>24</v>
      </c>
      <c r="J2435">
        <v>49</v>
      </c>
      <c r="K2435">
        <f>49-800-182-6614</f>
        <v>-7547</v>
      </c>
      <c r="L2435" t="s">
        <v>7666</v>
      </c>
      <c r="M2435" t="s">
        <v>7667</v>
      </c>
      <c r="N2435">
        <v>221</v>
      </c>
      <c r="O2435" t="s">
        <v>134</v>
      </c>
      <c r="P2435" t="s">
        <v>29</v>
      </c>
      <c r="Q2435">
        <v>41</v>
      </c>
      <c r="R2435">
        <v>-95.860799999999998</v>
      </c>
    </row>
    <row r="2436" spans="1:18" x14ac:dyDescent="0.2">
      <c r="A2436" t="s">
        <v>663</v>
      </c>
      <c r="B2436" t="s">
        <v>4281</v>
      </c>
      <c r="C2436">
        <v>41</v>
      </c>
      <c r="D2436" s="1">
        <v>44025.479745370372</v>
      </c>
      <c r="E2436" t="s">
        <v>7668</v>
      </c>
      <c r="F2436" t="s">
        <v>666</v>
      </c>
      <c r="G2436" t="s">
        <v>7668</v>
      </c>
      <c r="H2436" t="s">
        <v>667</v>
      </c>
      <c r="I2436" t="s">
        <v>204</v>
      </c>
      <c r="J2436">
        <v>41</v>
      </c>
      <c r="K2436">
        <f>41-44-586-3735</f>
        <v>-4324</v>
      </c>
      <c r="L2436" t="s">
        <v>7669</v>
      </c>
      <c r="M2436" t="s">
        <v>7670</v>
      </c>
      <c r="N2436">
        <v>72</v>
      </c>
      <c r="O2436" t="s">
        <v>134</v>
      </c>
      <c r="P2436" t="s">
        <v>24</v>
      </c>
      <c r="Q2436">
        <v>50</v>
      </c>
      <c r="R2436">
        <v>8.6843000000000004</v>
      </c>
    </row>
    <row r="2437" spans="1:18" x14ac:dyDescent="0.2">
      <c r="A2437" t="s">
        <v>663</v>
      </c>
      <c r="B2437" t="s">
        <v>2500</v>
      </c>
      <c r="C2437">
        <v>81</v>
      </c>
      <c r="D2437" s="1">
        <v>44026.471620370372</v>
      </c>
      <c r="E2437" t="s">
        <v>7671</v>
      </c>
      <c r="F2437" t="s">
        <v>666</v>
      </c>
      <c r="G2437" t="s">
        <v>7671</v>
      </c>
      <c r="H2437" t="s">
        <v>667</v>
      </c>
      <c r="I2437" t="s">
        <v>53</v>
      </c>
      <c r="J2437">
        <v>81</v>
      </c>
      <c r="K2437">
        <f>81-50-5539-3733</f>
        <v>-9241</v>
      </c>
      <c r="L2437" t="s">
        <v>7672</v>
      </c>
      <c r="M2437" t="s">
        <v>7673</v>
      </c>
      <c r="N2437">
        <v>249</v>
      </c>
      <c r="O2437" t="s">
        <v>134</v>
      </c>
      <c r="P2437" t="s">
        <v>2500</v>
      </c>
      <c r="Q2437">
        <v>1</v>
      </c>
      <c r="R2437">
        <v>99.999999000000003</v>
      </c>
    </row>
    <row r="2438" spans="1:18" x14ac:dyDescent="0.2">
      <c r="A2438" t="s">
        <v>663</v>
      </c>
      <c r="B2438" t="s">
        <v>2263</v>
      </c>
      <c r="C2438">
        <v>358</v>
      </c>
      <c r="D2438" s="1">
        <v>44026.606064814812</v>
      </c>
      <c r="E2438" t="s">
        <v>7674</v>
      </c>
      <c r="F2438" t="s">
        <v>2495</v>
      </c>
      <c r="G2438" t="s">
        <v>7675</v>
      </c>
      <c r="H2438" t="s">
        <v>667</v>
      </c>
      <c r="I2438" t="s">
        <v>6238</v>
      </c>
      <c r="J2438">
        <v>358</v>
      </c>
      <c r="K2438">
        <f>358-800-102-133</f>
        <v>-677</v>
      </c>
      <c r="L2438" t="s">
        <v>7676</v>
      </c>
      <c r="M2438" t="s">
        <v>7677</v>
      </c>
      <c r="N2438" t="s">
        <v>5354</v>
      </c>
      <c r="O2438" t="s">
        <v>28</v>
      </c>
      <c r="P2438" t="s">
        <v>2268</v>
      </c>
      <c r="Q2438">
        <v>44</v>
      </c>
      <c r="R2438">
        <v>-79.362300000000005</v>
      </c>
    </row>
    <row r="2439" spans="1:18" x14ac:dyDescent="0.2">
      <c r="A2439" t="s">
        <v>663</v>
      </c>
      <c r="B2439" t="s">
        <v>2263</v>
      </c>
      <c r="C2439">
        <v>47</v>
      </c>
      <c r="D2439" s="1">
        <v>44026.584004629629</v>
      </c>
      <c r="E2439" t="s">
        <v>7674</v>
      </c>
      <c r="F2439" t="s">
        <v>2495</v>
      </c>
      <c r="G2439" t="s">
        <v>7675</v>
      </c>
      <c r="H2439" t="s">
        <v>667</v>
      </c>
      <c r="I2439" t="s">
        <v>6185</v>
      </c>
      <c r="J2439">
        <v>47</v>
      </c>
      <c r="K2439">
        <f>47-47-800-62-628</f>
        <v>-1490</v>
      </c>
      <c r="L2439" t="s">
        <v>7678</v>
      </c>
      <c r="M2439" t="s">
        <v>7679</v>
      </c>
      <c r="N2439" t="s">
        <v>5354</v>
      </c>
      <c r="O2439" t="s">
        <v>28</v>
      </c>
      <c r="P2439" t="s">
        <v>2268</v>
      </c>
      <c r="Q2439">
        <v>44</v>
      </c>
      <c r="R2439">
        <v>-79.362300000000005</v>
      </c>
    </row>
    <row r="2440" spans="1:18" x14ac:dyDescent="0.2">
      <c r="A2440" t="s">
        <v>663</v>
      </c>
      <c r="B2440" t="s">
        <v>2263</v>
      </c>
      <c r="C2440">
        <v>46</v>
      </c>
      <c r="D2440" s="1">
        <v>44026.57340277778</v>
      </c>
      <c r="E2440" t="s">
        <v>7674</v>
      </c>
      <c r="F2440" t="s">
        <v>2495</v>
      </c>
      <c r="G2440" t="s">
        <v>7675</v>
      </c>
      <c r="H2440" t="s">
        <v>667</v>
      </c>
      <c r="I2440" t="s">
        <v>7680</v>
      </c>
      <c r="J2440">
        <v>46</v>
      </c>
      <c r="K2440">
        <f>46-46-201-9-383</f>
        <v>-593</v>
      </c>
      <c r="L2440" t="s">
        <v>7681</v>
      </c>
      <c r="M2440" t="s">
        <v>7682</v>
      </c>
      <c r="N2440" t="s">
        <v>5354</v>
      </c>
      <c r="O2440" t="s">
        <v>28</v>
      </c>
      <c r="P2440" t="s">
        <v>2268</v>
      </c>
      <c r="Q2440">
        <v>44</v>
      </c>
      <c r="R2440">
        <v>-79.362300000000005</v>
      </c>
    </row>
    <row r="2441" spans="1:18" x14ac:dyDescent="0.2">
      <c r="A2441" t="s">
        <v>663</v>
      </c>
      <c r="B2441" t="s">
        <v>1412</v>
      </c>
      <c r="C2441">
        <v>49</v>
      </c>
      <c r="D2441" s="1">
        <v>44026.601909722223</v>
      </c>
      <c r="E2441" t="s">
        <v>7683</v>
      </c>
      <c r="F2441" t="s">
        <v>2495</v>
      </c>
      <c r="G2441" t="s">
        <v>7683</v>
      </c>
      <c r="H2441" t="s">
        <v>667</v>
      </c>
      <c r="I2441" t="s">
        <v>24</v>
      </c>
      <c r="J2441">
        <v>49</v>
      </c>
      <c r="K2441">
        <f>49-22-6694-798</f>
        <v>-7465</v>
      </c>
      <c r="L2441" t="s">
        <v>7684</v>
      </c>
      <c r="M2441" t="s">
        <v>7685</v>
      </c>
      <c r="N2441">
        <v>160</v>
      </c>
      <c r="O2441" t="s">
        <v>134</v>
      </c>
      <c r="P2441" t="s">
        <v>29</v>
      </c>
      <c r="Q2441">
        <v>41</v>
      </c>
      <c r="R2441">
        <v>-74.172399999999996</v>
      </c>
    </row>
    <row r="2442" spans="1:18" x14ac:dyDescent="0.2">
      <c r="A2442" t="s">
        <v>663</v>
      </c>
      <c r="B2442" t="s">
        <v>454</v>
      </c>
      <c r="C2442">
        <v>43</v>
      </c>
      <c r="D2442" s="1">
        <v>44026.61341435185</v>
      </c>
      <c r="E2442" t="s">
        <v>7686</v>
      </c>
      <c r="F2442" t="s">
        <v>2495</v>
      </c>
      <c r="G2442" t="s">
        <v>7687</v>
      </c>
      <c r="H2442" t="s">
        <v>667</v>
      </c>
      <c r="I2442" t="s">
        <v>3432</v>
      </c>
      <c r="J2442">
        <v>43</v>
      </c>
      <c r="K2442">
        <f>43-670-308-150</f>
        <v>-1085</v>
      </c>
      <c r="L2442" t="s">
        <v>7688</v>
      </c>
      <c r="M2442" t="s">
        <v>7689</v>
      </c>
      <c r="N2442" t="s">
        <v>3441</v>
      </c>
      <c r="O2442" t="s">
        <v>28</v>
      </c>
      <c r="P2442" t="s">
        <v>461</v>
      </c>
      <c r="Q2442">
        <v>52</v>
      </c>
      <c r="R2442">
        <v>4.8975</v>
      </c>
    </row>
    <row r="2443" spans="1:18" x14ac:dyDescent="0.2">
      <c r="A2443" t="s">
        <v>1200</v>
      </c>
      <c r="B2443" t="s">
        <v>2500</v>
      </c>
      <c r="C2443">
        <v>1</v>
      </c>
      <c r="D2443" s="1">
        <v>44026.803506944445</v>
      </c>
      <c r="E2443" t="s">
        <v>7690</v>
      </c>
      <c r="F2443" t="s">
        <v>1203</v>
      </c>
      <c r="G2443" t="s">
        <v>7691</v>
      </c>
      <c r="H2443" t="s">
        <v>1205</v>
      </c>
      <c r="I2443" t="s">
        <v>29</v>
      </c>
      <c r="J2443">
        <v>1</v>
      </c>
      <c r="K2443">
        <f>1-800-571-663</f>
        <v>-2033</v>
      </c>
      <c r="L2443" t="s">
        <v>7692</v>
      </c>
      <c r="M2443" t="s">
        <v>7693</v>
      </c>
      <c r="N2443" t="s">
        <v>452</v>
      </c>
      <c r="O2443" t="s">
        <v>134</v>
      </c>
      <c r="P2443" t="s">
        <v>2500</v>
      </c>
      <c r="Q2443">
        <v>1</v>
      </c>
      <c r="R2443">
        <v>99.999999000000003</v>
      </c>
    </row>
    <row r="2444" spans="1:18" x14ac:dyDescent="0.2">
      <c r="A2444" t="s">
        <v>2349</v>
      </c>
      <c r="B2444" t="s">
        <v>3385</v>
      </c>
      <c r="C2444">
        <v>1</v>
      </c>
      <c r="D2444" s="1">
        <v>44026.888599537036</v>
      </c>
      <c r="E2444" t="s">
        <v>7694</v>
      </c>
      <c r="F2444" t="s">
        <v>2352</v>
      </c>
      <c r="G2444" t="s">
        <v>7694</v>
      </c>
      <c r="H2444" t="s">
        <v>2353</v>
      </c>
      <c r="I2444" t="s">
        <v>29</v>
      </c>
      <c r="J2444">
        <v>1</v>
      </c>
      <c r="K2444">
        <f>1-833-413-2963</f>
        <v>-4208</v>
      </c>
      <c r="L2444" t="s">
        <v>7695</v>
      </c>
      <c r="M2444" t="s">
        <v>7696</v>
      </c>
      <c r="N2444">
        <v>168</v>
      </c>
      <c r="O2444" t="s">
        <v>134</v>
      </c>
      <c r="P2444" t="s">
        <v>29</v>
      </c>
      <c r="Q2444">
        <v>41</v>
      </c>
      <c r="R2444">
        <v>-74.006</v>
      </c>
    </row>
    <row r="2445" spans="1:18" x14ac:dyDescent="0.2">
      <c r="A2445" t="s">
        <v>663</v>
      </c>
      <c r="B2445" t="s">
        <v>664</v>
      </c>
      <c r="C2445">
        <v>1</v>
      </c>
      <c r="D2445" s="1">
        <v>44026.889502314814</v>
      </c>
      <c r="E2445" t="s">
        <v>7697</v>
      </c>
      <c r="F2445" t="s">
        <v>2495</v>
      </c>
      <c r="G2445" t="s">
        <v>7697</v>
      </c>
      <c r="H2445" t="s">
        <v>667</v>
      </c>
      <c r="I2445" t="s">
        <v>29</v>
      </c>
      <c r="J2445">
        <v>1</v>
      </c>
      <c r="K2445">
        <f>1-888-538-3832</f>
        <v>-5257</v>
      </c>
      <c r="L2445" t="s">
        <v>7698</v>
      </c>
      <c r="M2445" t="s">
        <v>7699</v>
      </c>
      <c r="N2445">
        <v>152</v>
      </c>
      <c r="O2445" t="s">
        <v>134</v>
      </c>
      <c r="P2445" t="s">
        <v>29</v>
      </c>
      <c r="Q2445">
        <v>37</v>
      </c>
      <c r="R2445">
        <v>-99.999999000000003</v>
      </c>
    </row>
    <row r="2446" spans="1:18" x14ac:dyDescent="0.2">
      <c r="A2446" t="s">
        <v>2233</v>
      </c>
      <c r="B2446" t="s">
        <v>440</v>
      </c>
      <c r="C2446">
        <v>1</v>
      </c>
      <c r="D2446" s="1">
        <v>44026.851712962962</v>
      </c>
      <c r="E2446" t="s">
        <v>7700</v>
      </c>
      <c r="F2446" t="s">
        <v>2236</v>
      </c>
      <c r="G2446" t="s">
        <v>7701</v>
      </c>
      <c r="H2446" t="s">
        <v>2237</v>
      </c>
      <c r="I2446" t="s">
        <v>29</v>
      </c>
      <c r="J2446">
        <v>1</v>
      </c>
      <c r="K2446">
        <f>1-855-945-3168</f>
        <v>-4967</v>
      </c>
      <c r="L2446" t="s">
        <v>7702</v>
      </c>
      <c r="M2446" t="s">
        <v>7703</v>
      </c>
      <c r="N2446" t="s">
        <v>6757</v>
      </c>
      <c r="O2446" t="s">
        <v>28</v>
      </c>
      <c r="P2446" t="s">
        <v>29</v>
      </c>
      <c r="Q2446">
        <v>39</v>
      </c>
      <c r="R2446">
        <v>-77.487399999999994</v>
      </c>
    </row>
    <row r="2447" spans="1:18" x14ac:dyDescent="0.2">
      <c r="A2447" t="s">
        <v>663</v>
      </c>
      <c r="B2447" t="s">
        <v>3245</v>
      </c>
      <c r="C2447">
        <v>1</v>
      </c>
      <c r="D2447" s="1">
        <v>44026.854537037034</v>
      </c>
      <c r="E2447" t="s">
        <v>7704</v>
      </c>
      <c r="F2447" t="s">
        <v>666</v>
      </c>
      <c r="G2447" t="s">
        <v>7705</v>
      </c>
      <c r="H2447" t="s">
        <v>667</v>
      </c>
      <c r="I2447" t="s">
        <v>29</v>
      </c>
      <c r="J2447">
        <v>1</v>
      </c>
      <c r="K2447">
        <f>1-855-594-591</f>
        <v>-2039</v>
      </c>
      <c r="L2447" t="s">
        <v>7706</v>
      </c>
      <c r="M2447" t="s">
        <v>7707</v>
      </c>
      <c r="N2447" t="s">
        <v>1645</v>
      </c>
      <c r="O2447" t="s">
        <v>28</v>
      </c>
      <c r="P2447" t="s">
        <v>29</v>
      </c>
      <c r="Q2447">
        <v>41</v>
      </c>
      <c r="R2447">
        <v>-74.140299999999996</v>
      </c>
    </row>
    <row r="2448" spans="1:18" x14ac:dyDescent="0.2">
      <c r="A2448" t="s">
        <v>1200</v>
      </c>
      <c r="B2448" t="s">
        <v>1201</v>
      </c>
      <c r="C2448">
        <v>1</v>
      </c>
      <c r="D2448" s="1">
        <v>44059.788842592592</v>
      </c>
      <c r="E2448" t="s">
        <v>7708</v>
      </c>
      <c r="F2448" t="s">
        <v>1203</v>
      </c>
      <c r="G2448" t="s">
        <v>7709</v>
      </c>
      <c r="H2448" t="s">
        <v>1205</v>
      </c>
      <c r="I2448" t="s">
        <v>29</v>
      </c>
      <c r="J2448">
        <v>1</v>
      </c>
      <c r="K2448">
        <f>1-855-751-4397</f>
        <v>-6002</v>
      </c>
      <c r="L2448" t="s">
        <v>7710</v>
      </c>
      <c r="M2448" t="s">
        <v>7711</v>
      </c>
      <c r="N2448" t="s">
        <v>36</v>
      </c>
      <c r="O2448" t="s">
        <v>134</v>
      </c>
      <c r="P2448" t="s">
        <v>29</v>
      </c>
      <c r="Q2448">
        <v>34</v>
      </c>
      <c r="R2448">
        <v>-99.999999000000003</v>
      </c>
    </row>
    <row r="2449" spans="1:18" x14ac:dyDescent="0.2">
      <c r="A2449" t="s">
        <v>1200</v>
      </c>
      <c r="B2449" t="s">
        <v>1201</v>
      </c>
      <c r="C2449">
        <v>1</v>
      </c>
      <c r="D2449" s="1">
        <v>44059.787442129629</v>
      </c>
      <c r="E2449" t="s">
        <v>7712</v>
      </c>
      <c r="F2449" t="s">
        <v>1203</v>
      </c>
      <c r="G2449" t="s">
        <v>7709</v>
      </c>
      <c r="H2449" t="s">
        <v>1205</v>
      </c>
      <c r="I2449" t="s">
        <v>29</v>
      </c>
      <c r="J2449">
        <v>1</v>
      </c>
      <c r="K2449">
        <f>1-855-751-4397</f>
        <v>-6002</v>
      </c>
      <c r="L2449" t="s">
        <v>7713</v>
      </c>
      <c r="M2449" t="s">
        <v>7714</v>
      </c>
      <c r="N2449" t="s">
        <v>5354</v>
      </c>
      <c r="O2449" t="s">
        <v>134</v>
      </c>
      <c r="P2449" t="s">
        <v>29</v>
      </c>
      <c r="Q2449">
        <v>34</v>
      </c>
      <c r="R2449">
        <v>-99.999999000000003</v>
      </c>
    </row>
    <row r="2450" spans="1:18" x14ac:dyDescent="0.2">
      <c r="A2450" t="s">
        <v>1200</v>
      </c>
      <c r="B2450" t="s">
        <v>1201</v>
      </c>
      <c r="C2450">
        <v>1</v>
      </c>
      <c r="D2450" s="1">
        <v>44057.112210648149</v>
      </c>
      <c r="E2450" t="s">
        <v>7708</v>
      </c>
      <c r="F2450" t="s">
        <v>1203</v>
      </c>
      <c r="G2450" t="s">
        <v>7709</v>
      </c>
      <c r="H2450" t="s">
        <v>1205</v>
      </c>
      <c r="I2450" t="s">
        <v>29</v>
      </c>
      <c r="J2450">
        <v>1</v>
      </c>
      <c r="K2450">
        <f>1-808-400-5586</f>
        <v>-6793</v>
      </c>
      <c r="L2450" t="s">
        <v>7715</v>
      </c>
      <c r="M2450" t="s">
        <v>7716</v>
      </c>
      <c r="N2450" t="s">
        <v>36</v>
      </c>
      <c r="O2450" t="s">
        <v>134</v>
      </c>
      <c r="P2450" t="s">
        <v>29</v>
      </c>
      <c r="Q2450">
        <v>34</v>
      </c>
      <c r="R2450">
        <v>-99.999999000000003</v>
      </c>
    </row>
    <row r="2451" spans="1:18" x14ac:dyDescent="0.2">
      <c r="A2451" t="s">
        <v>1200</v>
      </c>
      <c r="B2451" t="s">
        <v>1201</v>
      </c>
      <c r="C2451">
        <v>1</v>
      </c>
      <c r="D2451" s="1">
        <v>44029.788888888892</v>
      </c>
      <c r="E2451" t="s">
        <v>7717</v>
      </c>
      <c r="F2451" t="s">
        <v>1203</v>
      </c>
      <c r="G2451" t="s">
        <v>7709</v>
      </c>
      <c r="H2451" t="s">
        <v>1205</v>
      </c>
      <c r="I2451" t="s">
        <v>29</v>
      </c>
      <c r="J2451">
        <v>1</v>
      </c>
      <c r="K2451">
        <f>1-808-800-9759</f>
        <v>-11366</v>
      </c>
      <c r="L2451" t="s">
        <v>7718</v>
      </c>
      <c r="M2451" t="s">
        <v>7719</v>
      </c>
      <c r="N2451" t="s">
        <v>2475</v>
      </c>
      <c r="O2451" t="s">
        <v>134</v>
      </c>
      <c r="P2451" t="s">
        <v>29</v>
      </c>
      <c r="Q2451">
        <v>34</v>
      </c>
      <c r="R2451">
        <v>-99.999999000000003</v>
      </c>
    </row>
    <row r="2452" spans="1:18" x14ac:dyDescent="0.2">
      <c r="A2452" t="s">
        <v>1200</v>
      </c>
      <c r="B2452" t="s">
        <v>1201</v>
      </c>
      <c r="C2452">
        <v>1</v>
      </c>
      <c r="D2452" s="1">
        <v>44028.960636574076</v>
      </c>
      <c r="E2452" t="s">
        <v>7717</v>
      </c>
      <c r="F2452" t="s">
        <v>1203</v>
      </c>
      <c r="G2452" t="s">
        <v>7709</v>
      </c>
      <c r="H2452" t="s">
        <v>1205</v>
      </c>
      <c r="I2452" t="s">
        <v>29</v>
      </c>
      <c r="J2452">
        <v>1</v>
      </c>
      <c r="K2452">
        <f>1-808-491-662</f>
        <v>-1960</v>
      </c>
      <c r="L2452" t="s">
        <v>7720</v>
      </c>
      <c r="M2452" t="s">
        <v>7721</v>
      </c>
      <c r="N2452" t="s">
        <v>2475</v>
      </c>
      <c r="O2452" t="s">
        <v>134</v>
      </c>
      <c r="P2452" t="s">
        <v>29</v>
      </c>
      <c r="Q2452">
        <v>34</v>
      </c>
      <c r="R2452">
        <v>-99.999999000000003</v>
      </c>
    </row>
    <row r="2453" spans="1:18" x14ac:dyDescent="0.2">
      <c r="A2453" t="s">
        <v>1200</v>
      </c>
      <c r="B2453" t="s">
        <v>1201</v>
      </c>
      <c r="C2453">
        <v>1</v>
      </c>
      <c r="D2453" s="1">
        <v>44028.829976851855</v>
      </c>
      <c r="E2453" t="s">
        <v>7717</v>
      </c>
      <c r="F2453" t="s">
        <v>1203</v>
      </c>
      <c r="G2453" t="s">
        <v>7709</v>
      </c>
      <c r="H2453" t="s">
        <v>1205</v>
      </c>
      <c r="I2453" t="s">
        <v>29</v>
      </c>
      <c r="J2453">
        <v>1</v>
      </c>
      <c r="K2453">
        <f>1-808-800-9685</f>
        <v>-11292</v>
      </c>
      <c r="L2453" t="s">
        <v>7722</v>
      </c>
      <c r="M2453" t="s">
        <v>7723</v>
      </c>
      <c r="N2453" t="s">
        <v>2475</v>
      </c>
      <c r="O2453" t="s">
        <v>134</v>
      </c>
      <c r="P2453" t="s">
        <v>29</v>
      </c>
      <c r="Q2453">
        <v>34</v>
      </c>
      <c r="R2453">
        <v>-99.999999000000003</v>
      </c>
    </row>
    <row r="2454" spans="1:18" x14ac:dyDescent="0.2">
      <c r="A2454" t="s">
        <v>1200</v>
      </c>
      <c r="B2454" t="s">
        <v>1201</v>
      </c>
      <c r="C2454">
        <v>1</v>
      </c>
      <c r="D2454" s="1">
        <v>44027.997858796298</v>
      </c>
      <c r="E2454" t="s">
        <v>7724</v>
      </c>
      <c r="F2454" t="s">
        <v>1203</v>
      </c>
      <c r="G2454" t="s">
        <v>7709</v>
      </c>
      <c r="H2454" t="s">
        <v>1205</v>
      </c>
      <c r="I2454" t="s">
        <v>29</v>
      </c>
      <c r="J2454">
        <v>1</v>
      </c>
      <c r="K2454">
        <f>1-808-800-9759</f>
        <v>-11366</v>
      </c>
      <c r="L2454" t="s">
        <v>7725</v>
      </c>
      <c r="M2454" t="s">
        <v>7726</v>
      </c>
      <c r="N2454" t="s">
        <v>5354</v>
      </c>
      <c r="O2454" t="s">
        <v>134</v>
      </c>
      <c r="P2454" t="s">
        <v>29</v>
      </c>
      <c r="Q2454">
        <v>34</v>
      </c>
      <c r="R2454">
        <v>-99.999999000000003</v>
      </c>
    </row>
    <row r="2455" spans="1:18" x14ac:dyDescent="0.2">
      <c r="A2455" t="s">
        <v>1200</v>
      </c>
      <c r="B2455" t="s">
        <v>1201</v>
      </c>
      <c r="C2455">
        <v>1</v>
      </c>
      <c r="D2455" s="1">
        <v>44027.865763888891</v>
      </c>
      <c r="E2455" t="s">
        <v>7727</v>
      </c>
      <c r="F2455" t="s">
        <v>1203</v>
      </c>
      <c r="G2455" t="s">
        <v>7709</v>
      </c>
      <c r="H2455" t="s">
        <v>1205</v>
      </c>
      <c r="I2455" t="s">
        <v>29</v>
      </c>
      <c r="J2455">
        <v>1</v>
      </c>
      <c r="K2455">
        <f>1-808-800-9685</f>
        <v>-11292</v>
      </c>
      <c r="L2455" t="s">
        <v>7728</v>
      </c>
      <c r="M2455" t="s">
        <v>7729</v>
      </c>
      <c r="N2455" t="s">
        <v>1645</v>
      </c>
      <c r="O2455" t="s">
        <v>134</v>
      </c>
      <c r="P2455" t="s">
        <v>29</v>
      </c>
      <c r="Q2455">
        <v>34</v>
      </c>
      <c r="R2455">
        <v>-99.999999000000003</v>
      </c>
    </row>
    <row r="2456" spans="1:18" x14ac:dyDescent="0.2">
      <c r="A2456" t="s">
        <v>1200</v>
      </c>
      <c r="B2456" t="s">
        <v>1201</v>
      </c>
      <c r="C2456">
        <v>1</v>
      </c>
      <c r="D2456" s="1">
        <v>44026.857222222221</v>
      </c>
      <c r="E2456" t="s">
        <v>7712</v>
      </c>
      <c r="F2456" t="s">
        <v>1203</v>
      </c>
      <c r="G2456" t="s">
        <v>7709</v>
      </c>
      <c r="H2456" t="s">
        <v>1205</v>
      </c>
      <c r="I2456" t="s">
        <v>29</v>
      </c>
      <c r="J2456">
        <v>1</v>
      </c>
      <c r="K2456">
        <f>1-808-800-9685</f>
        <v>-11292</v>
      </c>
      <c r="L2456" t="s">
        <v>7730</v>
      </c>
      <c r="M2456" t="s">
        <v>7731</v>
      </c>
      <c r="N2456" t="s">
        <v>5354</v>
      </c>
      <c r="O2456" t="s">
        <v>134</v>
      </c>
      <c r="P2456" t="s">
        <v>29</v>
      </c>
      <c r="Q2456">
        <v>34</v>
      </c>
      <c r="R2456">
        <v>-99.999999000000003</v>
      </c>
    </row>
    <row r="2457" spans="1:18" x14ac:dyDescent="0.2">
      <c r="A2457" t="s">
        <v>663</v>
      </c>
      <c r="B2457" t="s">
        <v>3245</v>
      </c>
      <c r="C2457">
        <v>1</v>
      </c>
      <c r="D2457" s="1">
        <v>44026.898645833331</v>
      </c>
      <c r="E2457" t="s">
        <v>7732</v>
      </c>
      <c r="F2457" t="s">
        <v>666</v>
      </c>
      <c r="G2457" t="s">
        <v>7733</v>
      </c>
      <c r="H2457" t="s">
        <v>667</v>
      </c>
      <c r="I2457" t="s">
        <v>29</v>
      </c>
      <c r="J2457">
        <v>1</v>
      </c>
      <c r="K2457">
        <f>1-855-594-592</f>
        <v>-2040</v>
      </c>
      <c r="L2457" t="s">
        <v>7734</v>
      </c>
      <c r="M2457" t="s">
        <v>7735</v>
      </c>
      <c r="N2457" t="s">
        <v>1645</v>
      </c>
      <c r="O2457" t="s">
        <v>28</v>
      </c>
      <c r="P2457" t="s">
        <v>29</v>
      </c>
      <c r="Q2457">
        <v>41</v>
      </c>
      <c r="R2457">
        <v>-74.140299999999996</v>
      </c>
    </row>
    <row r="2458" spans="1:18" x14ac:dyDescent="0.2">
      <c r="A2458" t="s">
        <v>663</v>
      </c>
      <c r="B2458" t="s">
        <v>454</v>
      </c>
      <c r="C2458">
        <v>43</v>
      </c>
      <c r="D2458" s="1">
        <v>44027.680625000001</v>
      </c>
      <c r="E2458" t="s">
        <v>7736</v>
      </c>
      <c r="F2458" t="s">
        <v>666</v>
      </c>
      <c r="G2458" t="s">
        <v>7737</v>
      </c>
      <c r="H2458" t="s">
        <v>667</v>
      </c>
      <c r="I2458" t="s">
        <v>3432</v>
      </c>
      <c r="J2458">
        <v>43</v>
      </c>
      <c r="K2458">
        <f>43-670-308-150</f>
        <v>-1085</v>
      </c>
      <c r="L2458" t="s">
        <v>7738</v>
      </c>
      <c r="M2458" t="s">
        <v>7739</v>
      </c>
      <c r="N2458" t="s">
        <v>3454</v>
      </c>
      <c r="O2458" t="s">
        <v>28</v>
      </c>
      <c r="P2458" t="s">
        <v>461</v>
      </c>
      <c r="Q2458">
        <v>52</v>
      </c>
      <c r="R2458">
        <v>4.8975</v>
      </c>
    </row>
    <row r="2459" spans="1:18" x14ac:dyDescent="0.2">
      <c r="A2459" t="s">
        <v>663</v>
      </c>
      <c r="B2459" t="s">
        <v>3245</v>
      </c>
      <c r="C2459">
        <v>44</v>
      </c>
      <c r="D2459" s="1">
        <v>44027.502581018518</v>
      </c>
      <c r="E2459" t="s">
        <v>7740</v>
      </c>
      <c r="F2459" t="s">
        <v>666</v>
      </c>
      <c r="G2459" t="s">
        <v>7741</v>
      </c>
      <c r="H2459" t="s">
        <v>667</v>
      </c>
      <c r="I2459" t="s">
        <v>618</v>
      </c>
      <c r="J2459">
        <v>44</v>
      </c>
      <c r="K2459">
        <f>44-800-31-4241</f>
        <v>-5028</v>
      </c>
      <c r="L2459" t="s">
        <v>7742</v>
      </c>
      <c r="M2459" t="s">
        <v>7743</v>
      </c>
      <c r="N2459" t="s">
        <v>1645</v>
      </c>
      <c r="O2459" t="s">
        <v>28</v>
      </c>
      <c r="P2459" t="s">
        <v>29</v>
      </c>
      <c r="Q2459">
        <v>41</v>
      </c>
      <c r="R2459">
        <v>-74.140299999999996</v>
      </c>
    </row>
    <row r="2460" spans="1:18" x14ac:dyDescent="0.2">
      <c r="A2460" t="s">
        <v>663</v>
      </c>
      <c r="B2460" t="s">
        <v>2263</v>
      </c>
      <c r="C2460">
        <v>46</v>
      </c>
      <c r="D2460" s="1">
        <v>44028.704375000001</v>
      </c>
      <c r="E2460" t="s">
        <v>7744</v>
      </c>
      <c r="F2460" t="s">
        <v>666</v>
      </c>
      <c r="G2460" t="s">
        <v>7745</v>
      </c>
      <c r="H2460" t="s">
        <v>667</v>
      </c>
      <c r="I2460" t="s">
        <v>7680</v>
      </c>
      <c r="J2460">
        <v>46</v>
      </c>
      <c r="K2460">
        <f>46-201-9-383</f>
        <v>-547</v>
      </c>
      <c r="L2460" t="s">
        <v>7746</v>
      </c>
      <c r="M2460" t="s">
        <v>7747</v>
      </c>
      <c r="N2460" t="s">
        <v>2475</v>
      </c>
      <c r="O2460" t="s">
        <v>28</v>
      </c>
      <c r="P2460" t="s">
        <v>2268</v>
      </c>
      <c r="Q2460">
        <v>44</v>
      </c>
      <c r="R2460">
        <v>-79.419499999999999</v>
      </c>
    </row>
    <row r="2461" spans="1:18" x14ac:dyDescent="0.2">
      <c r="A2461" t="s">
        <v>663</v>
      </c>
      <c r="B2461" t="s">
        <v>2263</v>
      </c>
      <c r="C2461">
        <v>47</v>
      </c>
      <c r="D2461" s="1">
        <v>44027.529282407406</v>
      </c>
      <c r="E2461" t="s">
        <v>7744</v>
      </c>
      <c r="F2461" t="s">
        <v>666</v>
      </c>
      <c r="G2461" t="s">
        <v>7745</v>
      </c>
      <c r="H2461" t="s">
        <v>667</v>
      </c>
      <c r="I2461" t="s">
        <v>6185</v>
      </c>
      <c r="J2461">
        <v>47</v>
      </c>
      <c r="K2461">
        <f>47-47-800-62-628</f>
        <v>-1490</v>
      </c>
      <c r="L2461" t="s">
        <v>7748</v>
      </c>
      <c r="M2461" t="s">
        <v>7749</v>
      </c>
      <c r="N2461" t="s">
        <v>2475</v>
      </c>
      <c r="O2461" t="s">
        <v>28</v>
      </c>
      <c r="P2461" t="s">
        <v>2268</v>
      </c>
      <c r="Q2461">
        <v>44</v>
      </c>
      <c r="R2461">
        <v>-79.420400000000001</v>
      </c>
    </row>
    <row r="2462" spans="1:18" x14ac:dyDescent="0.2">
      <c r="A2462" t="s">
        <v>663</v>
      </c>
      <c r="B2462" t="s">
        <v>5337</v>
      </c>
      <c r="C2462">
        <v>43</v>
      </c>
      <c r="D2462" s="1">
        <v>44027.542384259257</v>
      </c>
      <c r="E2462" t="s">
        <v>7750</v>
      </c>
      <c r="F2462" t="s">
        <v>666</v>
      </c>
      <c r="G2462" t="s">
        <v>7751</v>
      </c>
      <c r="H2462" t="s">
        <v>667</v>
      </c>
      <c r="I2462" t="s">
        <v>3432</v>
      </c>
      <c r="J2462">
        <v>43</v>
      </c>
      <c r="K2462">
        <f>43-670-308-150</f>
        <v>-1085</v>
      </c>
      <c r="L2462" t="s">
        <v>7752</v>
      </c>
      <c r="M2462" t="s">
        <v>7753</v>
      </c>
      <c r="N2462" t="s">
        <v>447</v>
      </c>
      <c r="O2462" t="s">
        <v>28</v>
      </c>
      <c r="P2462" t="s">
        <v>29</v>
      </c>
      <c r="Q2462">
        <v>38</v>
      </c>
      <c r="R2462">
        <v>-99.999999000000003</v>
      </c>
    </row>
    <row r="2463" spans="1:18" x14ac:dyDescent="0.2">
      <c r="A2463" t="s">
        <v>663</v>
      </c>
      <c r="B2463" t="s">
        <v>2493</v>
      </c>
      <c r="C2463">
        <v>1</v>
      </c>
      <c r="D2463" s="1">
        <v>44027.854560185187</v>
      </c>
      <c r="E2463" t="s">
        <v>7754</v>
      </c>
      <c r="F2463" t="s">
        <v>666</v>
      </c>
      <c r="G2463" t="s">
        <v>7754</v>
      </c>
      <c r="H2463" t="s">
        <v>667</v>
      </c>
      <c r="I2463" t="s">
        <v>29</v>
      </c>
      <c r="J2463">
        <v>1</v>
      </c>
      <c r="K2463">
        <f>1-844-343-4323</f>
        <v>-5509</v>
      </c>
      <c r="L2463" t="s">
        <v>7755</v>
      </c>
      <c r="M2463" t="s">
        <v>7756</v>
      </c>
      <c r="N2463">
        <v>146</v>
      </c>
      <c r="O2463" t="s">
        <v>134</v>
      </c>
      <c r="P2463" t="s">
        <v>29</v>
      </c>
      <c r="Q2463">
        <v>41</v>
      </c>
      <c r="R2463">
        <v>-74.024699999999996</v>
      </c>
    </row>
    <row r="2464" spans="1:18" x14ac:dyDescent="0.2">
      <c r="A2464" t="s">
        <v>663</v>
      </c>
      <c r="B2464" t="s">
        <v>3245</v>
      </c>
      <c r="C2464">
        <v>1</v>
      </c>
      <c r="D2464" s="1">
        <v>44027.854618055557</v>
      </c>
      <c r="E2464" t="s">
        <v>7757</v>
      </c>
      <c r="F2464" t="s">
        <v>666</v>
      </c>
      <c r="G2464" t="s">
        <v>7757</v>
      </c>
      <c r="H2464" t="s">
        <v>667</v>
      </c>
      <c r="I2464" t="s">
        <v>29</v>
      </c>
      <c r="J2464">
        <v>1</v>
      </c>
      <c r="K2464">
        <f>1-855-594-592</f>
        <v>-2040</v>
      </c>
      <c r="L2464" t="s">
        <v>7758</v>
      </c>
      <c r="M2464" t="s">
        <v>7759</v>
      </c>
      <c r="N2464">
        <v>52</v>
      </c>
      <c r="O2464" t="s">
        <v>134</v>
      </c>
      <c r="P2464" t="s">
        <v>29</v>
      </c>
      <c r="Q2464">
        <v>41</v>
      </c>
      <c r="R2464">
        <v>-74.140299999999996</v>
      </c>
    </row>
    <row r="2465" spans="1:18" x14ac:dyDescent="0.2">
      <c r="A2465" t="s">
        <v>663</v>
      </c>
      <c r="B2465" t="s">
        <v>664</v>
      </c>
      <c r="C2465">
        <v>1</v>
      </c>
      <c r="D2465" s="1">
        <v>44027.855196759258</v>
      </c>
      <c r="E2465" t="s">
        <v>7760</v>
      </c>
      <c r="F2465" t="s">
        <v>666</v>
      </c>
      <c r="G2465" t="s">
        <v>7760</v>
      </c>
      <c r="H2465" t="s">
        <v>667</v>
      </c>
      <c r="I2465" t="s">
        <v>29</v>
      </c>
      <c r="J2465">
        <v>1</v>
      </c>
      <c r="K2465">
        <f>1-866-664-3874</f>
        <v>-5403</v>
      </c>
      <c r="L2465" t="s">
        <v>7761</v>
      </c>
      <c r="M2465" t="s">
        <v>7762</v>
      </c>
      <c r="N2465">
        <v>52</v>
      </c>
      <c r="O2465" t="s">
        <v>134</v>
      </c>
      <c r="P2465" t="s">
        <v>29</v>
      </c>
      <c r="Q2465">
        <v>37</v>
      </c>
      <c r="R2465">
        <v>-99.999999000000003</v>
      </c>
    </row>
    <row r="2466" spans="1:18" x14ac:dyDescent="0.2">
      <c r="A2466" t="s">
        <v>2349</v>
      </c>
      <c r="B2466" t="s">
        <v>1651</v>
      </c>
      <c r="C2466">
        <v>1</v>
      </c>
      <c r="D2466" s="1">
        <v>44027.983622685184</v>
      </c>
      <c r="E2466" t="s">
        <v>7763</v>
      </c>
      <c r="F2466" t="s">
        <v>2352</v>
      </c>
      <c r="G2466" t="s">
        <v>7764</v>
      </c>
      <c r="H2466" t="s">
        <v>2353</v>
      </c>
      <c r="I2466" t="s">
        <v>29</v>
      </c>
      <c r="J2466">
        <v>1</v>
      </c>
      <c r="K2466">
        <f>1-888-985-9243</f>
        <v>-11115</v>
      </c>
      <c r="L2466" t="s">
        <v>7765</v>
      </c>
      <c r="M2466" t="s">
        <v>7766</v>
      </c>
      <c r="N2466" t="s">
        <v>1645</v>
      </c>
      <c r="O2466" t="s">
        <v>28</v>
      </c>
      <c r="P2466" t="s">
        <v>29</v>
      </c>
      <c r="Q2466">
        <v>48</v>
      </c>
      <c r="R2466">
        <v>-99.999999000000003</v>
      </c>
    </row>
    <row r="2467" spans="1:18" x14ac:dyDescent="0.2">
      <c r="A2467" t="s">
        <v>2349</v>
      </c>
      <c r="B2467" t="s">
        <v>1651</v>
      </c>
      <c r="C2467">
        <v>1</v>
      </c>
      <c r="D2467" s="1">
        <v>44027.866168981483</v>
      </c>
      <c r="E2467" t="s">
        <v>7767</v>
      </c>
      <c r="F2467" t="s">
        <v>2352</v>
      </c>
      <c r="G2467" t="s">
        <v>7764</v>
      </c>
      <c r="H2467" t="s">
        <v>2353</v>
      </c>
      <c r="I2467" t="s">
        <v>29</v>
      </c>
      <c r="J2467">
        <v>1</v>
      </c>
      <c r="K2467">
        <f>1-888-984-4535</f>
        <v>-6406</v>
      </c>
      <c r="L2467" t="s">
        <v>7768</v>
      </c>
      <c r="M2467" t="s">
        <v>7769</v>
      </c>
      <c r="N2467" t="s">
        <v>452</v>
      </c>
      <c r="O2467" t="s">
        <v>28</v>
      </c>
      <c r="P2467" t="s">
        <v>29</v>
      </c>
      <c r="Q2467">
        <v>48</v>
      </c>
      <c r="R2467">
        <v>-99.999999000000003</v>
      </c>
    </row>
    <row r="2468" spans="1:18" x14ac:dyDescent="0.2">
      <c r="A2468" t="s">
        <v>439</v>
      </c>
      <c r="B2468" t="s">
        <v>440</v>
      </c>
      <c r="C2468">
        <v>1</v>
      </c>
      <c r="D2468" s="1">
        <v>44027.866759259261</v>
      </c>
      <c r="E2468" t="s">
        <v>7770</v>
      </c>
      <c r="F2468" t="s">
        <v>442</v>
      </c>
      <c r="G2468" t="s">
        <v>7771</v>
      </c>
      <c r="H2468" t="s">
        <v>444</v>
      </c>
      <c r="I2468" t="s">
        <v>29</v>
      </c>
      <c r="J2468">
        <v>1</v>
      </c>
      <c r="K2468">
        <f>1-866-303-3729</f>
        <v>-4897</v>
      </c>
      <c r="L2468" t="s">
        <v>7772</v>
      </c>
      <c r="M2468" t="s">
        <v>7773</v>
      </c>
      <c r="N2468" t="s">
        <v>674</v>
      </c>
      <c r="O2468" t="s">
        <v>28</v>
      </c>
      <c r="P2468" t="s">
        <v>29</v>
      </c>
      <c r="Q2468">
        <v>39</v>
      </c>
      <c r="R2468">
        <v>-77.487399999999994</v>
      </c>
    </row>
    <row r="2469" spans="1:18" x14ac:dyDescent="0.2">
      <c r="A2469" t="s">
        <v>675</v>
      </c>
      <c r="B2469" t="s">
        <v>6310</v>
      </c>
      <c r="C2469">
        <v>1</v>
      </c>
      <c r="D2469" s="1">
        <v>44027.870219907411</v>
      </c>
      <c r="E2469" t="s">
        <v>7774</v>
      </c>
      <c r="F2469" t="s">
        <v>2987</v>
      </c>
      <c r="G2469" t="s">
        <v>7775</v>
      </c>
      <c r="H2469" t="s">
        <v>680</v>
      </c>
      <c r="I2469" t="s">
        <v>29</v>
      </c>
      <c r="J2469">
        <v>1</v>
      </c>
      <c r="K2469">
        <f>1-800-799-3810</f>
        <v>-5408</v>
      </c>
      <c r="L2469" t="s">
        <v>7776</v>
      </c>
      <c r="M2469" t="s">
        <v>7777</v>
      </c>
      <c r="N2469" t="s">
        <v>452</v>
      </c>
      <c r="O2469" t="s">
        <v>28</v>
      </c>
      <c r="P2469" t="s">
        <v>29</v>
      </c>
      <c r="Q2469">
        <v>34</v>
      </c>
      <c r="R2469">
        <v>-84.425700000000006</v>
      </c>
    </row>
    <row r="2470" spans="1:18" x14ac:dyDescent="0.2">
      <c r="A2470" t="s">
        <v>663</v>
      </c>
      <c r="B2470" t="s">
        <v>5337</v>
      </c>
      <c r="C2470">
        <v>1</v>
      </c>
      <c r="D2470" s="1">
        <v>44027.991087962961</v>
      </c>
      <c r="E2470" t="s">
        <v>7778</v>
      </c>
      <c r="F2470" t="s">
        <v>666</v>
      </c>
      <c r="G2470" t="s">
        <v>7778</v>
      </c>
      <c r="H2470" t="s">
        <v>667</v>
      </c>
      <c r="I2470" t="s">
        <v>29</v>
      </c>
      <c r="J2470">
        <v>1</v>
      </c>
      <c r="K2470">
        <f>1-866-455-3407</f>
        <v>-4727</v>
      </c>
      <c r="L2470" t="s">
        <v>7779</v>
      </c>
      <c r="M2470" t="s">
        <v>7780</v>
      </c>
      <c r="N2470">
        <v>166</v>
      </c>
      <c r="O2470" t="s">
        <v>134</v>
      </c>
      <c r="P2470" t="s">
        <v>29</v>
      </c>
      <c r="Q2470">
        <v>38</v>
      </c>
      <c r="R2470">
        <v>-99.999999000000003</v>
      </c>
    </row>
    <row r="2471" spans="1:18" x14ac:dyDescent="0.2">
      <c r="A2471" t="s">
        <v>1637</v>
      </c>
      <c r="B2471" t="s">
        <v>1638</v>
      </c>
      <c r="C2471">
        <v>1</v>
      </c>
      <c r="D2471" s="1">
        <v>44041.823252314818</v>
      </c>
      <c r="E2471" t="s">
        <v>7781</v>
      </c>
      <c r="F2471" t="s">
        <v>1640</v>
      </c>
      <c r="G2471" t="s">
        <v>7782</v>
      </c>
      <c r="H2471" t="s">
        <v>1642</v>
      </c>
      <c r="I2471" t="s">
        <v>29</v>
      </c>
      <c r="J2471">
        <v>1</v>
      </c>
      <c r="K2471">
        <f>1-888-407-6535</f>
        <v>-7829</v>
      </c>
      <c r="L2471" t="s">
        <v>7783</v>
      </c>
      <c r="M2471" t="s">
        <v>7784</v>
      </c>
      <c r="N2471" t="s">
        <v>36</v>
      </c>
      <c r="O2471" t="s">
        <v>134</v>
      </c>
      <c r="P2471" t="s">
        <v>292</v>
      </c>
      <c r="Q2471">
        <v>49</v>
      </c>
      <c r="R2471">
        <v>2.3281000000000001</v>
      </c>
    </row>
    <row r="2472" spans="1:18" x14ac:dyDescent="0.2">
      <c r="A2472" t="s">
        <v>1637</v>
      </c>
      <c r="B2472" t="s">
        <v>1638</v>
      </c>
      <c r="C2472">
        <v>1</v>
      </c>
      <c r="D2472" s="1">
        <v>44041.822476851848</v>
      </c>
      <c r="E2472" t="s">
        <v>7785</v>
      </c>
      <c r="F2472" t="s">
        <v>1640</v>
      </c>
      <c r="G2472" t="s">
        <v>7782</v>
      </c>
      <c r="H2472" t="s">
        <v>1642</v>
      </c>
      <c r="I2472" t="s">
        <v>29</v>
      </c>
      <c r="J2472">
        <v>1</v>
      </c>
      <c r="K2472">
        <f>1-888-407-6535</f>
        <v>-7829</v>
      </c>
      <c r="L2472" t="s">
        <v>7786</v>
      </c>
      <c r="M2472" t="s">
        <v>7787</v>
      </c>
      <c r="N2472" t="s">
        <v>452</v>
      </c>
      <c r="O2472" t="s">
        <v>134</v>
      </c>
      <c r="P2472" t="s">
        <v>292</v>
      </c>
      <c r="Q2472">
        <v>49</v>
      </c>
      <c r="R2472">
        <v>2.3281000000000001</v>
      </c>
    </row>
    <row r="2473" spans="1:18" x14ac:dyDescent="0.2">
      <c r="A2473" t="s">
        <v>1637</v>
      </c>
      <c r="B2473" t="s">
        <v>1638</v>
      </c>
      <c r="C2473">
        <v>1</v>
      </c>
      <c r="D2473" s="1">
        <v>44041.822210648148</v>
      </c>
      <c r="E2473" t="s">
        <v>7788</v>
      </c>
      <c r="F2473" t="s">
        <v>1640</v>
      </c>
      <c r="G2473" t="s">
        <v>7782</v>
      </c>
      <c r="H2473" t="s">
        <v>1642</v>
      </c>
      <c r="I2473" t="s">
        <v>29</v>
      </c>
      <c r="J2473">
        <v>1</v>
      </c>
      <c r="K2473">
        <f>1-888-407-6535</f>
        <v>-7829</v>
      </c>
      <c r="L2473" t="s">
        <v>7789</v>
      </c>
      <c r="M2473" t="s">
        <v>7790</v>
      </c>
      <c r="N2473" t="s">
        <v>1645</v>
      </c>
      <c r="O2473" t="s">
        <v>134</v>
      </c>
      <c r="P2473" t="s">
        <v>292</v>
      </c>
      <c r="Q2473">
        <v>49</v>
      </c>
      <c r="R2473">
        <v>2.3281000000000001</v>
      </c>
    </row>
    <row r="2474" spans="1:18" x14ac:dyDescent="0.2">
      <c r="A2474" t="s">
        <v>1637</v>
      </c>
      <c r="B2474" t="s">
        <v>1638</v>
      </c>
      <c r="C2474">
        <v>1</v>
      </c>
      <c r="D2474" s="1">
        <v>44041.80972222222</v>
      </c>
      <c r="E2474" t="s">
        <v>7791</v>
      </c>
      <c r="F2474" t="s">
        <v>1640</v>
      </c>
      <c r="G2474" t="s">
        <v>7782</v>
      </c>
      <c r="H2474" t="s">
        <v>1642</v>
      </c>
      <c r="I2474" t="s">
        <v>29</v>
      </c>
      <c r="J2474">
        <v>1</v>
      </c>
      <c r="K2474">
        <f>1-888-406-8604</f>
        <v>-9897</v>
      </c>
      <c r="L2474" t="s">
        <v>7792</v>
      </c>
      <c r="M2474" t="s">
        <v>7793</v>
      </c>
      <c r="N2474" t="s">
        <v>452</v>
      </c>
      <c r="O2474" t="s">
        <v>134</v>
      </c>
      <c r="P2474" t="s">
        <v>292</v>
      </c>
      <c r="Q2474">
        <v>49</v>
      </c>
      <c r="R2474">
        <v>2.3281000000000001</v>
      </c>
    </row>
    <row r="2475" spans="1:18" x14ac:dyDescent="0.2">
      <c r="A2475" t="s">
        <v>1637</v>
      </c>
      <c r="B2475" t="s">
        <v>1638</v>
      </c>
      <c r="C2475">
        <v>1</v>
      </c>
      <c r="D2475" s="1">
        <v>44041.793993055559</v>
      </c>
      <c r="E2475" t="s">
        <v>7794</v>
      </c>
      <c r="F2475" t="s">
        <v>1640</v>
      </c>
      <c r="G2475" t="s">
        <v>7782</v>
      </c>
      <c r="H2475" t="s">
        <v>1642</v>
      </c>
      <c r="I2475" t="s">
        <v>29</v>
      </c>
      <c r="J2475">
        <v>1</v>
      </c>
      <c r="K2475">
        <f>1-888-407-1511</f>
        <v>-2805</v>
      </c>
      <c r="L2475" t="s">
        <v>7795</v>
      </c>
      <c r="M2475" t="s">
        <v>7796</v>
      </c>
      <c r="N2475" t="s">
        <v>2475</v>
      </c>
      <c r="O2475" t="s">
        <v>134</v>
      </c>
      <c r="P2475" t="s">
        <v>292</v>
      </c>
      <c r="Q2475">
        <v>49</v>
      </c>
      <c r="R2475">
        <v>2.3281000000000001</v>
      </c>
    </row>
    <row r="2476" spans="1:18" x14ac:dyDescent="0.2">
      <c r="A2476" t="s">
        <v>1637</v>
      </c>
      <c r="B2476" t="s">
        <v>1638</v>
      </c>
      <c r="C2476">
        <v>1</v>
      </c>
      <c r="D2476" s="1">
        <v>44041.726215277777</v>
      </c>
      <c r="E2476" t="s">
        <v>7797</v>
      </c>
      <c r="F2476" t="s">
        <v>1640</v>
      </c>
      <c r="G2476" t="s">
        <v>7782</v>
      </c>
      <c r="H2476" t="s">
        <v>1642</v>
      </c>
      <c r="I2476" t="s">
        <v>29</v>
      </c>
      <c r="J2476">
        <v>1</v>
      </c>
      <c r="K2476">
        <f>1-888-407-6535</f>
        <v>-7829</v>
      </c>
      <c r="L2476" t="s">
        <v>7798</v>
      </c>
      <c r="M2476" t="s">
        <v>7799</v>
      </c>
      <c r="N2476" t="s">
        <v>36</v>
      </c>
      <c r="O2476" t="s">
        <v>134</v>
      </c>
      <c r="P2476" t="s">
        <v>292</v>
      </c>
      <c r="Q2476">
        <v>49</v>
      </c>
      <c r="R2476">
        <v>2.3281000000000001</v>
      </c>
    </row>
    <row r="2477" spans="1:18" x14ac:dyDescent="0.2">
      <c r="A2477" t="s">
        <v>1637</v>
      </c>
      <c r="B2477" t="s">
        <v>1638</v>
      </c>
      <c r="C2477">
        <v>1</v>
      </c>
      <c r="D2477" s="1">
        <v>44040.976284722223</v>
      </c>
      <c r="E2477" t="s">
        <v>7800</v>
      </c>
      <c r="F2477" t="s">
        <v>1640</v>
      </c>
      <c r="G2477" t="s">
        <v>7782</v>
      </c>
      <c r="H2477" t="s">
        <v>1642</v>
      </c>
      <c r="I2477" t="s">
        <v>29</v>
      </c>
      <c r="J2477">
        <v>1</v>
      </c>
      <c r="K2477">
        <f>1-888-739-9181</f>
        <v>-10807</v>
      </c>
      <c r="L2477" t="s">
        <v>7801</v>
      </c>
      <c r="M2477" t="s">
        <v>7802</v>
      </c>
      <c r="N2477" t="s">
        <v>2475</v>
      </c>
      <c r="O2477" t="s">
        <v>134</v>
      </c>
      <c r="P2477" t="s">
        <v>292</v>
      </c>
      <c r="Q2477">
        <v>49</v>
      </c>
      <c r="R2477">
        <v>2.3281000000000001</v>
      </c>
    </row>
    <row r="2478" spans="1:18" x14ac:dyDescent="0.2">
      <c r="A2478" t="s">
        <v>1637</v>
      </c>
      <c r="B2478" t="s">
        <v>1638</v>
      </c>
      <c r="C2478">
        <v>1</v>
      </c>
      <c r="D2478" s="1">
        <v>44040.941388888888</v>
      </c>
      <c r="E2478" t="s">
        <v>7803</v>
      </c>
      <c r="F2478" t="s">
        <v>1640</v>
      </c>
      <c r="G2478" t="s">
        <v>7782</v>
      </c>
      <c r="H2478" t="s">
        <v>1642</v>
      </c>
      <c r="I2478" t="s">
        <v>29</v>
      </c>
      <c r="J2478">
        <v>1</v>
      </c>
      <c r="K2478">
        <f>1-888-407-5620</f>
        <v>-6914</v>
      </c>
      <c r="L2478" t="s">
        <v>7804</v>
      </c>
      <c r="M2478" t="s">
        <v>7805</v>
      </c>
      <c r="N2478" t="s">
        <v>1645</v>
      </c>
      <c r="O2478" t="s">
        <v>134</v>
      </c>
      <c r="P2478" t="s">
        <v>292</v>
      </c>
      <c r="Q2478">
        <v>49</v>
      </c>
      <c r="R2478">
        <v>2.3281000000000001</v>
      </c>
    </row>
    <row r="2479" spans="1:18" x14ac:dyDescent="0.2">
      <c r="A2479" t="s">
        <v>1637</v>
      </c>
      <c r="B2479" t="s">
        <v>1638</v>
      </c>
      <c r="C2479">
        <v>1</v>
      </c>
      <c r="D2479" s="1">
        <v>44027.935636574075</v>
      </c>
      <c r="E2479" t="s">
        <v>7806</v>
      </c>
      <c r="F2479" t="s">
        <v>1640</v>
      </c>
      <c r="G2479" t="s">
        <v>7782</v>
      </c>
      <c r="H2479" t="s">
        <v>1642</v>
      </c>
      <c r="I2479" t="s">
        <v>29</v>
      </c>
      <c r="J2479">
        <v>1</v>
      </c>
      <c r="K2479">
        <f>1-888-581-8031</f>
        <v>-9499</v>
      </c>
      <c r="L2479" t="s">
        <v>7807</v>
      </c>
      <c r="M2479" t="s">
        <v>7808</v>
      </c>
      <c r="N2479" t="s">
        <v>2475</v>
      </c>
      <c r="O2479" t="s">
        <v>134</v>
      </c>
      <c r="P2479" t="s">
        <v>292</v>
      </c>
      <c r="Q2479">
        <v>49</v>
      </c>
      <c r="R2479">
        <v>2.3281000000000001</v>
      </c>
    </row>
    <row r="2480" spans="1:18" x14ac:dyDescent="0.2">
      <c r="A2480" t="s">
        <v>1637</v>
      </c>
      <c r="B2480" t="s">
        <v>1638</v>
      </c>
      <c r="C2480">
        <v>1</v>
      </c>
      <c r="D2480" s="1">
        <v>44027.924780092595</v>
      </c>
      <c r="E2480" t="s">
        <v>7806</v>
      </c>
      <c r="F2480" t="s">
        <v>1640</v>
      </c>
      <c r="G2480" t="s">
        <v>7782</v>
      </c>
      <c r="H2480" t="s">
        <v>1642</v>
      </c>
      <c r="I2480" t="s">
        <v>29</v>
      </c>
      <c r="J2480">
        <v>1</v>
      </c>
      <c r="K2480">
        <f>1-888-608-695</f>
        <v>-2190</v>
      </c>
      <c r="L2480" t="s">
        <v>7809</v>
      </c>
      <c r="M2480" t="s">
        <v>7810</v>
      </c>
      <c r="N2480" t="s">
        <v>2475</v>
      </c>
      <c r="O2480" t="s">
        <v>134</v>
      </c>
      <c r="P2480" t="s">
        <v>292</v>
      </c>
      <c r="Q2480">
        <v>49</v>
      </c>
      <c r="R2480">
        <v>2.3281000000000001</v>
      </c>
    </row>
    <row r="2481" spans="1:18" x14ac:dyDescent="0.2">
      <c r="A2481" t="s">
        <v>1637</v>
      </c>
      <c r="B2481" t="s">
        <v>1638</v>
      </c>
      <c r="C2481">
        <v>1</v>
      </c>
      <c r="D2481" s="1">
        <v>44027.907534722224</v>
      </c>
      <c r="E2481" t="s">
        <v>7811</v>
      </c>
      <c r="F2481" t="s">
        <v>1640</v>
      </c>
      <c r="G2481" t="s">
        <v>7782</v>
      </c>
      <c r="H2481" t="s">
        <v>1642</v>
      </c>
      <c r="I2481" t="s">
        <v>29</v>
      </c>
      <c r="J2481">
        <v>1</v>
      </c>
      <c r="K2481">
        <f>1-888-407-6895</f>
        <v>-8189</v>
      </c>
      <c r="L2481" t="s">
        <v>7812</v>
      </c>
      <c r="M2481" t="s">
        <v>7813</v>
      </c>
      <c r="N2481" t="s">
        <v>1645</v>
      </c>
      <c r="O2481" t="s">
        <v>134</v>
      </c>
      <c r="P2481" t="s">
        <v>292</v>
      </c>
      <c r="Q2481">
        <v>49</v>
      </c>
      <c r="R2481">
        <v>2.3281000000000001</v>
      </c>
    </row>
    <row r="2482" spans="1:18" x14ac:dyDescent="0.2">
      <c r="A2482" t="s">
        <v>663</v>
      </c>
      <c r="B2482" t="s">
        <v>3385</v>
      </c>
      <c r="C2482">
        <v>61</v>
      </c>
      <c r="D2482" s="1">
        <v>44031.051504629628</v>
      </c>
      <c r="E2482" t="s">
        <v>7814</v>
      </c>
      <c r="F2482" t="s">
        <v>666</v>
      </c>
      <c r="G2482" t="s">
        <v>7815</v>
      </c>
      <c r="H2482" t="s">
        <v>667</v>
      </c>
      <c r="I2482" t="s">
        <v>782</v>
      </c>
      <c r="J2482">
        <v>61</v>
      </c>
      <c r="K2482">
        <f>61-1800-531-983</f>
        <v>-3253</v>
      </c>
      <c r="L2482" t="s">
        <v>7816</v>
      </c>
      <c r="M2482" t="s">
        <v>7817</v>
      </c>
      <c r="N2482" t="s">
        <v>1645</v>
      </c>
      <c r="O2482" t="s">
        <v>28</v>
      </c>
      <c r="P2482" t="s">
        <v>29</v>
      </c>
      <c r="Q2482">
        <v>41</v>
      </c>
      <c r="R2482">
        <v>-73.996600000000001</v>
      </c>
    </row>
    <row r="2483" spans="1:18" x14ac:dyDescent="0.2">
      <c r="A2483" t="s">
        <v>1200</v>
      </c>
      <c r="B2483" t="s">
        <v>1201</v>
      </c>
      <c r="C2483">
        <v>1</v>
      </c>
      <c r="D2483" s="1">
        <v>44027.921956018516</v>
      </c>
      <c r="E2483" t="s">
        <v>7818</v>
      </c>
      <c r="F2483" t="s">
        <v>1203</v>
      </c>
      <c r="G2483" t="s">
        <v>7819</v>
      </c>
      <c r="H2483" t="s">
        <v>1205</v>
      </c>
      <c r="I2483" t="s">
        <v>29</v>
      </c>
      <c r="J2483">
        <v>1</v>
      </c>
      <c r="K2483">
        <f>1-855-854-4290</f>
        <v>-5998</v>
      </c>
      <c r="L2483" t="s">
        <v>7820</v>
      </c>
      <c r="M2483" t="s">
        <v>7821</v>
      </c>
      <c r="N2483" t="s">
        <v>7822</v>
      </c>
      <c r="O2483" t="s">
        <v>134</v>
      </c>
      <c r="P2483" t="s">
        <v>29</v>
      </c>
      <c r="Q2483">
        <v>34</v>
      </c>
      <c r="R2483">
        <v>-99.999999000000003</v>
      </c>
    </row>
    <row r="2484" spans="1:18" x14ac:dyDescent="0.2">
      <c r="A2484" t="s">
        <v>663</v>
      </c>
      <c r="B2484" t="s">
        <v>664</v>
      </c>
      <c r="C2484">
        <v>1</v>
      </c>
      <c r="D2484" s="1">
        <v>44027.976365740738</v>
      </c>
      <c r="E2484" t="s">
        <v>7823</v>
      </c>
      <c r="F2484" t="s">
        <v>666</v>
      </c>
      <c r="G2484" t="s">
        <v>7823</v>
      </c>
      <c r="H2484" t="s">
        <v>667</v>
      </c>
      <c r="I2484" t="s">
        <v>29</v>
      </c>
      <c r="J2484">
        <v>1</v>
      </c>
      <c r="K2484">
        <f>1-866-462-6410</f>
        <v>-7737</v>
      </c>
      <c r="L2484" t="s">
        <v>7824</v>
      </c>
      <c r="M2484" t="s">
        <v>7825</v>
      </c>
      <c r="N2484">
        <v>95</v>
      </c>
      <c r="O2484" t="s">
        <v>134</v>
      </c>
      <c r="P2484" t="s">
        <v>29</v>
      </c>
      <c r="Q2484">
        <v>37</v>
      </c>
      <c r="R2484">
        <v>-99.999999000000003</v>
      </c>
    </row>
    <row r="2485" spans="1:18" x14ac:dyDescent="0.2">
      <c r="A2485" t="s">
        <v>663</v>
      </c>
      <c r="B2485" t="s">
        <v>5337</v>
      </c>
      <c r="C2485">
        <v>1</v>
      </c>
      <c r="D2485" s="1">
        <v>44028.014328703706</v>
      </c>
      <c r="E2485" t="s">
        <v>7826</v>
      </c>
      <c r="F2485" t="s">
        <v>666</v>
      </c>
      <c r="G2485" t="s">
        <v>7826</v>
      </c>
      <c r="H2485" t="s">
        <v>667</v>
      </c>
      <c r="I2485" t="s">
        <v>29</v>
      </c>
      <c r="J2485">
        <v>1</v>
      </c>
      <c r="K2485">
        <f>1-866-531-6991</f>
        <v>-8387</v>
      </c>
      <c r="L2485" t="s">
        <v>7827</v>
      </c>
      <c r="M2485" t="s">
        <v>7828</v>
      </c>
      <c r="N2485">
        <v>6</v>
      </c>
      <c r="O2485" t="s">
        <v>134</v>
      </c>
      <c r="P2485" t="s">
        <v>29</v>
      </c>
      <c r="Q2485">
        <v>38</v>
      </c>
      <c r="R2485">
        <v>-99.999999000000003</v>
      </c>
    </row>
    <row r="2486" spans="1:18" x14ac:dyDescent="0.2">
      <c r="A2486" t="s">
        <v>663</v>
      </c>
      <c r="B2486" t="s">
        <v>5337</v>
      </c>
      <c r="C2486">
        <v>1</v>
      </c>
      <c r="D2486" s="1">
        <v>44028.022638888891</v>
      </c>
      <c r="E2486" t="s">
        <v>7829</v>
      </c>
      <c r="F2486" t="s">
        <v>666</v>
      </c>
      <c r="G2486" t="s">
        <v>7829</v>
      </c>
      <c r="H2486" t="s">
        <v>667</v>
      </c>
      <c r="I2486" t="s">
        <v>29</v>
      </c>
      <c r="J2486">
        <v>1</v>
      </c>
      <c r="K2486">
        <f>1-866-671-7730</f>
        <v>-9266</v>
      </c>
      <c r="L2486" t="s">
        <v>7830</v>
      </c>
      <c r="M2486" t="s">
        <v>7831</v>
      </c>
      <c r="N2486">
        <v>249</v>
      </c>
      <c r="O2486" t="s">
        <v>134</v>
      </c>
      <c r="P2486" t="s">
        <v>29</v>
      </c>
      <c r="Q2486">
        <v>38</v>
      </c>
      <c r="R2486">
        <v>-99.999999000000003</v>
      </c>
    </row>
    <row r="2487" spans="1:18" x14ac:dyDescent="0.2">
      <c r="A2487" t="s">
        <v>663</v>
      </c>
      <c r="B2487" t="s">
        <v>3385</v>
      </c>
      <c r="C2487">
        <v>61</v>
      </c>
      <c r="D2487" s="1">
        <v>44028.02611111111</v>
      </c>
      <c r="E2487" t="s">
        <v>7832</v>
      </c>
      <c r="F2487" t="s">
        <v>666</v>
      </c>
      <c r="G2487" t="s">
        <v>7833</v>
      </c>
      <c r="H2487" t="s">
        <v>667</v>
      </c>
      <c r="I2487" t="s">
        <v>782</v>
      </c>
      <c r="J2487">
        <v>61</v>
      </c>
      <c r="K2487">
        <f>61-1800-234-227</f>
        <v>-2200</v>
      </c>
      <c r="L2487" t="s">
        <v>7834</v>
      </c>
      <c r="M2487" t="s">
        <v>7835</v>
      </c>
      <c r="N2487" t="s">
        <v>1645</v>
      </c>
      <c r="O2487" t="s">
        <v>28</v>
      </c>
      <c r="P2487" t="s">
        <v>29</v>
      </c>
      <c r="Q2487">
        <v>41</v>
      </c>
      <c r="R2487">
        <v>-74.006600000000006</v>
      </c>
    </row>
    <row r="2488" spans="1:18" x14ac:dyDescent="0.2">
      <c r="A2488" t="s">
        <v>663</v>
      </c>
      <c r="B2488" t="s">
        <v>454</v>
      </c>
      <c r="C2488">
        <v>43</v>
      </c>
      <c r="D2488" s="1">
        <v>44028.035509259258</v>
      </c>
      <c r="E2488" t="s">
        <v>7836</v>
      </c>
      <c r="F2488" t="s">
        <v>666</v>
      </c>
      <c r="G2488" t="s">
        <v>7837</v>
      </c>
      <c r="H2488" t="s">
        <v>667</v>
      </c>
      <c r="I2488" t="s">
        <v>3432</v>
      </c>
      <c r="J2488">
        <v>43</v>
      </c>
      <c r="K2488">
        <f>43-670-308-150</f>
        <v>-1085</v>
      </c>
      <c r="L2488" t="s">
        <v>7838</v>
      </c>
      <c r="M2488" t="s">
        <v>7839</v>
      </c>
      <c r="N2488" t="s">
        <v>3454</v>
      </c>
      <c r="O2488" t="s">
        <v>28</v>
      </c>
      <c r="P2488" t="s">
        <v>461</v>
      </c>
      <c r="Q2488">
        <v>52</v>
      </c>
      <c r="R2488">
        <v>4.8975</v>
      </c>
    </row>
    <row r="2489" spans="1:18" x14ac:dyDescent="0.2">
      <c r="A2489" t="s">
        <v>663</v>
      </c>
      <c r="B2489" t="s">
        <v>664</v>
      </c>
      <c r="C2489">
        <v>1</v>
      </c>
      <c r="D2489" s="1">
        <v>44028.058032407411</v>
      </c>
      <c r="E2489" t="s">
        <v>7840</v>
      </c>
      <c r="F2489" t="s">
        <v>666</v>
      </c>
      <c r="G2489" t="s">
        <v>7840</v>
      </c>
      <c r="H2489" t="s">
        <v>667</v>
      </c>
      <c r="I2489" t="s">
        <v>29</v>
      </c>
      <c r="J2489">
        <v>1</v>
      </c>
      <c r="K2489">
        <f>1-866-575-5320</f>
        <v>-6760</v>
      </c>
      <c r="L2489" t="s">
        <v>7841</v>
      </c>
      <c r="M2489" t="s">
        <v>7842</v>
      </c>
      <c r="N2489">
        <v>218</v>
      </c>
      <c r="O2489" t="s">
        <v>134</v>
      </c>
      <c r="P2489" t="s">
        <v>29</v>
      </c>
      <c r="Q2489">
        <v>37</v>
      </c>
      <c r="R2489">
        <v>-99.999999000000003</v>
      </c>
    </row>
    <row r="2490" spans="1:18" x14ac:dyDescent="0.2">
      <c r="A2490" t="s">
        <v>663</v>
      </c>
      <c r="B2490" t="s">
        <v>2500</v>
      </c>
      <c r="C2490">
        <v>81</v>
      </c>
      <c r="D2490" s="1">
        <v>44028.096307870372</v>
      </c>
      <c r="E2490" t="s">
        <v>7843</v>
      </c>
      <c r="F2490" t="s">
        <v>666</v>
      </c>
      <c r="G2490" t="s">
        <v>7843</v>
      </c>
      <c r="H2490" t="s">
        <v>667</v>
      </c>
      <c r="I2490" t="s">
        <v>53</v>
      </c>
      <c r="J2490">
        <v>81</v>
      </c>
      <c r="K2490">
        <f>81-50-5539-3733</f>
        <v>-9241</v>
      </c>
      <c r="L2490" t="s">
        <v>7844</v>
      </c>
      <c r="M2490" t="s">
        <v>7845</v>
      </c>
      <c r="N2490">
        <v>70</v>
      </c>
      <c r="O2490" t="s">
        <v>134</v>
      </c>
      <c r="P2490" t="s">
        <v>2500</v>
      </c>
      <c r="Q2490">
        <v>1</v>
      </c>
      <c r="R2490">
        <v>99.999999000000003</v>
      </c>
    </row>
    <row r="2491" spans="1:18" x14ac:dyDescent="0.2">
      <c r="A2491" t="s">
        <v>663</v>
      </c>
      <c r="B2491" t="s">
        <v>2500</v>
      </c>
      <c r="C2491">
        <v>1</v>
      </c>
      <c r="D2491" s="1">
        <v>44044.904247685183</v>
      </c>
      <c r="E2491" t="s">
        <v>7846</v>
      </c>
      <c r="F2491" t="s">
        <v>666</v>
      </c>
      <c r="G2491" t="s">
        <v>7847</v>
      </c>
      <c r="H2491" t="s">
        <v>667</v>
      </c>
      <c r="I2491" t="s">
        <v>29</v>
      </c>
      <c r="J2491">
        <v>1</v>
      </c>
      <c r="K2491">
        <f>1-888-888-8888</f>
        <v>-10663</v>
      </c>
      <c r="L2491" t="s">
        <v>7848</v>
      </c>
      <c r="M2491" t="s">
        <v>7849</v>
      </c>
      <c r="N2491" t="s">
        <v>447</v>
      </c>
      <c r="O2491" t="s">
        <v>134</v>
      </c>
      <c r="P2491" t="s">
        <v>2500</v>
      </c>
      <c r="Q2491">
        <v>1</v>
      </c>
      <c r="R2491">
        <v>99.999999000000003</v>
      </c>
    </row>
    <row r="2492" spans="1:18" x14ac:dyDescent="0.2">
      <c r="A2492" t="s">
        <v>663</v>
      </c>
      <c r="B2492" t="s">
        <v>2500</v>
      </c>
      <c r="C2492">
        <v>1</v>
      </c>
      <c r="D2492" s="1">
        <v>44039.450277777774</v>
      </c>
      <c r="E2492" t="s">
        <v>7850</v>
      </c>
      <c r="F2492" t="s">
        <v>666</v>
      </c>
      <c r="G2492" t="s">
        <v>7847</v>
      </c>
      <c r="H2492" t="s">
        <v>667</v>
      </c>
      <c r="I2492" t="s">
        <v>29</v>
      </c>
      <c r="J2492">
        <v>1</v>
      </c>
      <c r="K2492">
        <f>1-888-888-8888</f>
        <v>-10663</v>
      </c>
      <c r="L2492" t="s">
        <v>7851</v>
      </c>
      <c r="M2492" t="s">
        <v>7852</v>
      </c>
      <c r="N2492" t="s">
        <v>213</v>
      </c>
      <c r="O2492" t="s">
        <v>134</v>
      </c>
      <c r="P2492" t="s">
        <v>2500</v>
      </c>
      <c r="Q2492">
        <v>1</v>
      </c>
      <c r="R2492">
        <v>99.999999000000003</v>
      </c>
    </row>
    <row r="2493" spans="1:18" x14ac:dyDescent="0.2">
      <c r="A2493" t="s">
        <v>663</v>
      </c>
      <c r="B2493" t="s">
        <v>2263</v>
      </c>
      <c r="C2493">
        <v>358</v>
      </c>
      <c r="D2493" s="1">
        <v>44028.704652777778</v>
      </c>
      <c r="E2493" t="s">
        <v>7853</v>
      </c>
      <c r="F2493" t="s">
        <v>666</v>
      </c>
      <c r="G2493" t="s">
        <v>7854</v>
      </c>
      <c r="H2493" t="s">
        <v>667</v>
      </c>
      <c r="I2493" t="s">
        <v>6238</v>
      </c>
      <c r="J2493">
        <v>358</v>
      </c>
      <c r="K2493">
        <f>358-800-102-133</f>
        <v>-677</v>
      </c>
      <c r="L2493" t="s">
        <v>7855</v>
      </c>
      <c r="M2493" t="s">
        <v>7856</v>
      </c>
      <c r="N2493" t="s">
        <v>5354</v>
      </c>
      <c r="O2493" t="s">
        <v>28</v>
      </c>
      <c r="P2493" t="s">
        <v>2268</v>
      </c>
      <c r="Q2493">
        <v>44</v>
      </c>
      <c r="R2493">
        <v>-79.362300000000005</v>
      </c>
    </row>
    <row r="2494" spans="1:18" x14ac:dyDescent="0.2">
      <c r="A2494" t="s">
        <v>663</v>
      </c>
      <c r="B2494" t="s">
        <v>2263</v>
      </c>
      <c r="C2494">
        <v>1</v>
      </c>
      <c r="D2494" s="1">
        <v>44028.100370370368</v>
      </c>
      <c r="E2494" t="s">
        <v>7853</v>
      </c>
      <c r="F2494" t="s">
        <v>666</v>
      </c>
      <c r="G2494" t="s">
        <v>7854</v>
      </c>
      <c r="H2494" t="s">
        <v>667</v>
      </c>
      <c r="I2494" t="s">
        <v>29</v>
      </c>
      <c r="J2494">
        <v>1</v>
      </c>
      <c r="K2494">
        <f>1-47-800-62-628</f>
        <v>-1536</v>
      </c>
      <c r="L2494" t="s">
        <v>7857</v>
      </c>
      <c r="M2494" t="s">
        <v>7858</v>
      </c>
      <c r="N2494" t="s">
        <v>5354</v>
      </c>
      <c r="O2494" t="s">
        <v>28</v>
      </c>
      <c r="P2494" t="s">
        <v>2268</v>
      </c>
      <c r="Q2494">
        <v>44</v>
      </c>
      <c r="R2494">
        <v>-79.362300000000005</v>
      </c>
    </row>
    <row r="2495" spans="1:18" x14ac:dyDescent="0.2">
      <c r="A2495" t="s">
        <v>663</v>
      </c>
      <c r="B2495" t="s">
        <v>664</v>
      </c>
      <c r="C2495">
        <v>1</v>
      </c>
      <c r="D2495" s="1">
        <v>44028.754895833335</v>
      </c>
      <c r="E2495" t="s">
        <v>7859</v>
      </c>
      <c r="F2495" t="s">
        <v>666</v>
      </c>
      <c r="G2495" t="s">
        <v>7859</v>
      </c>
      <c r="H2495" t="s">
        <v>667</v>
      </c>
      <c r="I2495" t="s">
        <v>29</v>
      </c>
      <c r="J2495">
        <v>1</v>
      </c>
      <c r="K2495">
        <f>1-866-463-1099</f>
        <v>-2427</v>
      </c>
      <c r="L2495" t="s">
        <v>7860</v>
      </c>
      <c r="M2495" t="s">
        <v>7861</v>
      </c>
      <c r="N2495">
        <v>207</v>
      </c>
      <c r="O2495" t="s">
        <v>134</v>
      </c>
      <c r="P2495" t="s">
        <v>29</v>
      </c>
      <c r="Q2495">
        <v>37</v>
      </c>
      <c r="R2495">
        <v>-99.999999000000003</v>
      </c>
    </row>
    <row r="2496" spans="1:18" x14ac:dyDescent="0.2">
      <c r="A2496" t="s">
        <v>675</v>
      </c>
      <c r="B2496" t="s">
        <v>1412</v>
      </c>
      <c r="C2496">
        <v>61</v>
      </c>
      <c r="D2496" s="1">
        <v>44047.867789351854</v>
      </c>
      <c r="E2496" t="s">
        <v>7862</v>
      </c>
      <c r="F2496" t="s">
        <v>678</v>
      </c>
      <c r="G2496" t="s">
        <v>7863</v>
      </c>
      <c r="H2496" t="s">
        <v>680</v>
      </c>
      <c r="I2496" t="s">
        <v>782</v>
      </c>
      <c r="J2496">
        <v>61</v>
      </c>
      <c r="K2496">
        <f>61-1800-557-863</f>
        <v>-3159</v>
      </c>
      <c r="L2496" t="s">
        <v>7864</v>
      </c>
      <c r="M2496" t="s">
        <v>7865</v>
      </c>
      <c r="N2496" t="s">
        <v>1645</v>
      </c>
      <c r="O2496" t="s">
        <v>28</v>
      </c>
      <c r="P2496" t="s">
        <v>29</v>
      </c>
      <c r="Q2496">
        <v>41</v>
      </c>
      <c r="R2496">
        <v>-74.172399999999996</v>
      </c>
    </row>
    <row r="2497" spans="1:18" x14ac:dyDescent="0.2">
      <c r="A2497" t="s">
        <v>675</v>
      </c>
      <c r="B2497" t="s">
        <v>1412</v>
      </c>
      <c r="C2497">
        <v>61</v>
      </c>
      <c r="D2497" s="1">
        <v>44044.902453703704</v>
      </c>
      <c r="E2497" t="s">
        <v>7866</v>
      </c>
      <c r="F2497" t="s">
        <v>678</v>
      </c>
      <c r="G2497" t="s">
        <v>7863</v>
      </c>
      <c r="H2497" t="s">
        <v>680</v>
      </c>
      <c r="I2497" t="s">
        <v>782</v>
      </c>
      <c r="J2497">
        <v>61</v>
      </c>
      <c r="K2497">
        <f>61-1800-557-863</f>
        <v>-3159</v>
      </c>
      <c r="L2497" t="s">
        <v>7867</v>
      </c>
      <c r="M2497" t="s">
        <v>7868</v>
      </c>
      <c r="N2497" t="s">
        <v>683</v>
      </c>
      <c r="O2497" t="s">
        <v>28</v>
      </c>
      <c r="P2497" t="s">
        <v>29</v>
      </c>
      <c r="Q2497">
        <v>41</v>
      </c>
      <c r="R2497">
        <v>-74.172399999999996</v>
      </c>
    </row>
    <row r="2498" spans="1:18" x14ac:dyDescent="0.2">
      <c r="A2498" t="s">
        <v>675</v>
      </c>
      <c r="B2498" t="s">
        <v>1412</v>
      </c>
      <c r="C2498">
        <v>61</v>
      </c>
      <c r="D2498" s="1">
        <v>44041.288587962961</v>
      </c>
      <c r="E2498" t="s">
        <v>7869</v>
      </c>
      <c r="F2498" t="s">
        <v>678</v>
      </c>
      <c r="G2498" t="s">
        <v>7863</v>
      </c>
      <c r="H2498" t="s">
        <v>680</v>
      </c>
      <c r="I2498" t="s">
        <v>782</v>
      </c>
      <c r="J2498">
        <v>61</v>
      </c>
      <c r="K2498">
        <f>61-1800-557-863</f>
        <v>-3159</v>
      </c>
      <c r="L2498" t="s">
        <v>7870</v>
      </c>
      <c r="M2498" t="s">
        <v>7871</v>
      </c>
      <c r="N2498" t="s">
        <v>1645</v>
      </c>
      <c r="O2498" t="s">
        <v>28</v>
      </c>
      <c r="P2498" t="s">
        <v>29</v>
      </c>
      <c r="Q2498">
        <v>41</v>
      </c>
      <c r="R2498">
        <v>-74.172399999999996</v>
      </c>
    </row>
    <row r="2499" spans="1:18" x14ac:dyDescent="0.2">
      <c r="A2499" t="s">
        <v>675</v>
      </c>
      <c r="B2499" t="s">
        <v>1412</v>
      </c>
      <c r="C2499">
        <v>61</v>
      </c>
      <c r="D2499" s="1">
        <v>44038.663229166668</v>
      </c>
      <c r="E2499" t="s">
        <v>7872</v>
      </c>
      <c r="F2499" t="s">
        <v>678</v>
      </c>
      <c r="G2499" t="s">
        <v>7863</v>
      </c>
      <c r="H2499" t="s">
        <v>680</v>
      </c>
      <c r="I2499" t="s">
        <v>782</v>
      </c>
      <c r="J2499">
        <v>61</v>
      </c>
      <c r="K2499">
        <f>61-1800-572-409</f>
        <v>-2720</v>
      </c>
      <c r="L2499" t="s">
        <v>7873</v>
      </c>
      <c r="M2499" t="s">
        <v>7874</v>
      </c>
      <c r="N2499" t="s">
        <v>1645</v>
      </c>
      <c r="O2499" t="s">
        <v>28</v>
      </c>
      <c r="P2499" t="s">
        <v>29</v>
      </c>
      <c r="Q2499">
        <v>41</v>
      </c>
      <c r="R2499">
        <v>-74.172399999999996</v>
      </c>
    </row>
    <row r="2500" spans="1:18" x14ac:dyDescent="0.2">
      <c r="A2500" t="s">
        <v>675</v>
      </c>
      <c r="B2500" t="s">
        <v>1412</v>
      </c>
      <c r="C2500">
        <v>1</v>
      </c>
      <c r="D2500" s="1">
        <v>44036.777002314811</v>
      </c>
      <c r="E2500" t="s">
        <v>7875</v>
      </c>
      <c r="F2500" t="s">
        <v>678</v>
      </c>
      <c r="G2500" t="s">
        <v>7863</v>
      </c>
      <c r="H2500" t="s">
        <v>680</v>
      </c>
      <c r="I2500" t="s">
        <v>29</v>
      </c>
      <c r="J2500">
        <v>1</v>
      </c>
      <c r="K2500">
        <f>1-888-378-3314</f>
        <v>-4579</v>
      </c>
      <c r="L2500" t="s">
        <v>7876</v>
      </c>
      <c r="M2500" t="s">
        <v>7877</v>
      </c>
      <c r="N2500" t="s">
        <v>1645</v>
      </c>
      <c r="O2500" t="s">
        <v>28</v>
      </c>
      <c r="P2500" t="s">
        <v>29</v>
      </c>
      <c r="Q2500">
        <v>41</v>
      </c>
      <c r="R2500">
        <v>-74.172399999999996</v>
      </c>
    </row>
    <row r="2501" spans="1:18" x14ac:dyDescent="0.2">
      <c r="A2501" t="s">
        <v>675</v>
      </c>
      <c r="B2501" t="s">
        <v>1412</v>
      </c>
      <c r="C2501">
        <v>1</v>
      </c>
      <c r="D2501" s="1">
        <v>44037.103263888886</v>
      </c>
      <c r="E2501" t="s">
        <v>7878</v>
      </c>
      <c r="F2501" t="s">
        <v>678</v>
      </c>
      <c r="G2501" t="s">
        <v>7863</v>
      </c>
      <c r="H2501" t="s">
        <v>680</v>
      </c>
      <c r="I2501" t="s">
        <v>29</v>
      </c>
      <c r="J2501">
        <v>1</v>
      </c>
      <c r="K2501">
        <f>1-833-270-194</f>
        <v>-1296</v>
      </c>
      <c r="L2501" t="s">
        <v>7879</v>
      </c>
      <c r="M2501" t="s">
        <v>7880</v>
      </c>
      <c r="N2501" t="s">
        <v>1645</v>
      </c>
      <c r="O2501" t="s">
        <v>28</v>
      </c>
      <c r="P2501" t="s">
        <v>29</v>
      </c>
      <c r="Q2501">
        <v>41</v>
      </c>
      <c r="R2501">
        <v>-74.172399999999996</v>
      </c>
    </row>
    <row r="2502" spans="1:18" x14ac:dyDescent="0.2">
      <c r="A2502" t="s">
        <v>675</v>
      </c>
      <c r="B2502" t="s">
        <v>1412</v>
      </c>
      <c r="C2502">
        <v>61</v>
      </c>
      <c r="D2502" s="1">
        <v>44036.606944444444</v>
      </c>
      <c r="E2502" t="s">
        <v>7881</v>
      </c>
      <c r="F2502" t="s">
        <v>678</v>
      </c>
      <c r="G2502" t="s">
        <v>7863</v>
      </c>
      <c r="H2502" t="s">
        <v>680</v>
      </c>
      <c r="I2502" t="s">
        <v>782</v>
      </c>
      <c r="J2502">
        <v>61</v>
      </c>
      <c r="K2502">
        <f>61-1800-557-863</f>
        <v>-3159</v>
      </c>
      <c r="L2502" t="s">
        <v>7882</v>
      </c>
      <c r="M2502" t="s">
        <v>7883</v>
      </c>
      <c r="N2502" t="s">
        <v>1645</v>
      </c>
      <c r="O2502" t="s">
        <v>28</v>
      </c>
      <c r="P2502" t="s">
        <v>29</v>
      </c>
      <c r="Q2502">
        <v>41</v>
      </c>
      <c r="R2502">
        <v>-74.172399999999996</v>
      </c>
    </row>
    <row r="2503" spans="1:18" x14ac:dyDescent="0.2">
      <c r="A2503" t="s">
        <v>675</v>
      </c>
      <c r="B2503" t="s">
        <v>1412</v>
      </c>
      <c r="C2503">
        <v>1</v>
      </c>
      <c r="D2503" s="1">
        <v>44034.910312499997</v>
      </c>
      <c r="E2503" t="s">
        <v>7884</v>
      </c>
      <c r="F2503" t="s">
        <v>678</v>
      </c>
      <c r="G2503" t="s">
        <v>7863</v>
      </c>
      <c r="H2503" t="s">
        <v>680</v>
      </c>
      <c r="I2503" t="s">
        <v>29</v>
      </c>
      <c r="J2503">
        <v>1</v>
      </c>
      <c r="K2503">
        <f>1-855-949-1010</f>
        <v>-2813</v>
      </c>
      <c r="L2503" t="s">
        <v>7885</v>
      </c>
      <c r="M2503" t="s">
        <v>7886</v>
      </c>
      <c r="N2503" t="s">
        <v>683</v>
      </c>
      <c r="O2503" t="s">
        <v>28</v>
      </c>
      <c r="P2503" t="s">
        <v>29</v>
      </c>
      <c r="Q2503">
        <v>41</v>
      </c>
      <c r="R2503">
        <v>-74.172399999999996</v>
      </c>
    </row>
    <row r="2504" spans="1:18" x14ac:dyDescent="0.2">
      <c r="A2504" t="s">
        <v>675</v>
      </c>
      <c r="B2504" t="s">
        <v>1412</v>
      </c>
      <c r="C2504">
        <v>61</v>
      </c>
      <c r="D2504" s="1">
        <v>44034.546099537038</v>
      </c>
      <c r="E2504" t="s">
        <v>7887</v>
      </c>
      <c r="F2504" t="s">
        <v>678</v>
      </c>
      <c r="G2504" t="s">
        <v>7863</v>
      </c>
      <c r="H2504" t="s">
        <v>680</v>
      </c>
      <c r="I2504" t="s">
        <v>782</v>
      </c>
      <c r="J2504">
        <v>61</v>
      </c>
      <c r="K2504">
        <f>61-1800-557-863</f>
        <v>-3159</v>
      </c>
      <c r="L2504" t="s">
        <v>7888</v>
      </c>
      <c r="M2504" t="s">
        <v>7889</v>
      </c>
      <c r="N2504" t="s">
        <v>1645</v>
      </c>
      <c r="O2504" t="s">
        <v>28</v>
      </c>
      <c r="P2504" t="s">
        <v>29</v>
      </c>
      <c r="Q2504">
        <v>41</v>
      </c>
      <c r="R2504">
        <v>-74.172399999999996</v>
      </c>
    </row>
    <row r="2505" spans="1:18" x14ac:dyDescent="0.2">
      <c r="A2505" t="s">
        <v>675</v>
      </c>
      <c r="B2505" t="s">
        <v>1412</v>
      </c>
      <c r="C2505">
        <v>61</v>
      </c>
      <c r="D2505" s="1">
        <v>44028.37263888889</v>
      </c>
      <c r="E2505" t="s">
        <v>7890</v>
      </c>
      <c r="F2505" t="s">
        <v>678</v>
      </c>
      <c r="G2505" t="s">
        <v>7863</v>
      </c>
      <c r="H2505" t="s">
        <v>680</v>
      </c>
      <c r="I2505" t="s">
        <v>782</v>
      </c>
      <c r="J2505">
        <v>61</v>
      </c>
      <c r="K2505">
        <f>61-1800-557-863</f>
        <v>-3159</v>
      </c>
      <c r="L2505" t="s">
        <v>7891</v>
      </c>
      <c r="M2505" t="s">
        <v>7892</v>
      </c>
      <c r="N2505" t="s">
        <v>1645</v>
      </c>
      <c r="O2505" t="s">
        <v>28</v>
      </c>
      <c r="P2505" t="s">
        <v>29</v>
      </c>
      <c r="Q2505">
        <v>41</v>
      </c>
      <c r="R2505">
        <v>-74.172399999999996</v>
      </c>
    </row>
    <row r="2506" spans="1:18" x14ac:dyDescent="0.2">
      <c r="A2506" t="s">
        <v>5349</v>
      </c>
      <c r="B2506" t="s">
        <v>440</v>
      </c>
      <c r="C2506">
        <v>81</v>
      </c>
      <c r="D2506" s="1">
        <v>44028.3746875</v>
      </c>
      <c r="E2506" t="s">
        <v>7893</v>
      </c>
      <c r="F2506" t="s">
        <v>7023</v>
      </c>
      <c r="G2506" t="s">
        <v>7893</v>
      </c>
      <c r="H2506" t="s">
        <v>2237</v>
      </c>
      <c r="I2506" t="s">
        <v>53</v>
      </c>
      <c r="J2506">
        <v>81</v>
      </c>
      <c r="K2506">
        <f>81-50-3196-532</f>
        <v>-3697</v>
      </c>
      <c r="L2506" t="s">
        <v>7894</v>
      </c>
      <c r="M2506" t="s">
        <v>7895</v>
      </c>
      <c r="N2506">
        <v>233</v>
      </c>
      <c r="O2506" t="s">
        <v>134</v>
      </c>
      <c r="P2506" t="s">
        <v>29</v>
      </c>
      <c r="Q2506">
        <v>39</v>
      </c>
      <c r="R2506">
        <v>-77.487399999999994</v>
      </c>
    </row>
    <row r="2507" spans="1:18" x14ac:dyDescent="0.2">
      <c r="A2507" t="s">
        <v>663</v>
      </c>
      <c r="B2507" t="s">
        <v>3245</v>
      </c>
      <c r="C2507">
        <v>61</v>
      </c>
      <c r="D2507" s="1">
        <v>44033.018703703703</v>
      </c>
      <c r="E2507" t="s">
        <v>7896</v>
      </c>
      <c r="F2507" t="s">
        <v>666</v>
      </c>
      <c r="G2507" t="s">
        <v>7897</v>
      </c>
      <c r="H2507" t="s">
        <v>667</v>
      </c>
      <c r="I2507" t="s">
        <v>782</v>
      </c>
      <c r="J2507">
        <v>61</v>
      </c>
      <c r="K2507">
        <f>61-1800-531-983</f>
        <v>-3253</v>
      </c>
      <c r="L2507" t="s">
        <v>7898</v>
      </c>
      <c r="M2507" t="s">
        <v>7899</v>
      </c>
      <c r="N2507" t="s">
        <v>1645</v>
      </c>
      <c r="O2507" t="s">
        <v>28</v>
      </c>
      <c r="P2507" t="s">
        <v>29</v>
      </c>
      <c r="Q2507">
        <v>41</v>
      </c>
      <c r="R2507">
        <v>-74.140299999999996</v>
      </c>
    </row>
    <row r="2508" spans="1:18" x14ac:dyDescent="0.2">
      <c r="A2508" t="s">
        <v>663</v>
      </c>
      <c r="B2508" t="s">
        <v>3245</v>
      </c>
      <c r="C2508">
        <v>61</v>
      </c>
      <c r="D2508" s="1">
        <v>44033.373402777775</v>
      </c>
      <c r="E2508" t="s">
        <v>7897</v>
      </c>
      <c r="F2508" t="s">
        <v>666</v>
      </c>
      <c r="G2508" t="s">
        <v>7897</v>
      </c>
      <c r="H2508" t="s">
        <v>667</v>
      </c>
      <c r="I2508" t="s">
        <v>782</v>
      </c>
      <c r="J2508">
        <v>61</v>
      </c>
      <c r="K2508">
        <f>61-1800-531-983</f>
        <v>-3253</v>
      </c>
      <c r="L2508" t="s">
        <v>7900</v>
      </c>
      <c r="M2508" t="s">
        <v>7901</v>
      </c>
      <c r="N2508">
        <v>248</v>
      </c>
      <c r="O2508" t="s">
        <v>134</v>
      </c>
      <c r="P2508" t="s">
        <v>29</v>
      </c>
      <c r="Q2508">
        <v>41</v>
      </c>
      <c r="R2508">
        <v>-74.140299999999996</v>
      </c>
    </row>
    <row r="2509" spans="1:18" x14ac:dyDescent="0.2">
      <c r="A2509" t="s">
        <v>663</v>
      </c>
      <c r="B2509" t="s">
        <v>454</v>
      </c>
      <c r="C2509">
        <v>43</v>
      </c>
      <c r="D2509" s="1">
        <v>44028.474259259259</v>
      </c>
      <c r="E2509" t="s">
        <v>7902</v>
      </c>
      <c r="F2509" t="s">
        <v>666</v>
      </c>
      <c r="G2509" t="s">
        <v>7903</v>
      </c>
      <c r="H2509" t="s">
        <v>667</v>
      </c>
      <c r="I2509" t="s">
        <v>3432</v>
      </c>
      <c r="J2509">
        <v>43</v>
      </c>
      <c r="K2509">
        <f>43-670-308-150</f>
        <v>-1085</v>
      </c>
      <c r="L2509" t="s">
        <v>7904</v>
      </c>
      <c r="M2509" t="s">
        <v>7905</v>
      </c>
      <c r="N2509" t="s">
        <v>447</v>
      </c>
      <c r="O2509" t="s">
        <v>28</v>
      </c>
      <c r="P2509" t="s">
        <v>461</v>
      </c>
      <c r="Q2509">
        <v>52</v>
      </c>
      <c r="R2509">
        <v>4.8975</v>
      </c>
    </row>
    <row r="2510" spans="1:18" x14ac:dyDescent="0.2">
      <c r="A2510" t="s">
        <v>2349</v>
      </c>
      <c r="B2510" t="s">
        <v>4281</v>
      </c>
      <c r="C2510">
        <v>41</v>
      </c>
      <c r="D2510" s="1">
        <v>44028.539652777778</v>
      </c>
      <c r="E2510" t="s">
        <v>7906</v>
      </c>
      <c r="F2510" t="s">
        <v>4584</v>
      </c>
      <c r="G2510" t="s">
        <v>7906</v>
      </c>
      <c r="H2510" t="s">
        <v>2353</v>
      </c>
      <c r="I2510" t="s">
        <v>204</v>
      </c>
      <c r="J2510">
        <v>41</v>
      </c>
      <c r="K2510">
        <f>41-800-723-7181</f>
        <v>-8663</v>
      </c>
      <c r="L2510" t="s">
        <v>7907</v>
      </c>
      <c r="M2510" t="s">
        <v>7908</v>
      </c>
      <c r="N2510">
        <v>96</v>
      </c>
      <c r="O2510" t="s">
        <v>134</v>
      </c>
      <c r="P2510" t="s">
        <v>24</v>
      </c>
      <c r="Q2510">
        <v>50</v>
      </c>
      <c r="R2510">
        <v>8.7147000000000006</v>
      </c>
    </row>
    <row r="2511" spans="1:18" x14ac:dyDescent="0.2">
      <c r="A2511" t="s">
        <v>663</v>
      </c>
      <c r="B2511" t="s">
        <v>3245</v>
      </c>
      <c r="C2511">
        <v>43</v>
      </c>
      <c r="D2511" s="1">
        <v>44028.541122685187</v>
      </c>
      <c r="E2511" t="s">
        <v>7909</v>
      </c>
      <c r="F2511" t="s">
        <v>666</v>
      </c>
      <c r="G2511" t="s">
        <v>7910</v>
      </c>
      <c r="H2511" t="s">
        <v>667</v>
      </c>
      <c r="I2511" t="s">
        <v>3432</v>
      </c>
      <c r="J2511">
        <v>43</v>
      </c>
      <c r="K2511">
        <f>43-670-308-150</f>
        <v>-1085</v>
      </c>
      <c r="L2511" t="s">
        <v>7911</v>
      </c>
      <c r="M2511" t="s">
        <v>7912</v>
      </c>
      <c r="N2511" t="s">
        <v>447</v>
      </c>
      <c r="O2511" t="s">
        <v>28</v>
      </c>
      <c r="P2511" t="s">
        <v>29</v>
      </c>
      <c r="Q2511">
        <v>41</v>
      </c>
      <c r="R2511">
        <v>-74.140299999999996</v>
      </c>
    </row>
    <row r="2512" spans="1:18" x14ac:dyDescent="0.2">
      <c r="A2512" t="s">
        <v>663</v>
      </c>
      <c r="B2512" t="s">
        <v>3245</v>
      </c>
      <c r="C2512">
        <v>44</v>
      </c>
      <c r="D2512" s="1">
        <v>44028.541319444441</v>
      </c>
      <c r="E2512" t="s">
        <v>7913</v>
      </c>
      <c r="F2512" t="s">
        <v>666</v>
      </c>
      <c r="G2512" t="s">
        <v>7914</v>
      </c>
      <c r="H2512" t="s">
        <v>667</v>
      </c>
      <c r="I2512" t="s">
        <v>618</v>
      </c>
      <c r="J2512">
        <v>44</v>
      </c>
      <c r="K2512">
        <f>44-800-31-4241</f>
        <v>-5028</v>
      </c>
      <c r="L2512" t="s">
        <v>7915</v>
      </c>
      <c r="M2512" t="s">
        <v>7916</v>
      </c>
      <c r="N2512" t="s">
        <v>1645</v>
      </c>
      <c r="O2512" t="s">
        <v>28</v>
      </c>
      <c r="P2512" t="s">
        <v>29</v>
      </c>
      <c r="Q2512">
        <v>41</v>
      </c>
      <c r="R2512">
        <v>-74.140299999999996</v>
      </c>
    </row>
    <row r="2513" spans="1:18" x14ac:dyDescent="0.2">
      <c r="A2513" t="s">
        <v>663</v>
      </c>
      <c r="B2513" t="s">
        <v>5337</v>
      </c>
      <c r="C2513">
        <v>43</v>
      </c>
      <c r="D2513" s="1">
        <v>44028.640474537038</v>
      </c>
      <c r="E2513" t="s">
        <v>7917</v>
      </c>
      <c r="F2513" t="s">
        <v>2495</v>
      </c>
      <c r="G2513" t="s">
        <v>7918</v>
      </c>
      <c r="H2513" t="s">
        <v>667</v>
      </c>
      <c r="I2513" t="s">
        <v>3432</v>
      </c>
      <c r="J2513">
        <v>43</v>
      </c>
      <c r="K2513">
        <f>43-670-308-150</f>
        <v>-1085</v>
      </c>
      <c r="L2513" t="s">
        <v>7919</v>
      </c>
      <c r="M2513" t="s">
        <v>7920</v>
      </c>
      <c r="N2513" t="s">
        <v>447</v>
      </c>
      <c r="O2513" t="s">
        <v>28</v>
      </c>
      <c r="P2513" t="s">
        <v>29</v>
      </c>
      <c r="Q2513">
        <v>38</v>
      </c>
      <c r="R2513">
        <v>-99.999999000000003</v>
      </c>
    </row>
    <row r="2514" spans="1:18" x14ac:dyDescent="0.2">
      <c r="A2514" t="s">
        <v>663</v>
      </c>
      <c r="B2514" t="s">
        <v>5337</v>
      </c>
      <c r="C2514">
        <v>43</v>
      </c>
      <c r="D2514" s="1">
        <v>44028.688634259262</v>
      </c>
      <c r="E2514" t="s">
        <v>7921</v>
      </c>
      <c r="F2514" t="s">
        <v>666</v>
      </c>
      <c r="G2514" t="s">
        <v>7922</v>
      </c>
      <c r="H2514" t="s">
        <v>667</v>
      </c>
      <c r="I2514" t="s">
        <v>3432</v>
      </c>
      <c r="J2514">
        <v>43</v>
      </c>
      <c r="K2514">
        <f>43-670-308-150</f>
        <v>-1085</v>
      </c>
      <c r="L2514" t="s">
        <v>7923</v>
      </c>
      <c r="M2514" t="s">
        <v>7924</v>
      </c>
      <c r="N2514" t="s">
        <v>674</v>
      </c>
      <c r="O2514" t="s">
        <v>28</v>
      </c>
      <c r="P2514" t="s">
        <v>29</v>
      </c>
      <c r="Q2514">
        <v>38</v>
      </c>
      <c r="R2514">
        <v>-99.999999000000003</v>
      </c>
    </row>
    <row r="2515" spans="1:18" x14ac:dyDescent="0.2">
      <c r="A2515" t="s">
        <v>663</v>
      </c>
      <c r="B2515" t="s">
        <v>4281</v>
      </c>
      <c r="C2515">
        <v>41</v>
      </c>
      <c r="D2515" s="1">
        <v>44028.704421296294</v>
      </c>
      <c r="E2515" t="s">
        <v>7925</v>
      </c>
      <c r="F2515" t="s">
        <v>666</v>
      </c>
      <c r="G2515" t="s">
        <v>7925</v>
      </c>
      <c r="H2515" t="s">
        <v>667</v>
      </c>
      <c r="I2515" t="s">
        <v>204</v>
      </c>
      <c r="J2515">
        <v>41</v>
      </c>
      <c r="K2515">
        <f>41-44-586-3735</f>
        <v>-4324</v>
      </c>
      <c r="L2515" t="s">
        <v>7926</v>
      </c>
      <c r="M2515" t="s">
        <v>7927</v>
      </c>
      <c r="N2515">
        <v>102</v>
      </c>
      <c r="O2515" t="s">
        <v>134</v>
      </c>
      <c r="P2515" t="s">
        <v>24</v>
      </c>
      <c r="Q2515">
        <v>50</v>
      </c>
      <c r="R2515">
        <v>8.6843000000000004</v>
      </c>
    </row>
    <row r="2516" spans="1:18" x14ac:dyDescent="0.2">
      <c r="A2516" t="s">
        <v>663</v>
      </c>
      <c r="B2516" t="s">
        <v>2493</v>
      </c>
      <c r="C2516">
        <v>1</v>
      </c>
      <c r="D2516" s="1">
        <v>44028.707708333335</v>
      </c>
      <c r="E2516" t="s">
        <v>7928</v>
      </c>
      <c r="F2516" t="s">
        <v>666</v>
      </c>
      <c r="G2516" t="s">
        <v>7928</v>
      </c>
      <c r="H2516" t="s">
        <v>667</v>
      </c>
      <c r="I2516" t="s">
        <v>29</v>
      </c>
      <c r="J2516">
        <v>1</v>
      </c>
      <c r="K2516">
        <f>1-844-444-398</f>
        <v>-1685</v>
      </c>
      <c r="L2516" t="s">
        <v>7929</v>
      </c>
      <c r="M2516" t="s">
        <v>7930</v>
      </c>
      <c r="N2516">
        <v>225</v>
      </c>
      <c r="O2516" t="s">
        <v>134</v>
      </c>
      <c r="P2516" t="s">
        <v>29</v>
      </c>
      <c r="Q2516">
        <v>41</v>
      </c>
      <c r="R2516">
        <v>-74.024699999999996</v>
      </c>
    </row>
    <row r="2517" spans="1:18" x14ac:dyDescent="0.2">
      <c r="A2517" t="s">
        <v>663</v>
      </c>
      <c r="B2517" t="s">
        <v>3385</v>
      </c>
      <c r="C2517">
        <v>43</v>
      </c>
      <c r="D2517" s="1">
        <v>44028.791493055556</v>
      </c>
      <c r="E2517" t="s">
        <v>7931</v>
      </c>
      <c r="F2517" t="s">
        <v>666</v>
      </c>
      <c r="G2517" t="s">
        <v>7932</v>
      </c>
      <c r="H2517" t="s">
        <v>667</v>
      </c>
      <c r="I2517" t="s">
        <v>3432</v>
      </c>
      <c r="J2517">
        <v>43</v>
      </c>
      <c r="K2517">
        <f>43-670-308-150</f>
        <v>-1085</v>
      </c>
      <c r="L2517" t="s">
        <v>7933</v>
      </c>
      <c r="M2517" t="s">
        <v>7934</v>
      </c>
      <c r="N2517" t="s">
        <v>3454</v>
      </c>
      <c r="O2517" t="s">
        <v>28</v>
      </c>
      <c r="P2517" t="s">
        <v>29</v>
      </c>
      <c r="Q2517">
        <v>41</v>
      </c>
      <c r="R2517">
        <v>-73.996600000000001</v>
      </c>
    </row>
    <row r="2518" spans="1:18" x14ac:dyDescent="0.2">
      <c r="A2518" t="s">
        <v>663</v>
      </c>
      <c r="B2518" t="s">
        <v>5337</v>
      </c>
      <c r="C2518">
        <v>1</v>
      </c>
      <c r="D2518" s="1">
        <v>44028.796932870369</v>
      </c>
      <c r="E2518" t="s">
        <v>7935</v>
      </c>
      <c r="F2518" t="s">
        <v>666</v>
      </c>
      <c r="G2518" t="s">
        <v>7935</v>
      </c>
      <c r="H2518" t="s">
        <v>667</v>
      </c>
      <c r="I2518" t="s">
        <v>29</v>
      </c>
      <c r="J2518">
        <v>1</v>
      </c>
      <c r="K2518">
        <f>1-866-709-5515</f>
        <v>-7089</v>
      </c>
      <c r="L2518" t="s">
        <v>7936</v>
      </c>
      <c r="M2518" t="s">
        <v>7937</v>
      </c>
      <c r="N2518">
        <v>44</v>
      </c>
      <c r="O2518" t="s">
        <v>134</v>
      </c>
      <c r="P2518" t="s">
        <v>29</v>
      </c>
      <c r="Q2518">
        <v>38</v>
      </c>
      <c r="R2518">
        <v>-99.999999000000003</v>
      </c>
    </row>
    <row r="2519" spans="1:18" x14ac:dyDescent="0.2">
      <c r="A2519" t="s">
        <v>663</v>
      </c>
      <c r="B2519" t="s">
        <v>3385</v>
      </c>
      <c r="C2519">
        <v>1</v>
      </c>
      <c r="D2519" s="1">
        <v>44028.848252314812</v>
      </c>
      <c r="E2519" t="s">
        <v>7938</v>
      </c>
      <c r="F2519" t="s">
        <v>666</v>
      </c>
      <c r="G2519" t="s">
        <v>7939</v>
      </c>
      <c r="H2519" t="s">
        <v>667</v>
      </c>
      <c r="I2519" t="s">
        <v>29</v>
      </c>
      <c r="J2519">
        <v>1</v>
      </c>
      <c r="K2519">
        <f>1-855-594-593</f>
        <v>-2041</v>
      </c>
      <c r="L2519" t="s">
        <v>7940</v>
      </c>
      <c r="M2519" t="s">
        <v>7941</v>
      </c>
      <c r="N2519" t="s">
        <v>1645</v>
      </c>
      <c r="O2519" t="s">
        <v>28</v>
      </c>
      <c r="P2519" t="s">
        <v>29</v>
      </c>
      <c r="Q2519">
        <v>41</v>
      </c>
      <c r="R2519">
        <v>-73.996600000000001</v>
      </c>
    </row>
    <row r="2520" spans="1:18" x14ac:dyDescent="0.2">
      <c r="A2520" t="s">
        <v>663</v>
      </c>
      <c r="B2520" t="s">
        <v>454</v>
      </c>
      <c r="C2520">
        <v>1</v>
      </c>
      <c r="D2520" s="1">
        <v>44028.850381944445</v>
      </c>
      <c r="E2520" t="s">
        <v>7942</v>
      </c>
      <c r="F2520" t="s">
        <v>666</v>
      </c>
      <c r="G2520" t="s">
        <v>7942</v>
      </c>
      <c r="H2520" t="s">
        <v>667</v>
      </c>
      <c r="I2520" t="s">
        <v>29</v>
      </c>
      <c r="J2520">
        <v>1</v>
      </c>
      <c r="K2520">
        <f>1-844-444-398</f>
        <v>-1685</v>
      </c>
      <c r="L2520" t="s">
        <v>7943</v>
      </c>
      <c r="M2520" t="s">
        <v>7944</v>
      </c>
      <c r="N2520">
        <v>99</v>
      </c>
      <c r="O2520" t="s">
        <v>134</v>
      </c>
      <c r="P2520" t="s">
        <v>461</v>
      </c>
      <c r="Q2520">
        <v>52</v>
      </c>
      <c r="R2520">
        <v>4.9391999999999996</v>
      </c>
    </row>
    <row r="2521" spans="1:18" x14ac:dyDescent="0.2">
      <c r="A2521" t="s">
        <v>3420</v>
      </c>
      <c r="B2521" t="s">
        <v>6921</v>
      </c>
      <c r="C2521">
        <v>1</v>
      </c>
      <c r="D2521" s="1">
        <v>44028.8675</v>
      </c>
      <c r="E2521" t="s">
        <v>7945</v>
      </c>
      <c r="F2521" t="s">
        <v>3422</v>
      </c>
      <c r="G2521" t="s">
        <v>7945</v>
      </c>
      <c r="H2521" t="s">
        <v>3423</v>
      </c>
      <c r="I2521" t="s">
        <v>29</v>
      </c>
      <c r="J2521">
        <v>1</v>
      </c>
      <c r="K2521">
        <f>1-866-365-7353</f>
        <v>-8583</v>
      </c>
      <c r="L2521" t="s">
        <v>7946</v>
      </c>
      <c r="M2521" t="s">
        <v>7947</v>
      </c>
      <c r="N2521">
        <v>24</v>
      </c>
      <c r="O2521" t="s">
        <v>134</v>
      </c>
      <c r="P2521" t="s">
        <v>29</v>
      </c>
      <c r="Q2521">
        <v>41</v>
      </c>
      <c r="R2521">
        <v>-95.860799999999998</v>
      </c>
    </row>
    <row r="2522" spans="1:18" x14ac:dyDescent="0.2">
      <c r="A2522" t="s">
        <v>663</v>
      </c>
      <c r="B2522" t="s">
        <v>5337</v>
      </c>
      <c r="C2522">
        <v>1</v>
      </c>
      <c r="D2522" s="1">
        <v>44028.875405092593</v>
      </c>
      <c r="E2522" t="s">
        <v>7948</v>
      </c>
      <c r="F2522" t="s">
        <v>2495</v>
      </c>
      <c r="G2522" t="s">
        <v>7948</v>
      </c>
      <c r="H2522" t="s">
        <v>667</v>
      </c>
      <c r="I2522" t="s">
        <v>29</v>
      </c>
      <c r="J2522">
        <v>1</v>
      </c>
      <c r="K2522">
        <f>1-866-781-8276</f>
        <v>-9922</v>
      </c>
      <c r="L2522" t="s">
        <v>7949</v>
      </c>
      <c r="M2522" t="s">
        <v>7950</v>
      </c>
      <c r="N2522">
        <v>248</v>
      </c>
      <c r="O2522" t="s">
        <v>134</v>
      </c>
      <c r="P2522" t="s">
        <v>29</v>
      </c>
      <c r="Q2522">
        <v>38</v>
      </c>
      <c r="R2522">
        <v>-99.999999000000003</v>
      </c>
    </row>
    <row r="2523" spans="1:18" x14ac:dyDescent="0.2">
      <c r="A2523" t="s">
        <v>663</v>
      </c>
      <c r="B2523" t="s">
        <v>454</v>
      </c>
      <c r="C2523">
        <v>43</v>
      </c>
      <c r="D2523" s="1">
        <v>44028.888935185183</v>
      </c>
      <c r="E2523" t="s">
        <v>7951</v>
      </c>
      <c r="F2523" t="s">
        <v>666</v>
      </c>
      <c r="G2523" t="s">
        <v>7952</v>
      </c>
      <c r="H2523" t="s">
        <v>667</v>
      </c>
      <c r="I2523" t="s">
        <v>3432</v>
      </c>
      <c r="J2523">
        <v>43</v>
      </c>
      <c r="K2523">
        <f>43-670-308-150</f>
        <v>-1085</v>
      </c>
      <c r="L2523" t="s">
        <v>7953</v>
      </c>
      <c r="M2523" t="s">
        <v>7954</v>
      </c>
      <c r="N2523" t="s">
        <v>213</v>
      </c>
      <c r="O2523" t="s">
        <v>28</v>
      </c>
      <c r="P2523" t="s">
        <v>461</v>
      </c>
      <c r="Q2523">
        <v>52</v>
      </c>
      <c r="R2523">
        <v>4.8975</v>
      </c>
    </row>
    <row r="2524" spans="1:18" x14ac:dyDescent="0.2">
      <c r="A2524" t="s">
        <v>663</v>
      </c>
      <c r="B2524" t="s">
        <v>664</v>
      </c>
      <c r="C2524">
        <v>1</v>
      </c>
      <c r="D2524" s="1">
        <v>44028.938449074078</v>
      </c>
      <c r="E2524" t="s">
        <v>7955</v>
      </c>
      <c r="F2524" t="s">
        <v>666</v>
      </c>
      <c r="G2524" t="s">
        <v>7955</v>
      </c>
      <c r="H2524" t="s">
        <v>667</v>
      </c>
      <c r="I2524" t="s">
        <v>29</v>
      </c>
      <c r="J2524">
        <v>1</v>
      </c>
      <c r="K2524">
        <f>1-866-722-9448</f>
        <v>-11035</v>
      </c>
      <c r="L2524" t="s">
        <v>7956</v>
      </c>
      <c r="M2524" t="s">
        <v>7957</v>
      </c>
      <c r="N2524">
        <v>190</v>
      </c>
      <c r="O2524" t="s">
        <v>134</v>
      </c>
      <c r="P2524" t="s">
        <v>29</v>
      </c>
      <c r="Q2524">
        <v>37</v>
      </c>
      <c r="R2524">
        <v>-99.999999000000003</v>
      </c>
    </row>
    <row r="2525" spans="1:18" x14ac:dyDescent="0.2">
      <c r="A2525" t="s">
        <v>663</v>
      </c>
      <c r="B2525" t="s">
        <v>3385</v>
      </c>
      <c r="C2525">
        <v>1</v>
      </c>
      <c r="D2525" s="1">
        <v>44028.939826388887</v>
      </c>
      <c r="E2525" t="s">
        <v>7958</v>
      </c>
      <c r="F2525" t="s">
        <v>666</v>
      </c>
      <c r="G2525" t="s">
        <v>7959</v>
      </c>
      <c r="H2525" t="s">
        <v>667</v>
      </c>
      <c r="I2525" t="s">
        <v>29</v>
      </c>
      <c r="J2525">
        <v>1</v>
      </c>
      <c r="K2525">
        <f>1-855-594-594</f>
        <v>-2042</v>
      </c>
      <c r="L2525" t="s">
        <v>7960</v>
      </c>
      <c r="M2525" t="s">
        <v>7961</v>
      </c>
      <c r="N2525" t="s">
        <v>1645</v>
      </c>
      <c r="O2525" t="s">
        <v>28</v>
      </c>
      <c r="P2525" t="s">
        <v>29</v>
      </c>
      <c r="Q2525">
        <v>41</v>
      </c>
      <c r="R2525">
        <v>-73.996600000000001</v>
      </c>
    </row>
    <row r="2526" spans="1:18" x14ac:dyDescent="0.2">
      <c r="A2526" t="s">
        <v>2233</v>
      </c>
      <c r="B2526" t="s">
        <v>2234</v>
      </c>
      <c r="C2526">
        <v>1</v>
      </c>
      <c r="D2526" s="1">
        <v>44028.957662037035</v>
      </c>
      <c r="E2526" t="s">
        <v>7962</v>
      </c>
      <c r="F2526" t="s">
        <v>2236</v>
      </c>
      <c r="G2526" t="s">
        <v>7963</v>
      </c>
      <c r="H2526" t="s">
        <v>2237</v>
      </c>
      <c r="I2526" t="s">
        <v>29</v>
      </c>
      <c r="J2526">
        <v>1</v>
      </c>
      <c r="K2526">
        <f>1-855-300-6775</f>
        <v>-7929</v>
      </c>
      <c r="L2526" t="s">
        <v>7964</v>
      </c>
      <c r="M2526" t="s">
        <v>7965</v>
      </c>
      <c r="N2526" t="s">
        <v>5354</v>
      </c>
      <c r="O2526" t="s">
        <v>134</v>
      </c>
      <c r="P2526" t="s">
        <v>29</v>
      </c>
      <c r="Q2526">
        <v>40</v>
      </c>
      <c r="R2526">
        <v>-83.114099999999993</v>
      </c>
    </row>
    <row r="2527" spans="1:18" x14ac:dyDescent="0.2">
      <c r="A2527" t="s">
        <v>1200</v>
      </c>
      <c r="B2527" t="s">
        <v>1201</v>
      </c>
      <c r="C2527">
        <v>34</v>
      </c>
      <c r="D2527" s="1">
        <v>44053.773993055554</v>
      </c>
      <c r="E2527" t="s">
        <v>7966</v>
      </c>
      <c r="F2527" t="s">
        <v>1203</v>
      </c>
      <c r="G2527" t="s">
        <v>7967</v>
      </c>
      <c r="H2527" t="s">
        <v>1205</v>
      </c>
      <c r="I2527" t="s">
        <v>700</v>
      </c>
      <c r="J2527">
        <v>34</v>
      </c>
      <c r="K2527">
        <f t="shared" ref="K2527:K2545" si="20">34-900-649-672</f>
        <v>-2187</v>
      </c>
      <c r="L2527" t="s">
        <v>7968</v>
      </c>
      <c r="M2527" t="s">
        <v>7969</v>
      </c>
      <c r="N2527" t="s">
        <v>674</v>
      </c>
      <c r="O2527" t="s">
        <v>134</v>
      </c>
      <c r="P2527" t="s">
        <v>29</v>
      </c>
      <c r="Q2527">
        <v>34</v>
      </c>
      <c r="R2527">
        <v>-99.999999000000003</v>
      </c>
    </row>
    <row r="2528" spans="1:18" x14ac:dyDescent="0.2">
      <c r="A2528" t="s">
        <v>1200</v>
      </c>
      <c r="B2528" t="s">
        <v>1201</v>
      </c>
      <c r="C2528">
        <v>34</v>
      </c>
      <c r="D2528" s="1">
        <v>44053.773831018516</v>
      </c>
      <c r="E2528" t="s">
        <v>7970</v>
      </c>
      <c r="F2528" t="s">
        <v>1203</v>
      </c>
      <c r="G2528" t="s">
        <v>7967</v>
      </c>
      <c r="H2528" t="s">
        <v>1205</v>
      </c>
      <c r="I2528" t="s">
        <v>700</v>
      </c>
      <c r="J2528">
        <v>34</v>
      </c>
      <c r="K2528">
        <f t="shared" si="20"/>
        <v>-2187</v>
      </c>
      <c r="L2528" t="s">
        <v>7971</v>
      </c>
      <c r="M2528" t="s">
        <v>7972</v>
      </c>
      <c r="N2528" t="s">
        <v>674</v>
      </c>
      <c r="O2528" t="s">
        <v>134</v>
      </c>
      <c r="P2528" t="s">
        <v>29</v>
      </c>
      <c r="Q2528">
        <v>34</v>
      </c>
      <c r="R2528">
        <v>-99.999999000000003</v>
      </c>
    </row>
    <row r="2529" spans="1:18" x14ac:dyDescent="0.2">
      <c r="A2529" t="s">
        <v>1200</v>
      </c>
      <c r="B2529" t="s">
        <v>1201</v>
      </c>
      <c r="C2529">
        <v>34</v>
      </c>
      <c r="D2529" s="1">
        <v>44053.773506944446</v>
      </c>
      <c r="E2529" t="s">
        <v>7973</v>
      </c>
      <c r="F2529" t="s">
        <v>1203</v>
      </c>
      <c r="G2529" t="s">
        <v>7967</v>
      </c>
      <c r="H2529" t="s">
        <v>1205</v>
      </c>
      <c r="I2529" t="s">
        <v>700</v>
      </c>
      <c r="J2529">
        <v>34</v>
      </c>
      <c r="K2529">
        <f t="shared" si="20"/>
        <v>-2187</v>
      </c>
      <c r="L2529" t="s">
        <v>7974</v>
      </c>
      <c r="M2529" t="s">
        <v>7975</v>
      </c>
      <c r="N2529" t="s">
        <v>674</v>
      </c>
      <c r="O2529" t="s">
        <v>134</v>
      </c>
      <c r="P2529" t="s">
        <v>29</v>
      </c>
      <c r="Q2529">
        <v>34</v>
      </c>
      <c r="R2529">
        <v>-99.999999000000003</v>
      </c>
    </row>
    <row r="2530" spans="1:18" x14ac:dyDescent="0.2">
      <c r="A2530" t="s">
        <v>1200</v>
      </c>
      <c r="B2530" t="s">
        <v>1201</v>
      </c>
      <c r="C2530">
        <v>34</v>
      </c>
      <c r="D2530" s="1">
        <v>44033.664895833332</v>
      </c>
      <c r="E2530" t="s">
        <v>7976</v>
      </c>
      <c r="F2530" t="s">
        <v>1203</v>
      </c>
      <c r="G2530" t="s">
        <v>7967</v>
      </c>
      <c r="H2530" t="s">
        <v>1205</v>
      </c>
      <c r="I2530" t="s">
        <v>700</v>
      </c>
      <c r="J2530">
        <v>34</v>
      </c>
      <c r="K2530">
        <f t="shared" si="20"/>
        <v>-2187</v>
      </c>
      <c r="L2530" t="s">
        <v>7977</v>
      </c>
      <c r="M2530" t="s">
        <v>7978</v>
      </c>
      <c r="N2530" t="s">
        <v>213</v>
      </c>
      <c r="O2530" t="s">
        <v>28</v>
      </c>
      <c r="P2530" t="s">
        <v>29</v>
      </c>
      <c r="Q2530">
        <v>34</v>
      </c>
      <c r="R2530">
        <v>-99.999999000000003</v>
      </c>
    </row>
    <row r="2531" spans="1:18" x14ac:dyDescent="0.2">
      <c r="A2531" t="s">
        <v>1200</v>
      </c>
      <c r="B2531" t="s">
        <v>1201</v>
      </c>
      <c r="C2531">
        <v>34</v>
      </c>
      <c r="D2531" s="1">
        <v>44033.665358796294</v>
      </c>
      <c r="E2531" t="s">
        <v>7979</v>
      </c>
      <c r="F2531" t="s">
        <v>1203</v>
      </c>
      <c r="G2531" t="s">
        <v>7967</v>
      </c>
      <c r="H2531" t="s">
        <v>1205</v>
      </c>
      <c r="I2531" t="s">
        <v>700</v>
      </c>
      <c r="J2531">
        <v>34</v>
      </c>
      <c r="K2531">
        <f t="shared" si="20"/>
        <v>-2187</v>
      </c>
      <c r="L2531" t="s">
        <v>7980</v>
      </c>
      <c r="M2531" t="s">
        <v>7981</v>
      </c>
      <c r="N2531" t="s">
        <v>674</v>
      </c>
      <c r="O2531" t="s">
        <v>134</v>
      </c>
      <c r="P2531" t="s">
        <v>29</v>
      </c>
      <c r="Q2531">
        <v>34</v>
      </c>
      <c r="R2531">
        <v>-99.999999000000003</v>
      </c>
    </row>
    <row r="2532" spans="1:18" x14ac:dyDescent="0.2">
      <c r="A2532" t="s">
        <v>1200</v>
      </c>
      <c r="B2532" t="s">
        <v>1201</v>
      </c>
      <c r="C2532">
        <v>34</v>
      </c>
      <c r="D2532" s="1">
        <v>44033.667581018519</v>
      </c>
      <c r="E2532" t="s">
        <v>7982</v>
      </c>
      <c r="F2532" t="s">
        <v>1203</v>
      </c>
      <c r="G2532" t="s">
        <v>7967</v>
      </c>
      <c r="H2532" t="s">
        <v>1205</v>
      </c>
      <c r="I2532" t="s">
        <v>700</v>
      </c>
      <c r="J2532">
        <v>34</v>
      </c>
      <c r="K2532">
        <f t="shared" si="20"/>
        <v>-2187</v>
      </c>
      <c r="L2532" t="s">
        <v>7983</v>
      </c>
      <c r="M2532" t="s">
        <v>7984</v>
      </c>
      <c r="N2532" t="s">
        <v>674</v>
      </c>
      <c r="O2532" t="s">
        <v>134</v>
      </c>
      <c r="P2532" t="s">
        <v>29</v>
      </c>
      <c r="Q2532">
        <v>34</v>
      </c>
      <c r="R2532">
        <v>-99.999999000000003</v>
      </c>
    </row>
    <row r="2533" spans="1:18" x14ac:dyDescent="0.2">
      <c r="A2533" t="s">
        <v>1200</v>
      </c>
      <c r="B2533" t="s">
        <v>1201</v>
      </c>
      <c r="C2533">
        <v>34</v>
      </c>
      <c r="D2533" s="1">
        <v>44033.628287037034</v>
      </c>
      <c r="E2533" t="s">
        <v>7985</v>
      </c>
      <c r="F2533" t="s">
        <v>1203</v>
      </c>
      <c r="G2533" t="s">
        <v>7967</v>
      </c>
      <c r="H2533" t="s">
        <v>1205</v>
      </c>
      <c r="I2533" t="s">
        <v>700</v>
      </c>
      <c r="J2533">
        <v>34</v>
      </c>
      <c r="K2533">
        <f t="shared" si="20"/>
        <v>-2187</v>
      </c>
      <c r="L2533" t="s">
        <v>7986</v>
      </c>
      <c r="M2533" t="s">
        <v>7987</v>
      </c>
      <c r="N2533" t="s">
        <v>674</v>
      </c>
      <c r="O2533" t="s">
        <v>28</v>
      </c>
      <c r="P2533" t="s">
        <v>29</v>
      </c>
      <c r="Q2533">
        <v>34</v>
      </c>
      <c r="R2533">
        <v>-99.999999000000003</v>
      </c>
    </row>
    <row r="2534" spans="1:18" x14ac:dyDescent="0.2">
      <c r="A2534" t="s">
        <v>1200</v>
      </c>
      <c r="B2534" t="s">
        <v>1201</v>
      </c>
      <c r="C2534">
        <v>34</v>
      </c>
      <c r="D2534" s="1">
        <v>44033.628101851849</v>
      </c>
      <c r="E2534" t="s">
        <v>7988</v>
      </c>
      <c r="F2534" t="s">
        <v>1203</v>
      </c>
      <c r="G2534" t="s">
        <v>7967</v>
      </c>
      <c r="H2534" t="s">
        <v>1205</v>
      </c>
      <c r="I2534" t="s">
        <v>700</v>
      </c>
      <c r="J2534">
        <v>34</v>
      </c>
      <c r="K2534">
        <f t="shared" si="20"/>
        <v>-2187</v>
      </c>
      <c r="L2534" t="s">
        <v>7989</v>
      </c>
      <c r="M2534" t="s">
        <v>7990</v>
      </c>
      <c r="N2534" t="s">
        <v>674</v>
      </c>
      <c r="O2534" t="s">
        <v>134</v>
      </c>
      <c r="P2534" t="s">
        <v>29</v>
      </c>
      <c r="Q2534">
        <v>34</v>
      </c>
      <c r="R2534">
        <v>-99.999999000000003</v>
      </c>
    </row>
    <row r="2535" spans="1:18" x14ac:dyDescent="0.2">
      <c r="A2535" t="s">
        <v>1200</v>
      </c>
      <c r="B2535" t="s">
        <v>1201</v>
      </c>
      <c r="C2535">
        <v>34</v>
      </c>
      <c r="D2535" s="1">
        <v>44033.627916666665</v>
      </c>
      <c r="E2535" t="s">
        <v>7991</v>
      </c>
      <c r="F2535" t="s">
        <v>1203</v>
      </c>
      <c r="G2535" t="s">
        <v>7967</v>
      </c>
      <c r="H2535" t="s">
        <v>1205</v>
      </c>
      <c r="I2535" t="s">
        <v>700</v>
      </c>
      <c r="J2535">
        <v>34</v>
      </c>
      <c r="K2535">
        <f t="shared" si="20"/>
        <v>-2187</v>
      </c>
      <c r="L2535" t="s">
        <v>7992</v>
      </c>
      <c r="M2535" t="s">
        <v>7993</v>
      </c>
      <c r="N2535" t="s">
        <v>674</v>
      </c>
      <c r="O2535" t="s">
        <v>134</v>
      </c>
      <c r="P2535" t="s">
        <v>29</v>
      </c>
      <c r="Q2535">
        <v>34</v>
      </c>
      <c r="R2535">
        <v>-99.999999000000003</v>
      </c>
    </row>
    <row r="2536" spans="1:18" x14ac:dyDescent="0.2">
      <c r="A2536" t="s">
        <v>1200</v>
      </c>
      <c r="B2536" t="s">
        <v>1201</v>
      </c>
      <c r="C2536">
        <v>34</v>
      </c>
      <c r="D2536" s="1">
        <v>44033.627743055556</v>
      </c>
      <c r="E2536" t="s">
        <v>7994</v>
      </c>
      <c r="F2536" t="s">
        <v>1203</v>
      </c>
      <c r="G2536" t="s">
        <v>7967</v>
      </c>
      <c r="H2536" t="s">
        <v>1205</v>
      </c>
      <c r="I2536" t="s">
        <v>700</v>
      </c>
      <c r="J2536">
        <v>34</v>
      </c>
      <c r="K2536">
        <f t="shared" si="20"/>
        <v>-2187</v>
      </c>
      <c r="L2536" t="s">
        <v>7995</v>
      </c>
      <c r="M2536" t="s">
        <v>7996</v>
      </c>
      <c r="N2536" t="s">
        <v>213</v>
      </c>
      <c r="O2536" t="s">
        <v>134</v>
      </c>
      <c r="P2536" t="s">
        <v>29</v>
      </c>
      <c r="Q2536">
        <v>34</v>
      </c>
      <c r="R2536">
        <v>-99.999999000000003</v>
      </c>
    </row>
    <row r="2537" spans="1:18" x14ac:dyDescent="0.2">
      <c r="A2537" t="s">
        <v>1200</v>
      </c>
      <c r="B2537" t="s">
        <v>1201</v>
      </c>
      <c r="C2537">
        <v>34</v>
      </c>
      <c r="D2537" s="1">
        <v>44033.626921296294</v>
      </c>
      <c r="E2537" t="s">
        <v>7997</v>
      </c>
      <c r="F2537" t="s">
        <v>1203</v>
      </c>
      <c r="G2537" t="s">
        <v>7967</v>
      </c>
      <c r="H2537" t="s">
        <v>1205</v>
      </c>
      <c r="I2537" t="s">
        <v>700</v>
      </c>
      <c r="J2537">
        <v>34</v>
      </c>
      <c r="K2537">
        <f t="shared" si="20"/>
        <v>-2187</v>
      </c>
      <c r="L2537" t="s">
        <v>7998</v>
      </c>
      <c r="M2537" t="s">
        <v>7999</v>
      </c>
      <c r="N2537" t="s">
        <v>674</v>
      </c>
      <c r="O2537" t="s">
        <v>134</v>
      </c>
      <c r="P2537" t="s">
        <v>29</v>
      </c>
      <c r="Q2537">
        <v>34</v>
      </c>
      <c r="R2537">
        <v>-99.999999000000003</v>
      </c>
    </row>
    <row r="2538" spans="1:18" x14ac:dyDescent="0.2">
      <c r="A2538" t="s">
        <v>1200</v>
      </c>
      <c r="B2538" t="s">
        <v>1201</v>
      </c>
      <c r="C2538">
        <v>34</v>
      </c>
      <c r="D2538" s="1">
        <v>44033.626736111109</v>
      </c>
      <c r="E2538" t="s">
        <v>8000</v>
      </c>
      <c r="F2538" t="s">
        <v>1203</v>
      </c>
      <c r="G2538" t="s">
        <v>7967</v>
      </c>
      <c r="H2538" t="s">
        <v>1205</v>
      </c>
      <c r="I2538" t="s">
        <v>700</v>
      </c>
      <c r="J2538">
        <v>34</v>
      </c>
      <c r="K2538">
        <f t="shared" si="20"/>
        <v>-2187</v>
      </c>
      <c r="L2538" t="s">
        <v>8001</v>
      </c>
      <c r="M2538" t="s">
        <v>8002</v>
      </c>
      <c r="N2538" t="s">
        <v>674</v>
      </c>
      <c r="O2538" t="s">
        <v>134</v>
      </c>
      <c r="P2538" t="s">
        <v>29</v>
      </c>
      <c r="Q2538">
        <v>34</v>
      </c>
      <c r="R2538">
        <v>-99.999999000000003</v>
      </c>
    </row>
    <row r="2539" spans="1:18" x14ac:dyDescent="0.2">
      <c r="A2539" t="s">
        <v>1200</v>
      </c>
      <c r="B2539" t="s">
        <v>1201</v>
      </c>
      <c r="C2539">
        <v>34</v>
      </c>
      <c r="D2539" s="1">
        <v>44033.626527777778</v>
      </c>
      <c r="E2539" t="s">
        <v>8003</v>
      </c>
      <c r="F2539" t="s">
        <v>1203</v>
      </c>
      <c r="G2539" t="s">
        <v>7967</v>
      </c>
      <c r="H2539" t="s">
        <v>1205</v>
      </c>
      <c r="I2539" t="s">
        <v>700</v>
      </c>
      <c r="J2539">
        <v>34</v>
      </c>
      <c r="K2539">
        <f t="shared" si="20"/>
        <v>-2187</v>
      </c>
      <c r="L2539" t="s">
        <v>8004</v>
      </c>
      <c r="M2539" t="s">
        <v>8005</v>
      </c>
      <c r="N2539" t="s">
        <v>213</v>
      </c>
      <c r="O2539" t="s">
        <v>134</v>
      </c>
      <c r="P2539" t="s">
        <v>29</v>
      </c>
      <c r="Q2539">
        <v>34</v>
      </c>
      <c r="R2539">
        <v>-99.999999000000003</v>
      </c>
    </row>
    <row r="2540" spans="1:18" x14ac:dyDescent="0.2">
      <c r="A2540" t="s">
        <v>1200</v>
      </c>
      <c r="B2540" t="s">
        <v>1201</v>
      </c>
      <c r="C2540">
        <v>34</v>
      </c>
      <c r="D2540" s="1">
        <v>44033.625578703701</v>
      </c>
      <c r="E2540" t="s">
        <v>8006</v>
      </c>
      <c r="F2540" t="s">
        <v>1203</v>
      </c>
      <c r="G2540" t="s">
        <v>7967</v>
      </c>
      <c r="H2540" t="s">
        <v>1205</v>
      </c>
      <c r="I2540" t="s">
        <v>700</v>
      </c>
      <c r="J2540">
        <v>34</v>
      </c>
      <c r="K2540">
        <f t="shared" si="20"/>
        <v>-2187</v>
      </c>
      <c r="L2540" t="s">
        <v>8007</v>
      </c>
      <c r="M2540" t="s">
        <v>8008</v>
      </c>
      <c r="N2540" t="s">
        <v>213</v>
      </c>
      <c r="O2540" t="s">
        <v>134</v>
      </c>
      <c r="P2540" t="s">
        <v>29</v>
      </c>
      <c r="Q2540">
        <v>34</v>
      </c>
      <c r="R2540">
        <v>-99.999999000000003</v>
      </c>
    </row>
    <row r="2541" spans="1:18" x14ac:dyDescent="0.2">
      <c r="A2541" t="s">
        <v>1200</v>
      </c>
      <c r="B2541" t="s">
        <v>1201</v>
      </c>
      <c r="C2541">
        <v>34</v>
      </c>
      <c r="D2541" s="1">
        <v>44033.625393518516</v>
      </c>
      <c r="E2541" t="s">
        <v>8009</v>
      </c>
      <c r="F2541" t="s">
        <v>1203</v>
      </c>
      <c r="G2541" t="s">
        <v>7967</v>
      </c>
      <c r="H2541" t="s">
        <v>1205</v>
      </c>
      <c r="I2541" t="s">
        <v>700</v>
      </c>
      <c r="J2541">
        <v>34</v>
      </c>
      <c r="K2541">
        <f t="shared" si="20"/>
        <v>-2187</v>
      </c>
      <c r="L2541" t="s">
        <v>8010</v>
      </c>
      <c r="M2541" t="s">
        <v>8011</v>
      </c>
      <c r="N2541" t="s">
        <v>674</v>
      </c>
      <c r="O2541" t="s">
        <v>134</v>
      </c>
      <c r="P2541" t="s">
        <v>29</v>
      </c>
      <c r="Q2541">
        <v>34</v>
      </c>
      <c r="R2541">
        <v>-99.999999000000003</v>
      </c>
    </row>
    <row r="2542" spans="1:18" x14ac:dyDescent="0.2">
      <c r="A2542" t="s">
        <v>1200</v>
      </c>
      <c r="B2542" t="s">
        <v>1201</v>
      </c>
      <c r="C2542">
        <v>34</v>
      </c>
      <c r="D2542" s="1">
        <v>44033.625208333331</v>
      </c>
      <c r="E2542" t="s">
        <v>8012</v>
      </c>
      <c r="F2542" t="s">
        <v>1203</v>
      </c>
      <c r="G2542" t="s">
        <v>7967</v>
      </c>
      <c r="H2542" t="s">
        <v>1205</v>
      </c>
      <c r="I2542" t="s">
        <v>700</v>
      </c>
      <c r="J2542">
        <v>34</v>
      </c>
      <c r="K2542">
        <f t="shared" si="20"/>
        <v>-2187</v>
      </c>
      <c r="L2542" t="s">
        <v>8013</v>
      </c>
      <c r="M2542" t="s">
        <v>8014</v>
      </c>
      <c r="N2542" t="s">
        <v>674</v>
      </c>
      <c r="O2542" t="s">
        <v>134</v>
      </c>
      <c r="P2542" t="s">
        <v>29</v>
      </c>
      <c r="Q2542">
        <v>34</v>
      </c>
      <c r="R2542">
        <v>-99.999999000000003</v>
      </c>
    </row>
    <row r="2543" spans="1:18" x14ac:dyDescent="0.2">
      <c r="A2543" t="s">
        <v>1200</v>
      </c>
      <c r="B2543" t="s">
        <v>1201</v>
      </c>
      <c r="C2543">
        <v>34</v>
      </c>
      <c r="D2543" s="1">
        <v>44033.624976851854</v>
      </c>
      <c r="E2543" t="s">
        <v>8015</v>
      </c>
      <c r="F2543" t="s">
        <v>1203</v>
      </c>
      <c r="G2543" t="s">
        <v>7967</v>
      </c>
      <c r="H2543" t="s">
        <v>1205</v>
      </c>
      <c r="I2543" t="s">
        <v>700</v>
      </c>
      <c r="J2543">
        <v>34</v>
      </c>
      <c r="K2543">
        <f t="shared" si="20"/>
        <v>-2187</v>
      </c>
      <c r="L2543" t="s">
        <v>8016</v>
      </c>
      <c r="M2543" t="s">
        <v>8017</v>
      </c>
      <c r="N2543" t="s">
        <v>213</v>
      </c>
      <c r="O2543" t="s">
        <v>134</v>
      </c>
      <c r="P2543" t="s">
        <v>29</v>
      </c>
      <c r="Q2543">
        <v>34</v>
      </c>
      <c r="R2543">
        <v>-99.999999000000003</v>
      </c>
    </row>
    <row r="2544" spans="1:18" x14ac:dyDescent="0.2">
      <c r="A2544" t="s">
        <v>1200</v>
      </c>
      <c r="B2544" t="s">
        <v>1201</v>
      </c>
      <c r="C2544">
        <v>34</v>
      </c>
      <c r="D2544" s="1">
        <v>44033.6247337963</v>
      </c>
      <c r="E2544" t="s">
        <v>8018</v>
      </c>
      <c r="F2544" t="s">
        <v>1203</v>
      </c>
      <c r="G2544" t="s">
        <v>7967</v>
      </c>
      <c r="H2544" t="s">
        <v>1205</v>
      </c>
      <c r="I2544" t="s">
        <v>700</v>
      </c>
      <c r="J2544">
        <v>34</v>
      </c>
      <c r="K2544">
        <f t="shared" si="20"/>
        <v>-2187</v>
      </c>
      <c r="L2544" t="s">
        <v>8019</v>
      </c>
      <c r="M2544" t="s">
        <v>8020</v>
      </c>
      <c r="N2544" t="s">
        <v>674</v>
      </c>
      <c r="O2544" t="s">
        <v>28</v>
      </c>
      <c r="P2544" t="s">
        <v>29</v>
      </c>
      <c r="Q2544">
        <v>34</v>
      </c>
      <c r="R2544">
        <v>-99.999999000000003</v>
      </c>
    </row>
    <row r="2545" spans="1:18" x14ac:dyDescent="0.2">
      <c r="A2545" t="s">
        <v>1200</v>
      </c>
      <c r="B2545" t="s">
        <v>1201</v>
      </c>
      <c r="C2545">
        <v>34</v>
      </c>
      <c r="D2545" s="1">
        <v>44033.623680555553</v>
      </c>
      <c r="E2545" t="s">
        <v>8021</v>
      </c>
      <c r="F2545" t="s">
        <v>1203</v>
      </c>
      <c r="G2545" t="s">
        <v>7967</v>
      </c>
      <c r="H2545" t="s">
        <v>1205</v>
      </c>
      <c r="I2545" t="s">
        <v>700</v>
      </c>
      <c r="J2545">
        <v>34</v>
      </c>
      <c r="K2545">
        <f t="shared" si="20"/>
        <v>-2187</v>
      </c>
      <c r="L2545" t="s">
        <v>8022</v>
      </c>
      <c r="M2545" t="s">
        <v>8023</v>
      </c>
      <c r="N2545" t="s">
        <v>674</v>
      </c>
      <c r="O2545" t="s">
        <v>134</v>
      </c>
      <c r="P2545" t="s">
        <v>29</v>
      </c>
      <c r="Q2545">
        <v>34</v>
      </c>
      <c r="R2545">
        <v>-99.999999000000003</v>
      </c>
    </row>
    <row r="2546" spans="1:18" x14ac:dyDescent="0.2">
      <c r="A2546" t="s">
        <v>663</v>
      </c>
      <c r="B2546" t="s">
        <v>3385</v>
      </c>
      <c r="C2546">
        <v>1</v>
      </c>
      <c r="D2546" s="1">
        <v>44030.757743055554</v>
      </c>
      <c r="E2546" t="s">
        <v>8024</v>
      </c>
      <c r="F2546" t="s">
        <v>666</v>
      </c>
      <c r="G2546" t="s">
        <v>8024</v>
      </c>
      <c r="H2546" t="s">
        <v>667</v>
      </c>
      <c r="I2546" t="s">
        <v>29</v>
      </c>
      <c r="J2546">
        <v>1</v>
      </c>
      <c r="K2546">
        <f>1-855-484-9454</f>
        <v>-10792</v>
      </c>
      <c r="L2546" t="s">
        <v>8025</v>
      </c>
      <c r="M2546" t="s">
        <v>8026</v>
      </c>
      <c r="N2546">
        <v>201</v>
      </c>
      <c r="O2546" t="s">
        <v>134</v>
      </c>
      <c r="P2546" t="s">
        <v>29</v>
      </c>
      <c r="Q2546">
        <v>41</v>
      </c>
      <c r="R2546">
        <v>-74.006600000000006</v>
      </c>
    </row>
    <row r="2547" spans="1:18" x14ac:dyDescent="0.2">
      <c r="A2547" t="s">
        <v>5349</v>
      </c>
      <c r="B2547" t="s">
        <v>440</v>
      </c>
      <c r="C2547">
        <v>81</v>
      </c>
      <c r="D2547" s="1">
        <v>44029.170266203706</v>
      </c>
      <c r="E2547" t="s">
        <v>8027</v>
      </c>
      <c r="F2547" t="s">
        <v>2236</v>
      </c>
      <c r="G2547" t="s">
        <v>8027</v>
      </c>
      <c r="H2547" t="s">
        <v>2237</v>
      </c>
      <c r="I2547" t="s">
        <v>53</v>
      </c>
      <c r="J2547">
        <v>81</v>
      </c>
      <c r="K2547">
        <f>81-50-5534-21</f>
        <v>-5524</v>
      </c>
      <c r="L2547" t="s">
        <v>8028</v>
      </c>
      <c r="M2547" t="s">
        <v>8029</v>
      </c>
      <c r="N2547">
        <v>104</v>
      </c>
      <c r="O2547" t="s">
        <v>134</v>
      </c>
      <c r="P2547" t="s">
        <v>29</v>
      </c>
      <c r="Q2547">
        <v>39</v>
      </c>
      <c r="R2547">
        <v>-77.487399999999994</v>
      </c>
    </row>
    <row r="2548" spans="1:18" x14ac:dyDescent="0.2">
      <c r="A2548" t="s">
        <v>663</v>
      </c>
      <c r="B2548" t="s">
        <v>3385</v>
      </c>
      <c r="C2548">
        <v>61</v>
      </c>
      <c r="D2548" s="1">
        <v>44029.170486111114</v>
      </c>
      <c r="E2548" t="s">
        <v>8030</v>
      </c>
      <c r="F2548" t="s">
        <v>666</v>
      </c>
      <c r="G2548" t="s">
        <v>8031</v>
      </c>
      <c r="H2548" t="s">
        <v>667</v>
      </c>
      <c r="I2548" t="s">
        <v>782</v>
      </c>
      <c r="J2548">
        <v>61</v>
      </c>
      <c r="K2548">
        <f>61-1800-234-227</f>
        <v>-2200</v>
      </c>
      <c r="L2548" t="s">
        <v>8032</v>
      </c>
      <c r="M2548" t="s">
        <v>8033</v>
      </c>
      <c r="N2548" t="s">
        <v>1645</v>
      </c>
      <c r="O2548" t="s">
        <v>28</v>
      </c>
      <c r="P2548" t="s">
        <v>29</v>
      </c>
      <c r="Q2548">
        <v>41</v>
      </c>
      <c r="R2548">
        <v>-73.996600000000001</v>
      </c>
    </row>
    <row r="2549" spans="1:18" x14ac:dyDescent="0.2">
      <c r="A2549" t="s">
        <v>2349</v>
      </c>
      <c r="B2549" t="s">
        <v>2500</v>
      </c>
      <c r="C2549">
        <v>81</v>
      </c>
      <c r="D2549" s="1">
        <v>44029.170706018522</v>
      </c>
      <c r="E2549" t="s">
        <v>8034</v>
      </c>
      <c r="F2549" t="s">
        <v>2352</v>
      </c>
      <c r="G2549" t="s">
        <v>8035</v>
      </c>
      <c r="H2549" t="s">
        <v>2353</v>
      </c>
      <c r="I2549" t="s">
        <v>53</v>
      </c>
      <c r="J2549">
        <v>81</v>
      </c>
      <c r="K2549">
        <f>81-50-3196-4805</f>
        <v>-7970</v>
      </c>
      <c r="L2549" t="s">
        <v>8036</v>
      </c>
      <c r="M2549" t="s">
        <v>8037</v>
      </c>
      <c r="N2549" t="s">
        <v>2475</v>
      </c>
      <c r="O2549" t="s">
        <v>28</v>
      </c>
      <c r="P2549" t="s">
        <v>2500</v>
      </c>
      <c r="Q2549">
        <v>1</v>
      </c>
      <c r="R2549">
        <v>99.999999000000003</v>
      </c>
    </row>
    <row r="2550" spans="1:18" x14ac:dyDescent="0.2">
      <c r="A2550" t="s">
        <v>439</v>
      </c>
      <c r="B2550" t="s">
        <v>3094</v>
      </c>
      <c r="C2550">
        <v>81</v>
      </c>
      <c r="D2550" s="1">
        <v>44029.17083333333</v>
      </c>
      <c r="E2550" t="s">
        <v>8038</v>
      </c>
      <c r="F2550" t="s">
        <v>442</v>
      </c>
      <c r="G2550" t="s">
        <v>8039</v>
      </c>
      <c r="H2550" t="s">
        <v>444</v>
      </c>
      <c r="I2550" t="s">
        <v>53</v>
      </c>
      <c r="J2550">
        <v>81</v>
      </c>
      <c r="K2550">
        <f>81-50-5532-1236</f>
        <v>-6737</v>
      </c>
      <c r="L2550" t="s">
        <v>8040</v>
      </c>
      <c r="M2550" t="s">
        <v>8041</v>
      </c>
      <c r="N2550" t="s">
        <v>213</v>
      </c>
      <c r="O2550" t="s">
        <v>28</v>
      </c>
      <c r="P2550" t="s">
        <v>2268</v>
      </c>
      <c r="Q2550">
        <v>46</v>
      </c>
      <c r="R2550">
        <v>-73.567300000000003</v>
      </c>
    </row>
    <row r="2551" spans="1:18" x14ac:dyDescent="0.2">
      <c r="A2551" t="s">
        <v>663</v>
      </c>
      <c r="B2551" t="s">
        <v>3385</v>
      </c>
      <c r="C2551">
        <v>43</v>
      </c>
      <c r="D2551" s="1">
        <v>44029.635555555556</v>
      </c>
      <c r="E2551" t="s">
        <v>8042</v>
      </c>
      <c r="F2551" t="s">
        <v>666</v>
      </c>
      <c r="G2551" t="s">
        <v>8043</v>
      </c>
      <c r="H2551" t="s">
        <v>667</v>
      </c>
      <c r="I2551" t="s">
        <v>3432</v>
      </c>
      <c r="J2551">
        <v>43</v>
      </c>
      <c r="K2551">
        <f>43-670-308-150</f>
        <v>-1085</v>
      </c>
      <c r="L2551" t="s">
        <v>8044</v>
      </c>
      <c r="M2551" t="s">
        <v>8045</v>
      </c>
      <c r="N2551" t="s">
        <v>674</v>
      </c>
      <c r="O2551" t="s">
        <v>28</v>
      </c>
      <c r="P2551" t="s">
        <v>29</v>
      </c>
      <c r="Q2551">
        <v>41</v>
      </c>
      <c r="R2551">
        <v>-73.996600000000001</v>
      </c>
    </row>
    <row r="2552" spans="1:18" x14ac:dyDescent="0.2">
      <c r="A2552" t="s">
        <v>663</v>
      </c>
      <c r="B2552" t="s">
        <v>2263</v>
      </c>
      <c r="C2552">
        <v>47</v>
      </c>
      <c r="D2552" s="1">
        <v>44029.636053240742</v>
      </c>
      <c r="E2552" t="s">
        <v>8046</v>
      </c>
      <c r="F2552" t="s">
        <v>666</v>
      </c>
      <c r="G2552" t="s">
        <v>8047</v>
      </c>
      <c r="H2552" t="s">
        <v>667</v>
      </c>
      <c r="I2552" t="s">
        <v>6185</v>
      </c>
      <c r="J2552">
        <v>47</v>
      </c>
      <c r="K2552">
        <f>47-800-62-628</f>
        <v>-1443</v>
      </c>
      <c r="L2552" t="s">
        <v>8048</v>
      </c>
      <c r="M2552" t="s">
        <v>8049</v>
      </c>
      <c r="N2552" t="s">
        <v>5354</v>
      </c>
      <c r="O2552" t="s">
        <v>28</v>
      </c>
      <c r="P2552" t="s">
        <v>2268</v>
      </c>
      <c r="Q2552">
        <v>44</v>
      </c>
      <c r="R2552">
        <v>-79.362300000000005</v>
      </c>
    </row>
    <row r="2553" spans="1:18" x14ac:dyDescent="0.2">
      <c r="A2553" t="s">
        <v>663</v>
      </c>
      <c r="B2553" t="s">
        <v>454</v>
      </c>
      <c r="C2553">
        <v>43</v>
      </c>
      <c r="D2553" s="1">
        <v>44029.65111111111</v>
      </c>
      <c r="E2553" t="s">
        <v>8050</v>
      </c>
      <c r="F2553" t="s">
        <v>666</v>
      </c>
      <c r="G2553" t="s">
        <v>8051</v>
      </c>
      <c r="H2553" t="s">
        <v>667</v>
      </c>
      <c r="I2553" t="s">
        <v>3432</v>
      </c>
      <c r="J2553">
        <v>43</v>
      </c>
      <c r="K2553">
        <f>43-670-308-150</f>
        <v>-1085</v>
      </c>
      <c r="L2553" t="s">
        <v>8052</v>
      </c>
      <c r="M2553" t="s">
        <v>8053</v>
      </c>
      <c r="N2553" t="s">
        <v>3454</v>
      </c>
      <c r="O2553" t="s">
        <v>28</v>
      </c>
      <c r="P2553" t="s">
        <v>461</v>
      </c>
      <c r="Q2553">
        <v>52</v>
      </c>
      <c r="R2553">
        <v>4.8975</v>
      </c>
    </row>
    <row r="2554" spans="1:18" x14ac:dyDescent="0.2">
      <c r="A2554" t="s">
        <v>663</v>
      </c>
      <c r="B2554" t="s">
        <v>664</v>
      </c>
      <c r="C2554">
        <v>1</v>
      </c>
      <c r="D2554" s="1">
        <v>44029.848113425927</v>
      </c>
      <c r="E2554" t="s">
        <v>8054</v>
      </c>
      <c r="F2554" t="s">
        <v>666</v>
      </c>
      <c r="G2554" t="s">
        <v>8054</v>
      </c>
      <c r="H2554" t="s">
        <v>667</v>
      </c>
      <c r="I2554" t="s">
        <v>29</v>
      </c>
      <c r="J2554">
        <v>1</v>
      </c>
      <c r="K2554">
        <f>1-888-526-1762</f>
        <v>-3175</v>
      </c>
      <c r="L2554" t="s">
        <v>8055</v>
      </c>
      <c r="M2554" t="s">
        <v>8056</v>
      </c>
      <c r="N2554">
        <v>59</v>
      </c>
      <c r="O2554" t="s">
        <v>134</v>
      </c>
      <c r="P2554" t="s">
        <v>29</v>
      </c>
      <c r="Q2554">
        <v>37</v>
      </c>
      <c r="R2554">
        <v>-99.999999000000003</v>
      </c>
    </row>
    <row r="2555" spans="1:18" x14ac:dyDescent="0.2">
      <c r="A2555" t="s">
        <v>663</v>
      </c>
      <c r="B2555" t="s">
        <v>5337</v>
      </c>
      <c r="C2555">
        <v>43</v>
      </c>
      <c r="D2555" s="1">
        <v>44029.789548611108</v>
      </c>
      <c r="E2555" t="s">
        <v>8057</v>
      </c>
      <c r="F2555" t="s">
        <v>666</v>
      </c>
      <c r="G2555" t="s">
        <v>8058</v>
      </c>
      <c r="H2555" t="s">
        <v>667</v>
      </c>
      <c r="I2555" t="s">
        <v>3432</v>
      </c>
      <c r="J2555">
        <v>43</v>
      </c>
      <c r="K2555">
        <f>43-670-308-150</f>
        <v>-1085</v>
      </c>
      <c r="L2555" t="s">
        <v>8059</v>
      </c>
      <c r="M2555" t="s">
        <v>8060</v>
      </c>
      <c r="N2555" t="s">
        <v>213</v>
      </c>
      <c r="O2555" t="s">
        <v>28</v>
      </c>
      <c r="P2555" t="s">
        <v>29</v>
      </c>
      <c r="Q2555">
        <v>38</v>
      </c>
      <c r="R2555">
        <v>-99.999999000000003</v>
      </c>
    </row>
    <row r="2556" spans="1:18" x14ac:dyDescent="0.2">
      <c r="A2556" t="s">
        <v>663</v>
      </c>
      <c r="B2556" t="s">
        <v>3385</v>
      </c>
      <c r="C2556">
        <v>1</v>
      </c>
      <c r="D2556" s="1">
        <v>44029.820798611108</v>
      </c>
      <c r="E2556" t="s">
        <v>8061</v>
      </c>
      <c r="F2556" t="s">
        <v>666</v>
      </c>
      <c r="G2556" t="s">
        <v>8061</v>
      </c>
      <c r="H2556" t="s">
        <v>667</v>
      </c>
      <c r="I2556" t="s">
        <v>29</v>
      </c>
      <c r="J2556">
        <v>1</v>
      </c>
      <c r="K2556">
        <f>1-844-938-3383</f>
        <v>-5164</v>
      </c>
      <c r="L2556" t="s">
        <v>8062</v>
      </c>
      <c r="M2556" t="s">
        <v>8063</v>
      </c>
      <c r="N2556">
        <v>139</v>
      </c>
      <c r="O2556" t="s">
        <v>134</v>
      </c>
      <c r="P2556" t="s">
        <v>29</v>
      </c>
      <c r="Q2556">
        <v>41</v>
      </c>
      <c r="R2556">
        <v>-74.006600000000006</v>
      </c>
    </row>
    <row r="2557" spans="1:18" x14ac:dyDescent="0.2">
      <c r="A2557" t="s">
        <v>663</v>
      </c>
      <c r="B2557" t="s">
        <v>2493</v>
      </c>
      <c r="C2557">
        <v>1</v>
      </c>
      <c r="D2557" s="1">
        <v>44029.820902777778</v>
      </c>
      <c r="E2557" t="s">
        <v>8064</v>
      </c>
      <c r="F2557" t="s">
        <v>666</v>
      </c>
      <c r="G2557" t="s">
        <v>8065</v>
      </c>
      <c r="H2557" t="s">
        <v>667</v>
      </c>
      <c r="I2557" t="s">
        <v>29</v>
      </c>
      <c r="J2557">
        <v>1</v>
      </c>
      <c r="K2557">
        <f>1-844-343-4323</f>
        <v>-5509</v>
      </c>
      <c r="L2557" t="s">
        <v>8066</v>
      </c>
      <c r="M2557" t="s">
        <v>8067</v>
      </c>
      <c r="N2557" t="s">
        <v>3454</v>
      </c>
      <c r="O2557" t="s">
        <v>28</v>
      </c>
      <c r="P2557" t="s">
        <v>29</v>
      </c>
      <c r="Q2557">
        <v>41</v>
      </c>
      <c r="R2557">
        <v>-74.024699999999996</v>
      </c>
    </row>
    <row r="2558" spans="1:18" x14ac:dyDescent="0.2">
      <c r="A2558" t="s">
        <v>663</v>
      </c>
      <c r="B2558" t="s">
        <v>664</v>
      </c>
      <c r="C2558">
        <v>1</v>
      </c>
      <c r="D2558" s="1">
        <v>44029.821030092593</v>
      </c>
      <c r="E2558" t="s">
        <v>8068</v>
      </c>
      <c r="F2558" t="s">
        <v>666</v>
      </c>
      <c r="G2558" t="s">
        <v>8068</v>
      </c>
      <c r="H2558" t="s">
        <v>667</v>
      </c>
      <c r="I2558" t="s">
        <v>29</v>
      </c>
      <c r="J2558">
        <v>1</v>
      </c>
      <c r="K2558">
        <f>1-866-761-4656</f>
        <v>-6282</v>
      </c>
      <c r="L2558" t="s">
        <v>8069</v>
      </c>
      <c r="M2558" t="s">
        <v>8070</v>
      </c>
      <c r="N2558">
        <v>11</v>
      </c>
      <c r="O2558" t="s">
        <v>134</v>
      </c>
      <c r="P2558" t="s">
        <v>29</v>
      </c>
      <c r="Q2558">
        <v>37</v>
      </c>
      <c r="R2558">
        <v>-99.999999000000003</v>
      </c>
    </row>
    <row r="2559" spans="1:18" x14ac:dyDescent="0.2">
      <c r="A2559" t="s">
        <v>663</v>
      </c>
      <c r="B2559" t="s">
        <v>2493</v>
      </c>
      <c r="C2559">
        <v>1</v>
      </c>
      <c r="D2559" s="1">
        <v>44029.858912037038</v>
      </c>
      <c r="E2559" t="s">
        <v>8071</v>
      </c>
      <c r="F2559" t="s">
        <v>666</v>
      </c>
      <c r="G2559" t="s">
        <v>8071</v>
      </c>
      <c r="H2559" t="s">
        <v>667</v>
      </c>
      <c r="I2559" t="s">
        <v>29</v>
      </c>
      <c r="J2559">
        <v>1</v>
      </c>
      <c r="K2559">
        <f>1-844-402-4422</f>
        <v>-5667</v>
      </c>
      <c r="L2559" t="s">
        <v>8072</v>
      </c>
      <c r="M2559" t="s">
        <v>8073</v>
      </c>
      <c r="N2559">
        <v>94</v>
      </c>
      <c r="O2559" t="s">
        <v>134</v>
      </c>
      <c r="P2559" t="s">
        <v>29</v>
      </c>
      <c r="Q2559">
        <v>41</v>
      </c>
      <c r="R2559">
        <v>-74.024699999999996</v>
      </c>
    </row>
    <row r="2560" spans="1:18" x14ac:dyDescent="0.2">
      <c r="A2560" t="s">
        <v>663</v>
      </c>
      <c r="B2560" t="s">
        <v>2493</v>
      </c>
      <c r="C2560">
        <v>1</v>
      </c>
      <c r="D2560" s="1">
        <v>44029.858634259261</v>
      </c>
      <c r="E2560" t="s">
        <v>8071</v>
      </c>
      <c r="F2560" t="s">
        <v>666</v>
      </c>
      <c r="G2560" t="s">
        <v>8071</v>
      </c>
      <c r="H2560" t="s">
        <v>667</v>
      </c>
      <c r="I2560" t="s">
        <v>29</v>
      </c>
      <c r="J2560">
        <v>1</v>
      </c>
      <c r="K2560">
        <f>1-844-938-3383</f>
        <v>-5164</v>
      </c>
      <c r="L2560" t="s">
        <v>8074</v>
      </c>
      <c r="M2560" t="s">
        <v>8075</v>
      </c>
      <c r="N2560">
        <v>94</v>
      </c>
      <c r="O2560" t="s">
        <v>134</v>
      </c>
      <c r="P2560" t="s">
        <v>29</v>
      </c>
      <c r="Q2560">
        <v>41</v>
      </c>
      <c r="R2560">
        <v>-74.024699999999996</v>
      </c>
    </row>
    <row r="2561" spans="1:18" x14ac:dyDescent="0.2">
      <c r="A2561" t="s">
        <v>663</v>
      </c>
      <c r="B2561" t="s">
        <v>5337</v>
      </c>
      <c r="C2561">
        <v>1</v>
      </c>
      <c r="D2561" s="1">
        <v>44030.038587962961</v>
      </c>
      <c r="E2561" t="s">
        <v>8076</v>
      </c>
      <c r="F2561" t="s">
        <v>8077</v>
      </c>
      <c r="G2561" t="s">
        <v>8076</v>
      </c>
      <c r="H2561" t="s">
        <v>667</v>
      </c>
      <c r="I2561" t="s">
        <v>29</v>
      </c>
      <c r="J2561">
        <v>1</v>
      </c>
      <c r="K2561">
        <f>1-866-533-1807</f>
        <v>-3205</v>
      </c>
      <c r="L2561" t="s">
        <v>8078</v>
      </c>
      <c r="M2561" t="s">
        <v>8079</v>
      </c>
      <c r="N2561">
        <v>213</v>
      </c>
      <c r="O2561" t="s">
        <v>134</v>
      </c>
      <c r="P2561" t="s">
        <v>29</v>
      </c>
      <c r="Q2561">
        <v>38</v>
      </c>
      <c r="R2561">
        <v>-99.999999000000003</v>
      </c>
    </row>
    <row r="2562" spans="1:18" x14ac:dyDescent="0.2">
      <c r="A2562" t="s">
        <v>270</v>
      </c>
      <c r="B2562" t="s">
        <v>8080</v>
      </c>
      <c r="C2562">
        <v>1</v>
      </c>
      <c r="D2562" s="1">
        <v>44259.734652777777</v>
      </c>
      <c r="E2562" t="s">
        <v>8081</v>
      </c>
      <c r="F2562" t="s">
        <v>273</v>
      </c>
      <c r="G2562" t="s">
        <v>8082</v>
      </c>
      <c r="H2562" t="s">
        <v>275</v>
      </c>
      <c r="I2562" t="s">
        <v>29</v>
      </c>
      <c r="J2562">
        <v>1</v>
      </c>
      <c r="K2562">
        <f>1-844-273-8488</f>
        <v>-9604</v>
      </c>
      <c r="L2562" t="s">
        <v>8083</v>
      </c>
      <c r="M2562" t="s">
        <v>8084</v>
      </c>
      <c r="N2562" t="s">
        <v>278</v>
      </c>
      <c r="O2562" t="s">
        <v>28</v>
      </c>
      <c r="P2562" t="s">
        <v>8085</v>
      </c>
      <c r="Q2562">
        <v>-24</v>
      </c>
      <c r="R2562">
        <v>-46.633000000000003</v>
      </c>
    </row>
    <row r="2563" spans="1:18" x14ac:dyDescent="0.2">
      <c r="A2563" t="s">
        <v>270</v>
      </c>
      <c r="B2563" t="s">
        <v>8080</v>
      </c>
      <c r="C2563">
        <v>1</v>
      </c>
      <c r="D2563" s="1">
        <v>44187.889560185184</v>
      </c>
      <c r="E2563" t="s">
        <v>8086</v>
      </c>
      <c r="F2563" t="s">
        <v>273</v>
      </c>
      <c r="G2563" t="s">
        <v>8082</v>
      </c>
      <c r="H2563" t="s">
        <v>275</v>
      </c>
      <c r="I2563" t="s">
        <v>29</v>
      </c>
      <c r="J2563">
        <v>1</v>
      </c>
      <c r="K2563">
        <f>1-888-599-3015</f>
        <v>-4501</v>
      </c>
      <c r="L2563" t="s">
        <v>8087</v>
      </c>
      <c r="M2563" t="s">
        <v>8088</v>
      </c>
      <c r="N2563" t="s">
        <v>278</v>
      </c>
      <c r="O2563" t="s">
        <v>28</v>
      </c>
      <c r="P2563" t="s">
        <v>8085</v>
      </c>
      <c r="Q2563">
        <v>-24</v>
      </c>
      <c r="R2563">
        <v>-46.633000000000003</v>
      </c>
    </row>
    <row r="2564" spans="1:18" x14ac:dyDescent="0.2">
      <c r="A2564" t="s">
        <v>270</v>
      </c>
      <c r="B2564" t="s">
        <v>8080</v>
      </c>
      <c r="C2564">
        <v>1</v>
      </c>
      <c r="D2564" s="1">
        <v>44179.791770833333</v>
      </c>
      <c r="E2564" t="s">
        <v>8089</v>
      </c>
      <c r="F2564" t="s">
        <v>273</v>
      </c>
      <c r="G2564" t="s">
        <v>8082</v>
      </c>
      <c r="H2564" t="s">
        <v>275</v>
      </c>
      <c r="I2564" t="s">
        <v>29</v>
      </c>
      <c r="J2564">
        <v>1</v>
      </c>
      <c r="K2564">
        <f>1-888-210-2707</f>
        <v>-3804</v>
      </c>
      <c r="L2564" t="s">
        <v>8090</v>
      </c>
      <c r="M2564" t="s">
        <v>8091</v>
      </c>
      <c r="N2564" t="s">
        <v>278</v>
      </c>
      <c r="O2564" t="s">
        <v>134</v>
      </c>
      <c r="P2564" t="s">
        <v>8085</v>
      </c>
      <c r="Q2564">
        <v>-24</v>
      </c>
      <c r="R2564">
        <v>-46.633000000000003</v>
      </c>
    </row>
    <row r="2565" spans="1:18" x14ac:dyDescent="0.2">
      <c r="A2565" t="s">
        <v>270</v>
      </c>
      <c r="B2565" t="s">
        <v>8080</v>
      </c>
      <c r="C2565">
        <v>1</v>
      </c>
      <c r="D2565" s="1">
        <v>44134.756793981483</v>
      </c>
      <c r="E2565" t="s">
        <v>8092</v>
      </c>
      <c r="F2565" t="s">
        <v>273</v>
      </c>
      <c r="G2565" t="s">
        <v>8082</v>
      </c>
      <c r="H2565" t="s">
        <v>275</v>
      </c>
      <c r="I2565" t="s">
        <v>29</v>
      </c>
      <c r="J2565">
        <v>1</v>
      </c>
      <c r="K2565">
        <f>1-888-255-8790</f>
        <v>-9932</v>
      </c>
      <c r="L2565" t="s">
        <v>8093</v>
      </c>
      <c r="M2565" t="s">
        <v>8094</v>
      </c>
      <c r="N2565" t="s">
        <v>278</v>
      </c>
      <c r="O2565" t="s">
        <v>28</v>
      </c>
      <c r="P2565" t="s">
        <v>8085</v>
      </c>
      <c r="Q2565">
        <v>-24</v>
      </c>
      <c r="R2565">
        <v>-46.633000000000003</v>
      </c>
    </row>
    <row r="2566" spans="1:18" x14ac:dyDescent="0.2">
      <c r="A2566" t="s">
        <v>270</v>
      </c>
      <c r="B2566" t="s">
        <v>8080</v>
      </c>
      <c r="C2566">
        <v>1</v>
      </c>
      <c r="D2566" s="1">
        <v>44130.79173611111</v>
      </c>
      <c r="E2566" t="s">
        <v>8095</v>
      </c>
      <c r="F2566" t="s">
        <v>273</v>
      </c>
      <c r="G2566" t="s">
        <v>8082</v>
      </c>
      <c r="H2566" t="s">
        <v>275</v>
      </c>
      <c r="I2566" t="s">
        <v>29</v>
      </c>
      <c r="J2566">
        <v>1</v>
      </c>
      <c r="K2566">
        <f>1-888-399-4160</f>
        <v>-5446</v>
      </c>
      <c r="L2566" t="s">
        <v>8096</v>
      </c>
      <c r="M2566" t="s">
        <v>8097</v>
      </c>
      <c r="N2566" t="s">
        <v>278</v>
      </c>
      <c r="O2566" t="s">
        <v>28</v>
      </c>
      <c r="P2566" t="s">
        <v>8085</v>
      </c>
      <c r="Q2566">
        <v>-24</v>
      </c>
      <c r="R2566">
        <v>-46.633000000000003</v>
      </c>
    </row>
    <row r="2567" spans="1:18" x14ac:dyDescent="0.2">
      <c r="A2567" t="s">
        <v>270</v>
      </c>
      <c r="B2567" t="s">
        <v>8080</v>
      </c>
      <c r="C2567">
        <v>1</v>
      </c>
      <c r="D2567" s="1">
        <v>44130.785624999997</v>
      </c>
      <c r="E2567" t="s">
        <v>8098</v>
      </c>
      <c r="F2567" t="s">
        <v>273</v>
      </c>
      <c r="G2567" t="s">
        <v>8082</v>
      </c>
      <c r="H2567" t="s">
        <v>275</v>
      </c>
      <c r="I2567" t="s">
        <v>29</v>
      </c>
      <c r="J2567">
        <v>1</v>
      </c>
      <c r="K2567">
        <f>1-888-283-5833</f>
        <v>-7003</v>
      </c>
      <c r="L2567" t="s">
        <v>8099</v>
      </c>
      <c r="M2567" t="s">
        <v>8100</v>
      </c>
      <c r="N2567" t="s">
        <v>278</v>
      </c>
      <c r="O2567" t="s">
        <v>28</v>
      </c>
      <c r="P2567" t="s">
        <v>8085</v>
      </c>
      <c r="Q2567">
        <v>-24</v>
      </c>
      <c r="R2567">
        <v>-46.633000000000003</v>
      </c>
    </row>
    <row r="2568" spans="1:18" x14ac:dyDescent="0.2">
      <c r="A2568" t="s">
        <v>270</v>
      </c>
      <c r="B2568" t="s">
        <v>8080</v>
      </c>
      <c r="C2568">
        <v>1</v>
      </c>
      <c r="D2568" s="1">
        <v>44110.944710648146</v>
      </c>
      <c r="E2568" t="s">
        <v>8101</v>
      </c>
      <c r="F2568" t="s">
        <v>273</v>
      </c>
      <c r="G2568" t="s">
        <v>8082</v>
      </c>
      <c r="H2568" t="s">
        <v>275</v>
      </c>
      <c r="I2568" t="s">
        <v>29</v>
      </c>
      <c r="J2568">
        <v>1</v>
      </c>
      <c r="K2568">
        <f>1-888-308-5059</f>
        <v>-6254</v>
      </c>
      <c r="L2568" t="s">
        <v>8102</v>
      </c>
      <c r="M2568" t="s">
        <v>8103</v>
      </c>
      <c r="N2568" t="s">
        <v>278</v>
      </c>
      <c r="O2568" t="s">
        <v>28</v>
      </c>
      <c r="P2568" t="s">
        <v>8085</v>
      </c>
      <c r="Q2568">
        <v>-24</v>
      </c>
      <c r="R2568">
        <v>-46.633000000000003</v>
      </c>
    </row>
    <row r="2569" spans="1:18" x14ac:dyDescent="0.2">
      <c r="A2569" t="s">
        <v>270</v>
      </c>
      <c r="B2569" t="s">
        <v>8080</v>
      </c>
      <c r="C2569">
        <v>1</v>
      </c>
      <c r="D2569" s="1">
        <v>44106.928587962961</v>
      </c>
      <c r="E2569" t="s">
        <v>8104</v>
      </c>
      <c r="F2569" t="s">
        <v>273</v>
      </c>
      <c r="G2569" t="s">
        <v>8082</v>
      </c>
      <c r="H2569" t="s">
        <v>275</v>
      </c>
      <c r="I2569" t="s">
        <v>29</v>
      </c>
      <c r="J2569">
        <v>1</v>
      </c>
      <c r="K2569">
        <f>1-888-278-9830</f>
        <v>-10995</v>
      </c>
      <c r="L2569" t="s">
        <v>8105</v>
      </c>
      <c r="M2569" t="s">
        <v>8106</v>
      </c>
      <c r="N2569" t="s">
        <v>278</v>
      </c>
      <c r="O2569" t="s">
        <v>28</v>
      </c>
      <c r="P2569" t="s">
        <v>8085</v>
      </c>
      <c r="Q2569">
        <v>-24</v>
      </c>
      <c r="R2569">
        <v>-46.633000000000003</v>
      </c>
    </row>
    <row r="2570" spans="1:18" x14ac:dyDescent="0.2">
      <c r="A2570" t="s">
        <v>270</v>
      </c>
      <c r="B2570" t="s">
        <v>8080</v>
      </c>
      <c r="C2570">
        <v>1</v>
      </c>
      <c r="D2570" s="1">
        <v>44103.839201388888</v>
      </c>
      <c r="E2570" t="s">
        <v>8107</v>
      </c>
      <c r="F2570" t="s">
        <v>273</v>
      </c>
      <c r="G2570" t="s">
        <v>8082</v>
      </c>
      <c r="H2570" t="s">
        <v>275</v>
      </c>
      <c r="I2570" t="s">
        <v>29</v>
      </c>
      <c r="J2570">
        <v>1</v>
      </c>
      <c r="K2570">
        <f>1-888-211-8144</f>
        <v>-9242</v>
      </c>
      <c r="L2570" t="s">
        <v>8108</v>
      </c>
      <c r="M2570" t="s">
        <v>8109</v>
      </c>
      <c r="N2570" t="s">
        <v>278</v>
      </c>
      <c r="O2570" t="s">
        <v>28</v>
      </c>
      <c r="P2570" t="s">
        <v>8085</v>
      </c>
      <c r="Q2570">
        <v>-24</v>
      </c>
      <c r="R2570">
        <v>-46.633000000000003</v>
      </c>
    </row>
    <row r="2571" spans="1:18" x14ac:dyDescent="0.2">
      <c r="A2571" t="s">
        <v>270</v>
      </c>
      <c r="B2571" t="s">
        <v>8080</v>
      </c>
      <c r="C2571">
        <v>1</v>
      </c>
      <c r="D2571" s="1">
        <v>44102.822754629633</v>
      </c>
      <c r="E2571" t="s">
        <v>8110</v>
      </c>
      <c r="F2571" t="s">
        <v>273</v>
      </c>
      <c r="G2571" t="s">
        <v>8082</v>
      </c>
      <c r="H2571" t="s">
        <v>275</v>
      </c>
      <c r="I2571" t="s">
        <v>29</v>
      </c>
      <c r="J2571">
        <v>1</v>
      </c>
      <c r="K2571">
        <f>1-888-228-8619</f>
        <v>-9734</v>
      </c>
      <c r="L2571" t="s">
        <v>8111</v>
      </c>
      <c r="M2571" t="s">
        <v>8112</v>
      </c>
      <c r="N2571" t="s">
        <v>278</v>
      </c>
      <c r="O2571" t="s">
        <v>28</v>
      </c>
      <c r="P2571" t="s">
        <v>8085</v>
      </c>
      <c r="Q2571">
        <v>-24</v>
      </c>
      <c r="R2571">
        <v>-46.633000000000003</v>
      </c>
    </row>
    <row r="2572" spans="1:18" x14ac:dyDescent="0.2">
      <c r="A2572" t="s">
        <v>270</v>
      </c>
      <c r="B2572" t="s">
        <v>8080</v>
      </c>
      <c r="C2572">
        <v>1</v>
      </c>
      <c r="D2572" s="1">
        <v>44097.385150462964</v>
      </c>
      <c r="E2572" t="s">
        <v>8113</v>
      </c>
      <c r="F2572" t="s">
        <v>273</v>
      </c>
      <c r="G2572" t="s">
        <v>8082</v>
      </c>
      <c r="H2572" t="s">
        <v>275</v>
      </c>
      <c r="I2572" t="s">
        <v>29</v>
      </c>
      <c r="J2572">
        <v>1</v>
      </c>
      <c r="K2572">
        <f>1-888-229-7472</f>
        <v>-8588</v>
      </c>
      <c r="L2572" t="s">
        <v>8114</v>
      </c>
      <c r="M2572" t="s">
        <v>8115</v>
      </c>
      <c r="N2572" t="s">
        <v>278</v>
      </c>
      <c r="O2572" t="s">
        <v>28</v>
      </c>
      <c r="P2572" t="s">
        <v>8085</v>
      </c>
      <c r="Q2572">
        <v>-24</v>
      </c>
      <c r="R2572">
        <v>-46.633000000000003</v>
      </c>
    </row>
    <row r="2573" spans="1:18" x14ac:dyDescent="0.2">
      <c r="A2573" t="s">
        <v>270</v>
      </c>
      <c r="B2573" t="s">
        <v>8080</v>
      </c>
      <c r="C2573">
        <v>1</v>
      </c>
      <c r="D2573" s="1">
        <v>44096.367106481484</v>
      </c>
      <c r="E2573" t="s">
        <v>8116</v>
      </c>
      <c r="F2573" t="s">
        <v>273</v>
      </c>
      <c r="G2573" t="s">
        <v>8082</v>
      </c>
      <c r="H2573" t="s">
        <v>275</v>
      </c>
      <c r="I2573" t="s">
        <v>29</v>
      </c>
      <c r="J2573">
        <v>1</v>
      </c>
      <c r="K2573">
        <f>1-844-309-2423</f>
        <v>-3575</v>
      </c>
      <c r="L2573" t="s">
        <v>8117</v>
      </c>
      <c r="M2573" t="s">
        <v>8118</v>
      </c>
      <c r="N2573" t="s">
        <v>278</v>
      </c>
      <c r="O2573" t="s">
        <v>28</v>
      </c>
      <c r="P2573" t="s">
        <v>8085</v>
      </c>
      <c r="Q2573">
        <v>-24</v>
      </c>
      <c r="R2573">
        <v>-46.633000000000003</v>
      </c>
    </row>
    <row r="2574" spans="1:18" x14ac:dyDescent="0.2">
      <c r="A2574" t="s">
        <v>270</v>
      </c>
      <c r="B2574" t="s">
        <v>8080</v>
      </c>
      <c r="C2574">
        <v>1</v>
      </c>
      <c r="D2574" s="1">
        <v>44096.366585648146</v>
      </c>
      <c r="E2574" t="s">
        <v>8119</v>
      </c>
      <c r="F2574" t="s">
        <v>273</v>
      </c>
      <c r="G2574" t="s">
        <v>8082</v>
      </c>
      <c r="H2574" t="s">
        <v>275</v>
      </c>
      <c r="I2574" t="s">
        <v>29</v>
      </c>
      <c r="J2574">
        <v>1</v>
      </c>
      <c r="K2574">
        <f>1-844-309-2655</f>
        <v>-3807</v>
      </c>
      <c r="L2574" t="s">
        <v>8120</v>
      </c>
      <c r="M2574" t="s">
        <v>8121</v>
      </c>
      <c r="N2574" t="s">
        <v>278</v>
      </c>
      <c r="O2574" t="s">
        <v>28</v>
      </c>
      <c r="P2574" t="s">
        <v>8085</v>
      </c>
      <c r="Q2574">
        <v>-24</v>
      </c>
      <c r="R2574">
        <v>-46.633000000000003</v>
      </c>
    </row>
    <row r="2575" spans="1:18" x14ac:dyDescent="0.2">
      <c r="A2575" t="s">
        <v>270</v>
      </c>
      <c r="B2575" t="s">
        <v>8080</v>
      </c>
      <c r="C2575">
        <v>1</v>
      </c>
      <c r="D2575" s="1">
        <v>44095.793564814812</v>
      </c>
      <c r="E2575" t="s">
        <v>8122</v>
      </c>
      <c r="F2575" t="s">
        <v>273</v>
      </c>
      <c r="G2575" t="s">
        <v>8082</v>
      </c>
      <c r="H2575" t="s">
        <v>275</v>
      </c>
      <c r="I2575" t="s">
        <v>29</v>
      </c>
      <c r="J2575">
        <v>1</v>
      </c>
      <c r="K2575">
        <f>1-844-316-9077</f>
        <v>-10236</v>
      </c>
      <c r="L2575" t="s">
        <v>8123</v>
      </c>
      <c r="M2575" t="s">
        <v>8124</v>
      </c>
      <c r="N2575" t="s">
        <v>278</v>
      </c>
      <c r="O2575" t="s">
        <v>28</v>
      </c>
      <c r="P2575" t="s">
        <v>8085</v>
      </c>
      <c r="Q2575">
        <v>-24</v>
      </c>
      <c r="R2575">
        <v>-46.633000000000003</v>
      </c>
    </row>
    <row r="2576" spans="1:18" x14ac:dyDescent="0.2">
      <c r="A2576" t="s">
        <v>270</v>
      </c>
      <c r="B2576" t="s">
        <v>8080</v>
      </c>
      <c r="C2576">
        <v>1</v>
      </c>
      <c r="D2576" s="1">
        <v>44095.784120370372</v>
      </c>
      <c r="E2576" t="s">
        <v>8125</v>
      </c>
      <c r="F2576" t="s">
        <v>273</v>
      </c>
      <c r="G2576" t="s">
        <v>8082</v>
      </c>
      <c r="H2576" t="s">
        <v>275</v>
      </c>
      <c r="I2576" t="s">
        <v>29</v>
      </c>
      <c r="J2576">
        <v>1</v>
      </c>
      <c r="K2576">
        <f>1-844-288-9111</f>
        <v>-10242</v>
      </c>
      <c r="L2576" t="s">
        <v>8126</v>
      </c>
      <c r="M2576" t="s">
        <v>8127</v>
      </c>
      <c r="N2576" t="s">
        <v>278</v>
      </c>
      <c r="O2576" t="s">
        <v>28</v>
      </c>
      <c r="P2576" t="s">
        <v>8085</v>
      </c>
      <c r="Q2576">
        <v>-24</v>
      </c>
      <c r="R2576">
        <v>-46.633000000000003</v>
      </c>
    </row>
    <row r="2577" spans="1:18" x14ac:dyDescent="0.2">
      <c r="A2577" t="s">
        <v>270</v>
      </c>
      <c r="B2577" t="s">
        <v>8080</v>
      </c>
      <c r="C2577">
        <v>1</v>
      </c>
      <c r="D2577" s="1">
        <v>44090.993310185186</v>
      </c>
      <c r="E2577" t="s">
        <v>8128</v>
      </c>
      <c r="F2577" t="s">
        <v>273</v>
      </c>
      <c r="G2577" t="s">
        <v>8082</v>
      </c>
      <c r="H2577" t="s">
        <v>275</v>
      </c>
      <c r="I2577" t="s">
        <v>29</v>
      </c>
      <c r="J2577">
        <v>1</v>
      </c>
      <c r="K2577">
        <f>1-844-242-3148</f>
        <v>-4233</v>
      </c>
      <c r="L2577" t="s">
        <v>8129</v>
      </c>
      <c r="M2577" t="s">
        <v>8130</v>
      </c>
      <c r="N2577" t="s">
        <v>278</v>
      </c>
      <c r="O2577" t="s">
        <v>28</v>
      </c>
      <c r="P2577" t="s">
        <v>8085</v>
      </c>
      <c r="Q2577">
        <v>-24</v>
      </c>
      <c r="R2577">
        <v>-46.633000000000003</v>
      </c>
    </row>
    <row r="2578" spans="1:18" x14ac:dyDescent="0.2">
      <c r="A2578" t="s">
        <v>270</v>
      </c>
      <c r="B2578" t="s">
        <v>8080</v>
      </c>
      <c r="C2578">
        <v>1</v>
      </c>
      <c r="D2578" s="1">
        <v>44090.991585648146</v>
      </c>
      <c r="E2578" t="s">
        <v>8131</v>
      </c>
      <c r="F2578" t="s">
        <v>273</v>
      </c>
      <c r="G2578" t="s">
        <v>8082</v>
      </c>
      <c r="H2578" t="s">
        <v>275</v>
      </c>
      <c r="I2578" t="s">
        <v>29</v>
      </c>
      <c r="J2578">
        <v>1</v>
      </c>
      <c r="K2578">
        <f>1-844-242-3148</f>
        <v>-4233</v>
      </c>
      <c r="L2578" t="s">
        <v>8132</v>
      </c>
      <c r="M2578" t="s">
        <v>8133</v>
      </c>
      <c r="N2578" t="s">
        <v>278</v>
      </c>
      <c r="O2578" t="s">
        <v>28</v>
      </c>
      <c r="P2578" t="s">
        <v>8085</v>
      </c>
      <c r="Q2578">
        <v>-24</v>
      </c>
      <c r="R2578">
        <v>-46.633000000000003</v>
      </c>
    </row>
    <row r="2579" spans="1:18" x14ac:dyDescent="0.2">
      <c r="A2579" t="s">
        <v>270</v>
      </c>
      <c r="B2579" t="s">
        <v>8080</v>
      </c>
      <c r="C2579">
        <v>1</v>
      </c>
      <c r="D2579" s="1">
        <v>44090.798784722225</v>
      </c>
      <c r="E2579" t="s">
        <v>8134</v>
      </c>
      <c r="F2579" t="s">
        <v>273</v>
      </c>
      <c r="G2579" t="s">
        <v>8082</v>
      </c>
      <c r="H2579" t="s">
        <v>275</v>
      </c>
      <c r="I2579" t="s">
        <v>29</v>
      </c>
      <c r="J2579">
        <v>1</v>
      </c>
      <c r="K2579">
        <f>1-844-227-7011</f>
        <v>-8081</v>
      </c>
      <c r="L2579" t="s">
        <v>8135</v>
      </c>
      <c r="M2579" t="s">
        <v>8136</v>
      </c>
      <c r="N2579" t="s">
        <v>278</v>
      </c>
      <c r="O2579" t="s">
        <v>28</v>
      </c>
      <c r="P2579" t="s">
        <v>8085</v>
      </c>
      <c r="Q2579">
        <v>-24</v>
      </c>
      <c r="R2579">
        <v>-46.633000000000003</v>
      </c>
    </row>
    <row r="2580" spans="1:18" x14ac:dyDescent="0.2">
      <c r="A2580" t="s">
        <v>270</v>
      </c>
      <c r="B2580" t="s">
        <v>8080</v>
      </c>
      <c r="C2580">
        <v>1</v>
      </c>
      <c r="D2580" s="1">
        <v>44090.791747685187</v>
      </c>
      <c r="E2580" t="s">
        <v>8137</v>
      </c>
      <c r="F2580" t="s">
        <v>273</v>
      </c>
      <c r="G2580" t="s">
        <v>8082</v>
      </c>
      <c r="H2580" t="s">
        <v>275</v>
      </c>
      <c r="I2580" t="s">
        <v>29</v>
      </c>
      <c r="J2580">
        <v>1</v>
      </c>
      <c r="K2580">
        <f>1-844-243-4064</f>
        <v>-5150</v>
      </c>
      <c r="L2580" t="s">
        <v>8138</v>
      </c>
      <c r="M2580" t="s">
        <v>8139</v>
      </c>
      <c r="N2580" t="s">
        <v>278</v>
      </c>
      <c r="O2580" t="s">
        <v>28</v>
      </c>
      <c r="P2580" t="s">
        <v>8085</v>
      </c>
      <c r="Q2580">
        <v>-24</v>
      </c>
      <c r="R2580">
        <v>-46.633000000000003</v>
      </c>
    </row>
    <row r="2581" spans="1:18" x14ac:dyDescent="0.2">
      <c r="A2581" t="s">
        <v>270</v>
      </c>
      <c r="B2581" t="s">
        <v>8080</v>
      </c>
      <c r="C2581">
        <v>1</v>
      </c>
      <c r="D2581" s="1">
        <v>44090.417013888888</v>
      </c>
      <c r="E2581" t="s">
        <v>8140</v>
      </c>
      <c r="F2581" t="s">
        <v>273</v>
      </c>
      <c r="G2581" t="s">
        <v>8082</v>
      </c>
      <c r="H2581" t="s">
        <v>275</v>
      </c>
      <c r="I2581" t="s">
        <v>29</v>
      </c>
      <c r="J2581">
        <v>1</v>
      </c>
      <c r="K2581">
        <f>1-844-318-8589</f>
        <v>-9750</v>
      </c>
      <c r="L2581" t="s">
        <v>8141</v>
      </c>
      <c r="M2581" t="s">
        <v>8142</v>
      </c>
      <c r="N2581" t="s">
        <v>278</v>
      </c>
      <c r="O2581" t="s">
        <v>28</v>
      </c>
      <c r="P2581" t="s">
        <v>8085</v>
      </c>
      <c r="Q2581">
        <v>-24</v>
      </c>
      <c r="R2581">
        <v>-46.633000000000003</v>
      </c>
    </row>
    <row r="2582" spans="1:18" x14ac:dyDescent="0.2">
      <c r="A2582" t="s">
        <v>270</v>
      </c>
      <c r="B2582" t="s">
        <v>8080</v>
      </c>
      <c r="C2582">
        <v>1</v>
      </c>
      <c r="D2582" s="1">
        <v>44090.41542824074</v>
      </c>
      <c r="E2582" t="s">
        <v>8143</v>
      </c>
      <c r="F2582" t="s">
        <v>273</v>
      </c>
      <c r="G2582" t="s">
        <v>8082</v>
      </c>
      <c r="H2582" t="s">
        <v>275</v>
      </c>
      <c r="I2582" t="s">
        <v>29</v>
      </c>
      <c r="J2582">
        <v>1</v>
      </c>
      <c r="K2582">
        <f>1-844-293-8713</f>
        <v>-9849</v>
      </c>
      <c r="L2582" t="s">
        <v>8144</v>
      </c>
      <c r="M2582" t="s">
        <v>8145</v>
      </c>
      <c r="N2582" t="s">
        <v>278</v>
      </c>
      <c r="O2582" t="s">
        <v>28</v>
      </c>
      <c r="P2582" t="s">
        <v>8085</v>
      </c>
      <c r="Q2582">
        <v>-24</v>
      </c>
      <c r="R2582">
        <v>-46.633000000000003</v>
      </c>
    </row>
    <row r="2583" spans="1:18" x14ac:dyDescent="0.2">
      <c r="A2583" t="s">
        <v>270</v>
      </c>
      <c r="B2583" t="s">
        <v>8080</v>
      </c>
      <c r="C2583">
        <v>1</v>
      </c>
      <c r="D2583" s="1">
        <v>44090.414375</v>
      </c>
      <c r="E2583" t="s">
        <v>8146</v>
      </c>
      <c r="F2583" t="s">
        <v>273</v>
      </c>
      <c r="G2583" t="s">
        <v>8082</v>
      </c>
      <c r="H2583" t="s">
        <v>275</v>
      </c>
      <c r="I2583" t="s">
        <v>29</v>
      </c>
      <c r="J2583">
        <v>1</v>
      </c>
      <c r="K2583">
        <f>1-844-311-7591</f>
        <v>-8745</v>
      </c>
      <c r="L2583" t="s">
        <v>8147</v>
      </c>
      <c r="M2583" t="s">
        <v>8148</v>
      </c>
      <c r="N2583" t="s">
        <v>278</v>
      </c>
      <c r="O2583" t="s">
        <v>28</v>
      </c>
      <c r="P2583" t="s">
        <v>8085</v>
      </c>
      <c r="Q2583">
        <v>-24</v>
      </c>
      <c r="R2583">
        <v>-46.633000000000003</v>
      </c>
    </row>
    <row r="2584" spans="1:18" x14ac:dyDescent="0.2">
      <c r="A2584" t="s">
        <v>270</v>
      </c>
      <c r="B2584" t="s">
        <v>8080</v>
      </c>
      <c r="C2584">
        <v>1</v>
      </c>
      <c r="D2584" s="1">
        <v>44089.810763888891</v>
      </c>
      <c r="E2584" t="s">
        <v>8149</v>
      </c>
      <c r="F2584" t="s">
        <v>273</v>
      </c>
      <c r="G2584" t="s">
        <v>8082</v>
      </c>
      <c r="H2584" t="s">
        <v>275</v>
      </c>
      <c r="I2584" t="s">
        <v>29</v>
      </c>
      <c r="J2584">
        <v>1</v>
      </c>
      <c r="K2584">
        <f>1-844-309-2114</f>
        <v>-3266</v>
      </c>
      <c r="L2584" t="s">
        <v>8150</v>
      </c>
      <c r="M2584" t="s">
        <v>8151</v>
      </c>
      <c r="N2584" t="s">
        <v>278</v>
      </c>
      <c r="O2584" t="s">
        <v>28</v>
      </c>
      <c r="P2584" t="s">
        <v>8085</v>
      </c>
      <c r="Q2584">
        <v>-24</v>
      </c>
      <c r="R2584">
        <v>-46.633000000000003</v>
      </c>
    </row>
    <row r="2585" spans="1:18" x14ac:dyDescent="0.2">
      <c r="A2585" t="s">
        <v>270</v>
      </c>
      <c r="B2585" t="s">
        <v>8080</v>
      </c>
      <c r="C2585">
        <v>1</v>
      </c>
      <c r="D2585" s="1">
        <v>44089.756655092591</v>
      </c>
      <c r="E2585" t="s">
        <v>8152</v>
      </c>
      <c r="F2585" t="s">
        <v>273</v>
      </c>
      <c r="G2585" t="s">
        <v>8082</v>
      </c>
      <c r="H2585" t="s">
        <v>275</v>
      </c>
      <c r="I2585" t="s">
        <v>29</v>
      </c>
      <c r="J2585">
        <v>1</v>
      </c>
      <c r="K2585">
        <f>1-844-218-3888</f>
        <v>-4949</v>
      </c>
      <c r="L2585" t="s">
        <v>8153</v>
      </c>
      <c r="M2585" t="s">
        <v>8154</v>
      </c>
      <c r="N2585" t="s">
        <v>278</v>
      </c>
      <c r="O2585" t="s">
        <v>28</v>
      </c>
      <c r="P2585" t="s">
        <v>8085</v>
      </c>
      <c r="Q2585">
        <v>-24</v>
      </c>
      <c r="R2585">
        <v>-46.633000000000003</v>
      </c>
    </row>
    <row r="2586" spans="1:18" x14ac:dyDescent="0.2">
      <c r="A2586" t="s">
        <v>270</v>
      </c>
      <c r="B2586" t="s">
        <v>8080</v>
      </c>
      <c r="C2586">
        <v>1</v>
      </c>
      <c r="D2586" s="1">
        <v>44089.431666666664</v>
      </c>
      <c r="E2586" t="s">
        <v>8155</v>
      </c>
      <c r="F2586" t="s">
        <v>273</v>
      </c>
      <c r="G2586" t="s">
        <v>8082</v>
      </c>
      <c r="H2586" t="s">
        <v>275</v>
      </c>
      <c r="I2586" t="s">
        <v>29</v>
      </c>
      <c r="J2586">
        <v>1</v>
      </c>
      <c r="K2586">
        <f>1-844-210-4337</f>
        <v>-5390</v>
      </c>
      <c r="L2586" t="s">
        <v>8156</v>
      </c>
      <c r="M2586" t="s">
        <v>8157</v>
      </c>
      <c r="N2586" t="s">
        <v>278</v>
      </c>
      <c r="O2586" t="s">
        <v>28</v>
      </c>
      <c r="P2586" t="s">
        <v>8085</v>
      </c>
      <c r="Q2586">
        <v>-24</v>
      </c>
      <c r="R2586">
        <v>-46.633000000000003</v>
      </c>
    </row>
    <row r="2587" spans="1:18" x14ac:dyDescent="0.2">
      <c r="A2587" t="s">
        <v>270</v>
      </c>
      <c r="B2587" t="s">
        <v>8080</v>
      </c>
      <c r="C2587">
        <v>1</v>
      </c>
      <c r="D2587" s="1">
        <v>44089.431076388886</v>
      </c>
      <c r="E2587" t="s">
        <v>8158</v>
      </c>
      <c r="F2587" t="s">
        <v>273</v>
      </c>
      <c r="G2587" t="s">
        <v>8082</v>
      </c>
      <c r="H2587" t="s">
        <v>275</v>
      </c>
      <c r="I2587" t="s">
        <v>29</v>
      </c>
      <c r="J2587">
        <v>1</v>
      </c>
      <c r="K2587">
        <f>1-844-210-4337</f>
        <v>-5390</v>
      </c>
      <c r="L2587" t="s">
        <v>8159</v>
      </c>
      <c r="M2587" t="s">
        <v>8160</v>
      </c>
      <c r="N2587" t="s">
        <v>278</v>
      </c>
      <c r="O2587" t="s">
        <v>28</v>
      </c>
      <c r="P2587" t="s">
        <v>8085</v>
      </c>
      <c r="Q2587">
        <v>-24</v>
      </c>
      <c r="R2587">
        <v>-46.633000000000003</v>
      </c>
    </row>
    <row r="2588" spans="1:18" x14ac:dyDescent="0.2">
      <c r="A2588" t="s">
        <v>270</v>
      </c>
      <c r="B2588" t="s">
        <v>8080</v>
      </c>
      <c r="C2588">
        <v>1</v>
      </c>
      <c r="D2588" s="1">
        <v>44089.430451388886</v>
      </c>
      <c r="E2588" t="s">
        <v>8161</v>
      </c>
      <c r="F2588" t="s">
        <v>273</v>
      </c>
      <c r="G2588" t="s">
        <v>8082</v>
      </c>
      <c r="H2588" t="s">
        <v>275</v>
      </c>
      <c r="I2588" t="s">
        <v>29</v>
      </c>
      <c r="J2588">
        <v>1</v>
      </c>
      <c r="K2588">
        <f>1-844-210-4337</f>
        <v>-5390</v>
      </c>
      <c r="L2588" t="s">
        <v>8162</v>
      </c>
      <c r="M2588" t="s">
        <v>8163</v>
      </c>
      <c r="N2588" t="s">
        <v>278</v>
      </c>
      <c r="O2588" t="s">
        <v>28</v>
      </c>
      <c r="P2588" t="s">
        <v>8085</v>
      </c>
      <c r="Q2588">
        <v>-24</v>
      </c>
      <c r="R2588">
        <v>-46.633000000000003</v>
      </c>
    </row>
    <row r="2589" spans="1:18" x14ac:dyDescent="0.2">
      <c r="A2589" t="s">
        <v>270</v>
      </c>
      <c r="B2589" t="s">
        <v>8080</v>
      </c>
      <c r="C2589">
        <v>1</v>
      </c>
      <c r="D2589" s="1">
        <v>44083.909409722219</v>
      </c>
      <c r="E2589" t="s">
        <v>8164</v>
      </c>
      <c r="F2589" t="s">
        <v>273</v>
      </c>
      <c r="G2589" t="s">
        <v>8082</v>
      </c>
      <c r="H2589" t="s">
        <v>275</v>
      </c>
      <c r="I2589" t="s">
        <v>29</v>
      </c>
      <c r="J2589">
        <v>1</v>
      </c>
      <c r="K2589">
        <f>1-888-585-4129</f>
        <v>-5601</v>
      </c>
      <c r="L2589" t="s">
        <v>8165</v>
      </c>
      <c r="M2589" t="s">
        <v>8166</v>
      </c>
      <c r="N2589" t="s">
        <v>278</v>
      </c>
      <c r="O2589" t="s">
        <v>28</v>
      </c>
      <c r="P2589" t="s">
        <v>8085</v>
      </c>
      <c r="Q2589">
        <v>-24</v>
      </c>
      <c r="R2589">
        <v>-46.633000000000003</v>
      </c>
    </row>
    <row r="2590" spans="1:18" x14ac:dyDescent="0.2">
      <c r="A2590" t="s">
        <v>270</v>
      </c>
      <c r="B2590" t="s">
        <v>8080</v>
      </c>
      <c r="C2590">
        <v>1</v>
      </c>
      <c r="D2590" s="1">
        <v>44083.888495370367</v>
      </c>
      <c r="E2590" t="s">
        <v>8167</v>
      </c>
      <c r="F2590" t="s">
        <v>273</v>
      </c>
      <c r="G2590" t="s">
        <v>8082</v>
      </c>
      <c r="H2590" t="s">
        <v>275</v>
      </c>
      <c r="I2590" t="s">
        <v>29</v>
      </c>
      <c r="J2590">
        <v>1</v>
      </c>
      <c r="K2590">
        <f>1-888-599-4298</f>
        <v>-5784</v>
      </c>
      <c r="L2590" t="s">
        <v>8168</v>
      </c>
      <c r="M2590" t="s">
        <v>8169</v>
      </c>
      <c r="N2590" t="s">
        <v>278</v>
      </c>
      <c r="O2590" t="s">
        <v>28</v>
      </c>
      <c r="P2590" t="s">
        <v>8085</v>
      </c>
      <c r="Q2590">
        <v>-24</v>
      </c>
      <c r="R2590">
        <v>-46.633000000000003</v>
      </c>
    </row>
    <row r="2591" spans="1:18" x14ac:dyDescent="0.2">
      <c r="A2591" t="s">
        <v>270</v>
      </c>
      <c r="B2591" t="s">
        <v>8080</v>
      </c>
      <c r="C2591">
        <v>1</v>
      </c>
      <c r="D2591" s="1">
        <v>44083.830555555556</v>
      </c>
      <c r="E2591" t="s">
        <v>8170</v>
      </c>
      <c r="F2591" t="s">
        <v>273</v>
      </c>
      <c r="G2591" t="s">
        <v>8082</v>
      </c>
      <c r="H2591" t="s">
        <v>275</v>
      </c>
      <c r="I2591" t="s">
        <v>29</v>
      </c>
      <c r="J2591">
        <v>1</v>
      </c>
      <c r="K2591">
        <f>1-888-599-4298</f>
        <v>-5784</v>
      </c>
      <c r="L2591" t="s">
        <v>8171</v>
      </c>
      <c r="M2591" t="s">
        <v>8172</v>
      </c>
      <c r="N2591" t="s">
        <v>278</v>
      </c>
      <c r="O2591" t="s">
        <v>28</v>
      </c>
      <c r="P2591" t="s">
        <v>8085</v>
      </c>
      <c r="Q2591">
        <v>-24</v>
      </c>
      <c r="R2591">
        <v>-46.633000000000003</v>
      </c>
    </row>
    <row r="2592" spans="1:18" x14ac:dyDescent="0.2">
      <c r="A2592" t="s">
        <v>270</v>
      </c>
      <c r="B2592" t="s">
        <v>8080</v>
      </c>
      <c r="C2592">
        <v>1</v>
      </c>
      <c r="D2592" s="1">
        <v>44083.801504629628</v>
      </c>
      <c r="E2592" t="s">
        <v>8173</v>
      </c>
      <c r="F2592" t="s">
        <v>273</v>
      </c>
      <c r="G2592" t="s">
        <v>8082</v>
      </c>
      <c r="H2592" t="s">
        <v>275</v>
      </c>
      <c r="I2592" t="s">
        <v>29</v>
      </c>
      <c r="J2592">
        <v>1</v>
      </c>
      <c r="K2592">
        <f>1-888-585-5441</f>
        <v>-6913</v>
      </c>
      <c r="L2592" t="s">
        <v>8174</v>
      </c>
      <c r="M2592" t="s">
        <v>8175</v>
      </c>
      <c r="N2592" t="s">
        <v>278</v>
      </c>
      <c r="O2592" t="s">
        <v>28</v>
      </c>
      <c r="P2592" t="s">
        <v>8085</v>
      </c>
      <c r="Q2592">
        <v>-24</v>
      </c>
      <c r="R2592">
        <v>-46.633000000000003</v>
      </c>
    </row>
    <row r="2593" spans="1:18" x14ac:dyDescent="0.2">
      <c r="A2593" t="s">
        <v>270</v>
      </c>
      <c r="B2593" t="s">
        <v>8080</v>
      </c>
      <c r="C2593">
        <v>1</v>
      </c>
      <c r="D2593" s="1">
        <v>44078.849108796298</v>
      </c>
      <c r="E2593" t="s">
        <v>8176</v>
      </c>
      <c r="F2593" t="s">
        <v>273</v>
      </c>
      <c r="G2593" t="s">
        <v>8082</v>
      </c>
      <c r="H2593" t="s">
        <v>275</v>
      </c>
      <c r="I2593" t="s">
        <v>29</v>
      </c>
      <c r="J2593">
        <v>1</v>
      </c>
      <c r="K2593">
        <f>1-866-512-2889</f>
        <v>-4266</v>
      </c>
      <c r="L2593" t="s">
        <v>8177</v>
      </c>
      <c r="M2593" t="s">
        <v>8178</v>
      </c>
      <c r="N2593" t="s">
        <v>278</v>
      </c>
      <c r="O2593" t="s">
        <v>134</v>
      </c>
      <c r="P2593" t="s">
        <v>8085</v>
      </c>
      <c r="Q2593">
        <v>-24</v>
      </c>
      <c r="R2593">
        <v>-46.633000000000003</v>
      </c>
    </row>
    <row r="2594" spans="1:18" x14ac:dyDescent="0.2">
      <c r="A2594" t="s">
        <v>270</v>
      </c>
      <c r="B2594" t="s">
        <v>8080</v>
      </c>
      <c r="C2594">
        <v>1</v>
      </c>
      <c r="D2594" s="1">
        <v>44075.759675925925</v>
      </c>
      <c r="E2594" t="s">
        <v>8179</v>
      </c>
      <c r="F2594" t="s">
        <v>273</v>
      </c>
      <c r="G2594" t="s">
        <v>8082</v>
      </c>
      <c r="H2594" t="s">
        <v>275</v>
      </c>
      <c r="I2594" t="s">
        <v>29</v>
      </c>
      <c r="J2594">
        <v>1</v>
      </c>
      <c r="K2594">
        <f>1-888-705-928</f>
        <v>-2520</v>
      </c>
      <c r="L2594" t="s">
        <v>8180</v>
      </c>
      <c r="M2594" t="s">
        <v>8181</v>
      </c>
      <c r="N2594" t="s">
        <v>278</v>
      </c>
      <c r="O2594" t="s">
        <v>134</v>
      </c>
      <c r="P2594" t="s">
        <v>8085</v>
      </c>
      <c r="Q2594">
        <v>-24</v>
      </c>
      <c r="R2594">
        <v>-46.633000000000003</v>
      </c>
    </row>
    <row r="2595" spans="1:18" x14ac:dyDescent="0.2">
      <c r="A2595" t="s">
        <v>270</v>
      </c>
      <c r="B2595" t="s">
        <v>8080</v>
      </c>
      <c r="C2595">
        <v>1</v>
      </c>
      <c r="D2595" s="1">
        <v>44073.943402777775</v>
      </c>
      <c r="E2595" t="s">
        <v>8182</v>
      </c>
      <c r="F2595" t="s">
        <v>273</v>
      </c>
      <c r="G2595" t="s">
        <v>8082</v>
      </c>
      <c r="H2595" t="s">
        <v>275</v>
      </c>
      <c r="I2595" t="s">
        <v>29</v>
      </c>
      <c r="J2595">
        <v>1</v>
      </c>
      <c r="K2595">
        <f>1-888-655-2376</f>
        <v>-3918</v>
      </c>
      <c r="L2595" t="s">
        <v>8183</v>
      </c>
      <c r="M2595" t="s">
        <v>8184</v>
      </c>
      <c r="N2595" t="s">
        <v>278</v>
      </c>
      <c r="O2595" t="s">
        <v>134</v>
      </c>
      <c r="P2595" t="s">
        <v>8085</v>
      </c>
      <c r="Q2595">
        <v>-24</v>
      </c>
      <c r="R2595">
        <v>-46.633000000000003</v>
      </c>
    </row>
    <row r="2596" spans="1:18" x14ac:dyDescent="0.2">
      <c r="A2596" t="s">
        <v>270</v>
      </c>
      <c r="B2596" t="s">
        <v>8080</v>
      </c>
      <c r="C2596">
        <v>1</v>
      </c>
      <c r="D2596" s="1">
        <v>44073.942349537036</v>
      </c>
      <c r="E2596" t="s">
        <v>8185</v>
      </c>
      <c r="F2596" t="s">
        <v>273</v>
      </c>
      <c r="G2596" t="s">
        <v>8082</v>
      </c>
      <c r="H2596" t="s">
        <v>275</v>
      </c>
      <c r="I2596" t="s">
        <v>29</v>
      </c>
      <c r="J2596">
        <v>1</v>
      </c>
      <c r="K2596">
        <f>1-888-690-903</f>
        <v>-2480</v>
      </c>
      <c r="L2596" t="s">
        <v>8186</v>
      </c>
      <c r="M2596" t="s">
        <v>8187</v>
      </c>
      <c r="N2596" t="s">
        <v>278</v>
      </c>
      <c r="O2596" t="s">
        <v>134</v>
      </c>
      <c r="P2596" t="s">
        <v>8085</v>
      </c>
      <c r="Q2596">
        <v>-24</v>
      </c>
      <c r="R2596">
        <v>-46.633000000000003</v>
      </c>
    </row>
    <row r="2597" spans="1:18" x14ac:dyDescent="0.2">
      <c r="A2597" t="s">
        <v>270</v>
      </c>
      <c r="B2597" t="s">
        <v>8080</v>
      </c>
      <c r="C2597">
        <v>1</v>
      </c>
      <c r="D2597" s="1">
        <v>44073.940694444442</v>
      </c>
      <c r="E2597" t="s">
        <v>8188</v>
      </c>
      <c r="F2597" t="s">
        <v>273</v>
      </c>
      <c r="G2597" t="s">
        <v>8082</v>
      </c>
      <c r="H2597" t="s">
        <v>275</v>
      </c>
      <c r="I2597" t="s">
        <v>29</v>
      </c>
      <c r="J2597">
        <v>1</v>
      </c>
      <c r="K2597">
        <f>1-888-423-325</f>
        <v>-1635</v>
      </c>
      <c r="L2597" t="s">
        <v>8189</v>
      </c>
      <c r="M2597" t="s">
        <v>8190</v>
      </c>
      <c r="N2597" t="s">
        <v>278</v>
      </c>
      <c r="O2597" t="s">
        <v>134</v>
      </c>
      <c r="P2597" t="s">
        <v>8085</v>
      </c>
      <c r="Q2597">
        <v>-24</v>
      </c>
      <c r="R2597">
        <v>-46.633000000000003</v>
      </c>
    </row>
    <row r="2598" spans="1:18" x14ac:dyDescent="0.2">
      <c r="A2598" t="s">
        <v>270</v>
      </c>
      <c r="B2598" t="s">
        <v>8080</v>
      </c>
      <c r="C2598">
        <v>1</v>
      </c>
      <c r="D2598" s="1">
        <v>44073.940138888887</v>
      </c>
      <c r="E2598" t="s">
        <v>8191</v>
      </c>
      <c r="F2598" t="s">
        <v>273</v>
      </c>
      <c r="G2598" t="s">
        <v>8082</v>
      </c>
      <c r="H2598" t="s">
        <v>275</v>
      </c>
      <c r="I2598" t="s">
        <v>29</v>
      </c>
      <c r="J2598">
        <v>1</v>
      </c>
      <c r="K2598">
        <f>1-888-851-688</f>
        <v>-2426</v>
      </c>
      <c r="L2598" t="s">
        <v>8192</v>
      </c>
      <c r="M2598" t="s">
        <v>8193</v>
      </c>
      <c r="N2598" t="s">
        <v>278</v>
      </c>
      <c r="O2598" t="s">
        <v>134</v>
      </c>
      <c r="P2598" t="s">
        <v>8085</v>
      </c>
      <c r="Q2598">
        <v>-24</v>
      </c>
      <c r="R2598">
        <v>-46.633000000000003</v>
      </c>
    </row>
    <row r="2599" spans="1:18" x14ac:dyDescent="0.2">
      <c r="A2599" t="s">
        <v>270</v>
      </c>
      <c r="B2599" t="s">
        <v>8080</v>
      </c>
      <c r="C2599">
        <v>1</v>
      </c>
      <c r="D2599" s="1">
        <v>44073.92863425926</v>
      </c>
      <c r="E2599" t="s">
        <v>8194</v>
      </c>
      <c r="F2599" t="s">
        <v>273</v>
      </c>
      <c r="G2599" t="s">
        <v>8082</v>
      </c>
      <c r="H2599" t="s">
        <v>275</v>
      </c>
      <c r="I2599" t="s">
        <v>29</v>
      </c>
      <c r="J2599">
        <v>1</v>
      </c>
      <c r="K2599">
        <f>1-888-530-2072</f>
        <v>-3489</v>
      </c>
      <c r="L2599" t="s">
        <v>8195</v>
      </c>
      <c r="M2599" t="s">
        <v>8196</v>
      </c>
      <c r="N2599" t="s">
        <v>278</v>
      </c>
      <c r="O2599" t="s">
        <v>134</v>
      </c>
      <c r="P2599" t="s">
        <v>8085</v>
      </c>
      <c r="Q2599">
        <v>-24</v>
      </c>
      <c r="R2599">
        <v>-46.633000000000003</v>
      </c>
    </row>
    <row r="2600" spans="1:18" x14ac:dyDescent="0.2">
      <c r="A2600" t="s">
        <v>270</v>
      </c>
      <c r="B2600" t="s">
        <v>8080</v>
      </c>
      <c r="C2600">
        <v>1</v>
      </c>
      <c r="D2600" s="1">
        <v>44073.927581018521</v>
      </c>
      <c r="E2600" t="s">
        <v>8197</v>
      </c>
      <c r="F2600" t="s">
        <v>273</v>
      </c>
      <c r="G2600" t="s">
        <v>8082</v>
      </c>
      <c r="H2600" t="s">
        <v>275</v>
      </c>
      <c r="I2600" t="s">
        <v>29</v>
      </c>
      <c r="J2600">
        <v>1</v>
      </c>
      <c r="K2600">
        <f>1-888-529-6205</f>
        <v>-7621</v>
      </c>
      <c r="L2600" t="s">
        <v>8198</v>
      </c>
      <c r="M2600" t="s">
        <v>8199</v>
      </c>
      <c r="N2600" t="s">
        <v>278</v>
      </c>
      <c r="O2600" t="s">
        <v>134</v>
      </c>
      <c r="P2600" t="s">
        <v>8085</v>
      </c>
      <c r="Q2600">
        <v>-24</v>
      </c>
      <c r="R2600">
        <v>-46.633000000000003</v>
      </c>
    </row>
    <row r="2601" spans="1:18" x14ac:dyDescent="0.2">
      <c r="A2601" t="s">
        <v>270</v>
      </c>
      <c r="B2601" t="s">
        <v>8080</v>
      </c>
      <c r="C2601">
        <v>1</v>
      </c>
      <c r="D2601" s="1">
        <v>44073.926458333335</v>
      </c>
      <c r="E2601" t="s">
        <v>8200</v>
      </c>
      <c r="F2601" t="s">
        <v>273</v>
      </c>
      <c r="G2601" t="s">
        <v>8082</v>
      </c>
      <c r="H2601" t="s">
        <v>275</v>
      </c>
      <c r="I2601" t="s">
        <v>29</v>
      </c>
      <c r="J2601">
        <v>1</v>
      </c>
      <c r="K2601">
        <f>1-888-538-1073</f>
        <v>-2498</v>
      </c>
      <c r="L2601" t="s">
        <v>8201</v>
      </c>
      <c r="M2601" t="s">
        <v>8202</v>
      </c>
      <c r="N2601" t="s">
        <v>278</v>
      </c>
      <c r="O2601" t="s">
        <v>134</v>
      </c>
      <c r="P2601" t="s">
        <v>8085</v>
      </c>
      <c r="Q2601">
        <v>-24</v>
      </c>
      <c r="R2601">
        <v>-46.633000000000003</v>
      </c>
    </row>
    <row r="2602" spans="1:18" x14ac:dyDescent="0.2">
      <c r="A2602" t="s">
        <v>270</v>
      </c>
      <c r="B2602" t="s">
        <v>8080</v>
      </c>
      <c r="C2602">
        <v>1</v>
      </c>
      <c r="D2602" s="1">
        <v>44073.059027777781</v>
      </c>
      <c r="E2602" t="s">
        <v>8203</v>
      </c>
      <c r="F2602" t="s">
        <v>273</v>
      </c>
      <c r="G2602" t="s">
        <v>8082</v>
      </c>
      <c r="H2602" t="s">
        <v>275</v>
      </c>
      <c r="I2602" t="s">
        <v>29</v>
      </c>
      <c r="J2602">
        <v>1</v>
      </c>
      <c r="K2602">
        <f>1-888-541-8493</f>
        <v>-9921</v>
      </c>
      <c r="L2602" t="s">
        <v>8204</v>
      </c>
      <c r="M2602" t="s">
        <v>8205</v>
      </c>
      <c r="N2602" t="s">
        <v>278</v>
      </c>
      <c r="O2602" t="s">
        <v>134</v>
      </c>
      <c r="P2602" t="s">
        <v>8085</v>
      </c>
      <c r="Q2602">
        <v>-24</v>
      </c>
      <c r="R2602">
        <v>-46.633000000000003</v>
      </c>
    </row>
    <row r="2603" spans="1:18" x14ac:dyDescent="0.2">
      <c r="A2603" t="s">
        <v>270</v>
      </c>
      <c r="B2603" t="s">
        <v>8080</v>
      </c>
      <c r="C2603">
        <v>1</v>
      </c>
      <c r="D2603" s="1">
        <v>44071.9762962963</v>
      </c>
      <c r="E2603" t="s">
        <v>8206</v>
      </c>
      <c r="F2603" t="s">
        <v>273</v>
      </c>
      <c r="G2603" t="s">
        <v>8082</v>
      </c>
      <c r="H2603" t="s">
        <v>275</v>
      </c>
      <c r="I2603" t="s">
        <v>29</v>
      </c>
      <c r="J2603">
        <v>1</v>
      </c>
      <c r="K2603">
        <f>1-888-525-642</f>
        <v>-2054</v>
      </c>
      <c r="L2603" t="s">
        <v>8207</v>
      </c>
      <c r="M2603" t="s">
        <v>8208</v>
      </c>
      <c r="N2603" t="s">
        <v>278</v>
      </c>
      <c r="O2603" t="s">
        <v>134</v>
      </c>
      <c r="P2603" t="s">
        <v>8085</v>
      </c>
      <c r="Q2603">
        <v>-24</v>
      </c>
      <c r="R2603">
        <v>-46.633000000000003</v>
      </c>
    </row>
    <row r="2604" spans="1:18" x14ac:dyDescent="0.2">
      <c r="A2604" t="s">
        <v>270</v>
      </c>
      <c r="B2604" t="s">
        <v>8080</v>
      </c>
      <c r="C2604">
        <v>1</v>
      </c>
      <c r="D2604" s="1">
        <v>44071.975729166668</v>
      </c>
      <c r="E2604" t="s">
        <v>8209</v>
      </c>
      <c r="F2604" t="s">
        <v>273</v>
      </c>
      <c r="G2604" t="s">
        <v>8082</v>
      </c>
      <c r="H2604" t="s">
        <v>275</v>
      </c>
      <c r="I2604" t="s">
        <v>29</v>
      </c>
      <c r="J2604">
        <v>1</v>
      </c>
      <c r="K2604">
        <f>1-888-598-1347</f>
        <v>-2832</v>
      </c>
      <c r="L2604" t="s">
        <v>8210</v>
      </c>
      <c r="M2604" t="s">
        <v>8211</v>
      </c>
      <c r="N2604" t="s">
        <v>278</v>
      </c>
      <c r="O2604" t="s">
        <v>134</v>
      </c>
      <c r="P2604" t="s">
        <v>8085</v>
      </c>
      <c r="Q2604">
        <v>-24</v>
      </c>
      <c r="R2604">
        <v>-46.633000000000003</v>
      </c>
    </row>
    <row r="2605" spans="1:18" x14ac:dyDescent="0.2">
      <c r="A2605" t="s">
        <v>270</v>
      </c>
      <c r="B2605" t="s">
        <v>8080</v>
      </c>
      <c r="C2605">
        <v>1</v>
      </c>
      <c r="D2605" s="1">
        <v>44071.975138888891</v>
      </c>
      <c r="E2605" t="s">
        <v>8212</v>
      </c>
      <c r="F2605" t="s">
        <v>273</v>
      </c>
      <c r="G2605" t="s">
        <v>8082</v>
      </c>
      <c r="H2605" t="s">
        <v>275</v>
      </c>
      <c r="I2605" t="s">
        <v>29</v>
      </c>
      <c r="J2605">
        <v>1</v>
      </c>
      <c r="K2605">
        <f>1-888-690-883</f>
        <v>-2460</v>
      </c>
      <c r="L2605" t="s">
        <v>8213</v>
      </c>
      <c r="M2605" t="s">
        <v>8214</v>
      </c>
      <c r="N2605" t="s">
        <v>278</v>
      </c>
      <c r="O2605" t="s">
        <v>134</v>
      </c>
      <c r="P2605" t="s">
        <v>8085</v>
      </c>
      <c r="Q2605">
        <v>-24</v>
      </c>
      <c r="R2605">
        <v>-46.633000000000003</v>
      </c>
    </row>
    <row r="2606" spans="1:18" x14ac:dyDescent="0.2">
      <c r="A2606" t="s">
        <v>270</v>
      </c>
      <c r="B2606" t="s">
        <v>8080</v>
      </c>
      <c r="C2606">
        <v>1</v>
      </c>
      <c r="D2606" s="1">
        <v>44071.97457175926</v>
      </c>
      <c r="E2606" t="s">
        <v>8215</v>
      </c>
      <c r="F2606" t="s">
        <v>273</v>
      </c>
      <c r="G2606" t="s">
        <v>8082</v>
      </c>
      <c r="H2606" t="s">
        <v>275</v>
      </c>
      <c r="I2606" t="s">
        <v>29</v>
      </c>
      <c r="J2606">
        <v>1</v>
      </c>
      <c r="K2606">
        <f>1-888-851-676</f>
        <v>-2414</v>
      </c>
      <c r="L2606" t="s">
        <v>8216</v>
      </c>
      <c r="M2606" t="s">
        <v>8217</v>
      </c>
      <c r="N2606" t="s">
        <v>278</v>
      </c>
      <c r="O2606" t="s">
        <v>134</v>
      </c>
      <c r="P2606" t="s">
        <v>8085</v>
      </c>
      <c r="Q2606">
        <v>-24</v>
      </c>
      <c r="R2606">
        <v>-46.633000000000003</v>
      </c>
    </row>
    <row r="2607" spans="1:18" x14ac:dyDescent="0.2">
      <c r="A2607" t="s">
        <v>270</v>
      </c>
      <c r="B2607" t="s">
        <v>8080</v>
      </c>
      <c r="C2607">
        <v>1</v>
      </c>
      <c r="D2607" s="1">
        <v>44071.973368055558</v>
      </c>
      <c r="E2607" t="s">
        <v>8218</v>
      </c>
      <c r="F2607" t="s">
        <v>273</v>
      </c>
      <c r="G2607" t="s">
        <v>8082</v>
      </c>
      <c r="H2607" t="s">
        <v>275</v>
      </c>
      <c r="I2607" t="s">
        <v>29</v>
      </c>
      <c r="J2607">
        <v>1</v>
      </c>
      <c r="K2607">
        <f>1-888-291-57</f>
        <v>-1235</v>
      </c>
      <c r="L2607" t="s">
        <v>8219</v>
      </c>
      <c r="M2607" t="s">
        <v>8220</v>
      </c>
      <c r="N2607" t="s">
        <v>278</v>
      </c>
      <c r="O2607" t="s">
        <v>134</v>
      </c>
      <c r="P2607" t="s">
        <v>8085</v>
      </c>
      <c r="Q2607">
        <v>-24</v>
      </c>
      <c r="R2607">
        <v>-46.633000000000003</v>
      </c>
    </row>
    <row r="2608" spans="1:18" x14ac:dyDescent="0.2">
      <c r="A2608" t="s">
        <v>270</v>
      </c>
      <c r="B2608" t="s">
        <v>8080</v>
      </c>
      <c r="C2608">
        <v>1</v>
      </c>
      <c r="D2608" s="1">
        <v>44071.915914351855</v>
      </c>
      <c r="E2608" t="s">
        <v>8221</v>
      </c>
      <c r="F2608" t="s">
        <v>273</v>
      </c>
      <c r="G2608" t="s">
        <v>8082</v>
      </c>
      <c r="H2608" t="s">
        <v>275</v>
      </c>
      <c r="I2608" t="s">
        <v>29</v>
      </c>
      <c r="J2608">
        <v>1</v>
      </c>
      <c r="K2608">
        <f>1-888-706-1244</f>
        <v>-2837</v>
      </c>
      <c r="L2608" t="s">
        <v>8222</v>
      </c>
      <c r="M2608" t="s">
        <v>8223</v>
      </c>
      <c r="N2608" t="s">
        <v>278</v>
      </c>
      <c r="O2608" t="s">
        <v>134</v>
      </c>
      <c r="P2608" t="s">
        <v>8085</v>
      </c>
      <c r="Q2608">
        <v>-24</v>
      </c>
      <c r="R2608">
        <v>-46.633000000000003</v>
      </c>
    </row>
    <row r="2609" spans="1:18" x14ac:dyDescent="0.2">
      <c r="A2609" t="s">
        <v>270</v>
      </c>
      <c r="B2609" t="s">
        <v>8080</v>
      </c>
      <c r="C2609">
        <v>1</v>
      </c>
      <c r="D2609" s="1">
        <v>44071.906307870369</v>
      </c>
      <c r="E2609" t="s">
        <v>8224</v>
      </c>
      <c r="F2609" t="s">
        <v>273</v>
      </c>
      <c r="G2609" t="s">
        <v>8082</v>
      </c>
      <c r="H2609" t="s">
        <v>275</v>
      </c>
      <c r="I2609" t="s">
        <v>29</v>
      </c>
      <c r="J2609">
        <v>1</v>
      </c>
      <c r="K2609">
        <f>1-888-803-850</f>
        <v>-2540</v>
      </c>
      <c r="L2609" t="s">
        <v>8225</v>
      </c>
      <c r="M2609" t="s">
        <v>8226</v>
      </c>
      <c r="N2609" t="s">
        <v>278</v>
      </c>
      <c r="O2609" t="s">
        <v>134</v>
      </c>
      <c r="P2609" t="s">
        <v>8085</v>
      </c>
      <c r="Q2609">
        <v>-24</v>
      </c>
      <c r="R2609">
        <v>-46.633000000000003</v>
      </c>
    </row>
    <row r="2610" spans="1:18" x14ac:dyDescent="0.2">
      <c r="A2610" t="s">
        <v>270</v>
      </c>
      <c r="B2610" t="s">
        <v>8080</v>
      </c>
      <c r="C2610">
        <v>1</v>
      </c>
      <c r="D2610" s="1">
        <v>44071.424907407411</v>
      </c>
      <c r="E2610" t="s">
        <v>8227</v>
      </c>
      <c r="F2610" t="s">
        <v>273</v>
      </c>
      <c r="G2610" t="s">
        <v>8082</v>
      </c>
      <c r="H2610" t="s">
        <v>275</v>
      </c>
      <c r="I2610" t="s">
        <v>29</v>
      </c>
      <c r="J2610">
        <v>1</v>
      </c>
      <c r="K2610">
        <f>1-888-417-4090</f>
        <v>-5394</v>
      </c>
      <c r="L2610" t="s">
        <v>8228</v>
      </c>
      <c r="M2610" t="s">
        <v>8229</v>
      </c>
      <c r="N2610" t="s">
        <v>278</v>
      </c>
      <c r="O2610" t="s">
        <v>134</v>
      </c>
      <c r="P2610" t="s">
        <v>8085</v>
      </c>
      <c r="Q2610">
        <v>-24</v>
      </c>
      <c r="R2610">
        <v>-46.633000000000003</v>
      </c>
    </row>
    <row r="2611" spans="1:18" x14ac:dyDescent="0.2">
      <c r="A2611" t="s">
        <v>270</v>
      </c>
      <c r="B2611" t="s">
        <v>8080</v>
      </c>
      <c r="C2611">
        <v>1</v>
      </c>
      <c r="D2611" s="1">
        <v>44070.62263888889</v>
      </c>
      <c r="E2611" t="s">
        <v>8230</v>
      </c>
      <c r="F2611" t="s">
        <v>273</v>
      </c>
      <c r="G2611" t="s">
        <v>8082</v>
      </c>
      <c r="H2611" t="s">
        <v>275</v>
      </c>
      <c r="I2611" t="s">
        <v>29</v>
      </c>
      <c r="J2611">
        <v>1</v>
      </c>
      <c r="K2611">
        <f>1-888-690-842</f>
        <v>-2419</v>
      </c>
      <c r="L2611" t="s">
        <v>8231</v>
      </c>
      <c r="M2611" t="s">
        <v>8232</v>
      </c>
      <c r="N2611" t="s">
        <v>278</v>
      </c>
      <c r="O2611" t="s">
        <v>134</v>
      </c>
      <c r="P2611" t="s">
        <v>8085</v>
      </c>
      <c r="Q2611">
        <v>-24</v>
      </c>
      <c r="R2611">
        <v>-46.633000000000003</v>
      </c>
    </row>
    <row r="2612" spans="1:18" x14ac:dyDescent="0.2">
      <c r="A2612" t="s">
        <v>270</v>
      </c>
      <c r="B2612" t="s">
        <v>8080</v>
      </c>
      <c r="C2612">
        <v>1</v>
      </c>
      <c r="D2612" s="1">
        <v>44070.59171296296</v>
      </c>
      <c r="E2612" t="s">
        <v>8233</v>
      </c>
      <c r="F2612" t="s">
        <v>273</v>
      </c>
      <c r="G2612" t="s">
        <v>8082</v>
      </c>
      <c r="H2612" t="s">
        <v>275</v>
      </c>
      <c r="I2612" t="s">
        <v>29</v>
      </c>
      <c r="J2612">
        <v>1</v>
      </c>
      <c r="K2612">
        <f>1-866-754-7703</f>
        <v>-9322</v>
      </c>
      <c r="L2612" t="s">
        <v>8234</v>
      </c>
      <c r="M2612" t="s">
        <v>8235</v>
      </c>
      <c r="N2612" t="s">
        <v>278</v>
      </c>
      <c r="O2612" t="s">
        <v>134</v>
      </c>
      <c r="P2612" t="s">
        <v>8085</v>
      </c>
      <c r="Q2612">
        <v>-24</v>
      </c>
      <c r="R2612">
        <v>-46.633000000000003</v>
      </c>
    </row>
    <row r="2613" spans="1:18" x14ac:dyDescent="0.2">
      <c r="A2613" t="s">
        <v>270</v>
      </c>
      <c r="B2613" t="s">
        <v>8080</v>
      </c>
      <c r="C2613">
        <v>1</v>
      </c>
      <c r="D2613" s="1">
        <v>44070.576631944445</v>
      </c>
      <c r="E2613" t="s">
        <v>8236</v>
      </c>
      <c r="F2613" t="s">
        <v>273</v>
      </c>
      <c r="G2613" t="s">
        <v>8082</v>
      </c>
      <c r="H2613" t="s">
        <v>275</v>
      </c>
      <c r="I2613" t="s">
        <v>29</v>
      </c>
      <c r="J2613">
        <v>1</v>
      </c>
      <c r="K2613">
        <f>1-866-730-8093</f>
        <v>-9688</v>
      </c>
      <c r="L2613" t="s">
        <v>8237</v>
      </c>
      <c r="M2613" t="s">
        <v>8238</v>
      </c>
      <c r="N2613" t="s">
        <v>278</v>
      </c>
      <c r="O2613" t="s">
        <v>134</v>
      </c>
      <c r="P2613" t="s">
        <v>8085</v>
      </c>
      <c r="Q2613">
        <v>-24</v>
      </c>
      <c r="R2613">
        <v>-46.633000000000003</v>
      </c>
    </row>
    <row r="2614" spans="1:18" x14ac:dyDescent="0.2">
      <c r="A2614" t="s">
        <v>270</v>
      </c>
      <c r="B2614" t="s">
        <v>8080</v>
      </c>
      <c r="C2614">
        <v>1</v>
      </c>
      <c r="D2614" s="1">
        <v>44068.190023148149</v>
      </c>
      <c r="E2614" t="s">
        <v>8239</v>
      </c>
      <c r="F2614" t="s">
        <v>273</v>
      </c>
      <c r="G2614" t="s">
        <v>8082</v>
      </c>
      <c r="H2614" t="s">
        <v>275</v>
      </c>
      <c r="I2614" t="s">
        <v>29</v>
      </c>
      <c r="J2614">
        <v>1</v>
      </c>
      <c r="K2614">
        <f>1-888-523-6448</f>
        <v>-7858</v>
      </c>
      <c r="L2614" t="s">
        <v>8240</v>
      </c>
      <c r="M2614" t="s">
        <v>8241</v>
      </c>
      <c r="N2614" t="s">
        <v>278</v>
      </c>
      <c r="O2614" t="s">
        <v>134</v>
      </c>
      <c r="P2614" t="s">
        <v>8085</v>
      </c>
      <c r="Q2614">
        <v>-24</v>
      </c>
      <c r="R2614">
        <v>-46.633000000000003</v>
      </c>
    </row>
    <row r="2615" spans="1:18" x14ac:dyDescent="0.2">
      <c r="A2615" t="s">
        <v>270</v>
      </c>
      <c r="B2615" t="s">
        <v>8080</v>
      </c>
      <c r="C2615">
        <v>1</v>
      </c>
      <c r="D2615" s="1">
        <v>44068.188078703701</v>
      </c>
      <c r="E2615" t="s">
        <v>8242</v>
      </c>
      <c r="F2615" t="s">
        <v>273</v>
      </c>
      <c r="G2615" t="s">
        <v>8082</v>
      </c>
      <c r="H2615" t="s">
        <v>275</v>
      </c>
      <c r="I2615" t="s">
        <v>29</v>
      </c>
      <c r="J2615">
        <v>1</v>
      </c>
      <c r="K2615">
        <f>1-888-535-4744</f>
        <v>-6166</v>
      </c>
      <c r="L2615" t="s">
        <v>8243</v>
      </c>
      <c r="M2615" t="s">
        <v>8244</v>
      </c>
      <c r="N2615" t="s">
        <v>278</v>
      </c>
      <c r="O2615" t="s">
        <v>134</v>
      </c>
      <c r="P2615" t="s">
        <v>8085</v>
      </c>
      <c r="Q2615">
        <v>-24</v>
      </c>
      <c r="R2615">
        <v>-46.633000000000003</v>
      </c>
    </row>
    <row r="2616" spans="1:18" x14ac:dyDescent="0.2">
      <c r="A2616" t="s">
        <v>270</v>
      </c>
      <c r="B2616" t="s">
        <v>8080</v>
      </c>
      <c r="C2616">
        <v>1</v>
      </c>
      <c r="D2616" s="1">
        <v>44068.186701388891</v>
      </c>
      <c r="E2616" t="s">
        <v>8245</v>
      </c>
      <c r="F2616" t="s">
        <v>273</v>
      </c>
      <c r="G2616" t="s">
        <v>8082</v>
      </c>
      <c r="H2616" t="s">
        <v>275</v>
      </c>
      <c r="I2616" t="s">
        <v>29</v>
      </c>
      <c r="J2616">
        <v>1</v>
      </c>
      <c r="K2616">
        <f>1-888-524-3448</f>
        <v>-4859</v>
      </c>
      <c r="L2616" t="s">
        <v>8246</v>
      </c>
      <c r="M2616" t="s">
        <v>8247</v>
      </c>
      <c r="N2616" t="s">
        <v>278</v>
      </c>
      <c r="O2616" t="s">
        <v>134</v>
      </c>
      <c r="P2616" t="s">
        <v>8085</v>
      </c>
      <c r="Q2616">
        <v>-24</v>
      </c>
      <c r="R2616">
        <v>-46.633000000000003</v>
      </c>
    </row>
    <row r="2617" spans="1:18" x14ac:dyDescent="0.2">
      <c r="A2617" t="s">
        <v>270</v>
      </c>
      <c r="B2617" t="s">
        <v>8080</v>
      </c>
      <c r="C2617">
        <v>1</v>
      </c>
      <c r="D2617" s="1">
        <v>44068.074432870373</v>
      </c>
      <c r="E2617" t="s">
        <v>8248</v>
      </c>
      <c r="F2617" t="s">
        <v>273</v>
      </c>
      <c r="G2617" t="s">
        <v>8082</v>
      </c>
      <c r="H2617" t="s">
        <v>275</v>
      </c>
      <c r="I2617" t="s">
        <v>29</v>
      </c>
      <c r="J2617">
        <v>1</v>
      </c>
      <c r="K2617">
        <f>1-888-655-2343</f>
        <v>-3885</v>
      </c>
      <c r="L2617" t="s">
        <v>8249</v>
      </c>
      <c r="M2617" t="s">
        <v>8250</v>
      </c>
      <c r="N2617" t="s">
        <v>278</v>
      </c>
      <c r="O2617" t="s">
        <v>28</v>
      </c>
      <c r="P2617" t="s">
        <v>8085</v>
      </c>
      <c r="Q2617">
        <v>-24</v>
      </c>
      <c r="R2617">
        <v>-46.633000000000003</v>
      </c>
    </row>
    <row r="2618" spans="1:18" x14ac:dyDescent="0.2">
      <c r="A2618" t="s">
        <v>270</v>
      </c>
      <c r="B2618" t="s">
        <v>8080</v>
      </c>
      <c r="C2618">
        <v>1</v>
      </c>
      <c r="D2618" s="1">
        <v>44068.073125000003</v>
      </c>
      <c r="E2618" t="s">
        <v>8251</v>
      </c>
      <c r="F2618" t="s">
        <v>273</v>
      </c>
      <c r="G2618" t="s">
        <v>8082</v>
      </c>
      <c r="H2618" t="s">
        <v>275</v>
      </c>
      <c r="I2618" t="s">
        <v>29</v>
      </c>
      <c r="J2618">
        <v>1</v>
      </c>
      <c r="K2618">
        <f>1-888-851-676</f>
        <v>-2414</v>
      </c>
      <c r="L2618" t="s">
        <v>8252</v>
      </c>
      <c r="M2618" t="s">
        <v>8253</v>
      </c>
      <c r="N2618" t="s">
        <v>278</v>
      </c>
      <c r="O2618" t="s">
        <v>28</v>
      </c>
      <c r="P2618" t="s">
        <v>8085</v>
      </c>
      <c r="Q2618">
        <v>-24</v>
      </c>
      <c r="R2618">
        <v>-46.633000000000003</v>
      </c>
    </row>
    <row r="2619" spans="1:18" x14ac:dyDescent="0.2">
      <c r="A2619" t="s">
        <v>270</v>
      </c>
      <c r="B2619" t="s">
        <v>8080</v>
      </c>
      <c r="C2619">
        <v>1</v>
      </c>
      <c r="D2619" s="1">
        <v>44068.051817129628</v>
      </c>
      <c r="E2619" t="s">
        <v>8254</v>
      </c>
      <c r="F2619" t="s">
        <v>273</v>
      </c>
      <c r="G2619" t="s">
        <v>8082</v>
      </c>
      <c r="H2619" t="s">
        <v>275</v>
      </c>
      <c r="I2619" t="s">
        <v>29</v>
      </c>
      <c r="J2619">
        <v>1</v>
      </c>
      <c r="K2619">
        <f>1-888-524-5804</f>
        <v>-7215</v>
      </c>
      <c r="L2619" t="s">
        <v>8255</v>
      </c>
      <c r="M2619" t="s">
        <v>8256</v>
      </c>
      <c r="N2619" t="s">
        <v>278</v>
      </c>
      <c r="O2619" t="s">
        <v>28</v>
      </c>
      <c r="P2619" t="s">
        <v>8085</v>
      </c>
      <c r="Q2619">
        <v>-24</v>
      </c>
      <c r="R2619">
        <v>-46.633000000000003</v>
      </c>
    </row>
    <row r="2620" spans="1:18" x14ac:dyDescent="0.2">
      <c r="A2620" t="s">
        <v>270</v>
      </c>
      <c r="B2620" t="s">
        <v>8080</v>
      </c>
      <c r="C2620">
        <v>1</v>
      </c>
      <c r="D2620" s="1">
        <v>44068.047476851854</v>
      </c>
      <c r="E2620" t="s">
        <v>8257</v>
      </c>
      <c r="F2620" t="s">
        <v>273</v>
      </c>
      <c r="G2620" t="s">
        <v>8082</v>
      </c>
      <c r="H2620" t="s">
        <v>275</v>
      </c>
      <c r="I2620" t="s">
        <v>29</v>
      </c>
      <c r="J2620">
        <v>1</v>
      </c>
      <c r="K2620">
        <f>1-888-534-8036</f>
        <v>-9457</v>
      </c>
      <c r="L2620" t="s">
        <v>8258</v>
      </c>
      <c r="M2620" t="s">
        <v>8259</v>
      </c>
      <c r="N2620" t="s">
        <v>278</v>
      </c>
      <c r="O2620" t="s">
        <v>28</v>
      </c>
      <c r="P2620" t="s">
        <v>8085</v>
      </c>
      <c r="Q2620">
        <v>-24</v>
      </c>
      <c r="R2620">
        <v>-46.633000000000003</v>
      </c>
    </row>
    <row r="2621" spans="1:18" x14ac:dyDescent="0.2">
      <c r="A2621" t="s">
        <v>270</v>
      </c>
      <c r="B2621" t="s">
        <v>8080</v>
      </c>
      <c r="C2621">
        <v>1</v>
      </c>
      <c r="D2621" s="1">
        <v>44064.912199074075</v>
      </c>
      <c r="E2621" t="s">
        <v>8260</v>
      </c>
      <c r="F2621" t="s">
        <v>273</v>
      </c>
      <c r="G2621" t="s">
        <v>8082</v>
      </c>
      <c r="H2621" t="s">
        <v>275</v>
      </c>
      <c r="I2621" t="s">
        <v>29</v>
      </c>
      <c r="J2621">
        <v>1</v>
      </c>
      <c r="K2621">
        <f>1-888-312-1430</f>
        <v>-2629</v>
      </c>
      <c r="L2621" t="s">
        <v>8261</v>
      </c>
      <c r="M2621" t="s">
        <v>8262</v>
      </c>
      <c r="N2621" t="s">
        <v>278</v>
      </c>
      <c r="O2621" t="s">
        <v>134</v>
      </c>
      <c r="P2621" t="s">
        <v>8085</v>
      </c>
      <c r="Q2621">
        <v>-24</v>
      </c>
      <c r="R2621">
        <v>-46.633000000000003</v>
      </c>
    </row>
    <row r="2622" spans="1:18" x14ac:dyDescent="0.2">
      <c r="A2622" t="s">
        <v>270</v>
      </c>
      <c r="B2622" t="s">
        <v>8080</v>
      </c>
      <c r="C2622">
        <v>1</v>
      </c>
      <c r="D2622" s="1">
        <v>44064.443807870368</v>
      </c>
      <c r="E2622" t="s">
        <v>8263</v>
      </c>
      <c r="F2622" t="s">
        <v>273</v>
      </c>
      <c r="G2622" t="s">
        <v>8082</v>
      </c>
      <c r="H2622" t="s">
        <v>275</v>
      </c>
      <c r="I2622" t="s">
        <v>29</v>
      </c>
      <c r="J2622">
        <v>1</v>
      </c>
      <c r="K2622">
        <f>1-888-527-4189</f>
        <v>-5603</v>
      </c>
      <c r="L2622" t="s">
        <v>8264</v>
      </c>
      <c r="M2622" t="s">
        <v>8265</v>
      </c>
      <c r="N2622" t="s">
        <v>278</v>
      </c>
      <c r="O2622" t="s">
        <v>134</v>
      </c>
      <c r="P2622" t="s">
        <v>8085</v>
      </c>
      <c r="Q2622">
        <v>-24</v>
      </c>
      <c r="R2622">
        <v>-46.633000000000003</v>
      </c>
    </row>
    <row r="2623" spans="1:18" x14ac:dyDescent="0.2">
      <c r="A2623" t="s">
        <v>270</v>
      </c>
      <c r="B2623" t="s">
        <v>8080</v>
      </c>
      <c r="C2623">
        <v>1</v>
      </c>
      <c r="D2623" s="1">
        <v>44053.301550925928</v>
      </c>
      <c r="E2623" t="s">
        <v>8266</v>
      </c>
      <c r="F2623" t="s">
        <v>273</v>
      </c>
      <c r="G2623" t="s">
        <v>8082</v>
      </c>
      <c r="H2623" t="s">
        <v>275</v>
      </c>
      <c r="I2623" t="s">
        <v>29</v>
      </c>
      <c r="J2623">
        <v>1</v>
      </c>
      <c r="K2623">
        <f>1-866-801-5549</f>
        <v>-7215</v>
      </c>
      <c r="L2623" t="s">
        <v>8267</v>
      </c>
      <c r="M2623" t="s">
        <v>8268</v>
      </c>
      <c r="N2623" t="s">
        <v>278</v>
      </c>
      <c r="O2623" t="s">
        <v>134</v>
      </c>
      <c r="P2623" t="s">
        <v>8085</v>
      </c>
      <c r="Q2623">
        <v>-24</v>
      </c>
      <c r="R2623">
        <v>-46.633000000000003</v>
      </c>
    </row>
    <row r="2624" spans="1:18" x14ac:dyDescent="0.2">
      <c r="A2624" t="s">
        <v>270</v>
      </c>
      <c r="B2624" t="s">
        <v>8080</v>
      </c>
      <c r="C2624">
        <v>1</v>
      </c>
      <c r="D2624" s="1">
        <v>44050.585787037038</v>
      </c>
      <c r="E2624" t="s">
        <v>8269</v>
      </c>
      <c r="F2624" t="s">
        <v>273</v>
      </c>
      <c r="G2624" t="s">
        <v>8082</v>
      </c>
      <c r="H2624" t="s">
        <v>275</v>
      </c>
      <c r="I2624" t="s">
        <v>29</v>
      </c>
      <c r="J2624">
        <v>1</v>
      </c>
      <c r="K2624">
        <f>1-866-672-9693</f>
        <v>-11230</v>
      </c>
      <c r="L2624" t="s">
        <v>8270</v>
      </c>
      <c r="M2624" t="s">
        <v>8271</v>
      </c>
      <c r="N2624" t="s">
        <v>278</v>
      </c>
      <c r="O2624" t="s">
        <v>134</v>
      </c>
      <c r="P2624" t="s">
        <v>8085</v>
      </c>
      <c r="Q2624">
        <v>-24</v>
      </c>
      <c r="R2624">
        <v>-46.633000000000003</v>
      </c>
    </row>
    <row r="2625" spans="1:18" x14ac:dyDescent="0.2">
      <c r="A2625" t="s">
        <v>270</v>
      </c>
      <c r="B2625" t="s">
        <v>8080</v>
      </c>
      <c r="C2625">
        <v>1</v>
      </c>
      <c r="D2625" s="1">
        <v>44035.505497685182</v>
      </c>
      <c r="E2625" t="s">
        <v>8272</v>
      </c>
      <c r="F2625" t="s">
        <v>273</v>
      </c>
      <c r="G2625" t="s">
        <v>8082</v>
      </c>
      <c r="H2625" t="s">
        <v>275</v>
      </c>
      <c r="I2625" t="s">
        <v>29</v>
      </c>
      <c r="J2625">
        <v>1</v>
      </c>
      <c r="K2625">
        <f>1-888-528-115</f>
        <v>-1530</v>
      </c>
      <c r="L2625" t="s">
        <v>8273</v>
      </c>
      <c r="M2625" t="s">
        <v>8274</v>
      </c>
      <c r="N2625" t="s">
        <v>278</v>
      </c>
      <c r="O2625" t="s">
        <v>134</v>
      </c>
      <c r="P2625" t="s">
        <v>8085</v>
      </c>
      <c r="Q2625">
        <v>-24</v>
      </c>
      <c r="R2625">
        <v>-46.633000000000003</v>
      </c>
    </row>
    <row r="2626" spans="1:18" x14ac:dyDescent="0.2">
      <c r="A2626" t="s">
        <v>270</v>
      </c>
      <c r="B2626" t="s">
        <v>8080</v>
      </c>
      <c r="C2626">
        <v>1</v>
      </c>
      <c r="D2626" s="1">
        <v>44030.020150462966</v>
      </c>
      <c r="E2626" t="s">
        <v>8275</v>
      </c>
      <c r="F2626" t="s">
        <v>273</v>
      </c>
      <c r="G2626" t="s">
        <v>8082</v>
      </c>
      <c r="H2626" t="s">
        <v>275</v>
      </c>
      <c r="I2626" t="s">
        <v>29</v>
      </c>
      <c r="J2626">
        <v>1</v>
      </c>
      <c r="K2626">
        <f>1-866-755-2213</f>
        <v>-3833</v>
      </c>
      <c r="L2626" t="s">
        <v>8276</v>
      </c>
      <c r="M2626" t="s">
        <v>8277</v>
      </c>
      <c r="N2626" t="s">
        <v>278</v>
      </c>
      <c r="O2626" t="s">
        <v>28</v>
      </c>
      <c r="P2626" t="s">
        <v>8085</v>
      </c>
      <c r="Q2626">
        <v>-24</v>
      </c>
      <c r="R2626">
        <v>-46.633000000000003</v>
      </c>
    </row>
    <row r="2627" spans="1:18" x14ac:dyDescent="0.2">
      <c r="A2627" t="s">
        <v>663</v>
      </c>
      <c r="B2627" t="s">
        <v>454</v>
      </c>
      <c r="C2627">
        <v>43</v>
      </c>
      <c r="D2627" s="1">
        <v>44031.740798611114</v>
      </c>
      <c r="E2627" t="s">
        <v>8278</v>
      </c>
      <c r="F2627" t="s">
        <v>8279</v>
      </c>
      <c r="G2627" t="s">
        <v>8280</v>
      </c>
      <c r="H2627" t="s">
        <v>667</v>
      </c>
      <c r="I2627" t="s">
        <v>3432</v>
      </c>
      <c r="J2627">
        <v>43</v>
      </c>
      <c r="K2627">
        <f>43-670-308-150</f>
        <v>-1085</v>
      </c>
      <c r="L2627" t="s">
        <v>8281</v>
      </c>
      <c r="M2627" t="s">
        <v>8282</v>
      </c>
      <c r="N2627" t="s">
        <v>213</v>
      </c>
      <c r="O2627" t="s">
        <v>28</v>
      </c>
      <c r="P2627" t="s">
        <v>461</v>
      </c>
      <c r="Q2627">
        <v>52</v>
      </c>
      <c r="R2627">
        <v>4.8975</v>
      </c>
    </row>
    <row r="2628" spans="1:18" x14ac:dyDescent="0.2">
      <c r="A2628" t="s">
        <v>663</v>
      </c>
      <c r="B2628" t="s">
        <v>3385</v>
      </c>
      <c r="C2628">
        <v>61</v>
      </c>
      <c r="D2628" s="1">
        <v>44030.048090277778</v>
      </c>
      <c r="E2628" t="s">
        <v>8283</v>
      </c>
      <c r="F2628" t="s">
        <v>666</v>
      </c>
      <c r="G2628" t="s">
        <v>8284</v>
      </c>
      <c r="H2628" t="s">
        <v>667</v>
      </c>
      <c r="I2628" t="s">
        <v>782</v>
      </c>
      <c r="J2628">
        <v>61</v>
      </c>
      <c r="K2628">
        <f>61-1800-531-983</f>
        <v>-3253</v>
      </c>
      <c r="L2628" t="s">
        <v>8285</v>
      </c>
      <c r="M2628" t="s">
        <v>8286</v>
      </c>
      <c r="N2628" t="s">
        <v>1645</v>
      </c>
      <c r="O2628" t="s">
        <v>28</v>
      </c>
      <c r="P2628" t="s">
        <v>29</v>
      </c>
      <c r="Q2628">
        <v>41</v>
      </c>
      <c r="R2628">
        <v>-73.996600000000001</v>
      </c>
    </row>
    <row r="2629" spans="1:18" x14ac:dyDescent="0.2">
      <c r="A2629" t="s">
        <v>663</v>
      </c>
      <c r="B2629" t="s">
        <v>5337</v>
      </c>
      <c r="C2629">
        <v>43</v>
      </c>
      <c r="D2629" s="1">
        <v>44030.518055555556</v>
      </c>
      <c r="E2629" t="s">
        <v>8287</v>
      </c>
      <c r="F2629" t="s">
        <v>666</v>
      </c>
      <c r="G2629" t="s">
        <v>8288</v>
      </c>
      <c r="H2629" t="s">
        <v>667</v>
      </c>
      <c r="I2629" t="s">
        <v>3432</v>
      </c>
      <c r="J2629">
        <v>43</v>
      </c>
      <c r="K2629">
        <f>43-670-308-150</f>
        <v>-1085</v>
      </c>
      <c r="L2629" t="s">
        <v>8289</v>
      </c>
      <c r="M2629" t="s">
        <v>8290</v>
      </c>
      <c r="N2629" t="s">
        <v>674</v>
      </c>
      <c r="O2629" t="s">
        <v>28</v>
      </c>
      <c r="P2629" t="s">
        <v>29</v>
      </c>
      <c r="Q2629">
        <v>38</v>
      </c>
      <c r="R2629">
        <v>-99.999999000000003</v>
      </c>
    </row>
    <row r="2630" spans="1:18" x14ac:dyDescent="0.2">
      <c r="A2630" t="s">
        <v>270</v>
      </c>
      <c r="B2630" t="s">
        <v>271</v>
      </c>
      <c r="C2630">
        <v>1</v>
      </c>
      <c r="D2630" s="1">
        <v>44196.867361111108</v>
      </c>
      <c r="E2630" t="s">
        <v>8291</v>
      </c>
      <c r="F2630" t="s">
        <v>273</v>
      </c>
      <c r="G2630" t="s">
        <v>8292</v>
      </c>
      <c r="H2630" t="s">
        <v>275</v>
      </c>
      <c r="I2630" t="s">
        <v>29</v>
      </c>
      <c r="J2630">
        <v>1</v>
      </c>
      <c r="K2630">
        <f>1-888-209-7536</f>
        <v>-8632</v>
      </c>
      <c r="L2630" t="s">
        <v>8293</v>
      </c>
      <c r="M2630" t="s">
        <v>8294</v>
      </c>
      <c r="N2630" t="s">
        <v>278</v>
      </c>
      <c r="O2630" t="s">
        <v>134</v>
      </c>
      <c r="P2630" t="s">
        <v>29</v>
      </c>
      <c r="Q2630">
        <v>42</v>
      </c>
      <c r="R2630">
        <v>-93.620800000000003</v>
      </c>
    </row>
    <row r="2631" spans="1:18" x14ac:dyDescent="0.2">
      <c r="A2631" t="s">
        <v>270</v>
      </c>
      <c r="B2631" t="s">
        <v>271</v>
      </c>
      <c r="C2631">
        <v>34</v>
      </c>
      <c r="D2631" s="1">
        <v>44035.510439814818</v>
      </c>
      <c r="E2631" t="s">
        <v>8295</v>
      </c>
      <c r="F2631" t="s">
        <v>273</v>
      </c>
      <c r="G2631" t="s">
        <v>8292</v>
      </c>
      <c r="H2631" t="s">
        <v>275</v>
      </c>
      <c r="I2631" t="s">
        <v>700</v>
      </c>
      <c r="J2631">
        <v>34</v>
      </c>
      <c r="K2631">
        <f>34-900-670-25</f>
        <v>-1561</v>
      </c>
      <c r="L2631" t="s">
        <v>8296</v>
      </c>
      <c r="M2631" t="s">
        <v>8297</v>
      </c>
      <c r="N2631" t="s">
        <v>278</v>
      </c>
      <c r="O2631" t="s">
        <v>134</v>
      </c>
      <c r="P2631" t="s">
        <v>29</v>
      </c>
      <c r="Q2631">
        <v>42</v>
      </c>
      <c r="R2631">
        <v>-93.620800000000003</v>
      </c>
    </row>
    <row r="2632" spans="1:18" x14ac:dyDescent="0.2">
      <c r="A2632" t="s">
        <v>270</v>
      </c>
      <c r="B2632" t="s">
        <v>271</v>
      </c>
      <c r="C2632">
        <v>44</v>
      </c>
      <c r="D2632" s="1">
        <v>44035.509988425925</v>
      </c>
      <c r="E2632" t="s">
        <v>8298</v>
      </c>
      <c r="F2632" t="s">
        <v>273</v>
      </c>
      <c r="G2632" t="s">
        <v>8292</v>
      </c>
      <c r="H2632" t="s">
        <v>275</v>
      </c>
      <c r="I2632" t="s">
        <v>618</v>
      </c>
      <c r="J2632">
        <v>44</v>
      </c>
      <c r="K2632">
        <f>44-900-670-25</f>
        <v>-1551</v>
      </c>
      <c r="L2632" t="s">
        <v>8299</v>
      </c>
      <c r="M2632" t="s">
        <v>8300</v>
      </c>
      <c r="N2632" t="s">
        <v>278</v>
      </c>
      <c r="O2632" t="s">
        <v>134</v>
      </c>
      <c r="P2632" t="s">
        <v>29</v>
      </c>
      <c r="Q2632">
        <v>42</v>
      </c>
      <c r="R2632">
        <v>-93.620800000000003</v>
      </c>
    </row>
    <row r="2633" spans="1:18" x14ac:dyDescent="0.2">
      <c r="A2633" t="s">
        <v>270</v>
      </c>
      <c r="B2633" t="s">
        <v>271</v>
      </c>
      <c r="C2633">
        <v>34</v>
      </c>
      <c r="D2633" s="1">
        <v>44034.705462962964</v>
      </c>
      <c r="E2633" t="s">
        <v>8301</v>
      </c>
      <c r="F2633" t="s">
        <v>273</v>
      </c>
      <c r="G2633" t="s">
        <v>8292</v>
      </c>
      <c r="H2633" t="s">
        <v>275</v>
      </c>
      <c r="I2633" t="s">
        <v>700</v>
      </c>
      <c r="J2633">
        <v>34</v>
      </c>
      <c r="K2633">
        <f>34-900-670-25</f>
        <v>-1561</v>
      </c>
      <c r="L2633" t="s">
        <v>8302</v>
      </c>
      <c r="M2633" t="s">
        <v>8303</v>
      </c>
      <c r="N2633" t="s">
        <v>278</v>
      </c>
      <c r="O2633" t="s">
        <v>134</v>
      </c>
      <c r="P2633" t="s">
        <v>29</v>
      </c>
      <c r="Q2633">
        <v>42</v>
      </c>
      <c r="R2633">
        <v>-93.620800000000003</v>
      </c>
    </row>
    <row r="2634" spans="1:18" x14ac:dyDescent="0.2">
      <c r="A2634" t="s">
        <v>270</v>
      </c>
      <c r="B2634" t="s">
        <v>271</v>
      </c>
      <c r="C2634">
        <v>34</v>
      </c>
      <c r="D2634" s="1">
        <v>44034.705335648148</v>
      </c>
      <c r="E2634" t="s">
        <v>8304</v>
      </c>
      <c r="F2634" t="s">
        <v>273</v>
      </c>
      <c r="G2634" t="s">
        <v>8292</v>
      </c>
      <c r="H2634" t="s">
        <v>275</v>
      </c>
      <c r="I2634" t="s">
        <v>700</v>
      </c>
      <c r="J2634">
        <v>34</v>
      </c>
      <c r="K2634">
        <f>34-900-670-25</f>
        <v>-1561</v>
      </c>
      <c r="L2634" t="s">
        <v>8305</v>
      </c>
      <c r="M2634" t="s">
        <v>8306</v>
      </c>
      <c r="N2634" t="s">
        <v>278</v>
      </c>
      <c r="O2634" t="s">
        <v>134</v>
      </c>
      <c r="P2634" t="s">
        <v>29</v>
      </c>
      <c r="Q2634">
        <v>42</v>
      </c>
      <c r="R2634">
        <v>-93.620800000000003</v>
      </c>
    </row>
    <row r="2635" spans="1:18" x14ac:dyDescent="0.2">
      <c r="A2635" t="s">
        <v>270</v>
      </c>
      <c r="B2635" t="s">
        <v>271</v>
      </c>
      <c r="C2635">
        <v>34</v>
      </c>
      <c r="D2635" s="1">
        <v>44034.556192129632</v>
      </c>
      <c r="E2635" t="s">
        <v>8307</v>
      </c>
      <c r="F2635" t="s">
        <v>273</v>
      </c>
      <c r="G2635" t="s">
        <v>8292</v>
      </c>
      <c r="H2635" t="s">
        <v>275</v>
      </c>
      <c r="I2635" t="s">
        <v>700</v>
      </c>
      <c r="J2635">
        <v>34</v>
      </c>
      <c r="K2635">
        <f>34-900-670-25</f>
        <v>-1561</v>
      </c>
      <c r="L2635" t="s">
        <v>8308</v>
      </c>
      <c r="M2635" t="s">
        <v>8309</v>
      </c>
      <c r="N2635" t="s">
        <v>278</v>
      </c>
      <c r="O2635" t="s">
        <v>134</v>
      </c>
      <c r="P2635" t="s">
        <v>29</v>
      </c>
      <c r="Q2635">
        <v>42</v>
      </c>
      <c r="R2635">
        <v>-93.620800000000003</v>
      </c>
    </row>
    <row r="2636" spans="1:18" x14ac:dyDescent="0.2">
      <c r="A2636" t="s">
        <v>270</v>
      </c>
      <c r="B2636" t="s">
        <v>271</v>
      </c>
      <c r="C2636">
        <v>34</v>
      </c>
      <c r="D2636" s="1">
        <v>44034.544872685183</v>
      </c>
      <c r="E2636" t="s">
        <v>8310</v>
      </c>
      <c r="F2636" t="s">
        <v>273</v>
      </c>
      <c r="G2636" t="s">
        <v>8292</v>
      </c>
      <c r="H2636" t="s">
        <v>275</v>
      </c>
      <c r="I2636" t="s">
        <v>700</v>
      </c>
      <c r="J2636">
        <v>34</v>
      </c>
      <c r="K2636">
        <f>34-900-670-25</f>
        <v>-1561</v>
      </c>
      <c r="L2636" t="s">
        <v>8311</v>
      </c>
      <c r="M2636" t="s">
        <v>8312</v>
      </c>
      <c r="N2636" t="s">
        <v>278</v>
      </c>
      <c r="O2636" t="s">
        <v>28</v>
      </c>
      <c r="P2636" t="s">
        <v>29</v>
      </c>
      <c r="Q2636">
        <v>42</v>
      </c>
      <c r="R2636">
        <v>-93.620800000000003</v>
      </c>
    </row>
    <row r="2637" spans="1:18" x14ac:dyDescent="0.2">
      <c r="A2637" t="s">
        <v>270</v>
      </c>
      <c r="B2637" t="s">
        <v>271</v>
      </c>
      <c r="C2637">
        <v>34</v>
      </c>
      <c r="D2637" s="1">
        <v>44033.642314814817</v>
      </c>
      <c r="E2637" t="s">
        <v>8313</v>
      </c>
      <c r="F2637" t="s">
        <v>273</v>
      </c>
      <c r="G2637" t="s">
        <v>8292</v>
      </c>
      <c r="H2637" t="s">
        <v>275</v>
      </c>
      <c r="I2637" t="s">
        <v>700</v>
      </c>
      <c r="J2637">
        <v>34</v>
      </c>
      <c r="K2637">
        <f>34-900-670-25</f>
        <v>-1561</v>
      </c>
      <c r="L2637" t="s">
        <v>8314</v>
      </c>
      <c r="M2637" t="s">
        <v>8315</v>
      </c>
      <c r="N2637" t="s">
        <v>278</v>
      </c>
      <c r="O2637" t="s">
        <v>28</v>
      </c>
      <c r="P2637" t="s">
        <v>29</v>
      </c>
      <c r="Q2637">
        <v>42</v>
      </c>
      <c r="R2637">
        <v>-93.620800000000003</v>
      </c>
    </row>
    <row r="2638" spans="1:18" x14ac:dyDescent="0.2">
      <c r="A2638" t="s">
        <v>270</v>
      </c>
      <c r="B2638" t="s">
        <v>271</v>
      </c>
      <c r="C2638">
        <v>34</v>
      </c>
      <c r="D2638" s="1">
        <v>44032.915127314816</v>
      </c>
      <c r="E2638" t="s">
        <v>8316</v>
      </c>
      <c r="F2638" t="s">
        <v>273</v>
      </c>
      <c r="G2638" t="s">
        <v>8292</v>
      </c>
      <c r="H2638" t="s">
        <v>275</v>
      </c>
      <c r="I2638" t="s">
        <v>700</v>
      </c>
      <c r="J2638">
        <v>34</v>
      </c>
      <c r="K2638">
        <f>34-34-900-670-25</f>
        <v>-1595</v>
      </c>
      <c r="L2638" t="s">
        <v>8317</v>
      </c>
      <c r="M2638" t="s">
        <v>8318</v>
      </c>
      <c r="N2638" t="s">
        <v>278</v>
      </c>
      <c r="O2638" t="s">
        <v>28</v>
      </c>
      <c r="P2638" t="s">
        <v>29</v>
      </c>
      <c r="Q2638">
        <v>42</v>
      </c>
      <c r="R2638">
        <v>-93.620800000000003</v>
      </c>
    </row>
    <row r="2639" spans="1:18" x14ac:dyDescent="0.2">
      <c r="A2639" t="s">
        <v>270</v>
      </c>
      <c r="B2639" t="s">
        <v>271</v>
      </c>
      <c r="C2639">
        <v>34</v>
      </c>
      <c r="D2639" s="1">
        <v>44032.414340277777</v>
      </c>
      <c r="E2639" t="s">
        <v>8319</v>
      </c>
      <c r="F2639" t="s">
        <v>273</v>
      </c>
      <c r="G2639" t="s">
        <v>8292</v>
      </c>
      <c r="H2639" t="s">
        <v>275</v>
      </c>
      <c r="I2639" t="s">
        <v>700</v>
      </c>
      <c r="J2639">
        <v>34</v>
      </c>
      <c r="K2639">
        <f>34-900-670-25</f>
        <v>-1561</v>
      </c>
      <c r="L2639" t="s">
        <v>8320</v>
      </c>
      <c r="M2639" t="s">
        <v>8321</v>
      </c>
      <c r="N2639" t="s">
        <v>278</v>
      </c>
      <c r="O2639" t="s">
        <v>28</v>
      </c>
      <c r="P2639" t="s">
        <v>29</v>
      </c>
      <c r="Q2639">
        <v>42</v>
      </c>
      <c r="R2639">
        <v>-93.620800000000003</v>
      </c>
    </row>
    <row r="2640" spans="1:18" x14ac:dyDescent="0.2">
      <c r="A2640" t="s">
        <v>270</v>
      </c>
      <c r="B2640" t="s">
        <v>271</v>
      </c>
      <c r="C2640">
        <v>34</v>
      </c>
      <c r="D2640" s="1">
        <v>44031.878263888888</v>
      </c>
      <c r="E2640" t="s">
        <v>8322</v>
      </c>
      <c r="F2640" t="s">
        <v>273</v>
      </c>
      <c r="G2640" t="s">
        <v>8292</v>
      </c>
      <c r="H2640" t="s">
        <v>275</v>
      </c>
      <c r="I2640" t="s">
        <v>700</v>
      </c>
      <c r="J2640">
        <v>34</v>
      </c>
      <c r="K2640">
        <f>34-900-670-25</f>
        <v>-1561</v>
      </c>
      <c r="L2640" t="s">
        <v>8323</v>
      </c>
      <c r="M2640" t="s">
        <v>8324</v>
      </c>
      <c r="N2640" t="s">
        <v>278</v>
      </c>
      <c r="O2640" t="s">
        <v>134</v>
      </c>
      <c r="P2640" t="s">
        <v>29</v>
      </c>
      <c r="Q2640">
        <v>42</v>
      </c>
      <c r="R2640">
        <v>-93.620800000000003</v>
      </c>
    </row>
    <row r="2641" spans="1:18" x14ac:dyDescent="0.2">
      <c r="A2641" t="s">
        <v>270</v>
      </c>
      <c r="B2641" t="s">
        <v>271</v>
      </c>
      <c r="C2641">
        <v>34</v>
      </c>
      <c r="D2641" s="1">
        <v>44031.828136574077</v>
      </c>
      <c r="E2641" t="s">
        <v>8325</v>
      </c>
      <c r="F2641" t="s">
        <v>273</v>
      </c>
      <c r="G2641" t="s">
        <v>8292</v>
      </c>
      <c r="H2641" t="s">
        <v>275</v>
      </c>
      <c r="I2641" t="s">
        <v>700</v>
      </c>
      <c r="J2641">
        <v>34</v>
      </c>
      <c r="K2641">
        <f>34-900-998-437</f>
        <v>-2301</v>
      </c>
      <c r="L2641" t="s">
        <v>8326</v>
      </c>
      <c r="M2641" t="s">
        <v>8327</v>
      </c>
      <c r="N2641" t="s">
        <v>278</v>
      </c>
      <c r="O2641" t="s">
        <v>134</v>
      </c>
      <c r="P2641" t="s">
        <v>29</v>
      </c>
      <c r="Q2641">
        <v>42</v>
      </c>
      <c r="R2641">
        <v>-93.620800000000003</v>
      </c>
    </row>
    <row r="2642" spans="1:18" x14ac:dyDescent="0.2">
      <c r="A2642" t="s">
        <v>270</v>
      </c>
      <c r="B2642" t="s">
        <v>271</v>
      </c>
      <c r="C2642">
        <v>34</v>
      </c>
      <c r="D2642" s="1">
        <v>44030.716817129629</v>
      </c>
      <c r="E2642" t="s">
        <v>8328</v>
      </c>
      <c r="F2642" t="s">
        <v>273</v>
      </c>
      <c r="G2642" t="s">
        <v>8292</v>
      </c>
      <c r="H2642" t="s">
        <v>275</v>
      </c>
      <c r="I2642" t="s">
        <v>700</v>
      </c>
      <c r="J2642">
        <v>34</v>
      </c>
      <c r="K2642">
        <f>34-900-670-25</f>
        <v>-1561</v>
      </c>
      <c r="L2642" t="s">
        <v>8329</v>
      </c>
      <c r="M2642" t="s">
        <v>8330</v>
      </c>
      <c r="N2642" t="s">
        <v>278</v>
      </c>
      <c r="O2642" t="s">
        <v>28</v>
      </c>
      <c r="P2642" t="s">
        <v>29</v>
      </c>
      <c r="Q2642">
        <v>42</v>
      </c>
      <c r="R2642">
        <v>-93.620800000000003</v>
      </c>
    </row>
    <row r="2643" spans="1:18" x14ac:dyDescent="0.2">
      <c r="A2643" t="s">
        <v>270</v>
      </c>
      <c r="B2643" t="s">
        <v>271</v>
      </c>
      <c r="C2643">
        <v>34</v>
      </c>
      <c r="D2643" s="1">
        <v>44030.518240740741</v>
      </c>
      <c r="E2643" t="s">
        <v>8331</v>
      </c>
      <c r="F2643" t="s">
        <v>273</v>
      </c>
      <c r="G2643" t="s">
        <v>8292</v>
      </c>
      <c r="H2643" t="s">
        <v>275</v>
      </c>
      <c r="I2643" t="s">
        <v>700</v>
      </c>
      <c r="J2643">
        <v>34</v>
      </c>
      <c r="K2643">
        <f>34-900-670-25</f>
        <v>-1561</v>
      </c>
      <c r="L2643" t="s">
        <v>8332</v>
      </c>
      <c r="M2643" t="s">
        <v>8333</v>
      </c>
      <c r="N2643" t="s">
        <v>278</v>
      </c>
      <c r="O2643" t="s">
        <v>28</v>
      </c>
      <c r="P2643" t="s">
        <v>29</v>
      </c>
      <c r="Q2643">
        <v>42</v>
      </c>
      <c r="R2643">
        <v>-93.620800000000003</v>
      </c>
    </row>
    <row r="2644" spans="1:18" x14ac:dyDescent="0.2">
      <c r="A2644" t="s">
        <v>663</v>
      </c>
      <c r="B2644" t="s">
        <v>3385</v>
      </c>
      <c r="C2644">
        <v>44</v>
      </c>
      <c r="D2644" s="1">
        <v>44030.518807870372</v>
      </c>
      <c r="E2644" t="s">
        <v>8334</v>
      </c>
      <c r="F2644" t="s">
        <v>666</v>
      </c>
      <c r="G2644" t="s">
        <v>8335</v>
      </c>
      <c r="H2644" t="s">
        <v>667</v>
      </c>
      <c r="I2644" t="s">
        <v>618</v>
      </c>
      <c r="J2644">
        <v>44</v>
      </c>
      <c r="K2644">
        <f>44-800-31-4241</f>
        <v>-5028</v>
      </c>
      <c r="L2644" t="s">
        <v>8336</v>
      </c>
      <c r="M2644" t="s">
        <v>8337</v>
      </c>
      <c r="N2644" t="s">
        <v>1645</v>
      </c>
      <c r="O2644" t="s">
        <v>28</v>
      </c>
      <c r="P2644" t="s">
        <v>29</v>
      </c>
      <c r="Q2644">
        <v>41</v>
      </c>
      <c r="R2644">
        <v>-74.006600000000006</v>
      </c>
    </row>
    <row r="2645" spans="1:18" x14ac:dyDescent="0.2">
      <c r="A2645" t="s">
        <v>2233</v>
      </c>
      <c r="B2645" t="s">
        <v>2263</v>
      </c>
      <c r="C2645">
        <v>1</v>
      </c>
      <c r="D2645" s="1">
        <v>44030.71197916667</v>
      </c>
      <c r="E2645" t="s">
        <v>8338</v>
      </c>
      <c r="F2645" t="s">
        <v>2236</v>
      </c>
      <c r="G2645" t="s">
        <v>8339</v>
      </c>
      <c r="H2645" t="s">
        <v>2237</v>
      </c>
      <c r="I2645" t="s">
        <v>29</v>
      </c>
      <c r="J2645">
        <v>1</v>
      </c>
      <c r="K2645">
        <f>1-571-281-883</f>
        <v>-1734</v>
      </c>
      <c r="L2645" t="s">
        <v>8340</v>
      </c>
      <c r="M2645" t="s">
        <v>8341</v>
      </c>
      <c r="N2645" t="s">
        <v>5354</v>
      </c>
      <c r="O2645" t="s">
        <v>134</v>
      </c>
      <c r="P2645" t="s">
        <v>2268</v>
      </c>
      <c r="Q2645">
        <v>44</v>
      </c>
      <c r="R2645">
        <v>-79.383200000000002</v>
      </c>
    </row>
    <row r="2646" spans="1:18" x14ac:dyDescent="0.2">
      <c r="A2646" t="s">
        <v>663</v>
      </c>
      <c r="B2646" t="s">
        <v>454</v>
      </c>
      <c r="C2646">
        <v>43</v>
      </c>
      <c r="D2646" s="1">
        <v>44030.716874999998</v>
      </c>
      <c r="E2646" t="s">
        <v>8342</v>
      </c>
      <c r="F2646" t="s">
        <v>666</v>
      </c>
      <c r="G2646" t="s">
        <v>8343</v>
      </c>
      <c r="H2646" t="s">
        <v>667</v>
      </c>
      <c r="I2646" t="s">
        <v>3432</v>
      </c>
      <c r="J2646">
        <v>43</v>
      </c>
      <c r="K2646">
        <f>43-670-308-150</f>
        <v>-1085</v>
      </c>
      <c r="L2646" t="s">
        <v>8344</v>
      </c>
      <c r="M2646" t="s">
        <v>8345</v>
      </c>
      <c r="N2646" t="s">
        <v>3441</v>
      </c>
      <c r="O2646" t="s">
        <v>28</v>
      </c>
      <c r="P2646" t="s">
        <v>461</v>
      </c>
      <c r="Q2646">
        <v>52</v>
      </c>
      <c r="R2646">
        <v>4.8975</v>
      </c>
    </row>
    <row r="2647" spans="1:18" x14ac:dyDescent="0.2">
      <c r="A2647" t="s">
        <v>675</v>
      </c>
      <c r="B2647" t="s">
        <v>1412</v>
      </c>
      <c r="C2647">
        <v>81</v>
      </c>
      <c r="D2647" s="1">
        <v>44231.695219907408</v>
      </c>
      <c r="E2647" t="s">
        <v>8346</v>
      </c>
      <c r="F2647" t="s">
        <v>678</v>
      </c>
      <c r="G2647" t="s">
        <v>8347</v>
      </c>
      <c r="H2647" t="s">
        <v>680</v>
      </c>
      <c r="I2647" t="s">
        <v>53</v>
      </c>
      <c r="J2647">
        <v>81</v>
      </c>
      <c r="K2647">
        <f>81-50-3185-741</f>
        <v>-3895</v>
      </c>
      <c r="L2647" t="s">
        <v>8348</v>
      </c>
      <c r="M2647" t="s">
        <v>8349</v>
      </c>
      <c r="N2647" t="s">
        <v>447</v>
      </c>
      <c r="O2647" t="s">
        <v>134</v>
      </c>
      <c r="P2647" t="s">
        <v>29</v>
      </c>
      <c r="Q2647">
        <v>41</v>
      </c>
      <c r="R2647">
        <v>-74.172399999999996</v>
      </c>
    </row>
    <row r="2648" spans="1:18" x14ac:dyDescent="0.2">
      <c r="A2648" t="s">
        <v>675</v>
      </c>
      <c r="B2648" t="s">
        <v>1412</v>
      </c>
      <c r="C2648">
        <v>1</v>
      </c>
      <c r="D2648" s="1">
        <v>44049.776122685187</v>
      </c>
      <c r="E2648" t="s">
        <v>8350</v>
      </c>
      <c r="F2648" t="s">
        <v>678</v>
      </c>
      <c r="G2648" t="s">
        <v>8347</v>
      </c>
      <c r="H2648" t="s">
        <v>680</v>
      </c>
      <c r="I2648" t="s">
        <v>29</v>
      </c>
      <c r="J2648">
        <v>1</v>
      </c>
      <c r="K2648">
        <f>1-808-800-9759</f>
        <v>-11366</v>
      </c>
      <c r="L2648" t="s">
        <v>8351</v>
      </c>
      <c r="M2648" t="s">
        <v>8352</v>
      </c>
      <c r="N2648" t="s">
        <v>3454</v>
      </c>
      <c r="O2648" t="s">
        <v>28</v>
      </c>
      <c r="P2648" t="s">
        <v>29</v>
      </c>
      <c r="Q2648">
        <v>41</v>
      </c>
      <c r="R2648">
        <v>-74.172399999999996</v>
      </c>
    </row>
    <row r="2649" spans="1:18" x14ac:dyDescent="0.2">
      <c r="A2649" t="s">
        <v>675</v>
      </c>
      <c r="B2649" t="s">
        <v>1412</v>
      </c>
      <c r="C2649">
        <v>1</v>
      </c>
      <c r="D2649" s="1">
        <v>44048.865787037037</v>
      </c>
      <c r="E2649" t="s">
        <v>8353</v>
      </c>
      <c r="F2649" t="s">
        <v>678</v>
      </c>
      <c r="G2649" t="s">
        <v>8347</v>
      </c>
      <c r="H2649" t="s">
        <v>680</v>
      </c>
      <c r="I2649" t="s">
        <v>29</v>
      </c>
      <c r="J2649">
        <v>1</v>
      </c>
      <c r="K2649">
        <f>1-844-724-2253</f>
        <v>-3820</v>
      </c>
      <c r="L2649" t="s">
        <v>8354</v>
      </c>
      <c r="M2649" t="s">
        <v>8355</v>
      </c>
      <c r="N2649" t="s">
        <v>3454</v>
      </c>
      <c r="O2649" t="s">
        <v>28</v>
      </c>
      <c r="P2649" t="s">
        <v>29</v>
      </c>
      <c r="Q2649">
        <v>41</v>
      </c>
      <c r="R2649">
        <v>-74.172399999999996</v>
      </c>
    </row>
    <row r="2650" spans="1:18" x14ac:dyDescent="0.2">
      <c r="A2650" t="s">
        <v>675</v>
      </c>
      <c r="B2650" t="s">
        <v>1412</v>
      </c>
      <c r="C2650">
        <v>1</v>
      </c>
      <c r="D2650" s="1">
        <v>44041.893043981479</v>
      </c>
      <c r="E2650" t="s">
        <v>8356</v>
      </c>
      <c r="F2650" t="s">
        <v>678</v>
      </c>
      <c r="G2650" t="s">
        <v>8347</v>
      </c>
      <c r="H2650" t="s">
        <v>680</v>
      </c>
      <c r="I2650" t="s">
        <v>29</v>
      </c>
      <c r="J2650">
        <v>1</v>
      </c>
      <c r="K2650">
        <f>1-833-610-1506</f>
        <v>-2948</v>
      </c>
      <c r="L2650" t="s">
        <v>8357</v>
      </c>
      <c r="M2650" t="s">
        <v>8358</v>
      </c>
      <c r="N2650" t="s">
        <v>447</v>
      </c>
      <c r="O2650" t="s">
        <v>28</v>
      </c>
      <c r="P2650" t="s">
        <v>29</v>
      </c>
      <c r="Q2650">
        <v>41</v>
      </c>
      <c r="R2650">
        <v>-74.172399999999996</v>
      </c>
    </row>
    <row r="2651" spans="1:18" x14ac:dyDescent="0.2">
      <c r="A2651" t="s">
        <v>675</v>
      </c>
      <c r="B2651" t="s">
        <v>1412</v>
      </c>
      <c r="C2651">
        <v>1</v>
      </c>
      <c r="D2651" s="1">
        <v>44041.822835648149</v>
      </c>
      <c r="E2651" t="s">
        <v>8359</v>
      </c>
      <c r="F2651" t="s">
        <v>678</v>
      </c>
      <c r="G2651" t="s">
        <v>8347</v>
      </c>
      <c r="H2651" t="s">
        <v>680</v>
      </c>
      <c r="I2651" t="s">
        <v>29</v>
      </c>
      <c r="J2651">
        <v>1</v>
      </c>
      <c r="K2651">
        <f>1-800-656-603</f>
        <v>-2058</v>
      </c>
      <c r="L2651" t="s">
        <v>8360</v>
      </c>
      <c r="M2651" t="s">
        <v>8361</v>
      </c>
      <c r="N2651" t="s">
        <v>3454</v>
      </c>
      <c r="O2651" t="s">
        <v>134</v>
      </c>
      <c r="P2651" t="s">
        <v>29</v>
      </c>
      <c r="Q2651">
        <v>41</v>
      </c>
      <c r="R2651">
        <v>-74.172399999999996</v>
      </c>
    </row>
    <row r="2652" spans="1:18" x14ac:dyDescent="0.2">
      <c r="A2652" t="s">
        <v>675</v>
      </c>
      <c r="B2652" t="s">
        <v>1412</v>
      </c>
      <c r="C2652">
        <v>1</v>
      </c>
      <c r="D2652" s="1">
        <v>44041.438831018517</v>
      </c>
      <c r="E2652" t="s">
        <v>8362</v>
      </c>
      <c r="F2652" t="s">
        <v>678</v>
      </c>
      <c r="G2652" t="s">
        <v>8347</v>
      </c>
      <c r="H2652" t="s">
        <v>680</v>
      </c>
      <c r="I2652" t="s">
        <v>29</v>
      </c>
      <c r="J2652">
        <v>1</v>
      </c>
      <c r="K2652">
        <f>1-844-475-4536</f>
        <v>-5854</v>
      </c>
      <c r="L2652" t="s">
        <v>8363</v>
      </c>
      <c r="M2652" t="s">
        <v>8364</v>
      </c>
      <c r="N2652" t="s">
        <v>3454</v>
      </c>
      <c r="O2652" t="s">
        <v>28</v>
      </c>
      <c r="P2652" t="s">
        <v>29</v>
      </c>
      <c r="Q2652">
        <v>41</v>
      </c>
      <c r="R2652">
        <v>-74.172399999999996</v>
      </c>
    </row>
    <row r="2653" spans="1:18" x14ac:dyDescent="0.2">
      <c r="A2653" t="s">
        <v>675</v>
      </c>
      <c r="B2653" t="s">
        <v>1412</v>
      </c>
      <c r="C2653">
        <v>61</v>
      </c>
      <c r="D2653" s="1">
        <v>44041.437939814816</v>
      </c>
      <c r="E2653" t="s">
        <v>8356</v>
      </c>
      <c r="F2653" t="s">
        <v>678</v>
      </c>
      <c r="G2653" t="s">
        <v>8347</v>
      </c>
      <c r="H2653" t="s">
        <v>680</v>
      </c>
      <c r="I2653" t="s">
        <v>782</v>
      </c>
      <c r="J2653">
        <v>61</v>
      </c>
      <c r="K2653">
        <f>61-1800-572-173</f>
        <v>-2484</v>
      </c>
      <c r="L2653" t="s">
        <v>8365</v>
      </c>
      <c r="M2653" t="s">
        <v>8366</v>
      </c>
      <c r="N2653" t="s">
        <v>447</v>
      </c>
      <c r="O2653" t="s">
        <v>28</v>
      </c>
      <c r="P2653" t="s">
        <v>29</v>
      </c>
      <c r="Q2653">
        <v>41</v>
      </c>
      <c r="R2653">
        <v>-74.172399999999996</v>
      </c>
    </row>
    <row r="2654" spans="1:18" x14ac:dyDescent="0.2">
      <c r="A2654" t="s">
        <v>675</v>
      </c>
      <c r="B2654" t="s">
        <v>1412</v>
      </c>
      <c r="C2654">
        <v>1</v>
      </c>
      <c r="D2654" s="1">
        <v>44040.975428240738</v>
      </c>
      <c r="E2654" t="s">
        <v>8367</v>
      </c>
      <c r="F2654" t="s">
        <v>678</v>
      </c>
      <c r="G2654" t="s">
        <v>8347</v>
      </c>
      <c r="H2654" t="s">
        <v>680</v>
      </c>
      <c r="I2654" t="s">
        <v>29</v>
      </c>
      <c r="J2654">
        <v>1</v>
      </c>
      <c r="K2654">
        <f>1-833-610-1506</f>
        <v>-2948</v>
      </c>
      <c r="L2654" t="s">
        <v>8368</v>
      </c>
      <c r="M2654" t="s">
        <v>8369</v>
      </c>
      <c r="N2654" t="s">
        <v>213</v>
      </c>
      <c r="O2654" t="s">
        <v>28</v>
      </c>
      <c r="P2654" t="s">
        <v>29</v>
      </c>
      <c r="Q2654">
        <v>41</v>
      </c>
      <c r="R2654">
        <v>-74.172399999999996</v>
      </c>
    </row>
    <row r="2655" spans="1:18" x14ac:dyDescent="0.2">
      <c r="A2655" t="s">
        <v>675</v>
      </c>
      <c r="B2655" t="s">
        <v>1412</v>
      </c>
      <c r="C2655">
        <v>1</v>
      </c>
      <c r="D2655" s="1">
        <v>44040.960173611114</v>
      </c>
      <c r="E2655" t="s">
        <v>8370</v>
      </c>
      <c r="F2655" t="s">
        <v>678</v>
      </c>
      <c r="G2655" t="s">
        <v>8347</v>
      </c>
      <c r="H2655" t="s">
        <v>680</v>
      </c>
      <c r="I2655" t="s">
        <v>29</v>
      </c>
      <c r="J2655">
        <v>1</v>
      </c>
      <c r="K2655">
        <f>1-808-800-5338</f>
        <v>-6945</v>
      </c>
      <c r="L2655" t="s">
        <v>8371</v>
      </c>
      <c r="M2655" t="s">
        <v>8372</v>
      </c>
      <c r="N2655" t="s">
        <v>36</v>
      </c>
      <c r="O2655" t="s">
        <v>28</v>
      </c>
      <c r="P2655" t="s">
        <v>29</v>
      </c>
      <c r="Q2655">
        <v>41</v>
      </c>
      <c r="R2655">
        <v>-74.172399999999996</v>
      </c>
    </row>
    <row r="2656" spans="1:18" x14ac:dyDescent="0.2">
      <c r="A2656" t="s">
        <v>675</v>
      </c>
      <c r="B2656" t="s">
        <v>1412</v>
      </c>
      <c r="C2656">
        <v>1</v>
      </c>
      <c r="D2656" s="1">
        <v>44040.84952546296</v>
      </c>
      <c r="E2656" t="s">
        <v>8373</v>
      </c>
      <c r="F2656" t="s">
        <v>678</v>
      </c>
      <c r="G2656" t="s">
        <v>8347</v>
      </c>
      <c r="H2656" t="s">
        <v>680</v>
      </c>
      <c r="I2656" t="s">
        <v>29</v>
      </c>
      <c r="J2656">
        <v>1</v>
      </c>
      <c r="K2656">
        <f>1-800-656-603</f>
        <v>-2058</v>
      </c>
      <c r="L2656" t="s">
        <v>8374</v>
      </c>
      <c r="M2656" t="s">
        <v>8375</v>
      </c>
      <c r="N2656" t="s">
        <v>36</v>
      </c>
      <c r="O2656" t="s">
        <v>28</v>
      </c>
      <c r="P2656" t="s">
        <v>29</v>
      </c>
      <c r="Q2656">
        <v>41</v>
      </c>
      <c r="R2656">
        <v>-74.172399999999996</v>
      </c>
    </row>
    <row r="2657" spans="1:18" x14ac:dyDescent="0.2">
      <c r="A2657" t="s">
        <v>675</v>
      </c>
      <c r="B2657" t="s">
        <v>1412</v>
      </c>
      <c r="C2657">
        <v>1</v>
      </c>
      <c r="D2657" s="1">
        <v>44036.982766203706</v>
      </c>
      <c r="E2657" t="s">
        <v>8376</v>
      </c>
      <c r="F2657" t="s">
        <v>678</v>
      </c>
      <c r="G2657" t="s">
        <v>8347</v>
      </c>
      <c r="H2657" t="s">
        <v>680</v>
      </c>
      <c r="I2657" t="s">
        <v>29</v>
      </c>
      <c r="J2657">
        <v>1</v>
      </c>
      <c r="K2657">
        <f>1-833-610-1506</f>
        <v>-2948</v>
      </c>
      <c r="L2657" t="s">
        <v>8377</v>
      </c>
      <c r="M2657" t="s">
        <v>8378</v>
      </c>
      <c r="N2657" t="s">
        <v>447</v>
      </c>
      <c r="O2657" t="s">
        <v>28</v>
      </c>
      <c r="P2657" t="s">
        <v>29</v>
      </c>
      <c r="Q2657">
        <v>41</v>
      </c>
      <c r="R2657">
        <v>-74.172399999999996</v>
      </c>
    </row>
    <row r="2658" spans="1:18" x14ac:dyDescent="0.2">
      <c r="A2658" t="s">
        <v>675</v>
      </c>
      <c r="B2658" t="s">
        <v>1412</v>
      </c>
      <c r="C2658">
        <v>1</v>
      </c>
      <c r="D2658" s="1">
        <v>44036.940949074073</v>
      </c>
      <c r="E2658" t="s">
        <v>8379</v>
      </c>
      <c r="F2658" t="s">
        <v>678</v>
      </c>
      <c r="G2658" t="s">
        <v>8347</v>
      </c>
      <c r="H2658" t="s">
        <v>680</v>
      </c>
      <c r="I2658" t="s">
        <v>29</v>
      </c>
      <c r="J2658">
        <v>1</v>
      </c>
      <c r="K2658">
        <f>1-844-468-3477</f>
        <v>-4788</v>
      </c>
      <c r="L2658" t="s">
        <v>8380</v>
      </c>
      <c r="M2658" t="s">
        <v>8381</v>
      </c>
      <c r="N2658" t="s">
        <v>674</v>
      </c>
      <c r="O2658" t="s">
        <v>28</v>
      </c>
      <c r="P2658" t="s">
        <v>29</v>
      </c>
      <c r="Q2658">
        <v>41</v>
      </c>
      <c r="R2658">
        <v>-74.172399999999996</v>
      </c>
    </row>
    <row r="2659" spans="1:18" x14ac:dyDescent="0.2">
      <c r="A2659" t="s">
        <v>675</v>
      </c>
      <c r="B2659" t="s">
        <v>1412</v>
      </c>
      <c r="C2659">
        <v>1</v>
      </c>
      <c r="D2659" s="1">
        <v>44036.924756944441</v>
      </c>
      <c r="E2659" t="s">
        <v>8382</v>
      </c>
      <c r="F2659" t="s">
        <v>678</v>
      </c>
      <c r="G2659" t="s">
        <v>8347</v>
      </c>
      <c r="H2659" t="s">
        <v>680</v>
      </c>
      <c r="I2659" t="s">
        <v>29</v>
      </c>
      <c r="J2659">
        <v>1</v>
      </c>
      <c r="K2659">
        <f>1-844-468-170</f>
        <v>-1481</v>
      </c>
      <c r="L2659" t="s">
        <v>8383</v>
      </c>
      <c r="M2659" t="s">
        <v>8384</v>
      </c>
      <c r="N2659" t="s">
        <v>3441</v>
      </c>
      <c r="O2659" t="s">
        <v>28</v>
      </c>
      <c r="P2659" t="s">
        <v>29</v>
      </c>
      <c r="Q2659">
        <v>41</v>
      </c>
      <c r="R2659">
        <v>-74.172399999999996</v>
      </c>
    </row>
    <row r="2660" spans="1:18" x14ac:dyDescent="0.2">
      <c r="A2660" t="s">
        <v>675</v>
      </c>
      <c r="B2660" t="s">
        <v>1412</v>
      </c>
      <c r="C2660">
        <v>1</v>
      </c>
      <c r="D2660" s="1">
        <v>44036.881215277775</v>
      </c>
      <c r="E2660" t="s">
        <v>8385</v>
      </c>
      <c r="F2660" t="s">
        <v>678</v>
      </c>
      <c r="G2660" t="s">
        <v>8347</v>
      </c>
      <c r="H2660" t="s">
        <v>680</v>
      </c>
      <c r="I2660" t="s">
        <v>29</v>
      </c>
      <c r="J2660">
        <v>1</v>
      </c>
      <c r="K2660">
        <f>1-833-610-1506</f>
        <v>-2948</v>
      </c>
      <c r="L2660" t="s">
        <v>8386</v>
      </c>
      <c r="M2660" t="s">
        <v>8387</v>
      </c>
      <c r="N2660" t="s">
        <v>213</v>
      </c>
      <c r="O2660" t="s">
        <v>28</v>
      </c>
      <c r="P2660" t="s">
        <v>29</v>
      </c>
      <c r="Q2660">
        <v>41</v>
      </c>
      <c r="R2660">
        <v>-74.172399999999996</v>
      </c>
    </row>
    <row r="2661" spans="1:18" x14ac:dyDescent="0.2">
      <c r="A2661" t="s">
        <v>675</v>
      </c>
      <c r="B2661" t="s">
        <v>1412</v>
      </c>
      <c r="C2661">
        <v>61</v>
      </c>
      <c r="D2661" s="1">
        <v>44036.880486111113</v>
      </c>
      <c r="E2661" t="s">
        <v>8376</v>
      </c>
      <c r="F2661" t="s">
        <v>678</v>
      </c>
      <c r="G2661" t="s">
        <v>8347</v>
      </c>
      <c r="H2661" t="s">
        <v>680</v>
      </c>
      <c r="I2661" t="s">
        <v>782</v>
      </c>
      <c r="J2661">
        <v>61</v>
      </c>
      <c r="K2661">
        <f>61-1800-572-273</f>
        <v>-2584</v>
      </c>
      <c r="L2661" t="s">
        <v>8388</v>
      </c>
      <c r="M2661" t="s">
        <v>8389</v>
      </c>
      <c r="N2661" t="s">
        <v>447</v>
      </c>
      <c r="O2661" t="s">
        <v>28</v>
      </c>
      <c r="P2661" t="s">
        <v>29</v>
      </c>
      <c r="Q2661">
        <v>41</v>
      </c>
      <c r="R2661">
        <v>-74.172399999999996</v>
      </c>
    </row>
    <row r="2662" spans="1:18" x14ac:dyDescent="0.2">
      <c r="A2662" t="s">
        <v>675</v>
      </c>
      <c r="B2662" t="s">
        <v>1412</v>
      </c>
      <c r="C2662">
        <v>1</v>
      </c>
      <c r="D2662" s="1">
        <v>44036.879062499997</v>
      </c>
      <c r="E2662" t="s">
        <v>8390</v>
      </c>
      <c r="F2662" t="s">
        <v>678</v>
      </c>
      <c r="G2662" t="s">
        <v>8347</v>
      </c>
      <c r="H2662" t="s">
        <v>680</v>
      </c>
      <c r="I2662" t="s">
        <v>29</v>
      </c>
      <c r="J2662">
        <v>1</v>
      </c>
      <c r="K2662">
        <f>1-844-468-3477</f>
        <v>-4788</v>
      </c>
      <c r="L2662" t="s">
        <v>8391</v>
      </c>
      <c r="M2662" t="s">
        <v>8392</v>
      </c>
      <c r="N2662" t="s">
        <v>674</v>
      </c>
      <c r="O2662" t="s">
        <v>28</v>
      </c>
      <c r="P2662" t="s">
        <v>29</v>
      </c>
      <c r="Q2662">
        <v>41</v>
      </c>
      <c r="R2662">
        <v>-74.172399999999996</v>
      </c>
    </row>
    <row r="2663" spans="1:18" x14ac:dyDescent="0.2">
      <c r="A2663" t="s">
        <v>675</v>
      </c>
      <c r="B2663" t="s">
        <v>1412</v>
      </c>
      <c r="C2663">
        <v>1</v>
      </c>
      <c r="D2663" s="1">
        <v>44037.395555555559</v>
      </c>
      <c r="E2663" t="s">
        <v>8390</v>
      </c>
      <c r="F2663" t="s">
        <v>678</v>
      </c>
      <c r="G2663" t="s">
        <v>8347</v>
      </c>
      <c r="H2663" t="s">
        <v>680</v>
      </c>
      <c r="I2663" t="s">
        <v>29</v>
      </c>
      <c r="J2663">
        <v>1</v>
      </c>
      <c r="K2663">
        <f>1-833-610-1506</f>
        <v>-2948</v>
      </c>
      <c r="L2663" t="s">
        <v>8393</v>
      </c>
      <c r="M2663" t="s">
        <v>8394</v>
      </c>
      <c r="N2663" t="s">
        <v>674</v>
      </c>
      <c r="O2663" t="s">
        <v>28</v>
      </c>
      <c r="P2663" t="s">
        <v>29</v>
      </c>
      <c r="Q2663">
        <v>41</v>
      </c>
      <c r="R2663">
        <v>-74.172399999999996</v>
      </c>
    </row>
    <row r="2664" spans="1:18" x14ac:dyDescent="0.2">
      <c r="A2664" t="s">
        <v>675</v>
      </c>
      <c r="B2664" t="s">
        <v>1412</v>
      </c>
      <c r="C2664">
        <v>1</v>
      </c>
      <c r="D2664" s="1">
        <v>44035.769849537035</v>
      </c>
      <c r="E2664" t="s">
        <v>8395</v>
      </c>
      <c r="F2664" t="s">
        <v>678</v>
      </c>
      <c r="G2664" t="s">
        <v>8347</v>
      </c>
      <c r="H2664" t="s">
        <v>680</v>
      </c>
      <c r="I2664" t="s">
        <v>29</v>
      </c>
      <c r="J2664">
        <v>1</v>
      </c>
      <c r="K2664">
        <f>1-833-610-1506</f>
        <v>-2948</v>
      </c>
      <c r="L2664" t="s">
        <v>8396</v>
      </c>
      <c r="M2664" t="s">
        <v>8397</v>
      </c>
      <c r="N2664" t="s">
        <v>674</v>
      </c>
      <c r="O2664" t="s">
        <v>28</v>
      </c>
      <c r="P2664" t="s">
        <v>29</v>
      </c>
      <c r="Q2664">
        <v>41</v>
      </c>
      <c r="R2664">
        <v>-74.172399999999996</v>
      </c>
    </row>
    <row r="2665" spans="1:18" x14ac:dyDescent="0.2">
      <c r="A2665" t="s">
        <v>675</v>
      </c>
      <c r="B2665" t="s">
        <v>1412</v>
      </c>
      <c r="C2665">
        <v>1</v>
      </c>
      <c r="D2665" s="1">
        <v>44035.769571759258</v>
      </c>
      <c r="E2665" t="s">
        <v>8398</v>
      </c>
      <c r="F2665" t="s">
        <v>678</v>
      </c>
      <c r="G2665" t="s">
        <v>8347</v>
      </c>
      <c r="H2665" t="s">
        <v>680</v>
      </c>
      <c r="I2665" t="s">
        <v>29</v>
      </c>
      <c r="J2665">
        <v>1</v>
      </c>
      <c r="K2665">
        <f>1-833-610-1506</f>
        <v>-2948</v>
      </c>
      <c r="L2665" t="s">
        <v>8399</v>
      </c>
      <c r="M2665" t="s">
        <v>8400</v>
      </c>
      <c r="N2665" t="s">
        <v>3441</v>
      </c>
      <c r="O2665" t="s">
        <v>28</v>
      </c>
      <c r="P2665" t="s">
        <v>29</v>
      </c>
      <c r="Q2665">
        <v>41</v>
      </c>
      <c r="R2665">
        <v>-74.172399999999996</v>
      </c>
    </row>
    <row r="2666" spans="1:18" x14ac:dyDescent="0.2">
      <c r="A2666" t="s">
        <v>675</v>
      </c>
      <c r="B2666" t="s">
        <v>1412</v>
      </c>
      <c r="C2666">
        <v>1</v>
      </c>
      <c r="D2666" s="1">
        <v>44035.516365740739</v>
      </c>
      <c r="E2666" t="s">
        <v>8401</v>
      </c>
      <c r="F2666" t="s">
        <v>678</v>
      </c>
      <c r="G2666" t="s">
        <v>8347</v>
      </c>
      <c r="H2666" t="s">
        <v>680</v>
      </c>
      <c r="I2666" t="s">
        <v>29</v>
      </c>
      <c r="J2666">
        <v>1</v>
      </c>
      <c r="K2666">
        <f>1-866-769-6463</f>
        <v>-8097</v>
      </c>
      <c r="L2666" t="s">
        <v>8402</v>
      </c>
      <c r="M2666" t="s">
        <v>8403</v>
      </c>
      <c r="N2666" t="s">
        <v>447</v>
      </c>
      <c r="O2666" t="s">
        <v>28</v>
      </c>
      <c r="P2666" t="s">
        <v>29</v>
      </c>
      <c r="Q2666">
        <v>41</v>
      </c>
      <c r="R2666">
        <v>-74.172399999999996</v>
      </c>
    </row>
    <row r="2667" spans="1:18" x14ac:dyDescent="0.2">
      <c r="A2667" t="s">
        <v>675</v>
      </c>
      <c r="B2667" t="s">
        <v>1412</v>
      </c>
      <c r="C2667">
        <v>1</v>
      </c>
      <c r="D2667" s="1">
        <v>44034.907627314817</v>
      </c>
      <c r="E2667" t="s">
        <v>8404</v>
      </c>
      <c r="F2667" t="s">
        <v>678</v>
      </c>
      <c r="G2667" t="s">
        <v>8347</v>
      </c>
      <c r="H2667" t="s">
        <v>680</v>
      </c>
      <c r="I2667" t="s">
        <v>29</v>
      </c>
      <c r="J2667">
        <v>1</v>
      </c>
      <c r="K2667">
        <f>1-866-661-3965</f>
        <v>-5491</v>
      </c>
      <c r="L2667" t="s">
        <v>8405</v>
      </c>
      <c r="M2667" t="s">
        <v>8406</v>
      </c>
      <c r="N2667" t="s">
        <v>213</v>
      </c>
      <c r="O2667" t="s">
        <v>28</v>
      </c>
      <c r="P2667" t="s">
        <v>29</v>
      </c>
      <c r="Q2667">
        <v>41</v>
      </c>
      <c r="R2667">
        <v>-74.172399999999996</v>
      </c>
    </row>
    <row r="2668" spans="1:18" x14ac:dyDescent="0.2">
      <c r="A2668" t="s">
        <v>675</v>
      </c>
      <c r="B2668" t="s">
        <v>1412</v>
      </c>
      <c r="C2668">
        <v>1</v>
      </c>
      <c r="D2668" s="1">
        <v>44034.907280092593</v>
      </c>
      <c r="E2668" t="s">
        <v>8407</v>
      </c>
      <c r="F2668" t="s">
        <v>678</v>
      </c>
      <c r="G2668" t="s">
        <v>8347</v>
      </c>
      <c r="H2668" t="s">
        <v>680</v>
      </c>
      <c r="I2668" t="s">
        <v>29</v>
      </c>
      <c r="J2668">
        <v>1</v>
      </c>
      <c r="K2668">
        <f>1-866-769-6463</f>
        <v>-8097</v>
      </c>
      <c r="L2668" t="s">
        <v>8408</v>
      </c>
      <c r="M2668" t="s">
        <v>8409</v>
      </c>
      <c r="N2668" t="s">
        <v>674</v>
      </c>
      <c r="O2668" t="s">
        <v>28</v>
      </c>
      <c r="P2668" t="s">
        <v>29</v>
      </c>
      <c r="Q2668">
        <v>41</v>
      </c>
      <c r="R2668">
        <v>-74.172399999999996</v>
      </c>
    </row>
    <row r="2669" spans="1:18" x14ac:dyDescent="0.2">
      <c r="A2669" t="s">
        <v>675</v>
      </c>
      <c r="B2669" t="s">
        <v>1412</v>
      </c>
      <c r="C2669">
        <v>1</v>
      </c>
      <c r="D2669" s="1">
        <v>44034.751504629632</v>
      </c>
      <c r="E2669" t="s">
        <v>8410</v>
      </c>
      <c r="F2669" t="s">
        <v>678</v>
      </c>
      <c r="G2669" t="s">
        <v>8347</v>
      </c>
      <c r="H2669" t="s">
        <v>680</v>
      </c>
      <c r="I2669" t="s">
        <v>29</v>
      </c>
      <c r="J2669">
        <v>1</v>
      </c>
      <c r="K2669">
        <f>1-866-769-6463</f>
        <v>-8097</v>
      </c>
      <c r="L2669" t="s">
        <v>8411</v>
      </c>
      <c r="M2669" t="s">
        <v>8412</v>
      </c>
      <c r="N2669" t="s">
        <v>447</v>
      </c>
      <c r="O2669" t="s">
        <v>28</v>
      </c>
      <c r="P2669" t="s">
        <v>29</v>
      </c>
      <c r="Q2669">
        <v>41</v>
      </c>
      <c r="R2669">
        <v>-74.172399999999996</v>
      </c>
    </row>
    <row r="2670" spans="1:18" x14ac:dyDescent="0.2">
      <c r="A2670" t="s">
        <v>675</v>
      </c>
      <c r="B2670" t="s">
        <v>1412</v>
      </c>
      <c r="C2670">
        <v>1</v>
      </c>
      <c r="D2670" s="1">
        <v>44033.740798611114</v>
      </c>
      <c r="E2670" t="s">
        <v>8413</v>
      </c>
      <c r="F2670" t="s">
        <v>678</v>
      </c>
      <c r="G2670" t="s">
        <v>8347</v>
      </c>
      <c r="H2670" t="s">
        <v>680</v>
      </c>
      <c r="I2670" t="s">
        <v>29</v>
      </c>
      <c r="J2670">
        <v>1</v>
      </c>
      <c r="K2670">
        <f>1-866-661-3965</f>
        <v>-5491</v>
      </c>
      <c r="L2670" t="s">
        <v>8414</v>
      </c>
      <c r="M2670" t="s">
        <v>8415</v>
      </c>
      <c r="N2670" t="s">
        <v>213</v>
      </c>
      <c r="O2670" t="s">
        <v>28</v>
      </c>
      <c r="P2670" t="s">
        <v>29</v>
      </c>
      <c r="Q2670">
        <v>41</v>
      </c>
      <c r="R2670">
        <v>-74.172399999999996</v>
      </c>
    </row>
    <row r="2671" spans="1:18" x14ac:dyDescent="0.2">
      <c r="A2671" t="s">
        <v>675</v>
      </c>
      <c r="B2671" t="s">
        <v>1412</v>
      </c>
      <c r="C2671">
        <v>1</v>
      </c>
      <c r="D2671" s="1">
        <v>44030.730937499997</v>
      </c>
      <c r="E2671" t="s">
        <v>8416</v>
      </c>
      <c r="F2671" t="s">
        <v>678</v>
      </c>
      <c r="G2671" t="s">
        <v>8347</v>
      </c>
      <c r="H2671" t="s">
        <v>680</v>
      </c>
      <c r="I2671" t="s">
        <v>29</v>
      </c>
      <c r="J2671">
        <v>1</v>
      </c>
      <c r="K2671">
        <f>1-808-800-9685</f>
        <v>-11292</v>
      </c>
      <c r="L2671" t="s">
        <v>8417</v>
      </c>
      <c r="M2671" t="s">
        <v>8418</v>
      </c>
      <c r="N2671" t="s">
        <v>3454</v>
      </c>
      <c r="O2671" t="s">
        <v>134</v>
      </c>
      <c r="P2671" t="s">
        <v>29</v>
      </c>
      <c r="Q2671">
        <v>41</v>
      </c>
      <c r="R2671">
        <v>-74.172399999999996</v>
      </c>
    </row>
    <row r="2672" spans="1:18" x14ac:dyDescent="0.2">
      <c r="A2672" t="s">
        <v>663</v>
      </c>
      <c r="B2672" t="s">
        <v>3245</v>
      </c>
      <c r="C2672">
        <v>43</v>
      </c>
      <c r="D2672" s="1">
        <v>44030.82340277778</v>
      </c>
      <c r="E2672" t="s">
        <v>8419</v>
      </c>
      <c r="F2672" t="s">
        <v>666</v>
      </c>
      <c r="G2672" t="s">
        <v>8420</v>
      </c>
      <c r="H2672" t="s">
        <v>667</v>
      </c>
      <c r="I2672" t="s">
        <v>3432</v>
      </c>
      <c r="J2672">
        <v>43</v>
      </c>
      <c r="K2672">
        <f>43-670-308-150</f>
        <v>-1085</v>
      </c>
      <c r="L2672" t="s">
        <v>8421</v>
      </c>
      <c r="M2672" t="s">
        <v>8422</v>
      </c>
      <c r="N2672" t="s">
        <v>447</v>
      </c>
      <c r="O2672" t="s">
        <v>28</v>
      </c>
      <c r="P2672" t="s">
        <v>29</v>
      </c>
      <c r="Q2672">
        <v>41</v>
      </c>
      <c r="R2672">
        <v>-74.140299999999996</v>
      </c>
    </row>
    <row r="2673" spans="1:18" x14ac:dyDescent="0.2">
      <c r="A2673" t="s">
        <v>663</v>
      </c>
      <c r="B2673" t="s">
        <v>2493</v>
      </c>
      <c r="C2673">
        <v>1</v>
      </c>
      <c r="D2673" s="1">
        <v>44030.824699074074</v>
      </c>
      <c r="E2673" t="s">
        <v>8423</v>
      </c>
      <c r="F2673" t="s">
        <v>666</v>
      </c>
      <c r="G2673" t="s">
        <v>8423</v>
      </c>
      <c r="H2673" t="s">
        <v>667</v>
      </c>
      <c r="I2673" t="s">
        <v>29</v>
      </c>
      <c r="J2673">
        <v>1</v>
      </c>
      <c r="K2673">
        <f>1-888-879-3831</f>
        <v>-5597</v>
      </c>
      <c r="L2673" t="s">
        <v>8424</v>
      </c>
      <c r="M2673" t="s">
        <v>8425</v>
      </c>
      <c r="N2673">
        <v>25</v>
      </c>
      <c r="O2673" t="s">
        <v>134</v>
      </c>
      <c r="P2673" t="s">
        <v>29</v>
      </c>
      <c r="Q2673">
        <v>41</v>
      </c>
      <c r="R2673">
        <v>-74.024699999999996</v>
      </c>
    </row>
    <row r="2674" spans="1:18" x14ac:dyDescent="0.2">
      <c r="A2674" t="s">
        <v>2233</v>
      </c>
      <c r="B2674" t="s">
        <v>2234</v>
      </c>
      <c r="C2674">
        <v>1</v>
      </c>
      <c r="D2674" s="1">
        <v>44030.829594907409</v>
      </c>
      <c r="E2674" t="s">
        <v>8426</v>
      </c>
      <c r="F2674" t="s">
        <v>2236</v>
      </c>
      <c r="G2674" t="s">
        <v>8427</v>
      </c>
      <c r="H2674" t="s">
        <v>2237</v>
      </c>
      <c r="I2674" t="s">
        <v>29</v>
      </c>
      <c r="J2674">
        <v>1</v>
      </c>
      <c r="K2674">
        <f>1-888-922-2154</f>
        <v>-3963</v>
      </c>
      <c r="L2674" t="s">
        <v>8428</v>
      </c>
      <c r="M2674" t="s">
        <v>8429</v>
      </c>
      <c r="N2674" t="s">
        <v>5354</v>
      </c>
      <c r="O2674" t="s">
        <v>134</v>
      </c>
      <c r="P2674" t="s">
        <v>29</v>
      </c>
      <c r="Q2674">
        <v>40</v>
      </c>
      <c r="R2674">
        <v>-83.114099999999993</v>
      </c>
    </row>
    <row r="2675" spans="1:18" x14ac:dyDescent="0.2">
      <c r="A2675" t="s">
        <v>2233</v>
      </c>
      <c r="B2675" t="s">
        <v>2234</v>
      </c>
      <c r="C2675">
        <v>1</v>
      </c>
      <c r="D2675" s="1">
        <v>44030.912083333336</v>
      </c>
      <c r="E2675" t="s">
        <v>8430</v>
      </c>
      <c r="F2675" t="s">
        <v>2236</v>
      </c>
      <c r="G2675" t="s">
        <v>8431</v>
      </c>
      <c r="H2675" t="s">
        <v>2237</v>
      </c>
      <c r="I2675" t="s">
        <v>29</v>
      </c>
      <c r="J2675">
        <v>1</v>
      </c>
      <c r="K2675">
        <f>1-724-461-5323</f>
        <v>-6507</v>
      </c>
      <c r="L2675" t="s">
        <v>8432</v>
      </c>
      <c r="M2675" t="s">
        <v>8433</v>
      </c>
      <c r="N2675" t="s">
        <v>5354</v>
      </c>
      <c r="O2675" t="s">
        <v>134</v>
      </c>
      <c r="P2675" t="s">
        <v>29</v>
      </c>
      <c r="Q2675">
        <v>40</v>
      </c>
      <c r="R2675">
        <v>-83.114099999999993</v>
      </c>
    </row>
    <row r="2676" spans="1:18" x14ac:dyDescent="0.2">
      <c r="A2676" t="s">
        <v>675</v>
      </c>
      <c r="B2676" t="s">
        <v>676</v>
      </c>
      <c r="C2676">
        <v>1</v>
      </c>
      <c r="D2676" s="1">
        <v>44030.957997685182</v>
      </c>
      <c r="E2676" t="s">
        <v>8434</v>
      </c>
      <c r="F2676" t="s">
        <v>3107</v>
      </c>
      <c r="G2676" t="s">
        <v>8435</v>
      </c>
      <c r="H2676" t="s">
        <v>680</v>
      </c>
      <c r="I2676" t="s">
        <v>29</v>
      </c>
      <c r="J2676">
        <v>1</v>
      </c>
      <c r="K2676">
        <f>1-855-915-324</f>
        <v>-2093</v>
      </c>
      <c r="L2676" t="s">
        <v>8436</v>
      </c>
      <c r="M2676" t="s">
        <v>8437</v>
      </c>
      <c r="N2676" t="s">
        <v>452</v>
      </c>
      <c r="O2676" t="s">
        <v>28</v>
      </c>
      <c r="P2676" t="s">
        <v>29</v>
      </c>
      <c r="Q2676">
        <v>33</v>
      </c>
      <c r="R2676">
        <v>-99.999999000000003</v>
      </c>
    </row>
    <row r="2677" spans="1:18" x14ac:dyDescent="0.2">
      <c r="A2677" t="s">
        <v>663</v>
      </c>
      <c r="B2677" t="s">
        <v>3385</v>
      </c>
      <c r="C2677">
        <v>1</v>
      </c>
      <c r="D2677" s="1">
        <v>44031.054293981484</v>
      </c>
      <c r="E2677" t="s">
        <v>8438</v>
      </c>
      <c r="F2677" t="s">
        <v>666</v>
      </c>
      <c r="G2677" t="s">
        <v>8438</v>
      </c>
      <c r="H2677" t="s">
        <v>667</v>
      </c>
      <c r="I2677" t="s">
        <v>29</v>
      </c>
      <c r="J2677">
        <v>1</v>
      </c>
      <c r="K2677">
        <f>1-855-484-9454</f>
        <v>-10792</v>
      </c>
      <c r="L2677" t="s">
        <v>8439</v>
      </c>
      <c r="M2677" t="s">
        <v>8440</v>
      </c>
      <c r="N2677">
        <v>93</v>
      </c>
      <c r="O2677" t="s">
        <v>134</v>
      </c>
      <c r="P2677" t="s">
        <v>29</v>
      </c>
      <c r="Q2677">
        <v>41</v>
      </c>
      <c r="R2677">
        <v>-73.996600000000001</v>
      </c>
    </row>
    <row r="2678" spans="1:18" x14ac:dyDescent="0.2">
      <c r="A2678" t="s">
        <v>663</v>
      </c>
      <c r="B2678" t="s">
        <v>454</v>
      </c>
      <c r="C2678">
        <v>43</v>
      </c>
      <c r="D2678" s="1">
        <v>44031.590567129628</v>
      </c>
      <c r="E2678" t="s">
        <v>8441</v>
      </c>
      <c r="F2678" t="s">
        <v>666</v>
      </c>
      <c r="G2678" t="s">
        <v>8442</v>
      </c>
      <c r="H2678" t="s">
        <v>667</v>
      </c>
      <c r="I2678" t="s">
        <v>3432</v>
      </c>
      <c r="J2678">
        <v>43</v>
      </c>
      <c r="K2678">
        <f>43-670-308-150</f>
        <v>-1085</v>
      </c>
      <c r="L2678" t="s">
        <v>8443</v>
      </c>
      <c r="M2678" t="s">
        <v>8444</v>
      </c>
      <c r="N2678" t="s">
        <v>447</v>
      </c>
      <c r="O2678" t="s">
        <v>28</v>
      </c>
      <c r="P2678" t="s">
        <v>461</v>
      </c>
      <c r="Q2678">
        <v>52</v>
      </c>
      <c r="R2678">
        <v>4.8975</v>
      </c>
    </row>
    <row r="2679" spans="1:18" x14ac:dyDescent="0.2">
      <c r="A2679" t="s">
        <v>663</v>
      </c>
      <c r="B2679" t="s">
        <v>3385</v>
      </c>
      <c r="C2679">
        <v>44</v>
      </c>
      <c r="D2679" s="1">
        <v>44031.59070601852</v>
      </c>
      <c r="E2679" t="s">
        <v>8445</v>
      </c>
      <c r="F2679" t="s">
        <v>666</v>
      </c>
      <c r="G2679" t="s">
        <v>8446</v>
      </c>
      <c r="H2679" t="s">
        <v>667</v>
      </c>
      <c r="I2679" t="s">
        <v>618</v>
      </c>
      <c r="J2679">
        <v>44</v>
      </c>
      <c r="K2679">
        <f>44-800-31-4241</f>
        <v>-5028</v>
      </c>
      <c r="L2679" t="s">
        <v>8447</v>
      </c>
      <c r="M2679" t="s">
        <v>8448</v>
      </c>
      <c r="N2679" t="s">
        <v>1645</v>
      </c>
      <c r="O2679" t="s">
        <v>28</v>
      </c>
      <c r="P2679" t="s">
        <v>29</v>
      </c>
      <c r="Q2679">
        <v>41</v>
      </c>
      <c r="R2679">
        <v>-73.996600000000001</v>
      </c>
    </row>
    <row r="2680" spans="1:18" x14ac:dyDescent="0.2">
      <c r="A2680" t="s">
        <v>270</v>
      </c>
      <c r="B2680" t="s">
        <v>2263</v>
      </c>
      <c r="C2680">
        <v>1</v>
      </c>
      <c r="D2680" s="1">
        <v>44368.883969907409</v>
      </c>
      <c r="E2680" t="s">
        <v>8449</v>
      </c>
      <c r="F2680" t="s">
        <v>273</v>
      </c>
      <c r="G2680" t="s">
        <v>8450</v>
      </c>
      <c r="H2680" t="s">
        <v>275</v>
      </c>
      <c r="I2680" t="s">
        <v>29</v>
      </c>
      <c r="J2680">
        <v>1</v>
      </c>
      <c r="K2680">
        <f>1-866-329-2260</f>
        <v>-3454</v>
      </c>
      <c r="L2680" t="s">
        <v>8451</v>
      </c>
      <c r="M2680" t="s">
        <v>8452</v>
      </c>
      <c r="N2680" t="s">
        <v>278</v>
      </c>
      <c r="O2680" t="s">
        <v>28</v>
      </c>
      <c r="P2680" t="s">
        <v>2268</v>
      </c>
      <c r="Q2680">
        <v>44</v>
      </c>
      <c r="R2680">
        <v>-79.382999999999996</v>
      </c>
    </row>
    <row r="2681" spans="1:18" x14ac:dyDescent="0.2">
      <c r="A2681" t="s">
        <v>270</v>
      </c>
      <c r="B2681" t="s">
        <v>2263</v>
      </c>
      <c r="C2681">
        <v>1</v>
      </c>
      <c r="D2681" s="1">
        <v>44363.952002314814</v>
      </c>
      <c r="E2681" t="s">
        <v>8453</v>
      </c>
      <c r="F2681" t="s">
        <v>273</v>
      </c>
      <c r="G2681" t="s">
        <v>8450</v>
      </c>
      <c r="H2681" t="s">
        <v>275</v>
      </c>
      <c r="I2681" t="s">
        <v>29</v>
      </c>
      <c r="J2681">
        <v>1</v>
      </c>
      <c r="K2681">
        <f>1-844-318-1817</f>
        <v>-2978</v>
      </c>
      <c r="L2681" t="s">
        <v>8454</v>
      </c>
      <c r="M2681" t="s">
        <v>8455</v>
      </c>
      <c r="N2681" t="s">
        <v>278</v>
      </c>
      <c r="O2681" t="s">
        <v>28</v>
      </c>
      <c r="P2681" t="s">
        <v>2268</v>
      </c>
      <c r="Q2681">
        <v>44</v>
      </c>
      <c r="R2681">
        <v>-79.382999999999996</v>
      </c>
    </row>
    <row r="2682" spans="1:18" x14ac:dyDescent="0.2">
      <c r="A2682" t="s">
        <v>270</v>
      </c>
      <c r="B2682" t="s">
        <v>2263</v>
      </c>
      <c r="C2682">
        <v>1</v>
      </c>
      <c r="D2682" s="1">
        <v>44363.946504629632</v>
      </c>
      <c r="E2682" t="s">
        <v>8456</v>
      </c>
      <c r="F2682" t="s">
        <v>273</v>
      </c>
      <c r="G2682" t="s">
        <v>8450</v>
      </c>
      <c r="H2682" t="s">
        <v>275</v>
      </c>
      <c r="I2682" t="s">
        <v>29</v>
      </c>
      <c r="J2682">
        <v>1</v>
      </c>
      <c r="K2682">
        <f>1-844-318-1817</f>
        <v>-2978</v>
      </c>
      <c r="L2682" t="s">
        <v>8457</v>
      </c>
      <c r="M2682" t="s">
        <v>8458</v>
      </c>
      <c r="N2682" t="s">
        <v>278</v>
      </c>
      <c r="O2682" t="s">
        <v>28</v>
      </c>
      <c r="P2682" t="s">
        <v>2268</v>
      </c>
      <c r="Q2682">
        <v>44</v>
      </c>
      <c r="R2682">
        <v>-79.382999999999996</v>
      </c>
    </row>
    <row r="2683" spans="1:18" x14ac:dyDescent="0.2">
      <c r="A2683" t="s">
        <v>270</v>
      </c>
      <c r="B2683" t="s">
        <v>2263</v>
      </c>
      <c r="C2683">
        <v>1</v>
      </c>
      <c r="D2683" s="1">
        <v>44363.902245370373</v>
      </c>
      <c r="E2683" t="s">
        <v>8459</v>
      </c>
      <c r="F2683" t="s">
        <v>273</v>
      </c>
      <c r="G2683" t="s">
        <v>8450</v>
      </c>
      <c r="H2683" t="s">
        <v>275</v>
      </c>
      <c r="I2683" t="s">
        <v>29</v>
      </c>
      <c r="J2683">
        <v>1</v>
      </c>
      <c r="K2683">
        <f>1-844-287-2135</f>
        <v>-3265</v>
      </c>
      <c r="L2683" t="s">
        <v>8460</v>
      </c>
      <c r="M2683" t="s">
        <v>8461</v>
      </c>
      <c r="N2683" t="s">
        <v>278</v>
      </c>
      <c r="O2683" t="s">
        <v>28</v>
      </c>
      <c r="P2683" t="s">
        <v>2268</v>
      </c>
      <c r="Q2683">
        <v>44</v>
      </c>
      <c r="R2683">
        <v>-79.382999999999996</v>
      </c>
    </row>
    <row r="2684" spans="1:18" x14ac:dyDescent="0.2">
      <c r="A2684" t="s">
        <v>270</v>
      </c>
      <c r="B2684" t="s">
        <v>2263</v>
      </c>
      <c r="C2684">
        <v>1</v>
      </c>
      <c r="D2684" s="1">
        <v>44363.888958333337</v>
      </c>
      <c r="E2684" t="s">
        <v>8462</v>
      </c>
      <c r="F2684" t="s">
        <v>273</v>
      </c>
      <c r="G2684" t="s">
        <v>8450</v>
      </c>
      <c r="H2684" t="s">
        <v>275</v>
      </c>
      <c r="I2684" t="s">
        <v>29</v>
      </c>
      <c r="J2684">
        <v>1</v>
      </c>
      <c r="K2684">
        <f>1-844-319-538</f>
        <v>-1700</v>
      </c>
      <c r="L2684" t="s">
        <v>8463</v>
      </c>
      <c r="M2684" t="s">
        <v>8464</v>
      </c>
      <c r="N2684" t="s">
        <v>278</v>
      </c>
      <c r="O2684" t="s">
        <v>28</v>
      </c>
      <c r="P2684" t="s">
        <v>2268</v>
      </c>
      <c r="Q2684">
        <v>44</v>
      </c>
      <c r="R2684">
        <v>-79.382999999999996</v>
      </c>
    </row>
    <row r="2685" spans="1:18" x14ac:dyDescent="0.2">
      <c r="A2685" t="s">
        <v>270</v>
      </c>
      <c r="B2685" t="s">
        <v>2263</v>
      </c>
      <c r="C2685">
        <v>1</v>
      </c>
      <c r="D2685" s="1">
        <v>44363.788217592592</v>
      </c>
      <c r="E2685" t="s">
        <v>8465</v>
      </c>
      <c r="F2685" t="s">
        <v>273</v>
      </c>
      <c r="G2685" t="s">
        <v>8450</v>
      </c>
      <c r="H2685" t="s">
        <v>275</v>
      </c>
      <c r="I2685" t="s">
        <v>29</v>
      </c>
      <c r="J2685">
        <v>1</v>
      </c>
      <c r="K2685">
        <f>1-888-250-8452</f>
        <v>-9589</v>
      </c>
      <c r="L2685" t="s">
        <v>8466</v>
      </c>
      <c r="M2685" t="s">
        <v>8467</v>
      </c>
      <c r="N2685" t="s">
        <v>278</v>
      </c>
      <c r="O2685" t="s">
        <v>28</v>
      </c>
      <c r="P2685" t="s">
        <v>2268</v>
      </c>
      <c r="Q2685">
        <v>44</v>
      </c>
      <c r="R2685">
        <v>-79.382999999999996</v>
      </c>
    </row>
    <row r="2686" spans="1:18" x14ac:dyDescent="0.2">
      <c r="A2686" t="s">
        <v>270</v>
      </c>
      <c r="B2686" t="s">
        <v>2263</v>
      </c>
      <c r="C2686">
        <v>1</v>
      </c>
      <c r="D2686" s="1">
        <v>44363.784236111111</v>
      </c>
      <c r="E2686" t="s">
        <v>8468</v>
      </c>
      <c r="F2686" t="s">
        <v>273</v>
      </c>
      <c r="G2686" t="s">
        <v>8450</v>
      </c>
      <c r="H2686" t="s">
        <v>275</v>
      </c>
      <c r="I2686" t="s">
        <v>29</v>
      </c>
      <c r="J2686">
        <v>1</v>
      </c>
      <c r="K2686">
        <f>1-888-340-8055</f>
        <v>-9282</v>
      </c>
      <c r="L2686" t="s">
        <v>8469</v>
      </c>
      <c r="M2686" t="s">
        <v>8470</v>
      </c>
      <c r="N2686" t="s">
        <v>278</v>
      </c>
      <c r="O2686" t="s">
        <v>28</v>
      </c>
      <c r="P2686" t="s">
        <v>2268</v>
      </c>
      <c r="Q2686">
        <v>44</v>
      </c>
      <c r="R2686">
        <v>-79.382999999999996</v>
      </c>
    </row>
    <row r="2687" spans="1:18" x14ac:dyDescent="0.2">
      <c r="A2687" t="s">
        <v>270</v>
      </c>
      <c r="B2687" t="s">
        <v>2263</v>
      </c>
      <c r="C2687">
        <v>1</v>
      </c>
      <c r="D2687" s="1">
        <v>44363.779641203706</v>
      </c>
      <c r="E2687" t="s">
        <v>8471</v>
      </c>
      <c r="F2687" t="s">
        <v>273</v>
      </c>
      <c r="G2687" t="s">
        <v>8450</v>
      </c>
      <c r="H2687" t="s">
        <v>275</v>
      </c>
      <c r="I2687" t="s">
        <v>29</v>
      </c>
      <c r="J2687">
        <v>1</v>
      </c>
      <c r="K2687">
        <f>1-888-340-8055</f>
        <v>-9282</v>
      </c>
      <c r="L2687" t="s">
        <v>8472</v>
      </c>
      <c r="M2687" t="s">
        <v>8473</v>
      </c>
      <c r="N2687" t="s">
        <v>278</v>
      </c>
      <c r="O2687" t="s">
        <v>28</v>
      </c>
      <c r="P2687" t="s">
        <v>2268</v>
      </c>
      <c r="Q2687">
        <v>44</v>
      </c>
      <c r="R2687">
        <v>-79.382999999999996</v>
      </c>
    </row>
    <row r="2688" spans="1:18" x14ac:dyDescent="0.2">
      <c r="A2688" t="s">
        <v>270</v>
      </c>
      <c r="B2688" t="s">
        <v>2263</v>
      </c>
      <c r="C2688">
        <v>1</v>
      </c>
      <c r="D2688" s="1">
        <v>44363.774467592593</v>
      </c>
      <c r="E2688" t="s">
        <v>8474</v>
      </c>
      <c r="F2688" t="s">
        <v>273</v>
      </c>
      <c r="G2688" t="s">
        <v>8450</v>
      </c>
      <c r="H2688" t="s">
        <v>275</v>
      </c>
      <c r="I2688" t="s">
        <v>29</v>
      </c>
      <c r="J2688">
        <v>1</v>
      </c>
      <c r="K2688">
        <f>1-888-340-8055</f>
        <v>-9282</v>
      </c>
      <c r="L2688" t="s">
        <v>8475</v>
      </c>
      <c r="M2688" t="s">
        <v>8476</v>
      </c>
      <c r="N2688" t="s">
        <v>278</v>
      </c>
      <c r="O2688" t="s">
        <v>28</v>
      </c>
      <c r="P2688" t="s">
        <v>2268</v>
      </c>
      <c r="Q2688">
        <v>44</v>
      </c>
      <c r="R2688">
        <v>-79.382999999999996</v>
      </c>
    </row>
    <row r="2689" spans="1:18" x14ac:dyDescent="0.2">
      <c r="A2689" t="s">
        <v>270</v>
      </c>
      <c r="B2689" t="s">
        <v>2263</v>
      </c>
      <c r="C2689">
        <v>1</v>
      </c>
      <c r="D2689" s="1">
        <v>44363.76903935185</v>
      </c>
      <c r="E2689" t="s">
        <v>8477</v>
      </c>
      <c r="F2689" t="s">
        <v>273</v>
      </c>
      <c r="G2689" t="s">
        <v>8450</v>
      </c>
      <c r="H2689" t="s">
        <v>275</v>
      </c>
      <c r="I2689" t="s">
        <v>29</v>
      </c>
      <c r="J2689">
        <v>1</v>
      </c>
      <c r="K2689">
        <f>1-888-600-2113</f>
        <v>-3600</v>
      </c>
      <c r="L2689" t="s">
        <v>8478</v>
      </c>
      <c r="M2689" t="s">
        <v>8479</v>
      </c>
      <c r="N2689" t="s">
        <v>278</v>
      </c>
      <c r="O2689" t="s">
        <v>28</v>
      </c>
      <c r="P2689" t="s">
        <v>2268</v>
      </c>
      <c r="Q2689">
        <v>44</v>
      </c>
      <c r="R2689">
        <v>-79.382999999999996</v>
      </c>
    </row>
    <row r="2690" spans="1:18" x14ac:dyDescent="0.2">
      <c r="A2690" t="s">
        <v>270</v>
      </c>
      <c r="B2690" t="s">
        <v>2263</v>
      </c>
      <c r="C2690">
        <v>1</v>
      </c>
      <c r="D2690" s="1">
        <v>44354.890787037039</v>
      </c>
      <c r="E2690" t="s">
        <v>8480</v>
      </c>
      <c r="F2690" t="s">
        <v>273</v>
      </c>
      <c r="G2690" t="s">
        <v>8450</v>
      </c>
      <c r="H2690" t="s">
        <v>275</v>
      </c>
      <c r="I2690" t="s">
        <v>29</v>
      </c>
      <c r="J2690">
        <v>1</v>
      </c>
      <c r="K2690">
        <f>1-888-613-1385</f>
        <v>-2885</v>
      </c>
      <c r="L2690" t="s">
        <v>8481</v>
      </c>
      <c r="M2690" t="s">
        <v>8482</v>
      </c>
      <c r="N2690" t="s">
        <v>278</v>
      </c>
      <c r="O2690" t="s">
        <v>28</v>
      </c>
      <c r="P2690" t="s">
        <v>2268</v>
      </c>
      <c r="Q2690">
        <v>44</v>
      </c>
      <c r="R2690">
        <v>-79.382999999999996</v>
      </c>
    </row>
    <row r="2691" spans="1:18" x14ac:dyDescent="0.2">
      <c r="A2691" t="s">
        <v>270</v>
      </c>
      <c r="B2691" t="s">
        <v>2263</v>
      </c>
      <c r="C2691">
        <v>1</v>
      </c>
      <c r="D2691" s="1">
        <v>44354.872754629629</v>
      </c>
      <c r="E2691" t="s">
        <v>8483</v>
      </c>
      <c r="F2691" t="s">
        <v>273</v>
      </c>
      <c r="G2691" t="s">
        <v>8450</v>
      </c>
      <c r="H2691" t="s">
        <v>275</v>
      </c>
      <c r="I2691" t="s">
        <v>29</v>
      </c>
      <c r="J2691">
        <v>1</v>
      </c>
      <c r="K2691">
        <f>1-888-609-3819</f>
        <v>-5315</v>
      </c>
      <c r="L2691" t="s">
        <v>8484</v>
      </c>
      <c r="M2691" t="s">
        <v>8485</v>
      </c>
      <c r="N2691" t="s">
        <v>278</v>
      </c>
      <c r="O2691" t="s">
        <v>28</v>
      </c>
      <c r="P2691" t="s">
        <v>2268</v>
      </c>
      <c r="Q2691">
        <v>44</v>
      </c>
      <c r="R2691">
        <v>-79.382999999999996</v>
      </c>
    </row>
    <row r="2692" spans="1:18" x14ac:dyDescent="0.2">
      <c r="A2692" t="s">
        <v>270</v>
      </c>
      <c r="B2692" t="s">
        <v>2263</v>
      </c>
      <c r="C2692">
        <v>1</v>
      </c>
      <c r="D2692" s="1">
        <v>44342.939351851855</v>
      </c>
      <c r="E2692" t="s">
        <v>8486</v>
      </c>
      <c r="F2692" t="s">
        <v>273</v>
      </c>
      <c r="G2692" t="s">
        <v>8450</v>
      </c>
      <c r="H2692" t="s">
        <v>275</v>
      </c>
      <c r="I2692" t="s">
        <v>29</v>
      </c>
      <c r="J2692">
        <v>1</v>
      </c>
      <c r="K2692">
        <f>1-888-585-7564</f>
        <v>-9036</v>
      </c>
      <c r="L2692" t="s">
        <v>8487</v>
      </c>
      <c r="M2692" t="s">
        <v>8488</v>
      </c>
      <c r="N2692" t="s">
        <v>278</v>
      </c>
      <c r="O2692" t="s">
        <v>28</v>
      </c>
      <c r="P2692" t="s">
        <v>2268</v>
      </c>
      <c r="Q2692">
        <v>44</v>
      </c>
      <c r="R2692">
        <v>-79.382999999999996</v>
      </c>
    </row>
    <row r="2693" spans="1:18" x14ac:dyDescent="0.2">
      <c r="A2693" t="s">
        <v>270</v>
      </c>
      <c r="B2693" t="s">
        <v>2263</v>
      </c>
      <c r="C2693">
        <v>1</v>
      </c>
      <c r="D2693" s="1">
        <v>44340.969189814816</v>
      </c>
      <c r="E2693" t="s">
        <v>8489</v>
      </c>
      <c r="F2693" t="s">
        <v>273</v>
      </c>
      <c r="G2693" t="s">
        <v>8450</v>
      </c>
      <c r="H2693" t="s">
        <v>275</v>
      </c>
      <c r="I2693" t="s">
        <v>29</v>
      </c>
      <c r="J2693">
        <v>1</v>
      </c>
      <c r="K2693">
        <f>1-888-732-7102</f>
        <v>-8721</v>
      </c>
      <c r="L2693" t="s">
        <v>8490</v>
      </c>
      <c r="M2693" t="s">
        <v>8491</v>
      </c>
      <c r="N2693" t="s">
        <v>278</v>
      </c>
      <c r="O2693" t="s">
        <v>28</v>
      </c>
      <c r="P2693" t="s">
        <v>2268</v>
      </c>
      <c r="Q2693">
        <v>44</v>
      </c>
      <c r="R2693">
        <v>-79.382999999999996</v>
      </c>
    </row>
    <row r="2694" spans="1:18" x14ac:dyDescent="0.2">
      <c r="A2694" t="s">
        <v>270</v>
      </c>
      <c r="B2694" t="s">
        <v>2263</v>
      </c>
      <c r="C2694">
        <v>1</v>
      </c>
      <c r="D2694" s="1">
        <v>44336.869583333333</v>
      </c>
      <c r="E2694" t="s">
        <v>8492</v>
      </c>
      <c r="F2694" t="s">
        <v>273</v>
      </c>
      <c r="G2694" t="s">
        <v>8450</v>
      </c>
      <c r="H2694" t="s">
        <v>275</v>
      </c>
      <c r="I2694" t="s">
        <v>29</v>
      </c>
      <c r="J2694">
        <v>1</v>
      </c>
      <c r="K2694">
        <f>1-888-784-3386</f>
        <v>-5057</v>
      </c>
      <c r="L2694" t="s">
        <v>8493</v>
      </c>
      <c r="M2694" t="s">
        <v>8494</v>
      </c>
      <c r="N2694" t="s">
        <v>278</v>
      </c>
      <c r="O2694" t="s">
        <v>28</v>
      </c>
      <c r="P2694" t="s">
        <v>2268</v>
      </c>
      <c r="Q2694">
        <v>44</v>
      </c>
      <c r="R2694">
        <v>-79.382999999999996</v>
      </c>
    </row>
    <row r="2695" spans="1:18" x14ac:dyDescent="0.2">
      <c r="A2695" t="s">
        <v>270</v>
      </c>
      <c r="B2695" t="s">
        <v>2263</v>
      </c>
      <c r="C2695">
        <v>1</v>
      </c>
      <c r="D2695" s="1">
        <v>44305.774085648147</v>
      </c>
      <c r="E2695" t="s">
        <v>8495</v>
      </c>
      <c r="F2695" t="s">
        <v>273</v>
      </c>
      <c r="G2695" t="s">
        <v>8450</v>
      </c>
      <c r="H2695" t="s">
        <v>275</v>
      </c>
      <c r="I2695" t="s">
        <v>29</v>
      </c>
      <c r="J2695">
        <v>1</v>
      </c>
      <c r="K2695">
        <f>1-844-858-29</f>
        <v>-1730</v>
      </c>
      <c r="L2695" t="s">
        <v>8496</v>
      </c>
      <c r="M2695" t="s">
        <v>8497</v>
      </c>
      <c r="N2695" t="s">
        <v>278</v>
      </c>
      <c r="O2695" t="s">
        <v>28</v>
      </c>
      <c r="P2695" t="s">
        <v>2268</v>
      </c>
      <c r="Q2695">
        <v>44</v>
      </c>
      <c r="R2695">
        <v>-79.382999999999996</v>
      </c>
    </row>
    <row r="2696" spans="1:18" x14ac:dyDescent="0.2">
      <c r="A2696" t="s">
        <v>270</v>
      </c>
      <c r="B2696" t="s">
        <v>2263</v>
      </c>
      <c r="C2696">
        <v>1</v>
      </c>
      <c r="D2696" s="1">
        <v>44299.787708333337</v>
      </c>
      <c r="E2696" t="s">
        <v>8498</v>
      </c>
      <c r="F2696" t="s">
        <v>273</v>
      </c>
      <c r="G2696" t="s">
        <v>8450</v>
      </c>
      <c r="H2696" t="s">
        <v>275</v>
      </c>
      <c r="I2696" t="s">
        <v>29</v>
      </c>
      <c r="J2696">
        <v>1</v>
      </c>
      <c r="K2696">
        <f>1-888-308-1669</f>
        <v>-2864</v>
      </c>
      <c r="L2696" t="s">
        <v>8499</v>
      </c>
      <c r="M2696" t="s">
        <v>8500</v>
      </c>
      <c r="N2696" t="s">
        <v>278</v>
      </c>
      <c r="O2696" t="s">
        <v>28</v>
      </c>
      <c r="P2696" t="s">
        <v>2268</v>
      </c>
      <c r="Q2696">
        <v>44</v>
      </c>
      <c r="R2696">
        <v>-79.382999999999996</v>
      </c>
    </row>
    <row r="2697" spans="1:18" x14ac:dyDescent="0.2">
      <c r="A2697" t="s">
        <v>270</v>
      </c>
      <c r="B2697" t="s">
        <v>2263</v>
      </c>
      <c r="C2697">
        <v>1</v>
      </c>
      <c r="D2697" s="1">
        <v>44249.823310185187</v>
      </c>
      <c r="E2697" t="s">
        <v>8501</v>
      </c>
      <c r="F2697" t="s">
        <v>273</v>
      </c>
      <c r="G2697" t="s">
        <v>8450</v>
      </c>
      <c r="H2697" t="s">
        <v>275</v>
      </c>
      <c r="I2697" t="s">
        <v>29</v>
      </c>
      <c r="J2697">
        <v>1</v>
      </c>
      <c r="K2697">
        <f>1-888-399-635</f>
        <v>-1921</v>
      </c>
      <c r="L2697" t="s">
        <v>8502</v>
      </c>
      <c r="M2697" t="s">
        <v>8503</v>
      </c>
      <c r="N2697" t="s">
        <v>278</v>
      </c>
      <c r="O2697" t="s">
        <v>28</v>
      </c>
      <c r="P2697" t="s">
        <v>2268</v>
      </c>
      <c r="Q2697">
        <v>44</v>
      </c>
      <c r="R2697">
        <v>-79.382999999999996</v>
      </c>
    </row>
    <row r="2698" spans="1:18" x14ac:dyDescent="0.2">
      <c r="A2698" t="s">
        <v>270</v>
      </c>
      <c r="B2698" t="s">
        <v>2263</v>
      </c>
      <c r="C2698">
        <v>1</v>
      </c>
      <c r="D2698" s="1">
        <v>44244.92528935185</v>
      </c>
      <c r="E2698" t="s">
        <v>8504</v>
      </c>
      <c r="F2698" t="s">
        <v>273</v>
      </c>
      <c r="G2698" t="s">
        <v>8450</v>
      </c>
      <c r="H2698" t="s">
        <v>275</v>
      </c>
      <c r="I2698" t="s">
        <v>29</v>
      </c>
      <c r="J2698">
        <v>1</v>
      </c>
      <c r="K2698">
        <f>1-888-611-8459</f>
        <v>-9957</v>
      </c>
      <c r="L2698" t="s">
        <v>8505</v>
      </c>
      <c r="M2698" t="s">
        <v>8506</v>
      </c>
      <c r="N2698" t="s">
        <v>278</v>
      </c>
      <c r="O2698" t="s">
        <v>28</v>
      </c>
      <c r="P2698" t="s">
        <v>2268</v>
      </c>
      <c r="Q2698">
        <v>44</v>
      </c>
      <c r="R2698">
        <v>-79.382999999999996</v>
      </c>
    </row>
    <row r="2699" spans="1:18" x14ac:dyDescent="0.2">
      <c r="A2699" t="s">
        <v>270</v>
      </c>
      <c r="B2699" t="s">
        <v>2263</v>
      </c>
      <c r="C2699">
        <v>1</v>
      </c>
      <c r="D2699" s="1">
        <v>44229.872303240743</v>
      </c>
      <c r="E2699" t="s">
        <v>8507</v>
      </c>
      <c r="F2699" t="s">
        <v>273</v>
      </c>
      <c r="G2699" t="s">
        <v>8450</v>
      </c>
      <c r="H2699" t="s">
        <v>275</v>
      </c>
      <c r="I2699" t="s">
        <v>29</v>
      </c>
      <c r="J2699">
        <v>1</v>
      </c>
      <c r="K2699">
        <f>1-888-345-9736</f>
        <v>-10968</v>
      </c>
      <c r="L2699" t="s">
        <v>8508</v>
      </c>
      <c r="M2699" t="s">
        <v>8509</v>
      </c>
      <c r="N2699" t="s">
        <v>278</v>
      </c>
      <c r="O2699" t="s">
        <v>28</v>
      </c>
      <c r="P2699" t="s">
        <v>2268</v>
      </c>
      <c r="Q2699">
        <v>44</v>
      </c>
      <c r="R2699">
        <v>-79.382999999999996</v>
      </c>
    </row>
    <row r="2700" spans="1:18" x14ac:dyDescent="0.2">
      <c r="A2700" t="s">
        <v>270</v>
      </c>
      <c r="B2700" t="s">
        <v>2263</v>
      </c>
      <c r="C2700">
        <v>1</v>
      </c>
      <c r="D2700" s="1">
        <v>44215.74013888889</v>
      </c>
      <c r="E2700" t="s">
        <v>8510</v>
      </c>
      <c r="F2700" t="s">
        <v>273</v>
      </c>
      <c r="G2700" t="s">
        <v>8450</v>
      </c>
      <c r="H2700" t="s">
        <v>275</v>
      </c>
      <c r="I2700" t="s">
        <v>29</v>
      </c>
      <c r="J2700">
        <v>1</v>
      </c>
      <c r="K2700">
        <f>1-888-332-2494</f>
        <v>-3713</v>
      </c>
      <c r="L2700" t="s">
        <v>8511</v>
      </c>
      <c r="M2700" t="s">
        <v>8512</v>
      </c>
      <c r="N2700" t="s">
        <v>278</v>
      </c>
      <c r="O2700" t="s">
        <v>28</v>
      </c>
      <c r="P2700" t="s">
        <v>2268</v>
      </c>
      <c r="Q2700">
        <v>44</v>
      </c>
      <c r="R2700">
        <v>-79.382999999999996</v>
      </c>
    </row>
    <row r="2701" spans="1:18" x14ac:dyDescent="0.2">
      <c r="A2701" t="s">
        <v>270</v>
      </c>
      <c r="B2701" t="s">
        <v>2263</v>
      </c>
      <c r="C2701">
        <v>1</v>
      </c>
      <c r="D2701" s="1">
        <v>44187.889618055553</v>
      </c>
      <c r="E2701" t="s">
        <v>8513</v>
      </c>
      <c r="F2701" t="s">
        <v>273</v>
      </c>
      <c r="G2701" t="s">
        <v>8450</v>
      </c>
      <c r="H2701" t="s">
        <v>275</v>
      </c>
      <c r="I2701" t="s">
        <v>29</v>
      </c>
      <c r="J2701">
        <v>1</v>
      </c>
      <c r="K2701">
        <f>1-888-599-3015</f>
        <v>-4501</v>
      </c>
      <c r="L2701" t="s">
        <v>8514</v>
      </c>
      <c r="M2701" t="s">
        <v>8515</v>
      </c>
      <c r="N2701" t="s">
        <v>278</v>
      </c>
      <c r="O2701" t="s">
        <v>28</v>
      </c>
      <c r="P2701" t="s">
        <v>2268</v>
      </c>
      <c r="Q2701">
        <v>44</v>
      </c>
      <c r="R2701">
        <v>-79.382999999999996</v>
      </c>
    </row>
    <row r="2702" spans="1:18" x14ac:dyDescent="0.2">
      <c r="A2702" t="s">
        <v>270</v>
      </c>
      <c r="B2702" t="s">
        <v>2263</v>
      </c>
      <c r="C2702">
        <v>1</v>
      </c>
      <c r="D2702" s="1">
        <v>44149.154490740744</v>
      </c>
      <c r="E2702" t="s">
        <v>8516</v>
      </c>
      <c r="F2702" t="s">
        <v>273</v>
      </c>
      <c r="G2702" t="s">
        <v>8450</v>
      </c>
      <c r="H2702" t="s">
        <v>275</v>
      </c>
      <c r="I2702" t="s">
        <v>29</v>
      </c>
      <c r="J2702">
        <v>1</v>
      </c>
      <c r="K2702">
        <f>1-844-275-1730</f>
        <v>-2848</v>
      </c>
      <c r="L2702" t="s">
        <v>8517</v>
      </c>
      <c r="M2702" t="s">
        <v>8518</v>
      </c>
      <c r="N2702" t="s">
        <v>278</v>
      </c>
      <c r="O2702" t="s">
        <v>134</v>
      </c>
      <c r="P2702" t="s">
        <v>2268</v>
      </c>
      <c r="Q2702">
        <v>44</v>
      </c>
      <c r="R2702">
        <v>-79.382999999999996</v>
      </c>
    </row>
    <row r="2703" spans="1:18" x14ac:dyDescent="0.2">
      <c r="A2703" t="s">
        <v>270</v>
      </c>
      <c r="B2703" t="s">
        <v>2263</v>
      </c>
      <c r="C2703">
        <v>1</v>
      </c>
      <c r="D2703" s="1">
        <v>44149.137557870374</v>
      </c>
      <c r="E2703" t="s">
        <v>8519</v>
      </c>
      <c r="F2703" t="s">
        <v>273</v>
      </c>
      <c r="G2703" t="s">
        <v>8450</v>
      </c>
      <c r="H2703" t="s">
        <v>275</v>
      </c>
      <c r="I2703" t="s">
        <v>29</v>
      </c>
      <c r="J2703">
        <v>1</v>
      </c>
      <c r="K2703">
        <f>1-844-293-617</f>
        <v>-1753</v>
      </c>
      <c r="L2703" t="s">
        <v>8520</v>
      </c>
      <c r="M2703" t="s">
        <v>8521</v>
      </c>
      <c r="N2703" t="s">
        <v>278</v>
      </c>
      <c r="O2703" t="s">
        <v>134</v>
      </c>
      <c r="P2703" t="s">
        <v>2268</v>
      </c>
      <c r="Q2703">
        <v>44</v>
      </c>
      <c r="R2703">
        <v>-79.382999999999996</v>
      </c>
    </row>
    <row r="2704" spans="1:18" x14ac:dyDescent="0.2">
      <c r="A2704" t="s">
        <v>270</v>
      </c>
      <c r="B2704" t="s">
        <v>2263</v>
      </c>
      <c r="C2704">
        <v>1</v>
      </c>
      <c r="D2704" s="1">
        <v>44149.137013888889</v>
      </c>
      <c r="E2704" t="s">
        <v>8522</v>
      </c>
      <c r="F2704" t="s">
        <v>273</v>
      </c>
      <c r="G2704" t="s">
        <v>8450</v>
      </c>
      <c r="H2704" t="s">
        <v>275</v>
      </c>
      <c r="I2704" t="s">
        <v>29</v>
      </c>
      <c r="J2704">
        <v>1</v>
      </c>
      <c r="K2704">
        <f>1-844-288-9125</f>
        <v>-10256</v>
      </c>
      <c r="L2704" t="s">
        <v>8523</v>
      </c>
      <c r="M2704" t="s">
        <v>8524</v>
      </c>
      <c r="N2704" t="s">
        <v>278</v>
      </c>
      <c r="O2704" t="s">
        <v>134</v>
      </c>
      <c r="P2704" t="s">
        <v>2268</v>
      </c>
      <c r="Q2704">
        <v>44</v>
      </c>
      <c r="R2704">
        <v>-79.382999999999996</v>
      </c>
    </row>
    <row r="2705" spans="1:18" x14ac:dyDescent="0.2">
      <c r="A2705" t="s">
        <v>270</v>
      </c>
      <c r="B2705" t="s">
        <v>2263</v>
      </c>
      <c r="C2705">
        <v>1</v>
      </c>
      <c r="D2705" s="1">
        <v>44149.136423611111</v>
      </c>
      <c r="E2705" t="s">
        <v>8525</v>
      </c>
      <c r="F2705" t="s">
        <v>273</v>
      </c>
      <c r="G2705" t="s">
        <v>8450</v>
      </c>
      <c r="H2705" t="s">
        <v>275</v>
      </c>
      <c r="I2705" t="s">
        <v>29</v>
      </c>
      <c r="J2705">
        <v>1</v>
      </c>
      <c r="K2705">
        <f>1-844-288-9125</f>
        <v>-10256</v>
      </c>
      <c r="L2705" t="s">
        <v>8526</v>
      </c>
      <c r="M2705" t="s">
        <v>8527</v>
      </c>
      <c r="N2705" t="s">
        <v>278</v>
      </c>
      <c r="O2705" t="s">
        <v>134</v>
      </c>
      <c r="P2705" t="s">
        <v>2268</v>
      </c>
      <c r="Q2705">
        <v>44</v>
      </c>
      <c r="R2705">
        <v>-79.382999999999996</v>
      </c>
    </row>
    <row r="2706" spans="1:18" x14ac:dyDescent="0.2">
      <c r="A2706" t="s">
        <v>270</v>
      </c>
      <c r="B2706" t="s">
        <v>2263</v>
      </c>
      <c r="C2706">
        <v>1</v>
      </c>
      <c r="D2706" s="1">
        <v>44149.135358796295</v>
      </c>
      <c r="E2706" t="s">
        <v>8528</v>
      </c>
      <c r="F2706" t="s">
        <v>273</v>
      </c>
      <c r="G2706" t="s">
        <v>8450</v>
      </c>
      <c r="H2706" t="s">
        <v>275</v>
      </c>
      <c r="I2706" t="s">
        <v>29</v>
      </c>
      <c r="J2706">
        <v>1</v>
      </c>
      <c r="K2706">
        <f>1-844-288-9125</f>
        <v>-10256</v>
      </c>
      <c r="L2706" t="s">
        <v>8529</v>
      </c>
      <c r="M2706" t="s">
        <v>8530</v>
      </c>
      <c r="N2706" t="s">
        <v>278</v>
      </c>
      <c r="O2706" t="s">
        <v>134</v>
      </c>
      <c r="P2706" t="s">
        <v>2268</v>
      </c>
      <c r="Q2706">
        <v>44</v>
      </c>
      <c r="R2706">
        <v>-79.382999999999996</v>
      </c>
    </row>
    <row r="2707" spans="1:18" x14ac:dyDescent="0.2">
      <c r="A2707" t="s">
        <v>270</v>
      </c>
      <c r="B2707" t="s">
        <v>2263</v>
      </c>
      <c r="C2707">
        <v>1</v>
      </c>
      <c r="D2707" s="1">
        <v>44144.727662037039</v>
      </c>
      <c r="E2707" t="s">
        <v>8531</v>
      </c>
      <c r="F2707" t="s">
        <v>273</v>
      </c>
      <c r="G2707" t="s">
        <v>8450</v>
      </c>
      <c r="H2707" t="s">
        <v>275</v>
      </c>
      <c r="I2707" t="s">
        <v>29</v>
      </c>
      <c r="J2707">
        <v>1</v>
      </c>
      <c r="K2707">
        <f>1-844-276-4002</f>
        <v>-5121</v>
      </c>
      <c r="L2707" t="s">
        <v>8532</v>
      </c>
      <c r="M2707" t="s">
        <v>8533</v>
      </c>
      <c r="N2707" t="s">
        <v>278</v>
      </c>
      <c r="O2707" t="s">
        <v>28</v>
      </c>
      <c r="P2707" t="s">
        <v>2268</v>
      </c>
      <c r="Q2707">
        <v>44</v>
      </c>
      <c r="R2707">
        <v>-79.382999999999996</v>
      </c>
    </row>
    <row r="2708" spans="1:18" x14ac:dyDescent="0.2">
      <c r="A2708" t="s">
        <v>270</v>
      </c>
      <c r="B2708" t="s">
        <v>2263</v>
      </c>
      <c r="C2708">
        <v>1</v>
      </c>
      <c r="D2708" s="1">
        <v>44140.77915509259</v>
      </c>
      <c r="E2708" t="s">
        <v>8534</v>
      </c>
      <c r="F2708" t="s">
        <v>273</v>
      </c>
      <c r="G2708" t="s">
        <v>8450</v>
      </c>
      <c r="H2708" t="s">
        <v>275</v>
      </c>
      <c r="I2708" t="s">
        <v>29</v>
      </c>
      <c r="J2708">
        <v>1</v>
      </c>
      <c r="K2708">
        <f>1-888-397-7606</f>
        <v>-8890</v>
      </c>
      <c r="L2708" t="s">
        <v>8535</v>
      </c>
      <c r="M2708" t="s">
        <v>8536</v>
      </c>
      <c r="N2708" t="s">
        <v>278</v>
      </c>
      <c r="O2708" t="s">
        <v>28</v>
      </c>
      <c r="P2708" t="s">
        <v>2268</v>
      </c>
      <c r="Q2708">
        <v>44</v>
      </c>
      <c r="R2708">
        <v>-79.382999999999996</v>
      </c>
    </row>
    <row r="2709" spans="1:18" x14ac:dyDescent="0.2">
      <c r="A2709" t="s">
        <v>270</v>
      </c>
      <c r="B2709" t="s">
        <v>2263</v>
      </c>
      <c r="C2709">
        <v>1</v>
      </c>
      <c r="D2709" s="1">
        <v>44131.716122685182</v>
      </c>
      <c r="E2709" t="s">
        <v>8537</v>
      </c>
      <c r="F2709" t="s">
        <v>273</v>
      </c>
      <c r="G2709" t="s">
        <v>8450</v>
      </c>
      <c r="H2709" t="s">
        <v>275</v>
      </c>
      <c r="I2709" t="s">
        <v>29</v>
      </c>
      <c r="J2709">
        <v>1</v>
      </c>
      <c r="K2709">
        <f>1-888-272-3456</f>
        <v>-4615</v>
      </c>
      <c r="L2709" t="s">
        <v>8538</v>
      </c>
      <c r="M2709" t="s">
        <v>8539</v>
      </c>
      <c r="N2709" t="s">
        <v>278</v>
      </c>
      <c r="O2709" t="s">
        <v>28</v>
      </c>
      <c r="P2709" t="s">
        <v>2268</v>
      </c>
      <c r="Q2709">
        <v>44</v>
      </c>
      <c r="R2709">
        <v>-79.382999999999996</v>
      </c>
    </row>
    <row r="2710" spans="1:18" x14ac:dyDescent="0.2">
      <c r="A2710" t="s">
        <v>270</v>
      </c>
      <c r="B2710" t="s">
        <v>2263</v>
      </c>
      <c r="C2710">
        <v>1</v>
      </c>
      <c r="D2710" s="1">
        <v>44112.784537037034</v>
      </c>
      <c r="E2710" t="s">
        <v>8540</v>
      </c>
      <c r="F2710" t="s">
        <v>273</v>
      </c>
      <c r="G2710" t="s">
        <v>8450</v>
      </c>
      <c r="H2710" t="s">
        <v>275</v>
      </c>
      <c r="I2710" t="s">
        <v>29</v>
      </c>
      <c r="J2710">
        <v>1</v>
      </c>
      <c r="K2710">
        <f>1-888-334-1290</f>
        <v>-2511</v>
      </c>
      <c r="L2710" t="s">
        <v>8541</v>
      </c>
      <c r="M2710" t="s">
        <v>8542</v>
      </c>
      <c r="N2710" t="s">
        <v>278</v>
      </c>
      <c r="O2710" t="s">
        <v>28</v>
      </c>
      <c r="P2710" t="s">
        <v>2268</v>
      </c>
      <c r="Q2710">
        <v>44</v>
      </c>
      <c r="R2710">
        <v>-79.382999999999996</v>
      </c>
    </row>
    <row r="2711" spans="1:18" x14ac:dyDescent="0.2">
      <c r="A2711" t="s">
        <v>270</v>
      </c>
      <c r="B2711" t="s">
        <v>2263</v>
      </c>
      <c r="C2711">
        <v>1</v>
      </c>
      <c r="D2711" s="1">
        <v>44110.948217592595</v>
      </c>
      <c r="E2711" t="s">
        <v>8543</v>
      </c>
      <c r="F2711" t="s">
        <v>273</v>
      </c>
      <c r="G2711" t="s">
        <v>8450</v>
      </c>
      <c r="H2711" t="s">
        <v>275</v>
      </c>
      <c r="I2711" t="s">
        <v>29</v>
      </c>
      <c r="J2711">
        <v>1</v>
      </c>
      <c r="K2711">
        <f>1-888-290-9845</f>
        <v>-11022</v>
      </c>
      <c r="L2711" t="s">
        <v>8544</v>
      </c>
      <c r="M2711" t="s">
        <v>8545</v>
      </c>
      <c r="N2711" t="s">
        <v>278</v>
      </c>
      <c r="O2711" t="s">
        <v>28</v>
      </c>
      <c r="P2711" t="s">
        <v>2268</v>
      </c>
      <c r="Q2711">
        <v>44</v>
      </c>
      <c r="R2711">
        <v>-79.382999999999996</v>
      </c>
    </row>
    <row r="2712" spans="1:18" x14ac:dyDescent="0.2">
      <c r="A2712" t="s">
        <v>270</v>
      </c>
      <c r="B2712" t="s">
        <v>2263</v>
      </c>
      <c r="C2712">
        <v>1</v>
      </c>
      <c r="D2712" s="1">
        <v>44109.871076388888</v>
      </c>
      <c r="E2712" t="s">
        <v>8546</v>
      </c>
      <c r="F2712" t="s">
        <v>273</v>
      </c>
      <c r="G2712" t="s">
        <v>8450</v>
      </c>
      <c r="H2712" t="s">
        <v>275</v>
      </c>
      <c r="I2712" t="s">
        <v>29</v>
      </c>
      <c r="J2712">
        <v>1</v>
      </c>
      <c r="K2712">
        <f>1-888-278-467</f>
        <v>-1632</v>
      </c>
      <c r="L2712" t="s">
        <v>8547</v>
      </c>
      <c r="M2712" t="s">
        <v>8548</v>
      </c>
      <c r="N2712" t="s">
        <v>278</v>
      </c>
      <c r="O2712" t="s">
        <v>28</v>
      </c>
      <c r="P2712" t="s">
        <v>2268</v>
      </c>
      <c r="Q2712">
        <v>44</v>
      </c>
      <c r="R2712">
        <v>-79.382999999999996</v>
      </c>
    </row>
    <row r="2713" spans="1:18" x14ac:dyDescent="0.2">
      <c r="A2713" t="s">
        <v>270</v>
      </c>
      <c r="B2713" t="s">
        <v>2263</v>
      </c>
      <c r="C2713">
        <v>1</v>
      </c>
      <c r="D2713" s="1">
        <v>44106.935474537036</v>
      </c>
      <c r="E2713" t="s">
        <v>8549</v>
      </c>
      <c r="F2713" t="s">
        <v>273</v>
      </c>
      <c r="G2713" t="s">
        <v>8450</v>
      </c>
      <c r="H2713" t="s">
        <v>275</v>
      </c>
      <c r="I2713" t="s">
        <v>29</v>
      </c>
      <c r="J2713">
        <v>1</v>
      </c>
      <c r="K2713">
        <f>1-888-278-9830</f>
        <v>-10995</v>
      </c>
      <c r="L2713" t="s">
        <v>8550</v>
      </c>
      <c r="M2713" t="s">
        <v>8551</v>
      </c>
      <c r="N2713" t="s">
        <v>278</v>
      </c>
      <c r="O2713" t="s">
        <v>28</v>
      </c>
      <c r="P2713" t="s">
        <v>2268</v>
      </c>
      <c r="Q2713">
        <v>44</v>
      </c>
      <c r="R2713">
        <v>-79.382999999999996</v>
      </c>
    </row>
    <row r="2714" spans="1:18" x14ac:dyDescent="0.2">
      <c r="A2714" t="s">
        <v>270</v>
      </c>
      <c r="B2714" t="s">
        <v>2263</v>
      </c>
      <c r="C2714">
        <v>1</v>
      </c>
      <c r="D2714" s="1">
        <v>44104.874409722222</v>
      </c>
      <c r="E2714" t="s">
        <v>8552</v>
      </c>
      <c r="F2714" t="s">
        <v>273</v>
      </c>
      <c r="G2714" t="s">
        <v>8450</v>
      </c>
      <c r="H2714" t="s">
        <v>275</v>
      </c>
      <c r="I2714" t="s">
        <v>29</v>
      </c>
      <c r="J2714">
        <v>1</v>
      </c>
      <c r="K2714">
        <f>1-888-210-3270</f>
        <v>-4367</v>
      </c>
      <c r="L2714" t="s">
        <v>8553</v>
      </c>
      <c r="M2714" t="s">
        <v>8554</v>
      </c>
      <c r="N2714" t="s">
        <v>278</v>
      </c>
      <c r="O2714" t="s">
        <v>28</v>
      </c>
      <c r="P2714" t="s">
        <v>2268</v>
      </c>
      <c r="Q2714">
        <v>44</v>
      </c>
      <c r="R2714">
        <v>-79.382999999999996</v>
      </c>
    </row>
    <row r="2715" spans="1:18" x14ac:dyDescent="0.2">
      <c r="A2715" t="s">
        <v>270</v>
      </c>
      <c r="B2715" t="s">
        <v>2263</v>
      </c>
      <c r="C2715">
        <v>1</v>
      </c>
      <c r="D2715" s="1">
        <v>44103.839166666665</v>
      </c>
      <c r="E2715" t="s">
        <v>8555</v>
      </c>
      <c r="F2715" t="s">
        <v>273</v>
      </c>
      <c r="G2715" t="s">
        <v>8450</v>
      </c>
      <c r="H2715" t="s">
        <v>275</v>
      </c>
      <c r="I2715" t="s">
        <v>29</v>
      </c>
      <c r="J2715">
        <v>1</v>
      </c>
      <c r="K2715">
        <f>1-888-211-8144</f>
        <v>-9242</v>
      </c>
      <c r="L2715" t="s">
        <v>8556</v>
      </c>
      <c r="M2715" t="s">
        <v>8557</v>
      </c>
      <c r="N2715" t="s">
        <v>278</v>
      </c>
      <c r="O2715" t="s">
        <v>28</v>
      </c>
      <c r="P2715" t="s">
        <v>2268</v>
      </c>
      <c r="Q2715">
        <v>44</v>
      </c>
      <c r="R2715">
        <v>-79.382999999999996</v>
      </c>
    </row>
    <row r="2716" spans="1:18" x14ac:dyDescent="0.2">
      <c r="A2716" t="s">
        <v>270</v>
      </c>
      <c r="B2716" t="s">
        <v>2263</v>
      </c>
      <c r="C2716">
        <v>1</v>
      </c>
      <c r="D2716" s="1">
        <v>44103.763680555552</v>
      </c>
      <c r="E2716" t="s">
        <v>8558</v>
      </c>
      <c r="F2716" t="s">
        <v>273</v>
      </c>
      <c r="G2716" t="s">
        <v>8450</v>
      </c>
      <c r="H2716" t="s">
        <v>275</v>
      </c>
      <c r="I2716" t="s">
        <v>29</v>
      </c>
      <c r="J2716">
        <v>1</v>
      </c>
      <c r="K2716">
        <f>1-888-211-6160</f>
        <v>-7258</v>
      </c>
      <c r="L2716" t="s">
        <v>8559</v>
      </c>
      <c r="M2716" t="s">
        <v>8560</v>
      </c>
      <c r="N2716" t="s">
        <v>278</v>
      </c>
      <c r="O2716" t="s">
        <v>134</v>
      </c>
      <c r="P2716" t="s">
        <v>2268</v>
      </c>
      <c r="Q2716">
        <v>44</v>
      </c>
      <c r="R2716">
        <v>-79.382999999999996</v>
      </c>
    </row>
    <row r="2717" spans="1:18" x14ac:dyDescent="0.2">
      <c r="A2717" t="s">
        <v>270</v>
      </c>
      <c r="B2717" t="s">
        <v>2263</v>
      </c>
      <c r="C2717">
        <v>1</v>
      </c>
      <c r="D2717" s="1">
        <v>44103.76190972222</v>
      </c>
      <c r="E2717" t="s">
        <v>8561</v>
      </c>
      <c r="F2717" t="s">
        <v>273</v>
      </c>
      <c r="G2717" t="s">
        <v>8450</v>
      </c>
      <c r="H2717" t="s">
        <v>275</v>
      </c>
      <c r="I2717" t="s">
        <v>29</v>
      </c>
      <c r="J2717">
        <v>1</v>
      </c>
      <c r="K2717">
        <f>1-888-210-6654</f>
        <v>-7751</v>
      </c>
      <c r="L2717" t="s">
        <v>8562</v>
      </c>
      <c r="M2717" t="s">
        <v>8563</v>
      </c>
      <c r="N2717" t="s">
        <v>278</v>
      </c>
      <c r="O2717" t="s">
        <v>134</v>
      </c>
      <c r="P2717" t="s">
        <v>2268</v>
      </c>
      <c r="Q2717">
        <v>44</v>
      </c>
      <c r="R2717">
        <v>-79.382999999999996</v>
      </c>
    </row>
    <row r="2718" spans="1:18" x14ac:dyDescent="0.2">
      <c r="A2718" t="s">
        <v>270</v>
      </c>
      <c r="B2718" t="s">
        <v>2263</v>
      </c>
      <c r="C2718">
        <v>1</v>
      </c>
      <c r="D2718" s="1">
        <v>44102.822847222225</v>
      </c>
      <c r="E2718" t="s">
        <v>8564</v>
      </c>
      <c r="F2718" t="s">
        <v>273</v>
      </c>
      <c r="G2718" t="s">
        <v>8450</v>
      </c>
      <c r="H2718" t="s">
        <v>275</v>
      </c>
      <c r="I2718" t="s">
        <v>29</v>
      </c>
      <c r="J2718">
        <v>1</v>
      </c>
      <c r="K2718">
        <f>1-888-252-7514</f>
        <v>-8653</v>
      </c>
      <c r="L2718" t="s">
        <v>8565</v>
      </c>
      <c r="M2718" t="s">
        <v>8566</v>
      </c>
      <c r="N2718" t="s">
        <v>278</v>
      </c>
      <c r="O2718" t="s">
        <v>28</v>
      </c>
      <c r="P2718" t="s">
        <v>2268</v>
      </c>
      <c r="Q2718">
        <v>44</v>
      </c>
      <c r="R2718">
        <v>-79.382999999999996</v>
      </c>
    </row>
    <row r="2719" spans="1:18" x14ac:dyDescent="0.2">
      <c r="A2719" t="s">
        <v>270</v>
      </c>
      <c r="B2719" t="s">
        <v>2263</v>
      </c>
      <c r="C2719">
        <v>1</v>
      </c>
      <c r="D2719" s="1">
        <v>44102.822743055556</v>
      </c>
      <c r="E2719" t="s">
        <v>8567</v>
      </c>
      <c r="F2719" t="s">
        <v>273</v>
      </c>
      <c r="G2719" t="s">
        <v>8450</v>
      </c>
      <c r="H2719" t="s">
        <v>275</v>
      </c>
      <c r="I2719" t="s">
        <v>29</v>
      </c>
      <c r="J2719">
        <v>1</v>
      </c>
      <c r="K2719">
        <f>1-888-228-8619</f>
        <v>-9734</v>
      </c>
      <c r="L2719" t="s">
        <v>8568</v>
      </c>
      <c r="M2719" t="s">
        <v>8569</v>
      </c>
      <c r="N2719" t="s">
        <v>278</v>
      </c>
      <c r="O2719" t="s">
        <v>28</v>
      </c>
      <c r="P2719" t="s">
        <v>2268</v>
      </c>
      <c r="Q2719">
        <v>44</v>
      </c>
      <c r="R2719">
        <v>-79.382999999999996</v>
      </c>
    </row>
    <row r="2720" spans="1:18" x14ac:dyDescent="0.2">
      <c r="A2720" t="s">
        <v>270</v>
      </c>
      <c r="B2720" t="s">
        <v>2263</v>
      </c>
      <c r="C2720">
        <v>1</v>
      </c>
      <c r="D2720" s="1">
        <v>44098.854386574072</v>
      </c>
      <c r="E2720" t="s">
        <v>8570</v>
      </c>
      <c r="F2720" t="s">
        <v>273</v>
      </c>
      <c r="G2720" t="s">
        <v>8450</v>
      </c>
      <c r="H2720" t="s">
        <v>275</v>
      </c>
      <c r="I2720" t="s">
        <v>29</v>
      </c>
      <c r="J2720">
        <v>1</v>
      </c>
      <c r="K2720">
        <f>1-888-254-1267</f>
        <v>-2408</v>
      </c>
      <c r="L2720" t="s">
        <v>8571</v>
      </c>
      <c r="M2720" t="s">
        <v>8572</v>
      </c>
      <c r="N2720" t="s">
        <v>278</v>
      </c>
      <c r="O2720" t="s">
        <v>28</v>
      </c>
      <c r="P2720" t="s">
        <v>2268</v>
      </c>
      <c r="Q2720">
        <v>44</v>
      </c>
      <c r="R2720">
        <v>-79.382999999999996</v>
      </c>
    </row>
    <row r="2721" spans="1:18" x14ac:dyDescent="0.2">
      <c r="A2721" t="s">
        <v>270</v>
      </c>
      <c r="B2721" t="s">
        <v>2263</v>
      </c>
      <c r="C2721">
        <v>1</v>
      </c>
      <c r="D2721" s="1">
        <v>44098.786874999998</v>
      </c>
      <c r="E2721" t="s">
        <v>8573</v>
      </c>
      <c r="F2721" t="s">
        <v>273</v>
      </c>
      <c r="G2721" t="s">
        <v>8450</v>
      </c>
      <c r="H2721" t="s">
        <v>275</v>
      </c>
      <c r="I2721" t="s">
        <v>29</v>
      </c>
      <c r="J2721">
        <v>1</v>
      </c>
      <c r="K2721">
        <f>1-888-264-344</f>
        <v>-1495</v>
      </c>
      <c r="L2721" t="s">
        <v>8574</v>
      </c>
      <c r="M2721" t="s">
        <v>8575</v>
      </c>
      <c r="N2721" t="s">
        <v>278</v>
      </c>
      <c r="O2721" t="s">
        <v>28</v>
      </c>
      <c r="P2721" t="s">
        <v>2268</v>
      </c>
      <c r="Q2721">
        <v>44</v>
      </c>
      <c r="R2721">
        <v>-79.382999999999996</v>
      </c>
    </row>
    <row r="2722" spans="1:18" x14ac:dyDescent="0.2">
      <c r="A2722" t="s">
        <v>270</v>
      </c>
      <c r="B2722" t="s">
        <v>2263</v>
      </c>
      <c r="C2722">
        <v>1</v>
      </c>
      <c r="D2722" s="1">
        <v>44097.783368055556</v>
      </c>
      <c r="E2722" t="s">
        <v>8576</v>
      </c>
      <c r="F2722" t="s">
        <v>273</v>
      </c>
      <c r="G2722" t="s">
        <v>8450</v>
      </c>
      <c r="H2722" t="s">
        <v>275</v>
      </c>
      <c r="I2722" t="s">
        <v>29</v>
      </c>
      <c r="J2722">
        <v>1</v>
      </c>
      <c r="K2722">
        <f>1-888-211-9778</f>
        <v>-10876</v>
      </c>
      <c r="L2722" t="s">
        <v>8577</v>
      </c>
      <c r="M2722" t="s">
        <v>8578</v>
      </c>
      <c r="N2722" t="s">
        <v>278</v>
      </c>
      <c r="O2722" t="s">
        <v>28</v>
      </c>
      <c r="P2722" t="s">
        <v>2268</v>
      </c>
      <c r="Q2722">
        <v>44</v>
      </c>
      <c r="R2722">
        <v>-79.382999999999996</v>
      </c>
    </row>
    <row r="2723" spans="1:18" x14ac:dyDescent="0.2">
      <c r="A2723" t="s">
        <v>270</v>
      </c>
      <c r="B2723" t="s">
        <v>2263</v>
      </c>
      <c r="C2723">
        <v>1</v>
      </c>
      <c r="D2723" s="1">
        <v>44097.464363425926</v>
      </c>
      <c r="E2723" t="s">
        <v>8579</v>
      </c>
      <c r="F2723" t="s">
        <v>273</v>
      </c>
      <c r="G2723" t="s">
        <v>8450</v>
      </c>
      <c r="H2723" t="s">
        <v>275</v>
      </c>
      <c r="I2723" t="s">
        <v>29</v>
      </c>
      <c r="J2723">
        <v>1</v>
      </c>
      <c r="K2723">
        <f>1-888-229-7472</f>
        <v>-8588</v>
      </c>
      <c r="L2723" t="s">
        <v>8580</v>
      </c>
      <c r="M2723" t="s">
        <v>8581</v>
      </c>
      <c r="N2723" t="s">
        <v>278</v>
      </c>
      <c r="O2723" t="s">
        <v>28</v>
      </c>
      <c r="P2723" t="s">
        <v>2268</v>
      </c>
      <c r="Q2723">
        <v>44</v>
      </c>
      <c r="R2723">
        <v>-79.382999999999996</v>
      </c>
    </row>
    <row r="2724" spans="1:18" x14ac:dyDescent="0.2">
      <c r="A2724" t="s">
        <v>270</v>
      </c>
      <c r="B2724" t="s">
        <v>2263</v>
      </c>
      <c r="C2724">
        <v>1</v>
      </c>
      <c r="D2724" s="1">
        <v>44096.837384259263</v>
      </c>
      <c r="E2724" t="s">
        <v>8582</v>
      </c>
      <c r="F2724" t="s">
        <v>273</v>
      </c>
      <c r="G2724" t="s">
        <v>8450</v>
      </c>
      <c r="H2724" t="s">
        <v>275</v>
      </c>
      <c r="I2724" t="s">
        <v>29</v>
      </c>
      <c r="J2724">
        <v>1</v>
      </c>
      <c r="K2724">
        <f>1-888-210-6063</f>
        <v>-7160</v>
      </c>
      <c r="L2724" t="s">
        <v>8583</v>
      </c>
      <c r="M2724" t="s">
        <v>8584</v>
      </c>
      <c r="N2724" t="s">
        <v>278</v>
      </c>
      <c r="O2724" t="s">
        <v>28</v>
      </c>
      <c r="P2724" t="s">
        <v>2268</v>
      </c>
      <c r="Q2724">
        <v>44</v>
      </c>
      <c r="R2724">
        <v>-79.382999999999996</v>
      </c>
    </row>
    <row r="2725" spans="1:18" x14ac:dyDescent="0.2">
      <c r="A2725" t="s">
        <v>270</v>
      </c>
      <c r="B2725" t="s">
        <v>2263</v>
      </c>
      <c r="C2725">
        <v>1</v>
      </c>
      <c r="D2725" s="1">
        <v>44096.837106481478</v>
      </c>
      <c r="E2725" t="s">
        <v>8585</v>
      </c>
      <c r="F2725" t="s">
        <v>273</v>
      </c>
      <c r="G2725" t="s">
        <v>8450</v>
      </c>
      <c r="H2725" t="s">
        <v>275</v>
      </c>
      <c r="I2725" t="s">
        <v>29</v>
      </c>
      <c r="J2725">
        <v>1</v>
      </c>
      <c r="K2725">
        <f>1-888-210-6063</f>
        <v>-7160</v>
      </c>
      <c r="L2725" t="s">
        <v>8586</v>
      </c>
      <c r="M2725" t="s">
        <v>8587</v>
      </c>
      <c r="N2725" t="s">
        <v>278</v>
      </c>
      <c r="O2725" t="s">
        <v>28</v>
      </c>
      <c r="P2725" t="s">
        <v>2268</v>
      </c>
      <c r="Q2725">
        <v>44</v>
      </c>
      <c r="R2725">
        <v>-79.382999999999996</v>
      </c>
    </row>
    <row r="2726" spans="1:18" x14ac:dyDescent="0.2">
      <c r="A2726" t="s">
        <v>270</v>
      </c>
      <c r="B2726" t="s">
        <v>2263</v>
      </c>
      <c r="C2726">
        <v>1</v>
      </c>
      <c r="D2726" s="1">
        <v>44096.836770833332</v>
      </c>
      <c r="E2726" t="s">
        <v>8588</v>
      </c>
      <c r="F2726" t="s">
        <v>273</v>
      </c>
      <c r="G2726" t="s">
        <v>8450</v>
      </c>
      <c r="H2726" t="s">
        <v>275</v>
      </c>
      <c r="I2726" t="s">
        <v>29</v>
      </c>
      <c r="J2726">
        <v>1</v>
      </c>
      <c r="K2726">
        <f>1-888-210-6063</f>
        <v>-7160</v>
      </c>
      <c r="L2726" t="s">
        <v>8589</v>
      </c>
      <c r="M2726" t="s">
        <v>8590</v>
      </c>
      <c r="N2726" t="s">
        <v>278</v>
      </c>
      <c r="O2726" t="s">
        <v>28</v>
      </c>
      <c r="P2726" t="s">
        <v>2268</v>
      </c>
      <c r="Q2726">
        <v>44</v>
      </c>
      <c r="R2726">
        <v>-79.382999999999996</v>
      </c>
    </row>
    <row r="2727" spans="1:18" x14ac:dyDescent="0.2">
      <c r="A2727" t="s">
        <v>270</v>
      </c>
      <c r="B2727" t="s">
        <v>2263</v>
      </c>
      <c r="C2727">
        <v>1</v>
      </c>
      <c r="D2727" s="1">
        <v>44096.367847222224</v>
      </c>
      <c r="E2727" t="s">
        <v>8591</v>
      </c>
      <c r="F2727" t="s">
        <v>273</v>
      </c>
      <c r="G2727" t="s">
        <v>8450</v>
      </c>
      <c r="H2727" t="s">
        <v>275</v>
      </c>
      <c r="I2727" t="s">
        <v>29</v>
      </c>
      <c r="J2727">
        <v>1</v>
      </c>
      <c r="K2727">
        <f>1-844-305-9953</f>
        <v>-11101</v>
      </c>
      <c r="L2727" t="s">
        <v>8592</v>
      </c>
      <c r="M2727" t="s">
        <v>8593</v>
      </c>
      <c r="N2727" t="s">
        <v>278</v>
      </c>
      <c r="O2727" t="s">
        <v>28</v>
      </c>
      <c r="P2727" t="s">
        <v>2268</v>
      </c>
      <c r="Q2727">
        <v>44</v>
      </c>
      <c r="R2727">
        <v>-79.382999999999996</v>
      </c>
    </row>
    <row r="2728" spans="1:18" x14ac:dyDescent="0.2">
      <c r="A2728" t="s">
        <v>270</v>
      </c>
      <c r="B2728" t="s">
        <v>2263</v>
      </c>
      <c r="C2728">
        <v>1</v>
      </c>
      <c r="D2728" s="1">
        <v>44096.367638888885</v>
      </c>
      <c r="E2728" t="s">
        <v>8594</v>
      </c>
      <c r="F2728" t="s">
        <v>273</v>
      </c>
      <c r="G2728" t="s">
        <v>8450</v>
      </c>
      <c r="H2728" t="s">
        <v>275</v>
      </c>
      <c r="I2728" t="s">
        <v>29</v>
      </c>
      <c r="J2728">
        <v>1</v>
      </c>
      <c r="K2728">
        <f>1-844-305-9953</f>
        <v>-11101</v>
      </c>
      <c r="L2728" t="s">
        <v>8595</v>
      </c>
      <c r="M2728" t="s">
        <v>8596</v>
      </c>
      <c r="N2728" t="s">
        <v>278</v>
      </c>
      <c r="O2728" t="s">
        <v>28</v>
      </c>
      <c r="P2728" t="s">
        <v>2268</v>
      </c>
      <c r="Q2728">
        <v>44</v>
      </c>
      <c r="R2728">
        <v>-79.382999999999996</v>
      </c>
    </row>
    <row r="2729" spans="1:18" x14ac:dyDescent="0.2">
      <c r="A2729" t="s">
        <v>270</v>
      </c>
      <c r="B2729" t="s">
        <v>2263</v>
      </c>
      <c r="C2729">
        <v>1</v>
      </c>
      <c r="D2729" s="1">
        <v>44096.367106481484</v>
      </c>
      <c r="E2729" t="s">
        <v>8597</v>
      </c>
      <c r="F2729" t="s">
        <v>273</v>
      </c>
      <c r="G2729" t="s">
        <v>8450</v>
      </c>
      <c r="H2729" t="s">
        <v>275</v>
      </c>
      <c r="I2729" t="s">
        <v>29</v>
      </c>
      <c r="J2729">
        <v>1</v>
      </c>
      <c r="K2729">
        <f>1-844-309-2423</f>
        <v>-3575</v>
      </c>
      <c r="L2729" t="s">
        <v>8598</v>
      </c>
      <c r="M2729" t="s">
        <v>8599</v>
      </c>
      <c r="N2729" t="s">
        <v>278</v>
      </c>
      <c r="O2729" t="s">
        <v>28</v>
      </c>
      <c r="P2729" t="s">
        <v>2268</v>
      </c>
      <c r="Q2729">
        <v>44</v>
      </c>
      <c r="R2729">
        <v>-79.382999999999996</v>
      </c>
    </row>
    <row r="2730" spans="1:18" x14ac:dyDescent="0.2">
      <c r="A2730" t="s">
        <v>270</v>
      </c>
      <c r="B2730" t="s">
        <v>2263</v>
      </c>
      <c r="C2730">
        <v>1</v>
      </c>
      <c r="D2730" s="1">
        <v>44096.366585648146</v>
      </c>
      <c r="E2730" t="s">
        <v>8600</v>
      </c>
      <c r="F2730" t="s">
        <v>273</v>
      </c>
      <c r="G2730" t="s">
        <v>8450</v>
      </c>
      <c r="H2730" t="s">
        <v>275</v>
      </c>
      <c r="I2730" t="s">
        <v>29</v>
      </c>
      <c r="J2730">
        <v>1</v>
      </c>
      <c r="K2730">
        <f>1-844-309-2655</f>
        <v>-3807</v>
      </c>
      <c r="L2730" t="s">
        <v>8601</v>
      </c>
      <c r="M2730" t="s">
        <v>8602</v>
      </c>
      <c r="N2730" t="s">
        <v>278</v>
      </c>
      <c r="O2730" t="s">
        <v>28</v>
      </c>
      <c r="P2730" t="s">
        <v>2268</v>
      </c>
      <c r="Q2730">
        <v>44</v>
      </c>
      <c r="R2730">
        <v>-79.382999999999996</v>
      </c>
    </row>
    <row r="2731" spans="1:18" x14ac:dyDescent="0.2">
      <c r="A2731" t="s">
        <v>270</v>
      </c>
      <c r="B2731" t="s">
        <v>2263</v>
      </c>
      <c r="C2731">
        <v>1</v>
      </c>
      <c r="D2731" s="1">
        <v>44096.366157407407</v>
      </c>
      <c r="E2731" t="s">
        <v>8603</v>
      </c>
      <c r="F2731" t="s">
        <v>273</v>
      </c>
      <c r="G2731" t="s">
        <v>8450</v>
      </c>
      <c r="H2731" t="s">
        <v>275</v>
      </c>
      <c r="I2731" t="s">
        <v>29</v>
      </c>
      <c r="J2731">
        <v>1</v>
      </c>
      <c r="K2731">
        <f>1-844-318-5957</f>
        <v>-7118</v>
      </c>
      <c r="L2731" t="s">
        <v>8604</v>
      </c>
      <c r="M2731" t="s">
        <v>8605</v>
      </c>
      <c r="N2731" t="s">
        <v>278</v>
      </c>
      <c r="O2731" t="s">
        <v>28</v>
      </c>
      <c r="P2731" t="s">
        <v>2268</v>
      </c>
      <c r="Q2731">
        <v>44</v>
      </c>
      <c r="R2731">
        <v>-79.382999999999996</v>
      </c>
    </row>
    <row r="2732" spans="1:18" x14ac:dyDescent="0.2">
      <c r="A2732" t="s">
        <v>270</v>
      </c>
      <c r="B2732" t="s">
        <v>2263</v>
      </c>
      <c r="C2732">
        <v>1</v>
      </c>
      <c r="D2732" s="1">
        <v>44096.365613425929</v>
      </c>
      <c r="E2732" t="s">
        <v>8606</v>
      </c>
      <c r="F2732" t="s">
        <v>273</v>
      </c>
      <c r="G2732" t="s">
        <v>8450</v>
      </c>
      <c r="H2732" t="s">
        <v>275</v>
      </c>
      <c r="I2732" t="s">
        <v>29</v>
      </c>
      <c r="J2732">
        <v>1</v>
      </c>
      <c r="K2732">
        <f>1-844-305-9953</f>
        <v>-11101</v>
      </c>
      <c r="L2732" t="s">
        <v>8607</v>
      </c>
      <c r="M2732" t="s">
        <v>8608</v>
      </c>
      <c r="N2732" t="s">
        <v>278</v>
      </c>
      <c r="O2732" t="s">
        <v>28</v>
      </c>
      <c r="P2732" t="s">
        <v>2268</v>
      </c>
      <c r="Q2732">
        <v>44</v>
      </c>
      <c r="R2732">
        <v>-79.382999999999996</v>
      </c>
    </row>
    <row r="2733" spans="1:18" x14ac:dyDescent="0.2">
      <c r="A2733" t="s">
        <v>270</v>
      </c>
      <c r="B2733" t="s">
        <v>2263</v>
      </c>
      <c r="C2733">
        <v>1</v>
      </c>
      <c r="D2733" s="1">
        <v>44095.878993055558</v>
      </c>
      <c r="E2733" t="s">
        <v>8606</v>
      </c>
      <c r="F2733" t="s">
        <v>273</v>
      </c>
      <c r="G2733" t="s">
        <v>8450</v>
      </c>
      <c r="H2733" t="s">
        <v>275</v>
      </c>
      <c r="I2733" t="s">
        <v>29</v>
      </c>
      <c r="J2733">
        <v>1</v>
      </c>
      <c r="K2733">
        <f>1-844-318-5957</f>
        <v>-7118</v>
      </c>
      <c r="L2733" t="s">
        <v>8609</v>
      </c>
      <c r="M2733" t="s">
        <v>8610</v>
      </c>
      <c r="N2733" t="s">
        <v>278</v>
      </c>
      <c r="O2733" t="s">
        <v>28</v>
      </c>
      <c r="P2733" t="s">
        <v>2268</v>
      </c>
      <c r="Q2733">
        <v>44</v>
      </c>
      <c r="R2733">
        <v>-79.382999999999996</v>
      </c>
    </row>
    <row r="2734" spans="1:18" x14ac:dyDescent="0.2">
      <c r="A2734" t="s">
        <v>270</v>
      </c>
      <c r="B2734" t="s">
        <v>2263</v>
      </c>
      <c r="C2734">
        <v>1</v>
      </c>
      <c r="D2734" s="1">
        <v>44095.796932870369</v>
      </c>
      <c r="E2734" t="s">
        <v>8611</v>
      </c>
      <c r="F2734" t="s">
        <v>273</v>
      </c>
      <c r="G2734" t="s">
        <v>8450</v>
      </c>
      <c r="H2734" t="s">
        <v>275</v>
      </c>
      <c r="I2734" t="s">
        <v>29</v>
      </c>
      <c r="J2734">
        <v>1</v>
      </c>
      <c r="K2734">
        <f>1-844-316-9077</f>
        <v>-10236</v>
      </c>
      <c r="L2734" t="s">
        <v>8612</v>
      </c>
      <c r="M2734" t="s">
        <v>8613</v>
      </c>
      <c r="N2734" t="s">
        <v>278</v>
      </c>
      <c r="O2734" t="s">
        <v>28</v>
      </c>
      <c r="P2734" t="s">
        <v>2268</v>
      </c>
      <c r="Q2734">
        <v>44</v>
      </c>
      <c r="R2734">
        <v>-79.382999999999996</v>
      </c>
    </row>
    <row r="2735" spans="1:18" x14ac:dyDescent="0.2">
      <c r="A2735" t="s">
        <v>270</v>
      </c>
      <c r="B2735" t="s">
        <v>2263</v>
      </c>
      <c r="C2735">
        <v>1</v>
      </c>
      <c r="D2735" s="1">
        <v>44095.784409722219</v>
      </c>
      <c r="E2735" t="s">
        <v>8614</v>
      </c>
      <c r="F2735" t="s">
        <v>273</v>
      </c>
      <c r="G2735" t="s">
        <v>8450</v>
      </c>
      <c r="H2735" t="s">
        <v>275</v>
      </c>
      <c r="I2735" t="s">
        <v>29</v>
      </c>
      <c r="J2735">
        <v>1</v>
      </c>
      <c r="K2735">
        <f>1-844-301-8222</f>
        <v>-9366</v>
      </c>
      <c r="L2735" t="s">
        <v>8615</v>
      </c>
      <c r="M2735" t="s">
        <v>8616</v>
      </c>
      <c r="N2735" t="s">
        <v>278</v>
      </c>
      <c r="O2735" t="s">
        <v>28</v>
      </c>
      <c r="P2735" t="s">
        <v>2268</v>
      </c>
      <c r="Q2735">
        <v>44</v>
      </c>
      <c r="R2735">
        <v>-79.382999999999996</v>
      </c>
    </row>
    <row r="2736" spans="1:18" x14ac:dyDescent="0.2">
      <c r="A2736" t="s">
        <v>270</v>
      </c>
      <c r="B2736" t="s">
        <v>2263</v>
      </c>
      <c r="C2736">
        <v>1</v>
      </c>
      <c r="D2736" s="1">
        <v>44095.784224537034</v>
      </c>
      <c r="E2736" t="s">
        <v>8617</v>
      </c>
      <c r="F2736" t="s">
        <v>273</v>
      </c>
      <c r="G2736" t="s">
        <v>8450</v>
      </c>
      <c r="H2736" t="s">
        <v>275</v>
      </c>
      <c r="I2736" t="s">
        <v>29</v>
      </c>
      <c r="J2736">
        <v>1</v>
      </c>
      <c r="K2736">
        <f>1-844-288-9111</f>
        <v>-10242</v>
      </c>
      <c r="L2736" t="s">
        <v>8618</v>
      </c>
      <c r="M2736" t="s">
        <v>8619</v>
      </c>
      <c r="N2736" t="s">
        <v>278</v>
      </c>
      <c r="O2736" t="s">
        <v>28</v>
      </c>
      <c r="P2736" t="s">
        <v>2268</v>
      </c>
      <c r="Q2736">
        <v>44</v>
      </c>
      <c r="R2736">
        <v>-79.382999999999996</v>
      </c>
    </row>
    <row r="2737" spans="1:18" x14ac:dyDescent="0.2">
      <c r="A2737" t="s">
        <v>270</v>
      </c>
      <c r="B2737" t="s">
        <v>2263</v>
      </c>
      <c r="C2737">
        <v>1</v>
      </c>
      <c r="D2737" s="1">
        <v>44090.993368055555</v>
      </c>
      <c r="E2737" t="s">
        <v>8620</v>
      </c>
      <c r="F2737" t="s">
        <v>273</v>
      </c>
      <c r="G2737" t="s">
        <v>8450</v>
      </c>
      <c r="H2737" t="s">
        <v>275</v>
      </c>
      <c r="I2737" t="s">
        <v>29</v>
      </c>
      <c r="J2737">
        <v>1</v>
      </c>
      <c r="K2737">
        <f>1-844-242-3148</f>
        <v>-4233</v>
      </c>
      <c r="L2737" t="s">
        <v>8621</v>
      </c>
      <c r="M2737" t="s">
        <v>8622</v>
      </c>
      <c r="N2737" t="s">
        <v>278</v>
      </c>
      <c r="O2737" t="s">
        <v>28</v>
      </c>
      <c r="P2737" t="s">
        <v>2268</v>
      </c>
      <c r="Q2737">
        <v>44</v>
      </c>
      <c r="R2737">
        <v>-79.382999999999996</v>
      </c>
    </row>
    <row r="2738" spans="1:18" x14ac:dyDescent="0.2">
      <c r="A2738" t="s">
        <v>270</v>
      </c>
      <c r="B2738" t="s">
        <v>2263</v>
      </c>
      <c r="C2738">
        <v>1</v>
      </c>
      <c r="D2738" s="1">
        <v>44090.992071759261</v>
      </c>
      <c r="E2738" t="s">
        <v>8623</v>
      </c>
      <c r="F2738" t="s">
        <v>273</v>
      </c>
      <c r="G2738" t="s">
        <v>8450</v>
      </c>
      <c r="H2738" t="s">
        <v>275</v>
      </c>
      <c r="I2738" t="s">
        <v>29</v>
      </c>
      <c r="J2738">
        <v>1</v>
      </c>
      <c r="K2738">
        <f>1-844-242-3148</f>
        <v>-4233</v>
      </c>
      <c r="L2738" t="s">
        <v>8624</v>
      </c>
      <c r="M2738" t="s">
        <v>8625</v>
      </c>
      <c r="N2738" t="s">
        <v>278</v>
      </c>
      <c r="O2738" t="s">
        <v>28</v>
      </c>
      <c r="P2738" t="s">
        <v>2268</v>
      </c>
      <c r="Q2738">
        <v>44</v>
      </c>
      <c r="R2738">
        <v>-79.382999999999996</v>
      </c>
    </row>
    <row r="2739" spans="1:18" x14ac:dyDescent="0.2">
      <c r="A2739" t="s">
        <v>270</v>
      </c>
      <c r="B2739" t="s">
        <v>2263</v>
      </c>
      <c r="C2739">
        <v>1</v>
      </c>
      <c r="D2739" s="1">
        <v>44090.991655092592</v>
      </c>
      <c r="E2739" t="s">
        <v>8626</v>
      </c>
      <c r="F2739" t="s">
        <v>273</v>
      </c>
      <c r="G2739" t="s">
        <v>8450</v>
      </c>
      <c r="H2739" t="s">
        <v>275</v>
      </c>
      <c r="I2739" t="s">
        <v>29</v>
      </c>
      <c r="J2739">
        <v>1</v>
      </c>
      <c r="K2739">
        <f>1-844-242-3148</f>
        <v>-4233</v>
      </c>
      <c r="L2739" t="s">
        <v>8627</v>
      </c>
      <c r="M2739" t="s">
        <v>8628</v>
      </c>
      <c r="N2739" t="s">
        <v>278</v>
      </c>
      <c r="O2739" t="s">
        <v>28</v>
      </c>
      <c r="P2739" t="s">
        <v>2268</v>
      </c>
      <c r="Q2739">
        <v>44</v>
      </c>
      <c r="R2739">
        <v>-79.382999999999996</v>
      </c>
    </row>
    <row r="2740" spans="1:18" x14ac:dyDescent="0.2">
      <c r="A2740" t="s">
        <v>270</v>
      </c>
      <c r="B2740" t="s">
        <v>2263</v>
      </c>
      <c r="C2740">
        <v>1</v>
      </c>
      <c r="D2740" s="1">
        <v>44090.798761574071</v>
      </c>
      <c r="E2740" t="s">
        <v>8629</v>
      </c>
      <c r="F2740" t="s">
        <v>273</v>
      </c>
      <c r="G2740" t="s">
        <v>8450</v>
      </c>
      <c r="H2740" t="s">
        <v>275</v>
      </c>
      <c r="I2740" t="s">
        <v>29</v>
      </c>
      <c r="J2740">
        <v>1</v>
      </c>
      <c r="K2740">
        <f>1-844-227-7011</f>
        <v>-8081</v>
      </c>
      <c r="L2740" t="s">
        <v>8630</v>
      </c>
      <c r="M2740" t="s">
        <v>8631</v>
      </c>
      <c r="N2740" t="s">
        <v>278</v>
      </c>
      <c r="O2740" t="s">
        <v>28</v>
      </c>
      <c r="P2740" t="s">
        <v>2268</v>
      </c>
      <c r="Q2740">
        <v>44</v>
      </c>
      <c r="R2740">
        <v>-79.382999999999996</v>
      </c>
    </row>
    <row r="2741" spans="1:18" x14ac:dyDescent="0.2">
      <c r="A2741" t="s">
        <v>270</v>
      </c>
      <c r="B2741" t="s">
        <v>2263</v>
      </c>
      <c r="C2741">
        <v>1</v>
      </c>
      <c r="D2741" s="1">
        <v>44090.798136574071</v>
      </c>
      <c r="E2741" t="s">
        <v>8632</v>
      </c>
      <c r="F2741" t="s">
        <v>273</v>
      </c>
      <c r="G2741" t="s">
        <v>8450</v>
      </c>
      <c r="H2741" t="s">
        <v>275</v>
      </c>
      <c r="I2741" t="s">
        <v>29</v>
      </c>
      <c r="J2741">
        <v>1</v>
      </c>
      <c r="K2741">
        <f>1-844-243-4064</f>
        <v>-5150</v>
      </c>
      <c r="L2741" t="s">
        <v>8633</v>
      </c>
      <c r="M2741" t="s">
        <v>8634</v>
      </c>
      <c r="N2741" t="s">
        <v>278</v>
      </c>
      <c r="O2741" t="s">
        <v>28</v>
      </c>
      <c r="P2741" t="s">
        <v>2268</v>
      </c>
      <c r="Q2741">
        <v>44</v>
      </c>
      <c r="R2741">
        <v>-79.382999999999996</v>
      </c>
    </row>
    <row r="2742" spans="1:18" x14ac:dyDescent="0.2">
      <c r="A2742" t="s">
        <v>270</v>
      </c>
      <c r="B2742" t="s">
        <v>2263</v>
      </c>
      <c r="C2742">
        <v>1</v>
      </c>
      <c r="D2742" s="1">
        <v>44090.416041666664</v>
      </c>
      <c r="E2742" t="s">
        <v>8635</v>
      </c>
      <c r="F2742" t="s">
        <v>273</v>
      </c>
      <c r="G2742" t="s">
        <v>8450</v>
      </c>
      <c r="H2742" t="s">
        <v>275</v>
      </c>
      <c r="I2742" t="s">
        <v>29</v>
      </c>
      <c r="J2742">
        <v>1</v>
      </c>
      <c r="K2742">
        <f>1-844-287-1059</f>
        <v>-2189</v>
      </c>
      <c r="L2742" t="s">
        <v>8636</v>
      </c>
      <c r="M2742" t="s">
        <v>8637</v>
      </c>
      <c r="N2742" t="s">
        <v>278</v>
      </c>
      <c r="O2742" t="s">
        <v>28</v>
      </c>
      <c r="P2742" t="s">
        <v>2268</v>
      </c>
      <c r="Q2742">
        <v>44</v>
      </c>
      <c r="R2742">
        <v>-79.382999999999996</v>
      </c>
    </row>
    <row r="2743" spans="1:18" x14ac:dyDescent="0.2">
      <c r="A2743" t="s">
        <v>270</v>
      </c>
      <c r="B2743" t="s">
        <v>2263</v>
      </c>
      <c r="C2743">
        <v>1</v>
      </c>
      <c r="D2743" s="1">
        <v>44090.415127314816</v>
      </c>
      <c r="E2743" t="s">
        <v>8638</v>
      </c>
      <c r="F2743" t="s">
        <v>273</v>
      </c>
      <c r="G2743" t="s">
        <v>8450</v>
      </c>
      <c r="H2743" t="s">
        <v>275</v>
      </c>
      <c r="I2743" t="s">
        <v>29</v>
      </c>
      <c r="J2743">
        <v>1</v>
      </c>
      <c r="K2743">
        <f>1-844-293-8713</f>
        <v>-9849</v>
      </c>
      <c r="L2743" t="s">
        <v>8639</v>
      </c>
      <c r="M2743" t="s">
        <v>8640</v>
      </c>
      <c r="N2743" t="s">
        <v>278</v>
      </c>
      <c r="O2743" t="s">
        <v>28</v>
      </c>
      <c r="P2743" t="s">
        <v>2268</v>
      </c>
      <c r="Q2743">
        <v>44</v>
      </c>
      <c r="R2743">
        <v>-79.382999999999996</v>
      </c>
    </row>
    <row r="2744" spans="1:18" x14ac:dyDescent="0.2">
      <c r="A2744" t="s">
        <v>270</v>
      </c>
      <c r="B2744" t="s">
        <v>2263</v>
      </c>
      <c r="C2744">
        <v>1</v>
      </c>
      <c r="D2744" s="1">
        <v>44090.414293981485</v>
      </c>
      <c r="E2744" t="s">
        <v>8570</v>
      </c>
      <c r="F2744" t="s">
        <v>273</v>
      </c>
      <c r="G2744" t="s">
        <v>8450</v>
      </c>
      <c r="H2744" t="s">
        <v>275</v>
      </c>
      <c r="I2744" t="s">
        <v>29</v>
      </c>
      <c r="J2744">
        <v>1</v>
      </c>
      <c r="K2744">
        <f>1-844-311-7591</f>
        <v>-8745</v>
      </c>
      <c r="L2744" t="s">
        <v>8641</v>
      </c>
      <c r="M2744" t="s">
        <v>8642</v>
      </c>
      <c r="N2744" t="s">
        <v>278</v>
      </c>
      <c r="O2744" t="s">
        <v>28</v>
      </c>
      <c r="P2744" t="s">
        <v>2268</v>
      </c>
      <c r="Q2744">
        <v>44</v>
      </c>
      <c r="R2744">
        <v>-79.382999999999996</v>
      </c>
    </row>
    <row r="2745" spans="1:18" x14ac:dyDescent="0.2">
      <c r="A2745" t="s">
        <v>270</v>
      </c>
      <c r="B2745" t="s">
        <v>2263</v>
      </c>
      <c r="C2745">
        <v>1</v>
      </c>
      <c r="D2745" s="1">
        <v>44089.810763888891</v>
      </c>
      <c r="E2745" t="s">
        <v>8643</v>
      </c>
      <c r="F2745" t="s">
        <v>273</v>
      </c>
      <c r="G2745" t="s">
        <v>8450</v>
      </c>
      <c r="H2745" t="s">
        <v>275</v>
      </c>
      <c r="I2745" t="s">
        <v>29</v>
      </c>
      <c r="J2745">
        <v>1</v>
      </c>
      <c r="K2745">
        <f>1-844-309-2114</f>
        <v>-3266</v>
      </c>
      <c r="L2745" t="s">
        <v>8644</v>
      </c>
      <c r="M2745" t="s">
        <v>8645</v>
      </c>
      <c r="N2745" t="s">
        <v>278</v>
      </c>
      <c r="O2745" t="s">
        <v>28</v>
      </c>
      <c r="P2745" t="s">
        <v>2268</v>
      </c>
      <c r="Q2745">
        <v>44</v>
      </c>
      <c r="R2745">
        <v>-79.382999999999996</v>
      </c>
    </row>
    <row r="2746" spans="1:18" x14ac:dyDescent="0.2">
      <c r="A2746" t="s">
        <v>270</v>
      </c>
      <c r="B2746" t="s">
        <v>2263</v>
      </c>
      <c r="C2746">
        <v>1</v>
      </c>
      <c r="D2746" s="1">
        <v>44088.94091435185</v>
      </c>
      <c r="E2746" t="s">
        <v>8646</v>
      </c>
      <c r="F2746" t="s">
        <v>273</v>
      </c>
      <c r="G2746" t="s">
        <v>8450</v>
      </c>
      <c r="H2746" t="s">
        <v>275</v>
      </c>
      <c r="I2746" t="s">
        <v>29</v>
      </c>
      <c r="J2746">
        <v>1</v>
      </c>
      <c r="K2746">
        <f>1-844-225-7967</f>
        <v>-9035</v>
      </c>
      <c r="L2746" t="s">
        <v>8647</v>
      </c>
      <c r="M2746" t="s">
        <v>8648</v>
      </c>
      <c r="N2746" t="s">
        <v>278</v>
      </c>
      <c r="O2746" t="s">
        <v>28</v>
      </c>
      <c r="P2746" t="s">
        <v>2268</v>
      </c>
      <c r="Q2746">
        <v>44</v>
      </c>
      <c r="R2746">
        <v>-79.382999999999996</v>
      </c>
    </row>
    <row r="2747" spans="1:18" x14ac:dyDescent="0.2">
      <c r="A2747" t="s">
        <v>270</v>
      </c>
      <c r="B2747" t="s">
        <v>2263</v>
      </c>
      <c r="C2747">
        <v>1</v>
      </c>
      <c r="D2747" s="1">
        <v>44088.941261574073</v>
      </c>
      <c r="E2747" t="s">
        <v>8649</v>
      </c>
      <c r="F2747" t="s">
        <v>273</v>
      </c>
      <c r="G2747" t="s">
        <v>8450</v>
      </c>
      <c r="H2747" t="s">
        <v>275</v>
      </c>
      <c r="I2747" t="s">
        <v>29</v>
      </c>
      <c r="J2747">
        <v>1</v>
      </c>
      <c r="K2747">
        <f>1-844-225-7967</f>
        <v>-9035</v>
      </c>
      <c r="L2747" t="s">
        <v>8650</v>
      </c>
      <c r="M2747" t="s">
        <v>8651</v>
      </c>
      <c r="N2747" t="s">
        <v>278</v>
      </c>
      <c r="O2747" t="s">
        <v>28</v>
      </c>
      <c r="P2747" t="s">
        <v>2268</v>
      </c>
      <c r="Q2747">
        <v>44</v>
      </c>
      <c r="R2747">
        <v>-79.382999999999996</v>
      </c>
    </row>
    <row r="2748" spans="1:18" x14ac:dyDescent="0.2">
      <c r="A2748" t="s">
        <v>270</v>
      </c>
      <c r="B2748" t="s">
        <v>2263</v>
      </c>
      <c r="C2748">
        <v>1</v>
      </c>
      <c r="D2748" s="1">
        <v>44084.783449074072</v>
      </c>
      <c r="E2748" t="s">
        <v>8652</v>
      </c>
      <c r="F2748" t="s">
        <v>273</v>
      </c>
      <c r="G2748" t="s">
        <v>8450</v>
      </c>
      <c r="H2748" t="s">
        <v>275</v>
      </c>
      <c r="I2748" t="s">
        <v>29</v>
      </c>
      <c r="J2748">
        <v>1</v>
      </c>
      <c r="K2748">
        <f>1-844-318-7909</f>
        <v>-9070</v>
      </c>
      <c r="L2748" t="s">
        <v>8653</v>
      </c>
      <c r="M2748" t="s">
        <v>8654</v>
      </c>
      <c r="N2748" t="s">
        <v>278</v>
      </c>
      <c r="O2748" t="s">
        <v>28</v>
      </c>
      <c r="P2748" t="s">
        <v>2268</v>
      </c>
      <c r="Q2748">
        <v>44</v>
      </c>
      <c r="R2748">
        <v>-79.382999999999996</v>
      </c>
    </row>
    <row r="2749" spans="1:18" x14ac:dyDescent="0.2">
      <c r="A2749" t="s">
        <v>270</v>
      </c>
      <c r="B2749" t="s">
        <v>2263</v>
      </c>
      <c r="C2749">
        <v>1</v>
      </c>
      <c r="D2749" s="1">
        <v>44083.830578703702</v>
      </c>
      <c r="E2749" t="s">
        <v>8655</v>
      </c>
      <c r="F2749" t="s">
        <v>273</v>
      </c>
      <c r="G2749" t="s">
        <v>8450</v>
      </c>
      <c r="H2749" t="s">
        <v>275</v>
      </c>
      <c r="I2749" t="s">
        <v>29</v>
      </c>
      <c r="J2749">
        <v>1</v>
      </c>
      <c r="K2749">
        <f>1-888-599-4298</f>
        <v>-5784</v>
      </c>
      <c r="L2749" t="s">
        <v>8656</v>
      </c>
      <c r="M2749" t="s">
        <v>8657</v>
      </c>
      <c r="N2749" t="s">
        <v>278</v>
      </c>
      <c r="O2749" t="s">
        <v>28</v>
      </c>
      <c r="P2749" t="s">
        <v>2268</v>
      </c>
      <c r="Q2749">
        <v>44</v>
      </c>
      <c r="R2749">
        <v>-79.382999999999996</v>
      </c>
    </row>
    <row r="2750" spans="1:18" x14ac:dyDescent="0.2">
      <c r="A2750" t="s">
        <v>270</v>
      </c>
      <c r="B2750" t="s">
        <v>2263</v>
      </c>
      <c r="C2750">
        <v>1</v>
      </c>
      <c r="D2750" s="1">
        <v>44083.801539351851</v>
      </c>
      <c r="E2750" t="s">
        <v>8658</v>
      </c>
      <c r="F2750" t="s">
        <v>273</v>
      </c>
      <c r="G2750" t="s">
        <v>8450</v>
      </c>
      <c r="H2750" t="s">
        <v>275</v>
      </c>
      <c r="I2750" t="s">
        <v>29</v>
      </c>
      <c r="J2750">
        <v>1</v>
      </c>
      <c r="K2750">
        <f>1-888-585-5441</f>
        <v>-6913</v>
      </c>
      <c r="L2750" t="s">
        <v>8659</v>
      </c>
      <c r="M2750" t="s">
        <v>8660</v>
      </c>
      <c r="N2750" t="s">
        <v>278</v>
      </c>
      <c r="O2750" t="s">
        <v>28</v>
      </c>
      <c r="P2750" t="s">
        <v>2268</v>
      </c>
      <c r="Q2750">
        <v>44</v>
      </c>
      <c r="R2750">
        <v>-79.382999999999996</v>
      </c>
    </row>
    <row r="2751" spans="1:18" x14ac:dyDescent="0.2">
      <c r="A2751" t="s">
        <v>270</v>
      </c>
      <c r="B2751" t="s">
        <v>2263</v>
      </c>
      <c r="C2751">
        <v>1</v>
      </c>
      <c r="D2751" s="1">
        <v>44082.939976851849</v>
      </c>
      <c r="E2751" t="s">
        <v>8661</v>
      </c>
      <c r="F2751" t="s">
        <v>273</v>
      </c>
      <c r="G2751" t="s">
        <v>8450</v>
      </c>
      <c r="H2751" t="s">
        <v>275</v>
      </c>
      <c r="I2751" t="s">
        <v>29</v>
      </c>
      <c r="J2751">
        <v>1</v>
      </c>
      <c r="K2751">
        <f>1-888-599-8076</f>
        <v>-9562</v>
      </c>
      <c r="L2751" t="s">
        <v>8662</v>
      </c>
      <c r="M2751" t="s">
        <v>8663</v>
      </c>
      <c r="N2751" t="s">
        <v>278</v>
      </c>
      <c r="O2751" t="s">
        <v>28</v>
      </c>
      <c r="P2751" t="s">
        <v>2268</v>
      </c>
      <c r="Q2751">
        <v>44</v>
      </c>
      <c r="R2751">
        <v>-79.382999999999996</v>
      </c>
    </row>
    <row r="2752" spans="1:18" x14ac:dyDescent="0.2">
      <c r="A2752" t="s">
        <v>270</v>
      </c>
      <c r="B2752" t="s">
        <v>2263</v>
      </c>
      <c r="C2752">
        <v>1</v>
      </c>
      <c r="D2752" s="1">
        <v>44078.857731481483</v>
      </c>
      <c r="E2752" t="s">
        <v>8664</v>
      </c>
      <c r="F2752" t="s">
        <v>273</v>
      </c>
      <c r="G2752" t="s">
        <v>8450</v>
      </c>
      <c r="H2752" t="s">
        <v>275</v>
      </c>
      <c r="I2752" t="s">
        <v>29</v>
      </c>
      <c r="J2752">
        <v>1</v>
      </c>
      <c r="K2752">
        <f>1-888-530-1472</f>
        <v>-2889</v>
      </c>
      <c r="L2752" t="s">
        <v>8665</v>
      </c>
      <c r="M2752" t="s">
        <v>8666</v>
      </c>
      <c r="N2752" t="s">
        <v>278</v>
      </c>
      <c r="O2752" t="s">
        <v>134</v>
      </c>
      <c r="P2752" t="s">
        <v>2268</v>
      </c>
      <c r="Q2752">
        <v>44</v>
      </c>
      <c r="R2752">
        <v>-79.382999999999996</v>
      </c>
    </row>
    <row r="2753" spans="1:18" x14ac:dyDescent="0.2">
      <c r="A2753" t="s">
        <v>270</v>
      </c>
      <c r="B2753" t="s">
        <v>2263</v>
      </c>
      <c r="C2753">
        <v>1</v>
      </c>
      <c r="D2753" s="1">
        <v>44078.852430555555</v>
      </c>
      <c r="E2753" t="s">
        <v>8667</v>
      </c>
      <c r="F2753" t="s">
        <v>273</v>
      </c>
      <c r="G2753" t="s">
        <v>8450</v>
      </c>
      <c r="H2753" t="s">
        <v>275</v>
      </c>
      <c r="I2753" t="s">
        <v>29</v>
      </c>
      <c r="J2753">
        <v>1</v>
      </c>
      <c r="K2753">
        <f>1-866-591-3044</f>
        <v>-4500</v>
      </c>
      <c r="L2753" t="s">
        <v>8668</v>
      </c>
      <c r="M2753" t="s">
        <v>8669</v>
      </c>
      <c r="N2753" t="s">
        <v>278</v>
      </c>
      <c r="O2753" t="s">
        <v>134</v>
      </c>
      <c r="P2753" t="s">
        <v>2268</v>
      </c>
      <c r="Q2753">
        <v>44</v>
      </c>
      <c r="R2753">
        <v>-79.382999999999996</v>
      </c>
    </row>
    <row r="2754" spans="1:18" x14ac:dyDescent="0.2">
      <c r="A2754" t="s">
        <v>270</v>
      </c>
      <c r="B2754" t="s">
        <v>2263</v>
      </c>
      <c r="C2754">
        <v>1</v>
      </c>
      <c r="D2754" s="1">
        <v>44078.851331018515</v>
      </c>
      <c r="E2754" t="s">
        <v>8670</v>
      </c>
      <c r="F2754" t="s">
        <v>273</v>
      </c>
      <c r="G2754" t="s">
        <v>8450</v>
      </c>
      <c r="H2754" t="s">
        <v>275</v>
      </c>
      <c r="I2754" t="s">
        <v>29</v>
      </c>
      <c r="J2754">
        <v>1</v>
      </c>
      <c r="K2754">
        <f>1-866-754-7703</f>
        <v>-9322</v>
      </c>
      <c r="L2754" t="s">
        <v>8671</v>
      </c>
      <c r="M2754" t="s">
        <v>8672</v>
      </c>
      <c r="N2754" t="s">
        <v>278</v>
      </c>
      <c r="O2754" t="s">
        <v>134</v>
      </c>
      <c r="P2754" t="s">
        <v>2268</v>
      </c>
      <c r="Q2754">
        <v>44</v>
      </c>
      <c r="R2754">
        <v>-79.382999999999996</v>
      </c>
    </row>
    <row r="2755" spans="1:18" x14ac:dyDescent="0.2">
      <c r="A2755" t="s">
        <v>270</v>
      </c>
      <c r="B2755" t="s">
        <v>2263</v>
      </c>
      <c r="C2755">
        <v>1</v>
      </c>
      <c r="D2755" s="1">
        <v>44078.850254629629</v>
      </c>
      <c r="E2755" t="s">
        <v>8673</v>
      </c>
      <c r="F2755" t="s">
        <v>273</v>
      </c>
      <c r="G2755" t="s">
        <v>8450</v>
      </c>
      <c r="H2755" t="s">
        <v>275</v>
      </c>
      <c r="I2755" t="s">
        <v>29</v>
      </c>
      <c r="J2755">
        <v>1</v>
      </c>
      <c r="K2755">
        <f>1-866-759-9790</f>
        <v>-11414</v>
      </c>
      <c r="L2755" t="s">
        <v>8674</v>
      </c>
      <c r="M2755" t="s">
        <v>8675</v>
      </c>
      <c r="N2755" t="s">
        <v>278</v>
      </c>
      <c r="O2755" t="s">
        <v>134</v>
      </c>
      <c r="P2755" t="s">
        <v>2268</v>
      </c>
      <c r="Q2755">
        <v>44</v>
      </c>
      <c r="R2755">
        <v>-79.382999999999996</v>
      </c>
    </row>
    <row r="2756" spans="1:18" x14ac:dyDescent="0.2">
      <c r="A2756" t="s">
        <v>270</v>
      </c>
      <c r="B2756" t="s">
        <v>2263</v>
      </c>
      <c r="C2756">
        <v>1</v>
      </c>
      <c r="D2756" s="1">
        <v>44078.849166666667</v>
      </c>
      <c r="E2756" t="s">
        <v>8676</v>
      </c>
      <c r="F2756" t="s">
        <v>273</v>
      </c>
      <c r="G2756" t="s">
        <v>8450</v>
      </c>
      <c r="H2756" t="s">
        <v>275</v>
      </c>
      <c r="I2756" t="s">
        <v>29</v>
      </c>
      <c r="J2756">
        <v>1</v>
      </c>
      <c r="K2756">
        <f>1-866-512-2889</f>
        <v>-4266</v>
      </c>
      <c r="L2756" t="s">
        <v>8677</v>
      </c>
      <c r="M2756" t="s">
        <v>8678</v>
      </c>
      <c r="N2756" t="s">
        <v>278</v>
      </c>
      <c r="O2756" t="s">
        <v>134</v>
      </c>
      <c r="P2756" t="s">
        <v>2268</v>
      </c>
      <c r="Q2756">
        <v>44</v>
      </c>
      <c r="R2756">
        <v>-79.382999999999996</v>
      </c>
    </row>
    <row r="2757" spans="1:18" x14ac:dyDescent="0.2">
      <c r="A2757" t="s">
        <v>270</v>
      </c>
      <c r="B2757" t="s">
        <v>2263</v>
      </c>
      <c r="C2757">
        <v>1</v>
      </c>
      <c r="D2757" s="1">
        <v>44078.848379629628</v>
      </c>
      <c r="E2757" t="s">
        <v>8679</v>
      </c>
      <c r="F2757" t="s">
        <v>273</v>
      </c>
      <c r="G2757" t="s">
        <v>8450</v>
      </c>
      <c r="H2757" t="s">
        <v>275</v>
      </c>
      <c r="I2757" t="s">
        <v>29</v>
      </c>
      <c r="J2757">
        <v>1</v>
      </c>
      <c r="K2757">
        <f>1-866-512-2889</f>
        <v>-4266</v>
      </c>
      <c r="L2757" t="s">
        <v>8680</v>
      </c>
      <c r="M2757" t="s">
        <v>8681</v>
      </c>
      <c r="N2757" t="s">
        <v>278</v>
      </c>
      <c r="O2757" t="s">
        <v>134</v>
      </c>
      <c r="P2757" t="s">
        <v>2268</v>
      </c>
      <c r="Q2757">
        <v>44</v>
      </c>
      <c r="R2757">
        <v>-79.382999999999996</v>
      </c>
    </row>
    <row r="2758" spans="1:18" x14ac:dyDescent="0.2">
      <c r="A2758" t="s">
        <v>270</v>
      </c>
      <c r="B2758" t="s">
        <v>2263</v>
      </c>
      <c r="C2758">
        <v>1</v>
      </c>
      <c r="D2758" s="1">
        <v>44075.760555555556</v>
      </c>
      <c r="E2758" t="s">
        <v>8682</v>
      </c>
      <c r="F2758" t="s">
        <v>273</v>
      </c>
      <c r="G2758" t="s">
        <v>8450</v>
      </c>
      <c r="H2758" t="s">
        <v>275</v>
      </c>
      <c r="I2758" t="s">
        <v>29</v>
      </c>
      <c r="J2758">
        <v>1</v>
      </c>
      <c r="K2758">
        <f>1-888-708-1143</f>
        <v>-2738</v>
      </c>
      <c r="L2758" t="s">
        <v>8683</v>
      </c>
      <c r="M2758" t="s">
        <v>8684</v>
      </c>
      <c r="N2758" t="s">
        <v>278</v>
      </c>
      <c r="O2758" t="s">
        <v>134</v>
      </c>
      <c r="P2758" t="s">
        <v>2268</v>
      </c>
      <c r="Q2758">
        <v>44</v>
      </c>
      <c r="R2758">
        <v>-79.382999999999996</v>
      </c>
    </row>
    <row r="2759" spans="1:18" x14ac:dyDescent="0.2">
      <c r="A2759" t="s">
        <v>270</v>
      </c>
      <c r="B2759" t="s">
        <v>2263</v>
      </c>
      <c r="C2759">
        <v>1</v>
      </c>
      <c r="D2759" s="1">
        <v>44075.759722222225</v>
      </c>
      <c r="E2759" t="s">
        <v>8685</v>
      </c>
      <c r="F2759" t="s">
        <v>273</v>
      </c>
      <c r="G2759" t="s">
        <v>8450</v>
      </c>
      <c r="H2759" t="s">
        <v>275</v>
      </c>
      <c r="I2759" t="s">
        <v>29</v>
      </c>
      <c r="J2759">
        <v>1</v>
      </c>
      <c r="K2759">
        <f>1-888-705-928</f>
        <v>-2520</v>
      </c>
      <c r="L2759" t="s">
        <v>8686</v>
      </c>
      <c r="M2759" t="s">
        <v>8687</v>
      </c>
      <c r="N2759" t="s">
        <v>278</v>
      </c>
      <c r="O2759" t="s">
        <v>134</v>
      </c>
      <c r="P2759" t="s">
        <v>2268</v>
      </c>
      <c r="Q2759">
        <v>44</v>
      </c>
      <c r="R2759">
        <v>-79.382999999999996</v>
      </c>
    </row>
    <row r="2760" spans="1:18" x14ac:dyDescent="0.2">
      <c r="A2760" t="s">
        <v>270</v>
      </c>
      <c r="B2760" t="s">
        <v>2263</v>
      </c>
      <c r="C2760">
        <v>1</v>
      </c>
      <c r="D2760" s="1">
        <v>44074.934618055559</v>
      </c>
      <c r="E2760" t="s">
        <v>8688</v>
      </c>
      <c r="F2760" t="s">
        <v>273</v>
      </c>
      <c r="G2760" t="s">
        <v>8450</v>
      </c>
      <c r="H2760" t="s">
        <v>275</v>
      </c>
      <c r="I2760" t="s">
        <v>29</v>
      </c>
      <c r="J2760">
        <v>1</v>
      </c>
      <c r="K2760">
        <f>1-888-655-2343</f>
        <v>-3885</v>
      </c>
      <c r="L2760" t="s">
        <v>8689</v>
      </c>
      <c r="M2760" t="s">
        <v>8690</v>
      </c>
      <c r="N2760" t="s">
        <v>278</v>
      </c>
      <c r="O2760" t="s">
        <v>134</v>
      </c>
      <c r="P2760" t="s">
        <v>2268</v>
      </c>
      <c r="Q2760">
        <v>44</v>
      </c>
      <c r="R2760">
        <v>-79.382999999999996</v>
      </c>
    </row>
    <row r="2761" spans="1:18" x14ac:dyDescent="0.2">
      <c r="A2761" t="s">
        <v>270</v>
      </c>
      <c r="B2761" t="s">
        <v>2263</v>
      </c>
      <c r="C2761">
        <v>1</v>
      </c>
      <c r="D2761" s="1">
        <v>44074.930914351855</v>
      </c>
      <c r="E2761" t="s">
        <v>8691</v>
      </c>
      <c r="F2761" t="s">
        <v>273</v>
      </c>
      <c r="G2761" t="s">
        <v>8450</v>
      </c>
      <c r="H2761" t="s">
        <v>275</v>
      </c>
      <c r="I2761" t="s">
        <v>29</v>
      </c>
      <c r="J2761">
        <v>1</v>
      </c>
      <c r="K2761">
        <f>1-888-651-2892</f>
        <v>-4430</v>
      </c>
      <c r="L2761" t="s">
        <v>8692</v>
      </c>
      <c r="M2761" t="s">
        <v>8693</v>
      </c>
      <c r="N2761" t="s">
        <v>278</v>
      </c>
      <c r="O2761" t="s">
        <v>28</v>
      </c>
      <c r="P2761" t="s">
        <v>2268</v>
      </c>
      <c r="Q2761">
        <v>44</v>
      </c>
      <c r="R2761">
        <v>-79.382999999999996</v>
      </c>
    </row>
    <row r="2762" spans="1:18" x14ac:dyDescent="0.2">
      <c r="A2762" t="s">
        <v>270</v>
      </c>
      <c r="B2762" t="s">
        <v>2263</v>
      </c>
      <c r="C2762">
        <v>1</v>
      </c>
      <c r="D2762" s="1">
        <v>44074.929872685185</v>
      </c>
      <c r="E2762" t="s">
        <v>8694</v>
      </c>
      <c r="F2762" t="s">
        <v>273</v>
      </c>
      <c r="G2762" t="s">
        <v>8450</v>
      </c>
      <c r="H2762" t="s">
        <v>275</v>
      </c>
      <c r="I2762" t="s">
        <v>29</v>
      </c>
      <c r="J2762">
        <v>1</v>
      </c>
      <c r="K2762">
        <f>1-888-654-8048</f>
        <v>-9589</v>
      </c>
      <c r="L2762" t="s">
        <v>8695</v>
      </c>
      <c r="M2762" t="s">
        <v>8696</v>
      </c>
      <c r="N2762" t="s">
        <v>278</v>
      </c>
      <c r="O2762" t="s">
        <v>28</v>
      </c>
      <c r="P2762" t="s">
        <v>2268</v>
      </c>
      <c r="Q2762">
        <v>44</v>
      </c>
      <c r="R2762">
        <v>-79.382999999999996</v>
      </c>
    </row>
    <row r="2763" spans="1:18" x14ac:dyDescent="0.2">
      <c r="A2763" t="s">
        <v>270</v>
      </c>
      <c r="B2763" t="s">
        <v>2263</v>
      </c>
      <c r="C2763">
        <v>1</v>
      </c>
      <c r="D2763" s="1">
        <v>44074.929606481484</v>
      </c>
      <c r="E2763" t="s">
        <v>8697</v>
      </c>
      <c r="F2763" t="s">
        <v>273</v>
      </c>
      <c r="G2763" t="s">
        <v>8450</v>
      </c>
      <c r="H2763" t="s">
        <v>275</v>
      </c>
      <c r="I2763" t="s">
        <v>29</v>
      </c>
      <c r="J2763">
        <v>1</v>
      </c>
      <c r="K2763">
        <f>1-888-652-8170</f>
        <v>-9709</v>
      </c>
      <c r="L2763" t="s">
        <v>8698</v>
      </c>
      <c r="M2763" t="s">
        <v>8699</v>
      </c>
      <c r="N2763" t="s">
        <v>278</v>
      </c>
      <c r="O2763" t="s">
        <v>28</v>
      </c>
      <c r="P2763" t="s">
        <v>2268</v>
      </c>
      <c r="Q2763">
        <v>44</v>
      </c>
      <c r="R2763">
        <v>-79.382999999999996</v>
      </c>
    </row>
    <row r="2764" spans="1:18" x14ac:dyDescent="0.2">
      <c r="A2764" t="s">
        <v>270</v>
      </c>
      <c r="B2764" t="s">
        <v>2263</v>
      </c>
      <c r="C2764">
        <v>1</v>
      </c>
      <c r="D2764" s="1">
        <v>44074.929594907408</v>
      </c>
      <c r="E2764" t="s">
        <v>8697</v>
      </c>
      <c r="F2764" t="s">
        <v>273</v>
      </c>
      <c r="G2764" t="s">
        <v>8450</v>
      </c>
      <c r="H2764" t="s">
        <v>275</v>
      </c>
      <c r="I2764" t="s">
        <v>29</v>
      </c>
      <c r="J2764">
        <v>1</v>
      </c>
      <c r="K2764">
        <f>1-888-652-8170</f>
        <v>-9709</v>
      </c>
      <c r="L2764" t="s">
        <v>8700</v>
      </c>
      <c r="M2764" t="s">
        <v>8699</v>
      </c>
      <c r="N2764" t="s">
        <v>278</v>
      </c>
      <c r="O2764" t="s">
        <v>28</v>
      </c>
      <c r="P2764" t="s">
        <v>2268</v>
      </c>
      <c r="Q2764">
        <v>44</v>
      </c>
      <c r="R2764">
        <v>-79.382999999999996</v>
      </c>
    </row>
    <row r="2765" spans="1:18" x14ac:dyDescent="0.2">
      <c r="A2765" t="s">
        <v>270</v>
      </c>
      <c r="B2765" t="s">
        <v>2263</v>
      </c>
      <c r="C2765">
        <v>1</v>
      </c>
      <c r="D2765" s="1">
        <v>44073.943437499998</v>
      </c>
      <c r="E2765" t="s">
        <v>8701</v>
      </c>
      <c r="F2765" t="s">
        <v>273</v>
      </c>
      <c r="G2765" t="s">
        <v>8450</v>
      </c>
      <c r="H2765" t="s">
        <v>275</v>
      </c>
      <c r="I2765" t="s">
        <v>29</v>
      </c>
      <c r="J2765">
        <v>1</v>
      </c>
      <c r="K2765">
        <f>1-888-417-4066</f>
        <v>-5370</v>
      </c>
      <c r="L2765" t="s">
        <v>8702</v>
      </c>
      <c r="M2765" t="s">
        <v>8703</v>
      </c>
      <c r="N2765" t="s">
        <v>278</v>
      </c>
      <c r="O2765" t="s">
        <v>134</v>
      </c>
      <c r="P2765" t="s">
        <v>2268</v>
      </c>
      <c r="Q2765">
        <v>44</v>
      </c>
      <c r="R2765">
        <v>-79.382999999999996</v>
      </c>
    </row>
    <row r="2766" spans="1:18" x14ac:dyDescent="0.2">
      <c r="A2766" t="s">
        <v>270</v>
      </c>
      <c r="B2766" t="s">
        <v>2263</v>
      </c>
      <c r="C2766">
        <v>1</v>
      </c>
      <c r="D2766" s="1">
        <v>44073.942407407405</v>
      </c>
      <c r="E2766" t="s">
        <v>8704</v>
      </c>
      <c r="F2766" t="s">
        <v>273</v>
      </c>
      <c r="G2766" t="s">
        <v>8450</v>
      </c>
      <c r="H2766" t="s">
        <v>275</v>
      </c>
      <c r="I2766" t="s">
        <v>29</v>
      </c>
      <c r="J2766">
        <v>1</v>
      </c>
      <c r="K2766">
        <f>1-888-690-903</f>
        <v>-2480</v>
      </c>
      <c r="L2766" t="s">
        <v>8705</v>
      </c>
      <c r="M2766" t="s">
        <v>8706</v>
      </c>
      <c r="N2766" t="s">
        <v>278</v>
      </c>
      <c r="O2766" t="s">
        <v>134</v>
      </c>
      <c r="P2766" t="s">
        <v>2268</v>
      </c>
      <c r="Q2766">
        <v>44</v>
      </c>
      <c r="R2766">
        <v>-79.382999999999996</v>
      </c>
    </row>
    <row r="2767" spans="1:18" x14ac:dyDescent="0.2">
      <c r="A2767" t="s">
        <v>270</v>
      </c>
      <c r="B2767" t="s">
        <v>2263</v>
      </c>
      <c r="C2767">
        <v>1</v>
      </c>
      <c r="D2767" s="1">
        <v>44073.941840277781</v>
      </c>
      <c r="E2767" t="s">
        <v>8707</v>
      </c>
      <c r="F2767" t="s">
        <v>273</v>
      </c>
      <c r="G2767" t="s">
        <v>8450</v>
      </c>
      <c r="H2767" t="s">
        <v>275</v>
      </c>
      <c r="I2767" t="s">
        <v>29</v>
      </c>
      <c r="J2767">
        <v>1</v>
      </c>
      <c r="K2767">
        <f>1-888-521-2495</f>
        <v>-3903</v>
      </c>
      <c r="L2767" t="s">
        <v>8708</v>
      </c>
      <c r="M2767" t="s">
        <v>8709</v>
      </c>
      <c r="N2767" t="s">
        <v>278</v>
      </c>
      <c r="O2767" t="s">
        <v>134</v>
      </c>
      <c r="P2767" t="s">
        <v>2268</v>
      </c>
      <c r="Q2767">
        <v>44</v>
      </c>
      <c r="R2767">
        <v>-79.382999999999996</v>
      </c>
    </row>
    <row r="2768" spans="1:18" x14ac:dyDescent="0.2">
      <c r="A2768" t="s">
        <v>270</v>
      </c>
      <c r="B2768" t="s">
        <v>2263</v>
      </c>
      <c r="C2768">
        <v>1</v>
      </c>
      <c r="D2768" s="1">
        <v>44073.940740740742</v>
      </c>
      <c r="E2768" t="s">
        <v>8710</v>
      </c>
      <c r="F2768" t="s">
        <v>273</v>
      </c>
      <c r="G2768" t="s">
        <v>8450</v>
      </c>
      <c r="H2768" t="s">
        <v>275</v>
      </c>
      <c r="I2768" t="s">
        <v>29</v>
      </c>
      <c r="J2768">
        <v>1</v>
      </c>
      <c r="K2768">
        <f>1-888-423-325</f>
        <v>-1635</v>
      </c>
      <c r="L2768" t="s">
        <v>8711</v>
      </c>
      <c r="M2768" t="s">
        <v>8712</v>
      </c>
      <c r="N2768" t="s">
        <v>278</v>
      </c>
      <c r="O2768" t="s">
        <v>134</v>
      </c>
      <c r="P2768" t="s">
        <v>2268</v>
      </c>
      <c r="Q2768">
        <v>44</v>
      </c>
      <c r="R2768">
        <v>-79.382999999999996</v>
      </c>
    </row>
    <row r="2769" spans="1:18" x14ac:dyDescent="0.2">
      <c r="A2769" t="s">
        <v>270</v>
      </c>
      <c r="B2769" t="s">
        <v>2263</v>
      </c>
      <c r="C2769">
        <v>1</v>
      </c>
      <c r="D2769" s="1">
        <v>44073.94017361111</v>
      </c>
      <c r="E2769" t="s">
        <v>8713</v>
      </c>
      <c r="F2769" t="s">
        <v>273</v>
      </c>
      <c r="G2769" t="s">
        <v>8450</v>
      </c>
      <c r="H2769" t="s">
        <v>275</v>
      </c>
      <c r="I2769" t="s">
        <v>29</v>
      </c>
      <c r="J2769">
        <v>1</v>
      </c>
      <c r="K2769">
        <f>1-888-851-688</f>
        <v>-2426</v>
      </c>
      <c r="L2769" t="s">
        <v>8714</v>
      </c>
      <c r="M2769" t="s">
        <v>8715</v>
      </c>
      <c r="N2769" t="s">
        <v>278</v>
      </c>
      <c r="O2769" t="s">
        <v>134</v>
      </c>
      <c r="P2769" t="s">
        <v>2268</v>
      </c>
      <c r="Q2769">
        <v>44</v>
      </c>
      <c r="R2769">
        <v>-79.382999999999996</v>
      </c>
    </row>
    <row r="2770" spans="1:18" x14ac:dyDescent="0.2">
      <c r="A2770" t="s">
        <v>270</v>
      </c>
      <c r="B2770" t="s">
        <v>2263</v>
      </c>
      <c r="C2770">
        <v>1</v>
      </c>
      <c r="D2770" s="1">
        <v>44073.930324074077</v>
      </c>
      <c r="E2770" t="s">
        <v>8716</v>
      </c>
      <c r="F2770" t="s">
        <v>273</v>
      </c>
      <c r="G2770" t="s">
        <v>8450</v>
      </c>
      <c r="H2770" t="s">
        <v>275</v>
      </c>
      <c r="I2770" t="s">
        <v>29</v>
      </c>
      <c r="J2770">
        <v>1</v>
      </c>
      <c r="K2770">
        <f>1-888-530-1472</f>
        <v>-2889</v>
      </c>
      <c r="L2770" t="s">
        <v>8717</v>
      </c>
      <c r="M2770" t="s">
        <v>8718</v>
      </c>
      <c r="N2770" t="s">
        <v>278</v>
      </c>
      <c r="O2770" t="s">
        <v>134</v>
      </c>
      <c r="P2770" t="s">
        <v>2268</v>
      </c>
      <c r="Q2770">
        <v>44</v>
      </c>
      <c r="R2770">
        <v>-79.382999999999996</v>
      </c>
    </row>
    <row r="2771" spans="1:18" x14ac:dyDescent="0.2">
      <c r="A2771" t="s">
        <v>270</v>
      </c>
      <c r="B2771" t="s">
        <v>2263</v>
      </c>
      <c r="C2771">
        <v>1</v>
      </c>
      <c r="D2771" s="1">
        <v>44073.929756944446</v>
      </c>
      <c r="E2771" t="s">
        <v>8719</v>
      </c>
      <c r="F2771" t="s">
        <v>273</v>
      </c>
      <c r="G2771" t="s">
        <v>8450</v>
      </c>
      <c r="H2771" t="s">
        <v>275</v>
      </c>
      <c r="I2771" t="s">
        <v>29</v>
      </c>
      <c r="J2771">
        <v>1</v>
      </c>
      <c r="K2771">
        <f>1-888-534-316</f>
        <v>-1737</v>
      </c>
      <c r="L2771" t="s">
        <v>8720</v>
      </c>
      <c r="M2771" t="s">
        <v>8721</v>
      </c>
      <c r="N2771" t="s">
        <v>278</v>
      </c>
      <c r="O2771" t="s">
        <v>134</v>
      </c>
      <c r="P2771" t="s">
        <v>2268</v>
      </c>
      <c r="Q2771">
        <v>44</v>
      </c>
      <c r="R2771">
        <v>-79.382999999999996</v>
      </c>
    </row>
    <row r="2772" spans="1:18" x14ac:dyDescent="0.2">
      <c r="A2772" t="s">
        <v>270</v>
      </c>
      <c r="B2772" t="s">
        <v>2263</v>
      </c>
      <c r="C2772">
        <v>1</v>
      </c>
      <c r="D2772" s="1">
        <v>44073.928680555553</v>
      </c>
      <c r="E2772" t="s">
        <v>8722</v>
      </c>
      <c r="F2772" t="s">
        <v>273</v>
      </c>
      <c r="G2772" t="s">
        <v>8450</v>
      </c>
      <c r="H2772" t="s">
        <v>275</v>
      </c>
      <c r="I2772" t="s">
        <v>29</v>
      </c>
      <c r="J2772">
        <v>1</v>
      </c>
      <c r="K2772">
        <f>1-888-530-2072</f>
        <v>-3489</v>
      </c>
      <c r="L2772" t="s">
        <v>8723</v>
      </c>
      <c r="M2772" t="s">
        <v>8724</v>
      </c>
      <c r="N2772" t="s">
        <v>278</v>
      </c>
      <c r="O2772" t="s">
        <v>134</v>
      </c>
      <c r="P2772" t="s">
        <v>2268</v>
      </c>
      <c r="Q2772">
        <v>44</v>
      </c>
      <c r="R2772">
        <v>-79.382999999999996</v>
      </c>
    </row>
    <row r="2773" spans="1:18" x14ac:dyDescent="0.2">
      <c r="A2773" t="s">
        <v>270</v>
      </c>
      <c r="B2773" t="s">
        <v>2263</v>
      </c>
      <c r="C2773">
        <v>1</v>
      </c>
      <c r="D2773" s="1">
        <v>44073.92763888889</v>
      </c>
      <c r="E2773" t="s">
        <v>8725</v>
      </c>
      <c r="F2773" t="s">
        <v>273</v>
      </c>
      <c r="G2773" t="s">
        <v>8450</v>
      </c>
      <c r="H2773" t="s">
        <v>275</v>
      </c>
      <c r="I2773" t="s">
        <v>29</v>
      </c>
      <c r="J2773">
        <v>1</v>
      </c>
      <c r="K2773">
        <f>1-888-529-6205</f>
        <v>-7621</v>
      </c>
      <c r="L2773" t="s">
        <v>8726</v>
      </c>
      <c r="M2773" t="s">
        <v>8727</v>
      </c>
      <c r="N2773" t="s">
        <v>278</v>
      </c>
      <c r="O2773" t="s">
        <v>134</v>
      </c>
      <c r="P2773" t="s">
        <v>2268</v>
      </c>
      <c r="Q2773">
        <v>44</v>
      </c>
      <c r="R2773">
        <v>-79.382999999999996</v>
      </c>
    </row>
    <row r="2774" spans="1:18" x14ac:dyDescent="0.2">
      <c r="A2774" t="s">
        <v>270</v>
      </c>
      <c r="B2774" t="s">
        <v>2263</v>
      </c>
      <c r="C2774">
        <v>1</v>
      </c>
      <c r="D2774" s="1">
        <v>44073.926493055558</v>
      </c>
      <c r="E2774" t="s">
        <v>8728</v>
      </c>
      <c r="F2774" t="s">
        <v>273</v>
      </c>
      <c r="G2774" t="s">
        <v>8450</v>
      </c>
      <c r="H2774" t="s">
        <v>275</v>
      </c>
      <c r="I2774" t="s">
        <v>29</v>
      </c>
      <c r="J2774">
        <v>1</v>
      </c>
      <c r="K2774">
        <f>1-888-538-1073</f>
        <v>-2498</v>
      </c>
      <c r="L2774" t="s">
        <v>8729</v>
      </c>
      <c r="M2774" t="s">
        <v>8730</v>
      </c>
      <c r="N2774" t="s">
        <v>278</v>
      </c>
      <c r="O2774" t="s">
        <v>134</v>
      </c>
      <c r="P2774" t="s">
        <v>2268</v>
      </c>
      <c r="Q2774">
        <v>44</v>
      </c>
      <c r="R2774">
        <v>-79.382999999999996</v>
      </c>
    </row>
    <row r="2775" spans="1:18" x14ac:dyDescent="0.2">
      <c r="A2775" t="s">
        <v>270</v>
      </c>
      <c r="B2775" t="s">
        <v>2263</v>
      </c>
      <c r="C2775">
        <v>1</v>
      </c>
      <c r="D2775" s="1">
        <v>44073.063854166663</v>
      </c>
      <c r="E2775" t="s">
        <v>8731</v>
      </c>
      <c r="F2775" t="s">
        <v>273</v>
      </c>
      <c r="G2775" t="s">
        <v>8450</v>
      </c>
      <c r="H2775" t="s">
        <v>275</v>
      </c>
      <c r="I2775" t="s">
        <v>29</v>
      </c>
      <c r="J2775">
        <v>1</v>
      </c>
      <c r="K2775">
        <f>1-888-417-4066</f>
        <v>-5370</v>
      </c>
      <c r="L2775" t="s">
        <v>8732</v>
      </c>
      <c r="M2775" t="s">
        <v>8733</v>
      </c>
      <c r="N2775" t="s">
        <v>278</v>
      </c>
      <c r="O2775" t="s">
        <v>134</v>
      </c>
      <c r="P2775" t="s">
        <v>2268</v>
      </c>
      <c r="Q2775">
        <v>44</v>
      </c>
      <c r="R2775">
        <v>-79.382999999999996</v>
      </c>
    </row>
    <row r="2776" spans="1:18" x14ac:dyDescent="0.2">
      <c r="A2776" t="s">
        <v>270</v>
      </c>
      <c r="B2776" t="s">
        <v>2263</v>
      </c>
      <c r="C2776">
        <v>1</v>
      </c>
      <c r="D2776" s="1">
        <v>44073.059537037036</v>
      </c>
      <c r="E2776" t="s">
        <v>8734</v>
      </c>
      <c r="F2776" t="s">
        <v>273</v>
      </c>
      <c r="G2776" t="s">
        <v>8450</v>
      </c>
      <c r="H2776" t="s">
        <v>275</v>
      </c>
      <c r="I2776" t="s">
        <v>29</v>
      </c>
      <c r="J2776">
        <v>1</v>
      </c>
      <c r="K2776">
        <f>1-888-541-8493</f>
        <v>-9921</v>
      </c>
      <c r="L2776" t="s">
        <v>8735</v>
      </c>
      <c r="M2776" t="s">
        <v>8736</v>
      </c>
      <c r="N2776" t="s">
        <v>278</v>
      </c>
      <c r="O2776" t="s">
        <v>134</v>
      </c>
      <c r="P2776" t="s">
        <v>2268</v>
      </c>
      <c r="Q2776">
        <v>44</v>
      </c>
      <c r="R2776">
        <v>-79.382999999999996</v>
      </c>
    </row>
    <row r="2777" spans="1:18" x14ac:dyDescent="0.2">
      <c r="A2777" t="s">
        <v>270</v>
      </c>
      <c r="B2777" t="s">
        <v>2263</v>
      </c>
      <c r="C2777">
        <v>1</v>
      </c>
      <c r="D2777" s="1">
        <v>44073.027928240743</v>
      </c>
      <c r="E2777" t="s">
        <v>8737</v>
      </c>
      <c r="F2777" t="s">
        <v>273</v>
      </c>
      <c r="G2777" t="s">
        <v>8450</v>
      </c>
      <c r="H2777" t="s">
        <v>275</v>
      </c>
      <c r="I2777" t="s">
        <v>29</v>
      </c>
      <c r="J2777">
        <v>1</v>
      </c>
      <c r="K2777">
        <f>1-888-441-3235</f>
        <v>-4563</v>
      </c>
      <c r="L2777" t="s">
        <v>8738</v>
      </c>
      <c r="M2777" t="s">
        <v>8739</v>
      </c>
      <c r="N2777" t="s">
        <v>278</v>
      </c>
      <c r="O2777" t="s">
        <v>134</v>
      </c>
      <c r="P2777" t="s">
        <v>2268</v>
      </c>
      <c r="Q2777">
        <v>44</v>
      </c>
      <c r="R2777">
        <v>-79.382999999999996</v>
      </c>
    </row>
    <row r="2778" spans="1:18" x14ac:dyDescent="0.2">
      <c r="A2778" t="s">
        <v>270</v>
      </c>
      <c r="B2778" t="s">
        <v>2263</v>
      </c>
      <c r="C2778">
        <v>1</v>
      </c>
      <c r="D2778" s="1">
        <v>44073.027060185188</v>
      </c>
      <c r="E2778" t="s">
        <v>8740</v>
      </c>
      <c r="F2778" t="s">
        <v>273</v>
      </c>
      <c r="G2778" t="s">
        <v>8450</v>
      </c>
      <c r="H2778" t="s">
        <v>275</v>
      </c>
      <c r="I2778" t="s">
        <v>29</v>
      </c>
      <c r="J2778">
        <v>1</v>
      </c>
      <c r="K2778">
        <f>1-888-909-1336</f>
        <v>-3132</v>
      </c>
      <c r="L2778" t="s">
        <v>8741</v>
      </c>
      <c r="M2778" t="s">
        <v>8742</v>
      </c>
      <c r="N2778" t="s">
        <v>278</v>
      </c>
      <c r="O2778" t="s">
        <v>134</v>
      </c>
      <c r="P2778" t="s">
        <v>2268</v>
      </c>
      <c r="Q2778">
        <v>44</v>
      </c>
      <c r="R2778">
        <v>-79.382999999999996</v>
      </c>
    </row>
    <row r="2779" spans="1:18" x14ac:dyDescent="0.2">
      <c r="A2779" t="s">
        <v>270</v>
      </c>
      <c r="B2779" t="s">
        <v>2263</v>
      </c>
      <c r="C2779">
        <v>1</v>
      </c>
      <c r="D2779" s="1">
        <v>44073.02621527778</v>
      </c>
      <c r="E2779" t="s">
        <v>8743</v>
      </c>
      <c r="F2779" t="s">
        <v>273</v>
      </c>
      <c r="G2779" t="s">
        <v>8450</v>
      </c>
      <c r="H2779" t="s">
        <v>275</v>
      </c>
      <c r="I2779" t="s">
        <v>29</v>
      </c>
      <c r="J2779">
        <v>1</v>
      </c>
      <c r="K2779">
        <f>1-888-598-1511</f>
        <v>-2996</v>
      </c>
      <c r="L2779" t="s">
        <v>8744</v>
      </c>
      <c r="M2779" t="s">
        <v>8745</v>
      </c>
      <c r="N2779" t="s">
        <v>278</v>
      </c>
      <c r="O2779" t="s">
        <v>134</v>
      </c>
      <c r="P2779" t="s">
        <v>2268</v>
      </c>
      <c r="Q2779">
        <v>44</v>
      </c>
      <c r="R2779">
        <v>-79.382999999999996</v>
      </c>
    </row>
    <row r="2780" spans="1:18" x14ac:dyDescent="0.2">
      <c r="A2780" t="s">
        <v>270</v>
      </c>
      <c r="B2780" t="s">
        <v>2263</v>
      </c>
      <c r="C2780">
        <v>1</v>
      </c>
      <c r="D2780" s="1">
        <v>44072.86613425926</v>
      </c>
      <c r="E2780" t="s">
        <v>8746</v>
      </c>
      <c r="F2780" t="s">
        <v>273</v>
      </c>
      <c r="G2780" t="s">
        <v>8450</v>
      </c>
      <c r="H2780" t="s">
        <v>275</v>
      </c>
      <c r="I2780" t="s">
        <v>29</v>
      </c>
      <c r="J2780">
        <v>1</v>
      </c>
      <c r="K2780">
        <f>1-888-604-806</f>
        <v>-2297</v>
      </c>
      <c r="L2780" t="s">
        <v>8747</v>
      </c>
      <c r="M2780" t="s">
        <v>8748</v>
      </c>
      <c r="N2780" t="s">
        <v>278</v>
      </c>
      <c r="O2780" t="s">
        <v>134</v>
      </c>
      <c r="P2780" t="s">
        <v>2268</v>
      </c>
      <c r="Q2780">
        <v>44</v>
      </c>
      <c r="R2780">
        <v>-79.382999999999996</v>
      </c>
    </row>
    <row r="2781" spans="1:18" x14ac:dyDescent="0.2">
      <c r="A2781" t="s">
        <v>270</v>
      </c>
      <c r="B2781" t="s">
        <v>2263</v>
      </c>
      <c r="C2781">
        <v>1</v>
      </c>
      <c r="D2781" s="1">
        <v>44072.864895833336</v>
      </c>
      <c r="E2781" t="s">
        <v>8749</v>
      </c>
      <c r="F2781" t="s">
        <v>273</v>
      </c>
      <c r="G2781" t="s">
        <v>8450</v>
      </c>
      <c r="H2781" t="s">
        <v>275</v>
      </c>
      <c r="I2781" t="s">
        <v>29</v>
      </c>
      <c r="J2781">
        <v>1</v>
      </c>
      <c r="K2781">
        <f>1-888-650-4670</f>
        <v>-6207</v>
      </c>
      <c r="L2781" t="s">
        <v>8750</v>
      </c>
      <c r="M2781" t="s">
        <v>8751</v>
      </c>
      <c r="N2781" t="s">
        <v>278</v>
      </c>
      <c r="O2781" t="s">
        <v>134</v>
      </c>
      <c r="P2781" t="s">
        <v>2268</v>
      </c>
      <c r="Q2781">
        <v>44</v>
      </c>
      <c r="R2781">
        <v>-79.382999999999996</v>
      </c>
    </row>
    <row r="2782" spans="1:18" x14ac:dyDescent="0.2">
      <c r="A2782" t="s">
        <v>270</v>
      </c>
      <c r="B2782" t="s">
        <v>2263</v>
      </c>
      <c r="C2782">
        <v>1</v>
      </c>
      <c r="D2782" s="1">
        <v>44072.863622685189</v>
      </c>
      <c r="E2782" t="s">
        <v>8752</v>
      </c>
      <c r="F2782" t="s">
        <v>273</v>
      </c>
      <c r="G2782" t="s">
        <v>8450</v>
      </c>
      <c r="H2782" t="s">
        <v>275</v>
      </c>
      <c r="I2782" t="s">
        <v>29</v>
      </c>
      <c r="J2782">
        <v>1</v>
      </c>
      <c r="K2782">
        <f>1-888-658-5805</f>
        <v>-7350</v>
      </c>
      <c r="L2782" t="s">
        <v>8753</v>
      </c>
      <c r="M2782" t="s">
        <v>8754</v>
      </c>
      <c r="N2782" t="s">
        <v>278</v>
      </c>
      <c r="O2782" t="s">
        <v>134</v>
      </c>
      <c r="P2782" t="s">
        <v>2268</v>
      </c>
      <c r="Q2782">
        <v>44</v>
      </c>
      <c r="R2782">
        <v>-79.382999999999996</v>
      </c>
    </row>
    <row r="2783" spans="1:18" x14ac:dyDescent="0.2">
      <c r="A2783" t="s">
        <v>270</v>
      </c>
      <c r="B2783" t="s">
        <v>2263</v>
      </c>
      <c r="C2783">
        <v>1</v>
      </c>
      <c r="D2783" s="1">
        <v>44072.236250000002</v>
      </c>
      <c r="E2783" t="s">
        <v>8755</v>
      </c>
      <c r="F2783" t="s">
        <v>273</v>
      </c>
      <c r="G2783" t="s">
        <v>8450</v>
      </c>
      <c r="H2783" t="s">
        <v>275</v>
      </c>
      <c r="I2783" t="s">
        <v>29</v>
      </c>
      <c r="J2783">
        <v>1</v>
      </c>
      <c r="K2783">
        <f>1-888-658-5805</f>
        <v>-7350</v>
      </c>
      <c r="L2783" t="s">
        <v>8756</v>
      </c>
      <c r="M2783" t="s">
        <v>8757</v>
      </c>
      <c r="N2783" t="s">
        <v>278</v>
      </c>
      <c r="O2783" t="s">
        <v>134</v>
      </c>
      <c r="P2783" t="s">
        <v>2268</v>
      </c>
      <c r="Q2783">
        <v>44</v>
      </c>
      <c r="R2783">
        <v>-79.382999999999996</v>
      </c>
    </row>
    <row r="2784" spans="1:18" x14ac:dyDescent="0.2">
      <c r="A2784" t="s">
        <v>270</v>
      </c>
      <c r="B2784" t="s">
        <v>2263</v>
      </c>
      <c r="C2784">
        <v>1</v>
      </c>
      <c r="D2784" s="1">
        <v>44072.235937500001</v>
      </c>
      <c r="E2784" t="s">
        <v>8758</v>
      </c>
      <c r="F2784" t="s">
        <v>273</v>
      </c>
      <c r="G2784" t="s">
        <v>8450</v>
      </c>
      <c r="H2784" t="s">
        <v>275</v>
      </c>
      <c r="I2784" t="s">
        <v>29</v>
      </c>
      <c r="J2784">
        <v>1</v>
      </c>
      <c r="K2784">
        <f>1-888-658-5805</f>
        <v>-7350</v>
      </c>
      <c r="L2784" t="s">
        <v>8759</v>
      </c>
      <c r="M2784" t="s">
        <v>8760</v>
      </c>
      <c r="N2784" t="s">
        <v>278</v>
      </c>
      <c r="O2784" t="s">
        <v>134</v>
      </c>
      <c r="P2784" t="s">
        <v>2268</v>
      </c>
      <c r="Q2784">
        <v>44</v>
      </c>
      <c r="R2784">
        <v>-79.382999999999996</v>
      </c>
    </row>
    <row r="2785" spans="1:18" x14ac:dyDescent="0.2">
      <c r="A2785" t="s">
        <v>270</v>
      </c>
      <c r="B2785" t="s">
        <v>2263</v>
      </c>
      <c r="C2785">
        <v>1</v>
      </c>
      <c r="D2785" s="1">
        <v>44071.977500000001</v>
      </c>
      <c r="E2785" t="s">
        <v>8761</v>
      </c>
      <c r="F2785" t="s">
        <v>273</v>
      </c>
      <c r="G2785" t="s">
        <v>8450</v>
      </c>
      <c r="H2785" t="s">
        <v>275</v>
      </c>
      <c r="I2785" t="s">
        <v>29</v>
      </c>
      <c r="J2785">
        <v>1</v>
      </c>
      <c r="K2785">
        <f>1-888-690-842</f>
        <v>-2419</v>
      </c>
      <c r="L2785" t="s">
        <v>8762</v>
      </c>
      <c r="M2785" t="s">
        <v>8763</v>
      </c>
      <c r="N2785" t="s">
        <v>278</v>
      </c>
      <c r="O2785" t="s">
        <v>134</v>
      </c>
      <c r="P2785" t="s">
        <v>2268</v>
      </c>
      <c r="Q2785">
        <v>44</v>
      </c>
      <c r="R2785">
        <v>-79.382999999999996</v>
      </c>
    </row>
    <row r="2786" spans="1:18" x14ac:dyDescent="0.2">
      <c r="A2786" t="s">
        <v>270</v>
      </c>
      <c r="B2786" t="s">
        <v>2263</v>
      </c>
      <c r="C2786">
        <v>1</v>
      </c>
      <c r="D2786" s="1">
        <v>44071.976342592592</v>
      </c>
      <c r="E2786" t="s">
        <v>8764</v>
      </c>
      <c r="F2786" t="s">
        <v>273</v>
      </c>
      <c r="G2786" t="s">
        <v>8450</v>
      </c>
      <c r="H2786" t="s">
        <v>275</v>
      </c>
      <c r="I2786" t="s">
        <v>29</v>
      </c>
      <c r="J2786">
        <v>1</v>
      </c>
      <c r="K2786">
        <f>1-888-525-642</f>
        <v>-2054</v>
      </c>
      <c r="L2786" t="s">
        <v>8765</v>
      </c>
      <c r="M2786" t="s">
        <v>8766</v>
      </c>
      <c r="N2786" t="s">
        <v>278</v>
      </c>
      <c r="O2786" t="s">
        <v>134</v>
      </c>
      <c r="P2786" t="s">
        <v>2268</v>
      </c>
      <c r="Q2786">
        <v>44</v>
      </c>
      <c r="R2786">
        <v>-79.382999999999996</v>
      </c>
    </row>
    <row r="2787" spans="1:18" x14ac:dyDescent="0.2">
      <c r="A2787" t="s">
        <v>270</v>
      </c>
      <c r="B2787" t="s">
        <v>2263</v>
      </c>
      <c r="C2787">
        <v>1</v>
      </c>
      <c r="D2787" s="1">
        <v>44071.975775462961</v>
      </c>
      <c r="E2787" t="s">
        <v>8767</v>
      </c>
      <c r="F2787" t="s">
        <v>273</v>
      </c>
      <c r="G2787" t="s">
        <v>8450</v>
      </c>
      <c r="H2787" t="s">
        <v>275</v>
      </c>
      <c r="I2787" t="s">
        <v>29</v>
      </c>
      <c r="J2787">
        <v>1</v>
      </c>
      <c r="K2787">
        <f>1-888-312-1401</f>
        <v>-2600</v>
      </c>
      <c r="L2787" t="s">
        <v>8768</v>
      </c>
      <c r="M2787" t="s">
        <v>8769</v>
      </c>
      <c r="N2787" t="s">
        <v>278</v>
      </c>
      <c r="O2787" t="s">
        <v>134</v>
      </c>
      <c r="P2787" t="s">
        <v>2268</v>
      </c>
      <c r="Q2787">
        <v>44</v>
      </c>
      <c r="R2787">
        <v>-79.382999999999996</v>
      </c>
    </row>
    <row r="2788" spans="1:18" x14ac:dyDescent="0.2">
      <c r="A2788" t="s">
        <v>270</v>
      </c>
      <c r="B2788" t="s">
        <v>2263</v>
      </c>
      <c r="C2788">
        <v>1</v>
      </c>
      <c r="D2788" s="1">
        <v>44071.97519675926</v>
      </c>
      <c r="E2788" t="s">
        <v>8770</v>
      </c>
      <c r="F2788" t="s">
        <v>273</v>
      </c>
      <c r="G2788" t="s">
        <v>8450</v>
      </c>
      <c r="H2788" t="s">
        <v>275</v>
      </c>
      <c r="I2788" t="s">
        <v>29</v>
      </c>
      <c r="J2788">
        <v>1</v>
      </c>
      <c r="K2788">
        <f>1-888-690-883</f>
        <v>-2460</v>
      </c>
      <c r="L2788" t="s">
        <v>8771</v>
      </c>
      <c r="M2788" t="s">
        <v>8772</v>
      </c>
      <c r="N2788" t="s">
        <v>278</v>
      </c>
      <c r="O2788" t="s">
        <v>134</v>
      </c>
      <c r="P2788" t="s">
        <v>2268</v>
      </c>
      <c r="Q2788">
        <v>44</v>
      </c>
      <c r="R2788">
        <v>-79.382999999999996</v>
      </c>
    </row>
    <row r="2789" spans="1:18" x14ac:dyDescent="0.2">
      <c r="A2789" t="s">
        <v>270</v>
      </c>
      <c r="B2789" t="s">
        <v>2263</v>
      </c>
      <c r="C2789">
        <v>1</v>
      </c>
      <c r="D2789" s="1">
        <v>44071.974618055552</v>
      </c>
      <c r="E2789" t="s">
        <v>8773</v>
      </c>
      <c r="F2789" t="s">
        <v>273</v>
      </c>
      <c r="G2789" t="s">
        <v>8450</v>
      </c>
      <c r="H2789" t="s">
        <v>275</v>
      </c>
      <c r="I2789" t="s">
        <v>29</v>
      </c>
      <c r="J2789">
        <v>1</v>
      </c>
      <c r="K2789">
        <f>1-888-690-842</f>
        <v>-2419</v>
      </c>
      <c r="L2789" t="s">
        <v>8774</v>
      </c>
      <c r="M2789" t="s">
        <v>8775</v>
      </c>
      <c r="N2789" t="s">
        <v>278</v>
      </c>
      <c r="O2789" t="s">
        <v>134</v>
      </c>
      <c r="P2789" t="s">
        <v>2268</v>
      </c>
      <c r="Q2789">
        <v>44</v>
      </c>
      <c r="R2789">
        <v>-79.382999999999996</v>
      </c>
    </row>
    <row r="2790" spans="1:18" x14ac:dyDescent="0.2">
      <c r="A2790" t="s">
        <v>270</v>
      </c>
      <c r="B2790" t="s">
        <v>2263</v>
      </c>
      <c r="C2790">
        <v>1</v>
      </c>
      <c r="D2790" s="1">
        <v>44071.973437499997</v>
      </c>
      <c r="E2790" t="s">
        <v>8776</v>
      </c>
      <c r="F2790" t="s">
        <v>273</v>
      </c>
      <c r="G2790" t="s">
        <v>8450</v>
      </c>
      <c r="H2790" t="s">
        <v>275</v>
      </c>
      <c r="I2790" t="s">
        <v>29</v>
      </c>
      <c r="J2790">
        <v>1</v>
      </c>
      <c r="K2790">
        <f>1-888-291-57</f>
        <v>-1235</v>
      </c>
      <c r="L2790" t="s">
        <v>8777</v>
      </c>
      <c r="M2790" t="s">
        <v>8778</v>
      </c>
      <c r="N2790" t="s">
        <v>278</v>
      </c>
      <c r="O2790" t="s">
        <v>134</v>
      </c>
      <c r="P2790" t="s">
        <v>2268</v>
      </c>
      <c r="Q2790">
        <v>44</v>
      </c>
      <c r="R2790">
        <v>-79.382999999999996</v>
      </c>
    </row>
    <row r="2791" spans="1:18" x14ac:dyDescent="0.2">
      <c r="A2791" t="s">
        <v>270</v>
      </c>
      <c r="B2791" t="s">
        <v>2263</v>
      </c>
      <c r="C2791">
        <v>1</v>
      </c>
      <c r="D2791" s="1">
        <v>44071.915937500002</v>
      </c>
      <c r="E2791" t="s">
        <v>8779</v>
      </c>
      <c r="F2791" t="s">
        <v>273</v>
      </c>
      <c r="G2791" t="s">
        <v>8450</v>
      </c>
      <c r="H2791" t="s">
        <v>275</v>
      </c>
      <c r="I2791" t="s">
        <v>29</v>
      </c>
      <c r="J2791">
        <v>1</v>
      </c>
      <c r="K2791">
        <f>1-888-706-1244</f>
        <v>-2837</v>
      </c>
      <c r="L2791" t="s">
        <v>8780</v>
      </c>
      <c r="M2791" t="s">
        <v>8781</v>
      </c>
      <c r="N2791" t="s">
        <v>278</v>
      </c>
      <c r="O2791" t="s">
        <v>134</v>
      </c>
      <c r="P2791" t="s">
        <v>2268</v>
      </c>
      <c r="Q2791">
        <v>44</v>
      </c>
      <c r="R2791">
        <v>-79.382999999999996</v>
      </c>
    </row>
    <row r="2792" spans="1:18" x14ac:dyDescent="0.2">
      <c r="A2792" t="s">
        <v>270</v>
      </c>
      <c r="B2792" t="s">
        <v>2263</v>
      </c>
      <c r="C2792">
        <v>1</v>
      </c>
      <c r="D2792" s="1">
        <v>44071.915520833332</v>
      </c>
      <c r="E2792" t="s">
        <v>8782</v>
      </c>
      <c r="F2792" t="s">
        <v>273</v>
      </c>
      <c r="G2792" t="s">
        <v>8450</v>
      </c>
      <c r="H2792" t="s">
        <v>275</v>
      </c>
      <c r="I2792" t="s">
        <v>29</v>
      </c>
      <c r="J2792">
        <v>1</v>
      </c>
      <c r="K2792">
        <f>1-888-521-2457</f>
        <v>-3865</v>
      </c>
      <c r="L2792" t="s">
        <v>8783</v>
      </c>
      <c r="M2792" t="s">
        <v>8784</v>
      </c>
      <c r="N2792" t="s">
        <v>278</v>
      </c>
      <c r="O2792" t="s">
        <v>134</v>
      </c>
      <c r="P2792" t="s">
        <v>2268</v>
      </c>
      <c r="Q2792">
        <v>44</v>
      </c>
      <c r="R2792">
        <v>-79.382999999999996</v>
      </c>
    </row>
    <row r="2793" spans="1:18" x14ac:dyDescent="0.2">
      <c r="A2793" t="s">
        <v>270</v>
      </c>
      <c r="B2793" t="s">
        <v>2263</v>
      </c>
      <c r="C2793">
        <v>1</v>
      </c>
      <c r="D2793" s="1">
        <v>44071.904363425929</v>
      </c>
      <c r="E2793" t="s">
        <v>8785</v>
      </c>
      <c r="F2793" t="s">
        <v>273</v>
      </c>
      <c r="G2793" t="s">
        <v>8450</v>
      </c>
      <c r="H2793" t="s">
        <v>275</v>
      </c>
      <c r="I2793" t="s">
        <v>29</v>
      </c>
      <c r="J2793">
        <v>1</v>
      </c>
      <c r="K2793">
        <f>1-888-383-569</f>
        <v>-1839</v>
      </c>
      <c r="L2793" t="s">
        <v>8786</v>
      </c>
      <c r="M2793" t="s">
        <v>8787</v>
      </c>
      <c r="N2793" t="s">
        <v>278</v>
      </c>
      <c r="O2793" t="s">
        <v>134</v>
      </c>
      <c r="P2793" t="s">
        <v>2268</v>
      </c>
      <c r="Q2793">
        <v>44</v>
      </c>
      <c r="R2793">
        <v>-79.382999999999996</v>
      </c>
    </row>
    <row r="2794" spans="1:18" x14ac:dyDescent="0.2">
      <c r="A2794" t="s">
        <v>270</v>
      </c>
      <c r="B2794" t="s">
        <v>2263</v>
      </c>
      <c r="C2794">
        <v>1</v>
      </c>
      <c r="D2794" s="1">
        <v>44071.90384259259</v>
      </c>
      <c r="E2794" t="s">
        <v>8788</v>
      </c>
      <c r="F2794" t="s">
        <v>273</v>
      </c>
      <c r="G2794" t="s">
        <v>8450</v>
      </c>
      <c r="H2794" t="s">
        <v>275</v>
      </c>
      <c r="I2794" t="s">
        <v>29</v>
      </c>
      <c r="J2794">
        <v>1</v>
      </c>
      <c r="K2794">
        <f>1-888-686-474</f>
        <v>-2047</v>
      </c>
      <c r="L2794" t="s">
        <v>8789</v>
      </c>
      <c r="M2794" t="s">
        <v>8790</v>
      </c>
      <c r="N2794" t="s">
        <v>278</v>
      </c>
      <c r="O2794" t="s">
        <v>134</v>
      </c>
      <c r="P2794" t="s">
        <v>2268</v>
      </c>
      <c r="Q2794">
        <v>44</v>
      </c>
      <c r="R2794">
        <v>-79.382999999999996</v>
      </c>
    </row>
    <row r="2795" spans="1:18" x14ac:dyDescent="0.2">
      <c r="A2795" t="s">
        <v>270</v>
      </c>
      <c r="B2795" t="s">
        <v>2263</v>
      </c>
      <c r="C2795">
        <v>1</v>
      </c>
      <c r="D2795" s="1">
        <v>44071.903078703705</v>
      </c>
      <c r="E2795" t="s">
        <v>8791</v>
      </c>
      <c r="F2795" t="s">
        <v>273</v>
      </c>
      <c r="G2795" t="s">
        <v>8450</v>
      </c>
      <c r="H2795" t="s">
        <v>275</v>
      </c>
      <c r="I2795" t="s">
        <v>29</v>
      </c>
      <c r="J2795">
        <v>1</v>
      </c>
      <c r="K2795">
        <f>1-888-686-474</f>
        <v>-2047</v>
      </c>
      <c r="L2795" t="s">
        <v>8792</v>
      </c>
      <c r="M2795" t="s">
        <v>8793</v>
      </c>
      <c r="N2795" t="s">
        <v>278</v>
      </c>
      <c r="O2795" t="s">
        <v>134</v>
      </c>
      <c r="P2795" t="s">
        <v>2268</v>
      </c>
      <c r="Q2795">
        <v>44</v>
      </c>
      <c r="R2795">
        <v>-79.382999999999996</v>
      </c>
    </row>
    <row r="2796" spans="1:18" x14ac:dyDescent="0.2">
      <c r="A2796" t="s">
        <v>270</v>
      </c>
      <c r="B2796" t="s">
        <v>2263</v>
      </c>
      <c r="C2796">
        <v>1</v>
      </c>
      <c r="D2796" s="1">
        <v>44071.888692129629</v>
      </c>
      <c r="E2796" t="s">
        <v>8794</v>
      </c>
      <c r="F2796" t="s">
        <v>273</v>
      </c>
      <c r="G2796" t="s">
        <v>8450</v>
      </c>
      <c r="H2796" t="s">
        <v>275</v>
      </c>
      <c r="I2796" t="s">
        <v>29</v>
      </c>
      <c r="J2796">
        <v>1</v>
      </c>
      <c r="K2796">
        <f>1-888-312-1430</f>
        <v>-2629</v>
      </c>
      <c r="L2796" t="s">
        <v>8795</v>
      </c>
      <c r="M2796" t="s">
        <v>8796</v>
      </c>
      <c r="N2796" t="s">
        <v>278</v>
      </c>
      <c r="O2796" t="s">
        <v>134</v>
      </c>
      <c r="P2796" t="s">
        <v>2268</v>
      </c>
      <c r="Q2796">
        <v>44</v>
      </c>
      <c r="R2796">
        <v>-79.382999999999996</v>
      </c>
    </row>
    <row r="2797" spans="1:18" x14ac:dyDescent="0.2">
      <c r="A2797" t="s">
        <v>270</v>
      </c>
      <c r="B2797" t="s">
        <v>2263</v>
      </c>
      <c r="C2797">
        <v>1</v>
      </c>
      <c r="D2797" s="1">
        <v>44071.837210648147</v>
      </c>
      <c r="E2797" t="s">
        <v>8797</v>
      </c>
      <c r="F2797" t="s">
        <v>273</v>
      </c>
      <c r="G2797" t="s">
        <v>8450</v>
      </c>
      <c r="H2797" t="s">
        <v>275</v>
      </c>
      <c r="I2797" t="s">
        <v>29</v>
      </c>
      <c r="J2797">
        <v>1</v>
      </c>
      <c r="K2797">
        <f>1-888-650-4670</f>
        <v>-6207</v>
      </c>
      <c r="L2797" t="s">
        <v>8798</v>
      </c>
      <c r="M2797" t="s">
        <v>8799</v>
      </c>
      <c r="N2797" t="s">
        <v>278</v>
      </c>
      <c r="O2797" t="s">
        <v>28</v>
      </c>
      <c r="P2797" t="s">
        <v>2268</v>
      </c>
      <c r="Q2797">
        <v>44</v>
      </c>
      <c r="R2797">
        <v>-79.382999999999996</v>
      </c>
    </row>
    <row r="2798" spans="1:18" x14ac:dyDescent="0.2">
      <c r="A2798" t="s">
        <v>270</v>
      </c>
      <c r="B2798" t="s">
        <v>2263</v>
      </c>
      <c r="C2798">
        <v>1</v>
      </c>
      <c r="D2798" s="1">
        <v>44071.835092592592</v>
      </c>
      <c r="E2798" t="s">
        <v>8800</v>
      </c>
      <c r="F2798" t="s">
        <v>273</v>
      </c>
      <c r="G2798" t="s">
        <v>8450</v>
      </c>
      <c r="H2798" t="s">
        <v>275</v>
      </c>
      <c r="I2798" t="s">
        <v>29</v>
      </c>
      <c r="J2798">
        <v>1</v>
      </c>
      <c r="K2798">
        <f>1-888-650-4670</f>
        <v>-6207</v>
      </c>
      <c r="L2798" t="s">
        <v>8801</v>
      </c>
      <c r="M2798" t="s">
        <v>8802</v>
      </c>
      <c r="N2798" t="s">
        <v>278</v>
      </c>
      <c r="O2798" t="s">
        <v>28</v>
      </c>
      <c r="P2798" t="s">
        <v>2268</v>
      </c>
      <c r="Q2798">
        <v>44</v>
      </c>
      <c r="R2798">
        <v>-79.382999999999996</v>
      </c>
    </row>
    <row r="2799" spans="1:18" x14ac:dyDescent="0.2">
      <c r="A2799" t="s">
        <v>270</v>
      </c>
      <c r="B2799" t="s">
        <v>2263</v>
      </c>
      <c r="C2799">
        <v>1</v>
      </c>
      <c r="D2799" s="1">
        <v>44071.835057870368</v>
      </c>
      <c r="E2799" t="s">
        <v>8803</v>
      </c>
      <c r="F2799" t="s">
        <v>273</v>
      </c>
      <c r="G2799" t="s">
        <v>8450</v>
      </c>
      <c r="H2799" t="s">
        <v>275</v>
      </c>
      <c r="I2799" t="s">
        <v>29</v>
      </c>
      <c r="J2799">
        <v>1</v>
      </c>
      <c r="K2799">
        <f>1-888-662-8133</f>
        <v>-9682</v>
      </c>
      <c r="L2799" t="s">
        <v>8804</v>
      </c>
      <c r="M2799" t="s">
        <v>8805</v>
      </c>
      <c r="N2799" t="s">
        <v>278</v>
      </c>
      <c r="O2799" t="s">
        <v>28</v>
      </c>
      <c r="P2799" t="s">
        <v>2268</v>
      </c>
      <c r="Q2799">
        <v>44</v>
      </c>
      <c r="R2799">
        <v>-79.382999999999996</v>
      </c>
    </row>
    <row r="2800" spans="1:18" x14ac:dyDescent="0.2">
      <c r="A2800" t="s">
        <v>270</v>
      </c>
      <c r="B2800" t="s">
        <v>2263</v>
      </c>
      <c r="C2800">
        <v>1</v>
      </c>
      <c r="D2800" s="1">
        <v>44071.418344907404</v>
      </c>
      <c r="E2800" t="s">
        <v>8806</v>
      </c>
      <c r="F2800" t="s">
        <v>273</v>
      </c>
      <c r="G2800" t="s">
        <v>8450</v>
      </c>
      <c r="H2800" t="s">
        <v>275</v>
      </c>
      <c r="I2800" t="s">
        <v>29</v>
      </c>
      <c r="J2800">
        <v>1</v>
      </c>
      <c r="K2800">
        <f>1-888-803-850</f>
        <v>-2540</v>
      </c>
      <c r="L2800" t="s">
        <v>8807</v>
      </c>
      <c r="M2800" t="s">
        <v>8808</v>
      </c>
      <c r="N2800" t="s">
        <v>278</v>
      </c>
      <c r="O2800" t="s">
        <v>134</v>
      </c>
      <c r="P2800" t="s">
        <v>2268</v>
      </c>
      <c r="Q2800">
        <v>44</v>
      </c>
      <c r="R2800">
        <v>-79.382999999999996</v>
      </c>
    </row>
    <row r="2801" spans="1:18" x14ac:dyDescent="0.2">
      <c r="A2801" t="s">
        <v>270</v>
      </c>
      <c r="B2801" t="s">
        <v>2263</v>
      </c>
      <c r="C2801">
        <v>1</v>
      </c>
      <c r="D2801" s="1">
        <v>44071.416886574072</v>
      </c>
      <c r="E2801" t="s">
        <v>8809</v>
      </c>
      <c r="F2801" t="s">
        <v>273</v>
      </c>
      <c r="G2801" t="s">
        <v>8450</v>
      </c>
      <c r="H2801" t="s">
        <v>275</v>
      </c>
      <c r="I2801" t="s">
        <v>29</v>
      </c>
      <c r="J2801">
        <v>1</v>
      </c>
      <c r="K2801">
        <f>1-888-417-4090</f>
        <v>-5394</v>
      </c>
      <c r="L2801" t="s">
        <v>8810</v>
      </c>
      <c r="M2801" t="s">
        <v>8811</v>
      </c>
      <c r="N2801" t="s">
        <v>278</v>
      </c>
      <c r="O2801" t="s">
        <v>134</v>
      </c>
      <c r="P2801" t="s">
        <v>2268</v>
      </c>
      <c r="Q2801">
        <v>44</v>
      </c>
      <c r="R2801">
        <v>-79.382999999999996</v>
      </c>
    </row>
    <row r="2802" spans="1:18" x14ac:dyDescent="0.2">
      <c r="A2802" t="s">
        <v>270</v>
      </c>
      <c r="B2802" t="s">
        <v>2263</v>
      </c>
      <c r="C2802">
        <v>1</v>
      </c>
      <c r="D2802" s="1">
        <v>44071.41542824074</v>
      </c>
      <c r="E2802" t="s">
        <v>8812</v>
      </c>
      <c r="F2802" t="s">
        <v>273</v>
      </c>
      <c r="G2802" t="s">
        <v>8450</v>
      </c>
      <c r="H2802" t="s">
        <v>275</v>
      </c>
      <c r="I2802" t="s">
        <v>29</v>
      </c>
      <c r="J2802">
        <v>1</v>
      </c>
      <c r="K2802">
        <f>1-888-417-4090</f>
        <v>-5394</v>
      </c>
      <c r="L2802" t="s">
        <v>8813</v>
      </c>
      <c r="M2802" t="s">
        <v>8814</v>
      </c>
      <c r="N2802" t="s">
        <v>278</v>
      </c>
      <c r="O2802" t="s">
        <v>134</v>
      </c>
      <c r="P2802" t="s">
        <v>2268</v>
      </c>
      <c r="Q2802">
        <v>44</v>
      </c>
      <c r="R2802">
        <v>-79.382999999999996</v>
      </c>
    </row>
    <row r="2803" spans="1:18" x14ac:dyDescent="0.2">
      <c r="A2803" t="s">
        <v>270</v>
      </c>
      <c r="B2803" t="s">
        <v>2263</v>
      </c>
      <c r="C2803">
        <v>1</v>
      </c>
      <c r="D2803" s="1">
        <v>44070.870659722219</v>
      </c>
      <c r="E2803" t="s">
        <v>8815</v>
      </c>
      <c r="F2803" t="s">
        <v>273</v>
      </c>
      <c r="G2803" t="s">
        <v>8450</v>
      </c>
      <c r="H2803" t="s">
        <v>275</v>
      </c>
      <c r="I2803" t="s">
        <v>29</v>
      </c>
      <c r="J2803">
        <v>1</v>
      </c>
      <c r="K2803">
        <f>1-888-597-1445</f>
        <v>-2929</v>
      </c>
      <c r="L2803" t="s">
        <v>8816</v>
      </c>
      <c r="M2803" t="s">
        <v>8817</v>
      </c>
      <c r="N2803" t="s">
        <v>278</v>
      </c>
      <c r="O2803" t="s">
        <v>134</v>
      </c>
      <c r="P2803" t="s">
        <v>2268</v>
      </c>
      <c r="Q2803">
        <v>44</v>
      </c>
      <c r="R2803">
        <v>-79.382999999999996</v>
      </c>
    </row>
    <row r="2804" spans="1:18" x14ac:dyDescent="0.2">
      <c r="A2804" t="s">
        <v>270</v>
      </c>
      <c r="B2804" t="s">
        <v>2263</v>
      </c>
      <c r="C2804">
        <v>1</v>
      </c>
      <c r="D2804" s="1">
        <v>44070.739907407406</v>
      </c>
      <c r="E2804" t="s">
        <v>8818</v>
      </c>
      <c r="F2804" t="s">
        <v>273</v>
      </c>
      <c r="G2804" t="s">
        <v>8450</v>
      </c>
      <c r="H2804" t="s">
        <v>275</v>
      </c>
      <c r="I2804" t="s">
        <v>29</v>
      </c>
      <c r="J2804">
        <v>1</v>
      </c>
      <c r="K2804">
        <f>1-888-655-2343</f>
        <v>-3885</v>
      </c>
      <c r="L2804" t="s">
        <v>8819</v>
      </c>
      <c r="M2804" t="s">
        <v>8820</v>
      </c>
      <c r="N2804" t="s">
        <v>278</v>
      </c>
      <c r="O2804" t="s">
        <v>134</v>
      </c>
      <c r="P2804" t="s">
        <v>2268</v>
      </c>
      <c r="Q2804">
        <v>44</v>
      </c>
      <c r="R2804">
        <v>-79.382999999999996</v>
      </c>
    </row>
    <row r="2805" spans="1:18" x14ac:dyDescent="0.2">
      <c r="A2805" t="s">
        <v>270</v>
      </c>
      <c r="B2805" t="s">
        <v>2263</v>
      </c>
      <c r="C2805">
        <v>1</v>
      </c>
      <c r="D2805" s="1">
        <v>44070.601851851854</v>
      </c>
      <c r="E2805" t="s">
        <v>8821</v>
      </c>
      <c r="F2805" t="s">
        <v>273</v>
      </c>
      <c r="G2805" t="s">
        <v>8450</v>
      </c>
      <c r="H2805" t="s">
        <v>275</v>
      </c>
      <c r="I2805" t="s">
        <v>29</v>
      </c>
      <c r="J2805">
        <v>1</v>
      </c>
      <c r="K2805">
        <f>1-888-527-4189</f>
        <v>-5603</v>
      </c>
      <c r="L2805" t="s">
        <v>8822</v>
      </c>
      <c r="M2805" t="s">
        <v>8823</v>
      </c>
      <c r="N2805" t="s">
        <v>278</v>
      </c>
      <c r="O2805" t="s">
        <v>134</v>
      </c>
      <c r="P2805" t="s">
        <v>2268</v>
      </c>
      <c r="Q2805">
        <v>44</v>
      </c>
      <c r="R2805">
        <v>-79.382999999999996</v>
      </c>
    </row>
    <row r="2806" spans="1:18" x14ac:dyDescent="0.2">
      <c r="A2806" t="s">
        <v>270</v>
      </c>
      <c r="B2806" t="s">
        <v>2263</v>
      </c>
      <c r="C2806">
        <v>1</v>
      </c>
      <c r="D2806" s="1">
        <v>44070.599270833336</v>
      </c>
      <c r="E2806" t="s">
        <v>8824</v>
      </c>
      <c r="F2806" t="s">
        <v>273</v>
      </c>
      <c r="G2806" t="s">
        <v>8450</v>
      </c>
      <c r="H2806" t="s">
        <v>275</v>
      </c>
      <c r="I2806" t="s">
        <v>29</v>
      </c>
      <c r="J2806">
        <v>1</v>
      </c>
      <c r="K2806">
        <f>1-888-530-1472</f>
        <v>-2889</v>
      </c>
      <c r="L2806" t="s">
        <v>8825</v>
      </c>
      <c r="M2806" t="s">
        <v>8826</v>
      </c>
      <c r="N2806" t="s">
        <v>278</v>
      </c>
      <c r="O2806" t="s">
        <v>134</v>
      </c>
      <c r="P2806" t="s">
        <v>2268</v>
      </c>
      <c r="Q2806">
        <v>44</v>
      </c>
      <c r="R2806">
        <v>-79.382999999999996</v>
      </c>
    </row>
    <row r="2807" spans="1:18" x14ac:dyDescent="0.2">
      <c r="A2807" t="s">
        <v>270</v>
      </c>
      <c r="B2807" t="s">
        <v>2263</v>
      </c>
      <c r="C2807">
        <v>1</v>
      </c>
      <c r="D2807" s="1">
        <v>44070.583113425928</v>
      </c>
      <c r="E2807" t="s">
        <v>8827</v>
      </c>
      <c r="F2807" t="s">
        <v>273</v>
      </c>
      <c r="G2807" t="s">
        <v>8450</v>
      </c>
      <c r="H2807" t="s">
        <v>275</v>
      </c>
      <c r="I2807" t="s">
        <v>29</v>
      </c>
      <c r="J2807">
        <v>1</v>
      </c>
      <c r="K2807">
        <f>1-866-672-9693</f>
        <v>-11230</v>
      </c>
      <c r="L2807" t="s">
        <v>8828</v>
      </c>
      <c r="M2807" t="s">
        <v>8829</v>
      </c>
      <c r="N2807" t="s">
        <v>278</v>
      </c>
      <c r="O2807" t="s">
        <v>134</v>
      </c>
      <c r="P2807" t="s">
        <v>2268</v>
      </c>
      <c r="Q2807">
        <v>44</v>
      </c>
      <c r="R2807">
        <v>-79.382999999999996</v>
      </c>
    </row>
    <row r="2808" spans="1:18" x14ac:dyDescent="0.2">
      <c r="A2808" t="s">
        <v>270</v>
      </c>
      <c r="B2808" t="s">
        <v>2263</v>
      </c>
      <c r="C2808">
        <v>1</v>
      </c>
      <c r="D2808" s="1">
        <v>44070.581030092595</v>
      </c>
      <c r="E2808" t="s">
        <v>8830</v>
      </c>
      <c r="F2808" t="s">
        <v>273</v>
      </c>
      <c r="G2808" t="s">
        <v>8450</v>
      </c>
      <c r="H2808" t="s">
        <v>275</v>
      </c>
      <c r="I2808" t="s">
        <v>29</v>
      </c>
      <c r="J2808">
        <v>1</v>
      </c>
      <c r="K2808">
        <f>1-866-746-1819</f>
        <v>-3430</v>
      </c>
      <c r="L2808" t="s">
        <v>8831</v>
      </c>
      <c r="M2808" t="s">
        <v>8832</v>
      </c>
      <c r="N2808" t="s">
        <v>278</v>
      </c>
      <c r="O2808" t="s">
        <v>134</v>
      </c>
      <c r="P2808" t="s">
        <v>2268</v>
      </c>
      <c r="Q2808">
        <v>44</v>
      </c>
      <c r="R2808">
        <v>-79.382999999999996</v>
      </c>
    </row>
    <row r="2809" spans="1:18" x14ac:dyDescent="0.2">
      <c r="A2809" t="s">
        <v>270</v>
      </c>
      <c r="B2809" t="s">
        <v>2263</v>
      </c>
      <c r="C2809">
        <v>1</v>
      </c>
      <c r="D2809" s="1">
        <v>44070.578703703701</v>
      </c>
      <c r="E2809" t="s">
        <v>8833</v>
      </c>
      <c r="F2809" t="s">
        <v>273</v>
      </c>
      <c r="G2809" t="s">
        <v>8450</v>
      </c>
      <c r="H2809" t="s">
        <v>275</v>
      </c>
      <c r="I2809" t="s">
        <v>29</v>
      </c>
      <c r="J2809">
        <v>1</v>
      </c>
      <c r="K2809">
        <f>1-866-672-9693</f>
        <v>-11230</v>
      </c>
      <c r="L2809" t="s">
        <v>8834</v>
      </c>
      <c r="M2809" t="s">
        <v>8835</v>
      </c>
      <c r="N2809" t="s">
        <v>278</v>
      </c>
      <c r="O2809" t="s">
        <v>134</v>
      </c>
      <c r="P2809" t="s">
        <v>2268</v>
      </c>
      <c r="Q2809">
        <v>44</v>
      </c>
      <c r="R2809">
        <v>-79.382999999999996</v>
      </c>
    </row>
    <row r="2810" spans="1:18" x14ac:dyDescent="0.2">
      <c r="A2810" t="s">
        <v>270</v>
      </c>
      <c r="B2810" t="s">
        <v>2263</v>
      </c>
      <c r="C2810">
        <v>1</v>
      </c>
      <c r="D2810" s="1">
        <v>44070.576793981483</v>
      </c>
      <c r="E2810" t="s">
        <v>8836</v>
      </c>
      <c r="F2810" t="s">
        <v>273</v>
      </c>
      <c r="G2810" t="s">
        <v>8450</v>
      </c>
      <c r="H2810" t="s">
        <v>275</v>
      </c>
      <c r="I2810" t="s">
        <v>29</v>
      </c>
      <c r="J2810">
        <v>1</v>
      </c>
      <c r="K2810">
        <f>1-866-730-8093</f>
        <v>-9688</v>
      </c>
      <c r="L2810" t="s">
        <v>8837</v>
      </c>
      <c r="M2810" t="s">
        <v>8838</v>
      </c>
      <c r="N2810" t="s">
        <v>278</v>
      </c>
      <c r="O2810" t="s">
        <v>134</v>
      </c>
      <c r="P2810" t="s">
        <v>2268</v>
      </c>
      <c r="Q2810">
        <v>44</v>
      </c>
      <c r="R2810">
        <v>-79.382999999999996</v>
      </c>
    </row>
    <row r="2811" spans="1:18" x14ac:dyDescent="0.2">
      <c r="A2811" t="s">
        <v>270</v>
      </c>
      <c r="B2811" t="s">
        <v>2263</v>
      </c>
      <c r="C2811">
        <v>1</v>
      </c>
      <c r="D2811" s="1">
        <v>44068.193148148152</v>
      </c>
      <c r="E2811" t="s">
        <v>8839</v>
      </c>
      <c r="F2811" t="s">
        <v>273</v>
      </c>
      <c r="G2811" t="s">
        <v>8450</v>
      </c>
      <c r="H2811" t="s">
        <v>275</v>
      </c>
      <c r="I2811" t="s">
        <v>29</v>
      </c>
      <c r="J2811">
        <v>1</v>
      </c>
      <c r="K2811">
        <f>1-888-530-4241</f>
        <v>-5658</v>
      </c>
      <c r="L2811" t="s">
        <v>8840</v>
      </c>
      <c r="M2811" t="s">
        <v>8841</v>
      </c>
      <c r="N2811" t="s">
        <v>278</v>
      </c>
      <c r="O2811" t="s">
        <v>134</v>
      </c>
      <c r="P2811" t="s">
        <v>2268</v>
      </c>
      <c r="Q2811">
        <v>44</v>
      </c>
      <c r="R2811">
        <v>-79.382999999999996</v>
      </c>
    </row>
    <row r="2812" spans="1:18" x14ac:dyDescent="0.2">
      <c r="A2812" t="s">
        <v>270</v>
      </c>
      <c r="B2812" t="s">
        <v>2263</v>
      </c>
      <c r="C2812">
        <v>1</v>
      </c>
      <c r="D2812" s="1">
        <v>44068.190104166664</v>
      </c>
      <c r="E2812" t="s">
        <v>8842</v>
      </c>
      <c r="F2812" t="s">
        <v>273</v>
      </c>
      <c r="G2812" t="s">
        <v>8450</v>
      </c>
      <c r="H2812" t="s">
        <v>275</v>
      </c>
      <c r="I2812" t="s">
        <v>29</v>
      </c>
      <c r="J2812">
        <v>1</v>
      </c>
      <c r="K2812">
        <f>1-888-523-6448</f>
        <v>-7858</v>
      </c>
      <c r="L2812" t="s">
        <v>8843</v>
      </c>
      <c r="M2812" t="s">
        <v>8844</v>
      </c>
      <c r="N2812" t="s">
        <v>278</v>
      </c>
      <c r="O2812" t="s">
        <v>134</v>
      </c>
      <c r="P2812" t="s">
        <v>2268</v>
      </c>
      <c r="Q2812">
        <v>44</v>
      </c>
      <c r="R2812">
        <v>-79.382999999999996</v>
      </c>
    </row>
    <row r="2813" spans="1:18" x14ac:dyDescent="0.2">
      <c r="A2813" t="s">
        <v>270</v>
      </c>
      <c r="B2813" t="s">
        <v>2263</v>
      </c>
      <c r="C2813">
        <v>1</v>
      </c>
      <c r="D2813" s="1">
        <v>44068.188310185185</v>
      </c>
      <c r="E2813" t="s">
        <v>8845</v>
      </c>
      <c r="F2813" t="s">
        <v>273</v>
      </c>
      <c r="G2813" t="s">
        <v>8450</v>
      </c>
      <c r="H2813" t="s">
        <v>275</v>
      </c>
      <c r="I2813" t="s">
        <v>29</v>
      </c>
      <c r="J2813">
        <v>1</v>
      </c>
      <c r="K2813">
        <f>1-888-535-4744</f>
        <v>-6166</v>
      </c>
      <c r="L2813" t="s">
        <v>8846</v>
      </c>
      <c r="M2813" t="s">
        <v>8847</v>
      </c>
      <c r="N2813" t="s">
        <v>278</v>
      </c>
      <c r="O2813" t="s">
        <v>134</v>
      </c>
      <c r="P2813" t="s">
        <v>2268</v>
      </c>
      <c r="Q2813">
        <v>44</v>
      </c>
      <c r="R2813">
        <v>-79.382999999999996</v>
      </c>
    </row>
    <row r="2814" spans="1:18" x14ac:dyDescent="0.2">
      <c r="A2814" t="s">
        <v>270</v>
      </c>
      <c r="B2814" t="s">
        <v>2263</v>
      </c>
      <c r="C2814">
        <v>1</v>
      </c>
      <c r="D2814" s="1">
        <v>44068.074548611112</v>
      </c>
      <c r="E2814" t="s">
        <v>8848</v>
      </c>
      <c r="F2814" t="s">
        <v>273</v>
      </c>
      <c r="G2814" t="s">
        <v>8450</v>
      </c>
      <c r="H2814" t="s">
        <v>275</v>
      </c>
      <c r="I2814" t="s">
        <v>29</v>
      </c>
      <c r="J2814">
        <v>1</v>
      </c>
      <c r="K2814">
        <f>1-888-655-2343</f>
        <v>-3885</v>
      </c>
      <c r="L2814" t="s">
        <v>8849</v>
      </c>
      <c r="M2814" t="s">
        <v>8850</v>
      </c>
      <c r="N2814" t="s">
        <v>278</v>
      </c>
      <c r="O2814" t="s">
        <v>28</v>
      </c>
      <c r="P2814" t="s">
        <v>2268</v>
      </c>
      <c r="Q2814">
        <v>44</v>
      </c>
      <c r="R2814">
        <v>-79.382999999999996</v>
      </c>
    </row>
    <row r="2815" spans="1:18" x14ac:dyDescent="0.2">
      <c r="A2815" t="s">
        <v>270</v>
      </c>
      <c r="B2815" t="s">
        <v>2263</v>
      </c>
      <c r="C2815">
        <v>1</v>
      </c>
      <c r="D2815" s="1">
        <v>44068.073240740741</v>
      </c>
      <c r="E2815" t="s">
        <v>8851</v>
      </c>
      <c r="F2815" t="s">
        <v>273</v>
      </c>
      <c r="G2815" t="s">
        <v>8450</v>
      </c>
      <c r="H2815" t="s">
        <v>275</v>
      </c>
      <c r="I2815" t="s">
        <v>29</v>
      </c>
      <c r="J2815">
        <v>1</v>
      </c>
      <c r="K2815">
        <f>1-888-851-676</f>
        <v>-2414</v>
      </c>
      <c r="L2815" t="s">
        <v>8852</v>
      </c>
      <c r="M2815" t="s">
        <v>8853</v>
      </c>
      <c r="N2815" t="s">
        <v>278</v>
      </c>
      <c r="O2815" t="s">
        <v>28</v>
      </c>
      <c r="P2815" t="s">
        <v>2268</v>
      </c>
      <c r="Q2815">
        <v>44</v>
      </c>
      <c r="R2815">
        <v>-79.382999999999996</v>
      </c>
    </row>
    <row r="2816" spans="1:18" x14ac:dyDescent="0.2">
      <c r="A2816" t="s">
        <v>270</v>
      </c>
      <c r="B2816" t="s">
        <v>2263</v>
      </c>
      <c r="C2816">
        <v>1</v>
      </c>
      <c r="D2816" s="1">
        <v>44068.059016203704</v>
      </c>
      <c r="E2816" t="s">
        <v>8854</v>
      </c>
      <c r="F2816" t="s">
        <v>273</v>
      </c>
      <c r="G2816" t="s">
        <v>8450</v>
      </c>
      <c r="H2816" t="s">
        <v>275</v>
      </c>
      <c r="I2816" t="s">
        <v>29</v>
      </c>
      <c r="J2816">
        <v>1</v>
      </c>
      <c r="K2816">
        <f>1-888-527-5177</f>
        <v>-6591</v>
      </c>
      <c r="L2816" t="s">
        <v>8855</v>
      </c>
      <c r="M2816" t="s">
        <v>8856</v>
      </c>
      <c r="N2816" t="s">
        <v>278</v>
      </c>
      <c r="O2816" t="s">
        <v>28</v>
      </c>
      <c r="P2816" t="s">
        <v>2268</v>
      </c>
      <c r="Q2816">
        <v>44</v>
      </c>
      <c r="R2816">
        <v>-79.382999999999996</v>
      </c>
    </row>
    <row r="2817" spans="1:18" x14ac:dyDescent="0.2">
      <c r="A2817" t="s">
        <v>270</v>
      </c>
      <c r="B2817" t="s">
        <v>2263</v>
      </c>
      <c r="C2817">
        <v>1</v>
      </c>
      <c r="D2817" s="1">
        <v>44068.057384259257</v>
      </c>
      <c r="E2817" t="s">
        <v>8857</v>
      </c>
      <c r="F2817" t="s">
        <v>273</v>
      </c>
      <c r="G2817" t="s">
        <v>8450</v>
      </c>
      <c r="H2817" t="s">
        <v>275</v>
      </c>
      <c r="I2817" t="s">
        <v>29</v>
      </c>
      <c r="J2817">
        <v>1</v>
      </c>
      <c r="K2817">
        <f>1-888-523-6511</f>
        <v>-7921</v>
      </c>
      <c r="L2817" t="s">
        <v>8858</v>
      </c>
      <c r="M2817" t="s">
        <v>8859</v>
      </c>
      <c r="N2817" t="s">
        <v>278</v>
      </c>
      <c r="O2817" t="s">
        <v>28</v>
      </c>
      <c r="P2817" t="s">
        <v>2268</v>
      </c>
      <c r="Q2817">
        <v>44</v>
      </c>
      <c r="R2817">
        <v>-79.382999999999996</v>
      </c>
    </row>
    <row r="2818" spans="1:18" x14ac:dyDescent="0.2">
      <c r="A2818" t="s">
        <v>270</v>
      </c>
      <c r="B2818" t="s">
        <v>2263</v>
      </c>
      <c r="C2818">
        <v>1</v>
      </c>
      <c r="D2818" s="1">
        <v>44068.05196759259</v>
      </c>
      <c r="E2818" t="s">
        <v>8860</v>
      </c>
      <c r="F2818" t="s">
        <v>273</v>
      </c>
      <c r="G2818" t="s">
        <v>8450</v>
      </c>
      <c r="H2818" t="s">
        <v>275</v>
      </c>
      <c r="I2818" t="s">
        <v>29</v>
      </c>
      <c r="J2818">
        <v>1</v>
      </c>
      <c r="K2818">
        <f>1-888-524-5804</f>
        <v>-7215</v>
      </c>
      <c r="L2818" t="s">
        <v>8861</v>
      </c>
      <c r="M2818" t="s">
        <v>8862</v>
      </c>
      <c r="N2818" t="s">
        <v>278</v>
      </c>
      <c r="O2818" t="s">
        <v>28</v>
      </c>
      <c r="P2818" t="s">
        <v>2268</v>
      </c>
      <c r="Q2818">
        <v>44</v>
      </c>
      <c r="R2818">
        <v>-79.382999999999996</v>
      </c>
    </row>
    <row r="2819" spans="1:18" x14ac:dyDescent="0.2">
      <c r="A2819" t="s">
        <v>270</v>
      </c>
      <c r="B2819" t="s">
        <v>2263</v>
      </c>
      <c r="C2819">
        <v>1</v>
      </c>
      <c r="D2819" s="1">
        <v>44068.047569444447</v>
      </c>
      <c r="E2819" t="s">
        <v>8863</v>
      </c>
      <c r="F2819" t="s">
        <v>273</v>
      </c>
      <c r="G2819" t="s">
        <v>8450</v>
      </c>
      <c r="H2819" t="s">
        <v>275</v>
      </c>
      <c r="I2819" t="s">
        <v>29</v>
      </c>
      <c r="J2819">
        <v>1</v>
      </c>
      <c r="K2819">
        <f>1-888-534-8036</f>
        <v>-9457</v>
      </c>
      <c r="L2819" t="s">
        <v>8864</v>
      </c>
      <c r="M2819" t="s">
        <v>8865</v>
      </c>
      <c r="N2819" t="s">
        <v>278</v>
      </c>
      <c r="O2819" t="s">
        <v>28</v>
      </c>
      <c r="P2819" t="s">
        <v>2268</v>
      </c>
      <c r="Q2819">
        <v>44</v>
      </c>
      <c r="R2819">
        <v>-79.382999999999996</v>
      </c>
    </row>
    <row r="2820" spans="1:18" x14ac:dyDescent="0.2">
      <c r="A2820" t="s">
        <v>270</v>
      </c>
      <c r="B2820" t="s">
        <v>2263</v>
      </c>
      <c r="C2820">
        <v>1</v>
      </c>
      <c r="D2820" s="1">
        <v>44068.033668981479</v>
      </c>
      <c r="E2820" t="s">
        <v>8866</v>
      </c>
      <c r="F2820" t="s">
        <v>273</v>
      </c>
      <c r="G2820" t="s">
        <v>8450</v>
      </c>
      <c r="H2820" t="s">
        <v>275</v>
      </c>
      <c r="I2820" t="s">
        <v>29</v>
      </c>
      <c r="J2820">
        <v>1</v>
      </c>
      <c r="K2820">
        <f>1-888-965-914</f>
        <v>-2766</v>
      </c>
      <c r="L2820" t="s">
        <v>8867</v>
      </c>
      <c r="M2820" t="s">
        <v>8868</v>
      </c>
      <c r="N2820" t="s">
        <v>278</v>
      </c>
      <c r="O2820" t="s">
        <v>28</v>
      </c>
      <c r="P2820" t="s">
        <v>2268</v>
      </c>
      <c r="Q2820">
        <v>44</v>
      </c>
      <c r="R2820">
        <v>-79.382999999999996</v>
      </c>
    </row>
    <row r="2821" spans="1:18" x14ac:dyDescent="0.2">
      <c r="A2821" t="s">
        <v>270</v>
      </c>
      <c r="B2821" t="s">
        <v>2263</v>
      </c>
      <c r="C2821">
        <v>1</v>
      </c>
      <c r="D2821" s="1">
        <v>44068.030856481484</v>
      </c>
      <c r="E2821" t="s">
        <v>8869</v>
      </c>
      <c r="F2821" t="s">
        <v>273</v>
      </c>
      <c r="G2821" t="s">
        <v>8450</v>
      </c>
      <c r="H2821" t="s">
        <v>275</v>
      </c>
      <c r="I2821" t="s">
        <v>29</v>
      </c>
      <c r="J2821">
        <v>1</v>
      </c>
      <c r="K2821">
        <f>1-888-965-777</f>
        <v>-2629</v>
      </c>
      <c r="L2821" t="s">
        <v>8870</v>
      </c>
      <c r="M2821" t="s">
        <v>8871</v>
      </c>
      <c r="N2821" t="s">
        <v>278</v>
      </c>
      <c r="O2821" t="s">
        <v>28</v>
      </c>
      <c r="P2821" t="s">
        <v>2268</v>
      </c>
      <c r="Q2821">
        <v>44</v>
      </c>
      <c r="R2821">
        <v>-79.382999999999996</v>
      </c>
    </row>
    <row r="2822" spans="1:18" x14ac:dyDescent="0.2">
      <c r="A2822" t="s">
        <v>270</v>
      </c>
      <c r="B2822" t="s">
        <v>2263</v>
      </c>
      <c r="C2822">
        <v>1</v>
      </c>
      <c r="D2822" s="1">
        <v>44068.030324074076</v>
      </c>
      <c r="E2822" t="s">
        <v>8872</v>
      </c>
      <c r="F2822" t="s">
        <v>273</v>
      </c>
      <c r="G2822" t="s">
        <v>8450</v>
      </c>
      <c r="H2822" t="s">
        <v>275</v>
      </c>
      <c r="I2822" t="s">
        <v>29</v>
      </c>
      <c r="J2822">
        <v>1</v>
      </c>
      <c r="K2822">
        <f>1-888-965-777</f>
        <v>-2629</v>
      </c>
      <c r="L2822" t="s">
        <v>8873</v>
      </c>
      <c r="M2822" t="s">
        <v>8874</v>
      </c>
      <c r="N2822" t="s">
        <v>278</v>
      </c>
      <c r="O2822" t="s">
        <v>28</v>
      </c>
      <c r="P2822" t="s">
        <v>2268</v>
      </c>
      <c r="Q2822">
        <v>44</v>
      </c>
      <c r="R2822">
        <v>-79.382999999999996</v>
      </c>
    </row>
    <row r="2823" spans="1:18" x14ac:dyDescent="0.2">
      <c r="A2823" t="s">
        <v>270</v>
      </c>
      <c r="B2823" t="s">
        <v>2263</v>
      </c>
      <c r="C2823">
        <v>1</v>
      </c>
      <c r="D2823" s="1">
        <v>44068.028611111113</v>
      </c>
      <c r="E2823" t="s">
        <v>8875</v>
      </c>
      <c r="F2823" t="s">
        <v>273</v>
      </c>
      <c r="G2823" t="s">
        <v>8450</v>
      </c>
      <c r="H2823" t="s">
        <v>275</v>
      </c>
      <c r="I2823" t="s">
        <v>29</v>
      </c>
      <c r="J2823">
        <v>1</v>
      </c>
      <c r="K2823">
        <f>1-888-690-840</f>
        <v>-2417</v>
      </c>
      <c r="L2823" t="s">
        <v>8876</v>
      </c>
      <c r="M2823" t="s">
        <v>8877</v>
      </c>
      <c r="N2823" t="s">
        <v>278</v>
      </c>
      <c r="O2823" t="s">
        <v>28</v>
      </c>
      <c r="P2823" t="s">
        <v>2268</v>
      </c>
      <c r="Q2823">
        <v>44</v>
      </c>
      <c r="R2823">
        <v>-79.382999999999996</v>
      </c>
    </row>
    <row r="2824" spans="1:18" x14ac:dyDescent="0.2">
      <c r="A2824" t="s">
        <v>270</v>
      </c>
      <c r="B2824" t="s">
        <v>2263</v>
      </c>
      <c r="C2824">
        <v>1</v>
      </c>
      <c r="D2824" s="1">
        <v>44068.021851851852</v>
      </c>
      <c r="E2824" t="s">
        <v>8878</v>
      </c>
      <c r="F2824" t="s">
        <v>273</v>
      </c>
      <c r="G2824" t="s">
        <v>8450</v>
      </c>
      <c r="H2824" t="s">
        <v>275</v>
      </c>
      <c r="I2824" t="s">
        <v>29</v>
      </c>
      <c r="J2824">
        <v>1</v>
      </c>
      <c r="K2824">
        <f>1-888-965-777</f>
        <v>-2629</v>
      </c>
      <c r="L2824" t="s">
        <v>8879</v>
      </c>
      <c r="M2824" t="s">
        <v>8880</v>
      </c>
      <c r="N2824" t="s">
        <v>278</v>
      </c>
      <c r="O2824" t="s">
        <v>28</v>
      </c>
      <c r="P2824" t="s">
        <v>2268</v>
      </c>
      <c r="Q2824">
        <v>44</v>
      </c>
      <c r="R2824">
        <v>-79.382999999999996</v>
      </c>
    </row>
    <row r="2825" spans="1:18" x14ac:dyDescent="0.2">
      <c r="A2825" t="s">
        <v>270</v>
      </c>
      <c r="B2825" t="s">
        <v>2263</v>
      </c>
      <c r="C2825">
        <v>1</v>
      </c>
      <c r="D2825" s="1">
        <v>44068.019780092596</v>
      </c>
      <c r="E2825" t="s">
        <v>8881</v>
      </c>
      <c r="F2825" t="s">
        <v>273</v>
      </c>
      <c r="G2825" t="s">
        <v>8450</v>
      </c>
      <c r="H2825" t="s">
        <v>275</v>
      </c>
      <c r="I2825" t="s">
        <v>29</v>
      </c>
      <c r="J2825">
        <v>1</v>
      </c>
      <c r="K2825">
        <f>1-888-417-4097</f>
        <v>-5401</v>
      </c>
      <c r="L2825" t="s">
        <v>8882</v>
      </c>
      <c r="M2825" t="s">
        <v>8883</v>
      </c>
      <c r="N2825" t="s">
        <v>278</v>
      </c>
      <c r="O2825" t="s">
        <v>28</v>
      </c>
      <c r="P2825" t="s">
        <v>2268</v>
      </c>
      <c r="Q2825">
        <v>44</v>
      </c>
      <c r="R2825">
        <v>-79.382999999999996</v>
      </c>
    </row>
    <row r="2826" spans="1:18" x14ac:dyDescent="0.2">
      <c r="A2826" t="s">
        <v>270</v>
      </c>
      <c r="B2826" t="s">
        <v>2263</v>
      </c>
      <c r="C2826">
        <v>1</v>
      </c>
      <c r="D2826" s="1">
        <v>44068.016030092593</v>
      </c>
      <c r="E2826" t="s">
        <v>8884</v>
      </c>
      <c r="F2826" t="s">
        <v>273</v>
      </c>
      <c r="G2826" t="s">
        <v>8450</v>
      </c>
      <c r="H2826" t="s">
        <v>275</v>
      </c>
      <c r="I2826" t="s">
        <v>29</v>
      </c>
      <c r="J2826">
        <v>1</v>
      </c>
      <c r="K2826">
        <f>1-888-851-511</f>
        <v>-2249</v>
      </c>
      <c r="L2826" t="s">
        <v>8885</v>
      </c>
      <c r="M2826" t="s">
        <v>8886</v>
      </c>
      <c r="N2826" t="s">
        <v>278</v>
      </c>
      <c r="O2826" t="s">
        <v>28</v>
      </c>
      <c r="P2826" t="s">
        <v>2268</v>
      </c>
      <c r="Q2826">
        <v>44</v>
      </c>
      <c r="R2826">
        <v>-79.382999999999996</v>
      </c>
    </row>
    <row r="2827" spans="1:18" x14ac:dyDescent="0.2">
      <c r="A2827" t="s">
        <v>270</v>
      </c>
      <c r="B2827" t="s">
        <v>2263</v>
      </c>
      <c r="C2827">
        <v>1</v>
      </c>
      <c r="D2827" s="1">
        <v>44067.985960648148</v>
      </c>
      <c r="E2827" t="s">
        <v>8887</v>
      </c>
      <c r="F2827" t="s">
        <v>273</v>
      </c>
      <c r="G2827" t="s">
        <v>8450</v>
      </c>
      <c r="H2827" t="s">
        <v>275</v>
      </c>
      <c r="I2827" t="s">
        <v>29</v>
      </c>
      <c r="J2827">
        <v>1</v>
      </c>
      <c r="K2827">
        <f>1-888-851-511</f>
        <v>-2249</v>
      </c>
      <c r="L2827" t="s">
        <v>8888</v>
      </c>
      <c r="M2827" t="s">
        <v>8889</v>
      </c>
      <c r="N2827" t="s">
        <v>278</v>
      </c>
      <c r="O2827" t="s">
        <v>28</v>
      </c>
      <c r="P2827" t="s">
        <v>2268</v>
      </c>
      <c r="Q2827">
        <v>44</v>
      </c>
      <c r="R2827">
        <v>-79.382999999999996</v>
      </c>
    </row>
    <row r="2828" spans="1:18" x14ac:dyDescent="0.2">
      <c r="A2828" t="s">
        <v>270</v>
      </c>
      <c r="B2828" t="s">
        <v>2263</v>
      </c>
      <c r="C2828">
        <v>1</v>
      </c>
      <c r="D2828" s="1">
        <v>44066.53765046296</v>
      </c>
      <c r="E2828" t="s">
        <v>8890</v>
      </c>
      <c r="F2828" t="s">
        <v>273</v>
      </c>
      <c r="G2828" t="s">
        <v>8450</v>
      </c>
      <c r="H2828" t="s">
        <v>275</v>
      </c>
      <c r="I2828" t="s">
        <v>29</v>
      </c>
      <c r="J2828">
        <v>1</v>
      </c>
      <c r="K2828">
        <f>1-888-524-3448</f>
        <v>-4859</v>
      </c>
      <c r="L2828" t="s">
        <v>8891</v>
      </c>
      <c r="M2828" t="s">
        <v>8892</v>
      </c>
      <c r="N2828" t="s">
        <v>278</v>
      </c>
      <c r="O2828" t="s">
        <v>134</v>
      </c>
      <c r="P2828" t="s">
        <v>2268</v>
      </c>
      <c r="Q2828">
        <v>44</v>
      </c>
      <c r="R2828">
        <v>-79.382999999999996</v>
      </c>
    </row>
    <row r="2829" spans="1:18" x14ac:dyDescent="0.2">
      <c r="A2829" t="s">
        <v>270</v>
      </c>
      <c r="B2829" t="s">
        <v>2263</v>
      </c>
      <c r="C2829">
        <v>1</v>
      </c>
      <c r="D2829" s="1">
        <v>44065.564062500001</v>
      </c>
      <c r="E2829" t="s">
        <v>8893</v>
      </c>
      <c r="F2829" t="s">
        <v>273</v>
      </c>
      <c r="G2829" t="s">
        <v>8450</v>
      </c>
      <c r="H2829" t="s">
        <v>275</v>
      </c>
      <c r="I2829" t="s">
        <v>29</v>
      </c>
      <c r="J2829">
        <v>1</v>
      </c>
      <c r="K2829">
        <f>1-888-851-670</f>
        <v>-2408</v>
      </c>
      <c r="L2829" t="s">
        <v>8894</v>
      </c>
      <c r="M2829" t="s">
        <v>8895</v>
      </c>
      <c r="N2829" t="s">
        <v>278</v>
      </c>
      <c r="O2829" t="s">
        <v>134</v>
      </c>
      <c r="P2829" t="s">
        <v>2268</v>
      </c>
      <c r="Q2829">
        <v>44</v>
      </c>
      <c r="R2829">
        <v>-79.382999999999996</v>
      </c>
    </row>
    <row r="2830" spans="1:18" x14ac:dyDescent="0.2">
      <c r="A2830" t="s">
        <v>270</v>
      </c>
      <c r="B2830" t="s">
        <v>2263</v>
      </c>
      <c r="C2830">
        <v>1</v>
      </c>
      <c r="D2830" s="1">
        <v>44062.756724537037</v>
      </c>
      <c r="E2830" t="s">
        <v>8896</v>
      </c>
      <c r="F2830" t="s">
        <v>273</v>
      </c>
      <c r="G2830" t="s">
        <v>8450</v>
      </c>
      <c r="H2830" t="s">
        <v>275</v>
      </c>
      <c r="I2830" t="s">
        <v>29</v>
      </c>
      <c r="J2830">
        <v>1</v>
      </c>
      <c r="K2830">
        <f>1-888-527-4189</f>
        <v>-5603</v>
      </c>
      <c r="L2830" t="s">
        <v>8897</v>
      </c>
      <c r="M2830" t="s">
        <v>8898</v>
      </c>
      <c r="N2830" t="s">
        <v>278</v>
      </c>
      <c r="O2830" t="s">
        <v>134</v>
      </c>
      <c r="P2830" t="s">
        <v>2268</v>
      </c>
      <c r="Q2830">
        <v>44</v>
      </c>
      <c r="R2830">
        <v>-79.382999999999996</v>
      </c>
    </row>
    <row r="2831" spans="1:18" x14ac:dyDescent="0.2">
      <c r="A2831" t="s">
        <v>270</v>
      </c>
      <c r="B2831" t="s">
        <v>2263</v>
      </c>
      <c r="C2831">
        <v>1</v>
      </c>
      <c r="D2831" s="1">
        <v>44053.304907407408</v>
      </c>
      <c r="E2831" t="s">
        <v>8899</v>
      </c>
      <c r="F2831" t="s">
        <v>273</v>
      </c>
      <c r="G2831" t="s">
        <v>8450</v>
      </c>
      <c r="H2831" t="s">
        <v>275</v>
      </c>
      <c r="I2831" t="s">
        <v>29</v>
      </c>
      <c r="J2831">
        <v>1</v>
      </c>
      <c r="K2831">
        <f>1-866-702-3639</f>
        <v>-5206</v>
      </c>
      <c r="L2831" t="s">
        <v>8900</v>
      </c>
      <c r="M2831" t="s">
        <v>8901</v>
      </c>
      <c r="N2831" t="s">
        <v>278</v>
      </c>
      <c r="O2831" t="s">
        <v>134</v>
      </c>
      <c r="P2831" t="s">
        <v>2268</v>
      </c>
      <c r="Q2831">
        <v>44</v>
      </c>
      <c r="R2831">
        <v>-79.382999999999996</v>
      </c>
    </row>
    <row r="2832" spans="1:18" x14ac:dyDescent="0.2">
      <c r="A2832" t="s">
        <v>270</v>
      </c>
      <c r="B2832" t="s">
        <v>2263</v>
      </c>
      <c r="C2832">
        <v>1</v>
      </c>
      <c r="D2832" s="1">
        <v>44053.301493055558</v>
      </c>
      <c r="E2832" t="s">
        <v>8902</v>
      </c>
      <c r="F2832" t="s">
        <v>273</v>
      </c>
      <c r="G2832" t="s">
        <v>8450</v>
      </c>
      <c r="H2832" t="s">
        <v>275</v>
      </c>
      <c r="I2832" t="s">
        <v>29</v>
      </c>
      <c r="J2832">
        <v>1</v>
      </c>
      <c r="K2832">
        <f>1-866-801-5549</f>
        <v>-7215</v>
      </c>
      <c r="L2832" t="s">
        <v>8903</v>
      </c>
      <c r="M2832" t="s">
        <v>8904</v>
      </c>
      <c r="N2832" t="s">
        <v>278</v>
      </c>
      <c r="O2832" t="s">
        <v>134</v>
      </c>
      <c r="P2832" t="s">
        <v>2268</v>
      </c>
      <c r="Q2832">
        <v>44</v>
      </c>
      <c r="R2832">
        <v>-79.382999999999996</v>
      </c>
    </row>
    <row r="2833" spans="1:18" x14ac:dyDescent="0.2">
      <c r="A2833" t="s">
        <v>270</v>
      </c>
      <c r="B2833" t="s">
        <v>2263</v>
      </c>
      <c r="C2833">
        <v>1</v>
      </c>
      <c r="D2833" s="1">
        <v>44053.298356481479</v>
      </c>
      <c r="E2833" t="s">
        <v>8905</v>
      </c>
      <c r="F2833" t="s">
        <v>273</v>
      </c>
      <c r="G2833" t="s">
        <v>8450</v>
      </c>
      <c r="H2833" t="s">
        <v>275</v>
      </c>
      <c r="I2833" t="s">
        <v>29</v>
      </c>
      <c r="J2833">
        <v>1</v>
      </c>
      <c r="K2833">
        <f>1-866-754-7703</f>
        <v>-9322</v>
      </c>
      <c r="L2833" t="s">
        <v>8906</v>
      </c>
      <c r="M2833" t="s">
        <v>8907</v>
      </c>
      <c r="N2833" t="s">
        <v>278</v>
      </c>
      <c r="O2833" t="s">
        <v>134</v>
      </c>
      <c r="P2833" t="s">
        <v>2268</v>
      </c>
      <c r="Q2833">
        <v>44</v>
      </c>
      <c r="R2833">
        <v>-79.382999999999996</v>
      </c>
    </row>
    <row r="2834" spans="1:18" x14ac:dyDescent="0.2">
      <c r="A2834" t="s">
        <v>270</v>
      </c>
      <c r="B2834" t="s">
        <v>2263</v>
      </c>
      <c r="C2834">
        <v>1</v>
      </c>
      <c r="D2834" s="1">
        <v>44045.625451388885</v>
      </c>
      <c r="E2834" t="s">
        <v>8908</v>
      </c>
      <c r="F2834" t="s">
        <v>273</v>
      </c>
      <c r="G2834" t="s">
        <v>8450</v>
      </c>
      <c r="H2834" t="s">
        <v>275</v>
      </c>
      <c r="I2834" t="s">
        <v>29</v>
      </c>
      <c r="J2834">
        <v>1</v>
      </c>
      <c r="K2834">
        <f>1-844-469-481</f>
        <v>-1793</v>
      </c>
      <c r="L2834" t="s">
        <v>8909</v>
      </c>
      <c r="M2834" t="s">
        <v>8910</v>
      </c>
      <c r="N2834" t="s">
        <v>278</v>
      </c>
      <c r="O2834" t="s">
        <v>134</v>
      </c>
      <c r="P2834" t="s">
        <v>2268</v>
      </c>
      <c r="Q2834">
        <v>44</v>
      </c>
      <c r="R2834">
        <v>-79.382999999999996</v>
      </c>
    </row>
    <row r="2835" spans="1:18" x14ac:dyDescent="0.2">
      <c r="A2835" t="s">
        <v>270</v>
      </c>
      <c r="B2835" t="s">
        <v>2263</v>
      </c>
      <c r="C2835">
        <v>1</v>
      </c>
      <c r="D2835" s="1">
        <v>44031.77721064815</v>
      </c>
      <c r="E2835" t="s">
        <v>8911</v>
      </c>
      <c r="F2835" t="s">
        <v>273</v>
      </c>
      <c r="G2835" t="s">
        <v>8450</v>
      </c>
      <c r="H2835" t="s">
        <v>275</v>
      </c>
      <c r="I2835" t="s">
        <v>29</v>
      </c>
      <c r="J2835">
        <v>1</v>
      </c>
      <c r="K2835">
        <f>1-866-755-2213</f>
        <v>-3833</v>
      </c>
      <c r="L2835" t="s">
        <v>8912</v>
      </c>
      <c r="M2835" t="s">
        <v>8913</v>
      </c>
      <c r="N2835" t="s">
        <v>278</v>
      </c>
      <c r="O2835" t="s">
        <v>134</v>
      </c>
      <c r="P2835" t="s">
        <v>2268</v>
      </c>
      <c r="Q2835">
        <v>44</v>
      </c>
      <c r="R2835">
        <v>-79.382999999999996</v>
      </c>
    </row>
    <row r="2836" spans="1:18" x14ac:dyDescent="0.2">
      <c r="A2836" t="s">
        <v>270</v>
      </c>
      <c r="B2836" t="s">
        <v>2263</v>
      </c>
      <c r="C2836">
        <v>1</v>
      </c>
      <c r="D2836" s="1">
        <v>44031.756655092591</v>
      </c>
      <c r="E2836" t="s">
        <v>8914</v>
      </c>
      <c r="F2836" t="s">
        <v>273</v>
      </c>
      <c r="G2836" t="s">
        <v>8450</v>
      </c>
      <c r="H2836" t="s">
        <v>275</v>
      </c>
      <c r="I2836" t="s">
        <v>29</v>
      </c>
      <c r="J2836">
        <v>1</v>
      </c>
      <c r="K2836">
        <f>1-866-755-2213</f>
        <v>-3833</v>
      </c>
      <c r="L2836" t="s">
        <v>8915</v>
      </c>
      <c r="M2836" t="s">
        <v>8916</v>
      </c>
      <c r="N2836" t="s">
        <v>278</v>
      </c>
      <c r="O2836" t="s">
        <v>28</v>
      </c>
      <c r="P2836" t="s">
        <v>2268</v>
      </c>
      <c r="Q2836">
        <v>44</v>
      </c>
      <c r="R2836">
        <v>-79.382999999999996</v>
      </c>
    </row>
    <row r="2837" spans="1:18" x14ac:dyDescent="0.2">
      <c r="A2837" t="s">
        <v>270</v>
      </c>
      <c r="B2837" t="s">
        <v>271</v>
      </c>
      <c r="C2837">
        <v>1</v>
      </c>
      <c r="D2837" s="1">
        <v>44145.718923611108</v>
      </c>
      <c r="E2837" t="s">
        <v>8917</v>
      </c>
      <c r="F2837" t="s">
        <v>273</v>
      </c>
      <c r="G2837" t="s">
        <v>8918</v>
      </c>
      <c r="H2837" t="s">
        <v>275</v>
      </c>
      <c r="I2837" t="s">
        <v>29</v>
      </c>
      <c r="J2837">
        <v>1</v>
      </c>
      <c r="K2837">
        <f>1-844-295-7564</f>
        <v>-8702</v>
      </c>
      <c r="L2837" t="s">
        <v>8919</v>
      </c>
      <c r="M2837" t="s">
        <v>8920</v>
      </c>
      <c r="N2837" t="s">
        <v>278</v>
      </c>
      <c r="O2837" t="s">
        <v>28</v>
      </c>
      <c r="P2837" t="s">
        <v>29</v>
      </c>
      <c r="Q2837">
        <v>42</v>
      </c>
      <c r="R2837">
        <v>-93.620800000000003</v>
      </c>
    </row>
    <row r="2838" spans="1:18" x14ac:dyDescent="0.2">
      <c r="A2838" t="s">
        <v>270</v>
      </c>
      <c r="B2838" t="s">
        <v>271</v>
      </c>
      <c r="C2838">
        <v>1</v>
      </c>
      <c r="D2838" s="1">
        <v>44106.822453703702</v>
      </c>
      <c r="E2838" t="s">
        <v>8921</v>
      </c>
      <c r="F2838" t="s">
        <v>273</v>
      </c>
      <c r="G2838" t="s">
        <v>8918</v>
      </c>
      <c r="H2838" t="s">
        <v>275</v>
      </c>
      <c r="I2838" t="s">
        <v>29</v>
      </c>
      <c r="J2838">
        <v>1</v>
      </c>
      <c r="K2838">
        <f>1-888-202-4596</f>
        <v>-5685</v>
      </c>
      <c r="L2838" t="s">
        <v>8922</v>
      </c>
      <c r="M2838" t="s">
        <v>8923</v>
      </c>
      <c r="N2838" t="s">
        <v>278</v>
      </c>
      <c r="O2838" t="s">
        <v>28</v>
      </c>
      <c r="P2838" t="s">
        <v>29</v>
      </c>
      <c r="Q2838">
        <v>42</v>
      </c>
      <c r="R2838">
        <v>-93.620800000000003</v>
      </c>
    </row>
    <row r="2839" spans="1:18" x14ac:dyDescent="0.2">
      <c r="A2839" t="s">
        <v>270</v>
      </c>
      <c r="B2839" t="s">
        <v>271</v>
      </c>
      <c r="C2839">
        <v>1</v>
      </c>
      <c r="D2839" s="1">
        <v>44102.822893518518</v>
      </c>
      <c r="E2839" t="s">
        <v>8924</v>
      </c>
      <c r="F2839" t="s">
        <v>273</v>
      </c>
      <c r="G2839" t="s">
        <v>8918</v>
      </c>
      <c r="H2839" t="s">
        <v>275</v>
      </c>
      <c r="I2839" t="s">
        <v>29</v>
      </c>
      <c r="J2839">
        <v>1</v>
      </c>
      <c r="K2839">
        <f>1-888-252-7514</f>
        <v>-8653</v>
      </c>
      <c r="L2839" t="s">
        <v>8925</v>
      </c>
      <c r="M2839" t="s">
        <v>8926</v>
      </c>
      <c r="N2839" t="s">
        <v>278</v>
      </c>
      <c r="O2839" t="s">
        <v>28</v>
      </c>
      <c r="P2839" t="s">
        <v>29</v>
      </c>
      <c r="Q2839">
        <v>42</v>
      </c>
      <c r="R2839">
        <v>-93.620800000000003</v>
      </c>
    </row>
    <row r="2840" spans="1:18" x14ac:dyDescent="0.2">
      <c r="A2840" t="s">
        <v>270</v>
      </c>
      <c r="B2840" t="s">
        <v>271</v>
      </c>
      <c r="C2840">
        <v>1</v>
      </c>
      <c r="D2840" s="1">
        <v>44088.908541666664</v>
      </c>
      <c r="E2840" t="s">
        <v>8927</v>
      </c>
      <c r="F2840" t="s">
        <v>273</v>
      </c>
      <c r="G2840" t="s">
        <v>8918</v>
      </c>
      <c r="H2840" t="s">
        <v>275</v>
      </c>
      <c r="I2840" t="s">
        <v>29</v>
      </c>
      <c r="J2840">
        <v>1</v>
      </c>
      <c r="K2840">
        <f>1-844-210-4337</f>
        <v>-5390</v>
      </c>
      <c r="L2840" t="s">
        <v>8928</v>
      </c>
      <c r="M2840" t="s">
        <v>8929</v>
      </c>
      <c r="N2840" t="s">
        <v>278</v>
      </c>
      <c r="O2840" t="s">
        <v>28</v>
      </c>
      <c r="P2840" t="s">
        <v>29</v>
      </c>
      <c r="Q2840">
        <v>42</v>
      </c>
      <c r="R2840">
        <v>-93.620800000000003</v>
      </c>
    </row>
    <row r="2841" spans="1:18" x14ac:dyDescent="0.2">
      <c r="A2841" t="s">
        <v>270</v>
      </c>
      <c r="B2841" t="s">
        <v>271</v>
      </c>
      <c r="C2841">
        <v>1</v>
      </c>
      <c r="D2841" s="1">
        <v>44084.783518518518</v>
      </c>
      <c r="E2841" t="s">
        <v>8930</v>
      </c>
      <c r="F2841" t="s">
        <v>273</v>
      </c>
      <c r="G2841" t="s">
        <v>8918</v>
      </c>
      <c r="H2841" t="s">
        <v>275</v>
      </c>
      <c r="I2841" t="s">
        <v>29</v>
      </c>
      <c r="J2841">
        <v>1</v>
      </c>
      <c r="K2841">
        <f>1-844-318-7909</f>
        <v>-9070</v>
      </c>
      <c r="L2841" t="s">
        <v>8931</v>
      </c>
      <c r="M2841" t="s">
        <v>8932</v>
      </c>
      <c r="N2841" t="s">
        <v>278</v>
      </c>
      <c r="O2841" t="s">
        <v>28</v>
      </c>
      <c r="P2841" t="s">
        <v>29</v>
      </c>
      <c r="Q2841">
        <v>42</v>
      </c>
      <c r="R2841">
        <v>-93.620800000000003</v>
      </c>
    </row>
    <row r="2842" spans="1:18" x14ac:dyDescent="0.2">
      <c r="A2842" t="s">
        <v>270</v>
      </c>
      <c r="B2842" t="s">
        <v>271</v>
      </c>
      <c r="C2842">
        <v>1</v>
      </c>
      <c r="D2842" s="1">
        <v>44078.849270833336</v>
      </c>
      <c r="E2842" t="s">
        <v>8933</v>
      </c>
      <c r="F2842" t="s">
        <v>273</v>
      </c>
      <c r="G2842" t="s">
        <v>8918</v>
      </c>
      <c r="H2842" t="s">
        <v>275</v>
      </c>
      <c r="I2842" t="s">
        <v>29</v>
      </c>
      <c r="J2842">
        <v>1</v>
      </c>
      <c r="K2842">
        <f>1-866-591-3044</f>
        <v>-4500</v>
      </c>
      <c r="L2842" t="s">
        <v>8934</v>
      </c>
      <c r="M2842" t="s">
        <v>8935</v>
      </c>
      <c r="N2842" t="s">
        <v>278</v>
      </c>
      <c r="O2842" t="s">
        <v>134</v>
      </c>
      <c r="P2842" t="s">
        <v>29</v>
      </c>
      <c r="Q2842">
        <v>42</v>
      </c>
      <c r="R2842">
        <v>-93.620800000000003</v>
      </c>
    </row>
    <row r="2843" spans="1:18" x14ac:dyDescent="0.2">
      <c r="A2843" t="s">
        <v>270</v>
      </c>
      <c r="B2843" t="s">
        <v>271</v>
      </c>
      <c r="C2843">
        <v>1</v>
      </c>
      <c r="D2843" s="1">
        <v>44075.759837962964</v>
      </c>
      <c r="E2843" t="s">
        <v>8936</v>
      </c>
      <c r="F2843" t="s">
        <v>273</v>
      </c>
      <c r="G2843" t="s">
        <v>8918</v>
      </c>
      <c r="H2843" t="s">
        <v>275</v>
      </c>
      <c r="I2843" t="s">
        <v>29</v>
      </c>
      <c r="J2843">
        <v>1</v>
      </c>
      <c r="K2843">
        <f>1-888-705-928</f>
        <v>-2520</v>
      </c>
      <c r="L2843" t="s">
        <v>8937</v>
      </c>
      <c r="M2843" t="s">
        <v>8938</v>
      </c>
      <c r="N2843" t="s">
        <v>278</v>
      </c>
      <c r="O2843" t="s">
        <v>134</v>
      </c>
      <c r="P2843" t="s">
        <v>29</v>
      </c>
      <c r="Q2843">
        <v>42</v>
      </c>
      <c r="R2843">
        <v>-93.620800000000003</v>
      </c>
    </row>
    <row r="2844" spans="1:18" x14ac:dyDescent="0.2">
      <c r="A2844" t="s">
        <v>270</v>
      </c>
      <c r="B2844" t="s">
        <v>271</v>
      </c>
      <c r="C2844">
        <v>1</v>
      </c>
      <c r="D2844" s="1">
        <v>44074.929884259262</v>
      </c>
      <c r="E2844" t="s">
        <v>8939</v>
      </c>
      <c r="F2844" t="s">
        <v>273</v>
      </c>
      <c r="G2844" t="s">
        <v>8918</v>
      </c>
      <c r="H2844" t="s">
        <v>275</v>
      </c>
      <c r="I2844" t="s">
        <v>29</v>
      </c>
      <c r="J2844">
        <v>1</v>
      </c>
      <c r="K2844">
        <f>1-888-654-8048</f>
        <v>-9589</v>
      </c>
      <c r="L2844" t="s">
        <v>8940</v>
      </c>
      <c r="M2844" t="s">
        <v>8941</v>
      </c>
      <c r="N2844" t="s">
        <v>278</v>
      </c>
      <c r="O2844" t="s">
        <v>28</v>
      </c>
      <c r="P2844" t="s">
        <v>29</v>
      </c>
      <c r="Q2844">
        <v>42</v>
      </c>
      <c r="R2844">
        <v>-93.620800000000003</v>
      </c>
    </row>
    <row r="2845" spans="1:18" x14ac:dyDescent="0.2">
      <c r="A2845" t="s">
        <v>270</v>
      </c>
      <c r="B2845" t="s">
        <v>271</v>
      </c>
      <c r="C2845">
        <v>1</v>
      </c>
      <c r="D2845" s="1">
        <v>44071.977592592593</v>
      </c>
      <c r="E2845" t="s">
        <v>8942</v>
      </c>
      <c r="F2845" t="s">
        <v>273</v>
      </c>
      <c r="G2845" t="s">
        <v>8918</v>
      </c>
      <c r="H2845" t="s">
        <v>275</v>
      </c>
      <c r="I2845" t="s">
        <v>29</v>
      </c>
      <c r="J2845">
        <v>1</v>
      </c>
      <c r="K2845">
        <f>1-888-690-842</f>
        <v>-2419</v>
      </c>
      <c r="L2845" t="s">
        <v>8943</v>
      </c>
      <c r="M2845" t="s">
        <v>8944</v>
      </c>
      <c r="N2845" t="s">
        <v>278</v>
      </c>
      <c r="O2845" t="s">
        <v>134</v>
      </c>
      <c r="P2845" t="s">
        <v>29</v>
      </c>
      <c r="Q2845">
        <v>42</v>
      </c>
      <c r="R2845">
        <v>-93.620800000000003</v>
      </c>
    </row>
    <row r="2846" spans="1:18" x14ac:dyDescent="0.2">
      <c r="A2846" t="s">
        <v>270</v>
      </c>
      <c r="B2846" t="s">
        <v>271</v>
      </c>
      <c r="C2846">
        <v>1</v>
      </c>
      <c r="D2846" s="1">
        <v>44071.97587962963</v>
      </c>
      <c r="E2846" t="s">
        <v>8945</v>
      </c>
      <c r="F2846" t="s">
        <v>273</v>
      </c>
      <c r="G2846" t="s">
        <v>8918</v>
      </c>
      <c r="H2846" t="s">
        <v>275</v>
      </c>
      <c r="I2846" t="s">
        <v>29</v>
      </c>
      <c r="J2846">
        <v>1</v>
      </c>
      <c r="K2846">
        <f>1-888-312-1401</f>
        <v>-2600</v>
      </c>
      <c r="L2846" t="s">
        <v>8946</v>
      </c>
      <c r="M2846" t="s">
        <v>8947</v>
      </c>
      <c r="N2846" t="s">
        <v>278</v>
      </c>
      <c r="O2846" t="s">
        <v>134</v>
      </c>
      <c r="P2846" t="s">
        <v>29</v>
      </c>
      <c r="Q2846">
        <v>42</v>
      </c>
      <c r="R2846">
        <v>-93.620800000000003</v>
      </c>
    </row>
    <row r="2847" spans="1:18" x14ac:dyDescent="0.2">
      <c r="A2847" t="s">
        <v>270</v>
      </c>
      <c r="B2847" t="s">
        <v>271</v>
      </c>
      <c r="C2847">
        <v>1</v>
      </c>
      <c r="D2847" s="1">
        <v>44071.916030092594</v>
      </c>
      <c r="E2847" t="s">
        <v>8948</v>
      </c>
      <c r="F2847" t="s">
        <v>273</v>
      </c>
      <c r="G2847" t="s">
        <v>8918</v>
      </c>
      <c r="H2847" t="s">
        <v>275</v>
      </c>
      <c r="I2847" t="s">
        <v>29</v>
      </c>
      <c r="J2847">
        <v>1</v>
      </c>
      <c r="K2847">
        <f>1-888-312-1430</f>
        <v>-2629</v>
      </c>
      <c r="L2847" t="s">
        <v>8949</v>
      </c>
      <c r="M2847" t="s">
        <v>8950</v>
      </c>
      <c r="N2847" t="s">
        <v>278</v>
      </c>
      <c r="O2847" t="s">
        <v>134</v>
      </c>
      <c r="P2847" t="s">
        <v>29</v>
      </c>
      <c r="Q2847">
        <v>42</v>
      </c>
      <c r="R2847">
        <v>-93.620800000000003</v>
      </c>
    </row>
    <row r="2848" spans="1:18" x14ac:dyDescent="0.2">
      <c r="A2848" t="s">
        <v>270</v>
      </c>
      <c r="B2848" t="s">
        <v>271</v>
      </c>
      <c r="C2848">
        <v>1</v>
      </c>
      <c r="D2848" s="1">
        <v>44070.57707175926</v>
      </c>
      <c r="E2848" t="s">
        <v>8951</v>
      </c>
      <c r="F2848" t="s">
        <v>273</v>
      </c>
      <c r="G2848" t="s">
        <v>8918</v>
      </c>
      <c r="H2848" t="s">
        <v>275</v>
      </c>
      <c r="I2848" t="s">
        <v>29</v>
      </c>
      <c r="J2848">
        <v>1</v>
      </c>
      <c r="K2848">
        <f>1-866-730-8093</f>
        <v>-9688</v>
      </c>
      <c r="L2848" t="s">
        <v>8952</v>
      </c>
      <c r="M2848" t="s">
        <v>8953</v>
      </c>
      <c r="N2848" t="s">
        <v>278</v>
      </c>
      <c r="O2848" t="s">
        <v>134</v>
      </c>
      <c r="P2848" t="s">
        <v>29</v>
      </c>
      <c r="Q2848">
        <v>42</v>
      </c>
      <c r="R2848">
        <v>-93.620800000000003</v>
      </c>
    </row>
    <row r="2849" spans="1:18" x14ac:dyDescent="0.2">
      <c r="A2849" t="s">
        <v>270</v>
      </c>
      <c r="B2849" t="s">
        <v>271</v>
      </c>
      <c r="C2849">
        <v>1</v>
      </c>
      <c r="D2849" s="1">
        <v>44068.187060185184</v>
      </c>
      <c r="E2849" t="s">
        <v>8954</v>
      </c>
      <c r="F2849" t="s">
        <v>273</v>
      </c>
      <c r="G2849" t="s">
        <v>8918</v>
      </c>
      <c r="H2849" t="s">
        <v>275</v>
      </c>
      <c r="I2849" t="s">
        <v>29</v>
      </c>
      <c r="J2849">
        <v>1</v>
      </c>
      <c r="K2849">
        <f>1-888-524-3448</f>
        <v>-4859</v>
      </c>
      <c r="L2849" t="s">
        <v>8955</v>
      </c>
      <c r="M2849" t="s">
        <v>8956</v>
      </c>
      <c r="N2849" t="s">
        <v>278</v>
      </c>
      <c r="O2849" t="s">
        <v>134</v>
      </c>
      <c r="P2849" t="s">
        <v>29</v>
      </c>
      <c r="Q2849">
        <v>42</v>
      </c>
      <c r="R2849">
        <v>-93.620800000000003</v>
      </c>
    </row>
    <row r="2850" spans="1:18" x14ac:dyDescent="0.2">
      <c r="A2850" t="s">
        <v>270</v>
      </c>
      <c r="B2850" t="s">
        <v>271</v>
      </c>
      <c r="C2850">
        <v>1</v>
      </c>
      <c r="D2850" s="1">
        <v>44068.073472222219</v>
      </c>
      <c r="E2850" t="s">
        <v>8957</v>
      </c>
      <c r="F2850" t="s">
        <v>273</v>
      </c>
      <c r="G2850" t="s">
        <v>8918</v>
      </c>
      <c r="H2850" t="s">
        <v>275</v>
      </c>
      <c r="I2850" t="s">
        <v>29</v>
      </c>
      <c r="J2850">
        <v>1</v>
      </c>
      <c r="K2850">
        <f>1-888-851-676</f>
        <v>-2414</v>
      </c>
      <c r="L2850" t="s">
        <v>8958</v>
      </c>
      <c r="M2850" t="s">
        <v>8959</v>
      </c>
      <c r="N2850" t="s">
        <v>278</v>
      </c>
      <c r="O2850" t="s">
        <v>28</v>
      </c>
      <c r="P2850" t="s">
        <v>29</v>
      </c>
      <c r="Q2850">
        <v>42</v>
      </c>
      <c r="R2850">
        <v>-93.620800000000003</v>
      </c>
    </row>
    <row r="2851" spans="1:18" x14ac:dyDescent="0.2">
      <c r="A2851" t="s">
        <v>270</v>
      </c>
      <c r="B2851" t="s">
        <v>271</v>
      </c>
      <c r="C2851">
        <v>1</v>
      </c>
      <c r="D2851" s="1">
        <v>44045.825833333336</v>
      </c>
      <c r="E2851" t="s">
        <v>8960</v>
      </c>
      <c r="F2851" t="s">
        <v>273</v>
      </c>
      <c r="G2851" t="s">
        <v>8918</v>
      </c>
      <c r="H2851" t="s">
        <v>275</v>
      </c>
      <c r="I2851" t="s">
        <v>29</v>
      </c>
      <c r="J2851">
        <v>1</v>
      </c>
      <c r="K2851">
        <f>1-844-474-3214</f>
        <v>-4531</v>
      </c>
      <c r="L2851" t="s">
        <v>8961</v>
      </c>
      <c r="M2851" t="s">
        <v>8962</v>
      </c>
      <c r="N2851" t="s">
        <v>278</v>
      </c>
      <c r="O2851" t="s">
        <v>134</v>
      </c>
      <c r="P2851" t="s">
        <v>29</v>
      </c>
      <c r="Q2851">
        <v>42</v>
      </c>
      <c r="R2851">
        <v>-93.620800000000003</v>
      </c>
    </row>
    <row r="2852" spans="1:18" x14ac:dyDescent="0.2">
      <c r="A2852" t="s">
        <v>270</v>
      </c>
      <c r="B2852" t="s">
        <v>271</v>
      </c>
      <c r="C2852">
        <v>1</v>
      </c>
      <c r="D2852" s="1">
        <v>44031.757800925923</v>
      </c>
      <c r="E2852" t="s">
        <v>8963</v>
      </c>
      <c r="F2852" t="s">
        <v>273</v>
      </c>
      <c r="G2852" t="s">
        <v>8918</v>
      </c>
      <c r="H2852" t="s">
        <v>275</v>
      </c>
      <c r="I2852" t="s">
        <v>29</v>
      </c>
      <c r="J2852">
        <v>1</v>
      </c>
      <c r="K2852">
        <f>1-866-665-1106</f>
        <v>-2636</v>
      </c>
      <c r="L2852" t="s">
        <v>8964</v>
      </c>
      <c r="M2852" t="s">
        <v>8965</v>
      </c>
      <c r="N2852" t="s">
        <v>278</v>
      </c>
      <c r="O2852" t="s">
        <v>134</v>
      </c>
      <c r="P2852" t="s">
        <v>29</v>
      </c>
      <c r="Q2852">
        <v>42</v>
      </c>
      <c r="R2852">
        <v>-93.620800000000003</v>
      </c>
    </row>
    <row r="2853" spans="1:18" x14ac:dyDescent="0.2">
      <c r="A2853" t="s">
        <v>270</v>
      </c>
      <c r="B2853" t="s">
        <v>8966</v>
      </c>
      <c r="C2853">
        <v>1</v>
      </c>
      <c r="D2853" s="1">
        <v>44378.881076388891</v>
      </c>
      <c r="E2853" t="s">
        <v>8967</v>
      </c>
      <c r="F2853" t="s">
        <v>273</v>
      </c>
      <c r="G2853" t="s">
        <v>8968</v>
      </c>
      <c r="H2853" t="s">
        <v>275</v>
      </c>
      <c r="I2853" t="s">
        <v>29</v>
      </c>
      <c r="J2853">
        <v>1</v>
      </c>
      <c r="K2853">
        <f>1-888-309-7735</f>
        <v>-8931</v>
      </c>
      <c r="L2853" t="s">
        <v>8969</v>
      </c>
      <c r="M2853" t="s">
        <v>8970</v>
      </c>
      <c r="N2853" t="s">
        <v>278</v>
      </c>
      <c r="O2853" t="s">
        <v>28</v>
      </c>
      <c r="P2853" t="s">
        <v>782</v>
      </c>
      <c r="Q2853">
        <v>-38</v>
      </c>
      <c r="R2853">
        <v>99.999999000000003</v>
      </c>
    </row>
    <row r="2854" spans="1:18" x14ac:dyDescent="0.2">
      <c r="A2854" t="s">
        <v>270</v>
      </c>
      <c r="B2854" t="s">
        <v>8966</v>
      </c>
      <c r="C2854">
        <v>1</v>
      </c>
      <c r="D2854" s="1">
        <v>44378.822060185186</v>
      </c>
      <c r="E2854" t="s">
        <v>8971</v>
      </c>
      <c r="F2854" t="s">
        <v>273</v>
      </c>
      <c r="G2854" t="s">
        <v>8968</v>
      </c>
      <c r="H2854" t="s">
        <v>275</v>
      </c>
      <c r="I2854" t="s">
        <v>29</v>
      </c>
      <c r="J2854">
        <v>1</v>
      </c>
      <c r="K2854">
        <f>1-888-308-5938</f>
        <v>-7133</v>
      </c>
      <c r="L2854" t="s">
        <v>8972</v>
      </c>
      <c r="M2854" t="s">
        <v>8973</v>
      </c>
      <c r="N2854" t="s">
        <v>278</v>
      </c>
      <c r="O2854" t="s">
        <v>28</v>
      </c>
      <c r="P2854" t="s">
        <v>782</v>
      </c>
      <c r="Q2854">
        <v>-38</v>
      </c>
      <c r="R2854">
        <v>99.999999000000003</v>
      </c>
    </row>
    <row r="2855" spans="1:18" x14ac:dyDescent="0.2">
      <c r="A2855" t="s">
        <v>270</v>
      </c>
      <c r="B2855" t="s">
        <v>8966</v>
      </c>
      <c r="C2855">
        <v>1</v>
      </c>
      <c r="D2855" s="1">
        <v>44377.966689814813</v>
      </c>
      <c r="E2855" t="s">
        <v>8974</v>
      </c>
      <c r="F2855" t="s">
        <v>273</v>
      </c>
      <c r="G2855" t="s">
        <v>8968</v>
      </c>
      <c r="H2855" t="s">
        <v>275</v>
      </c>
      <c r="I2855" t="s">
        <v>29</v>
      </c>
      <c r="J2855">
        <v>1</v>
      </c>
      <c r="K2855">
        <f>1-888-308-4899</f>
        <v>-6094</v>
      </c>
      <c r="L2855" t="s">
        <v>8975</v>
      </c>
      <c r="M2855" t="s">
        <v>8976</v>
      </c>
      <c r="N2855" t="s">
        <v>278</v>
      </c>
      <c r="O2855" t="s">
        <v>28</v>
      </c>
      <c r="P2855" t="s">
        <v>782</v>
      </c>
      <c r="Q2855">
        <v>-38</v>
      </c>
      <c r="R2855">
        <v>99.999999000000003</v>
      </c>
    </row>
    <row r="2856" spans="1:18" x14ac:dyDescent="0.2">
      <c r="A2856" t="s">
        <v>270</v>
      </c>
      <c r="B2856" t="s">
        <v>8966</v>
      </c>
      <c r="C2856">
        <v>1</v>
      </c>
      <c r="D2856" s="1">
        <v>44370.946377314816</v>
      </c>
      <c r="E2856" t="s">
        <v>8977</v>
      </c>
      <c r="F2856" t="s">
        <v>273</v>
      </c>
      <c r="G2856" t="s">
        <v>8968</v>
      </c>
      <c r="H2856" t="s">
        <v>275</v>
      </c>
      <c r="I2856" t="s">
        <v>29</v>
      </c>
      <c r="J2856">
        <v>1</v>
      </c>
      <c r="K2856">
        <f>1-866-321-3246</f>
        <v>-4432</v>
      </c>
      <c r="L2856" t="s">
        <v>8978</v>
      </c>
      <c r="M2856" t="s">
        <v>8979</v>
      </c>
      <c r="N2856" t="s">
        <v>278</v>
      </c>
      <c r="O2856" t="s">
        <v>28</v>
      </c>
      <c r="P2856" t="s">
        <v>782</v>
      </c>
      <c r="Q2856">
        <v>-38</v>
      </c>
      <c r="R2856">
        <v>99.999999000000003</v>
      </c>
    </row>
    <row r="2857" spans="1:18" x14ac:dyDescent="0.2">
      <c r="A2857" t="s">
        <v>270</v>
      </c>
      <c r="B2857" t="s">
        <v>8966</v>
      </c>
      <c r="C2857">
        <v>1</v>
      </c>
      <c r="D2857" s="1">
        <v>44369.895914351851</v>
      </c>
      <c r="E2857" t="s">
        <v>8980</v>
      </c>
      <c r="F2857" t="s">
        <v>273</v>
      </c>
      <c r="G2857" t="s">
        <v>8968</v>
      </c>
      <c r="H2857" t="s">
        <v>275</v>
      </c>
      <c r="I2857" t="s">
        <v>29</v>
      </c>
      <c r="J2857">
        <v>1</v>
      </c>
      <c r="K2857">
        <f>1-866-320-6502</f>
        <v>-7687</v>
      </c>
      <c r="L2857" t="s">
        <v>8981</v>
      </c>
      <c r="M2857" t="s">
        <v>8982</v>
      </c>
      <c r="N2857" t="s">
        <v>278</v>
      </c>
      <c r="O2857" t="s">
        <v>28</v>
      </c>
      <c r="P2857" t="s">
        <v>782</v>
      </c>
      <c r="Q2857">
        <v>-38</v>
      </c>
      <c r="R2857">
        <v>99.999999000000003</v>
      </c>
    </row>
    <row r="2858" spans="1:18" x14ac:dyDescent="0.2">
      <c r="A2858" t="s">
        <v>270</v>
      </c>
      <c r="B2858" t="s">
        <v>8966</v>
      </c>
      <c r="C2858">
        <v>1</v>
      </c>
      <c r="D2858" s="1">
        <v>44369.844398148147</v>
      </c>
      <c r="E2858" t="s">
        <v>8983</v>
      </c>
      <c r="F2858" t="s">
        <v>273</v>
      </c>
      <c r="G2858" t="s">
        <v>8968</v>
      </c>
      <c r="H2858" t="s">
        <v>275</v>
      </c>
      <c r="I2858" t="s">
        <v>29</v>
      </c>
      <c r="J2858">
        <v>1</v>
      </c>
      <c r="K2858">
        <f>1-866-317-5646</f>
        <v>-6828</v>
      </c>
      <c r="L2858" t="s">
        <v>8984</v>
      </c>
      <c r="M2858" t="s">
        <v>8985</v>
      </c>
      <c r="N2858" t="s">
        <v>278</v>
      </c>
      <c r="O2858" t="s">
        <v>28</v>
      </c>
      <c r="P2858" t="s">
        <v>782</v>
      </c>
      <c r="Q2858">
        <v>-38</v>
      </c>
      <c r="R2858">
        <v>99.999999000000003</v>
      </c>
    </row>
    <row r="2859" spans="1:18" x14ac:dyDescent="0.2">
      <c r="A2859" t="s">
        <v>270</v>
      </c>
      <c r="B2859" t="s">
        <v>8966</v>
      </c>
      <c r="C2859">
        <v>1</v>
      </c>
      <c r="D2859" s="1">
        <v>44369.814803240741</v>
      </c>
      <c r="E2859" t="s">
        <v>8986</v>
      </c>
      <c r="F2859" t="s">
        <v>273</v>
      </c>
      <c r="G2859" t="s">
        <v>8968</v>
      </c>
      <c r="H2859" t="s">
        <v>275</v>
      </c>
      <c r="I2859" t="s">
        <v>29</v>
      </c>
      <c r="J2859">
        <v>1</v>
      </c>
      <c r="K2859">
        <f>1-866-309-6641</f>
        <v>-7815</v>
      </c>
      <c r="L2859" t="s">
        <v>8987</v>
      </c>
      <c r="M2859" t="s">
        <v>8988</v>
      </c>
      <c r="N2859" t="s">
        <v>278</v>
      </c>
      <c r="O2859" t="s">
        <v>28</v>
      </c>
      <c r="P2859" t="s">
        <v>782</v>
      </c>
      <c r="Q2859">
        <v>-38</v>
      </c>
      <c r="R2859">
        <v>99.999999000000003</v>
      </c>
    </row>
    <row r="2860" spans="1:18" x14ac:dyDescent="0.2">
      <c r="A2860" t="s">
        <v>270</v>
      </c>
      <c r="B2860" t="s">
        <v>8966</v>
      </c>
      <c r="C2860">
        <v>1</v>
      </c>
      <c r="D2860" s="1">
        <v>44371.767361111109</v>
      </c>
      <c r="E2860" t="s">
        <v>8989</v>
      </c>
      <c r="F2860" t="s">
        <v>273</v>
      </c>
      <c r="G2860" t="s">
        <v>8968</v>
      </c>
      <c r="H2860" t="s">
        <v>275</v>
      </c>
      <c r="I2860" t="s">
        <v>29</v>
      </c>
      <c r="J2860">
        <v>1</v>
      </c>
      <c r="K2860">
        <f>1-844-399-5123</f>
        <v>-6365</v>
      </c>
      <c r="L2860" t="s">
        <v>8990</v>
      </c>
      <c r="M2860" t="s">
        <v>8991</v>
      </c>
      <c r="N2860" t="s">
        <v>278</v>
      </c>
      <c r="O2860" t="s">
        <v>28</v>
      </c>
      <c r="P2860" t="s">
        <v>782</v>
      </c>
      <c r="Q2860">
        <v>-38</v>
      </c>
      <c r="R2860">
        <v>99.999999000000003</v>
      </c>
    </row>
    <row r="2861" spans="1:18" x14ac:dyDescent="0.2">
      <c r="A2861" t="s">
        <v>270</v>
      </c>
      <c r="B2861" t="s">
        <v>8966</v>
      </c>
      <c r="C2861">
        <v>1</v>
      </c>
      <c r="D2861" s="1">
        <v>44371.755324074074</v>
      </c>
      <c r="E2861" t="s">
        <v>8992</v>
      </c>
      <c r="F2861" t="s">
        <v>273</v>
      </c>
      <c r="G2861" t="s">
        <v>8968</v>
      </c>
      <c r="H2861" t="s">
        <v>275</v>
      </c>
      <c r="I2861" t="s">
        <v>29</v>
      </c>
      <c r="J2861">
        <v>1</v>
      </c>
      <c r="K2861">
        <f>1-844-396-9936</f>
        <v>-11175</v>
      </c>
      <c r="L2861" t="s">
        <v>8993</v>
      </c>
      <c r="M2861" t="s">
        <v>8994</v>
      </c>
      <c r="N2861" t="s">
        <v>278</v>
      </c>
      <c r="O2861" t="s">
        <v>28</v>
      </c>
      <c r="P2861" t="s">
        <v>782</v>
      </c>
      <c r="Q2861">
        <v>-38</v>
      </c>
      <c r="R2861">
        <v>99.999999000000003</v>
      </c>
    </row>
    <row r="2862" spans="1:18" x14ac:dyDescent="0.2">
      <c r="A2862" t="s">
        <v>270</v>
      </c>
      <c r="B2862" t="s">
        <v>8966</v>
      </c>
      <c r="C2862">
        <v>1</v>
      </c>
      <c r="D2862" s="1">
        <v>44363.807719907411</v>
      </c>
      <c r="E2862" t="s">
        <v>8995</v>
      </c>
      <c r="F2862" t="s">
        <v>273</v>
      </c>
      <c r="G2862" t="s">
        <v>8968</v>
      </c>
      <c r="H2862" t="s">
        <v>275</v>
      </c>
      <c r="I2862" t="s">
        <v>29</v>
      </c>
      <c r="J2862">
        <v>1</v>
      </c>
      <c r="K2862">
        <f>1-888-235-4829</f>
        <v>-5951</v>
      </c>
      <c r="L2862" t="s">
        <v>8996</v>
      </c>
      <c r="M2862" t="s">
        <v>8997</v>
      </c>
      <c r="N2862" t="s">
        <v>278</v>
      </c>
      <c r="O2862" t="s">
        <v>28</v>
      </c>
      <c r="P2862" t="s">
        <v>782</v>
      </c>
      <c r="Q2862">
        <v>-38</v>
      </c>
      <c r="R2862">
        <v>99.999999000000003</v>
      </c>
    </row>
    <row r="2863" spans="1:18" x14ac:dyDescent="0.2">
      <c r="A2863" t="s">
        <v>270</v>
      </c>
      <c r="B2863" t="s">
        <v>8966</v>
      </c>
      <c r="C2863">
        <v>1</v>
      </c>
      <c r="D2863" s="1">
        <v>44363.793541666666</v>
      </c>
      <c r="E2863" t="s">
        <v>8998</v>
      </c>
      <c r="F2863" t="s">
        <v>273</v>
      </c>
      <c r="G2863" t="s">
        <v>8968</v>
      </c>
      <c r="H2863" t="s">
        <v>275</v>
      </c>
      <c r="I2863" t="s">
        <v>29</v>
      </c>
      <c r="J2863">
        <v>1</v>
      </c>
      <c r="K2863">
        <f>1-888-240-5809</f>
        <v>-6936</v>
      </c>
      <c r="L2863" t="s">
        <v>8999</v>
      </c>
      <c r="M2863" t="s">
        <v>9000</v>
      </c>
      <c r="N2863" t="s">
        <v>278</v>
      </c>
      <c r="O2863" t="s">
        <v>28</v>
      </c>
      <c r="P2863" t="s">
        <v>782</v>
      </c>
      <c r="Q2863">
        <v>-38</v>
      </c>
      <c r="R2863">
        <v>99.999999000000003</v>
      </c>
    </row>
    <row r="2864" spans="1:18" x14ac:dyDescent="0.2">
      <c r="A2864" t="s">
        <v>270</v>
      </c>
      <c r="B2864" t="s">
        <v>8966</v>
      </c>
      <c r="C2864">
        <v>1</v>
      </c>
      <c r="D2864" s="1">
        <v>44363.777245370373</v>
      </c>
      <c r="E2864" t="s">
        <v>9001</v>
      </c>
      <c r="F2864" t="s">
        <v>273</v>
      </c>
      <c r="G2864" t="s">
        <v>8968</v>
      </c>
      <c r="H2864" t="s">
        <v>275</v>
      </c>
      <c r="I2864" t="s">
        <v>29</v>
      </c>
      <c r="J2864">
        <v>1</v>
      </c>
      <c r="K2864">
        <f>1-888-340-8055</f>
        <v>-9282</v>
      </c>
      <c r="L2864" t="s">
        <v>9002</v>
      </c>
      <c r="M2864" t="s">
        <v>9003</v>
      </c>
      <c r="N2864" t="s">
        <v>278</v>
      </c>
      <c r="O2864" t="s">
        <v>28</v>
      </c>
      <c r="P2864" t="s">
        <v>782</v>
      </c>
      <c r="Q2864">
        <v>-38</v>
      </c>
      <c r="R2864">
        <v>99.999999000000003</v>
      </c>
    </row>
    <row r="2865" spans="1:18" x14ac:dyDescent="0.2">
      <c r="A2865" t="s">
        <v>270</v>
      </c>
      <c r="B2865" t="s">
        <v>8966</v>
      </c>
      <c r="C2865">
        <v>1</v>
      </c>
      <c r="D2865" s="1">
        <v>44357.907349537039</v>
      </c>
      <c r="E2865" t="s">
        <v>9004</v>
      </c>
      <c r="F2865" t="s">
        <v>273</v>
      </c>
      <c r="G2865" t="s">
        <v>8968</v>
      </c>
      <c r="H2865" t="s">
        <v>275</v>
      </c>
      <c r="I2865" t="s">
        <v>29</v>
      </c>
      <c r="J2865">
        <v>1</v>
      </c>
      <c r="K2865">
        <f>1-888-382-3027</f>
        <v>-4296</v>
      </c>
      <c r="L2865" t="s">
        <v>9005</v>
      </c>
      <c r="M2865" t="s">
        <v>9006</v>
      </c>
      <c r="N2865" t="s">
        <v>278</v>
      </c>
      <c r="O2865" t="s">
        <v>28</v>
      </c>
      <c r="P2865" t="s">
        <v>782</v>
      </c>
      <c r="Q2865">
        <v>-38</v>
      </c>
      <c r="R2865">
        <v>99.999999000000003</v>
      </c>
    </row>
    <row r="2866" spans="1:18" x14ac:dyDescent="0.2">
      <c r="A2866" t="s">
        <v>270</v>
      </c>
      <c r="B2866" t="s">
        <v>8966</v>
      </c>
      <c r="C2866">
        <v>1</v>
      </c>
      <c r="D2866" s="1">
        <v>44357.90552083333</v>
      </c>
      <c r="E2866" t="s">
        <v>9007</v>
      </c>
      <c r="F2866" t="s">
        <v>273</v>
      </c>
      <c r="G2866" t="s">
        <v>8968</v>
      </c>
      <c r="H2866" t="s">
        <v>275</v>
      </c>
      <c r="I2866" t="s">
        <v>29</v>
      </c>
      <c r="J2866">
        <v>1</v>
      </c>
      <c r="K2866">
        <f>1-888-382-3027</f>
        <v>-4296</v>
      </c>
      <c r="L2866" t="s">
        <v>9008</v>
      </c>
      <c r="M2866" t="s">
        <v>9009</v>
      </c>
      <c r="N2866" t="s">
        <v>278</v>
      </c>
      <c r="O2866" t="s">
        <v>28</v>
      </c>
      <c r="P2866" t="s">
        <v>782</v>
      </c>
      <c r="Q2866">
        <v>-38</v>
      </c>
      <c r="R2866">
        <v>99.999999000000003</v>
      </c>
    </row>
    <row r="2867" spans="1:18" x14ac:dyDescent="0.2">
      <c r="A2867" t="s">
        <v>270</v>
      </c>
      <c r="B2867" t="s">
        <v>8966</v>
      </c>
      <c r="C2867">
        <v>1</v>
      </c>
      <c r="D2867" s="1">
        <v>44357.901828703703</v>
      </c>
      <c r="E2867" t="s">
        <v>9010</v>
      </c>
      <c r="F2867" t="s">
        <v>273</v>
      </c>
      <c r="G2867" t="s">
        <v>8968</v>
      </c>
      <c r="H2867" t="s">
        <v>275</v>
      </c>
      <c r="I2867" t="s">
        <v>29</v>
      </c>
      <c r="J2867">
        <v>1</v>
      </c>
      <c r="K2867">
        <f>1-888-382-3027</f>
        <v>-4296</v>
      </c>
      <c r="L2867" t="s">
        <v>9011</v>
      </c>
      <c r="M2867" t="s">
        <v>9012</v>
      </c>
      <c r="N2867" t="s">
        <v>278</v>
      </c>
      <c r="O2867" t="s">
        <v>28</v>
      </c>
      <c r="P2867" t="s">
        <v>782</v>
      </c>
      <c r="Q2867">
        <v>-38</v>
      </c>
      <c r="R2867">
        <v>99.999999000000003</v>
      </c>
    </row>
    <row r="2868" spans="1:18" x14ac:dyDescent="0.2">
      <c r="A2868" t="s">
        <v>270</v>
      </c>
      <c r="B2868" t="s">
        <v>8966</v>
      </c>
      <c r="C2868">
        <v>1</v>
      </c>
      <c r="D2868" s="1">
        <v>44357.898356481484</v>
      </c>
      <c r="E2868" t="s">
        <v>9013</v>
      </c>
      <c r="F2868" t="s">
        <v>273</v>
      </c>
      <c r="G2868" t="s">
        <v>8968</v>
      </c>
      <c r="H2868" t="s">
        <v>275</v>
      </c>
      <c r="I2868" t="s">
        <v>29</v>
      </c>
      <c r="J2868">
        <v>1</v>
      </c>
      <c r="K2868">
        <f>1-888-382-2490</f>
        <v>-3759</v>
      </c>
      <c r="L2868" t="s">
        <v>9014</v>
      </c>
      <c r="M2868" t="s">
        <v>9015</v>
      </c>
      <c r="N2868" t="s">
        <v>278</v>
      </c>
      <c r="O2868" t="s">
        <v>28</v>
      </c>
      <c r="P2868" t="s">
        <v>782</v>
      </c>
      <c r="Q2868">
        <v>-38</v>
      </c>
      <c r="R2868">
        <v>99.999999000000003</v>
      </c>
    </row>
    <row r="2869" spans="1:18" x14ac:dyDescent="0.2">
      <c r="A2869" t="s">
        <v>270</v>
      </c>
      <c r="B2869" t="s">
        <v>8966</v>
      </c>
      <c r="C2869">
        <v>1</v>
      </c>
      <c r="D2869" s="1">
        <v>44357.896053240744</v>
      </c>
      <c r="E2869" t="s">
        <v>9016</v>
      </c>
      <c r="F2869" t="s">
        <v>273</v>
      </c>
      <c r="G2869" t="s">
        <v>8968</v>
      </c>
      <c r="H2869" t="s">
        <v>275</v>
      </c>
      <c r="I2869" t="s">
        <v>29</v>
      </c>
      <c r="J2869">
        <v>1</v>
      </c>
      <c r="K2869">
        <f>1-888-382-2490</f>
        <v>-3759</v>
      </c>
      <c r="L2869" t="s">
        <v>9017</v>
      </c>
      <c r="M2869" t="s">
        <v>9018</v>
      </c>
      <c r="N2869" t="s">
        <v>278</v>
      </c>
      <c r="O2869" t="s">
        <v>28</v>
      </c>
      <c r="P2869" t="s">
        <v>782</v>
      </c>
      <c r="Q2869">
        <v>-38</v>
      </c>
      <c r="R2869">
        <v>99.999999000000003</v>
      </c>
    </row>
    <row r="2870" spans="1:18" x14ac:dyDescent="0.2">
      <c r="A2870" t="s">
        <v>270</v>
      </c>
      <c r="B2870" t="s">
        <v>8966</v>
      </c>
      <c r="C2870">
        <v>1</v>
      </c>
      <c r="D2870" s="1">
        <v>44357.891898148147</v>
      </c>
      <c r="E2870" t="s">
        <v>9019</v>
      </c>
      <c r="F2870" t="s">
        <v>273</v>
      </c>
      <c r="G2870" t="s">
        <v>8968</v>
      </c>
      <c r="H2870" t="s">
        <v>275</v>
      </c>
      <c r="I2870" t="s">
        <v>29</v>
      </c>
      <c r="J2870">
        <v>1</v>
      </c>
      <c r="K2870">
        <f>1-888-382-2490</f>
        <v>-3759</v>
      </c>
      <c r="L2870" t="s">
        <v>9020</v>
      </c>
      <c r="M2870" t="s">
        <v>9021</v>
      </c>
      <c r="N2870" t="s">
        <v>278</v>
      </c>
      <c r="O2870" t="s">
        <v>28</v>
      </c>
      <c r="P2870" t="s">
        <v>782</v>
      </c>
      <c r="Q2870">
        <v>-38</v>
      </c>
      <c r="R2870">
        <v>99.999999000000003</v>
      </c>
    </row>
    <row r="2871" spans="1:18" x14ac:dyDescent="0.2">
      <c r="A2871" t="s">
        <v>270</v>
      </c>
      <c r="B2871" t="s">
        <v>8966</v>
      </c>
      <c r="C2871">
        <v>1</v>
      </c>
      <c r="D2871" s="1">
        <v>44357.879699074074</v>
      </c>
      <c r="E2871" t="s">
        <v>9022</v>
      </c>
      <c r="F2871" t="s">
        <v>273</v>
      </c>
      <c r="G2871" t="s">
        <v>8968</v>
      </c>
      <c r="H2871" t="s">
        <v>275</v>
      </c>
      <c r="I2871" t="s">
        <v>29</v>
      </c>
      <c r="J2871">
        <v>1</v>
      </c>
      <c r="K2871">
        <f>1-888-382-2490</f>
        <v>-3759</v>
      </c>
      <c r="L2871" t="s">
        <v>9023</v>
      </c>
      <c r="M2871" t="s">
        <v>9024</v>
      </c>
      <c r="N2871" t="s">
        <v>278</v>
      </c>
      <c r="O2871" t="s">
        <v>28</v>
      </c>
      <c r="P2871" t="s">
        <v>782</v>
      </c>
      <c r="Q2871">
        <v>-38</v>
      </c>
      <c r="R2871">
        <v>99.999999000000003</v>
      </c>
    </row>
    <row r="2872" spans="1:18" x14ac:dyDescent="0.2">
      <c r="A2872" t="s">
        <v>270</v>
      </c>
      <c r="B2872" t="s">
        <v>8966</v>
      </c>
      <c r="C2872">
        <v>1</v>
      </c>
      <c r="D2872" s="1">
        <v>44357.855023148149</v>
      </c>
      <c r="E2872" t="s">
        <v>9025</v>
      </c>
      <c r="F2872" t="s">
        <v>273</v>
      </c>
      <c r="G2872" t="s">
        <v>8968</v>
      </c>
      <c r="H2872" t="s">
        <v>275</v>
      </c>
      <c r="I2872" t="s">
        <v>29</v>
      </c>
      <c r="J2872">
        <v>1</v>
      </c>
      <c r="K2872">
        <f>1-888-342-9182</f>
        <v>-10411</v>
      </c>
      <c r="L2872" t="s">
        <v>9026</v>
      </c>
      <c r="M2872" t="s">
        <v>9027</v>
      </c>
      <c r="N2872" t="s">
        <v>278</v>
      </c>
      <c r="O2872" t="s">
        <v>28</v>
      </c>
      <c r="P2872" t="s">
        <v>782</v>
      </c>
      <c r="Q2872">
        <v>-38</v>
      </c>
      <c r="R2872">
        <v>99.999999000000003</v>
      </c>
    </row>
    <row r="2873" spans="1:18" x14ac:dyDescent="0.2">
      <c r="A2873" t="s">
        <v>270</v>
      </c>
      <c r="B2873" t="s">
        <v>8966</v>
      </c>
      <c r="C2873">
        <v>1</v>
      </c>
      <c r="D2873" s="1">
        <v>44357.782650462963</v>
      </c>
      <c r="E2873" t="s">
        <v>9028</v>
      </c>
      <c r="F2873" t="s">
        <v>273</v>
      </c>
      <c r="G2873" t="s">
        <v>8968</v>
      </c>
      <c r="H2873" t="s">
        <v>275</v>
      </c>
      <c r="I2873" t="s">
        <v>29</v>
      </c>
      <c r="J2873">
        <v>1</v>
      </c>
      <c r="K2873">
        <f>1-888-253-7127</f>
        <v>-8267</v>
      </c>
      <c r="L2873" t="s">
        <v>9029</v>
      </c>
      <c r="M2873" t="s">
        <v>9030</v>
      </c>
      <c r="N2873" t="s">
        <v>278</v>
      </c>
      <c r="O2873" t="s">
        <v>28</v>
      </c>
      <c r="P2873" t="s">
        <v>782</v>
      </c>
      <c r="Q2873">
        <v>-38</v>
      </c>
      <c r="R2873">
        <v>99.999999000000003</v>
      </c>
    </row>
    <row r="2874" spans="1:18" x14ac:dyDescent="0.2">
      <c r="A2874" t="s">
        <v>270</v>
      </c>
      <c r="B2874" t="s">
        <v>8966</v>
      </c>
      <c r="C2874">
        <v>1</v>
      </c>
      <c r="D2874" s="1">
        <v>44355.848969907405</v>
      </c>
      <c r="E2874" t="s">
        <v>9031</v>
      </c>
      <c r="F2874" t="s">
        <v>273</v>
      </c>
      <c r="G2874" t="s">
        <v>8968</v>
      </c>
      <c r="H2874" t="s">
        <v>275</v>
      </c>
      <c r="I2874" t="s">
        <v>29</v>
      </c>
      <c r="J2874">
        <v>1</v>
      </c>
      <c r="K2874">
        <f>1-888-597-1487</f>
        <v>-2971</v>
      </c>
      <c r="L2874" t="s">
        <v>9032</v>
      </c>
      <c r="M2874" t="s">
        <v>9033</v>
      </c>
      <c r="N2874" t="s">
        <v>278</v>
      </c>
      <c r="O2874" t="s">
        <v>134</v>
      </c>
      <c r="P2874" t="s">
        <v>782</v>
      </c>
      <c r="Q2874">
        <v>-38</v>
      </c>
      <c r="R2874">
        <v>99.999999000000003</v>
      </c>
    </row>
    <row r="2875" spans="1:18" x14ac:dyDescent="0.2">
      <c r="A2875" t="s">
        <v>270</v>
      </c>
      <c r="B2875" t="s">
        <v>8966</v>
      </c>
      <c r="C2875">
        <v>1</v>
      </c>
      <c r="D2875" s="1">
        <v>44354.880925925929</v>
      </c>
      <c r="E2875" t="s">
        <v>9034</v>
      </c>
      <c r="F2875" t="s">
        <v>273</v>
      </c>
      <c r="G2875" t="s">
        <v>8968</v>
      </c>
      <c r="H2875" t="s">
        <v>275</v>
      </c>
      <c r="I2875" t="s">
        <v>29</v>
      </c>
      <c r="J2875">
        <v>1</v>
      </c>
      <c r="K2875">
        <f>1-888-610-6383</f>
        <v>-7880</v>
      </c>
      <c r="L2875" t="s">
        <v>9035</v>
      </c>
      <c r="M2875" t="s">
        <v>9036</v>
      </c>
      <c r="N2875" t="s">
        <v>278</v>
      </c>
      <c r="O2875" t="s">
        <v>28</v>
      </c>
      <c r="P2875" t="s">
        <v>782</v>
      </c>
      <c r="Q2875">
        <v>-38</v>
      </c>
      <c r="R2875">
        <v>99.999999000000003</v>
      </c>
    </row>
    <row r="2876" spans="1:18" x14ac:dyDescent="0.2">
      <c r="A2876" t="s">
        <v>270</v>
      </c>
      <c r="B2876" t="s">
        <v>8966</v>
      </c>
      <c r="C2876">
        <v>1</v>
      </c>
      <c r="D2876" s="1">
        <v>44354.875104166669</v>
      </c>
      <c r="E2876" t="s">
        <v>9037</v>
      </c>
      <c r="F2876" t="s">
        <v>273</v>
      </c>
      <c r="G2876" t="s">
        <v>8968</v>
      </c>
      <c r="H2876" t="s">
        <v>275</v>
      </c>
      <c r="I2876" t="s">
        <v>29</v>
      </c>
      <c r="J2876">
        <v>1</v>
      </c>
      <c r="K2876">
        <f>1-888-609-3819</f>
        <v>-5315</v>
      </c>
      <c r="L2876" t="s">
        <v>9038</v>
      </c>
      <c r="M2876" t="s">
        <v>9039</v>
      </c>
      <c r="N2876" t="s">
        <v>278</v>
      </c>
      <c r="O2876" t="s">
        <v>28</v>
      </c>
      <c r="P2876" t="s">
        <v>782</v>
      </c>
      <c r="Q2876">
        <v>-38</v>
      </c>
      <c r="R2876">
        <v>99.999999000000003</v>
      </c>
    </row>
    <row r="2877" spans="1:18" x14ac:dyDescent="0.2">
      <c r="A2877" t="s">
        <v>270</v>
      </c>
      <c r="B2877" t="s">
        <v>8966</v>
      </c>
      <c r="C2877">
        <v>1</v>
      </c>
      <c r="D2877" s="1">
        <v>44354.874699074076</v>
      </c>
      <c r="E2877" t="s">
        <v>9040</v>
      </c>
      <c r="F2877" t="s">
        <v>273</v>
      </c>
      <c r="G2877" t="s">
        <v>8968</v>
      </c>
      <c r="H2877" t="s">
        <v>275</v>
      </c>
      <c r="I2877" t="s">
        <v>29</v>
      </c>
      <c r="J2877">
        <v>1</v>
      </c>
      <c r="K2877">
        <f>1-888-609-3819</f>
        <v>-5315</v>
      </c>
      <c r="L2877" t="s">
        <v>9041</v>
      </c>
      <c r="M2877" t="s">
        <v>9042</v>
      </c>
      <c r="N2877" t="s">
        <v>278</v>
      </c>
      <c r="O2877" t="s">
        <v>28</v>
      </c>
      <c r="P2877" t="s">
        <v>782</v>
      </c>
      <c r="Q2877">
        <v>-38</v>
      </c>
      <c r="R2877">
        <v>99.999999000000003</v>
      </c>
    </row>
    <row r="2878" spans="1:18" x14ac:dyDescent="0.2">
      <c r="A2878" t="s">
        <v>270</v>
      </c>
      <c r="B2878" t="s">
        <v>8966</v>
      </c>
      <c r="C2878">
        <v>1</v>
      </c>
      <c r="D2878" s="1">
        <v>44354.869849537034</v>
      </c>
      <c r="E2878" t="s">
        <v>9043</v>
      </c>
      <c r="F2878" t="s">
        <v>273</v>
      </c>
      <c r="G2878" t="s">
        <v>8968</v>
      </c>
      <c r="H2878" t="s">
        <v>275</v>
      </c>
      <c r="I2878" t="s">
        <v>29</v>
      </c>
      <c r="J2878">
        <v>1</v>
      </c>
      <c r="K2878">
        <f>1-888-609-3819</f>
        <v>-5315</v>
      </c>
      <c r="L2878" t="s">
        <v>9044</v>
      </c>
      <c r="M2878" t="s">
        <v>9045</v>
      </c>
      <c r="N2878" t="s">
        <v>278</v>
      </c>
      <c r="O2878" t="s">
        <v>28</v>
      </c>
      <c r="P2878" t="s">
        <v>782</v>
      </c>
      <c r="Q2878">
        <v>-38</v>
      </c>
      <c r="R2878">
        <v>99.999999000000003</v>
      </c>
    </row>
    <row r="2879" spans="1:18" x14ac:dyDescent="0.2">
      <c r="A2879" t="s">
        <v>270</v>
      </c>
      <c r="B2879" t="s">
        <v>8966</v>
      </c>
      <c r="C2879">
        <v>1</v>
      </c>
      <c r="D2879" s="1">
        <v>44354.868796296294</v>
      </c>
      <c r="E2879" t="s">
        <v>9046</v>
      </c>
      <c r="F2879" t="s">
        <v>273</v>
      </c>
      <c r="G2879" t="s">
        <v>8968</v>
      </c>
      <c r="H2879" t="s">
        <v>275</v>
      </c>
      <c r="I2879" t="s">
        <v>29</v>
      </c>
      <c r="J2879">
        <v>1</v>
      </c>
      <c r="K2879">
        <f>1-888-609-3819</f>
        <v>-5315</v>
      </c>
      <c r="L2879" t="s">
        <v>9047</v>
      </c>
      <c r="M2879" t="s">
        <v>9048</v>
      </c>
      <c r="N2879" t="s">
        <v>278</v>
      </c>
      <c r="O2879" t="s">
        <v>28</v>
      </c>
      <c r="P2879" t="s">
        <v>782</v>
      </c>
      <c r="Q2879">
        <v>-38</v>
      </c>
      <c r="R2879">
        <v>99.999999000000003</v>
      </c>
    </row>
    <row r="2880" spans="1:18" x14ac:dyDescent="0.2">
      <c r="A2880" t="s">
        <v>270</v>
      </c>
      <c r="B2880" t="s">
        <v>8966</v>
      </c>
      <c r="C2880">
        <v>1</v>
      </c>
      <c r="D2880" s="1">
        <v>44348.852222222224</v>
      </c>
      <c r="E2880" t="s">
        <v>9049</v>
      </c>
      <c r="F2880" t="s">
        <v>273</v>
      </c>
      <c r="G2880" t="s">
        <v>8968</v>
      </c>
      <c r="H2880" t="s">
        <v>275</v>
      </c>
      <c r="I2880" t="s">
        <v>29</v>
      </c>
      <c r="J2880">
        <v>1</v>
      </c>
      <c r="K2880">
        <f>1-844-309-2429</f>
        <v>-3581</v>
      </c>
      <c r="L2880" t="s">
        <v>9050</v>
      </c>
      <c r="M2880" t="s">
        <v>9051</v>
      </c>
      <c r="N2880" t="s">
        <v>278</v>
      </c>
      <c r="O2880" t="s">
        <v>28</v>
      </c>
      <c r="P2880" t="s">
        <v>782</v>
      </c>
      <c r="Q2880">
        <v>-38</v>
      </c>
      <c r="R2880">
        <v>99.999999000000003</v>
      </c>
    </row>
    <row r="2881" spans="1:18" x14ac:dyDescent="0.2">
      <c r="A2881" t="s">
        <v>270</v>
      </c>
      <c r="B2881" t="s">
        <v>8966</v>
      </c>
      <c r="C2881">
        <v>1</v>
      </c>
      <c r="D2881" s="1">
        <v>44342.937719907408</v>
      </c>
      <c r="E2881" t="s">
        <v>9052</v>
      </c>
      <c r="F2881" t="s">
        <v>273</v>
      </c>
      <c r="G2881" t="s">
        <v>8968</v>
      </c>
      <c r="H2881" t="s">
        <v>275</v>
      </c>
      <c r="I2881" t="s">
        <v>29</v>
      </c>
      <c r="J2881">
        <v>1</v>
      </c>
      <c r="K2881">
        <f>1-888-585-7564</f>
        <v>-9036</v>
      </c>
      <c r="L2881" t="s">
        <v>9053</v>
      </c>
      <c r="M2881" t="s">
        <v>9054</v>
      </c>
      <c r="N2881" t="s">
        <v>278</v>
      </c>
      <c r="O2881" t="s">
        <v>28</v>
      </c>
      <c r="P2881" t="s">
        <v>782</v>
      </c>
      <c r="Q2881">
        <v>-38</v>
      </c>
      <c r="R2881">
        <v>99.999999000000003</v>
      </c>
    </row>
    <row r="2882" spans="1:18" x14ac:dyDescent="0.2">
      <c r="A2882" t="s">
        <v>270</v>
      </c>
      <c r="B2882" t="s">
        <v>8966</v>
      </c>
      <c r="C2882">
        <v>1</v>
      </c>
      <c r="D2882" s="1">
        <v>44342.937326388892</v>
      </c>
      <c r="E2882" t="s">
        <v>9055</v>
      </c>
      <c r="F2882" t="s">
        <v>273</v>
      </c>
      <c r="G2882" t="s">
        <v>8968</v>
      </c>
      <c r="H2882" t="s">
        <v>275</v>
      </c>
      <c r="I2882" t="s">
        <v>29</v>
      </c>
      <c r="J2882">
        <v>1</v>
      </c>
      <c r="K2882">
        <f>1-888-585-7564</f>
        <v>-9036</v>
      </c>
      <c r="L2882" t="s">
        <v>9056</v>
      </c>
      <c r="M2882" t="s">
        <v>9057</v>
      </c>
      <c r="N2882" t="s">
        <v>278</v>
      </c>
      <c r="O2882" t="s">
        <v>28</v>
      </c>
      <c r="P2882" t="s">
        <v>782</v>
      </c>
      <c r="Q2882">
        <v>-38</v>
      </c>
      <c r="R2882">
        <v>99.999999000000003</v>
      </c>
    </row>
    <row r="2883" spans="1:18" x14ac:dyDescent="0.2">
      <c r="A2883" t="s">
        <v>270</v>
      </c>
      <c r="B2883" t="s">
        <v>8966</v>
      </c>
      <c r="C2883">
        <v>1</v>
      </c>
      <c r="D2883" s="1">
        <v>44340.96534722222</v>
      </c>
      <c r="E2883" t="s">
        <v>9058</v>
      </c>
      <c r="F2883" t="s">
        <v>273</v>
      </c>
      <c r="G2883" t="s">
        <v>8968</v>
      </c>
      <c r="H2883" t="s">
        <v>275</v>
      </c>
      <c r="I2883" t="s">
        <v>29</v>
      </c>
      <c r="J2883">
        <v>1</v>
      </c>
      <c r="K2883">
        <f>1-888-732-7102</f>
        <v>-8721</v>
      </c>
      <c r="L2883" t="s">
        <v>9059</v>
      </c>
      <c r="M2883" t="s">
        <v>9060</v>
      </c>
      <c r="N2883" t="s">
        <v>278</v>
      </c>
      <c r="O2883" t="s">
        <v>28</v>
      </c>
      <c r="P2883" t="s">
        <v>782</v>
      </c>
      <c r="Q2883">
        <v>-38</v>
      </c>
      <c r="R2883">
        <v>99.999999000000003</v>
      </c>
    </row>
    <row r="2884" spans="1:18" x14ac:dyDescent="0.2">
      <c r="A2884" t="s">
        <v>270</v>
      </c>
      <c r="B2884" t="s">
        <v>8966</v>
      </c>
      <c r="C2884">
        <v>1</v>
      </c>
      <c r="D2884" s="1">
        <v>44342.93377314815</v>
      </c>
      <c r="E2884" t="s">
        <v>9061</v>
      </c>
      <c r="F2884" t="s">
        <v>273</v>
      </c>
      <c r="G2884" t="s">
        <v>8968</v>
      </c>
      <c r="H2884" t="s">
        <v>275</v>
      </c>
      <c r="I2884" t="s">
        <v>29</v>
      </c>
      <c r="J2884">
        <v>1</v>
      </c>
      <c r="K2884">
        <f>1-888-585-7564</f>
        <v>-9036</v>
      </c>
      <c r="L2884" t="s">
        <v>9062</v>
      </c>
      <c r="M2884" t="s">
        <v>9063</v>
      </c>
      <c r="N2884" t="s">
        <v>278</v>
      </c>
      <c r="O2884" t="s">
        <v>28</v>
      </c>
      <c r="P2884" t="s">
        <v>782</v>
      </c>
      <c r="Q2884">
        <v>-38</v>
      </c>
      <c r="R2884">
        <v>99.999999000000003</v>
      </c>
    </row>
    <row r="2885" spans="1:18" x14ac:dyDescent="0.2">
      <c r="A2885" t="s">
        <v>270</v>
      </c>
      <c r="B2885" t="s">
        <v>8966</v>
      </c>
      <c r="C2885">
        <v>1</v>
      </c>
      <c r="D2885" s="1">
        <v>44342.932268518518</v>
      </c>
      <c r="E2885" t="s">
        <v>9064</v>
      </c>
      <c r="F2885" t="s">
        <v>273</v>
      </c>
      <c r="G2885" t="s">
        <v>8968</v>
      </c>
      <c r="H2885" t="s">
        <v>275</v>
      </c>
      <c r="I2885" t="s">
        <v>29</v>
      </c>
      <c r="J2885">
        <v>1</v>
      </c>
      <c r="K2885">
        <f>1-888-585-7564</f>
        <v>-9036</v>
      </c>
      <c r="L2885" t="s">
        <v>9065</v>
      </c>
      <c r="M2885" t="s">
        <v>9066</v>
      </c>
      <c r="N2885" t="s">
        <v>278</v>
      </c>
      <c r="O2885" t="s">
        <v>28</v>
      </c>
      <c r="P2885" t="s">
        <v>782</v>
      </c>
      <c r="Q2885">
        <v>-38</v>
      </c>
      <c r="R2885">
        <v>99.999999000000003</v>
      </c>
    </row>
    <row r="2886" spans="1:18" x14ac:dyDescent="0.2">
      <c r="A2886" t="s">
        <v>270</v>
      </c>
      <c r="B2886" t="s">
        <v>8966</v>
      </c>
      <c r="C2886">
        <v>1</v>
      </c>
      <c r="D2886" s="1">
        <v>44343.833923611113</v>
      </c>
      <c r="E2886" t="s">
        <v>9067</v>
      </c>
      <c r="F2886" t="s">
        <v>273</v>
      </c>
      <c r="G2886" t="s">
        <v>8968</v>
      </c>
      <c r="H2886" t="s">
        <v>275</v>
      </c>
      <c r="I2886" t="s">
        <v>29</v>
      </c>
      <c r="J2886">
        <v>1</v>
      </c>
      <c r="K2886">
        <f>1-888-530-416</f>
        <v>-1833</v>
      </c>
      <c r="L2886" t="s">
        <v>9068</v>
      </c>
      <c r="M2886" t="s">
        <v>9069</v>
      </c>
      <c r="N2886" t="s">
        <v>278</v>
      </c>
      <c r="O2886" t="s">
        <v>28</v>
      </c>
      <c r="P2886" t="s">
        <v>782</v>
      </c>
      <c r="Q2886">
        <v>-38</v>
      </c>
      <c r="R2886">
        <v>99.999999000000003</v>
      </c>
    </row>
    <row r="2887" spans="1:18" x14ac:dyDescent="0.2">
      <c r="A2887" t="s">
        <v>270</v>
      </c>
      <c r="B2887" t="s">
        <v>8966</v>
      </c>
      <c r="C2887">
        <v>1</v>
      </c>
      <c r="D2887" s="1">
        <v>44343.832326388889</v>
      </c>
      <c r="E2887" t="s">
        <v>9070</v>
      </c>
      <c r="F2887" t="s">
        <v>273</v>
      </c>
      <c r="G2887" t="s">
        <v>8968</v>
      </c>
      <c r="H2887" t="s">
        <v>275</v>
      </c>
      <c r="I2887" t="s">
        <v>29</v>
      </c>
      <c r="J2887">
        <v>1</v>
      </c>
      <c r="K2887">
        <f>1-888-530-416</f>
        <v>-1833</v>
      </c>
      <c r="L2887" t="s">
        <v>9071</v>
      </c>
      <c r="M2887" t="s">
        <v>9072</v>
      </c>
      <c r="N2887" t="s">
        <v>278</v>
      </c>
      <c r="O2887" t="s">
        <v>28</v>
      </c>
      <c r="P2887" t="s">
        <v>782</v>
      </c>
      <c r="Q2887">
        <v>-38</v>
      </c>
      <c r="R2887">
        <v>99.999999000000003</v>
      </c>
    </row>
    <row r="2888" spans="1:18" x14ac:dyDescent="0.2">
      <c r="A2888" t="s">
        <v>270</v>
      </c>
      <c r="B2888" t="s">
        <v>8966</v>
      </c>
      <c r="C2888">
        <v>1</v>
      </c>
      <c r="D2888" s="1">
        <v>44336.899409722224</v>
      </c>
      <c r="E2888" t="s">
        <v>9073</v>
      </c>
      <c r="F2888" t="s">
        <v>273</v>
      </c>
      <c r="G2888" t="s">
        <v>8968</v>
      </c>
      <c r="H2888" t="s">
        <v>275</v>
      </c>
      <c r="I2888" t="s">
        <v>29</v>
      </c>
      <c r="J2888">
        <v>1</v>
      </c>
      <c r="K2888">
        <f>1-888-784-7702</f>
        <v>-9373</v>
      </c>
      <c r="L2888" t="s">
        <v>9074</v>
      </c>
      <c r="M2888" t="s">
        <v>9075</v>
      </c>
      <c r="N2888" t="s">
        <v>278</v>
      </c>
      <c r="O2888" t="s">
        <v>28</v>
      </c>
      <c r="P2888" t="s">
        <v>782</v>
      </c>
      <c r="Q2888">
        <v>-38</v>
      </c>
      <c r="R2888">
        <v>99.999999000000003</v>
      </c>
    </row>
    <row r="2889" spans="1:18" x14ac:dyDescent="0.2">
      <c r="A2889" t="s">
        <v>270</v>
      </c>
      <c r="B2889" t="s">
        <v>8966</v>
      </c>
      <c r="C2889">
        <v>1</v>
      </c>
      <c r="D2889" s="1">
        <v>44336.877812500003</v>
      </c>
      <c r="E2889" t="s">
        <v>9076</v>
      </c>
      <c r="F2889" t="s">
        <v>273</v>
      </c>
      <c r="G2889" t="s">
        <v>8968</v>
      </c>
      <c r="H2889" t="s">
        <v>275</v>
      </c>
      <c r="I2889" t="s">
        <v>29</v>
      </c>
      <c r="J2889">
        <v>1</v>
      </c>
      <c r="K2889">
        <f>1-888-784-2939</f>
        <v>-4610</v>
      </c>
      <c r="L2889" t="s">
        <v>9077</v>
      </c>
      <c r="M2889" t="s">
        <v>9078</v>
      </c>
      <c r="N2889" t="s">
        <v>278</v>
      </c>
      <c r="O2889" t="s">
        <v>28</v>
      </c>
      <c r="P2889" t="s">
        <v>782</v>
      </c>
      <c r="Q2889">
        <v>-38</v>
      </c>
      <c r="R2889">
        <v>99.999999000000003</v>
      </c>
    </row>
    <row r="2890" spans="1:18" x14ac:dyDescent="0.2">
      <c r="A2890" t="s">
        <v>270</v>
      </c>
      <c r="B2890" t="s">
        <v>8966</v>
      </c>
      <c r="C2890">
        <v>1</v>
      </c>
      <c r="D2890" s="1">
        <v>44336.826527777775</v>
      </c>
      <c r="E2890" t="s">
        <v>9079</v>
      </c>
      <c r="F2890" t="s">
        <v>273</v>
      </c>
      <c r="G2890" t="s">
        <v>8968</v>
      </c>
      <c r="H2890" t="s">
        <v>275</v>
      </c>
      <c r="I2890" t="s">
        <v>29</v>
      </c>
      <c r="J2890">
        <v>1</v>
      </c>
      <c r="K2890">
        <f>1-888-784-8942</f>
        <v>-10613</v>
      </c>
      <c r="L2890" t="s">
        <v>9080</v>
      </c>
      <c r="M2890" t="s">
        <v>9081</v>
      </c>
      <c r="N2890" t="s">
        <v>278</v>
      </c>
      <c r="O2890" t="s">
        <v>28</v>
      </c>
      <c r="P2890" t="s">
        <v>782</v>
      </c>
      <c r="Q2890">
        <v>-38</v>
      </c>
      <c r="R2890">
        <v>99.999999000000003</v>
      </c>
    </row>
    <row r="2891" spans="1:18" x14ac:dyDescent="0.2">
      <c r="A2891" t="s">
        <v>270</v>
      </c>
      <c r="B2891" t="s">
        <v>8966</v>
      </c>
      <c r="C2891">
        <v>1</v>
      </c>
      <c r="D2891" s="1">
        <v>44334.851180555554</v>
      </c>
      <c r="E2891" t="s">
        <v>9082</v>
      </c>
      <c r="F2891" t="s">
        <v>273</v>
      </c>
      <c r="G2891" t="s">
        <v>8968</v>
      </c>
      <c r="H2891" t="s">
        <v>275</v>
      </c>
      <c r="I2891" t="s">
        <v>29</v>
      </c>
      <c r="J2891">
        <v>1</v>
      </c>
      <c r="K2891">
        <f>1-866-345-9740</f>
        <v>-10950</v>
      </c>
      <c r="L2891" t="s">
        <v>9083</v>
      </c>
      <c r="M2891" t="s">
        <v>9084</v>
      </c>
      <c r="N2891" t="s">
        <v>278</v>
      </c>
      <c r="O2891" t="s">
        <v>28</v>
      </c>
      <c r="P2891" t="s">
        <v>782</v>
      </c>
      <c r="Q2891">
        <v>-38</v>
      </c>
      <c r="R2891">
        <v>99.999999000000003</v>
      </c>
    </row>
    <row r="2892" spans="1:18" x14ac:dyDescent="0.2">
      <c r="A2892" t="s">
        <v>270</v>
      </c>
      <c r="B2892" t="s">
        <v>8966</v>
      </c>
      <c r="C2892">
        <v>1</v>
      </c>
      <c r="D2892" s="1">
        <v>44334.830347222225</v>
      </c>
      <c r="E2892" t="s">
        <v>9085</v>
      </c>
      <c r="F2892" t="s">
        <v>273</v>
      </c>
      <c r="G2892" t="s">
        <v>8968</v>
      </c>
      <c r="H2892" t="s">
        <v>275</v>
      </c>
      <c r="I2892" t="s">
        <v>29</v>
      </c>
      <c r="J2892">
        <v>1</v>
      </c>
      <c r="K2892">
        <f>1-888-655-2348</f>
        <v>-3890</v>
      </c>
      <c r="L2892" t="s">
        <v>9086</v>
      </c>
      <c r="M2892" t="s">
        <v>9087</v>
      </c>
      <c r="N2892" t="s">
        <v>278</v>
      </c>
      <c r="O2892" t="s">
        <v>28</v>
      </c>
      <c r="P2892" t="s">
        <v>782</v>
      </c>
      <c r="Q2892">
        <v>-38</v>
      </c>
      <c r="R2892">
        <v>99.999999000000003</v>
      </c>
    </row>
    <row r="2893" spans="1:18" x14ac:dyDescent="0.2">
      <c r="A2893" t="s">
        <v>270</v>
      </c>
      <c r="B2893" t="s">
        <v>8966</v>
      </c>
      <c r="C2893">
        <v>1</v>
      </c>
      <c r="D2893" s="1">
        <v>44334.820104166669</v>
      </c>
      <c r="E2893" t="s">
        <v>9088</v>
      </c>
      <c r="F2893" t="s">
        <v>273</v>
      </c>
      <c r="G2893" t="s">
        <v>8968</v>
      </c>
      <c r="H2893" t="s">
        <v>275</v>
      </c>
      <c r="I2893" t="s">
        <v>29</v>
      </c>
      <c r="J2893">
        <v>1</v>
      </c>
      <c r="K2893">
        <f>1-888-616-267</f>
        <v>-1770</v>
      </c>
      <c r="L2893" t="s">
        <v>9089</v>
      </c>
      <c r="M2893" t="s">
        <v>9090</v>
      </c>
      <c r="N2893" t="s">
        <v>278</v>
      </c>
      <c r="O2893" t="s">
        <v>28</v>
      </c>
      <c r="P2893" t="s">
        <v>782</v>
      </c>
      <c r="Q2893">
        <v>-38</v>
      </c>
      <c r="R2893">
        <v>99.999999000000003</v>
      </c>
    </row>
    <row r="2894" spans="1:18" x14ac:dyDescent="0.2">
      <c r="A2894" t="s">
        <v>270</v>
      </c>
      <c r="B2894" t="s">
        <v>8966</v>
      </c>
      <c r="C2894">
        <v>1</v>
      </c>
      <c r="D2894" s="1">
        <v>44334.812627314815</v>
      </c>
      <c r="E2894" t="s">
        <v>9091</v>
      </c>
      <c r="F2894" t="s">
        <v>273</v>
      </c>
      <c r="G2894" t="s">
        <v>8968</v>
      </c>
      <c r="H2894" t="s">
        <v>275</v>
      </c>
      <c r="I2894" t="s">
        <v>29</v>
      </c>
      <c r="J2894">
        <v>1</v>
      </c>
      <c r="K2894">
        <f>1-888-304-1344</f>
        <v>-2535</v>
      </c>
      <c r="L2894" t="s">
        <v>9092</v>
      </c>
      <c r="M2894" t="s">
        <v>9093</v>
      </c>
      <c r="N2894" t="s">
        <v>278</v>
      </c>
      <c r="O2894" t="s">
        <v>28</v>
      </c>
      <c r="P2894" t="s">
        <v>782</v>
      </c>
      <c r="Q2894">
        <v>-38</v>
      </c>
      <c r="R2894">
        <v>99.999999000000003</v>
      </c>
    </row>
    <row r="2895" spans="1:18" x14ac:dyDescent="0.2">
      <c r="A2895" t="s">
        <v>270</v>
      </c>
      <c r="B2895" t="s">
        <v>8966</v>
      </c>
      <c r="C2895">
        <v>1</v>
      </c>
      <c r="D2895" s="1">
        <v>44264.747743055559</v>
      </c>
      <c r="E2895" t="s">
        <v>9094</v>
      </c>
      <c r="F2895" t="s">
        <v>273</v>
      </c>
      <c r="G2895" t="s">
        <v>8968</v>
      </c>
      <c r="H2895" t="s">
        <v>275</v>
      </c>
      <c r="I2895" t="s">
        <v>29</v>
      </c>
      <c r="J2895">
        <v>1</v>
      </c>
      <c r="K2895">
        <f>1-844-333-5416</f>
        <v>-6592</v>
      </c>
      <c r="L2895" t="s">
        <v>9095</v>
      </c>
      <c r="M2895" t="s">
        <v>9096</v>
      </c>
      <c r="N2895" t="s">
        <v>278</v>
      </c>
      <c r="O2895" t="s">
        <v>28</v>
      </c>
      <c r="P2895" t="s">
        <v>782</v>
      </c>
      <c r="Q2895">
        <v>-38</v>
      </c>
      <c r="R2895">
        <v>99.999999000000003</v>
      </c>
    </row>
    <row r="2896" spans="1:18" x14ac:dyDescent="0.2">
      <c r="A2896" t="s">
        <v>270</v>
      </c>
      <c r="B2896" t="s">
        <v>8966</v>
      </c>
      <c r="C2896">
        <v>1</v>
      </c>
      <c r="D2896" s="1">
        <v>44264.747071759259</v>
      </c>
      <c r="E2896" t="s">
        <v>9097</v>
      </c>
      <c r="F2896" t="s">
        <v>273</v>
      </c>
      <c r="G2896" t="s">
        <v>8968</v>
      </c>
      <c r="H2896" t="s">
        <v>275</v>
      </c>
      <c r="I2896" t="s">
        <v>29</v>
      </c>
      <c r="J2896">
        <v>1</v>
      </c>
      <c r="K2896">
        <f>1-844-333-5416</f>
        <v>-6592</v>
      </c>
      <c r="L2896" t="s">
        <v>9098</v>
      </c>
      <c r="M2896" t="s">
        <v>9099</v>
      </c>
      <c r="N2896" t="s">
        <v>278</v>
      </c>
      <c r="O2896" t="s">
        <v>28</v>
      </c>
      <c r="P2896" t="s">
        <v>782</v>
      </c>
      <c r="Q2896">
        <v>-38</v>
      </c>
      <c r="R2896">
        <v>99.999999000000003</v>
      </c>
    </row>
    <row r="2897" spans="1:18" x14ac:dyDescent="0.2">
      <c r="A2897" t="s">
        <v>270</v>
      </c>
      <c r="B2897" t="s">
        <v>8966</v>
      </c>
      <c r="C2897">
        <v>1</v>
      </c>
      <c r="D2897" s="1">
        <v>44263.921747685185</v>
      </c>
      <c r="E2897" t="s">
        <v>9100</v>
      </c>
      <c r="F2897" t="s">
        <v>273</v>
      </c>
      <c r="G2897" t="s">
        <v>8968</v>
      </c>
      <c r="H2897" t="s">
        <v>275</v>
      </c>
      <c r="I2897" t="s">
        <v>29</v>
      </c>
      <c r="J2897">
        <v>1</v>
      </c>
      <c r="K2897">
        <f>1-844-318-1769</f>
        <v>-2930</v>
      </c>
      <c r="L2897" t="s">
        <v>9101</v>
      </c>
      <c r="M2897" t="s">
        <v>9102</v>
      </c>
      <c r="N2897" t="s">
        <v>278</v>
      </c>
      <c r="O2897" t="s">
        <v>28</v>
      </c>
      <c r="P2897" t="s">
        <v>782</v>
      </c>
      <c r="Q2897">
        <v>-38</v>
      </c>
      <c r="R2897">
        <v>99.999999000000003</v>
      </c>
    </row>
    <row r="2898" spans="1:18" x14ac:dyDescent="0.2">
      <c r="A2898" t="s">
        <v>270</v>
      </c>
      <c r="B2898" t="s">
        <v>8966</v>
      </c>
      <c r="C2898">
        <v>1</v>
      </c>
      <c r="D2898" s="1">
        <v>44263.774976851855</v>
      </c>
      <c r="E2898" t="s">
        <v>9103</v>
      </c>
      <c r="F2898" t="s">
        <v>273</v>
      </c>
      <c r="G2898" t="s">
        <v>8968</v>
      </c>
      <c r="H2898" t="s">
        <v>275</v>
      </c>
      <c r="I2898" t="s">
        <v>29</v>
      </c>
      <c r="J2898">
        <v>1</v>
      </c>
      <c r="K2898">
        <f>1-844-296-8193</f>
        <v>-9332</v>
      </c>
      <c r="L2898" t="s">
        <v>9104</v>
      </c>
      <c r="M2898" t="s">
        <v>9105</v>
      </c>
      <c r="N2898" t="s">
        <v>278</v>
      </c>
      <c r="O2898" t="s">
        <v>28</v>
      </c>
      <c r="P2898" t="s">
        <v>782</v>
      </c>
      <c r="Q2898">
        <v>-38</v>
      </c>
      <c r="R2898">
        <v>99.999999000000003</v>
      </c>
    </row>
    <row r="2899" spans="1:18" x14ac:dyDescent="0.2">
      <c r="A2899" t="s">
        <v>270</v>
      </c>
      <c r="B2899" t="s">
        <v>8966</v>
      </c>
      <c r="C2899">
        <v>1</v>
      </c>
      <c r="D2899" s="1">
        <v>44242.729837962965</v>
      </c>
      <c r="E2899" t="s">
        <v>9106</v>
      </c>
      <c r="F2899" t="s">
        <v>273</v>
      </c>
      <c r="G2899" t="s">
        <v>8968</v>
      </c>
      <c r="H2899" t="s">
        <v>275</v>
      </c>
      <c r="I2899" t="s">
        <v>29</v>
      </c>
      <c r="J2899">
        <v>1</v>
      </c>
      <c r="K2899">
        <f>1-888-603-1289</f>
        <v>-2779</v>
      </c>
      <c r="L2899" t="s">
        <v>9107</v>
      </c>
      <c r="M2899" t="s">
        <v>9108</v>
      </c>
      <c r="N2899" t="s">
        <v>278</v>
      </c>
      <c r="O2899" t="s">
        <v>28</v>
      </c>
      <c r="P2899" t="s">
        <v>782</v>
      </c>
      <c r="Q2899">
        <v>-38</v>
      </c>
      <c r="R2899">
        <v>99.999999000000003</v>
      </c>
    </row>
    <row r="2900" spans="1:18" x14ac:dyDescent="0.2">
      <c r="A2900" t="s">
        <v>270</v>
      </c>
      <c r="B2900" t="s">
        <v>8966</v>
      </c>
      <c r="C2900">
        <v>1</v>
      </c>
      <c r="D2900" s="1">
        <v>44238.957048611112</v>
      </c>
      <c r="E2900" t="s">
        <v>9109</v>
      </c>
      <c r="F2900" t="s">
        <v>273</v>
      </c>
      <c r="G2900" t="s">
        <v>8968</v>
      </c>
      <c r="H2900" t="s">
        <v>275</v>
      </c>
      <c r="I2900" t="s">
        <v>29</v>
      </c>
      <c r="J2900">
        <v>1</v>
      </c>
      <c r="K2900">
        <f>1-888-609-1472</f>
        <v>-2968</v>
      </c>
      <c r="L2900" t="s">
        <v>9110</v>
      </c>
      <c r="M2900" t="s">
        <v>9111</v>
      </c>
      <c r="N2900" t="s">
        <v>278</v>
      </c>
      <c r="O2900" t="s">
        <v>28</v>
      </c>
      <c r="P2900" t="s">
        <v>782</v>
      </c>
      <c r="Q2900">
        <v>-38</v>
      </c>
      <c r="R2900">
        <v>99.999999000000003</v>
      </c>
    </row>
    <row r="2901" spans="1:18" x14ac:dyDescent="0.2">
      <c r="A2901" t="s">
        <v>270</v>
      </c>
      <c r="B2901" t="s">
        <v>8966</v>
      </c>
      <c r="C2901">
        <v>1</v>
      </c>
      <c r="D2901" s="1">
        <v>44215.731666666667</v>
      </c>
      <c r="E2901" t="s">
        <v>9112</v>
      </c>
      <c r="F2901" t="s">
        <v>273</v>
      </c>
      <c r="G2901" t="s">
        <v>8968</v>
      </c>
      <c r="H2901" t="s">
        <v>275</v>
      </c>
      <c r="I2901" t="s">
        <v>29</v>
      </c>
      <c r="J2901">
        <v>1</v>
      </c>
      <c r="K2901">
        <f>1-888-332-3187</f>
        <v>-4406</v>
      </c>
      <c r="L2901" t="s">
        <v>9113</v>
      </c>
      <c r="M2901" t="s">
        <v>9114</v>
      </c>
      <c r="N2901" t="s">
        <v>278</v>
      </c>
      <c r="O2901" t="s">
        <v>28</v>
      </c>
      <c r="P2901" t="s">
        <v>782</v>
      </c>
      <c r="Q2901">
        <v>-38</v>
      </c>
      <c r="R2901">
        <v>99.999999000000003</v>
      </c>
    </row>
    <row r="2902" spans="1:18" x14ac:dyDescent="0.2">
      <c r="A2902" t="s">
        <v>270</v>
      </c>
      <c r="B2902" t="s">
        <v>8966</v>
      </c>
      <c r="C2902">
        <v>1</v>
      </c>
      <c r="D2902" s="1">
        <v>44179.797962962963</v>
      </c>
      <c r="E2902" t="s">
        <v>9115</v>
      </c>
      <c r="F2902" t="s">
        <v>273</v>
      </c>
      <c r="G2902" t="s">
        <v>8968</v>
      </c>
      <c r="H2902" t="s">
        <v>275</v>
      </c>
      <c r="I2902" t="s">
        <v>29</v>
      </c>
      <c r="J2902">
        <v>1</v>
      </c>
      <c r="K2902">
        <f>1-888-210-6442</f>
        <v>-7539</v>
      </c>
      <c r="L2902" t="s">
        <v>9116</v>
      </c>
      <c r="M2902" t="s">
        <v>9117</v>
      </c>
      <c r="N2902" t="s">
        <v>278</v>
      </c>
      <c r="O2902" t="s">
        <v>134</v>
      </c>
      <c r="P2902" t="s">
        <v>782</v>
      </c>
      <c r="Q2902">
        <v>-38</v>
      </c>
      <c r="R2902">
        <v>99.999999000000003</v>
      </c>
    </row>
    <row r="2903" spans="1:18" x14ac:dyDescent="0.2">
      <c r="A2903" t="s">
        <v>270</v>
      </c>
      <c r="B2903" t="s">
        <v>8966</v>
      </c>
      <c r="C2903">
        <v>1</v>
      </c>
      <c r="D2903" s="1">
        <v>44174.811979166669</v>
      </c>
      <c r="E2903" t="s">
        <v>9118</v>
      </c>
      <c r="F2903" t="s">
        <v>273</v>
      </c>
      <c r="G2903" t="s">
        <v>8968</v>
      </c>
      <c r="H2903" t="s">
        <v>275</v>
      </c>
      <c r="I2903" t="s">
        <v>29</v>
      </c>
      <c r="J2903">
        <v>1</v>
      </c>
      <c r="K2903">
        <f>1-888-203-6989</f>
        <v>-8079</v>
      </c>
      <c r="L2903" t="s">
        <v>9119</v>
      </c>
      <c r="M2903" t="s">
        <v>9120</v>
      </c>
      <c r="N2903" t="s">
        <v>278</v>
      </c>
      <c r="O2903" t="s">
        <v>28</v>
      </c>
      <c r="P2903" t="s">
        <v>782</v>
      </c>
      <c r="Q2903">
        <v>-38</v>
      </c>
      <c r="R2903">
        <v>99.999999000000003</v>
      </c>
    </row>
    <row r="2904" spans="1:18" x14ac:dyDescent="0.2">
      <c r="A2904" t="s">
        <v>270</v>
      </c>
      <c r="B2904" t="s">
        <v>8966</v>
      </c>
      <c r="C2904">
        <v>1</v>
      </c>
      <c r="D2904" s="1">
        <v>44172.808391203704</v>
      </c>
      <c r="E2904" t="s">
        <v>9121</v>
      </c>
      <c r="F2904" t="s">
        <v>273</v>
      </c>
      <c r="G2904" t="s">
        <v>8968</v>
      </c>
      <c r="H2904" t="s">
        <v>275</v>
      </c>
      <c r="I2904" t="s">
        <v>29</v>
      </c>
      <c r="J2904">
        <v>1</v>
      </c>
      <c r="K2904">
        <f>1-844-306-9093</f>
        <v>-10242</v>
      </c>
      <c r="L2904" t="s">
        <v>9122</v>
      </c>
      <c r="M2904" t="s">
        <v>9123</v>
      </c>
      <c r="N2904" t="s">
        <v>278</v>
      </c>
      <c r="O2904" t="s">
        <v>134</v>
      </c>
      <c r="P2904" t="s">
        <v>782</v>
      </c>
      <c r="Q2904">
        <v>-38</v>
      </c>
      <c r="R2904">
        <v>99.999999000000003</v>
      </c>
    </row>
    <row r="2905" spans="1:18" x14ac:dyDescent="0.2">
      <c r="A2905" t="s">
        <v>270</v>
      </c>
      <c r="B2905" t="s">
        <v>8966</v>
      </c>
      <c r="C2905">
        <v>1</v>
      </c>
      <c r="D2905" s="1">
        <v>44149.138078703705</v>
      </c>
      <c r="E2905" t="s">
        <v>9124</v>
      </c>
      <c r="F2905" t="s">
        <v>273</v>
      </c>
      <c r="G2905" t="s">
        <v>8968</v>
      </c>
      <c r="H2905" t="s">
        <v>275</v>
      </c>
      <c r="I2905" t="s">
        <v>29</v>
      </c>
      <c r="J2905">
        <v>1</v>
      </c>
      <c r="K2905">
        <f>1-844-293-617</f>
        <v>-1753</v>
      </c>
      <c r="L2905" t="s">
        <v>9125</v>
      </c>
      <c r="M2905" t="s">
        <v>9126</v>
      </c>
      <c r="N2905" t="s">
        <v>278</v>
      </c>
      <c r="O2905" t="s">
        <v>134</v>
      </c>
      <c r="P2905" t="s">
        <v>782</v>
      </c>
      <c r="Q2905">
        <v>-38</v>
      </c>
      <c r="R2905">
        <v>99.999999000000003</v>
      </c>
    </row>
    <row r="2906" spans="1:18" x14ac:dyDescent="0.2">
      <c r="A2906" t="s">
        <v>270</v>
      </c>
      <c r="B2906" t="s">
        <v>8966</v>
      </c>
      <c r="C2906">
        <v>1</v>
      </c>
      <c r="D2906" s="1">
        <v>44149.137453703705</v>
      </c>
      <c r="E2906" t="s">
        <v>9127</v>
      </c>
      <c r="F2906" t="s">
        <v>273</v>
      </c>
      <c r="G2906" t="s">
        <v>8968</v>
      </c>
      <c r="H2906" t="s">
        <v>275</v>
      </c>
      <c r="I2906" t="s">
        <v>29</v>
      </c>
      <c r="J2906">
        <v>1</v>
      </c>
      <c r="K2906">
        <f>1-844-293-617</f>
        <v>-1753</v>
      </c>
      <c r="L2906" t="s">
        <v>9128</v>
      </c>
      <c r="M2906" t="s">
        <v>9129</v>
      </c>
      <c r="N2906" t="s">
        <v>278</v>
      </c>
      <c r="O2906" t="s">
        <v>134</v>
      </c>
      <c r="P2906" t="s">
        <v>782</v>
      </c>
      <c r="Q2906">
        <v>-38</v>
      </c>
      <c r="R2906">
        <v>99.999999000000003</v>
      </c>
    </row>
    <row r="2907" spans="1:18" x14ac:dyDescent="0.2">
      <c r="A2907" t="s">
        <v>270</v>
      </c>
      <c r="B2907" t="s">
        <v>8966</v>
      </c>
      <c r="C2907">
        <v>1</v>
      </c>
      <c r="D2907" s="1">
        <v>44149.135243055556</v>
      </c>
      <c r="E2907" t="s">
        <v>9130</v>
      </c>
      <c r="F2907" t="s">
        <v>273</v>
      </c>
      <c r="G2907" t="s">
        <v>8968</v>
      </c>
      <c r="H2907" t="s">
        <v>275</v>
      </c>
      <c r="I2907" t="s">
        <v>29</v>
      </c>
      <c r="J2907">
        <v>1</v>
      </c>
      <c r="K2907">
        <f>1-844-295-578</f>
        <v>-1716</v>
      </c>
      <c r="L2907" t="s">
        <v>9131</v>
      </c>
      <c r="M2907" t="s">
        <v>9132</v>
      </c>
      <c r="N2907" t="s">
        <v>278</v>
      </c>
      <c r="O2907" t="s">
        <v>134</v>
      </c>
      <c r="P2907" t="s">
        <v>782</v>
      </c>
      <c r="Q2907">
        <v>-38</v>
      </c>
      <c r="R2907">
        <v>99.999999000000003</v>
      </c>
    </row>
    <row r="2908" spans="1:18" x14ac:dyDescent="0.2">
      <c r="A2908" t="s">
        <v>270</v>
      </c>
      <c r="B2908" t="s">
        <v>8966</v>
      </c>
      <c r="C2908">
        <v>1</v>
      </c>
      <c r="D2908" s="1">
        <v>44149.123622685183</v>
      </c>
      <c r="E2908" t="s">
        <v>9133</v>
      </c>
      <c r="F2908" t="s">
        <v>273</v>
      </c>
      <c r="G2908" t="s">
        <v>8968</v>
      </c>
      <c r="H2908" t="s">
        <v>275</v>
      </c>
      <c r="I2908" t="s">
        <v>29</v>
      </c>
      <c r="J2908">
        <v>1</v>
      </c>
      <c r="K2908">
        <f>1-844-291-4316</f>
        <v>-5450</v>
      </c>
      <c r="L2908" t="s">
        <v>9134</v>
      </c>
      <c r="M2908" t="s">
        <v>9135</v>
      </c>
      <c r="N2908" t="s">
        <v>278</v>
      </c>
      <c r="O2908" t="s">
        <v>134</v>
      </c>
      <c r="P2908" t="s">
        <v>782</v>
      </c>
      <c r="Q2908">
        <v>-38</v>
      </c>
      <c r="R2908">
        <v>99.999999000000003</v>
      </c>
    </row>
    <row r="2909" spans="1:18" x14ac:dyDescent="0.2">
      <c r="A2909" t="s">
        <v>270</v>
      </c>
      <c r="B2909" t="s">
        <v>8966</v>
      </c>
      <c r="C2909">
        <v>1</v>
      </c>
      <c r="D2909" s="1">
        <v>44144.727534722224</v>
      </c>
      <c r="E2909" t="s">
        <v>9136</v>
      </c>
      <c r="F2909" t="s">
        <v>273</v>
      </c>
      <c r="G2909" t="s">
        <v>8968</v>
      </c>
      <c r="H2909" t="s">
        <v>275</v>
      </c>
      <c r="I2909" t="s">
        <v>29</v>
      </c>
      <c r="J2909">
        <v>1</v>
      </c>
      <c r="K2909">
        <f>1-844-276-4002</f>
        <v>-5121</v>
      </c>
      <c r="L2909" t="s">
        <v>9137</v>
      </c>
      <c r="M2909" t="s">
        <v>9138</v>
      </c>
      <c r="N2909" t="s">
        <v>278</v>
      </c>
      <c r="O2909" t="s">
        <v>28</v>
      </c>
      <c r="P2909" t="s">
        <v>782</v>
      </c>
      <c r="Q2909">
        <v>-38</v>
      </c>
      <c r="R2909">
        <v>99.999999000000003</v>
      </c>
    </row>
    <row r="2910" spans="1:18" x14ac:dyDescent="0.2">
      <c r="A2910" t="s">
        <v>270</v>
      </c>
      <c r="B2910" t="s">
        <v>8966</v>
      </c>
      <c r="C2910">
        <v>1</v>
      </c>
      <c r="D2910" s="1">
        <v>44140.781111111108</v>
      </c>
      <c r="E2910" t="s">
        <v>9139</v>
      </c>
      <c r="F2910" t="s">
        <v>273</v>
      </c>
      <c r="G2910" t="s">
        <v>8968</v>
      </c>
      <c r="H2910" t="s">
        <v>275</v>
      </c>
      <c r="I2910" t="s">
        <v>29</v>
      </c>
      <c r="J2910">
        <v>1</v>
      </c>
      <c r="K2910">
        <f>1-888-397-7606</f>
        <v>-8890</v>
      </c>
      <c r="L2910" t="s">
        <v>9140</v>
      </c>
      <c r="M2910" t="s">
        <v>9141</v>
      </c>
      <c r="N2910" t="s">
        <v>278</v>
      </c>
      <c r="O2910" t="s">
        <v>28</v>
      </c>
      <c r="P2910" t="s">
        <v>782</v>
      </c>
      <c r="Q2910">
        <v>-38</v>
      </c>
      <c r="R2910">
        <v>99.999999000000003</v>
      </c>
    </row>
    <row r="2911" spans="1:18" x14ac:dyDescent="0.2">
      <c r="A2911" t="s">
        <v>270</v>
      </c>
      <c r="B2911" t="s">
        <v>8966</v>
      </c>
      <c r="C2911">
        <v>1</v>
      </c>
      <c r="D2911" s="1">
        <v>44131.714062500003</v>
      </c>
      <c r="E2911" t="s">
        <v>9142</v>
      </c>
      <c r="F2911" t="s">
        <v>273</v>
      </c>
      <c r="G2911" t="s">
        <v>8968</v>
      </c>
      <c r="H2911" t="s">
        <v>275</v>
      </c>
      <c r="I2911" t="s">
        <v>29</v>
      </c>
      <c r="J2911">
        <v>1</v>
      </c>
      <c r="K2911">
        <f>1-888-272-3456</f>
        <v>-4615</v>
      </c>
      <c r="L2911" t="s">
        <v>9143</v>
      </c>
      <c r="M2911" t="s">
        <v>9144</v>
      </c>
      <c r="N2911" t="s">
        <v>278</v>
      </c>
      <c r="O2911" t="s">
        <v>28</v>
      </c>
      <c r="P2911" t="s">
        <v>782</v>
      </c>
      <c r="Q2911">
        <v>-38</v>
      </c>
      <c r="R2911">
        <v>99.999999000000003</v>
      </c>
    </row>
    <row r="2912" spans="1:18" x14ac:dyDescent="0.2">
      <c r="A2912" t="s">
        <v>270</v>
      </c>
      <c r="B2912" t="s">
        <v>8966</v>
      </c>
      <c r="C2912">
        <v>1</v>
      </c>
      <c r="D2912" s="1">
        <v>44111.880752314813</v>
      </c>
      <c r="E2912" t="s">
        <v>9145</v>
      </c>
      <c r="F2912" t="s">
        <v>273</v>
      </c>
      <c r="G2912" t="s">
        <v>8968</v>
      </c>
      <c r="H2912" t="s">
        <v>275</v>
      </c>
      <c r="I2912" t="s">
        <v>29</v>
      </c>
      <c r="J2912">
        <v>1</v>
      </c>
      <c r="K2912">
        <f>1-888-313-4435</f>
        <v>-5635</v>
      </c>
      <c r="L2912" t="s">
        <v>9146</v>
      </c>
      <c r="M2912" t="s">
        <v>9147</v>
      </c>
      <c r="N2912" t="s">
        <v>278</v>
      </c>
      <c r="O2912" t="s">
        <v>28</v>
      </c>
      <c r="P2912" t="s">
        <v>782</v>
      </c>
      <c r="Q2912">
        <v>-38</v>
      </c>
      <c r="R2912">
        <v>99.999999000000003</v>
      </c>
    </row>
    <row r="2913" spans="1:18" x14ac:dyDescent="0.2">
      <c r="A2913" t="s">
        <v>270</v>
      </c>
      <c r="B2913" t="s">
        <v>8966</v>
      </c>
      <c r="C2913">
        <v>1</v>
      </c>
      <c r="D2913" s="1">
        <v>44109.84233796296</v>
      </c>
      <c r="E2913" t="s">
        <v>9148</v>
      </c>
      <c r="F2913" t="s">
        <v>273</v>
      </c>
      <c r="G2913" t="s">
        <v>8968</v>
      </c>
      <c r="H2913" t="s">
        <v>275</v>
      </c>
      <c r="I2913" t="s">
        <v>29</v>
      </c>
      <c r="J2913">
        <v>1</v>
      </c>
      <c r="K2913">
        <f>1-888-308-1183</f>
        <v>-2378</v>
      </c>
      <c r="L2913" t="s">
        <v>9149</v>
      </c>
      <c r="M2913" t="s">
        <v>9150</v>
      </c>
      <c r="N2913" t="s">
        <v>278</v>
      </c>
      <c r="O2913" t="s">
        <v>28</v>
      </c>
      <c r="P2913" t="s">
        <v>782</v>
      </c>
      <c r="Q2913">
        <v>-38</v>
      </c>
      <c r="R2913">
        <v>99.999999000000003</v>
      </c>
    </row>
    <row r="2914" spans="1:18" x14ac:dyDescent="0.2">
      <c r="A2914" t="s">
        <v>270</v>
      </c>
      <c r="B2914" t="s">
        <v>8966</v>
      </c>
      <c r="C2914">
        <v>1</v>
      </c>
      <c r="D2914" s="1">
        <v>44106.935613425929</v>
      </c>
      <c r="E2914" t="s">
        <v>9151</v>
      </c>
      <c r="F2914" t="s">
        <v>273</v>
      </c>
      <c r="G2914" t="s">
        <v>8968</v>
      </c>
      <c r="H2914" t="s">
        <v>275</v>
      </c>
      <c r="I2914" t="s">
        <v>29</v>
      </c>
      <c r="J2914">
        <v>1</v>
      </c>
      <c r="K2914">
        <f>1-888-278-9830</f>
        <v>-10995</v>
      </c>
      <c r="L2914" t="s">
        <v>9152</v>
      </c>
      <c r="M2914" t="s">
        <v>9153</v>
      </c>
      <c r="N2914" t="s">
        <v>278</v>
      </c>
      <c r="O2914" t="s">
        <v>28</v>
      </c>
      <c r="P2914" t="s">
        <v>782</v>
      </c>
      <c r="Q2914">
        <v>-38</v>
      </c>
      <c r="R2914">
        <v>99.999999000000003</v>
      </c>
    </row>
    <row r="2915" spans="1:18" x14ac:dyDescent="0.2">
      <c r="A2915" t="s">
        <v>270</v>
      </c>
      <c r="B2915" t="s">
        <v>8966</v>
      </c>
      <c r="C2915">
        <v>1</v>
      </c>
      <c r="D2915" s="1">
        <v>44103.83929398148</v>
      </c>
      <c r="E2915" t="s">
        <v>9154</v>
      </c>
      <c r="F2915" t="s">
        <v>273</v>
      </c>
      <c r="G2915" t="s">
        <v>8968</v>
      </c>
      <c r="H2915" t="s">
        <v>275</v>
      </c>
      <c r="I2915" t="s">
        <v>29</v>
      </c>
      <c r="J2915">
        <v>1</v>
      </c>
      <c r="K2915">
        <f>1-888-211-8144</f>
        <v>-9242</v>
      </c>
      <c r="L2915" t="s">
        <v>9155</v>
      </c>
      <c r="M2915" t="s">
        <v>9156</v>
      </c>
      <c r="N2915" t="s">
        <v>278</v>
      </c>
      <c r="O2915" t="s">
        <v>28</v>
      </c>
      <c r="P2915" t="s">
        <v>782</v>
      </c>
      <c r="Q2915">
        <v>-38</v>
      </c>
      <c r="R2915">
        <v>99.999999000000003</v>
      </c>
    </row>
    <row r="2916" spans="1:18" x14ac:dyDescent="0.2">
      <c r="A2916" t="s">
        <v>270</v>
      </c>
      <c r="B2916" t="s">
        <v>8966</v>
      </c>
      <c r="C2916">
        <v>1</v>
      </c>
      <c r="D2916" s="1">
        <v>44103.763541666667</v>
      </c>
      <c r="E2916" t="s">
        <v>9157</v>
      </c>
      <c r="F2916" t="s">
        <v>273</v>
      </c>
      <c r="G2916" t="s">
        <v>8968</v>
      </c>
      <c r="H2916" t="s">
        <v>275</v>
      </c>
      <c r="I2916" t="s">
        <v>29</v>
      </c>
      <c r="J2916">
        <v>1</v>
      </c>
      <c r="K2916">
        <f>1-888-211-6160</f>
        <v>-7258</v>
      </c>
      <c r="L2916" t="s">
        <v>9158</v>
      </c>
      <c r="M2916" t="s">
        <v>9159</v>
      </c>
      <c r="N2916" t="s">
        <v>278</v>
      </c>
      <c r="O2916" t="s">
        <v>134</v>
      </c>
      <c r="P2916" t="s">
        <v>782</v>
      </c>
      <c r="Q2916">
        <v>-38</v>
      </c>
      <c r="R2916">
        <v>99.999999000000003</v>
      </c>
    </row>
    <row r="2917" spans="1:18" x14ac:dyDescent="0.2">
      <c r="A2917" t="s">
        <v>270</v>
      </c>
      <c r="B2917" t="s">
        <v>8966</v>
      </c>
      <c r="C2917">
        <v>1</v>
      </c>
      <c r="D2917" s="1">
        <v>44103.763298611113</v>
      </c>
      <c r="E2917" t="s">
        <v>9160</v>
      </c>
      <c r="F2917" t="s">
        <v>273</v>
      </c>
      <c r="G2917" t="s">
        <v>8968</v>
      </c>
      <c r="H2917" t="s">
        <v>275</v>
      </c>
      <c r="I2917" t="s">
        <v>29</v>
      </c>
      <c r="J2917">
        <v>1</v>
      </c>
      <c r="K2917">
        <f>1-888-210-6654</f>
        <v>-7751</v>
      </c>
      <c r="L2917" t="s">
        <v>9161</v>
      </c>
      <c r="M2917" t="s">
        <v>9162</v>
      </c>
      <c r="N2917" t="s">
        <v>278</v>
      </c>
      <c r="O2917" t="s">
        <v>134</v>
      </c>
      <c r="P2917" t="s">
        <v>782</v>
      </c>
      <c r="Q2917">
        <v>-38</v>
      </c>
      <c r="R2917">
        <v>99.999999000000003</v>
      </c>
    </row>
    <row r="2918" spans="1:18" x14ac:dyDescent="0.2">
      <c r="A2918" t="s">
        <v>270</v>
      </c>
      <c r="B2918" t="s">
        <v>8966</v>
      </c>
      <c r="C2918">
        <v>1</v>
      </c>
      <c r="D2918" s="1">
        <v>44102.822835648149</v>
      </c>
      <c r="E2918" t="s">
        <v>9163</v>
      </c>
      <c r="F2918" t="s">
        <v>273</v>
      </c>
      <c r="G2918" t="s">
        <v>8968</v>
      </c>
      <c r="H2918" t="s">
        <v>275</v>
      </c>
      <c r="I2918" t="s">
        <v>29</v>
      </c>
      <c r="J2918">
        <v>1</v>
      </c>
      <c r="K2918">
        <f>1-888-259-4874</f>
        <v>-6020</v>
      </c>
      <c r="L2918" t="s">
        <v>9164</v>
      </c>
      <c r="M2918" t="s">
        <v>9165</v>
      </c>
      <c r="N2918" t="s">
        <v>278</v>
      </c>
      <c r="O2918" t="s">
        <v>28</v>
      </c>
      <c r="P2918" t="s">
        <v>782</v>
      </c>
      <c r="Q2918">
        <v>-38</v>
      </c>
      <c r="R2918">
        <v>99.999999000000003</v>
      </c>
    </row>
    <row r="2919" spans="1:18" x14ac:dyDescent="0.2">
      <c r="A2919" t="s">
        <v>270</v>
      </c>
      <c r="B2919" t="s">
        <v>8966</v>
      </c>
      <c r="C2919">
        <v>1</v>
      </c>
      <c r="D2919" s="1">
        <v>44102.822789351849</v>
      </c>
      <c r="E2919" t="s">
        <v>9166</v>
      </c>
      <c r="F2919" t="s">
        <v>273</v>
      </c>
      <c r="G2919" t="s">
        <v>8968</v>
      </c>
      <c r="H2919" t="s">
        <v>275</v>
      </c>
      <c r="I2919" t="s">
        <v>29</v>
      </c>
      <c r="J2919">
        <v>1</v>
      </c>
      <c r="K2919">
        <f>1-888-228-8619</f>
        <v>-9734</v>
      </c>
      <c r="L2919" t="s">
        <v>9167</v>
      </c>
      <c r="M2919" t="s">
        <v>9168</v>
      </c>
      <c r="N2919" t="s">
        <v>278</v>
      </c>
      <c r="O2919" t="s">
        <v>28</v>
      </c>
      <c r="P2919" t="s">
        <v>782</v>
      </c>
      <c r="Q2919">
        <v>-38</v>
      </c>
      <c r="R2919">
        <v>99.999999000000003</v>
      </c>
    </row>
    <row r="2920" spans="1:18" x14ac:dyDescent="0.2">
      <c r="A2920" t="s">
        <v>270</v>
      </c>
      <c r="B2920" t="s">
        <v>8966</v>
      </c>
      <c r="C2920">
        <v>1</v>
      </c>
      <c r="D2920" s="1">
        <v>44096.369305555556</v>
      </c>
      <c r="E2920" t="s">
        <v>9169</v>
      </c>
      <c r="F2920" t="s">
        <v>273</v>
      </c>
      <c r="G2920" t="s">
        <v>8968</v>
      </c>
      <c r="H2920" t="s">
        <v>275</v>
      </c>
      <c r="I2920" t="s">
        <v>29</v>
      </c>
      <c r="J2920">
        <v>1</v>
      </c>
      <c r="K2920">
        <f>1-844-316-9077</f>
        <v>-10236</v>
      </c>
      <c r="L2920" t="s">
        <v>9170</v>
      </c>
      <c r="M2920" t="s">
        <v>9171</v>
      </c>
      <c r="N2920" t="s">
        <v>278</v>
      </c>
      <c r="O2920" t="s">
        <v>28</v>
      </c>
      <c r="P2920" t="s">
        <v>782</v>
      </c>
      <c r="Q2920">
        <v>-38</v>
      </c>
      <c r="R2920">
        <v>99.999999000000003</v>
      </c>
    </row>
    <row r="2921" spans="1:18" x14ac:dyDescent="0.2">
      <c r="A2921" t="s">
        <v>270</v>
      </c>
      <c r="B2921" t="s">
        <v>8966</v>
      </c>
      <c r="C2921">
        <v>1</v>
      </c>
      <c r="D2921" s="1">
        <v>44096.368611111109</v>
      </c>
      <c r="E2921" t="s">
        <v>9172</v>
      </c>
      <c r="F2921" t="s">
        <v>273</v>
      </c>
      <c r="G2921" t="s">
        <v>8968</v>
      </c>
      <c r="H2921" t="s">
        <v>275</v>
      </c>
      <c r="I2921" t="s">
        <v>29</v>
      </c>
      <c r="J2921">
        <v>1</v>
      </c>
      <c r="K2921">
        <f>1-844-318-5957</f>
        <v>-7118</v>
      </c>
      <c r="L2921" t="s">
        <v>9173</v>
      </c>
      <c r="M2921" t="s">
        <v>9174</v>
      </c>
      <c r="N2921" t="s">
        <v>278</v>
      </c>
      <c r="O2921" t="s">
        <v>28</v>
      </c>
      <c r="P2921" t="s">
        <v>782</v>
      </c>
      <c r="Q2921">
        <v>-38</v>
      </c>
      <c r="R2921">
        <v>99.999999000000003</v>
      </c>
    </row>
    <row r="2922" spans="1:18" x14ac:dyDescent="0.2">
      <c r="A2922" t="s">
        <v>270</v>
      </c>
      <c r="B2922" t="s">
        <v>8966</v>
      </c>
      <c r="C2922">
        <v>1</v>
      </c>
      <c r="D2922" s="1">
        <v>44096.367847222224</v>
      </c>
      <c r="E2922" t="s">
        <v>9175</v>
      </c>
      <c r="F2922" t="s">
        <v>273</v>
      </c>
      <c r="G2922" t="s">
        <v>8968</v>
      </c>
      <c r="H2922" t="s">
        <v>275</v>
      </c>
      <c r="I2922" t="s">
        <v>29</v>
      </c>
      <c r="J2922">
        <v>1</v>
      </c>
      <c r="K2922">
        <f>1-844-305-9953</f>
        <v>-11101</v>
      </c>
      <c r="L2922" t="s">
        <v>9176</v>
      </c>
      <c r="M2922" t="s">
        <v>9177</v>
      </c>
      <c r="N2922" t="s">
        <v>278</v>
      </c>
      <c r="O2922" t="s">
        <v>28</v>
      </c>
      <c r="P2922" t="s">
        <v>782</v>
      </c>
      <c r="Q2922">
        <v>-38</v>
      </c>
      <c r="R2922">
        <v>99.999999000000003</v>
      </c>
    </row>
    <row r="2923" spans="1:18" x14ac:dyDescent="0.2">
      <c r="A2923" t="s">
        <v>270</v>
      </c>
      <c r="B2923" t="s">
        <v>8966</v>
      </c>
      <c r="C2923">
        <v>1</v>
      </c>
      <c r="D2923" s="1">
        <v>44096.367106481484</v>
      </c>
      <c r="E2923" t="s">
        <v>9178</v>
      </c>
      <c r="F2923" t="s">
        <v>273</v>
      </c>
      <c r="G2923" t="s">
        <v>8968</v>
      </c>
      <c r="H2923" t="s">
        <v>275</v>
      </c>
      <c r="I2923" t="s">
        <v>29</v>
      </c>
      <c r="J2923">
        <v>1</v>
      </c>
      <c r="K2923">
        <f>1-844-309-2423</f>
        <v>-3575</v>
      </c>
      <c r="L2923" t="s">
        <v>9179</v>
      </c>
      <c r="M2923" t="s">
        <v>9180</v>
      </c>
      <c r="N2923" t="s">
        <v>278</v>
      </c>
      <c r="O2923" t="s">
        <v>28</v>
      </c>
      <c r="P2923" t="s">
        <v>782</v>
      </c>
      <c r="Q2923">
        <v>-38</v>
      </c>
      <c r="R2923">
        <v>99.999999000000003</v>
      </c>
    </row>
    <row r="2924" spans="1:18" x14ac:dyDescent="0.2">
      <c r="A2924" t="s">
        <v>270</v>
      </c>
      <c r="B2924" t="s">
        <v>8966</v>
      </c>
      <c r="C2924">
        <v>1</v>
      </c>
      <c r="D2924" s="1">
        <v>44095.792245370372</v>
      </c>
      <c r="E2924" t="s">
        <v>9181</v>
      </c>
      <c r="F2924" t="s">
        <v>273</v>
      </c>
      <c r="G2924" t="s">
        <v>8968</v>
      </c>
      <c r="H2924" t="s">
        <v>275</v>
      </c>
      <c r="I2924" t="s">
        <v>29</v>
      </c>
      <c r="J2924">
        <v>1</v>
      </c>
      <c r="K2924">
        <f>1-844-316-9077</f>
        <v>-10236</v>
      </c>
      <c r="L2924" t="s">
        <v>9182</v>
      </c>
      <c r="M2924" t="s">
        <v>9183</v>
      </c>
      <c r="N2924" t="s">
        <v>278</v>
      </c>
      <c r="O2924" t="s">
        <v>28</v>
      </c>
      <c r="P2924" t="s">
        <v>782</v>
      </c>
      <c r="Q2924">
        <v>-38</v>
      </c>
      <c r="R2924">
        <v>99.999999000000003</v>
      </c>
    </row>
    <row r="2925" spans="1:18" x14ac:dyDescent="0.2">
      <c r="A2925" t="s">
        <v>270</v>
      </c>
      <c r="B2925" t="s">
        <v>8966</v>
      </c>
      <c r="C2925">
        <v>1</v>
      </c>
      <c r="D2925" s="1">
        <v>44095.784282407411</v>
      </c>
      <c r="E2925" t="s">
        <v>9184</v>
      </c>
      <c r="F2925" t="s">
        <v>273</v>
      </c>
      <c r="G2925" t="s">
        <v>8968</v>
      </c>
      <c r="H2925" t="s">
        <v>275</v>
      </c>
      <c r="I2925" t="s">
        <v>29</v>
      </c>
      <c r="J2925">
        <v>1</v>
      </c>
      <c r="K2925">
        <f>1-844-288-9111</f>
        <v>-10242</v>
      </c>
      <c r="L2925" t="s">
        <v>9185</v>
      </c>
      <c r="M2925" t="s">
        <v>9186</v>
      </c>
      <c r="N2925" t="s">
        <v>278</v>
      </c>
      <c r="O2925" t="s">
        <v>28</v>
      </c>
      <c r="P2925" t="s">
        <v>782</v>
      </c>
      <c r="Q2925">
        <v>-38</v>
      </c>
      <c r="R2925">
        <v>99.999999000000003</v>
      </c>
    </row>
    <row r="2926" spans="1:18" x14ac:dyDescent="0.2">
      <c r="A2926" t="s">
        <v>270</v>
      </c>
      <c r="B2926" t="s">
        <v>8966</v>
      </c>
      <c r="C2926">
        <v>1</v>
      </c>
      <c r="D2926" s="1">
        <v>44095.78398148148</v>
      </c>
      <c r="E2926" t="s">
        <v>9187</v>
      </c>
      <c r="F2926" t="s">
        <v>273</v>
      </c>
      <c r="G2926" t="s">
        <v>8968</v>
      </c>
      <c r="H2926" t="s">
        <v>275</v>
      </c>
      <c r="I2926" t="s">
        <v>29</v>
      </c>
      <c r="J2926">
        <v>1</v>
      </c>
      <c r="K2926">
        <f>1-844-288-9111</f>
        <v>-10242</v>
      </c>
      <c r="L2926" t="s">
        <v>9188</v>
      </c>
      <c r="M2926" t="s">
        <v>9189</v>
      </c>
      <c r="N2926" t="s">
        <v>278</v>
      </c>
      <c r="O2926" t="s">
        <v>28</v>
      </c>
      <c r="P2926" t="s">
        <v>782</v>
      </c>
      <c r="Q2926">
        <v>-38</v>
      </c>
      <c r="R2926">
        <v>99.999999000000003</v>
      </c>
    </row>
    <row r="2927" spans="1:18" x14ac:dyDescent="0.2">
      <c r="A2927" t="s">
        <v>270</v>
      </c>
      <c r="B2927" t="s">
        <v>8966</v>
      </c>
      <c r="C2927">
        <v>1</v>
      </c>
      <c r="D2927" s="1">
        <v>44090.957650462966</v>
      </c>
      <c r="E2927" t="s">
        <v>9190</v>
      </c>
      <c r="F2927" t="s">
        <v>273</v>
      </c>
      <c r="G2927" t="s">
        <v>8968</v>
      </c>
      <c r="H2927" t="s">
        <v>275</v>
      </c>
      <c r="I2927" t="s">
        <v>29</v>
      </c>
      <c r="J2927">
        <v>1</v>
      </c>
      <c r="K2927">
        <f>1-844-242-3148</f>
        <v>-4233</v>
      </c>
      <c r="L2927" t="s">
        <v>9191</v>
      </c>
      <c r="M2927" t="s">
        <v>9192</v>
      </c>
      <c r="N2927" t="s">
        <v>278</v>
      </c>
      <c r="O2927" t="s">
        <v>28</v>
      </c>
      <c r="P2927" t="s">
        <v>782</v>
      </c>
      <c r="Q2927">
        <v>-38</v>
      </c>
      <c r="R2927">
        <v>99.999999000000003</v>
      </c>
    </row>
    <row r="2928" spans="1:18" x14ac:dyDescent="0.2">
      <c r="A2928" t="s">
        <v>270</v>
      </c>
      <c r="B2928" t="s">
        <v>8966</v>
      </c>
      <c r="C2928">
        <v>1</v>
      </c>
      <c r="D2928" s="1">
        <v>44090.798483796294</v>
      </c>
      <c r="E2928" t="s">
        <v>9193</v>
      </c>
      <c r="F2928" t="s">
        <v>273</v>
      </c>
      <c r="G2928" t="s">
        <v>8968</v>
      </c>
      <c r="H2928" t="s">
        <v>275</v>
      </c>
      <c r="I2928" t="s">
        <v>29</v>
      </c>
      <c r="J2928">
        <v>1</v>
      </c>
      <c r="K2928">
        <f>1-844-221-1452</f>
        <v>-2516</v>
      </c>
      <c r="L2928" t="s">
        <v>9194</v>
      </c>
      <c r="M2928" t="s">
        <v>9195</v>
      </c>
      <c r="N2928" t="s">
        <v>278</v>
      </c>
      <c r="O2928" t="s">
        <v>28</v>
      </c>
      <c r="P2928" t="s">
        <v>782</v>
      </c>
      <c r="Q2928">
        <v>-38</v>
      </c>
      <c r="R2928">
        <v>99.999999000000003</v>
      </c>
    </row>
    <row r="2929" spans="1:18" x14ac:dyDescent="0.2">
      <c r="A2929" t="s">
        <v>270</v>
      </c>
      <c r="B2929" t="s">
        <v>8966</v>
      </c>
      <c r="C2929">
        <v>1</v>
      </c>
      <c r="D2929" s="1">
        <v>44090.798194444447</v>
      </c>
      <c r="E2929" t="s">
        <v>9196</v>
      </c>
      <c r="F2929" t="s">
        <v>273</v>
      </c>
      <c r="G2929" t="s">
        <v>8968</v>
      </c>
      <c r="H2929" t="s">
        <v>275</v>
      </c>
      <c r="I2929" t="s">
        <v>29</v>
      </c>
      <c r="J2929">
        <v>1</v>
      </c>
      <c r="K2929">
        <f>1-844-243-4064</f>
        <v>-5150</v>
      </c>
      <c r="L2929" t="s">
        <v>9197</v>
      </c>
      <c r="M2929" t="s">
        <v>9198</v>
      </c>
      <c r="N2929" t="s">
        <v>278</v>
      </c>
      <c r="O2929" t="s">
        <v>28</v>
      </c>
      <c r="P2929" t="s">
        <v>782</v>
      </c>
      <c r="Q2929">
        <v>-38</v>
      </c>
      <c r="R2929">
        <v>99.999999000000003</v>
      </c>
    </row>
    <row r="2930" spans="1:18" x14ac:dyDescent="0.2">
      <c r="A2930" t="s">
        <v>270</v>
      </c>
      <c r="B2930" t="s">
        <v>8966</v>
      </c>
      <c r="C2930">
        <v>1</v>
      </c>
      <c r="D2930" s="1">
        <v>44090.786597222221</v>
      </c>
      <c r="E2930" t="s">
        <v>9199</v>
      </c>
      <c r="F2930" t="s">
        <v>273</v>
      </c>
      <c r="G2930" t="s">
        <v>8968</v>
      </c>
      <c r="H2930" t="s">
        <v>275</v>
      </c>
      <c r="I2930" t="s">
        <v>29</v>
      </c>
      <c r="J2930">
        <v>1</v>
      </c>
      <c r="K2930">
        <f>1-844-243-4064</f>
        <v>-5150</v>
      </c>
      <c r="L2930" t="s">
        <v>9200</v>
      </c>
      <c r="M2930" t="s">
        <v>9201</v>
      </c>
      <c r="N2930" t="s">
        <v>278</v>
      </c>
      <c r="O2930" t="s">
        <v>28</v>
      </c>
      <c r="P2930" t="s">
        <v>782</v>
      </c>
      <c r="Q2930">
        <v>-38</v>
      </c>
      <c r="R2930">
        <v>99.999999000000003</v>
      </c>
    </row>
    <row r="2931" spans="1:18" x14ac:dyDescent="0.2">
      <c r="A2931" t="s">
        <v>270</v>
      </c>
      <c r="B2931" t="s">
        <v>8966</v>
      </c>
      <c r="C2931">
        <v>1</v>
      </c>
      <c r="D2931" s="1">
        <v>44090.417025462964</v>
      </c>
      <c r="E2931" t="s">
        <v>9202</v>
      </c>
      <c r="F2931" t="s">
        <v>273</v>
      </c>
      <c r="G2931" t="s">
        <v>8968</v>
      </c>
      <c r="H2931" t="s">
        <v>275</v>
      </c>
      <c r="I2931" t="s">
        <v>29</v>
      </c>
      <c r="J2931">
        <v>1</v>
      </c>
      <c r="K2931">
        <f>1-844-318-8589</f>
        <v>-9750</v>
      </c>
      <c r="L2931" t="s">
        <v>9203</v>
      </c>
      <c r="M2931" t="s">
        <v>9204</v>
      </c>
      <c r="N2931" t="s">
        <v>278</v>
      </c>
      <c r="O2931" t="s">
        <v>28</v>
      </c>
      <c r="P2931" t="s">
        <v>782</v>
      </c>
      <c r="Q2931">
        <v>-38</v>
      </c>
      <c r="R2931">
        <v>99.999999000000003</v>
      </c>
    </row>
    <row r="2932" spans="1:18" x14ac:dyDescent="0.2">
      <c r="A2932" t="s">
        <v>270</v>
      </c>
      <c r="B2932" t="s">
        <v>8966</v>
      </c>
      <c r="C2932">
        <v>1</v>
      </c>
      <c r="D2932" s="1">
        <v>44090.414398148147</v>
      </c>
      <c r="E2932" t="s">
        <v>9205</v>
      </c>
      <c r="F2932" t="s">
        <v>273</v>
      </c>
      <c r="G2932" t="s">
        <v>8968</v>
      </c>
      <c r="H2932" t="s">
        <v>275</v>
      </c>
      <c r="I2932" t="s">
        <v>29</v>
      </c>
      <c r="J2932">
        <v>1</v>
      </c>
      <c r="K2932">
        <f>1-844-311-7591</f>
        <v>-8745</v>
      </c>
      <c r="L2932" t="s">
        <v>9206</v>
      </c>
      <c r="M2932" t="s">
        <v>9207</v>
      </c>
      <c r="N2932" t="s">
        <v>278</v>
      </c>
      <c r="O2932" t="s">
        <v>28</v>
      </c>
      <c r="P2932" t="s">
        <v>782</v>
      </c>
      <c r="Q2932">
        <v>-38</v>
      </c>
      <c r="R2932">
        <v>99.999999000000003</v>
      </c>
    </row>
    <row r="2933" spans="1:18" x14ac:dyDescent="0.2">
      <c r="A2933" t="s">
        <v>270</v>
      </c>
      <c r="B2933" t="s">
        <v>8966</v>
      </c>
      <c r="C2933">
        <v>1</v>
      </c>
      <c r="D2933" s="1">
        <v>44089.810740740744</v>
      </c>
      <c r="E2933" t="s">
        <v>9208</v>
      </c>
      <c r="F2933" t="s">
        <v>273</v>
      </c>
      <c r="G2933" t="s">
        <v>8968</v>
      </c>
      <c r="H2933" t="s">
        <v>275</v>
      </c>
      <c r="I2933" t="s">
        <v>29</v>
      </c>
      <c r="J2933">
        <v>1</v>
      </c>
      <c r="K2933">
        <f>1-844-309-2114</f>
        <v>-3266</v>
      </c>
      <c r="L2933" t="s">
        <v>9209</v>
      </c>
      <c r="M2933" t="s">
        <v>9210</v>
      </c>
      <c r="N2933" t="s">
        <v>278</v>
      </c>
      <c r="O2933" t="s">
        <v>28</v>
      </c>
      <c r="P2933" t="s">
        <v>782</v>
      </c>
      <c r="Q2933">
        <v>-38</v>
      </c>
      <c r="R2933">
        <v>99.999999000000003</v>
      </c>
    </row>
    <row r="2934" spans="1:18" x14ac:dyDescent="0.2">
      <c r="A2934" t="s">
        <v>270</v>
      </c>
      <c r="B2934" t="s">
        <v>8966</v>
      </c>
      <c r="C2934">
        <v>1</v>
      </c>
      <c r="D2934" s="1">
        <v>44089.431689814817</v>
      </c>
      <c r="E2934" t="s">
        <v>9211</v>
      </c>
      <c r="F2934" t="s">
        <v>273</v>
      </c>
      <c r="G2934" t="s">
        <v>8968</v>
      </c>
      <c r="H2934" t="s">
        <v>275</v>
      </c>
      <c r="I2934" t="s">
        <v>29</v>
      </c>
      <c r="J2934">
        <v>1</v>
      </c>
      <c r="K2934">
        <f>1-844-210-4337</f>
        <v>-5390</v>
      </c>
      <c r="L2934" t="s">
        <v>9212</v>
      </c>
      <c r="M2934" t="s">
        <v>9213</v>
      </c>
      <c r="N2934" t="s">
        <v>278</v>
      </c>
      <c r="O2934" t="s">
        <v>28</v>
      </c>
      <c r="P2934" t="s">
        <v>782</v>
      </c>
      <c r="Q2934">
        <v>-38</v>
      </c>
      <c r="R2934">
        <v>99.999999000000003</v>
      </c>
    </row>
    <row r="2935" spans="1:18" x14ac:dyDescent="0.2">
      <c r="A2935" t="s">
        <v>270</v>
      </c>
      <c r="B2935" t="s">
        <v>8966</v>
      </c>
      <c r="C2935">
        <v>1</v>
      </c>
      <c r="D2935" s="1">
        <v>44089.431111111109</v>
      </c>
      <c r="E2935" t="s">
        <v>9214</v>
      </c>
      <c r="F2935" t="s">
        <v>273</v>
      </c>
      <c r="G2935" t="s">
        <v>8968</v>
      </c>
      <c r="H2935" t="s">
        <v>275</v>
      </c>
      <c r="I2935" t="s">
        <v>29</v>
      </c>
      <c r="J2935">
        <v>1</v>
      </c>
      <c r="K2935">
        <f>1-844-210-4337</f>
        <v>-5390</v>
      </c>
      <c r="L2935" t="s">
        <v>9215</v>
      </c>
      <c r="M2935" t="s">
        <v>9216</v>
      </c>
      <c r="N2935" t="s">
        <v>278</v>
      </c>
      <c r="O2935" t="s">
        <v>28</v>
      </c>
      <c r="P2935" t="s">
        <v>782</v>
      </c>
      <c r="Q2935">
        <v>-38</v>
      </c>
      <c r="R2935">
        <v>99.999999000000003</v>
      </c>
    </row>
    <row r="2936" spans="1:18" x14ac:dyDescent="0.2">
      <c r="A2936" t="s">
        <v>270</v>
      </c>
      <c r="B2936" t="s">
        <v>8966</v>
      </c>
      <c r="C2936">
        <v>1</v>
      </c>
      <c r="D2936" s="1">
        <v>44089.430462962962</v>
      </c>
      <c r="E2936" t="s">
        <v>9217</v>
      </c>
      <c r="F2936" t="s">
        <v>273</v>
      </c>
      <c r="G2936" t="s">
        <v>8968</v>
      </c>
      <c r="H2936" t="s">
        <v>275</v>
      </c>
      <c r="I2936" t="s">
        <v>29</v>
      </c>
      <c r="J2936">
        <v>1</v>
      </c>
      <c r="K2936">
        <f>1-844-210-4337</f>
        <v>-5390</v>
      </c>
      <c r="L2936" t="s">
        <v>9218</v>
      </c>
      <c r="M2936" t="s">
        <v>9219</v>
      </c>
      <c r="N2936" t="s">
        <v>278</v>
      </c>
      <c r="O2936" t="s">
        <v>28</v>
      </c>
      <c r="P2936" t="s">
        <v>782</v>
      </c>
      <c r="Q2936">
        <v>-38</v>
      </c>
      <c r="R2936">
        <v>99.999999000000003</v>
      </c>
    </row>
    <row r="2937" spans="1:18" x14ac:dyDescent="0.2">
      <c r="A2937" t="s">
        <v>270</v>
      </c>
      <c r="B2937" t="s">
        <v>8966</v>
      </c>
      <c r="C2937">
        <v>1</v>
      </c>
      <c r="D2937" s="1">
        <v>44084.791018518517</v>
      </c>
      <c r="E2937" t="s">
        <v>9220</v>
      </c>
      <c r="F2937" t="s">
        <v>273</v>
      </c>
      <c r="G2937" t="s">
        <v>8968</v>
      </c>
      <c r="H2937" t="s">
        <v>275</v>
      </c>
      <c r="I2937" t="s">
        <v>29</v>
      </c>
      <c r="J2937">
        <v>1</v>
      </c>
      <c r="K2937">
        <f>1-844-318-7909</f>
        <v>-9070</v>
      </c>
      <c r="L2937" t="s">
        <v>9221</v>
      </c>
      <c r="M2937" t="s">
        <v>9222</v>
      </c>
      <c r="N2937" t="s">
        <v>278</v>
      </c>
      <c r="O2937" t="s">
        <v>28</v>
      </c>
      <c r="P2937" t="s">
        <v>782</v>
      </c>
      <c r="Q2937">
        <v>-38</v>
      </c>
      <c r="R2937">
        <v>99.999999000000003</v>
      </c>
    </row>
    <row r="2938" spans="1:18" x14ac:dyDescent="0.2">
      <c r="A2938" t="s">
        <v>270</v>
      </c>
      <c r="B2938" t="s">
        <v>8966</v>
      </c>
      <c r="C2938">
        <v>1</v>
      </c>
      <c r="D2938" s="1">
        <v>44084.781782407408</v>
      </c>
      <c r="E2938" t="s">
        <v>9223</v>
      </c>
      <c r="F2938" t="s">
        <v>273</v>
      </c>
      <c r="G2938" t="s">
        <v>8968</v>
      </c>
      <c r="H2938" t="s">
        <v>275</v>
      </c>
      <c r="I2938" t="s">
        <v>29</v>
      </c>
      <c r="J2938">
        <v>1</v>
      </c>
      <c r="K2938">
        <f>1-888-608-5109</f>
        <v>-6604</v>
      </c>
      <c r="L2938" t="s">
        <v>9224</v>
      </c>
      <c r="M2938" t="s">
        <v>9225</v>
      </c>
      <c r="N2938" t="s">
        <v>278</v>
      </c>
      <c r="O2938" t="s">
        <v>28</v>
      </c>
      <c r="P2938" t="s">
        <v>782</v>
      </c>
      <c r="Q2938">
        <v>-38</v>
      </c>
      <c r="R2938">
        <v>99.999999000000003</v>
      </c>
    </row>
    <row r="2939" spans="1:18" x14ac:dyDescent="0.2">
      <c r="A2939" t="s">
        <v>270</v>
      </c>
      <c r="B2939" t="s">
        <v>8966</v>
      </c>
      <c r="C2939">
        <v>1</v>
      </c>
      <c r="D2939" s="1">
        <v>44083.909328703703</v>
      </c>
      <c r="E2939" t="s">
        <v>9226</v>
      </c>
      <c r="F2939" t="s">
        <v>273</v>
      </c>
      <c r="G2939" t="s">
        <v>8968</v>
      </c>
      <c r="H2939" t="s">
        <v>275</v>
      </c>
      <c r="I2939" t="s">
        <v>29</v>
      </c>
      <c r="J2939">
        <v>1</v>
      </c>
      <c r="K2939">
        <f>1-888-585-4129</f>
        <v>-5601</v>
      </c>
      <c r="L2939" t="s">
        <v>9227</v>
      </c>
      <c r="M2939" t="s">
        <v>9228</v>
      </c>
      <c r="N2939" t="s">
        <v>278</v>
      </c>
      <c r="O2939" t="s">
        <v>28</v>
      </c>
      <c r="P2939" t="s">
        <v>782</v>
      </c>
      <c r="Q2939">
        <v>-38</v>
      </c>
      <c r="R2939">
        <v>99.999999000000003</v>
      </c>
    </row>
    <row r="2940" spans="1:18" x14ac:dyDescent="0.2">
      <c r="A2940" t="s">
        <v>270</v>
      </c>
      <c r="B2940" t="s">
        <v>8966</v>
      </c>
      <c r="C2940">
        <v>1</v>
      </c>
      <c r="D2940" s="1">
        <v>44083.83053240741</v>
      </c>
      <c r="E2940" t="s">
        <v>9229</v>
      </c>
      <c r="F2940" t="s">
        <v>273</v>
      </c>
      <c r="G2940" t="s">
        <v>8968</v>
      </c>
      <c r="H2940" t="s">
        <v>275</v>
      </c>
      <c r="I2940" t="s">
        <v>29</v>
      </c>
      <c r="J2940">
        <v>1</v>
      </c>
      <c r="K2940">
        <f>1-888-599-4298</f>
        <v>-5784</v>
      </c>
      <c r="L2940" t="s">
        <v>9230</v>
      </c>
      <c r="M2940" t="s">
        <v>9231</v>
      </c>
      <c r="N2940" t="s">
        <v>278</v>
      </c>
      <c r="O2940" t="s">
        <v>28</v>
      </c>
      <c r="P2940" t="s">
        <v>782</v>
      </c>
      <c r="Q2940">
        <v>-38</v>
      </c>
      <c r="R2940">
        <v>99.999999000000003</v>
      </c>
    </row>
    <row r="2941" spans="1:18" x14ac:dyDescent="0.2">
      <c r="A2941" t="s">
        <v>270</v>
      </c>
      <c r="B2941" t="s">
        <v>8966</v>
      </c>
      <c r="C2941">
        <v>1</v>
      </c>
      <c r="D2941" s="1">
        <v>44078.857615740744</v>
      </c>
      <c r="E2941" t="s">
        <v>9232</v>
      </c>
      <c r="F2941" t="s">
        <v>273</v>
      </c>
      <c r="G2941" t="s">
        <v>8968</v>
      </c>
      <c r="H2941" t="s">
        <v>275</v>
      </c>
      <c r="I2941" t="s">
        <v>29</v>
      </c>
      <c r="J2941">
        <v>1</v>
      </c>
      <c r="K2941">
        <f>1-888-530-1472</f>
        <v>-2889</v>
      </c>
      <c r="L2941" t="s">
        <v>9233</v>
      </c>
      <c r="M2941" t="s">
        <v>9234</v>
      </c>
      <c r="N2941" t="s">
        <v>278</v>
      </c>
      <c r="O2941" t="s">
        <v>134</v>
      </c>
      <c r="P2941" t="s">
        <v>782</v>
      </c>
      <c r="Q2941">
        <v>-38</v>
      </c>
      <c r="R2941">
        <v>99.999999000000003</v>
      </c>
    </row>
    <row r="2942" spans="1:18" x14ac:dyDescent="0.2">
      <c r="A2942" t="s">
        <v>270</v>
      </c>
      <c r="B2942" t="s">
        <v>8966</v>
      </c>
      <c r="C2942">
        <v>1</v>
      </c>
      <c r="D2942" s="1">
        <v>44078.852337962962</v>
      </c>
      <c r="E2942" t="s">
        <v>9235</v>
      </c>
      <c r="F2942" t="s">
        <v>273</v>
      </c>
      <c r="G2942" t="s">
        <v>8968</v>
      </c>
      <c r="H2942" t="s">
        <v>275</v>
      </c>
      <c r="I2942" t="s">
        <v>29</v>
      </c>
      <c r="J2942">
        <v>1</v>
      </c>
      <c r="K2942">
        <f>1-866-591-3044</f>
        <v>-4500</v>
      </c>
      <c r="L2942" t="s">
        <v>9236</v>
      </c>
      <c r="M2942" t="s">
        <v>9237</v>
      </c>
      <c r="N2942" t="s">
        <v>278</v>
      </c>
      <c r="O2942" t="s">
        <v>134</v>
      </c>
      <c r="P2942" t="s">
        <v>782</v>
      </c>
      <c r="Q2942">
        <v>-38</v>
      </c>
      <c r="R2942">
        <v>99.999999000000003</v>
      </c>
    </row>
    <row r="2943" spans="1:18" x14ac:dyDescent="0.2">
      <c r="A2943" t="s">
        <v>270</v>
      </c>
      <c r="B2943" t="s">
        <v>8966</v>
      </c>
      <c r="C2943">
        <v>1</v>
      </c>
      <c r="D2943" s="1">
        <v>44078.851261574076</v>
      </c>
      <c r="E2943" t="s">
        <v>9238</v>
      </c>
      <c r="F2943" t="s">
        <v>273</v>
      </c>
      <c r="G2943" t="s">
        <v>8968</v>
      </c>
      <c r="H2943" t="s">
        <v>275</v>
      </c>
      <c r="I2943" t="s">
        <v>29</v>
      </c>
      <c r="J2943">
        <v>1</v>
      </c>
      <c r="K2943">
        <f>1-866-754-7703</f>
        <v>-9322</v>
      </c>
      <c r="L2943" t="s">
        <v>9239</v>
      </c>
      <c r="M2943" t="s">
        <v>9240</v>
      </c>
      <c r="N2943" t="s">
        <v>278</v>
      </c>
      <c r="O2943" t="s">
        <v>134</v>
      </c>
      <c r="P2943" t="s">
        <v>782</v>
      </c>
      <c r="Q2943">
        <v>-38</v>
      </c>
      <c r="R2943">
        <v>99.999999000000003</v>
      </c>
    </row>
    <row r="2944" spans="1:18" x14ac:dyDescent="0.2">
      <c r="A2944" t="s">
        <v>270</v>
      </c>
      <c r="B2944" t="s">
        <v>8966</v>
      </c>
      <c r="C2944">
        <v>1</v>
      </c>
      <c r="D2944" s="1">
        <v>44078.850162037037</v>
      </c>
      <c r="E2944" t="s">
        <v>9241</v>
      </c>
      <c r="F2944" t="s">
        <v>273</v>
      </c>
      <c r="G2944" t="s">
        <v>8968</v>
      </c>
      <c r="H2944" t="s">
        <v>275</v>
      </c>
      <c r="I2944" t="s">
        <v>29</v>
      </c>
      <c r="J2944">
        <v>1</v>
      </c>
      <c r="K2944">
        <f>1-866-759-9790</f>
        <v>-11414</v>
      </c>
      <c r="L2944" t="s">
        <v>9242</v>
      </c>
      <c r="M2944" t="s">
        <v>9243</v>
      </c>
      <c r="N2944" t="s">
        <v>278</v>
      </c>
      <c r="O2944" t="s">
        <v>134</v>
      </c>
      <c r="P2944" t="s">
        <v>782</v>
      </c>
      <c r="Q2944">
        <v>-38</v>
      </c>
      <c r="R2944">
        <v>99.999999000000003</v>
      </c>
    </row>
    <row r="2945" spans="1:18" x14ac:dyDescent="0.2">
      <c r="A2945" t="s">
        <v>270</v>
      </c>
      <c r="B2945" t="s">
        <v>8966</v>
      </c>
      <c r="C2945">
        <v>1</v>
      </c>
      <c r="D2945" s="1">
        <v>44078.849062499998</v>
      </c>
      <c r="E2945" t="s">
        <v>9244</v>
      </c>
      <c r="F2945" t="s">
        <v>273</v>
      </c>
      <c r="G2945" t="s">
        <v>8968</v>
      </c>
      <c r="H2945" t="s">
        <v>275</v>
      </c>
      <c r="I2945" t="s">
        <v>29</v>
      </c>
      <c r="J2945">
        <v>1</v>
      </c>
      <c r="K2945">
        <f>1-866-512-2889</f>
        <v>-4266</v>
      </c>
      <c r="L2945" t="s">
        <v>9245</v>
      </c>
      <c r="M2945" t="s">
        <v>9246</v>
      </c>
      <c r="N2945" t="s">
        <v>278</v>
      </c>
      <c r="O2945" t="s">
        <v>134</v>
      </c>
      <c r="P2945" t="s">
        <v>782</v>
      </c>
      <c r="Q2945">
        <v>-38</v>
      </c>
      <c r="R2945">
        <v>99.999999000000003</v>
      </c>
    </row>
    <row r="2946" spans="1:18" x14ac:dyDescent="0.2">
      <c r="A2946" t="s">
        <v>270</v>
      </c>
      <c r="B2946" t="s">
        <v>8966</v>
      </c>
      <c r="C2946">
        <v>1</v>
      </c>
      <c r="D2946" s="1">
        <v>44078.848287037035</v>
      </c>
      <c r="E2946" t="s">
        <v>9247</v>
      </c>
      <c r="F2946" t="s">
        <v>273</v>
      </c>
      <c r="G2946" t="s">
        <v>8968</v>
      </c>
      <c r="H2946" t="s">
        <v>275</v>
      </c>
      <c r="I2946" t="s">
        <v>29</v>
      </c>
      <c r="J2946">
        <v>1</v>
      </c>
      <c r="K2946">
        <f>1-866-512-2889</f>
        <v>-4266</v>
      </c>
      <c r="L2946" t="s">
        <v>9248</v>
      </c>
      <c r="M2946" t="s">
        <v>9249</v>
      </c>
      <c r="N2946" t="s">
        <v>278</v>
      </c>
      <c r="O2946" t="s">
        <v>134</v>
      </c>
      <c r="P2946" t="s">
        <v>782</v>
      </c>
      <c r="Q2946">
        <v>-38</v>
      </c>
      <c r="R2946">
        <v>99.999999000000003</v>
      </c>
    </row>
    <row r="2947" spans="1:18" x14ac:dyDescent="0.2">
      <c r="A2947" t="s">
        <v>270</v>
      </c>
      <c r="B2947" t="s">
        <v>8966</v>
      </c>
      <c r="C2947">
        <v>1</v>
      </c>
      <c r="D2947" s="1">
        <v>44075.759629629632</v>
      </c>
      <c r="E2947" t="s">
        <v>9250</v>
      </c>
      <c r="F2947" t="s">
        <v>273</v>
      </c>
      <c r="G2947" t="s">
        <v>8968</v>
      </c>
      <c r="H2947" t="s">
        <v>275</v>
      </c>
      <c r="I2947" t="s">
        <v>29</v>
      </c>
      <c r="J2947">
        <v>1</v>
      </c>
      <c r="K2947">
        <f>1-888-705-928</f>
        <v>-2520</v>
      </c>
      <c r="L2947" t="s">
        <v>9251</v>
      </c>
      <c r="M2947" t="s">
        <v>9252</v>
      </c>
      <c r="N2947" t="s">
        <v>278</v>
      </c>
      <c r="O2947" t="s">
        <v>134</v>
      </c>
      <c r="P2947" t="s">
        <v>782</v>
      </c>
      <c r="Q2947">
        <v>-38</v>
      </c>
      <c r="R2947">
        <v>99.999999000000003</v>
      </c>
    </row>
    <row r="2948" spans="1:18" x14ac:dyDescent="0.2">
      <c r="A2948" t="s">
        <v>270</v>
      </c>
      <c r="B2948" t="s">
        <v>8966</v>
      </c>
      <c r="C2948">
        <v>1</v>
      </c>
      <c r="D2948" s="1">
        <v>44074.929664351854</v>
      </c>
      <c r="E2948" t="s">
        <v>9253</v>
      </c>
      <c r="F2948" t="s">
        <v>273</v>
      </c>
      <c r="G2948" t="s">
        <v>8968</v>
      </c>
      <c r="H2948" t="s">
        <v>275</v>
      </c>
      <c r="I2948" t="s">
        <v>29</v>
      </c>
      <c r="J2948">
        <v>1</v>
      </c>
      <c r="K2948">
        <f>1-888-652-8170</f>
        <v>-9709</v>
      </c>
      <c r="L2948" t="s">
        <v>9254</v>
      </c>
      <c r="M2948" t="s">
        <v>9255</v>
      </c>
      <c r="N2948" t="s">
        <v>278</v>
      </c>
      <c r="O2948" t="s">
        <v>28</v>
      </c>
      <c r="P2948" t="s">
        <v>782</v>
      </c>
      <c r="Q2948">
        <v>-38</v>
      </c>
      <c r="R2948">
        <v>99.999999000000003</v>
      </c>
    </row>
    <row r="2949" spans="1:18" x14ac:dyDescent="0.2">
      <c r="A2949" t="s">
        <v>270</v>
      </c>
      <c r="B2949" t="s">
        <v>8966</v>
      </c>
      <c r="C2949">
        <v>1</v>
      </c>
      <c r="D2949" s="1">
        <v>44074.916979166665</v>
      </c>
      <c r="E2949" t="s">
        <v>9256</v>
      </c>
      <c r="F2949" t="s">
        <v>273</v>
      </c>
      <c r="G2949" t="s">
        <v>8968</v>
      </c>
      <c r="H2949" t="s">
        <v>275</v>
      </c>
      <c r="I2949" t="s">
        <v>29</v>
      </c>
      <c r="J2949">
        <v>1</v>
      </c>
      <c r="K2949">
        <f>1-888-590-4165</f>
        <v>-5642</v>
      </c>
      <c r="L2949" t="s">
        <v>9257</v>
      </c>
      <c r="M2949" t="s">
        <v>9258</v>
      </c>
      <c r="N2949" t="s">
        <v>278</v>
      </c>
      <c r="O2949" t="s">
        <v>28</v>
      </c>
      <c r="P2949" t="s">
        <v>782</v>
      </c>
      <c r="Q2949">
        <v>-38</v>
      </c>
      <c r="R2949">
        <v>99.999999000000003</v>
      </c>
    </row>
    <row r="2950" spans="1:18" x14ac:dyDescent="0.2">
      <c r="A2950" t="s">
        <v>270</v>
      </c>
      <c r="B2950" t="s">
        <v>8966</v>
      </c>
      <c r="C2950">
        <v>1</v>
      </c>
      <c r="D2950" s="1">
        <v>44073.943356481483</v>
      </c>
      <c r="E2950" t="s">
        <v>9259</v>
      </c>
      <c r="F2950" t="s">
        <v>273</v>
      </c>
      <c r="G2950" t="s">
        <v>8968</v>
      </c>
      <c r="H2950" t="s">
        <v>275</v>
      </c>
      <c r="I2950" t="s">
        <v>29</v>
      </c>
      <c r="J2950">
        <v>1</v>
      </c>
      <c r="K2950">
        <f>1-888-655-2376</f>
        <v>-3918</v>
      </c>
      <c r="L2950" t="s">
        <v>9260</v>
      </c>
      <c r="M2950" t="s">
        <v>9261</v>
      </c>
      <c r="N2950" t="s">
        <v>278</v>
      </c>
      <c r="O2950" t="s">
        <v>134</v>
      </c>
      <c r="P2950" t="s">
        <v>782</v>
      </c>
      <c r="Q2950">
        <v>-38</v>
      </c>
      <c r="R2950">
        <v>99.999999000000003</v>
      </c>
    </row>
    <row r="2951" spans="1:18" x14ac:dyDescent="0.2">
      <c r="A2951" t="s">
        <v>270</v>
      </c>
      <c r="B2951" t="s">
        <v>8966</v>
      </c>
      <c r="C2951">
        <v>1</v>
      </c>
      <c r="D2951" s="1">
        <v>44073.941747685189</v>
      </c>
      <c r="E2951" t="s">
        <v>9262</v>
      </c>
      <c r="F2951" t="s">
        <v>273</v>
      </c>
      <c r="G2951" t="s">
        <v>8968</v>
      </c>
      <c r="H2951" t="s">
        <v>275</v>
      </c>
      <c r="I2951" t="s">
        <v>29</v>
      </c>
      <c r="J2951">
        <v>1</v>
      </c>
      <c r="K2951">
        <f>1-888-521-2495</f>
        <v>-3903</v>
      </c>
      <c r="L2951" t="s">
        <v>9263</v>
      </c>
      <c r="M2951" t="s">
        <v>9264</v>
      </c>
      <c r="N2951" t="s">
        <v>278</v>
      </c>
      <c r="O2951" t="s">
        <v>134</v>
      </c>
      <c r="P2951" t="s">
        <v>782</v>
      </c>
      <c r="Q2951">
        <v>-38</v>
      </c>
      <c r="R2951">
        <v>99.999999000000003</v>
      </c>
    </row>
    <row r="2952" spans="1:18" x14ac:dyDescent="0.2">
      <c r="A2952" t="s">
        <v>270</v>
      </c>
      <c r="B2952" t="s">
        <v>8966</v>
      </c>
      <c r="C2952">
        <v>1</v>
      </c>
      <c r="D2952" s="1">
        <v>44073.940648148149</v>
      </c>
      <c r="E2952" t="s">
        <v>9265</v>
      </c>
      <c r="F2952" t="s">
        <v>273</v>
      </c>
      <c r="G2952" t="s">
        <v>8968</v>
      </c>
      <c r="H2952" t="s">
        <v>275</v>
      </c>
      <c r="I2952" t="s">
        <v>29</v>
      </c>
      <c r="J2952">
        <v>1</v>
      </c>
      <c r="K2952">
        <f>1-888-851-688</f>
        <v>-2426</v>
      </c>
      <c r="L2952" t="s">
        <v>9266</v>
      </c>
      <c r="M2952" t="s">
        <v>9267</v>
      </c>
      <c r="N2952" t="s">
        <v>278</v>
      </c>
      <c r="O2952" t="s">
        <v>134</v>
      </c>
      <c r="P2952" t="s">
        <v>782</v>
      </c>
      <c r="Q2952">
        <v>-38</v>
      </c>
      <c r="R2952">
        <v>99.999999000000003</v>
      </c>
    </row>
    <row r="2953" spans="1:18" x14ac:dyDescent="0.2">
      <c r="A2953" t="s">
        <v>270</v>
      </c>
      <c r="B2953" t="s">
        <v>8966</v>
      </c>
      <c r="C2953">
        <v>1</v>
      </c>
      <c r="D2953" s="1">
        <v>44073.940104166664</v>
      </c>
      <c r="E2953" t="s">
        <v>9268</v>
      </c>
      <c r="F2953" t="s">
        <v>273</v>
      </c>
      <c r="G2953" t="s">
        <v>8968</v>
      </c>
      <c r="H2953" t="s">
        <v>275</v>
      </c>
      <c r="I2953" t="s">
        <v>29</v>
      </c>
      <c r="J2953">
        <v>1</v>
      </c>
      <c r="K2953">
        <f>1-888-851-688</f>
        <v>-2426</v>
      </c>
      <c r="L2953" t="s">
        <v>9269</v>
      </c>
      <c r="M2953" t="s">
        <v>9270</v>
      </c>
      <c r="N2953" t="s">
        <v>278</v>
      </c>
      <c r="O2953" t="s">
        <v>134</v>
      </c>
      <c r="P2953" t="s">
        <v>782</v>
      </c>
      <c r="Q2953">
        <v>-38</v>
      </c>
      <c r="R2953">
        <v>99.999999000000003</v>
      </c>
    </row>
    <row r="2954" spans="1:18" x14ac:dyDescent="0.2">
      <c r="A2954" t="s">
        <v>270</v>
      </c>
      <c r="B2954" t="s">
        <v>8966</v>
      </c>
      <c r="C2954">
        <v>1</v>
      </c>
      <c r="D2954" s="1">
        <v>44073.929675925923</v>
      </c>
      <c r="E2954" t="s">
        <v>9271</v>
      </c>
      <c r="F2954" t="s">
        <v>273</v>
      </c>
      <c r="G2954" t="s">
        <v>8968</v>
      </c>
      <c r="H2954" t="s">
        <v>275</v>
      </c>
      <c r="I2954" t="s">
        <v>29</v>
      </c>
      <c r="J2954">
        <v>1</v>
      </c>
      <c r="K2954">
        <f>1-888-534-316</f>
        <v>-1737</v>
      </c>
      <c r="L2954" t="s">
        <v>9272</v>
      </c>
      <c r="M2954" t="s">
        <v>9273</v>
      </c>
      <c r="N2954" t="s">
        <v>278</v>
      </c>
      <c r="O2954" t="s">
        <v>134</v>
      </c>
      <c r="P2954" t="s">
        <v>782</v>
      </c>
      <c r="Q2954">
        <v>-38</v>
      </c>
      <c r="R2954">
        <v>99.999999000000003</v>
      </c>
    </row>
    <row r="2955" spans="1:18" x14ac:dyDescent="0.2">
      <c r="A2955" t="s">
        <v>270</v>
      </c>
      <c r="B2955" t="s">
        <v>8966</v>
      </c>
      <c r="C2955">
        <v>1</v>
      </c>
      <c r="D2955" s="1">
        <v>44073.928599537037</v>
      </c>
      <c r="E2955" t="s">
        <v>9274</v>
      </c>
      <c r="F2955" t="s">
        <v>273</v>
      </c>
      <c r="G2955" t="s">
        <v>8968</v>
      </c>
      <c r="H2955" t="s">
        <v>275</v>
      </c>
      <c r="I2955" t="s">
        <v>29</v>
      </c>
      <c r="J2955">
        <v>1</v>
      </c>
      <c r="K2955">
        <f>1-888-530-2072</f>
        <v>-3489</v>
      </c>
      <c r="L2955" t="s">
        <v>9275</v>
      </c>
      <c r="M2955" t="s">
        <v>9276</v>
      </c>
      <c r="N2955" t="s">
        <v>278</v>
      </c>
      <c r="O2955" t="s">
        <v>134</v>
      </c>
      <c r="P2955" t="s">
        <v>782</v>
      </c>
      <c r="Q2955">
        <v>-38</v>
      </c>
      <c r="R2955">
        <v>99.999999000000003</v>
      </c>
    </row>
    <row r="2956" spans="1:18" x14ac:dyDescent="0.2">
      <c r="A2956" t="s">
        <v>270</v>
      </c>
      <c r="B2956" t="s">
        <v>8966</v>
      </c>
      <c r="C2956">
        <v>1</v>
      </c>
      <c r="D2956" s="1">
        <v>44073.927557870367</v>
      </c>
      <c r="E2956" t="s">
        <v>9277</v>
      </c>
      <c r="F2956" t="s">
        <v>273</v>
      </c>
      <c r="G2956" t="s">
        <v>8968</v>
      </c>
      <c r="H2956" t="s">
        <v>275</v>
      </c>
      <c r="I2956" t="s">
        <v>29</v>
      </c>
      <c r="J2956">
        <v>1</v>
      </c>
      <c r="K2956">
        <f>1-888-529-6205</f>
        <v>-7621</v>
      </c>
      <c r="L2956" t="s">
        <v>9278</v>
      </c>
      <c r="M2956" t="s">
        <v>9279</v>
      </c>
      <c r="N2956" t="s">
        <v>278</v>
      </c>
      <c r="O2956" t="s">
        <v>134</v>
      </c>
      <c r="P2956" t="s">
        <v>782</v>
      </c>
      <c r="Q2956">
        <v>-38</v>
      </c>
      <c r="R2956">
        <v>99.999999000000003</v>
      </c>
    </row>
    <row r="2957" spans="1:18" x14ac:dyDescent="0.2">
      <c r="A2957" t="s">
        <v>270</v>
      </c>
      <c r="B2957" t="s">
        <v>8966</v>
      </c>
      <c r="C2957">
        <v>1</v>
      </c>
      <c r="D2957" s="1">
        <v>44073.926412037035</v>
      </c>
      <c r="E2957" t="s">
        <v>9280</v>
      </c>
      <c r="F2957" t="s">
        <v>273</v>
      </c>
      <c r="G2957" t="s">
        <v>8968</v>
      </c>
      <c r="H2957" t="s">
        <v>275</v>
      </c>
      <c r="I2957" t="s">
        <v>29</v>
      </c>
      <c r="J2957">
        <v>1</v>
      </c>
      <c r="K2957">
        <f>1-888-538-1073</f>
        <v>-2498</v>
      </c>
      <c r="L2957" t="s">
        <v>9281</v>
      </c>
      <c r="M2957" t="s">
        <v>9282</v>
      </c>
      <c r="N2957" t="s">
        <v>278</v>
      </c>
      <c r="O2957" t="s">
        <v>134</v>
      </c>
      <c r="P2957" t="s">
        <v>782</v>
      </c>
      <c r="Q2957">
        <v>-38</v>
      </c>
      <c r="R2957">
        <v>99.999999000000003</v>
      </c>
    </row>
    <row r="2958" spans="1:18" x14ac:dyDescent="0.2">
      <c r="A2958" t="s">
        <v>270</v>
      </c>
      <c r="B2958" t="s">
        <v>8966</v>
      </c>
      <c r="C2958">
        <v>1</v>
      </c>
      <c r="D2958" s="1">
        <v>44073.063692129632</v>
      </c>
      <c r="E2958" t="s">
        <v>9283</v>
      </c>
      <c r="F2958" t="s">
        <v>273</v>
      </c>
      <c r="G2958" t="s">
        <v>8968</v>
      </c>
      <c r="H2958" t="s">
        <v>275</v>
      </c>
      <c r="I2958" t="s">
        <v>29</v>
      </c>
      <c r="J2958">
        <v>1</v>
      </c>
      <c r="K2958">
        <f>1-888-417-4066</f>
        <v>-5370</v>
      </c>
      <c r="L2958" t="s">
        <v>9284</v>
      </c>
      <c r="M2958" t="s">
        <v>9285</v>
      </c>
      <c r="N2958" t="s">
        <v>278</v>
      </c>
      <c r="O2958" t="s">
        <v>134</v>
      </c>
      <c r="P2958" t="s">
        <v>782</v>
      </c>
      <c r="Q2958">
        <v>-38</v>
      </c>
      <c r="R2958">
        <v>99.999999000000003</v>
      </c>
    </row>
    <row r="2959" spans="1:18" x14ac:dyDescent="0.2">
      <c r="A2959" t="s">
        <v>270</v>
      </c>
      <c r="B2959" t="s">
        <v>8966</v>
      </c>
      <c r="C2959">
        <v>1</v>
      </c>
      <c r="D2959" s="1">
        <v>44072.870312500003</v>
      </c>
      <c r="E2959" t="s">
        <v>9286</v>
      </c>
      <c r="F2959" t="s">
        <v>273</v>
      </c>
      <c r="G2959" t="s">
        <v>8968</v>
      </c>
      <c r="H2959" t="s">
        <v>275</v>
      </c>
      <c r="I2959" t="s">
        <v>29</v>
      </c>
      <c r="J2959">
        <v>1</v>
      </c>
      <c r="K2959">
        <f>1-888-662-8133</f>
        <v>-9682</v>
      </c>
      <c r="L2959" t="s">
        <v>9287</v>
      </c>
      <c r="M2959" t="s">
        <v>9288</v>
      </c>
      <c r="N2959" t="s">
        <v>278</v>
      </c>
      <c r="O2959" t="s">
        <v>134</v>
      </c>
      <c r="P2959" t="s">
        <v>782</v>
      </c>
      <c r="Q2959">
        <v>-38</v>
      </c>
      <c r="R2959">
        <v>99.999999000000003</v>
      </c>
    </row>
    <row r="2960" spans="1:18" x14ac:dyDescent="0.2">
      <c r="A2960" t="s">
        <v>270</v>
      </c>
      <c r="B2960" t="s">
        <v>8966</v>
      </c>
      <c r="C2960">
        <v>1</v>
      </c>
      <c r="D2960" s="1">
        <v>44072.867129629631</v>
      </c>
      <c r="E2960" t="s">
        <v>9289</v>
      </c>
      <c r="F2960" t="s">
        <v>273</v>
      </c>
      <c r="G2960" t="s">
        <v>8968</v>
      </c>
      <c r="H2960" t="s">
        <v>275</v>
      </c>
      <c r="I2960" t="s">
        <v>29</v>
      </c>
      <c r="J2960">
        <v>1</v>
      </c>
      <c r="K2960">
        <f>1-888-604-806</f>
        <v>-2297</v>
      </c>
      <c r="L2960" t="s">
        <v>9290</v>
      </c>
      <c r="M2960" t="s">
        <v>9291</v>
      </c>
      <c r="N2960" t="s">
        <v>278</v>
      </c>
      <c r="O2960" t="s">
        <v>134</v>
      </c>
      <c r="P2960" t="s">
        <v>782</v>
      </c>
      <c r="Q2960">
        <v>-38</v>
      </c>
      <c r="R2960">
        <v>99.999999000000003</v>
      </c>
    </row>
    <row r="2961" spans="1:18" x14ac:dyDescent="0.2">
      <c r="A2961" t="s">
        <v>270</v>
      </c>
      <c r="B2961" t="s">
        <v>8966</v>
      </c>
      <c r="C2961">
        <v>1</v>
      </c>
      <c r="D2961" s="1">
        <v>44072.291342592594</v>
      </c>
      <c r="E2961" t="s">
        <v>9292</v>
      </c>
      <c r="F2961" t="s">
        <v>273</v>
      </c>
      <c r="G2961" t="s">
        <v>8968</v>
      </c>
      <c r="H2961" t="s">
        <v>275</v>
      </c>
      <c r="I2961" t="s">
        <v>29</v>
      </c>
      <c r="J2961">
        <v>1</v>
      </c>
      <c r="K2961">
        <f>1-888-658-5805</f>
        <v>-7350</v>
      </c>
      <c r="L2961" t="s">
        <v>9293</v>
      </c>
      <c r="M2961" t="s">
        <v>9294</v>
      </c>
      <c r="N2961" t="s">
        <v>278</v>
      </c>
      <c r="O2961" t="s">
        <v>134</v>
      </c>
      <c r="P2961" t="s">
        <v>782</v>
      </c>
      <c r="Q2961">
        <v>-38</v>
      </c>
      <c r="R2961">
        <v>99.999999000000003</v>
      </c>
    </row>
    <row r="2962" spans="1:18" x14ac:dyDescent="0.2">
      <c r="A2962" t="s">
        <v>270</v>
      </c>
      <c r="B2962" t="s">
        <v>8966</v>
      </c>
      <c r="C2962">
        <v>1</v>
      </c>
      <c r="D2962" s="1">
        <v>44072.291030092594</v>
      </c>
      <c r="E2962" t="s">
        <v>9295</v>
      </c>
      <c r="F2962" t="s">
        <v>273</v>
      </c>
      <c r="G2962" t="s">
        <v>8968</v>
      </c>
      <c r="H2962" t="s">
        <v>275</v>
      </c>
      <c r="I2962" t="s">
        <v>29</v>
      </c>
      <c r="J2962">
        <v>1</v>
      </c>
      <c r="K2962">
        <f>1-888-658-5805</f>
        <v>-7350</v>
      </c>
      <c r="L2962" t="s">
        <v>9296</v>
      </c>
      <c r="M2962" t="s">
        <v>9297</v>
      </c>
      <c r="N2962" t="s">
        <v>278</v>
      </c>
      <c r="O2962" t="s">
        <v>134</v>
      </c>
      <c r="P2962" t="s">
        <v>782</v>
      </c>
      <c r="Q2962">
        <v>-38</v>
      </c>
      <c r="R2962">
        <v>99.999999000000003</v>
      </c>
    </row>
    <row r="2963" spans="1:18" x14ac:dyDescent="0.2">
      <c r="A2963" t="s">
        <v>270</v>
      </c>
      <c r="B2963" t="s">
        <v>8966</v>
      </c>
      <c r="C2963">
        <v>1</v>
      </c>
      <c r="D2963" s="1">
        <v>44071.976238425923</v>
      </c>
      <c r="E2963" t="s">
        <v>9298</v>
      </c>
      <c r="F2963" t="s">
        <v>273</v>
      </c>
      <c r="G2963" t="s">
        <v>8968</v>
      </c>
      <c r="H2963" t="s">
        <v>275</v>
      </c>
      <c r="I2963" t="s">
        <v>29</v>
      </c>
      <c r="J2963">
        <v>1</v>
      </c>
      <c r="K2963">
        <f>1-888-525-642</f>
        <v>-2054</v>
      </c>
      <c r="L2963" t="s">
        <v>9299</v>
      </c>
      <c r="M2963" t="s">
        <v>9300</v>
      </c>
      <c r="N2963" t="s">
        <v>278</v>
      </c>
      <c r="O2963" t="s">
        <v>134</v>
      </c>
      <c r="P2963" t="s">
        <v>782</v>
      </c>
      <c r="Q2963">
        <v>-38</v>
      </c>
      <c r="R2963">
        <v>99.999999000000003</v>
      </c>
    </row>
    <row r="2964" spans="1:18" x14ac:dyDescent="0.2">
      <c r="A2964" t="s">
        <v>270</v>
      </c>
      <c r="B2964" t="s">
        <v>8966</v>
      </c>
      <c r="C2964">
        <v>1</v>
      </c>
      <c r="D2964" s="1">
        <v>44071.975694444445</v>
      </c>
      <c r="E2964" t="s">
        <v>9301</v>
      </c>
      <c r="F2964" t="s">
        <v>273</v>
      </c>
      <c r="G2964" t="s">
        <v>8968</v>
      </c>
      <c r="H2964" t="s">
        <v>275</v>
      </c>
      <c r="I2964" t="s">
        <v>29</v>
      </c>
      <c r="J2964">
        <v>1</v>
      </c>
      <c r="K2964">
        <f>1-888-598-1347</f>
        <v>-2832</v>
      </c>
      <c r="L2964" t="s">
        <v>9302</v>
      </c>
      <c r="M2964" t="s">
        <v>9303</v>
      </c>
      <c r="N2964" t="s">
        <v>278</v>
      </c>
      <c r="O2964" t="s">
        <v>134</v>
      </c>
      <c r="P2964" t="s">
        <v>782</v>
      </c>
      <c r="Q2964">
        <v>-38</v>
      </c>
      <c r="R2964">
        <v>99.999999000000003</v>
      </c>
    </row>
    <row r="2965" spans="1:18" x14ac:dyDescent="0.2">
      <c r="A2965" t="s">
        <v>270</v>
      </c>
      <c r="B2965" t="s">
        <v>8966</v>
      </c>
      <c r="C2965">
        <v>1</v>
      </c>
      <c r="D2965" s="1">
        <v>44071.975115740737</v>
      </c>
      <c r="E2965" t="s">
        <v>9304</v>
      </c>
      <c r="F2965" t="s">
        <v>273</v>
      </c>
      <c r="G2965" t="s">
        <v>8968</v>
      </c>
      <c r="H2965" t="s">
        <v>275</v>
      </c>
      <c r="I2965" t="s">
        <v>29</v>
      </c>
      <c r="J2965">
        <v>1</v>
      </c>
      <c r="K2965">
        <f>1-888-690-883</f>
        <v>-2460</v>
      </c>
      <c r="L2965" t="s">
        <v>9305</v>
      </c>
      <c r="M2965" t="s">
        <v>9306</v>
      </c>
      <c r="N2965" t="s">
        <v>278</v>
      </c>
      <c r="O2965" t="s">
        <v>134</v>
      </c>
      <c r="P2965" t="s">
        <v>782</v>
      </c>
      <c r="Q2965">
        <v>-38</v>
      </c>
      <c r="R2965">
        <v>99.999999000000003</v>
      </c>
    </row>
    <row r="2966" spans="1:18" x14ac:dyDescent="0.2">
      <c r="A2966" t="s">
        <v>270</v>
      </c>
      <c r="B2966" t="s">
        <v>8966</v>
      </c>
      <c r="C2966">
        <v>1</v>
      </c>
      <c r="D2966" s="1">
        <v>44071.915891203702</v>
      </c>
      <c r="E2966" t="s">
        <v>9307</v>
      </c>
      <c r="F2966" t="s">
        <v>273</v>
      </c>
      <c r="G2966" t="s">
        <v>8968</v>
      </c>
      <c r="H2966" t="s">
        <v>275</v>
      </c>
      <c r="I2966" t="s">
        <v>29</v>
      </c>
      <c r="J2966">
        <v>1</v>
      </c>
      <c r="K2966">
        <f>1-888-706-1244</f>
        <v>-2837</v>
      </c>
      <c r="L2966" t="s">
        <v>9308</v>
      </c>
      <c r="M2966" t="s">
        <v>9309</v>
      </c>
      <c r="N2966" t="s">
        <v>278</v>
      </c>
      <c r="O2966" t="s">
        <v>134</v>
      </c>
      <c r="P2966" t="s">
        <v>782</v>
      </c>
      <c r="Q2966">
        <v>-38</v>
      </c>
      <c r="R2966">
        <v>99.999999000000003</v>
      </c>
    </row>
    <row r="2967" spans="1:18" x14ac:dyDescent="0.2">
      <c r="A2967" t="s">
        <v>270</v>
      </c>
      <c r="B2967" t="s">
        <v>8966</v>
      </c>
      <c r="C2967">
        <v>1</v>
      </c>
      <c r="D2967" s="1">
        <v>44071.915462962963</v>
      </c>
      <c r="E2967" t="s">
        <v>9310</v>
      </c>
      <c r="F2967" t="s">
        <v>273</v>
      </c>
      <c r="G2967" t="s">
        <v>8968</v>
      </c>
      <c r="H2967" t="s">
        <v>275</v>
      </c>
      <c r="I2967" t="s">
        <v>29</v>
      </c>
      <c r="J2967">
        <v>1</v>
      </c>
      <c r="K2967">
        <f>1-888-521-2457</f>
        <v>-3865</v>
      </c>
      <c r="L2967" t="s">
        <v>9311</v>
      </c>
      <c r="M2967" t="s">
        <v>9312</v>
      </c>
      <c r="N2967" t="s">
        <v>278</v>
      </c>
      <c r="O2967" t="s">
        <v>134</v>
      </c>
      <c r="P2967" t="s">
        <v>782</v>
      </c>
      <c r="Q2967">
        <v>-38</v>
      </c>
      <c r="R2967">
        <v>99.999999000000003</v>
      </c>
    </row>
    <row r="2968" spans="1:18" x14ac:dyDescent="0.2">
      <c r="A2968" t="s">
        <v>270</v>
      </c>
      <c r="B2968" t="s">
        <v>8966</v>
      </c>
      <c r="C2968">
        <v>1</v>
      </c>
      <c r="D2968" s="1">
        <v>44071.906261574077</v>
      </c>
      <c r="E2968" t="s">
        <v>9313</v>
      </c>
      <c r="F2968" t="s">
        <v>273</v>
      </c>
      <c r="G2968" t="s">
        <v>8968</v>
      </c>
      <c r="H2968" t="s">
        <v>275</v>
      </c>
      <c r="I2968" t="s">
        <v>29</v>
      </c>
      <c r="J2968">
        <v>1</v>
      </c>
      <c r="K2968">
        <f>1-888-803-850</f>
        <v>-2540</v>
      </c>
      <c r="L2968" t="s">
        <v>9314</v>
      </c>
      <c r="M2968" t="s">
        <v>9315</v>
      </c>
      <c r="N2968" t="s">
        <v>278</v>
      </c>
      <c r="O2968" t="s">
        <v>134</v>
      </c>
      <c r="P2968" t="s">
        <v>782</v>
      </c>
      <c r="Q2968">
        <v>-38</v>
      </c>
      <c r="R2968">
        <v>99.999999000000003</v>
      </c>
    </row>
    <row r="2969" spans="1:18" x14ac:dyDescent="0.2">
      <c r="A2969" t="s">
        <v>270</v>
      </c>
      <c r="B2969" t="s">
        <v>8966</v>
      </c>
      <c r="C2969">
        <v>1</v>
      </c>
      <c r="D2969" s="1">
        <v>44071.906076388892</v>
      </c>
      <c r="E2969" t="s">
        <v>9316</v>
      </c>
      <c r="F2969" t="s">
        <v>273</v>
      </c>
      <c r="G2969" t="s">
        <v>8968</v>
      </c>
      <c r="H2969" t="s">
        <v>275</v>
      </c>
      <c r="I2969" t="s">
        <v>29</v>
      </c>
      <c r="J2969">
        <v>1</v>
      </c>
      <c r="K2969">
        <f>1-888-803-850</f>
        <v>-2540</v>
      </c>
      <c r="L2969" t="s">
        <v>9317</v>
      </c>
      <c r="M2969" t="s">
        <v>9318</v>
      </c>
      <c r="N2969" t="s">
        <v>278</v>
      </c>
      <c r="O2969" t="s">
        <v>134</v>
      </c>
      <c r="P2969" t="s">
        <v>782</v>
      </c>
      <c r="Q2969">
        <v>-38</v>
      </c>
      <c r="R2969">
        <v>99.999999000000003</v>
      </c>
    </row>
    <row r="2970" spans="1:18" x14ac:dyDescent="0.2">
      <c r="A2970" t="s">
        <v>270</v>
      </c>
      <c r="B2970" t="s">
        <v>8966</v>
      </c>
      <c r="C2970">
        <v>1</v>
      </c>
      <c r="D2970" s="1">
        <v>44071.905335648145</v>
      </c>
      <c r="E2970" t="s">
        <v>9319</v>
      </c>
      <c r="F2970" t="s">
        <v>273</v>
      </c>
      <c r="G2970" t="s">
        <v>8968</v>
      </c>
      <c r="H2970" t="s">
        <v>275</v>
      </c>
      <c r="I2970" t="s">
        <v>29</v>
      </c>
      <c r="J2970">
        <v>1</v>
      </c>
      <c r="K2970">
        <f>1-888-803-850</f>
        <v>-2540</v>
      </c>
      <c r="L2970" t="s">
        <v>9320</v>
      </c>
      <c r="M2970" t="s">
        <v>9321</v>
      </c>
      <c r="N2970" t="s">
        <v>278</v>
      </c>
      <c r="O2970" t="s">
        <v>134</v>
      </c>
      <c r="P2970" t="s">
        <v>782</v>
      </c>
      <c r="Q2970">
        <v>-38</v>
      </c>
      <c r="R2970">
        <v>99.999999000000003</v>
      </c>
    </row>
    <row r="2971" spans="1:18" x14ac:dyDescent="0.2">
      <c r="A2971" t="s">
        <v>270</v>
      </c>
      <c r="B2971" t="s">
        <v>8966</v>
      </c>
      <c r="C2971">
        <v>1</v>
      </c>
      <c r="D2971" s="1">
        <v>44071.888842592591</v>
      </c>
      <c r="E2971" t="s">
        <v>9322</v>
      </c>
      <c r="F2971" t="s">
        <v>273</v>
      </c>
      <c r="G2971" t="s">
        <v>8968</v>
      </c>
      <c r="H2971" t="s">
        <v>275</v>
      </c>
      <c r="I2971" t="s">
        <v>29</v>
      </c>
      <c r="J2971">
        <v>1</v>
      </c>
      <c r="K2971">
        <f>1-888-312-1430</f>
        <v>-2629</v>
      </c>
      <c r="L2971" t="s">
        <v>9323</v>
      </c>
      <c r="M2971" t="s">
        <v>9324</v>
      </c>
      <c r="N2971" t="s">
        <v>278</v>
      </c>
      <c r="O2971" t="s">
        <v>134</v>
      </c>
      <c r="P2971" t="s">
        <v>782</v>
      </c>
      <c r="Q2971">
        <v>-38</v>
      </c>
      <c r="R2971">
        <v>99.999999000000003</v>
      </c>
    </row>
    <row r="2972" spans="1:18" x14ac:dyDescent="0.2">
      <c r="A2972" t="s">
        <v>270</v>
      </c>
      <c r="B2972" t="s">
        <v>8966</v>
      </c>
      <c r="C2972">
        <v>1</v>
      </c>
      <c r="D2972" s="1">
        <v>44071.833229166667</v>
      </c>
      <c r="E2972" t="s">
        <v>9325</v>
      </c>
      <c r="F2972" t="s">
        <v>273</v>
      </c>
      <c r="G2972" t="s">
        <v>8968</v>
      </c>
      <c r="H2972" t="s">
        <v>275</v>
      </c>
      <c r="I2972" t="s">
        <v>29</v>
      </c>
      <c r="J2972">
        <v>1</v>
      </c>
      <c r="K2972">
        <f>1-888-607-419</f>
        <v>-1913</v>
      </c>
      <c r="L2972" t="s">
        <v>9326</v>
      </c>
      <c r="M2972" t="s">
        <v>9327</v>
      </c>
      <c r="N2972" t="s">
        <v>278</v>
      </c>
      <c r="O2972" t="s">
        <v>28</v>
      </c>
      <c r="P2972" t="s">
        <v>782</v>
      </c>
      <c r="Q2972">
        <v>-38</v>
      </c>
      <c r="R2972">
        <v>99.999999000000003</v>
      </c>
    </row>
    <row r="2973" spans="1:18" x14ac:dyDescent="0.2">
      <c r="A2973" t="s">
        <v>270</v>
      </c>
      <c r="B2973" t="s">
        <v>8966</v>
      </c>
      <c r="C2973">
        <v>1</v>
      </c>
      <c r="D2973" s="1">
        <v>44071.424907407411</v>
      </c>
      <c r="E2973" t="s">
        <v>9328</v>
      </c>
      <c r="F2973" t="s">
        <v>273</v>
      </c>
      <c r="G2973" t="s">
        <v>8968</v>
      </c>
      <c r="H2973" t="s">
        <v>275</v>
      </c>
      <c r="I2973" t="s">
        <v>29</v>
      </c>
      <c r="J2973">
        <v>1</v>
      </c>
      <c r="K2973">
        <f>1-888-417-4090</f>
        <v>-5394</v>
      </c>
      <c r="L2973" t="s">
        <v>9329</v>
      </c>
      <c r="M2973" t="s">
        <v>9330</v>
      </c>
      <c r="N2973" t="s">
        <v>278</v>
      </c>
      <c r="O2973" t="s">
        <v>134</v>
      </c>
      <c r="P2973" t="s">
        <v>782</v>
      </c>
      <c r="Q2973">
        <v>-38</v>
      </c>
      <c r="R2973">
        <v>99.999999000000003</v>
      </c>
    </row>
    <row r="2974" spans="1:18" x14ac:dyDescent="0.2">
      <c r="A2974" t="s">
        <v>270</v>
      </c>
      <c r="B2974" t="s">
        <v>8966</v>
      </c>
      <c r="C2974">
        <v>1</v>
      </c>
      <c r="D2974" s="1">
        <v>44070.870532407411</v>
      </c>
      <c r="E2974" t="s">
        <v>9331</v>
      </c>
      <c r="F2974" t="s">
        <v>273</v>
      </c>
      <c r="G2974" t="s">
        <v>8968</v>
      </c>
      <c r="H2974" t="s">
        <v>275</v>
      </c>
      <c r="I2974" t="s">
        <v>29</v>
      </c>
      <c r="J2974">
        <v>1</v>
      </c>
      <c r="K2974">
        <f>1-888-597-1445</f>
        <v>-2929</v>
      </c>
      <c r="L2974" t="s">
        <v>9332</v>
      </c>
      <c r="M2974" t="s">
        <v>9333</v>
      </c>
      <c r="N2974" t="s">
        <v>278</v>
      </c>
      <c r="O2974" t="s">
        <v>134</v>
      </c>
      <c r="P2974" t="s">
        <v>782</v>
      </c>
      <c r="Q2974">
        <v>-38</v>
      </c>
      <c r="R2974">
        <v>99.999999000000003</v>
      </c>
    </row>
    <row r="2975" spans="1:18" x14ac:dyDescent="0.2">
      <c r="A2975" t="s">
        <v>270</v>
      </c>
      <c r="B2975" t="s">
        <v>8966</v>
      </c>
      <c r="C2975">
        <v>1</v>
      </c>
      <c r="D2975" s="1">
        <v>44070.613483796296</v>
      </c>
      <c r="E2975" t="s">
        <v>9334</v>
      </c>
      <c r="F2975" t="s">
        <v>273</v>
      </c>
      <c r="G2975" t="s">
        <v>8968</v>
      </c>
      <c r="H2975" t="s">
        <v>275</v>
      </c>
      <c r="I2975" t="s">
        <v>29</v>
      </c>
      <c r="J2975">
        <v>1</v>
      </c>
      <c r="K2975">
        <f>1-888-690-842</f>
        <v>-2419</v>
      </c>
      <c r="L2975" t="s">
        <v>9335</v>
      </c>
      <c r="M2975" t="s">
        <v>9336</v>
      </c>
      <c r="N2975" t="s">
        <v>278</v>
      </c>
      <c r="O2975" t="s">
        <v>134</v>
      </c>
      <c r="P2975" t="s">
        <v>782</v>
      </c>
      <c r="Q2975">
        <v>-38</v>
      </c>
      <c r="R2975">
        <v>99.999999000000003</v>
      </c>
    </row>
    <row r="2976" spans="1:18" x14ac:dyDescent="0.2">
      <c r="A2976" t="s">
        <v>270</v>
      </c>
      <c r="B2976" t="s">
        <v>8966</v>
      </c>
      <c r="C2976">
        <v>1</v>
      </c>
      <c r="D2976" s="1">
        <v>44070.598912037036</v>
      </c>
      <c r="E2976" t="s">
        <v>9337</v>
      </c>
      <c r="F2976" t="s">
        <v>273</v>
      </c>
      <c r="G2976" t="s">
        <v>8968</v>
      </c>
      <c r="H2976" t="s">
        <v>275</v>
      </c>
      <c r="I2976" t="s">
        <v>29</v>
      </c>
      <c r="J2976">
        <v>1</v>
      </c>
      <c r="K2976">
        <f>1-888-530-1472</f>
        <v>-2889</v>
      </c>
      <c r="L2976" t="s">
        <v>9338</v>
      </c>
      <c r="M2976" t="s">
        <v>9339</v>
      </c>
      <c r="N2976" t="s">
        <v>278</v>
      </c>
      <c r="O2976" t="s">
        <v>134</v>
      </c>
      <c r="P2976" t="s">
        <v>782</v>
      </c>
      <c r="Q2976">
        <v>-38</v>
      </c>
      <c r="R2976">
        <v>99.999999000000003</v>
      </c>
    </row>
    <row r="2977" spans="1:18" x14ac:dyDescent="0.2">
      <c r="A2977" t="s">
        <v>270</v>
      </c>
      <c r="B2977" t="s">
        <v>8966</v>
      </c>
      <c r="C2977">
        <v>1</v>
      </c>
      <c r="D2977" s="1">
        <v>44070.593055555553</v>
      </c>
      <c r="E2977" t="s">
        <v>9340</v>
      </c>
      <c r="F2977" t="s">
        <v>273</v>
      </c>
      <c r="G2977" t="s">
        <v>8968</v>
      </c>
      <c r="H2977" t="s">
        <v>275</v>
      </c>
      <c r="I2977" t="s">
        <v>29</v>
      </c>
      <c r="J2977">
        <v>1</v>
      </c>
      <c r="K2977">
        <f>1-866-754-7703</f>
        <v>-9322</v>
      </c>
      <c r="L2977" t="s">
        <v>9341</v>
      </c>
      <c r="M2977" t="s">
        <v>9342</v>
      </c>
      <c r="N2977" t="s">
        <v>278</v>
      </c>
      <c r="O2977" t="s">
        <v>134</v>
      </c>
      <c r="P2977" t="s">
        <v>782</v>
      </c>
      <c r="Q2977">
        <v>-38</v>
      </c>
      <c r="R2977">
        <v>99.999999000000003</v>
      </c>
    </row>
    <row r="2978" spans="1:18" x14ac:dyDescent="0.2">
      <c r="A2978" t="s">
        <v>270</v>
      </c>
      <c r="B2978" t="s">
        <v>8966</v>
      </c>
      <c r="C2978">
        <v>1</v>
      </c>
      <c r="D2978" s="1">
        <v>44070.582974537036</v>
      </c>
      <c r="E2978" t="s">
        <v>9343</v>
      </c>
      <c r="F2978" t="s">
        <v>273</v>
      </c>
      <c r="G2978" t="s">
        <v>8968</v>
      </c>
      <c r="H2978" t="s">
        <v>275</v>
      </c>
      <c r="I2978" t="s">
        <v>29</v>
      </c>
      <c r="J2978">
        <v>1</v>
      </c>
      <c r="K2978">
        <f>1-866-672-9693</f>
        <v>-11230</v>
      </c>
      <c r="L2978" t="s">
        <v>9344</v>
      </c>
      <c r="M2978" t="s">
        <v>9345</v>
      </c>
      <c r="N2978" t="s">
        <v>278</v>
      </c>
      <c r="O2978" t="s">
        <v>134</v>
      </c>
      <c r="P2978" t="s">
        <v>782</v>
      </c>
      <c r="Q2978">
        <v>-38</v>
      </c>
      <c r="R2978">
        <v>99.999999000000003</v>
      </c>
    </row>
    <row r="2979" spans="1:18" x14ac:dyDescent="0.2">
      <c r="A2979" t="s">
        <v>270</v>
      </c>
      <c r="B2979" t="s">
        <v>8966</v>
      </c>
      <c r="C2979">
        <v>1</v>
      </c>
      <c r="D2979" s="1">
        <v>44070.580879629626</v>
      </c>
      <c r="E2979" t="s">
        <v>9346</v>
      </c>
      <c r="F2979" t="s">
        <v>273</v>
      </c>
      <c r="G2979" t="s">
        <v>8968</v>
      </c>
      <c r="H2979" t="s">
        <v>275</v>
      </c>
      <c r="I2979" t="s">
        <v>29</v>
      </c>
      <c r="J2979">
        <v>1</v>
      </c>
      <c r="K2979">
        <f>1-866-746-1819</f>
        <v>-3430</v>
      </c>
      <c r="L2979" t="s">
        <v>9347</v>
      </c>
      <c r="M2979" t="s">
        <v>9348</v>
      </c>
      <c r="N2979" t="s">
        <v>278</v>
      </c>
      <c r="O2979" t="s">
        <v>134</v>
      </c>
      <c r="P2979" t="s">
        <v>782</v>
      </c>
      <c r="Q2979">
        <v>-38</v>
      </c>
      <c r="R2979">
        <v>99.999999000000003</v>
      </c>
    </row>
    <row r="2980" spans="1:18" x14ac:dyDescent="0.2">
      <c r="A2980" t="s">
        <v>270</v>
      </c>
      <c r="B2980" t="s">
        <v>8966</v>
      </c>
      <c r="C2980">
        <v>1</v>
      </c>
      <c r="D2980" s="1">
        <v>44070.576469907406</v>
      </c>
      <c r="E2980" t="s">
        <v>9349</v>
      </c>
      <c r="F2980" t="s">
        <v>273</v>
      </c>
      <c r="G2980" t="s">
        <v>8968</v>
      </c>
      <c r="H2980" t="s">
        <v>275</v>
      </c>
      <c r="I2980" t="s">
        <v>29</v>
      </c>
      <c r="J2980">
        <v>1</v>
      </c>
      <c r="K2980">
        <f>1-866-730-8093</f>
        <v>-9688</v>
      </c>
      <c r="L2980" t="s">
        <v>9350</v>
      </c>
      <c r="M2980" t="s">
        <v>9351</v>
      </c>
      <c r="N2980" t="s">
        <v>278</v>
      </c>
      <c r="O2980" t="s">
        <v>134</v>
      </c>
      <c r="P2980" t="s">
        <v>782</v>
      </c>
      <c r="Q2980">
        <v>-38</v>
      </c>
      <c r="R2980">
        <v>99.999999000000003</v>
      </c>
    </row>
    <row r="2981" spans="1:18" x14ac:dyDescent="0.2">
      <c r="A2981" t="s">
        <v>270</v>
      </c>
      <c r="B2981" t="s">
        <v>8966</v>
      </c>
      <c r="C2981">
        <v>1</v>
      </c>
      <c r="D2981" s="1">
        <v>44068.186631944445</v>
      </c>
      <c r="E2981" t="s">
        <v>9352</v>
      </c>
      <c r="F2981" t="s">
        <v>273</v>
      </c>
      <c r="G2981" t="s">
        <v>8968</v>
      </c>
      <c r="H2981" t="s">
        <v>275</v>
      </c>
      <c r="I2981" t="s">
        <v>29</v>
      </c>
      <c r="J2981">
        <v>1</v>
      </c>
      <c r="K2981">
        <f>1-888-524-3448</f>
        <v>-4859</v>
      </c>
      <c r="L2981" t="s">
        <v>9353</v>
      </c>
      <c r="M2981" t="s">
        <v>9354</v>
      </c>
      <c r="N2981" t="s">
        <v>278</v>
      </c>
      <c r="O2981" t="s">
        <v>134</v>
      </c>
      <c r="P2981" t="s">
        <v>782</v>
      </c>
      <c r="Q2981">
        <v>-38</v>
      </c>
      <c r="R2981">
        <v>99.999999000000003</v>
      </c>
    </row>
    <row r="2982" spans="1:18" x14ac:dyDescent="0.2">
      <c r="A2982" t="s">
        <v>270</v>
      </c>
      <c r="B2982" t="s">
        <v>8966</v>
      </c>
      <c r="C2982">
        <v>1</v>
      </c>
      <c r="D2982" s="1">
        <v>44068.072997685187</v>
      </c>
      <c r="E2982" t="s">
        <v>9355</v>
      </c>
      <c r="F2982" t="s">
        <v>273</v>
      </c>
      <c r="G2982" t="s">
        <v>8968</v>
      </c>
      <c r="H2982" t="s">
        <v>275</v>
      </c>
      <c r="I2982" t="s">
        <v>29</v>
      </c>
      <c r="J2982">
        <v>1</v>
      </c>
      <c r="K2982">
        <f>1-888-851-676</f>
        <v>-2414</v>
      </c>
      <c r="L2982" t="s">
        <v>9356</v>
      </c>
      <c r="M2982" t="s">
        <v>9357</v>
      </c>
      <c r="N2982" t="s">
        <v>278</v>
      </c>
      <c r="O2982" t="s">
        <v>28</v>
      </c>
      <c r="P2982" t="s">
        <v>782</v>
      </c>
      <c r="Q2982">
        <v>-38</v>
      </c>
      <c r="R2982">
        <v>99.999999000000003</v>
      </c>
    </row>
    <row r="2983" spans="1:18" x14ac:dyDescent="0.2">
      <c r="A2983" t="s">
        <v>270</v>
      </c>
      <c r="B2983" t="s">
        <v>8966</v>
      </c>
      <c r="C2983">
        <v>1</v>
      </c>
      <c r="D2983" s="1">
        <v>44068.051724537036</v>
      </c>
      <c r="E2983" t="s">
        <v>9358</v>
      </c>
      <c r="F2983" t="s">
        <v>273</v>
      </c>
      <c r="G2983" t="s">
        <v>8968</v>
      </c>
      <c r="H2983" t="s">
        <v>275</v>
      </c>
      <c r="I2983" t="s">
        <v>29</v>
      </c>
      <c r="J2983">
        <v>1</v>
      </c>
      <c r="K2983">
        <f>1-888-524-5804</f>
        <v>-7215</v>
      </c>
      <c r="L2983" t="s">
        <v>9359</v>
      </c>
      <c r="M2983" t="s">
        <v>9360</v>
      </c>
      <c r="N2983" t="s">
        <v>278</v>
      </c>
      <c r="O2983" t="s">
        <v>28</v>
      </c>
      <c r="P2983" t="s">
        <v>782</v>
      </c>
      <c r="Q2983">
        <v>-38</v>
      </c>
      <c r="R2983">
        <v>99.999999000000003</v>
      </c>
    </row>
    <row r="2984" spans="1:18" x14ac:dyDescent="0.2">
      <c r="A2984" t="s">
        <v>270</v>
      </c>
      <c r="B2984" t="s">
        <v>8966</v>
      </c>
      <c r="C2984">
        <v>1</v>
      </c>
      <c r="D2984" s="1">
        <v>44068.033912037034</v>
      </c>
      <c r="E2984" t="s">
        <v>9361</v>
      </c>
      <c r="F2984" t="s">
        <v>273</v>
      </c>
      <c r="G2984" t="s">
        <v>8968</v>
      </c>
      <c r="H2984" t="s">
        <v>275</v>
      </c>
      <c r="I2984" t="s">
        <v>29</v>
      </c>
      <c r="J2984">
        <v>1</v>
      </c>
      <c r="K2984">
        <f>1-888-965-914</f>
        <v>-2766</v>
      </c>
      <c r="L2984" t="s">
        <v>9362</v>
      </c>
      <c r="M2984" t="s">
        <v>9363</v>
      </c>
      <c r="N2984" t="s">
        <v>278</v>
      </c>
      <c r="O2984" t="s">
        <v>28</v>
      </c>
      <c r="P2984" t="s">
        <v>782</v>
      </c>
      <c r="Q2984">
        <v>-38</v>
      </c>
      <c r="R2984">
        <v>99.999999000000003</v>
      </c>
    </row>
    <row r="2985" spans="1:18" x14ac:dyDescent="0.2">
      <c r="A2985" t="s">
        <v>270</v>
      </c>
      <c r="B2985" t="s">
        <v>8966</v>
      </c>
      <c r="C2985">
        <v>1</v>
      </c>
      <c r="D2985" s="1">
        <v>44068.030555555553</v>
      </c>
      <c r="E2985" t="s">
        <v>9364</v>
      </c>
      <c r="F2985" t="s">
        <v>273</v>
      </c>
      <c r="G2985" t="s">
        <v>8968</v>
      </c>
      <c r="H2985" t="s">
        <v>275</v>
      </c>
      <c r="I2985" t="s">
        <v>29</v>
      </c>
      <c r="J2985">
        <v>1</v>
      </c>
      <c r="K2985">
        <f>1-888-965-777</f>
        <v>-2629</v>
      </c>
      <c r="L2985" t="s">
        <v>9365</v>
      </c>
      <c r="M2985" t="s">
        <v>9366</v>
      </c>
      <c r="N2985" t="s">
        <v>278</v>
      </c>
      <c r="O2985" t="s">
        <v>28</v>
      </c>
      <c r="P2985" t="s">
        <v>782</v>
      </c>
      <c r="Q2985">
        <v>-38</v>
      </c>
      <c r="R2985">
        <v>99.999999000000003</v>
      </c>
    </row>
    <row r="2986" spans="1:18" x14ac:dyDescent="0.2">
      <c r="A2986" t="s">
        <v>270</v>
      </c>
      <c r="B2986" t="s">
        <v>8966</v>
      </c>
      <c r="C2986">
        <v>1</v>
      </c>
      <c r="D2986" s="1">
        <v>44065.895057870373</v>
      </c>
      <c r="E2986" t="s">
        <v>9367</v>
      </c>
      <c r="F2986" t="s">
        <v>273</v>
      </c>
      <c r="G2986" t="s">
        <v>8968</v>
      </c>
      <c r="H2986" t="s">
        <v>275</v>
      </c>
      <c r="I2986" t="s">
        <v>29</v>
      </c>
      <c r="J2986">
        <v>1</v>
      </c>
      <c r="K2986">
        <f>1-888-686-446</f>
        <v>-2019</v>
      </c>
      <c r="L2986" t="s">
        <v>9368</v>
      </c>
      <c r="M2986" t="s">
        <v>9369</v>
      </c>
      <c r="N2986" t="s">
        <v>278</v>
      </c>
      <c r="O2986" t="s">
        <v>134</v>
      </c>
      <c r="P2986" t="s">
        <v>782</v>
      </c>
      <c r="Q2986">
        <v>-38</v>
      </c>
      <c r="R2986">
        <v>99.999999000000003</v>
      </c>
    </row>
    <row r="2987" spans="1:18" x14ac:dyDescent="0.2">
      <c r="A2987" t="s">
        <v>270</v>
      </c>
      <c r="B2987" t="s">
        <v>8966</v>
      </c>
      <c r="C2987">
        <v>1</v>
      </c>
      <c r="D2987" s="1">
        <v>44053.305023148147</v>
      </c>
      <c r="E2987" t="s">
        <v>9370</v>
      </c>
      <c r="F2987" t="s">
        <v>273</v>
      </c>
      <c r="G2987" t="s">
        <v>8968</v>
      </c>
      <c r="H2987" t="s">
        <v>275</v>
      </c>
      <c r="I2987" t="s">
        <v>29</v>
      </c>
      <c r="J2987">
        <v>1</v>
      </c>
      <c r="K2987">
        <f>1-866-702-3639</f>
        <v>-5206</v>
      </c>
      <c r="L2987" t="s">
        <v>9371</v>
      </c>
      <c r="M2987" t="s">
        <v>9372</v>
      </c>
      <c r="N2987" t="s">
        <v>278</v>
      </c>
      <c r="O2987" t="s">
        <v>134</v>
      </c>
      <c r="P2987" t="s">
        <v>782</v>
      </c>
      <c r="Q2987">
        <v>-38</v>
      </c>
      <c r="R2987">
        <v>99.999999000000003</v>
      </c>
    </row>
    <row r="2988" spans="1:18" x14ac:dyDescent="0.2">
      <c r="A2988" t="s">
        <v>270</v>
      </c>
      <c r="B2988" t="s">
        <v>8966</v>
      </c>
      <c r="C2988">
        <v>1</v>
      </c>
      <c r="D2988" s="1">
        <v>44053.298483796294</v>
      </c>
      <c r="E2988" t="s">
        <v>9373</v>
      </c>
      <c r="F2988" t="s">
        <v>273</v>
      </c>
      <c r="G2988" t="s">
        <v>8968</v>
      </c>
      <c r="H2988" t="s">
        <v>275</v>
      </c>
      <c r="I2988" t="s">
        <v>29</v>
      </c>
      <c r="J2988">
        <v>1</v>
      </c>
      <c r="K2988">
        <f>1-866-672-9693</f>
        <v>-11230</v>
      </c>
      <c r="L2988" t="s">
        <v>9374</v>
      </c>
      <c r="M2988" t="s">
        <v>9375</v>
      </c>
      <c r="N2988" t="s">
        <v>278</v>
      </c>
      <c r="O2988" t="s">
        <v>134</v>
      </c>
      <c r="P2988" t="s">
        <v>782</v>
      </c>
      <c r="Q2988">
        <v>-38</v>
      </c>
      <c r="R2988">
        <v>99.999999000000003</v>
      </c>
    </row>
    <row r="2989" spans="1:18" x14ac:dyDescent="0.2">
      <c r="A2989" t="s">
        <v>270</v>
      </c>
      <c r="B2989" t="s">
        <v>8966</v>
      </c>
      <c r="C2989">
        <v>1</v>
      </c>
      <c r="D2989" s="1">
        <v>44053.290729166663</v>
      </c>
      <c r="E2989" t="s">
        <v>9376</v>
      </c>
      <c r="F2989" t="s">
        <v>273</v>
      </c>
      <c r="G2989" t="s">
        <v>8968</v>
      </c>
      <c r="H2989" t="s">
        <v>275</v>
      </c>
      <c r="I2989" t="s">
        <v>29</v>
      </c>
      <c r="J2989">
        <v>1</v>
      </c>
      <c r="K2989">
        <f>1-888-524-5804</f>
        <v>-7215</v>
      </c>
      <c r="L2989" t="s">
        <v>9377</v>
      </c>
      <c r="M2989" t="s">
        <v>9378</v>
      </c>
      <c r="N2989" t="s">
        <v>278</v>
      </c>
      <c r="O2989" t="s">
        <v>134</v>
      </c>
      <c r="P2989" t="s">
        <v>782</v>
      </c>
      <c r="Q2989">
        <v>-38</v>
      </c>
      <c r="R2989">
        <v>99.999999000000003</v>
      </c>
    </row>
    <row r="2990" spans="1:18" x14ac:dyDescent="0.2">
      <c r="A2990" t="s">
        <v>270</v>
      </c>
      <c r="B2990" t="s">
        <v>8966</v>
      </c>
      <c r="C2990">
        <v>1</v>
      </c>
      <c r="D2990" s="1">
        <v>44041.700706018521</v>
      </c>
      <c r="E2990" t="s">
        <v>9379</v>
      </c>
      <c r="F2990" t="s">
        <v>273</v>
      </c>
      <c r="G2990" t="s">
        <v>8968</v>
      </c>
      <c r="H2990" t="s">
        <v>275</v>
      </c>
      <c r="I2990" t="s">
        <v>29</v>
      </c>
      <c r="J2990">
        <v>1</v>
      </c>
      <c r="K2990">
        <f>1-888-537-9622</f>
        <v>-11046</v>
      </c>
      <c r="L2990" t="s">
        <v>9380</v>
      </c>
      <c r="M2990" t="s">
        <v>9381</v>
      </c>
      <c r="N2990" t="s">
        <v>278</v>
      </c>
      <c r="O2990" t="s">
        <v>134</v>
      </c>
      <c r="P2990" t="s">
        <v>782</v>
      </c>
      <c r="Q2990">
        <v>-38</v>
      </c>
      <c r="R2990">
        <v>99.999999000000003</v>
      </c>
    </row>
    <row r="2991" spans="1:18" x14ac:dyDescent="0.2">
      <c r="A2991" t="s">
        <v>270</v>
      </c>
      <c r="B2991" t="s">
        <v>8966</v>
      </c>
      <c r="C2991">
        <v>1</v>
      </c>
      <c r="D2991" s="1">
        <v>44031.758148148147</v>
      </c>
      <c r="E2991" t="s">
        <v>9382</v>
      </c>
      <c r="F2991" t="s">
        <v>273</v>
      </c>
      <c r="G2991" t="s">
        <v>8968</v>
      </c>
      <c r="H2991" t="s">
        <v>275</v>
      </c>
      <c r="I2991" t="s">
        <v>29</v>
      </c>
      <c r="J2991">
        <v>1</v>
      </c>
      <c r="K2991">
        <f>1-866-755-2213</f>
        <v>-3833</v>
      </c>
      <c r="L2991" t="s">
        <v>9383</v>
      </c>
      <c r="M2991" t="s">
        <v>9384</v>
      </c>
      <c r="N2991" t="s">
        <v>278</v>
      </c>
      <c r="O2991" t="s">
        <v>134</v>
      </c>
      <c r="P2991" t="s">
        <v>782</v>
      </c>
      <c r="Q2991">
        <v>-38</v>
      </c>
      <c r="R2991">
        <v>99.999999000000003</v>
      </c>
    </row>
    <row r="2992" spans="1:18" x14ac:dyDescent="0.2">
      <c r="A2992" t="s">
        <v>270</v>
      </c>
      <c r="B2992" t="s">
        <v>4321</v>
      </c>
      <c r="C2992">
        <v>1</v>
      </c>
      <c r="D2992" s="1">
        <v>44078.853078703702</v>
      </c>
      <c r="E2992" t="s">
        <v>9385</v>
      </c>
      <c r="F2992" t="s">
        <v>273</v>
      </c>
      <c r="G2992" t="s">
        <v>9386</v>
      </c>
      <c r="H2992" t="s">
        <v>275</v>
      </c>
      <c r="I2992" t="s">
        <v>29</v>
      </c>
      <c r="J2992">
        <v>1</v>
      </c>
      <c r="K2992">
        <f>1-866-591-3044</f>
        <v>-4500</v>
      </c>
      <c r="L2992" t="s">
        <v>9387</v>
      </c>
      <c r="M2992" t="s">
        <v>9388</v>
      </c>
      <c r="N2992" t="s">
        <v>278</v>
      </c>
      <c r="O2992" t="s">
        <v>134</v>
      </c>
      <c r="P2992" t="s">
        <v>29</v>
      </c>
      <c r="Q2992">
        <v>42</v>
      </c>
      <c r="R2992">
        <v>-87.627799999999993</v>
      </c>
    </row>
    <row r="2993" spans="1:18" x14ac:dyDescent="0.2">
      <c r="A2993" t="s">
        <v>270</v>
      </c>
      <c r="B2993" t="s">
        <v>4321</v>
      </c>
      <c r="C2993">
        <v>1</v>
      </c>
      <c r="D2993" s="1">
        <v>44078.851990740739</v>
      </c>
      <c r="E2993" t="s">
        <v>9389</v>
      </c>
      <c r="F2993" t="s">
        <v>273</v>
      </c>
      <c r="G2993" t="s">
        <v>9386</v>
      </c>
      <c r="H2993" t="s">
        <v>275</v>
      </c>
      <c r="I2993" t="s">
        <v>29</v>
      </c>
      <c r="J2993">
        <v>1</v>
      </c>
      <c r="K2993">
        <f>1-866-754-7703</f>
        <v>-9322</v>
      </c>
      <c r="L2993" t="s">
        <v>9390</v>
      </c>
      <c r="M2993" t="s">
        <v>9391</v>
      </c>
      <c r="N2993" t="s">
        <v>278</v>
      </c>
      <c r="O2993" t="s">
        <v>134</v>
      </c>
      <c r="P2993" t="s">
        <v>29</v>
      </c>
      <c r="Q2993">
        <v>42</v>
      </c>
      <c r="R2993">
        <v>-87.627799999999993</v>
      </c>
    </row>
    <row r="2994" spans="1:18" x14ac:dyDescent="0.2">
      <c r="A2994" t="s">
        <v>270</v>
      </c>
      <c r="B2994" t="s">
        <v>4321</v>
      </c>
      <c r="C2994">
        <v>1</v>
      </c>
      <c r="D2994" s="1">
        <v>44078.847719907404</v>
      </c>
      <c r="E2994" t="s">
        <v>9392</v>
      </c>
      <c r="F2994" t="s">
        <v>273</v>
      </c>
      <c r="G2994" t="s">
        <v>9386</v>
      </c>
      <c r="H2994" t="s">
        <v>275</v>
      </c>
      <c r="I2994" t="s">
        <v>29</v>
      </c>
      <c r="J2994">
        <v>1</v>
      </c>
      <c r="K2994">
        <f>1-866-674-6552</f>
        <v>-8091</v>
      </c>
      <c r="L2994" t="s">
        <v>9393</v>
      </c>
      <c r="M2994" t="s">
        <v>9394</v>
      </c>
      <c r="N2994" t="s">
        <v>278</v>
      </c>
      <c r="O2994" t="s">
        <v>134</v>
      </c>
      <c r="P2994" t="s">
        <v>29</v>
      </c>
      <c r="Q2994">
        <v>42</v>
      </c>
      <c r="R2994">
        <v>-87.627799999999993</v>
      </c>
    </row>
    <row r="2995" spans="1:18" x14ac:dyDescent="0.2">
      <c r="A2995" t="s">
        <v>270</v>
      </c>
      <c r="B2995" t="s">
        <v>4321</v>
      </c>
      <c r="C2995">
        <v>1</v>
      </c>
      <c r="D2995" s="1">
        <v>44073.944178240738</v>
      </c>
      <c r="E2995" t="s">
        <v>9395</v>
      </c>
      <c r="F2995" t="s">
        <v>273</v>
      </c>
      <c r="G2995" t="s">
        <v>9386</v>
      </c>
      <c r="H2995" t="s">
        <v>275</v>
      </c>
      <c r="I2995" t="s">
        <v>29</v>
      </c>
      <c r="J2995">
        <v>1</v>
      </c>
      <c r="K2995">
        <f>1-888-417-4066</f>
        <v>-5370</v>
      </c>
      <c r="L2995" t="s">
        <v>9396</v>
      </c>
      <c r="M2995" t="s">
        <v>9397</v>
      </c>
      <c r="N2995" t="s">
        <v>278</v>
      </c>
      <c r="O2995" t="s">
        <v>134</v>
      </c>
      <c r="P2995" t="s">
        <v>29</v>
      </c>
      <c r="Q2995">
        <v>42</v>
      </c>
      <c r="R2995">
        <v>-87.627799999999993</v>
      </c>
    </row>
    <row r="2996" spans="1:18" x14ac:dyDescent="0.2">
      <c r="A2996" t="s">
        <v>270</v>
      </c>
      <c r="B2996" t="s">
        <v>4321</v>
      </c>
      <c r="C2996">
        <v>1</v>
      </c>
      <c r="D2996" s="1">
        <v>44073.941388888888</v>
      </c>
      <c r="E2996" t="s">
        <v>9398</v>
      </c>
      <c r="F2996" t="s">
        <v>273</v>
      </c>
      <c r="G2996" t="s">
        <v>9386</v>
      </c>
      <c r="H2996" t="s">
        <v>275</v>
      </c>
      <c r="I2996" t="s">
        <v>29</v>
      </c>
      <c r="J2996">
        <v>1</v>
      </c>
      <c r="K2996">
        <f>1-888-312-1413</f>
        <v>-2612</v>
      </c>
      <c r="L2996" t="s">
        <v>9399</v>
      </c>
      <c r="M2996" t="s">
        <v>9400</v>
      </c>
      <c r="N2996" t="s">
        <v>278</v>
      </c>
      <c r="O2996" t="s">
        <v>134</v>
      </c>
      <c r="P2996" t="s">
        <v>29</v>
      </c>
      <c r="Q2996">
        <v>42</v>
      </c>
      <c r="R2996">
        <v>-87.627799999999993</v>
      </c>
    </row>
    <row r="2997" spans="1:18" x14ac:dyDescent="0.2">
      <c r="A2997" t="s">
        <v>270</v>
      </c>
      <c r="B2997" t="s">
        <v>4321</v>
      </c>
      <c r="C2997">
        <v>1</v>
      </c>
      <c r="D2997" s="1">
        <v>44073.939699074072</v>
      </c>
      <c r="E2997" t="s">
        <v>9401</v>
      </c>
      <c r="F2997" t="s">
        <v>273</v>
      </c>
      <c r="G2997" t="s">
        <v>9386</v>
      </c>
      <c r="H2997" t="s">
        <v>275</v>
      </c>
      <c r="I2997" t="s">
        <v>29</v>
      </c>
      <c r="J2997">
        <v>1</v>
      </c>
      <c r="K2997">
        <f>1-888-291-215</f>
        <v>-1393</v>
      </c>
      <c r="L2997" t="s">
        <v>9402</v>
      </c>
      <c r="M2997" t="s">
        <v>9403</v>
      </c>
      <c r="N2997" t="s">
        <v>278</v>
      </c>
      <c r="O2997" t="s">
        <v>134</v>
      </c>
      <c r="P2997" t="s">
        <v>29</v>
      </c>
      <c r="Q2997">
        <v>42</v>
      </c>
      <c r="R2997">
        <v>-87.627799999999993</v>
      </c>
    </row>
    <row r="2998" spans="1:18" x14ac:dyDescent="0.2">
      <c r="A2998" t="s">
        <v>270</v>
      </c>
      <c r="B2998" t="s">
        <v>4321</v>
      </c>
      <c r="C2998">
        <v>1</v>
      </c>
      <c r="D2998" s="1">
        <v>44073.929328703707</v>
      </c>
      <c r="E2998" t="s">
        <v>9404</v>
      </c>
      <c r="F2998" t="s">
        <v>273</v>
      </c>
      <c r="G2998" t="s">
        <v>9386</v>
      </c>
      <c r="H2998" t="s">
        <v>275</v>
      </c>
      <c r="I2998" t="s">
        <v>29</v>
      </c>
      <c r="J2998">
        <v>1</v>
      </c>
      <c r="K2998">
        <f>1-888-526-3661</f>
        <v>-5074</v>
      </c>
      <c r="L2998" t="s">
        <v>9405</v>
      </c>
      <c r="M2998" t="s">
        <v>9406</v>
      </c>
      <c r="N2998" t="s">
        <v>278</v>
      </c>
      <c r="O2998" t="s">
        <v>134</v>
      </c>
      <c r="P2998" t="s">
        <v>29</v>
      </c>
      <c r="Q2998">
        <v>42</v>
      </c>
      <c r="R2998">
        <v>-87.627799999999993</v>
      </c>
    </row>
    <row r="2999" spans="1:18" x14ac:dyDescent="0.2">
      <c r="A2999" t="s">
        <v>270</v>
      </c>
      <c r="B2999" t="s">
        <v>4321</v>
      </c>
      <c r="C2999">
        <v>1</v>
      </c>
      <c r="D2999" s="1">
        <v>44071.906886574077</v>
      </c>
      <c r="E2999" t="s">
        <v>9407</v>
      </c>
      <c r="F2999" t="s">
        <v>273</v>
      </c>
      <c r="G2999" t="s">
        <v>9386</v>
      </c>
      <c r="H2999" t="s">
        <v>275</v>
      </c>
      <c r="I2999" t="s">
        <v>29</v>
      </c>
      <c r="J2999">
        <v>1</v>
      </c>
      <c r="K2999">
        <f>1-888-708-1143</f>
        <v>-2738</v>
      </c>
      <c r="L2999" t="s">
        <v>9408</v>
      </c>
      <c r="M2999" t="s">
        <v>9409</v>
      </c>
      <c r="N2999" t="s">
        <v>278</v>
      </c>
      <c r="O2999" t="s">
        <v>134</v>
      </c>
      <c r="P2999" t="s">
        <v>29</v>
      </c>
      <c r="Q2999">
        <v>42</v>
      </c>
      <c r="R2999">
        <v>-87.627799999999993</v>
      </c>
    </row>
    <row r="3000" spans="1:18" x14ac:dyDescent="0.2">
      <c r="A3000" t="s">
        <v>270</v>
      </c>
      <c r="B3000" t="s">
        <v>4321</v>
      </c>
      <c r="C3000">
        <v>1</v>
      </c>
      <c r="D3000" s="1">
        <v>44071.41747685185</v>
      </c>
      <c r="E3000" t="s">
        <v>9410</v>
      </c>
      <c r="F3000" t="s">
        <v>273</v>
      </c>
      <c r="G3000" t="s">
        <v>9386</v>
      </c>
      <c r="H3000" t="s">
        <v>275</v>
      </c>
      <c r="I3000" t="s">
        <v>29</v>
      </c>
      <c r="J3000">
        <v>1</v>
      </c>
      <c r="K3000">
        <f>1-888-304-1408</f>
        <v>-2599</v>
      </c>
      <c r="L3000" t="s">
        <v>9411</v>
      </c>
      <c r="M3000" t="s">
        <v>9412</v>
      </c>
      <c r="N3000" t="s">
        <v>278</v>
      </c>
      <c r="O3000" t="s">
        <v>134</v>
      </c>
      <c r="P3000" t="s">
        <v>29</v>
      </c>
      <c r="Q3000">
        <v>42</v>
      </c>
      <c r="R3000">
        <v>-87.627799999999993</v>
      </c>
    </row>
    <row r="3001" spans="1:18" x14ac:dyDescent="0.2">
      <c r="A3001" t="s">
        <v>270</v>
      </c>
      <c r="B3001" t="s">
        <v>4321</v>
      </c>
      <c r="C3001">
        <v>1</v>
      </c>
      <c r="D3001" s="1">
        <v>44071.417326388888</v>
      </c>
      <c r="E3001" t="s">
        <v>9413</v>
      </c>
      <c r="F3001" t="s">
        <v>273</v>
      </c>
      <c r="G3001" t="s">
        <v>9386</v>
      </c>
      <c r="H3001" t="s">
        <v>275</v>
      </c>
      <c r="I3001" t="s">
        <v>29</v>
      </c>
      <c r="J3001">
        <v>1</v>
      </c>
      <c r="K3001">
        <f>1-888-383-569</f>
        <v>-1839</v>
      </c>
      <c r="L3001" t="s">
        <v>9414</v>
      </c>
      <c r="M3001" t="s">
        <v>9415</v>
      </c>
      <c r="N3001" t="s">
        <v>278</v>
      </c>
      <c r="O3001" t="s">
        <v>134</v>
      </c>
      <c r="P3001" t="s">
        <v>29</v>
      </c>
      <c r="Q3001">
        <v>42</v>
      </c>
      <c r="R3001">
        <v>-87.627799999999993</v>
      </c>
    </row>
    <row r="3002" spans="1:18" x14ac:dyDescent="0.2">
      <c r="A3002" t="s">
        <v>270</v>
      </c>
      <c r="B3002" t="s">
        <v>4321</v>
      </c>
      <c r="C3002">
        <v>1</v>
      </c>
      <c r="D3002" s="1">
        <v>44070.58253472222</v>
      </c>
      <c r="E3002" t="s">
        <v>9416</v>
      </c>
      <c r="F3002" t="s">
        <v>273</v>
      </c>
      <c r="G3002" t="s">
        <v>9386</v>
      </c>
      <c r="H3002" t="s">
        <v>275</v>
      </c>
      <c r="I3002" t="s">
        <v>29</v>
      </c>
      <c r="J3002">
        <v>1</v>
      </c>
      <c r="K3002">
        <f>1-866-672-9693</f>
        <v>-11230</v>
      </c>
      <c r="L3002" t="s">
        <v>9417</v>
      </c>
      <c r="M3002" t="s">
        <v>9418</v>
      </c>
      <c r="N3002" t="s">
        <v>278</v>
      </c>
      <c r="O3002" t="s">
        <v>134</v>
      </c>
      <c r="P3002" t="s">
        <v>29</v>
      </c>
      <c r="Q3002">
        <v>42</v>
      </c>
      <c r="R3002">
        <v>-87.627799999999993</v>
      </c>
    </row>
    <row r="3003" spans="1:18" x14ac:dyDescent="0.2">
      <c r="A3003" t="s">
        <v>270</v>
      </c>
      <c r="B3003" t="s">
        <v>4321</v>
      </c>
      <c r="C3003">
        <v>1</v>
      </c>
      <c r="D3003" s="1">
        <v>44068.07603009259</v>
      </c>
      <c r="E3003" t="s">
        <v>9419</v>
      </c>
      <c r="F3003" t="s">
        <v>273</v>
      </c>
      <c r="G3003" t="s">
        <v>9386</v>
      </c>
      <c r="H3003" t="s">
        <v>275</v>
      </c>
      <c r="I3003" t="s">
        <v>29</v>
      </c>
      <c r="J3003">
        <v>1</v>
      </c>
      <c r="K3003">
        <f>1-888-597-1530</f>
        <v>-3014</v>
      </c>
      <c r="L3003" t="s">
        <v>9420</v>
      </c>
      <c r="M3003" t="s">
        <v>9421</v>
      </c>
      <c r="N3003" t="s">
        <v>278</v>
      </c>
      <c r="O3003" t="s">
        <v>28</v>
      </c>
      <c r="P3003" t="s">
        <v>29</v>
      </c>
      <c r="Q3003">
        <v>42</v>
      </c>
      <c r="R3003">
        <v>-87.627799999999993</v>
      </c>
    </row>
    <row r="3004" spans="1:18" x14ac:dyDescent="0.2">
      <c r="A3004" t="s">
        <v>270</v>
      </c>
      <c r="B3004" t="s">
        <v>4321</v>
      </c>
      <c r="C3004">
        <v>1</v>
      </c>
      <c r="D3004" s="1">
        <v>44068.072245370371</v>
      </c>
      <c r="E3004" t="s">
        <v>9422</v>
      </c>
      <c r="F3004" t="s">
        <v>273</v>
      </c>
      <c r="G3004" t="s">
        <v>9386</v>
      </c>
      <c r="H3004" t="s">
        <v>275</v>
      </c>
      <c r="I3004" t="s">
        <v>29</v>
      </c>
      <c r="J3004">
        <v>1</v>
      </c>
      <c r="K3004">
        <f>1-888-291-57</f>
        <v>-1235</v>
      </c>
      <c r="L3004" t="s">
        <v>9423</v>
      </c>
      <c r="M3004" t="s">
        <v>9424</v>
      </c>
      <c r="N3004" t="s">
        <v>278</v>
      </c>
      <c r="O3004" t="s">
        <v>28</v>
      </c>
      <c r="P3004" t="s">
        <v>29</v>
      </c>
      <c r="Q3004">
        <v>42</v>
      </c>
      <c r="R3004">
        <v>-87.627799999999993</v>
      </c>
    </row>
    <row r="3005" spans="1:18" x14ac:dyDescent="0.2">
      <c r="A3005" t="s">
        <v>270</v>
      </c>
      <c r="B3005" t="s">
        <v>4321</v>
      </c>
      <c r="C3005">
        <v>1</v>
      </c>
      <c r="D3005" s="1">
        <v>44068.051087962966</v>
      </c>
      <c r="E3005" t="s">
        <v>9425</v>
      </c>
      <c r="F3005" t="s">
        <v>273</v>
      </c>
      <c r="G3005" t="s">
        <v>9386</v>
      </c>
      <c r="H3005" t="s">
        <v>275</v>
      </c>
      <c r="I3005" t="s">
        <v>29</v>
      </c>
      <c r="J3005">
        <v>1</v>
      </c>
      <c r="K3005">
        <f>1-888-524-5804</f>
        <v>-7215</v>
      </c>
      <c r="L3005" t="s">
        <v>9426</v>
      </c>
      <c r="M3005" t="s">
        <v>9427</v>
      </c>
      <c r="N3005" t="s">
        <v>278</v>
      </c>
      <c r="O3005" t="s">
        <v>28</v>
      </c>
      <c r="P3005" t="s">
        <v>29</v>
      </c>
      <c r="Q3005">
        <v>42</v>
      </c>
      <c r="R3005">
        <v>-87.627799999999993</v>
      </c>
    </row>
    <row r="3006" spans="1:18" x14ac:dyDescent="0.2">
      <c r="A3006" t="s">
        <v>270</v>
      </c>
      <c r="B3006" t="s">
        <v>4321</v>
      </c>
      <c r="C3006">
        <v>1</v>
      </c>
      <c r="D3006" s="1">
        <v>44065.89162037037</v>
      </c>
      <c r="E3006" t="s">
        <v>9428</v>
      </c>
      <c r="F3006" t="s">
        <v>273</v>
      </c>
      <c r="G3006" t="s">
        <v>9386</v>
      </c>
      <c r="H3006" t="s">
        <v>275</v>
      </c>
      <c r="I3006" t="s">
        <v>29</v>
      </c>
      <c r="J3006">
        <v>1</v>
      </c>
      <c r="K3006">
        <f>1-888-539-274</f>
        <v>-1700</v>
      </c>
      <c r="L3006" t="s">
        <v>9429</v>
      </c>
      <c r="M3006" t="s">
        <v>9430</v>
      </c>
      <c r="N3006" t="s">
        <v>278</v>
      </c>
      <c r="O3006" t="s">
        <v>134</v>
      </c>
      <c r="P3006" t="s">
        <v>29</v>
      </c>
      <c r="Q3006">
        <v>42</v>
      </c>
      <c r="R3006">
        <v>-87.627799999999993</v>
      </c>
    </row>
    <row r="3007" spans="1:18" x14ac:dyDescent="0.2">
      <c r="A3007" t="s">
        <v>270</v>
      </c>
      <c r="B3007" t="s">
        <v>4321</v>
      </c>
      <c r="C3007">
        <v>1</v>
      </c>
      <c r="D3007" s="1">
        <v>44042.764664351853</v>
      </c>
      <c r="E3007" t="s">
        <v>9431</v>
      </c>
      <c r="F3007" t="s">
        <v>273</v>
      </c>
      <c r="G3007" t="s">
        <v>9386</v>
      </c>
      <c r="H3007" t="s">
        <v>275</v>
      </c>
      <c r="I3007" t="s">
        <v>29</v>
      </c>
      <c r="J3007">
        <v>1</v>
      </c>
      <c r="K3007">
        <f>1-866-735-3054</f>
        <v>-4654</v>
      </c>
      <c r="L3007" t="s">
        <v>9432</v>
      </c>
      <c r="M3007" t="s">
        <v>9433</v>
      </c>
      <c r="N3007" t="s">
        <v>278</v>
      </c>
      <c r="O3007" t="s">
        <v>134</v>
      </c>
      <c r="P3007" t="s">
        <v>29</v>
      </c>
      <c r="Q3007">
        <v>42</v>
      </c>
      <c r="R3007">
        <v>-87.627799999999993</v>
      </c>
    </row>
    <row r="3008" spans="1:18" x14ac:dyDescent="0.2">
      <c r="A3008" t="s">
        <v>270</v>
      </c>
      <c r="B3008" t="s">
        <v>4321</v>
      </c>
      <c r="C3008">
        <v>1</v>
      </c>
      <c r="D3008" s="1">
        <v>44031.759745370371</v>
      </c>
      <c r="E3008" t="s">
        <v>9434</v>
      </c>
      <c r="F3008" t="s">
        <v>273</v>
      </c>
      <c r="G3008" t="s">
        <v>9386</v>
      </c>
      <c r="H3008" t="s">
        <v>275</v>
      </c>
      <c r="I3008" t="s">
        <v>29</v>
      </c>
      <c r="J3008">
        <v>1</v>
      </c>
      <c r="K3008">
        <f>1-866-506-145</f>
        <v>-1516</v>
      </c>
      <c r="L3008" t="s">
        <v>9435</v>
      </c>
      <c r="M3008" t="s">
        <v>9436</v>
      </c>
      <c r="N3008" t="s">
        <v>278</v>
      </c>
      <c r="O3008" t="s">
        <v>134</v>
      </c>
      <c r="P3008" t="s">
        <v>29</v>
      </c>
      <c r="Q3008">
        <v>42</v>
      </c>
      <c r="R3008">
        <v>-87.627799999999993</v>
      </c>
    </row>
    <row r="3009" spans="1:18" x14ac:dyDescent="0.2">
      <c r="A3009" t="s">
        <v>270</v>
      </c>
      <c r="B3009" t="s">
        <v>440</v>
      </c>
      <c r="C3009">
        <v>1</v>
      </c>
      <c r="D3009" s="1">
        <v>44109.912708333337</v>
      </c>
      <c r="E3009" t="s">
        <v>9437</v>
      </c>
      <c r="F3009" t="s">
        <v>273</v>
      </c>
      <c r="G3009" t="s">
        <v>9438</v>
      </c>
      <c r="H3009" t="s">
        <v>275</v>
      </c>
      <c r="I3009" t="s">
        <v>29</v>
      </c>
      <c r="J3009">
        <v>1</v>
      </c>
      <c r="K3009">
        <f>1-888-298-6326</f>
        <v>-7511</v>
      </c>
      <c r="L3009" t="s">
        <v>9439</v>
      </c>
      <c r="M3009" t="s">
        <v>9440</v>
      </c>
      <c r="N3009" t="s">
        <v>278</v>
      </c>
      <c r="O3009" t="s">
        <v>28</v>
      </c>
      <c r="P3009" t="s">
        <v>29</v>
      </c>
      <c r="Q3009">
        <v>39</v>
      </c>
      <c r="R3009">
        <v>-77.487399999999994</v>
      </c>
    </row>
    <row r="3010" spans="1:18" x14ac:dyDescent="0.2">
      <c r="A3010" t="s">
        <v>270</v>
      </c>
      <c r="B3010" t="s">
        <v>440</v>
      </c>
      <c r="C3010">
        <v>1</v>
      </c>
      <c r="D3010" s="1">
        <v>44104.933657407404</v>
      </c>
      <c r="E3010" t="s">
        <v>9441</v>
      </c>
      <c r="F3010" t="s">
        <v>273</v>
      </c>
      <c r="G3010" t="s">
        <v>9438</v>
      </c>
      <c r="H3010" t="s">
        <v>275</v>
      </c>
      <c r="I3010" t="s">
        <v>29</v>
      </c>
      <c r="J3010">
        <v>1</v>
      </c>
      <c r="K3010">
        <f>1-888-210-3270</f>
        <v>-4367</v>
      </c>
      <c r="L3010" t="s">
        <v>9442</v>
      </c>
      <c r="M3010" t="s">
        <v>9443</v>
      </c>
      <c r="N3010" t="s">
        <v>278</v>
      </c>
      <c r="O3010" t="s">
        <v>134</v>
      </c>
      <c r="P3010" t="s">
        <v>29</v>
      </c>
      <c r="Q3010">
        <v>39</v>
      </c>
      <c r="R3010">
        <v>-77.487399999999994</v>
      </c>
    </row>
    <row r="3011" spans="1:18" x14ac:dyDescent="0.2">
      <c r="A3011" t="s">
        <v>270</v>
      </c>
      <c r="B3011" t="s">
        <v>440</v>
      </c>
      <c r="C3011">
        <v>1</v>
      </c>
      <c r="D3011" s="1">
        <v>44098.766122685185</v>
      </c>
      <c r="E3011" t="s">
        <v>1958</v>
      </c>
      <c r="F3011" t="s">
        <v>273</v>
      </c>
      <c r="G3011" t="s">
        <v>9438</v>
      </c>
      <c r="H3011" t="s">
        <v>275</v>
      </c>
      <c r="I3011" t="s">
        <v>29</v>
      </c>
      <c r="J3011">
        <v>1</v>
      </c>
      <c r="K3011">
        <f>1-888-264-344</f>
        <v>-1495</v>
      </c>
      <c r="L3011" t="s">
        <v>9444</v>
      </c>
      <c r="M3011" t="s">
        <v>9445</v>
      </c>
      <c r="N3011" t="s">
        <v>278</v>
      </c>
      <c r="O3011" t="s">
        <v>28</v>
      </c>
      <c r="P3011" t="s">
        <v>29</v>
      </c>
      <c r="Q3011">
        <v>39</v>
      </c>
      <c r="R3011">
        <v>-77.487399999999994</v>
      </c>
    </row>
    <row r="3012" spans="1:18" x14ac:dyDescent="0.2">
      <c r="A3012" t="s">
        <v>270</v>
      </c>
      <c r="B3012" t="s">
        <v>440</v>
      </c>
      <c r="C3012">
        <v>1</v>
      </c>
      <c r="D3012" s="1">
        <v>44097.811956018515</v>
      </c>
      <c r="E3012" t="s">
        <v>9446</v>
      </c>
      <c r="F3012" t="s">
        <v>273</v>
      </c>
      <c r="G3012" t="s">
        <v>9438</v>
      </c>
      <c r="H3012" t="s">
        <v>275</v>
      </c>
      <c r="I3012" t="s">
        <v>29</v>
      </c>
      <c r="J3012">
        <v>1</v>
      </c>
      <c r="K3012">
        <f>1-888-233-5826</f>
        <v>-6946</v>
      </c>
      <c r="L3012" t="s">
        <v>9447</v>
      </c>
      <c r="M3012" t="s">
        <v>9448</v>
      </c>
      <c r="N3012" t="s">
        <v>278</v>
      </c>
      <c r="O3012" t="s">
        <v>28</v>
      </c>
      <c r="P3012" t="s">
        <v>29</v>
      </c>
      <c r="Q3012">
        <v>39</v>
      </c>
      <c r="R3012">
        <v>-77.487399999999994</v>
      </c>
    </row>
    <row r="3013" spans="1:18" x14ac:dyDescent="0.2">
      <c r="A3013" t="s">
        <v>270</v>
      </c>
      <c r="B3013" t="s">
        <v>440</v>
      </c>
      <c r="C3013">
        <v>1</v>
      </c>
      <c r="D3013" s="1">
        <v>44096.368761574071</v>
      </c>
      <c r="E3013" t="s">
        <v>9449</v>
      </c>
      <c r="F3013" t="s">
        <v>273</v>
      </c>
      <c r="G3013" t="s">
        <v>9438</v>
      </c>
      <c r="H3013" t="s">
        <v>275</v>
      </c>
      <c r="I3013" t="s">
        <v>29</v>
      </c>
      <c r="J3013">
        <v>1</v>
      </c>
      <c r="K3013">
        <f>1-844-312-611</f>
        <v>-1766</v>
      </c>
      <c r="L3013" t="s">
        <v>9450</v>
      </c>
      <c r="M3013" t="s">
        <v>9451</v>
      </c>
      <c r="N3013" t="s">
        <v>278</v>
      </c>
      <c r="O3013" t="s">
        <v>28</v>
      </c>
      <c r="P3013" t="s">
        <v>29</v>
      </c>
      <c r="Q3013">
        <v>39</v>
      </c>
      <c r="R3013">
        <v>-77.487399999999994</v>
      </c>
    </row>
    <row r="3014" spans="1:18" x14ac:dyDescent="0.2">
      <c r="A3014" t="s">
        <v>270</v>
      </c>
      <c r="B3014" t="s">
        <v>440</v>
      </c>
      <c r="C3014">
        <v>1</v>
      </c>
      <c r="D3014" s="1">
        <v>44096.36613425926</v>
      </c>
      <c r="E3014" t="s">
        <v>9452</v>
      </c>
      <c r="F3014" t="s">
        <v>273</v>
      </c>
      <c r="G3014" t="s">
        <v>9438</v>
      </c>
      <c r="H3014" t="s">
        <v>275</v>
      </c>
      <c r="I3014" t="s">
        <v>29</v>
      </c>
      <c r="J3014">
        <v>1</v>
      </c>
      <c r="K3014">
        <f>1-844-318-5957</f>
        <v>-7118</v>
      </c>
      <c r="L3014" t="s">
        <v>9453</v>
      </c>
      <c r="M3014" t="s">
        <v>9454</v>
      </c>
      <c r="N3014" t="s">
        <v>278</v>
      </c>
      <c r="O3014" t="s">
        <v>28</v>
      </c>
      <c r="P3014" t="s">
        <v>29</v>
      </c>
      <c r="Q3014">
        <v>39</v>
      </c>
      <c r="R3014">
        <v>-77.487399999999994</v>
      </c>
    </row>
    <row r="3015" spans="1:18" x14ac:dyDescent="0.2">
      <c r="A3015" t="s">
        <v>270</v>
      </c>
      <c r="B3015" t="s">
        <v>440</v>
      </c>
      <c r="C3015">
        <v>1</v>
      </c>
      <c r="D3015" s="1">
        <v>44095.78597222222</v>
      </c>
      <c r="E3015" t="s">
        <v>9455</v>
      </c>
      <c r="F3015" t="s">
        <v>273</v>
      </c>
      <c r="G3015" t="s">
        <v>9438</v>
      </c>
      <c r="H3015" t="s">
        <v>275</v>
      </c>
      <c r="I3015" t="s">
        <v>29</v>
      </c>
      <c r="J3015">
        <v>1</v>
      </c>
      <c r="K3015">
        <f>1-844-316-9077</f>
        <v>-10236</v>
      </c>
      <c r="L3015" t="s">
        <v>9456</v>
      </c>
      <c r="M3015" t="s">
        <v>9457</v>
      </c>
      <c r="N3015" t="s">
        <v>278</v>
      </c>
      <c r="O3015" t="s">
        <v>28</v>
      </c>
      <c r="P3015" t="s">
        <v>29</v>
      </c>
      <c r="Q3015">
        <v>39</v>
      </c>
      <c r="R3015">
        <v>-77.487399999999994</v>
      </c>
    </row>
    <row r="3016" spans="1:18" x14ac:dyDescent="0.2">
      <c r="A3016" t="s">
        <v>270</v>
      </c>
      <c r="B3016" t="s">
        <v>440</v>
      </c>
      <c r="C3016">
        <v>1</v>
      </c>
      <c r="D3016" s="1">
        <v>44095.784548611111</v>
      </c>
      <c r="E3016" t="s">
        <v>9458</v>
      </c>
      <c r="F3016" t="s">
        <v>273</v>
      </c>
      <c r="G3016" t="s">
        <v>9438</v>
      </c>
      <c r="H3016" t="s">
        <v>275</v>
      </c>
      <c r="I3016" t="s">
        <v>29</v>
      </c>
      <c r="J3016">
        <v>1</v>
      </c>
      <c r="K3016">
        <f>1-844-301-8222</f>
        <v>-9366</v>
      </c>
      <c r="L3016" t="s">
        <v>9459</v>
      </c>
      <c r="M3016" t="s">
        <v>9460</v>
      </c>
      <c r="N3016" t="s">
        <v>278</v>
      </c>
      <c r="O3016" t="s">
        <v>28</v>
      </c>
      <c r="P3016" t="s">
        <v>29</v>
      </c>
      <c r="Q3016">
        <v>39</v>
      </c>
      <c r="R3016">
        <v>-77.487399999999994</v>
      </c>
    </row>
    <row r="3017" spans="1:18" x14ac:dyDescent="0.2">
      <c r="A3017" t="s">
        <v>270</v>
      </c>
      <c r="B3017" t="s">
        <v>440</v>
      </c>
      <c r="C3017">
        <v>1</v>
      </c>
      <c r="D3017" s="1">
        <v>44095.784351851849</v>
      </c>
      <c r="E3017" t="s">
        <v>9461</v>
      </c>
      <c r="F3017" t="s">
        <v>273</v>
      </c>
      <c r="G3017" t="s">
        <v>9438</v>
      </c>
      <c r="H3017" t="s">
        <v>275</v>
      </c>
      <c r="I3017" t="s">
        <v>29</v>
      </c>
      <c r="J3017">
        <v>1</v>
      </c>
      <c r="K3017">
        <f>1-844-288-9111</f>
        <v>-10242</v>
      </c>
      <c r="L3017" t="s">
        <v>9462</v>
      </c>
      <c r="M3017" t="s">
        <v>9463</v>
      </c>
      <c r="N3017" t="s">
        <v>278</v>
      </c>
      <c r="O3017" t="s">
        <v>28</v>
      </c>
      <c r="P3017" t="s">
        <v>29</v>
      </c>
      <c r="Q3017">
        <v>39</v>
      </c>
      <c r="R3017">
        <v>-77.487399999999994</v>
      </c>
    </row>
    <row r="3018" spans="1:18" x14ac:dyDescent="0.2">
      <c r="A3018" t="s">
        <v>270</v>
      </c>
      <c r="B3018" t="s">
        <v>440</v>
      </c>
      <c r="C3018">
        <v>1</v>
      </c>
      <c r="D3018" s="1">
        <v>44090.992199074077</v>
      </c>
      <c r="E3018" t="s">
        <v>9464</v>
      </c>
      <c r="F3018" t="s">
        <v>273</v>
      </c>
      <c r="G3018" t="s">
        <v>9438</v>
      </c>
      <c r="H3018" t="s">
        <v>275</v>
      </c>
      <c r="I3018" t="s">
        <v>29</v>
      </c>
      <c r="J3018">
        <v>1</v>
      </c>
      <c r="K3018">
        <f>1-844-242-3148</f>
        <v>-4233</v>
      </c>
      <c r="L3018" t="s">
        <v>9465</v>
      </c>
      <c r="M3018" t="s">
        <v>9466</v>
      </c>
      <c r="N3018" t="s">
        <v>278</v>
      </c>
      <c r="O3018" t="s">
        <v>28</v>
      </c>
      <c r="P3018" t="s">
        <v>29</v>
      </c>
      <c r="Q3018">
        <v>39</v>
      </c>
      <c r="R3018">
        <v>-77.487399999999994</v>
      </c>
    </row>
    <row r="3019" spans="1:18" x14ac:dyDescent="0.2">
      <c r="A3019" t="s">
        <v>270</v>
      </c>
      <c r="B3019" t="s">
        <v>440</v>
      </c>
      <c r="C3019">
        <v>1</v>
      </c>
      <c r="D3019" s="1">
        <v>44090.991562499999</v>
      </c>
      <c r="E3019" t="s">
        <v>9467</v>
      </c>
      <c r="F3019" t="s">
        <v>273</v>
      </c>
      <c r="G3019" t="s">
        <v>9438</v>
      </c>
      <c r="H3019" t="s">
        <v>275</v>
      </c>
      <c r="I3019" t="s">
        <v>29</v>
      </c>
      <c r="J3019">
        <v>1</v>
      </c>
      <c r="K3019">
        <f>1-844-242-3148</f>
        <v>-4233</v>
      </c>
      <c r="L3019" t="s">
        <v>9468</v>
      </c>
      <c r="M3019" t="s">
        <v>9469</v>
      </c>
      <c r="N3019" t="s">
        <v>278</v>
      </c>
      <c r="O3019" t="s">
        <v>28</v>
      </c>
      <c r="P3019" t="s">
        <v>29</v>
      </c>
      <c r="Q3019">
        <v>39</v>
      </c>
      <c r="R3019">
        <v>-77.487399999999994</v>
      </c>
    </row>
    <row r="3020" spans="1:18" x14ac:dyDescent="0.2">
      <c r="A3020" t="s">
        <v>270</v>
      </c>
      <c r="B3020" t="s">
        <v>440</v>
      </c>
      <c r="C3020">
        <v>1</v>
      </c>
      <c r="D3020" s="1">
        <v>44090.793009259258</v>
      </c>
      <c r="E3020" t="s">
        <v>9470</v>
      </c>
      <c r="F3020" t="s">
        <v>273</v>
      </c>
      <c r="G3020" t="s">
        <v>9438</v>
      </c>
      <c r="H3020" t="s">
        <v>275</v>
      </c>
      <c r="I3020" t="s">
        <v>29</v>
      </c>
      <c r="J3020">
        <v>1</v>
      </c>
      <c r="K3020">
        <f>1-844-214-1003</f>
        <v>-2060</v>
      </c>
      <c r="L3020" t="s">
        <v>9471</v>
      </c>
      <c r="M3020" t="s">
        <v>9472</v>
      </c>
      <c r="N3020" t="s">
        <v>278</v>
      </c>
      <c r="O3020" t="s">
        <v>28</v>
      </c>
      <c r="P3020" t="s">
        <v>29</v>
      </c>
      <c r="Q3020">
        <v>39</v>
      </c>
      <c r="R3020">
        <v>-77.487399999999994</v>
      </c>
    </row>
    <row r="3021" spans="1:18" x14ac:dyDescent="0.2">
      <c r="A3021" t="s">
        <v>270</v>
      </c>
      <c r="B3021" t="s">
        <v>440</v>
      </c>
      <c r="C3021">
        <v>1</v>
      </c>
      <c r="D3021" s="1">
        <v>44090.766250000001</v>
      </c>
      <c r="E3021" t="s">
        <v>9473</v>
      </c>
      <c r="F3021" t="s">
        <v>273</v>
      </c>
      <c r="G3021" t="s">
        <v>9438</v>
      </c>
      <c r="H3021" t="s">
        <v>275</v>
      </c>
      <c r="I3021" t="s">
        <v>29</v>
      </c>
      <c r="J3021">
        <v>1</v>
      </c>
      <c r="K3021">
        <f>1-844-243-4064</f>
        <v>-5150</v>
      </c>
      <c r="L3021" t="s">
        <v>9474</v>
      </c>
      <c r="M3021" t="s">
        <v>9475</v>
      </c>
      <c r="N3021" t="s">
        <v>278</v>
      </c>
      <c r="O3021" t="s">
        <v>28</v>
      </c>
      <c r="P3021" t="s">
        <v>29</v>
      </c>
      <c r="Q3021">
        <v>39</v>
      </c>
      <c r="R3021">
        <v>-77.487399999999994</v>
      </c>
    </row>
    <row r="3022" spans="1:18" x14ac:dyDescent="0.2">
      <c r="A3022" t="s">
        <v>270</v>
      </c>
      <c r="B3022" t="s">
        <v>440</v>
      </c>
      <c r="C3022">
        <v>1</v>
      </c>
      <c r="D3022" s="1">
        <v>44090.416956018518</v>
      </c>
      <c r="E3022" t="s">
        <v>9476</v>
      </c>
      <c r="F3022" t="s">
        <v>273</v>
      </c>
      <c r="G3022" t="s">
        <v>9438</v>
      </c>
      <c r="H3022" t="s">
        <v>275</v>
      </c>
      <c r="I3022" t="s">
        <v>29</v>
      </c>
      <c r="J3022">
        <v>1</v>
      </c>
      <c r="K3022">
        <f>1-844-318-8589</f>
        <v>-9750</v>
      </c>
      <c r="L3022" t="s">
        <v>9477</v>
      </c>
      <c r="M3022" t="s">
        <v>9478</v>
      </c>
      <c r="N3022" t="s">
        <v>278</v>
      </c>
      <c r="O3022" t="s">
        <v>28</v>
      </c>
      <c r="P3022" t="s">
        <v>29</v>
      </c>
      <c r="Q3022">
        <v>39</v>
      </c>
      <c r="R3022">
        <v>-77.487399999999994</v>
      </c>
    </row>
    <row r="3023" spans="1:18" x14ac:dyDescent="0.2">
      <c r="A3023" t="s">
        <v>270</v>
      </c>
      <c r="B3023" t="s">
        <v>440</v>
      </c>
      <c r="C3023">
        <v>1</v>
      </c>
      <c r="D3023" s="1">
        <v>44090.415069444447</v>
      </c>
      <c r="E3023" t="s">
        <v>9479</v>
      </c>
      <c r="F3023" t="s">
        <v>273</v>
      </c>
      <c r="G3023" t="s">
        <v>9438</v>
      </c>
      <c r="H3023" t="s">
        <v>275</v>
      </c>
      <c r="I3023" t="s">
        <v>29</v>
      </c>
      <c r="J3023">
        <v>1</v>
      </c>
      <c r="K3023">
        <f>1-844-293-8713</f>
        <v>-9849</v>
      </c>
      <c r="L3023" t="s">
        <v>9480</v>
      </c>
      <c r="M3023" t="s">
        <v>9481</v>
      </c>
      <c r="N3023" t="s">
        <v>278</v>
      </c>
      <c r="O3023" t="s">
        <v>28</v>
      </c>
      <c r="P3023" t="s">
        <v>29</v>
      </c>
      <c r="Q3023">
        <v>39</v>
      </c>
      <c r="R3023">
        <v>-77.487399999999994</v>
      </c>
    </row>
    <row r="3024" spans="1:18" x14ac:dyDescent="0.2">
      <c r="A3024" t="s">
        <v>270</v>
      </c>
      <c r="B3024" t="s">
        <v>440</v>
      </c>
      <c r="C3024">
        <v>1</v>
      </c>
      <c r="D3024" s="1">
        <v>44090.414166666669</v>
      </c>
      <c r="E3024" t="s">
        <v>9482</v>
      </c>
      <c r="F3024" t="s">
        <v>273</v>
      </c>
      <c r="G3024" t="s">
        <v>9438</v>
      </c>
      <c r="H3024" t="s">
        <v>275</v>
      </c>
      <c r="I3024" t="s">
        <v>29</v>
      </c>
      <c r="J3024">
        <v>1</v>
      </c>
      <c r="K3024">
        <f>1-844-311-7591</f>
        <v>-8745</v>
      </c>
      <c r="L3024" t="s">
        <v>9483</v>
      </c>
      <c r="M3024" t="s">
        <v>9484</v>
      </c>
      <c r="N3024" t="s">
        <v>278</v>
      </c>
      <c r="O3024" t="s">
        <v>28</v>
      </c>
      <c r="P3024" t="s">
        <v>29</v>
      </c>
      <c r="Q3024">
        <v>39</v>
      </c>
      <c r="R3024">
        <v>-77.487399999999994</v>
      </c>
    </row>
    <row r="3025" spans="1:18" x14ac:dyDescent="0.2">
      <c r="A3025" t="s">
        <v>270</v>
      </c>
      <c r="B3025" t="s">
        <v>440</v>
      </c>
      <c r="C3025">
        <v>1</v>
      </c>
      <c r="D3025" s="1">
        <v>44084.781446759262</v>
      </c>
      <c r="E3025" t="s">
        <v>9485</v>
      </c>
      <c r="F3025" t="s">
        <v>273</v>
      </c>
      <c r="G3025" t="s">
        <v>9438</v>
      </c>
      <c r="H3025" t="s">
        <v>275</v>
      </c>
      <c r="I3025" t="s">
        <v>29</v>
      </c>
      <c r="J3025">
        <v>1</v>
      </c>
      <c r="K3025">
        <f>1-888-608-5109</f>
        <v>-6604</v>
      </c>
      <c r="L3025" t="s">
        <v>9486</v>
      </c>
      <c r="M3025" t="s">
        <v>9487</v>
      </c>
      <c r="N3025" t="s">
        <v>278</v>
      </c>
      <c r="O3025" t="s">
        <v>28</v>
      </c>
      <c r="P3025" t="s">
        <v>29</v>
      </c>
      <c r="Q3025">
        <v>39</v>
      </c>
      <c r="R3025">
        <v>-77.487399999999994</v>
      </c>
    </row>
    <row r="3026" spans="1:18" x14ac:dyDescent="0.2">
      <c r="A3026" t="s">
        <v>270</v>
      </c>
      <c r="B3026" t="s">
        <v>440</v>
      </c>
      <c r="C3026">
        <v>1</v>
      </c>
      <c r="D3026" s="1">
        <v>44083.910011574073</v>
      </c>
      <c r="E3026" t="s">
        <v>9488</v>
      </c>
      <c r="F3026" t="s">
        <v>273</v>
      </c>
      <c r="G3026" t="s">
        <v>9438</v>
      </c>
      <c r="H3026" t="s">
        <v>275</v>
      </c>
      <c r="I3026" t="s">
        <v>29</v>
      </c>
      <c r="J3026">
        <v>1</v>
      </c>
      <c r="K3026">
        <f>1-888-585-4129</f>
        <v>-5601</v>
      </c>
      <c r="L3026" t="s">
        <v>9489</v>
      </c>
      <c r="M3026" t="s">
        <v>9490</v>
      </c>
      <c r="N3026" t="s">
        <v>278</v>
      </c>
      <c r="O3026" t="s">
        <v>28</v>
      </c>
      <c r="P3026" t="s">
        <v>29</v>
      </c>
      <c r="Q3026">
        <v>39</v>
      </c>
      <c r="R3026">
        <v>-77.487399999999994</v>
      </c>
    </row>
    <row r="3027" spans="1:18" x14ac:dyDescent="0.2">
      <c r="A3027" t="s">
        <v>270</v>
      </c>
      <c r="B3027" t="s">
        <v>440</v>
      </c>
      <c r="C3027">
        <v>1</v>
      </c>
      <c r="D3027" s="1">
        <v>44083.829363425924</v>
      </c>
      <c r="E3027" t="s">
        <v>9491</v>
      </c>
      <c r="F3027" t="s">
        <v>273</v>
      </c>
      <c r="G3027" t="s">
        <v>9438</v>
      </c>
      <c r="H3027" t="s">
        <v>275</v>
      </c>
      <c r="I3027" t="s">
        <v>29</v>
      </c>
      <c r="J3027">
        <v>1</v>
      </c>
      <c r="K3027">
        <f>1-888-592-7014</f>
        <v>-8493</v>
      </c>
      <c r="L3027" t="s">
        <v>9492</v>
      </c>
      <c r="M3027" t="s">
        <v>9493</v>
      </c>
      <c r="N3027" t="s">
        <v>278</v>
      </c>
      <c r="O3027" t="s">
        <v>28</v>
      </c>
      <c r="P3027" t="s">
        <v>29</v>
      </c>
      <c r="Q3027">
        <v>39</v>
      </c>
      <c r="R3027">
        <v>-77.487399999999994</v>
      </c>
    </row>
    <row r="3028" spans="1:18" x14ac:dyDescent="0.2">
      <c r="A3028" t="s">
        <v>270</v>
      </c>
      <c r="B3028" t="s">
        <v>440</v>
      </c>
      <c r="C3028">
        <v>1</v>
      </c>
      <c r="D3028" s="1">
        <v>44082.9455787037</v>
      </c>
      <c r="E3028" t="s">
        <v>9494</v>
      </c>
      <c r="F3028" t="s">
        <v>273</v>
      </c>
      <c r="G3028" t="s">
        <v>9438</v>
      </c>
      <c r="H3028" t="s">
        <v>275</v>
      </c>
      <c r="I3028" t="s">
        <v>29</v>
      </c>
      <c r="J3028">
        <v>1</v>
      </c>
      <c r="K3028">
        <f>1-888-599-8076</f>
        <v>-9562</v>
      </c>
      <c r="L3028" t="s">
        <v>9495</v>
      </c>
      <c r="M3028" t="s">
        <v>9496</v>
      </c>
      <c r="N3028" t="s">
        <v>278</v>
      </c>
      <c r="O3028" t="s">
        <v>28</v>
      </c>
      <c r="P3028" t="s">
        <v>29</v>
      </c>
      <c r="Q3028">
        <v>39</v>
      </c>
      <c r="R3028">
        <v>-77.487399999999994</v>
      </c>
    </row>
    <row r="3029" spans="1:18" x14ac:dyDescent="0.2">
      <c r="A3029" t="s">
        <v>270</v>
      </c>
      <c r="B3029" t="s">
        <v>440</v>
      </c>
      <c r="C3029">
        <v>1</v>
      </c>
      <c r="D3029" s="1">
        <v>44074.934837962966</v>
      </c>
      <c r="E3029" t="s">
        <v>9497</v>
      </c>
      <c r="F3029" t="s">
        <v>273</v>
      </c>
      <c r="G3029" t="s">
        <v>9438</v>
      </c>
      <c r="H3029" t="s">
        <v>275</v>
      </c>
      <c r="I3029" t="s">
        <v>29</v>
      </c>
      <c r="J3029">
        <v>1</v>
      </c>
      <c r="K3029">
        <f>1-888-655-2343</f>
        <v>-3885</v>
      </c>
      <c r="L3029" t="s">
        <v>9498</v>
      </c>
      <c r="M3029" t="s">
        <v>9499</v>
      </c>
      <c r="N3029" t="s">
        <v>278</v>
      </c>
      <c r="O3029" t="s">
        <v>134</v>
      </c>
      <c r="P3029" t="s">
        <v>29</v>
      </c>
      <c r="Q3029">
        <v>39</v>
      </c>
      <c r="R3029">
        <v>-77.487399999999994</v>
      </c>
    </row>
    <row r="3030" spans="1:18" x14ac:dyDescent="0.2">
      <c r="A3030" t="s">
        <v>270</v>
      </c>
      <c r="B3030" t="s">
        <v>440</v>
      </c>
      <c r="C3030">
        <v>1</v>
      </c>
      <c r="D3030" s="1">
        <v>44074.930925925924</v>
      </c>
      <c r="E3030" t="s">
        <v>9500</v>
      </c>
      <c r="F3030" t="s">
        <v>273</v>
      </c>
      <c r="G3030" t="s">
        <v>9438</v>
      </c>
      <c r="H3030" t="s">
        <v>275</v>
      </c>
      <c r="I3030" t="s">
        <v>29</v>
      </c>
      <c r="J3030">
        <v>1</v>
      </c>
      <c r="K3030">
        <f>1-888-593-9012</f>
        <v>-10492</v>
      </c>
      <c r="L3030" t="s">
        <v>9501</v>
      </c>
      <c r="M3030" t="s">
        <v>9502</v>
      </c>
      <c r="N3030" t="s">
        <v>278</v>
      </c>
      <c r="O3030" t="s">
        <v>28</v>
      </c>
      <c r="P3030" t="s">
        <v>29</v>
      </c>
      <c r="Q3030">
        <v>39</v>
      </c>
      <c r="R3030">
        <v>-77.487399999999994</v>
      </c>
    </row>
    <row r="3031" spans="1:18" x14ac:dyDescent="0.2">
      <c r="A3031" t="s">
        <v>270</v>
      </c>
      <c r="B3031" t="s">
        <v>440</v>
      </c>
      <c r="C3031">
        <v>1</v>
      </c>
      <c r="D3031" s="1">
        <v>44073.943206018521</v>
      </c>
      <c r="E3031" t="s">
        <v>9503</v>
      </c>
      <c r="F3031" t="s">
        <v>273</v>
      </c>
      <c r="G3031" t="s">
        <v>9438</v>
      </c>
      <c r="H3031" t="s">
        <v>275</v>
      </c>
      <c r="I3031" t="s">
        <v>29</v>
      </c>
      <c r="J3031">
        <v>1</v>
      </c>
      <c r="K3031">
        <f>1-888-655-2376</f>
        <v>-3918</v>
      </c>
      <c r="L3031" t="s">
        <v>9504</v>
      </c>
      <c r="M3031" t="s">
        <v>9505</v>
      </c>
      <c r="N3031" t="s">
        <v>278</v>
      </c>
      <c r="O3031" t="s">
        <v>134</v>
      </c>
      <c r="P3031" t="s">
        <v>29</v>
      </c>
      <c r="Q3031">
        <v>39</v>
      </c>
      <c r="R3031">
        <v>-77.487399999999994</v>
      </c>
    </row>
    <row r="3032" spans="1:18" x14ac:dyDescent="0.2">
      <c r="A3032" t="s">
        <v>270</v>
      </c>
      <c r="B3032" t="s">
        <v>440</v>
      </c>
      <c r="C3032">
        <v>1</v>
      </c>
      <c r="D3032" s="1">
        <v>44073.929918981485</v>
      </c>
      <c r="E3032" t="s">
        <v>9506</v>
      </c>
      <c r="F3032" t="s">
        <v>273</v>
      </c>
      <c r="G3032" t="s">
        <v>9438</v>
      </c>
      <c r="H3032" t="s">
        <v>275</v>
      </c>
      <c r="I3032" t="s">
        <v>29</v>
      </c>
      <c r="J3032">
        <v>1</v>
      </c>
      <c r="K3032">
        <f>1-888-534-316</f>
        <v>-1737</v>
      </c>
      <c r="L3032" t="s">
        <v>9507</v>
      </c>
      <c r="M3032" t="s">
        <v>9508</v>
      </c>
      <c r="N3032" t="s">
        <v>278</v>
      </c>
      <c r="O3032" t="s">
        <v>134</v>
      </c>
      <c r="P3032" t="s">
        <v>29</v>
      </c>
      <c r="Q3032">
        <v>39</v>
      </c>
      <c r="R3032">
        <v>-77.487399999999994</v>
      </c>
    </row>
    <row r="3033" spans="1:18" x14ac:dyDescent="0.2">
      <c r="A3033" t="s">
        <v>270</v>
      </c>
      <c r="B3033" t="s">
        <v>440</v>
      </c>
      <c r="C3033">
        <v>1</v>
      </c>
      <c r="D3033" s="1">
        <v>44073.028009259258</v>
      </c>
      <c r="E3033" t="s">
        <v>9509</v>
      </c>
      <c r="F3033" t="s">
        <v>273</v>
      </c>
      <c r="G3033" t="s">
        <v>9438</v>
      </c>
      <c r="H3033" t="s">
        <v>275</v>
      </c>
      <c r="I3033" t="s">
        <v>29</v>
      </c>
      <c r="J3033">
        <v>1</v>
      </c>
      <c r="K3033">
        <f>1-888-441-3235</f>
        <v>-4563</v>
      </c>
      <c r="L3033" t="s">
        <v>9510</v>
      </c>
      <c r="M3033" t="s">
        <v>9511</v>
      </c>
      <c r="N3033" t="s">
        <v>278</v>
      </c>
      <c r="O3033" t="s">
        <v>134</v>
      </c>
      <c r="P3033" t="s">
        <v>29</v>
      </c>
      <c r="Q3033">
        <v>39</v>
      </c>
      <c r="R3033">
        <v>-77.487399999999994</v>
      </c>
    </row>
    <row r="3034" spans="1:18" x14ac:dyDescent="0.2">
      <c r="A3034" t="s">
        <v>270</v>
      </c>
      <c r="B3034" t="s">
        <v>440</v>
      </c>
      <c r="C3034">
        <v>1</v>
      </c>
      <c r="D3034" s="1">
        <v>44073.026296296295</v>
      </c>
      <c r="E3034" t="s">
        <v>9512</v>
      </c>
      <c r="F3034" t="s">
        <v>273</v>
      </c>
      <c r="G3034" t="s">
        <v>9438</v>
      </c>
      <c r="H3034" t="s">
        <v>275</v>
      </c>
      <c r="I3034" t="s">
        <v>29</v>
      </c>
      <c r="J3034">
        <v>1</v>
      </c>
      <c r="K3034">
        <f>1-888-598-1511</f>
        <v>-2996</v>
      </c>
      <c r="L3034" t="s">
        <v>9513</v>
      </c>
      <c r="M3034" t="s">
        <v>9514</v>
      </c>
      <c r="N3034" t="s">
        <v>278</v>
      </c>
      <c r="O3034" t="s">
        <v>134</v>
      </c>
      <c r="P3034" t="s">
        <v>29</v>
      </c>
      <c r="Q3034">
        <v>39</v>
      </c>
      <c r="R3034">
        <v>-77.487399999999994</v>
      </c>
    </row>
    <row r="3035" spans="1:18" x14ac:dyDescent="0.2">
      <c r="A3035" t="s">
        <v>270</v>
      </c>
      <c r="B3035" t="s">
        <v>440</v>
      </c>
      <c r="C3035">
        <v>1</v>
      </c>
      <c r="D3035" s="1">
        <v>44072.869351851848</v>
      </c>
      <c r="E3035" t="s">
        <v>9515</v>
      </c>
      <c r="F3035" t="s">
        <v>273</v>
      </c>
      <c r="G3035" t="s">
        <v>9438</v>
      </c>
      <c r="H3035" t="s">
        <v>275</v>
      </c>
      <c r="I3035" t="s">
        <v>29</v>
      </c>
      <c r="J3035">
        <v>1</v>
      </c>
      <c r="K3035">
        <f>1-888-609-3819</f>
        <v>-5315</v>
      </c>
      <c r="L3035" t="s">
        <v>9516</v>
      </c>
      <c r="M3035" t="s">
        <v>9517</v>
      </c>
      <c r="N3035" t="s">
        <v>278</v>
      </c>
      <c r="O3035" t="s">
        <v>134</v>
      </c>
      <c r="P3035" t="s">
        <v>29</v>
      </c>
      <c r="Q3035">
        <v>39</v>
      </c>
      <c r="R3035">
        <v>-77.487399999999994</v>
      </c>
    </row>
    <row r="3036" spans="1:18" x14ac:dyDescent="0.2">
      <c r="A3036" t="s">
        <v>270</v>
      </c>
      <c r="B3036" t="s">
        <v>440</v>
      </c>
      <c r="C3036">
        <v>1</v>
      </c>
      <c r="D3036" s="1">
        <v>44072.867268518516</v>
      </c>
      <c r="E3036" t="s">
        <v>9518</v>
      </c>
      <c r="F3036" t="s">
        <v>273</v>
      </c>
      <c r="G3036" t="s">
        <v>9438</v>
      </c>
      <c r="H3036" t="s">
        <v>275</v>
      </c>
      <c r="I3036" t="s">
        <v>29</v>
      </c>
      <c r="J3036">
        <v>1</v>
      </c>
      <c r="K3036">
        <f>1-888-604-806</f>
        <v>-2297</v>
      </c>
      <c r="L3036" t="s">
        <v>9519</v>
      </c>
      <c r="M3036" t="s">
        <v>9520</v>
      </c>
      <c r="N3036" t="s">
        <v>278</v>
      </c>
      <c r="O3036" t="s">
        <v>134</v>
      </c>
      <c r="P3036" t="s">
        <v>29</v>
      </c>
      <c r="Q3036">
        <v>39</v>
      </c>
      <c r="R3036">
        <v>-77.487399999999994</v>
      </c>
    </row>
    <row r="3037" spans="1:18" x14ac:dyDescent="0.2">
      <c r="A3037" t="s">
        <v>270</v>
      </c>
      <c r="B3037" t="s">
        <v>440</v>
      </c>
      <c r="C3037">
        <v>1</v>
      </c>
      <c r="D3037" s="1">
        <v>44072.865787037037</v>
      </c>
      <c r="E3037" t="s">
        <v>9521</v>
      </c>
      <c r="F3037" t="s">
        <v>273</v>
      </c>
      <c r="G3037" t="s">
        <v>9438</v>
      </c>
      <c r="H3037" t="s">
        <v>275</v>
      </c>
      <c r="I3037" t="s">
        <v>29</v>
      </c>
      <c r="J3037">
        <v>1</v>
      </c>
      <c r="K3037">
        <f>1-888-604-806</f>
        <v>-2297</v>
      </c>
      <c r="L3037" t="s">
        <v>9522</v>
      </c>
      <c r="M3037" t="s">
        <v>9523</v>
      </c>
      <c r="N3037" t="s">
        <v>278</v>
      </c>
      <c r="O3037" t="s">
        <v>134</v>
      </c>
      <c r="P3037" t="s">
        <v>29</v>
      </c>
      <c r="Q3037">
        <v>39</v>
      </c>
      <c r="R3037">
        <v>-77.487399999999994</v>
      </c>
    </row>
    <row r="3038" spans="1:18" x14ac:dyDescent="0.2">
      <c r="A3038" t="s">
        <v>270</v>
      </c>
      <c r="B3038" t="s">
        <v>440</v>
      </c>
      <c r="C3038">
        <v>1</v>
      </c>
      <c r="D3038" s="1">
        <v>44072.291261574072</v>
      </c>
      <c r="E3038" t="s">
        <v>9524</v>
      </c>
      <c r="F3038" t="s">
        <v>273</v>
      </c>
      <c r="G3038" t="s">
        <v>9438</v>
      </c>
      <c r="H3038" t="s">
        <v>275</v>
      </c>
      <c r="I3038" t="s">
        <v>29</v>
      </c>
      <c r="J3038">
        <v>1</v>
      </c>
      <c r="K3038">
        <f>1-888-658-5805</f>
        <v>-7350</v>
      </c>
      <c r="L3038" t="s">
        <v>9525</v>
      </c>
      <c r="M3038" t="s">
        <v>9526</v>
      </c>
      <c r="N3038" t="s">
        <v>278</v>
      </c>
      <c r="O3038" t="s">
        <v>134</v>
      </c>
      <c r="P3038" t="s">
        <v>29</v>
      </c>
      <c r="Q3038">
        <v>39</v>
      </c>
      <c r="R3038">
        <v>-77.487399999999994</v>
      </c>
    </row>
    <row r="3039" spans="1:18" x14ac:dyDescent="0.2">
      <c r="A3039" t="s">
        <v>270</v>
      </c>
      <c r="B3039" t="s">
        <v>440</v>
      </c>
      <c r="C3039">
        <v>1</v>
      </c>
      <c r="D3039" s="1">
        <v>44071.987488425926</v>
      </c>
      <c r="E3039" t="s">
        <v>9527</v>
      </c>
      <c r="F3039" t="s">
        <v>273</v>
      </c>
      <c r="G3039" t="s">
        <v>9438</v>
      </c>
      <c r="H3039" t="s">
        <v>275</v>
      </c>
      <c r="I3039" t="s">
        <v>29</v>
      </c>
      <c r="J3039">
        <v>1</v>
      </c>
      <c r="K3039">
        <f>1-888-530-6238</f>
        <v>-7655</v>
      </c>
      <c r="L3039" t="s">
        <v>9528</v>
      </c>
      <c r="M3039" t="s">
        <v>9529</v>
      </c>
      <c r="N3039" t="s">
        <v>278</v>
      </c>
      <c r="O3039" t="s">
        <v>134</v>
      </c>
      <c r="P3039" t="s">
        <v>29</v>
      </c>
      <c r="Q3039">
        <v>39</v>
      </c>
      <c r="R3039">
        <v>-77.487399999999994</v>
      </c>
    </row>
    <row r="3040" spans="1:18" x14ac:dyDescent="0.2">
      <c r="A3040" t="s">
        <v>270</v>
      </c>
      <c r="B3040" t="s">
        <v>440</v>
      </c>
      <c r="C3040">
        <v>1</v>
      </c>
      <c r="D3040" s="1">
        <v>44071.837025462963</v>
      </c>
      <c r="E3040" t="s">
        <v>9530</v>
      </c>
      <c r="F3040" t="s">
        <v>273</v>
      </c>
      <c r="G3040" t="s">
        <v>9438</v>
      </c>
      <c r="H3040" t="s">
        <v>275</v>
      </c>
      <c r="I3040" t="s">
        <v>29</v>
      </c>
      <c r="J3040">
        <v>1</v>
      </c>
      <c r="K3040">
        <f>1-888-607-419</f>
        <v>-1913</v>
      </c>
      <c r="L3040" t="s">
        <v>9531</v>
      </c>
      <c r="M3040" t="s">
        <v>9532</v>
      </c>
      <c r="N3040" t="s">
        <v>278</v>
      </c>
      <c r="O3040" t="s">
        <v>28</v>
      </c>
      <c r="P3040" t="s">
        <v>29</v>
      </c>
      <c r="Q3040">
        <v>39</v>
      </c>
      <c r="R3040">
        <v>-77.487399999999994</v>
      </c>
    </row>
    <row r="3041" spans="1:18" x14ac:dyDescent="0.2">
      <c r="A3041" t="s">
        <v>270</v>
      </c>
      <c r="B3041" t="s">
        <v>440</v>
      </c>
      <c r="C3041">
        <v>1</v>
      </c>
      <c r="D3041" s="1">
        <v>44071.415902777779</v>
      </c>
      <c r="E3041" t="s">
        <v>9533</v>
      </c>
      <c r="F3041" t="s">
        <v>273</v>
      </c>
      <c r="G3041" t="s">
        <v>9438</v>
      </c>
      <c r="H3041" t="s">
        <v>275</v>
      </c>
      <c r="I3041" t="s">
        <v>29</v>
      </c>
      <c r="J3041">
        <v>1</v>
      </c>
      <c r="K3041">
        <f>1-888-417-4090</f>
        <v>-5394</v>
      </c>
      <c r="L3041" t="s">
        <v>9534</v>
      </c>
      <c r="M3041" t="s">
        <v>9535</v>
      </c>
      <c r="N3041" t="s">
        <v>278</v>
      </c>
      <c r="O3041" t="s">
        <v>134</v>
      </c>
      <c r="P3041" t="s">
        <v>29</v>
      </c>
      <c r="Q3041">
        <v>39</v>
      </c>
      <c r="R3041">
        <v>-77.487399999999994</v>
      </c>
    </row>
    <row r="3042" spans="1:18" x14ac:dyDescent="0.2">
      <c r="A3042" t="s">
        <v>270</v>
      </c>
      <c r="B3042" t="s">
        <v>440</v>
      </c>
      <c r="C3042">
        <v>1</v>
      </c>
      <c r="D3042" s="1">
        <v>44070.583472222221</v>
      </c>
      <c r="E3042" t="s">
        <v>9536</v>
      </c>
      <c r="F3042" t="s">
        <v>273</v>
      </c>
      <c r="G3042" t="s">
        <v>9438</v>
      </c>
      <c r="H3042" t="s">
        <v>275</v>
      </c>
      <c r="I3042" t="s">
        <v>29</v>
      </c>
      <c r="J3042">
        <v>1</v>
      </c>
      <c r="K3042">
        <f>1-866-672-9693</f>
        <v>-11230</v>
      </c>
      <c r="L3042" t="s">
        <v>9537</v>
      </c>
      <c r="M3042" t="s">
        <v>9538</v>
      </c>
      <c r="N3042" t="s">
        <v>278</v>
      </c>
      <c r="O3042" t="s">
        <v>134</v>
      </c>
      <c r="P3042" t="s">
        <v>29</v>
      </c>
      <c r="Q3042">
        <v>39</v>
      </c>
      <c r="R3042">
        <v>-77.487399999999994</v>
      </c>
    </row>
    <row r="3043" spans="1:18" x14ac:dyDescent="0.2">
      <c r="A3043" t="s">
        <v>270</v>
      </c>
      <c r="B3043" t="s">
        <v>440</v>
      </c>
      <c r="C3043">
        <v>1</v>
      </c>
      <c r="D3043" s="1">
        <v>44070.580543981479</v>
      </c>
      <c r="E3043" t="s">
        <v>9539</v>
      </c>
      <c r="F3043" t="s">
        <v>273</v>
      </c>
      <c r="G3043" t="s">
        <v>9438</v>
      </c>
      <c r="H3043" t="s">
        <v>275</v>
      </c>
      <c r="I3043" t="s">
        <v>29</v>
      </c>
      <c r="J3043">
        <v>1</v>
      </c>
      <c r="K3043">
        <f>1-866-746-1819</f>
        <v>-3430</v>
      </c>
      <c r="L3043" t="s">
        <v>9540</v>
      </c>
      <c r="M3043" t="s">
        <v>9541</v>
      </c>
      <c r="N3043" t="s">
        <v>278</v>
      </c>
      <c r="O3043" t="s">
        <v>134</v>
      </c>
      <c r="P3043" t="s">
        <v>29</v>
      </c>
      <c r="Q3043">
        <v>39</v>
      </c>
      <c r="R3043">
        <v>-77.487399999999994</v>
      </c>
    </row>
    <row r="3044" spans="1:18" x14ac:dyDescent="0.2">
      <c r="A3044" t="s">
        <v>270</v>
      </c>
      <c r="B3044" t="s">
        <v>440</v>
      </c>
      <c r="C3044">
        <v>1</v>
      </c>
      <c r="D3044" s="1">
        <v>44068.194548611114</v>
      </c>
      <c r="E3044" t="s">
        <v>9542</v>
      </c>
      <c r="F3044" t="s">
        <v>273</v>
      </c>
      <c r="G3044" t="s">
        <v>9438</v>
      </c>
      <c r="H3044" t="s">
        <v>275</v>
      </c>
      <c r="I3044" t="s">
        <v>29</v>
      </c>
      <c r="J3044">
        <v>1</v>
      </c>
      <c r="K3044">
        <f>1-888-530-6238</f>
        <v>-7655</v>
      </c>
      <c r="L3044" t="s">
        <v>9543</v>
      </c>
      <c r="M3044" t="s">
        <v>9544</v>
      </c>
      <c r="N3044" t="s">
        <v>278</v>
      </c>
      <c r="O3044" t="s">
        <v>134</v>
      </c>
      <c r="P3044" t="s">
        <v>29</v>
      </c>
      <c r="Q3044">
        <v>39</v>
      </c>
      <c r="R3044">
        <v>-77.487399999999994</v>
      </c>
    </row>
    <row r="3045" spans="1:18" x14ac:dyDescent="0.2">
      <c r="A3045" t="s">
        <v>270</v>
      </c>
      <c r="B3045" t="s">
        <v>440</v>
      </c>
      <c r="C3045">
        <v>1</v>
      </c>
      <c r="D3045" s="1">
        <v>44068.048831018517</v>
      </c>
      <c r="E3045" t="s">
        <v>9545</v>
      </c>
      <c r="F3045" t="s">
        <v>273</v>
      </c>
      <c r="G3045" t="s">
        <v>9438</v>
      </c>
      <c r="H3045" t="s">
        <v>275</v>
      </c>
      <c r="I3045" t="s">
        <v>29</v>
      </c>
      <c r="J3045">
        <v>1</v>
      </c>
      <c r="K3045">
        <f>1-888-532-188</f>
        <v>-1607</v>
      </c>
      <c r="L3045" t="s">
        <v>9546</v>
      </c>
      <c r="M3045" t="s">
        <v>9547</v>
      </c>
      <c r="N3045" t="s">
        <v>278</v>
      </c>
      <c r="O3045" t="s">
        <v>28</v>
      </c>
      <c r="P3045" t="s">
        <v>29</v>
      </c>
      <c r="Q3045">
        <v>39</v>
      </c>
      <c r="R3045">
        <v>-77.487399999999994</v>
      </c>
    </row>
    <row r="3046" spans="1:18" x14ac:dyDescent="0.2">
      <c r="A3046" t="s">
        <v>270</v>
      </c>
      <c r="B3046" t="s">
        <v>440</v>
      </c>
      <c r="C3046">
        <v>1</v>
      </c>
      <c r="D3046" s="1">
        <v>44068.022743055553</v>
      </c>
      <c r="E3046" t="s">
        <v>9548</v>
      </c>
      <c r="F3046" t="s">
        <v>273</v>
      </c>
      <c r="G3046" t="s">
        <v>9438</v>
      </c>
      <c r="H3046" t="s">
        <v>275</v>
      </c>
      <c r="I3046" t="s">
        <v>29</v>
      </c>
      <c r="J3046">
        <v>1</v>
      </c>
      <c r="K3046">
        <f>1-888-965-777</f>
        <v>-2629</v>
      </c>
      <c r="L3046" t="s">
        <v>9549</v>
      </c>
      <c r="M3046" t="s">
        <v>9550</v>
      </c>
      <c r="N3046" t="s">
        <v>278</v>
      </c>
      <c r="O3046" t="s">
        <v>28</v>
      </c>
      <c r="P3046" t="s">
        <v>29</v>
      </c>
      <c r="Q3046">
        <v>39</v>
      </c>
      <c r="R3046">
        <v>-77.487399999999994</v>
      </c>
    </row>
    <row r="3047" spans="1:18" x14ac:dyDescent="0.2">
      <c r="A3047" t="s">
        <v>270</v>
      </c>
      <c r="B3047" t="s">
        <v>440</v>
      </c>
      <c r="C3047">
        <v>1</v>
      </c>
      <c r="D3047" s="1">
        <v>44065.890208333331</v>
      </c>
      <c r="E3047" t="s">
        <v>9551</v>
      </c>
      <c r="F3047" t="s">
        <v>273</v>
      </c>
      <c r="G3047" t="s">
        <v>9438</v>
      </c>
      <c r="H3047" t="s">
        <v>275</v>
      </c>
      <c r="I3047" t="s">
        <v>29</v>
      </c>
      <c r="J3047">
        <v>1</v>
      </c>
      <c r="K3047">
        <f>1-888-655-2343</f>
        <v>-3885</v>
      </c>
      <c r="L3047" t="s">
        <v>9552</v>
      </c>
      <c r="M3047" t="s">
        <v>9553</v>
      </c>
      <c r="N3047" t="s">
        <v>278</v>
      </c>
      <c r="O3047" t="s">
        <v>134</v>
      </c>
      <c r="P3047" t="s">
        <v>29</v>
      </c>
      <c r="Q3047">
        <v>39</v>
      </c>
      <c r="R3047">
        <v>-77.487399999999994</v>
      </c>
    </row>
    <row r="3048" spans="1:18" x14ac:dyDescent="0.2">
      <c r="A3048" t="s">
        <v>270</v>
      </c>
      <c r="B3048" t="s">
        <v>440</v>
      </c>
      <c r="C3048">
        <v>1</v>
      </c>
      <c r="D3048" s="1">
        <v>44053.29923611111</v>
      </c>
      <c r="E3048" t="s">
        <v>9554</v>
      </c>
      <c r="F3048" t="s">
        <v>273</v>
      </c>
      <c r="G3048" t="s">
        <v>9438</v>
      </c>
      <c r="H3048" t="s">
        <v>275</v>
      </c>
      <c r="I3048" t="s">
        <v>29</v>
      </c>
      <c r="J3048">
        <v>1</v>
      </c>
      <c r="K3048">
        <f>1-866-801-5549</f>
        <v>-7215</v>
      </c>
      <c r="L3048" t="s">
        <v>9555</v>
      </c>
      <c r="M3048" t="s">
        <v>9556</v>
      </c>
      <c r="N3048" t="s">
        <v>278</v>
      </c>
      <c r="O3048" t="s">
        <v>134</v>
      </c>
      <c r="P3048" t="s">
        <v>29</v>
      </c>
      <c r="Q3048">
        <v>39</v>
      </c>
      <c r="R3048">
        <v>-77.487399999999994</v>
      </c>
    </row>
    <row r="3049" spans="1:18" x14ac:dyDescent="0.2">
      <c r="A3049" t="s">
        <v>270</v>
      </c>
      <c r="B3049" t="s">
        <v>440</v>
      </c>
      <c r="C3049">
        <v>1</v>
      </c>
      <c r="D3049" s="1">
        <v>44045.638564814813</v>
      </c>
      <c r="E3049" t="s">
        <v>9557</v>
      </c>
      <c r="F3049" t="s">
        <v>273</v>
      </c>
      <c r="G3049" t="s">
        <v>9438</v>
      </c>
      <c r="H3049" t="s">
        <v>275</v>
      </c>
      <c r="I3049" t="s">
        <v>29</v>
      </c>
      <c r="J3049">
        <v>1</v>
      </c>
      <c r="K3049">
        <f>1-844-474-3214</f>
        <v>-4531</v>
      </c>
      <c r="L3049" t="s">
        <v>9558</v>
      </c>
      <c r="M3049" t="s">
        <v>9559</v>
      </c>
      <c r="N3049" t="s">
        <v>278</v>
      </c>
      <c r="O3049" t="s">
        <v>134</v>
      </c>
      <c r="P3049" t="s">
        <v>29</v>
      </c>
      <c r="Q3049">
        <v>39</v>
      </c>
      <c r="R3049">
        <v>-77.487399999999994</v>
      </c>
    </row>
    <row r="3050" spans="1:18" x14ac:dyDescent="0.2">
      <c r="A3050" t="s">
        <v>270</v>
      </c>
      <c r="B3050" t="s">
        <v>440</v>
      </c>
      <c r="C3050">
        <v>1</v>
      </c>
      <c r="D3050" s="1">
        <v>44042.384155092594</v>
      </c>
      <c r="E3050" t="s">
        <v>9560</v>
      </c>
      <c r="F3050" t="s">
        <v>273</v>
      </c>
      <c r="G3050" t="s">
        <v>9438</v>
      </c>
      <c r="H3050" t="s">
        <v>275</v>
      </c>
      <c r="I3050" t="s">
        <v>29</v>
      </c>
      <c r="J3050">
        <v>1</v>
      </c>
      <c r="K3050">
        <f>1-888-525-1753</f>
        <v>-3165</v>
      </c>
      <c r="L3050" t="s">
        <v>9561</v>
      </c>
      <c r="M3050" t="s">
        <v>9562</v>
      </c>
      <c r="N3050" t="s">
        <v>278</v>
      </c>
      <c r="O3050" t="s">
        <v>134</v>
      </c>
      <c r="P3050" t="s">
        <v>29</v>
      </c>
      <c r="Q3050">
        <v>39</v>
      </c>
      <c r="R3050">
        <v>-77.487399999999994</v>
      </c>
    </row>
    <row r="3051" spans="1:18" x14ac:dyDescent="0.2">
      <c r="A3051" t="s">
        <v>270</v>
      </c>
      <c r="B3051" t="s">
        <v>440</v>
      </c>
      <c r="C3051">
        <v>1</v>
      </c>
      <c r="D3051" s="1">
        <v>44032.777314814812</v>
      </c>
      <c r="E3051" t="s">
        <v>9563</v>
      </c>
      <c r="F3051" t="s">
        <v>273</v>
      </c>
      <c r="G3051" t="s">
        <v>9438</v>
      </c>
      <c r="H3051" t="s">
        <v>275</v>
      </c>
      <c r="I3051" t="s">
        <v>29</v>
      </c>
      <c r="J3051">
        <v>1</v>
      </c>
      <c r="K3051">
        <f>1-866-734-76</f>
        <v>-1675</v>
      </c>
      <c r="L3051" t="s">
        <v>9564</v>
      </c>
      <c r="M3051" t="s">
        <v>9565</v>
      </c>
      <c r="N3051" t="s">
        <v>278</v>
      </c>
      <c r="O3051" t="s">
        <v>28</v>
      </c>
      <c r="P3051" t="s">
        <v>29</v>
      </c>
      <c r="Q3051">
        <v>39</v>
      </c>
      <c r="R3051">
        <v>-77.487399999999994</v>
      </c>
    </row>
    <row r="3052" spans="1:18" x14ac:dyDescent="0.2">
      <c r="A3052" t="s">
        <v>270</v>
      </c>
      <c r="B3052" t="s">
        <v>440</v>
      </c>
      <c r="C3052">
        <v>1</v>
      </c>
      <c r="D3052" s="1">
        <v>44031.774687500001</v>
      </c>
      <c r="E3052" t="s">
        <v>9566</v>
      </c>
      <c r="F3052" t="s">
        <v>273</v>
      </c>
      <c r="G3052" t="s">
        <v>9438</v>
      </c>
      <c r="H3052" t="s">
        <v>275</v>
      </c>
      <c r="I3052" t="s">
        <v>29</v>
      </c>
      <c r="J3052">
        <v>1</v>
      </c>
      <c r="K3052">
        <f>1-866-755-2213</f>
        <v>-3833</v>
      </c>
      <c r="L3052" t="s">
        <v>9567</v>
      </c>
      <c r="M3052" t="s">
        <v>9568</v>
      </c>
      <c r="N3052" t="s">
        <v>278</v>
      </c>
      <c r="O3052" t="s">
        <v>134</v>
      </c>
      <c r="P3052" t="s">
        <v>29</v>
      </c>
      <c r="Q3052">
        <v>39</v>
      </c>
      <c r="R3052">
        <v>-77.487399999999994</v>
      </c>
    </row>
    <row r="3053" spans="1:18" x14ac:dyDescent="0.2">
      <c r="A3053" t="s">
        <v>2233</v>
      </c>
      <c r="B3053" t="s">
        <v>2234</v>
      </c>
      <c r="C3053">
        <v>1</v>
      </c>
      <c r="D3053" s="1">
        <v>44031.935555555552</v>
      </c>
      <c r="E3053" t="s">
        <v>9569</v>
      </c>
      <c r="F3053" t="s">
        <v>2236</v>
      </c>
      <c r="G3053" t="s">
        <v>9570</v>
      </c>
      <c r="H3053" t="s">
        <v>2237</v>
      </c>
      <c r="I3053" t="s">
        <v>29</v>
      </c>
      <c r="J3053">
        <v>1</v>
      </c>
      <c r="K3053">
        <f>1-888-341-4202</f>
        <v>-5430</v>
      </c>
      <c r="L3053" t="s">
        <v>9571</v>
      </c>
      <c r="M3053" t="s">
        <v>9572</v>
      </c>
      <c r="N3053" t="s">
        <v>5354</v>
      </c>
      <c r="O3053" t="s">
        <v>134</v>
      </c>
      <c r="P3053" t="s">
        <v>29</v>
      </c>
      <c r="Q3053">
        <v>40</v>
      </c>
      <c r="R3053">
        <v>-83.114099999999993</v>
      </c>
    </row>
    <row r="3054" spans="1:18" x14ac:dyDescent="0.2">
      <c r="A3054" t="s">
        <v>2233</v>
      </c>
      <c r="B3054" t="s">
        <v>2263</v>
      </c>
      <c r="C3054">
        <v>1</v>
      </c>
      <c r="D3054" s="1">
        <v>44031.831759259258</v>
      </c>
      <c r="E3054" t="s">
        <v>9573</v>
      </c>
      <c r="F3054" t="s">
        <v>2236</v>
      </c>
      <c r="G3054" t="s">
        <v>9574</v>
      </c>
      <c r="H3054" t="s">
        <v>2237</v>
      </c>
      <c r="I3054" t="s">
        <v>29</v>
      </c>
      <c r="J3054">
        <v>1</v>
      </c>
      <c r="K3054">
        <f>1-575-305-4904</f>
        <v>-5783</v>
      </c>
      <c r="L3054" t="s">
        <v>9575</v>
      </c>
      <c r="M3054" t="s">
        <v>9576</v>
      </c>
      <c r="N3054" t="s">
        <v>5354</v>
      </c>
      <c r="O3054" t="s">
        <v>134</v>
      </c>
      <c r="P3054" t="s">
        <v>2268</v>
      </c>
      <c r="Q3054">
        <v>44</v>
      </c>
      <c r="R3054">
        <v>-79.383200000000002</v>
      </c>
    </row>
    <row r="3055" spans="1:18" x14ac:dyDescent="0.2">
      <c r="A3055" t="s">
        <v>663</v>
      </c>
      <c r="B3055" t="s">
        <v>3385</v>
      </c>
      <c r="C3055">
        <v>61</v>
      </c>
      <c r="D3055" s="1">
        <v>44032.247187499997</v>
      </c>
      <c r="E3055" t="s">
        <v>9577</v>
      </c>
      <c r="F3055" t="s">
        <v>666</v>
      </c>
      <c r="G3055" t="s">
        <v>9578</v>
      </c>
      <c r="H3055" t="s">
        <v>667</v>
      </c>
      <c r="I3055" t="s">
        <v>782</v>
      </c>
      <c r="J3055">
        <v>61</v>
      </c>
      <c r="K3055">
        <f>61-1800-531-983</f>
        <v>-3253</v>
      </c>
      <c r="L3055" t="s">
        <v>9579</v>
      </c>
      <c r="M3055" t="s">
        <v>9580</v>
      </c>
      <c r="N3055" t="s">
        <v>7169</v>
      </c>
      <c r="O3055" t="s">
        <v>134</v>
      </c>
      <c r="P3055" t="s">
        <v>29</v>
      </c>
      <c r="Q3055">
        <v>41</v>
      </c>
      <c r="R3055">
        <v>-73.996600000000001</v>
      </c>
    </row>
    <row r="3056" spans="1:18" x14ac:dyDescent="0.2">
      <c r="A3056" t="s">
        <v>663</v>
      </c>
      <c r="B3056" t="s">
        <v>3385</v>
      </c>
      <c r="C3056">
        <v>61</v>
      </c>
      <c r="D3056" s="1">
        <v>44032.043055555558</v>
      </c>
      <c r="E3056" t="s">
        <v>9581</v>
      </c>
      <c r="F3056" t="s">
        <v>666</v>
      </c>
      <c r="G3056" t="s">
        <v>9578</v>
      </c>
      <c r="H3056" t="s">
        <v>667</v>
      </c>
      <c r="I3056" t="s">
        <v>782</v>
      </c>
      <c r="J3056">
        <v>61</v>
      </c>
      <c r="K3056">
        <f>61-1800-531-983</f>
        <v>-3253</v>
      </c>
      <c r="L3056" t="s">
        <v>9582</v>
      </c>
      <c r="M3056" t="s">
        <v>9583</v>
      </c>
      <c r="N3056" t="s">
        <v>1645</v>
      </c>
      <c r="O3056" t="s">
        <v>28</v>
      </c>
      <c r="P3056" t="s">
        <v>29</v>
      </c>
      <c r="Q3056">
        <v>41</v>
      </c>
      <c r="R3056">
        <v>-73.996600000000001</v>
      </c>
    </row>
    <row r="3057" spans="1:18" x14ac:dyDescent="0.2">
      <c r="A3057" t="s">
        <v>270</v>
      </c>
      <c r="B3057" t="s">
        <v>8080</v>
      </c>
      <c r="C3057">
        <v>1</v>
      </c>
      <c r="D3057" s="1">
        <v>44300.76734953704</v>
      </c>
      <c r="E3057" t="s">
        <v>9584</v>
      </c>
      <c r="F3057" t="s">
        <v>273</v>
      </c>
      <c r="G3057" t="s">
        <v>9585</v>
      </c>
      <c r="H3057" t="s">
        <v>275</v>
      </c>
      <c r="I3057" t="s">
        <v>29</v>
      </c>
      <c r="J3057">
        <v>1</v>
      </c>
      <c r="K3057">
        <f>1-888-298-8913</f>
        <v>-10098</v>
      </c>
      <c r="L3057">
        <v>6077175837285</v>
      </c>
      <c r="M3057" t="s">
        <v>9586</v>
      </c>
      <c r="N3057" t="s">
        <v>278</v>
      </c>
      <c r="O3057" t="s">
        <v>28</v>
      </c>
      <c r="P3057" t="s">
        <v>8085</v>
      </c>
      <c r="Q3057">
        <v>-24</v>
      </c>
      <c r="R3057">
        <v>-46.633000000000003</v>
      </c>
    </row>
    <row r="3058" spans="1:18" x14ac:dyDescent="0.2">
      <c r="A3058" t="s">
        <v>270</v>
      </c>
      <c r="B3058" t="s">
        <v>8080</v>
      </c>
      <c r="C3058">
        <v>1</v>
      </c>
      <c r="D3058" s="1">
        <v>44294.966863425929</v>
      </c>
      <c r="E3058" t="s">
        <v>9587</v>
      </c>
      <c r="F3058" t="s">
        <v>273</v>
      </c>
      <c r="G3058" t="s">
        <v>9585</v>
      </c>
      <c r="H3058" t="s">
        <v>275</v>
      </c>
      <c r="I3058" t="s">
        <v>29</v>
      </c>
      <c r="J3058">
        <v>1</v>
      </c>
      <c r="K3058">
        <f>1-888-381-9860</f>
        <v>-11128</v>
      </c>
      <c r="L3058" t="s">
        <v>9588</v>
      </c>
      <c r="M3058" t="s">
        <v>9589</v>
      </c>
      <c r="N3058" t="s">
        <v>278</v>
      </c>
      <c r="O3058" t="s">
        <v>28</v>
      </c>
      <c r="P3058" t="s">
        <v>8085</v>
      </c>
      <c r="Q3058">
        <v>-24</v>
      </c>
      <c r="R3058">
        <v>-46.633000000000003</v>
      </c>
    </row>
    <row r="3059" spans="1:18" x14ac:dyDescent="0.2">
      <c r="A3059" t="s">
        <v>270</v>
      </c>
      <c r="B3059" t="s">
        <v>8080</v>
      </c>
      <c r="C3059">
        <v>1</v>
      </c>
      <c r="D3059" s="1">
        <v>44258.797905092593</v>
      </c>
      <c r="E3059" t="s">
        <v>9590</v>
      </c>
      <c r="F3059" t="s">
        <v>273</v>
      </c>
      <c r="G3059" t="s">
        <v>9585</v>
      </c>
      <c r="H3059" t="s">
        <v>275</v>
      </c>
      <c r="I3059" t="s">
        <v>29</v>
      </c>
      <c r="J3059">
        <v>1</v>
      </c>
      <c r="K3059">
        <f>1-844-220-8066</f>
        <v>-9129</v>
      </c>
      <c r="L3059" t="s">
        <v>9591</v>
      </c>
      <c r="M3059" t="s">
        <v>9592</v>
      </c>
      <c r="N3059" t="s">
        <v>278</v>
      </c>
      <c r="O3059" t="s">
        <v>28</v>
      </c>
      <c r="P3059" t="s">
        <v>8085</v>
      </c>
      <c r="Q3059">
        <v>-24</v>
      </c>
      <c r="R3059">
        <v>-46.633000000000003</v>
      </c>
    </row>
    <row r="3060" spans="1:18" x14ac:dyDescent="0.2">
      <c r="A3060" t="s">
        <v>270</v>
      </c>
      <c r="B3060" t="s">
        <v>8080</v>
      </c>
      <c r="C3060">
        <v>1</v>
      </c>
      <c r="D3060" s="1">
        <v>44253.735486111109</v>
      </c>
      <c r="E3060" t="s">
        <v>9593</v>
      </c>
      <c r="F3060" t="s">
        <v>273</v>
      </c>
      <c r="G3060" t="s">
        <v>9585</v>
      </c>
      <c r="H3060" t="s">
        <v>275</v>
      </c>
      <c r="I3060" t="s">
        <v>29</v>
      </c>
      <c r="J3060">
        <v>1</v>
      </c>
      <c r="K3060">
        <f>1-888-660-4919</f>
        <v>-6466</v>
      </c>
      <c r="L3060" t="s">
        <v>9594</v>
      </c>
      <c r="M3060" t="s">
        <v>9595</v>
      </c>
      <c r="N3060" t="s">
        <v>278</v>
      </c>
      <c r="O3060" t="s">
        <v>28</v>
      </c>
      <c r="P3060" t="s">
        <v>8085</v>
      </c>
      <c r="Q3060">
        <v>-24</v>
      </c>
      <c r="R3060">
        <v>-46.633000000000003</v>
      </c>
    </row>
    <row r="3061" spans="1:18" x14ac:dyDescent="0.2">
      <c r="A3061" t="s">
        <v>270</v>
      </c>
      <c r="B3061" t="s">
        <v>8080</v>
      </c>
      <c r="C3061">
        <v>1</v>
      </c>
      <c r="D3061" s="1">
        <v>44251.827361111114</v>
      </c>
      <c r="E3061" t="s">
        <v>9596</v>
      </c>
      <c r="F3061" t="s">
        <v>273</v>
      </c>
      <c r="G3061" t="s">
        <v>9585</v>
      </c>
      <c r="H3061" t="s">
        <v>275</v>
      </c>
      <c r="I3061" t="s">
        <v>29</v>
      </c>
      <c r="J3061">
        <v>1</v>
      </c>
      <c r="K3061">
        <f>1-888-585-4074</f>
        <v>-5546</v>
      </c>
      <c r="L3061" t="s">
        <v>9597</v>
      </c>
      <c r="M3061" t="s">
        <v>9598</v>
      </c>
      <c r="N3061" t="s">
        <v>278</v>
      </c>
      <c r="O3061" t="s">
        <v>28</v>
      </c>
      <c r="P3061" t="s">
        <v>8085</v>
      </c>
      <c r="Q3061">
        <v>-24</v>
      </c>
      <c r="R3061">
        <v>-46.633000000000003</v>
      </c>
    </row>
    <row r="3062" spans="1:18" x14ac:dyDescent="0.2">
      <c r="A3062" t="s">
        <v>270</v>
      </c>
      <c r="B3062" t="s">
        <v>8080</v>
      </c>
      <c r="C3062">
        <v>1</v>
      </c>
      <c r="D3062" s="1">
        <v>44251.810902777775</v>
      </c>
      <c r="E3062" t="s">
        <v>9599</v>
      </c>
      <c r="F3062" t="s">
        <v>273</v>
      </c>
      <c r="G3062" t="s">
        <v>9585</v>
      </c>
      <c r="H3062" t="s">
        <v>275</v>
      </c>
      <c r="I3062" t="s">
        <v>29</v>
      </c>
      <c r="J3062">
        <v>1</v>
      </c>
      <c r="K3062">
        <f>1-888-383-573</f>
        <v>-1843</v>
      </c>
      <c r="L3062" t="s">
        <v>9600</v>
      </c>
      <c r="M3062" t="s">
        <v>9601</v>
      </c>
      <c r="N3062" t="s">
        <v>278</v>
      </c>
      <c r="O3062" t="s">
        <v>28</v>
      </c>
      <c r="P3062" t="s">
        <v>8085</v>
      </c>
      <c r="Q3062">
        <v>-24</v>
      </c>
      <c r="R3062">
        <v>-46.633000000000003</v>
      </c>
    </row>
    <row r="3063" spans="1:18" x14ac:dyDescent="0.2">
      <c r="A3063" t="s">
        <v>270</v>
      </c>
      <c r="B3063" t="s">
        <v>8080</v>
      </c>
      <c r="C3063">
        <v>1</v>
      </c>
      <c r="D3063" s="1">
        <v>44250.822731481479</v>
      </c>
      <c r="E3063" t="s">
        <v>9602</v>
      </c>
      <c r="F3063" t="s">
        <v>273</v>
      </c>
      <c r="G3063" t="s">
        <v>9585</v>
      </c>
      <c r="H3063" t="s">
        <v>275</v>
      </c>
      <c r="I3063" t="s">
        <v>29</v>
      </c>
      <c r="J3063">
        <v>1</v>
      </c>
      <c r="K3063">
        <f>1-888-348-6558</f>
        <v>-7793</v>
      </c>
      <c r="L3063" t="s">
        <v>9603</v>
      </c>
      <c r="M3063" t="s">
        <v>9604</v>
      </c>
      <c r="N3063" t="s">
        <v>278</v>
      </c>
      <c r="O3063" t="s">
        <v>28</v>
      </c>
      <c r="P3063" t="s">
        <v>8085</v>
      </c>
      <c r="Q3063">
        <v>-24</v>
      </c>
      <c r="R3063">
        <v>-46.633000000000003</v>
      </c>
    </row>
    <row r="3064" spans="1:18" x14ac:dyDescent="0.2">
      <c r="A3064" t="s">
        <v>270</v>
      </c>
      <c r="B3064" t="s">
        <v>8080</v>
      </c>
      <c r="C3064">
        <v>1</v>
      </c>
      <c r="D3064" s="1">
        <v>44246.956296296295</v>
      </c>
      <c r="E3064" t="s">
        <v>9605</v>
      </c>
      <c r="F3064" t="s">
        <v>273</v>
      </c>
      <c r="G3064" t="s">
        <v>9585</v>
      </c>
      <c r="H3064" t="s">
        <v>275</v>
      </c>
      <c r="I3064" t="s">
        <v>29</v>
      </c>
      <c r="J3064">
        <v>1</v>
      </c>
      <c r="K3064">
        <f>1-888-335-9247</f>
        <v>-10469</v>
      </c>
      <c r="L3064" t="s">
        <v>9606</v>
      </c>
      <c r="M3064" t="s">
        <v>9607</v>
      </c>
      <c r="N3064" t="s">
        <v>278</v>
      </c>
      <c r="O3064" t="s">
        <v>28</v>
      </c>
      <c r="P3064" t="s">
        <v>8085</v>
      </c>
      <c r="Q3064">
        <v>-24</v>
      </c>
      <c r="R3064">
        <v>-46.633000000000003</v>
      </c>
    </row>
    <row r="3065" spans="1:18" x14ac:dyDescent="0.2">
      <c r="A3065" t="s">
        <v>270</v>
      </c>
      <c r="B3065" t="s">
        <v>8080</v>
      </c>
      <c r="C3065">
        <v>1</v>
      </c>
      <c r="D3065" s="1">
        <v>44232.902280092596</v>
      </c>
      <c r="E3065" t="s">
        <v>9608</v>
      </c>
      <c r="F3065" t="s">
        <v>273</v>
      </c>
      <c r="G3065" t="s">
        <v>9585</v>
      </c>
      <c r="H3065" t="s">
        <v>275</v>
      </c>
      <c r="I3065" t="s">
        <v>29</v>
      </c>
      <c r="J3065">
        <v>1</v>
      </c>
      <c r="K3065">
        <f>1-888-521-851</f>
        <v>-2259</v>
      </c>
      <c r="L3065" t="s">
        <v>9609</v>
      </c>
      <c r="M3065" t="s">
        <v>9610</v>
      </c>
      <c r="N3065" t="s">
        <v>278</v>
      </c>
      <c r="O3065" t="s">
        <v>28</v>
      </c>
      <c r="P3065" t="s">
        <v>8085</v>
      </c>
      <c r="Q3065">
        <v>-24</v>
      </c>
      <c r="R3065">
        <v>-46.633000000000003</v>
      </c>
    </row>
    <row r="3066" spans="1:18" x14ac:dyDescent="0.2">
      <c r="A3066" t="s">
        <v>270</v>
      </c>
      <c r="B3066" t="s">
        <v>8080</v>
      </c>
      <c r="C3066">
        <v>1</v>
      </c>
      <c r="D3066" s="1">
        <v>44223.828564814816</v>
      </c>
      <c r="E3066" t="s">
        <v>9611</v>
      </c>
      <c r="F3066" t="s">
        <v>273</v>
      </c>
      <c r="G3066" t="s">
        <v>9585</v>
      </c>
      <c r="H3066" t="s">
        <v>275</v>
      </c>
      <c r="I3066" t="s">
        <v>29</v>
      </c>
      <c r="J3066">
        <v>1</v>
      </c>
      <c r="K3066">
        <f>1-888-308-5679</f>
        <v>-6874</v>
      </c>
      <c r="L3066" t="s">
        <v>9612</v>
      </c>
      <c r="M3066" t="s">
        <v>9613</v>
      </c>
      <c r="N3066" t="s">
        <v>278</v>
      </c>
      <c r="O3066" t="s">
        <v>28</v>
      </c>
      <c r="P3066" t="s">
        <v>8085</v>
      </c>
      <c r="Q3066">
        <v>-24</v>
      </c>
      <c r="R3066">
        <v>-46.633000000000003</v>
      </c>
    </row>
    <row r="3067" spans="1:18" x14ac:dyDescent="0.2">
      <c r="A3067" t="s">
        <v>270</v>
      </c>
      <c r="B3067" t="s">
        <v>8080</v>
      </c>
      <c r="C3067">
        <v>1</v>
      </c>
      <c r="D3067" s="1">
        <v>44221.812997685185</v>
      </c>
      <c r="E3067" t="s">
        <v>9614</v>
      </c>
      <c r="F3067" t="s">
        <v>273</v>
      </c>
      <c r="G3067" t="s">
        <v>9585</v>
      </c>
      <c r="H3067" t="s">
        <v>275</v>
      </c>
      <c r="I3067" t="s">
        <v>29</v>
      </c>
      <c r="J3067">
        <v>1</v>
      </c>
      <c r="K3067">
        <f>1-888-372-9272</f>
        <v>-10531</v>
      </c>
      <c r="L3067" t="s">
        <v>9615</v>
      </c>
      <c r="M3067" t="s">
        <v>9616</v>
      </c>
      <c r="N3067" t="s">
        <v>278</v>
      </c>
      <c r="O3067" t="s">
        <v>28</v>
      </c>
      <c r="P3067" t="s">
        <v>8085</v>
      </c>
      <c r="Q3067">
        <v>-24</v>
      </c>
      <c r="R3067">
        <v>-46.633000000000003</v>
      </c>
    </row>
    <row r="3068" spans="1:18" x14ac:dyDescent="0.2">
      <c r="A3068" t="s">
        <v>270</v>
      </c>
      <c r="B3068" t="s">
        <v>8080</v>
      </c>
      <c r="C3068">
        <v>1</v>
      </c>
      <c r="D3068" s="1">
        <v>44149.138124999998</v>
      </c>
      <c r="E3068" t="s">
        <v>9617</v>
      </c>
      <c r="F3068" t="s">
        <v>273</v>
      </c>
      <c r="G3068" t="s">
        <v>9585</v>
      </c>
      <c r="H3068" t="s">
        <v>275</v>
      </c>
      <c r="I3068" t="s">
        <v>29</v>
      </c>
      <c r="J3068">
        <v>1</v>
      </c>
      <c r="K3068">
        <f>1-844-293-617</f>
        <v>-1753</v>
      </c>
      <c r="L3068" t="s">
        <v>9618</v>
      </c>
      <c r="M3068" t="s">
        <v>9619</v>
      </c>
      <c r="N3068" t="s">
        <v>278</v>
      </c>
      <c r="O3068" t="s">
        <v>134</v>
      </c>
      <c r="P3068" t="s">
        <v>8085</v>
      </c>
      <c r="Q3068">
        <v>-24</v>
      </c>
      <c r="R3068">
        <v>-46.633000000000003</v>
      </c>
    </row>
    <row r="3069" spans="1:18" x14ac:dyDescent="0.2">
      <c r="A3069" t="s">
        <v>270</v>
      </c>
      <c r="B3069" t="s">
        <v>8080</v>
      </c>
      <c r="C3069">
        <v>1</v>
      </c>
      <c r="D3069" s="1">
        <v>44149.137511574074</v>
      </c>
      <c r="E3069" t="s">
        <v>9620</v>
      </c>
      <c r="F3069" t="s">
        <v>273</v>
      </c>
      <c r="G3069" t="s">
        <v>9585</v>
      </c>
      <c r="H3069" t="s">
        <v>275</v>
      </c>
      <c r="I3069" t="s">
        <v>29</v>
      </c>
      <c r="J3069">
        <v>1</v>
      </c>
      <c r="K3069">
        <f>1-844-293-617</f>
        <v>-1753</v>
      </c>
      <c r="L3069" t="s">
        <v>9621</v>
      </c>
      <c r="M3069" t="s">
        <v>9622</v>
      </c>
      <c r="N3069" t="s">
        <v>278</v>
      </c>
      <c r="O3069" t="s">
        <v>134</v>
      </c>
      <c r="P3069" t="s">
        <v>8085</v>
      </c>
      <c r="Q3069">
        <v>-24</v>
      </c>
      <c r="R3069">
        <v>-46.633000000000003</v>
      </c>
    </row>
    <row r="3070" spans="1:18" x14ac:dyDescent="0.2">
      <c r="A3070" t="s">
        <v>270</v>
      </c>
      <c r="B3070" t="s">
        <v>8080</v>
      </c>
      <c r="C3070">
        <v>1</v>
      </c>
      <c r="D3070" s="1">
        <v>44149.137071759258</v>
      </c>
      <c r="E3070" t="s">
        <v>9623</v>
      </c>
      <c r="F3070" t="s">
        <v>273</v>
      </c>
      <c r="G3070" t="s">
        <v>9585</v>
      </c>
      <c r="H3070" t="s">
        <v>275</v>
      </c>
      <c r="I3070" t="s">
        <v>29</v>
      </c>
      <c r="J3070">
        <v>1</v>
      </c>
      <c r="K3070">
        <f>1-844-293-617</f>
        <v>-1753</v>
      </c>
      <c r="L3070" t="s">
        <v>9624</v>
      </c>
      <c r="M3070" t="s">
        <v>9625</v>
      </c>
      <c r="N3070" t="s">
        <v>278</v>
      </c>
      <c r="O3070" t="s">
        <v>134</v>
      </c>
      <c r="P3070" t="s">
        <v>8085</v>
      </c>
      <c r="Q3070">
        <v>-24</v>
      </c>
      <c r="R3070">
        <v>-46.633000000000003</v>
      </c>
    </row>
    <row r="3071" spans="1:18" x14ac:dyDescent="0.2">
      <c r="A3071" t="s">
        <v>270</v>
      </c>
      <c r="B3071" t="s">
        <v>8080</v>
      </c>
      <c r="C3071">
        <v>1</v>
      </c>
      <c r="D3071" s="1">
        <v>44149.136377314811</v>
      </c>
      <c r="E3071" t="s">
        <v>9626</v>
      </c>
      <c r="F3071" t="s">
        <v>273</v>
      </c>
      <c r="G3071" t="s">
        <v>9585</v>
      </c>
      <c r="H3071" t="s">
        <v>275</v>
      </c>
      <c r="I3071" t="s">
        <v>29</v>
      </c>
      <c r="J3071">
        <v>1</v>
      </c>
      <c r="K3071">
        <f>1-844-288-9125</f>
        <v>-10256</v>
      </c>
      <c r="L3071" t="s">
        <v>9627</v>
      </c>
      <c r="M3071" t="s">
        <v>9628</v>
      </c>
      <c r="N3071" t="s">
        <v>278</v>
      </c>
      <c r="O3071" t="s">
        <v>134</v>
      </c>
      <c r="P3071" t="s">
        <v>8085</v>
      </c>
      <c r="Q3071">
        <v>-24</v>
      </c>
      <c r="R3071">
        <v>-46.633000000000003</v>
      </c>
    </row>
    <row r="3072" spans="1:18" x14ac:dyDescent="0.2">
      <c r="A3072" t="s">
        <v>270</v>
      </c>
      <c r="B3072" t="s">
        <v>8080</v>
      </c>
      <c r="C3072">
        <v>1</v>
      </c>
      <c r="D3072" s="1">
        <v>44149.136192129627</v>
      </c>
      <c r="E3072" t="s">
        <v>9629</v>
      </c>
      <c r="F3072" t="s">
        <v>273</v>
      </c>
      <c r="G3072" t="s">
        <v>9585</v>
      </c>
      <c r="H3072" t="s">
        <v>275</v>
      </c>
      <c r="I3072" t="s">
        <v>29</v>
      </c>
      <c r="J3072">
        <v>1</v>
      </c>
      <c r="K3072">
        <f>1-844-288-9125</f>
        <v>-10256</v>
      </c>
      <c r="L3072" t="s">
        <v>9630</v>
      </c>
      <c r="M3072" t="s">
        <v>9631</v>
      </c>
      <c r="N3072" t="s">
        <v>278</v>
      </c>
      <c r="O3072" t="s">
        <v>134</v>
      </c>
      <c r="P3072" t="s">
        <v>8085</v>
      </c>
      <c r="Q3072">
        <v>-24</v>
      </c>
      <c r="R3072">
        <v>-46.633000000000003</v>
      </c>
    </row>
    <row r="3073" spans="1:18" x14ac:dyDescent="0.2">
      <c r="A3073" t="s">
        <v>270</v>
      </c>
      <c r="B3073" t="s">
        <v>8080</v>
      </c>
      <c r="C3073">
        <v>1</v>
      </c>
      <c r="D3073" s="1">
        <v>44149.135300925926</v>
      </c>
      <c r="E3073" t="s">
        <v>9632</v>
      </c>
      <c r="F3073" t="s">
        <v>273</v>
      </c>
      <c r="G3073" t="s">
        <v>9585</v>
      </c>
      <c r="H3073" t="s">
        <v>275</v>
      </c>
      <c r="I3073" t="s">
        <v>29</v>
      </c>
      <c r="J3073">
        <v>1</v>
      </c>
      <c r="K3073">
        <f>1-844-295-578</f>
        <v>-1716</v>
      </c>
      <c r="L3073" t="s">
        <v>9633</v>
      </c>
      <c r="M3073" t="s">
        <v>9634</v>
      </c>
      <c r="N3073" t="s">
        <v>278</v>
      </c>
      <c r="O3073" t="s">
        <v>134</v>
      </c>
      <c r="P3073" t="s">
        <v>8085</v>
      </c>
      <c r="Q3073">
        <v>-24</v>
      </c>
      <c r="R3073">
        <v>-46.633000000000003</v>
      </c>
    </row>
    <row r="3074" spans="1:18" x14ac:dyDescent="0.2">
      <c r="A3074" t="s">
        <v>270</v>
      </c>
      <c r="B3074" t="s">
        <v>8080</v>
      </c>
      <c r="C3074">
        <v>1</v>
      </c>
      <c r="D3074" s="1">
        <v>44149.134201388886</v>
      </c>
      <c r="E3074" t="s">
        <v>9635</v>
      </c>
      <c r="F3074" t="s">
        <v>273</v>
      </c>
      <c r="G3074" t="s">
        <v>9585</v>
      </c>
      <c r="H3074" t="s">
        <v>275</v>
      </c>
      <c r="I3074" t="s">
        <v>29</v>
      </c>
      <c r="J3074">
        <v>1</v>
      </c>
      <c r="K3074">
        <f>1-844-294-4812</f>
        <v>-5949</v>
      </c>
      <c r="L3074" t="s">
        <v>9636</v>
      </c>
      <c r="M3074" t="s">
        <v>9637</v>
      </c>
      <c r="N3074" t="s">
        <v>278</v>
      </c>
      <c r="O3074" t="s">
        <v>134</v>
      </c>
      <c r="P3074" t="s">
        <v>8085</v>
      </c>
      <c r="Q3074">
        <v>-24</v>
      </c>
      <c r="R3074">
        <v>-46.633000000000003</v>
      </c>
    </row>
    <row r="3075" spans="1:18" x14ac:dyDescent="0.2">
      <c r="A3075" t="s">
        <v>270</v>
      </c>
      <c r="B3075" t="s">
        <v>8080</v>
      </c>
      <c r="C3075">
        <v>1</v>
      </c>
      <c r="D3075" s="1">
        <v>44149.122094907405</v>
      </c>
      <c r="E3075" t="s">
        <v>9638</v>
      </c>
      <c r="F3075" t="s">
        <v>273</v>
      </c>
      <c r="G3075" t="s">
        <v>9585</v>
      </c>
      <c r="H3075" t="s">
        <v>275</v>
      </c>
      <c r="I3075" t="s">
        <v>29</v>
      </c>
      <c r="J3075">
        <v>1</v>
      </c>
      <c r="K3075">
        <f>1-844-295-7564</f>
        <v>-8702</v>
      </c>
      <c r="L3075" t="s">
        <v>9639</v>
      </c>
      <c r="M3075" t="s">
        <v>9640</v>
      </c>
      <c r="N3075" t="s">
        <v>278</v>
      </c>
      <c r="O3075" t="s">
        <v>134</v>
      </c>
      <c r="P3075" t="s">
        <v>8085</v>
      </c>
      <c r="Q3075">
        <v>-24</v>
      </c>
      <c r="R3075">
        <v>-46.633000000000003</v>
      </c>
    </row>
    <row r="3076" spans="1:18" x14ac:dyDescent="0.2">
      <c r="A3076" t="s">
        <v>270</v>
      </c>
      <c r="B3076" t="s">
        <v>8080</v>
      </c>
      <c r="C3076">
        <v>1</v>
      </c>
      <c r="D3076" s="1">
        <v>44144.72760416667</v>
      </c>
      <c r="E3076" t="s">
        <v>9641</v>
      </c>
      <c r="F3076" t="s">
        <v>273</v>
      </c>
      <c r="G3076" t="s">
        <v>9585</v>
      </c>
      <c r="H3076" t="s">
        <v>275</v>
      </c>
      <c r="I3076" t="s">
        <v>29</v>
      </c>
      <c r="J3076">
        <v>1</v>
      </c>
      <c r="K3076">
        <f>1-844-276-4002</f>
        <v>-5121</v>
      </c>
      <c r="L3076" t="s">
        <v>9642</v>
      </c>
      <c r="M3076" t="s">
        <v>9643</v>
      </c>
      <c r="N3076" t="s">
        <v>278</v>
      </c>
      <c r="O3076" t="s">
        <v>28</v>
      </c>
      <c r="P3076" t="s">
        <v>8085</v>
      </c>
      <c r="Q3076">
        <v>-24</v>
      </c>
      <c r="R3076">
        <v>-46.633000000000003</v>
      </c>
    </row>
    <row r="3077" spans="1:18" x14ac:dyDescent="0.2">
      <c r="A3077" t="s">
        <v>270</v>
      </c>
      <c r="B3077" t="s">
        <v>8080</v>
      </c>
      <c r="C3077">
        <v>1</v>
      </c>
      <c r="D3077" s="1">
        <v>44141.78974537037</v>
      </c>
      <c r="E3077" t="s">
        <v>9644</v>
      </c>
      <c r="F3077" t="s">
        <v>273</v>
      </c>
      <c r="G3077" t="s">
        <v>9585</v>
      </c>
      <c r="H3077" t="s">
        <v>275</v>
      </c>
      <c r="I3077" t="s">
        <v>29</v>
      </c>
      <c r="J3077">
        <v>1</v>
      </c>
      <c r="K3077">
        <f>1-844-279-2314</f>
        <v>-3436</v>
      </c>
      <c r="L3077" t="s">
        <v>9645</v>
      </c>
      <c r="M3077" t="s">
        <v>9646</v>
      </c>
      <c r="N3077" t="s">
        <v>278</v>
      </c>
      <c r="O3077" t="s">
        <v>28</v>
      </c>
      <c r="P3077" t="s">
        <v>8085</v>
      </c>
      <c r="Q3077">
        <v>-24</v>
      </c>
      <c r="R3077">
        <v>-46.633000000000003</v>
      </c>
    </row>
    <row r="3078" spans="1:18" x14ac:dyDescent="0.2">
      <c r="A3078" t="s">
        <v>270</v>
      </c>
      <c r="B3078" t="s">
        <v>8080</v>
      </c>
      <c r="C3078">
        <v>1</v>
      </c>
      <c r="D3078" s="1">
        <v>44140.881736111114</v>
      </c>
      <c r="E3078" t="s">
        <v>9647</v>
      </c>
      <c r="F3078" t="s">
        <v>273</v>
      </c>
      <c r="G3078" t="s">
        <v>9585</v>
      </c>
      <c r="H3078" t="s">
        <v>275</v>
      </c>
      <c r="I3078" t="s">
        <v>29</v>
      </c>
      <c r="J3078">
        <v>1</v>
      </c>
      <c r="K3078">
        <f>1-888-394-9435</f>
        <v>-10716</v>
      </c>
      <c r="L3078" t="s">
        <v>9648</v>
      </c>
      <c r="M3078" t="s">
        <v>9649</v>
      </c>
      <c r="N3078" t="s">
        <v>278</v>
      </c>
      <c r="O3078" t="s">
        <v>28</v>
      </c>
      <c r="P3078" t="s">
        <v>8085</v>
      </c>
      <c r="Q3078">
        <v>-24</v>
      </c>
      <c r="R3078">
        <v>-46.633000000000003</v>
      </c>
    </row>
    <row r="3079" spans="1:18" x14ac:dyDescent="0.2">
      <c r="A3079" t="s">
        <v>270</v>
      </c>
      <c r="B3079" t="s">
        <v>8080</v>
      </c>
      <c r="C3079">
        <v>1</v>
      </c>
      <c r="D3079" s="1">
        <v>44140.796863425923</v>
      </c>
      <c r="E3079" t="s">
        <v>9650</v>
      </c>
      <c r="F3079" t="s">
        <v>273</v>
      </c>
      <c r="G3079" t="s">
        <v>9585</v>
      </c>
      <c r="H3079" t="s">
        <v>275</v>
      </c>
      <c r="I3079" t="s">
        <v>29</v>
      </c>
      <c r="J3079">
        <v>1</v>
      </c>
      <c r="K3079">
        <f>1-888-392-7351</f>
        <v>-8630</v>
      </c>
      <c r="L3079" t="s">
        <v>9651</v>
      </c>
      <c r="M3079" t="s">
        <v>9652</v>
      </c>
      <c r="N3079" t="s">
        <v>278</v>
      </c>
      <c r="O3079" t="s">
        <v>28</v>
      </c>
      <c r="P3079" t="s">
        <v>8085</v>
      </c>
      <c r="Q3079">
        <v>-24</v>
      </c>
      <c r="R3079">
        <v>-46.633000000000003</v>
      </c>
    </row>
    <row r="3080" spans="1:18" x14ac:dyDescent="0.2">
      <c r="A3080" t="s">
        <v>270</v>
      </c>
      <c r="B3080" t="s">
        <v>8080</v>
      </c>
      <c r="C3080">
        <v>1</v>
      </c>
      <c r="D3080" s="1">
        <v>44140.789652777778</v>
      </c>
      <c r="E3080" t="s">
        <v>9653</v>
      </c>
      <c r="F3080" t="s">
        <v>273</v>
      </c>
      <c r="G3080" t="s">
        <v>9585</v>
      </c>
      <c r="H3080" t="s">
        <v>275</v>
      </c>
      <c r="I3080" t="s">
        <v>29</v>
      </c>
      <c r="J3080">
        <v>1</v>
      </c>
      <c r="K3080">
        <f>1-888-392-7351</f>
        <v>-8630</v>
      </c>
      <c r="L3080" t="s">
        <v>9654</v>
      </c>
      <c r="M3080" t="s">
        <v>9655</v>
      </c>
      <c r="N3080" t="s">
        <v>278</v>
      </c>
      <c r="O3080" t="s">
        <v>28</v>
      </c>
      <c r="P3080" t="s">
        <v>8085</v>
      </c>
      <c r="Q3080">
        <v>-24</v>
      </c>
      <c r="R3080">
        <v>-46.633000000000003</v>
      </c>
    </row>
    <row r="3081" spans="1:18" x14ac:dyDescent="0.2">
      <c r="A3081" t="s">
        <v>270</v>
      </c>
      <c r="B3081" t="s">
        <v>8080</v>
      </c>
      <c r="C3081">
        <v>1</v>
      </c>
      <c r="D3081" s="1">
        <v>44140.785000000003</v>
      </c>
      <c r="E3081" t="s">
        <v>9656</v>
      </c>
      <c r="F3081" t="s">
        <v>273</v>
      </c>
      <c r="G3081" t="s">
        <v>9585</v>
      </c>
      <c r="H3081" t="s">
        <v>275</v>
      </c>
      <c r="I3081" t="s">
        <v>29</v>
      </c>
      <c r="J3081">
        <v>1</v>
      </c>
      <c r="K3081">
        <f>1-888-392-6065</f>
        <v>-7344</v>
      </c>
      <c r="L3081" t="s">
        <v>9657</v>
      </c>
      <c r="M3081" t="s">
        <v>9658</v>
      </c>
      <c r="N3081" t="s">
        <v>278</v>
      </c>
      <c r="O3081" t="s">
        <v>28</v>
      </c>
      <c r="P3081" t="s">
        <v>8085</v>
      </c>
      <c r="Q3081">
        <v>-24</v>
      </c>
      <c r="R3081">
        <v>-46.633000000000003</v>
      </c>
    </row>
    <row r="3082" spans="1:18" x14ac:dyDescent="0.2">
      <c r="A3082" t="s">
        <v>270</v>
      </c>
      <c r="B3082" t="s">
        <v>8080</v>
      </c>
      <c r="C3082">
        <v>1</v>
      </c>
      <c r="D3082" s="1">
        <v>44140.779050925928</v>
      </c>
      <c r="E3082" t="s">
        <v>9659</v>
      </c>
      <c r="F3082" t="s">
        <v>273</v>
      </c>
      <c r="G3082" t="s">
        <v>9585</v>
      </c>
      <c r="H3082" t="s">
        <v>275</v>
      </c>
      <c r="I3082" t="s">
        <v>29</v>
      </c>
      <c r="J3082">
        <v>1</v>
      </c>
      <c r="K3082">
        <f>1-888-397-7606</f>
        <v>-8890</v>
      </c>
      <c r="L3082" t="s">
        <v>9660</v>
      </c>
      <c r="M3082" t="s">
        <v>9661</v>
      </c>
      <c r="N3082" t="s">
        <v>278</v>
      </c>
      <c r="O3082" t="s">
        <v>28</v>
      </c>
      <c r="P3082" t="s">
        <v>8085</v>
      </c>
      <c r="Q3082">
        <v>-24</v>
      </c>
      <c r="R3082">
        <v>-46.633000000000003</v>
      </c>
    </row>
    <row r="3083" spans="1:18" x14ac:dyDescent="0.2">
      <c r="A3083" t="s">
        <v>270</v>
      </c>
      <c r="B3083" t="s">
        <v>8080</v>
      </c>
      <c r="C3083">
        <v>1</v>
      </c>
      <c r="D3083" s="1">
        <v>44139.850902777776</v>
      </c>
      <c r="E3083" t="s">
        <v>9662</v>
      </c>
      <c r="F3083" t="s">
        <v>273</v>
      </c>
      <c r="G3083" t="s">
        <v>9585</v>
      </c>
      <c r="H3083" t="s">
        <v>275</v>
      </c>
      <c r="I3083" t="s">
        <v>29</v>
      </c>
      <c r="J3083">
        <v>1</v>
      </c>
      <c r="K3083">
        <f>1-888-385-1746</f>
        <v>-3018</v>
      </c>
      <c r="L3083" t="s">
        <v>9663</v>
      </c>
      <c r="M3083" t="s">
        <v>9664</v>
      </c>
      <c r="N3083" t="s">
        <v>278</v>
      </c>
      <c r="O3083" t="s">
        <v>28</v>
      </c>
      <c r="P3083" t="s">
        <v>8085</v>
      </c>
      <c r="Q3083">
        <v>-24</v>
      </c>
      <c r="R3083">
        <v>-46.633000000000003</v>
      </c>
    </row>
    <row r="3084" spans="1:18" x14ac:dyDescent="0.2">
      <c r="A3084" t="s">
        <v>270</v>
      </c>
      <c r="B3084" t="s">
        <v>8080</v>
      </c>
      <c r="C3084">
        <v>1</v>
      </c>
      <c r="D3084" s="1">
        <v>44137.803078703706</v>
      </c>
      <c r="E3084" t="s">
        <v>9665</v>
      </c>
      <c r="F3084" t="s">
        <v>273</v>
      </c>
      <c r="G3084" t="s">
        <v>9585</v>
      </c>
      <c r="H3084" t="s">
        <v>275</v>
      </c>
      <c r="I3084" t="s">
        <v>29</v>
      </c>
      <c r="J3084">
        <v>1</v>
      </c>
      <c r="K3084">
        <f>1-888-368-2560</f>
        <v>-3815</v>
      </c>
      <c r="L3084" t="s">
        <v>9666</v>
      </c>
      <c r="M3084" t="s">
        <v>9667</v>
      </c>
      <c r="N3084" t="s">
        <v>278</v>
      </c>
      <c r="O3084" t="s">
        <v>28</v>
      </c>
      <c r="P3084" t="s">
        <v>8085</v>
      </c>
      <c r="Q3084">
        <v>-24</v>
      </c>
      <c r="R3084">
        <v>-46.633000000000003</v>
      </c>
    </row>
    <row r="3085" spans="1:18" x14ac:dyDescent="0.2">
      <c r="A3085" t="s">
        <v>270</v>
      </c>
      <c r="B3085" t="s">
        <v>8080</v>
      </c>
      <c r="C3085">
        <v>1</v>
      </c>
      <c r="D3085" s="1">
        <v>44131.716249999998</v>
      </c>
      <c r="E3085" t="s">
        <v>9668</v>
      </c>
      <c r="F3085" t="s">
        <v>273</v>
      </c>
      <c r="G3085" t="s">
        <v>9585</v>
      </c>
      <c r="H3085" t="s">
        <v>275</v>
      </c>
      <c r="I3085" t="s">
        <v>29</v>
      </c>
      <c r="J3085">
        <v>1</v>
      </c>
      <c r="K3085">
        <f>1-888-272-3456</f>
        <v>-4615</v>
      </c>
      <c r="L3085" t="s">
        <v>9669</v>
      </c>
      <c r="M3085" t="s">
        <v>9670</v>
      </c>
      <c r="N3085" t="s">
        <v>278</v>
      </c>
      <c r="O3085" t="s">
        <v>28</v>
      </c>
      <c r="P3085" t="s">
        <v>8085</v>
      </c>
      <c r="Q3085">
        <v>-24</v>
      </c>
      <c r="R3085">
        <v>-46.633000000000003</v>
      </c>
    </row>
    <row r="3086" spans="1:18" x14ac:dyDescent="0.2">
      <c r="A3086" t="s">
        <v>270</v>
      </c>
      <c r="B3086" t="s">
        <v>8080</v>
      </c>
      <c r="C3086">
        <v>1</v>
      </c>
      <c r="D3086" s="1">
        <v>44103.763611111113</v>
      </c>
      <c r="E3086" t="s">
        <v>9671</v>
      </c>
      <c r="F3086" t="s">
        <v>273</v>
      </c>
      <c r="G3086" t="s">
        <v>9585</v>
      </c>
      <c r="H3086" t="s">
        <v>275</v>
      </c>
      <c r="I3086" t="s">
        <v>29</v>
      </c>
      <c r="J3086">
        <v>1</v>
      </c>
      <c r="K3086">
        <f>1-888-211-6160</f>
        <v>-7258</v>
      </c>
      <c r="L3086" t="s">
        <v>9672</v>
      </c>
      <c r="M3086" t="s">
        <v>9673</v>
      </c>
      <c r="N3086" t="s">
        <v>278</v>
      </c>
      <c r="O3086" t="s">
        <v>134</v>
      </c>
      <c r="P3086" t="s">
        <v>8085</v>
      </c>
      <c r="Q3086">
        <v>-24</v>
      </c>
      <c r="R3086">
        <v>-46.633000000000003</v>
      </c>
    </row>
    <row r="3087" spans="1:18" x14ac:dyDescent="0.2">
      <c r="A3087" t="s">
        <v>270</v>
      </c>
      <c r="B3087" t="s">
        <v>8080</v>
      </c>
      <c r="C3087">
        <v>1</v>
      </c>
      <c r="D3087" s="1">
        <v>44103.761886574073</v>
      </c>
      <c r="E3087" t="s">
        <v>9674</v>
      </c>
      <c r="F3087" t="s">
        <v>273</v>
      </c>
      <c r="G3087" t="s">
        <v>9585</v>
      </c>
      <c r="H3087" t="s">
        <v>275</v>
      </c>
      <c r="I3087" t="s">
        <v>29</v>
      </c>
      <c r="J3087">
        <v>1</v>
      </c>
      <c r="K3087">
        <f>1-888-210-6654</f>
        <v>-7751</v>
      </c>
      <c r="L3087" t="s">
        <v>9675</v>
      </c>
      <c r="M3087" t="s">
        <v>9676</v>
      </c>
      <c r="N3087" t="s">
        <v>278</v>
      </c>
      <c r="O3087" t="s">
        <v>134</v>
      </c>
      <c r="P3087" t="s">
        <v>8085</v>
      </c>
      <c r="Q3087">
        <v>-24</v>
      </c>
      <c r="R3087">
        <v>-46.633000000000003</v>
      </c>
    </row>
    <row r="3088" spans="1:18" x14ac:dyDescent="0.2">
      <c r="A3088" t="s">
        <v>270</v>
      </c>
      <c r="B3088" t="s">
        <v>8080</v>
      </c>
      <c r="C3088">
        <v>1</v>
      </c>
      <c r="D3088" s="1">
        <v>44102.822847222225</v>
      </c>
      <c r="E3088" t="s">
        <v>9677</v>
      </c>
      <c r="F3088" t="s">
        <v>273</v>
      </c>
      <c r="G3088" t="s">
        <v>9585</v>
      </c>
      <c r="H3088" t="s">
        <v>275</v>
      </c>
      <c r="I3088" t="s">
        <v>29</v>
      </c>
      <c r="J3088">
        <v>1</v>
      </c>
      <c r="K3088">
        <f>1-888-259-4874</f>
        <v>-6020</v>
      </c>
      <c r="L3088" t="s">
        <v>9678</v>
      </c>
      <c r="M3088" t="s">
        <v>9679</v>
      </c>
      <c r="N3088" t="s">
        <v>278</v>
      </c>
      <c r="O3088" t="s">
        <v>28</v>
      </c>
      <c r="P3088" t="s">
        <v>8085</v>
      </c>
      <c r="Q3088">
        <v>-24</v>
      </c>
      <c r="R3088">
        <v>-46.633000000000003</v>
      </c>
    </row>
    <row r="3089" spans="1:18" x14ac:dyDescent="0.2">
      <c r="A3089" t="s">
        <v>270</v>
      </c>
      <c r="B3089" t="s">
        <v>8080</v>
      </c>
      <c r="C3089">
        <v>1</v>
      </c>
      <c r="D3089" s="1">
        <v>44099.909872685188</v>
      </c>
      <c r="E3089" t="s">
        <v>9680</v>
      </c>
      <c r="F3089" t="s">
        <v>273</v>
      </c>
      <c r="G3089" t="s">
        <v>9585</v>
      </c>
      <c r="H3089" t="s">
        <v>275</v>
      </c>
      <c r="I3089" t="s">
        <v>29</v>
      </c>
      <c r="J3089">
        <v>1</v>
      </c>
      <c r="K3089">
        <f>1-888-252-1197</f>
        <v>-2336</v>
      </c>
      <c r="L3089" t="s">
        <v>9681</v>
      </c>
      <c r="M3089" t="s">
        <v>9682</v>
      </c>
      <c r="N3089" t="s">
        <v>278</v>
      </c>
      <c r="O3089" t="s">
        <v>28</v>
      </c>
      <c r="P3089" t="s">
        <v>8085</v>
      </c>
      <c r="Q3089">
        <v>-24</v>
      </c>
      <c r="R3089">
        <v>-46.633000000000003</v>
      </c>
    </row>
    <row r="3090" spans="1:18" x14ac:dyDescent="0.2">
      <c r="A3090" t="s">
        <v>270</v>
      </c>
      <c r="B3090" t="s">
        <v>8080</v>
      </c>
      <c r="C3090">
        <v>1</v>
      </c>
      <c r="D3090" s="1">
        <v>44099.358425925922</v>
      </c>
      <c r="E3090" t="s">
        <v>8146</v>
      </c>
      <c r="F3090" t="s">
        <v>273</v>
      </c>
      <c r="G3090" t="s">
        <v>9585</v>
      </c>
      <c r="H3090" t="s">
        <v>275</v>
      </c>
      <c r="I3090" t="s">
        <v>29</v>
      </c>
      <c r="J3090">
        <v>1</v>
      </c>
      <c r="K3090">
        <f>1-888-254-1267</f>
        <v>-2408</v>
      </c>
      <c r="L3090" t="s">
        <v>9683</v>
      </c>
      <c r="M3090" t="s">
        <v>9684</v>
      </c>
      <c r="N3090" t="s">
        <v>278</v>
      </c>
      <c r="O3090" t="s">
        <v>28</v>
      </c>
      <c r="P3090" t="s">
        <v>8085</v>
      </c>
      <c r="Q3090">
        <v>-24</v>
      </c>
      <c r="R3090">
        <v>-46.633000000000003</v>
      </c>
    </row>
    <row r="3091" spans="1:18" x14ac:dyDescent="0.2">
      <c r="A3091" t="s">
        <v>270</v>
      </c>
      <c r="B3091" t="s">
        <v>8080</v>
      </c>
      <c r="C3091">
        <v>1</v>
      </c>
      <c r="D3091" s="1">
        <v>44098.786874999998</v>
      </c>
      <c r="E3091" t="s">
        <v>9685</v>
      </c>
      <c r="F3091" t="s">
        <v>273</v>
      </c>
      <c r="G3091" t="s">
        <v>9585</v>
      </c>
      <c r="H3091" t="s">
        <v>275</v>
      </c>
      <c r="I3091" t="s">
        <v>29</v>
      </c>
      <c r="J3091">
        <v>1</v>
      </c>
      <c r="K3091">
        <f>1-888-264-344</f>
        <v>-1495</v>
      </c>
      <c r="L3091" t="s">
        <v>9686</v>
      </c>
      <c r="M3091" t="s">
        <v>9687</v>
      </c>
      <c r="N3091" t="s">
        <v>278</v>
      </c>
      <c r="O3091" t="s">
        <v>28</v>
      </c>
      <c r="P3091" t="s">
        <v>8085</v>
      </c>
      <c r="Q3091">
        <v>-24</v>
      </c>
      <c r="R3091">
        <v>-46.633000000000003</v>
      </c>
    </row>
    <row r="3092" spans="1:18" x14ac:dyDescent="0.2">
      <c r="A3092" t="s">
        <v>270</v>
      </c>
      <c r="B3092" t="s">
        <v>8080</v>
      </c>
      <c r="C3092">
        <v>1</v>
      </c>
      <c r="D3092" s="1">
        <v>44096.837407407409</v>
      </c>
      <c r="E3092" t="s">
        <v>9688</v>
      </c>
      <c r="F3092" t="s">
        <v>273</v>
      </c>
      <c r="G3092" t="s">
        <v>9585</v>
      </c>
      <c r="H3092" t="s">
        <v>275</v>
      </c>
      <c r="I3092" t="s">
        <v>29</v>
      </c>
      <c r="J3092">
        <v>1</v>
      </c>
      <c r="K3092">
        <f>1-888-210-6063</f>
        <v>-7160</v>
      </c>
      <c r="L3092" t="s">
        <v>9689</v>
      </c>
      <c r="M3092" t="s">
        <v>9690</v>
      </c>
      <c r="N3092" t="s">
        <v>278</v>
      </c>
      <c r="O3092" t="s">
        <v>28</v>
      </c>
      <c r="P3092" t="s">
        <v>8085</v>
      </c>
      <c r="Q3092">
        <v>-24</v>
      </c>
      <c r="R3092">
        <v>-46.633000000000003</v>
      </c>
    </row>
    <row r="3093" spans="1:18" x14ac:dyDescent="0.2">
      <c r="A3093" t="s">
        <v>270</v>
      </c>
      <c r="B3093" t="s">
        <v>8080</v>
      </c>
      <c r="C3093">
        <v>1</v>
      </c>
      <c r="D3093" s="1">
        <v>44096.837129629632</v>
      </c>
      <c r="E3093" t="s">
        <v>9691</v>
      </c>
      <c r="F3093" t="s">
        <v>273</v>
      </c>
      <c r="G3093" t="s">
        <v>9585</v>
      </c>
      <c r="H3093" t="s">
        <v>275</v>
      </c>
      <c r="I3093" t="s">
        <v>29</v>
      </c>
      <c r="J3093">
        <v>1</v>
      </c>
      <c r="K3093">
        <f>1-888-210-6063</f>
        <v>-7160</v>
      </c>
      <c r="L3093" t="s">
        <v>9692</v>
      </c>
      <c r="M3093" t="s">
        <v>9693</v>
      </c>
      <c r="N3093" t="s">
        <v>278</v>
      </c>
      <c r="O3093" t="s">
        <v>28</v>
      </c>
      <c r="P3093" t="s">
        <v>8085</v>
      </c>
      <c r="Q3093">
        <v>-24</v>
      </c>
      <c r="R3093">
        <v>-46.633000000000003</v>
      </c>
    </row>
    <row r="3094" spans="1:18" x14ac:dyDescent="0.2">
      <c r="A3094" t="s">
        <v>270</v>
      </c>
      <c r="B3094" t="s">
        <v>8080</v>
      </c>
      <c r="C3094">
        <v>1</v>
      </c>
      <c r="D3094" s="1">
        <v>44096.368645833332</v>
      </c>
      <c r="E3094" t="s">
        <v>9694</v>
      </c>
      <c r="F3094" t="s">
        <v>273</v>
      </c>
      <c r="G3094" t="s">
        <v>9585</v>
      </c>
      <c r="H3094" t="s">
        <v>275</v>
      </c>
      <c r="I3094" t="s">
        <v>29</v>
      </c>
      <c r="J3094">
        <v>1</v>
      </c>
      <c r="K3094">
        <f>1-844-318-5957</f>
        <v>-7118</v>
      </c>
      <c r="L3094" t="s">
        <v>9695</v>
      </c>
      <c r="M3094" t="s">
        <v>9696</v>
      </c>
      <c r="N3094" t="s">
        <v>278</v>
      </c>
      <c r="O3094" t="s">
        <v>28</v>
      </c>
      <c r="P3094" t="s">
        <v>8085</v>
      </c>
      <c r="Q3094">
        <v>-24</v>
      </c>
      <c r="R3094">
        <v>-46.633000000000003</v>
      </c>
    </row>
    <row r="3095" spans="1:18" x14ac:dyDescent="0.2">
      <c r="A3095" t="s">
        <v>270</v>
      </c>
      <c r="B3095" t="s">
        <v>8080</v>
      </c>
      <c r="C3095">
        <v>1</v>
      </c>
      <c r="D3095" s="1">
        <v>44096.368472222224</v>
      </c>
      <c r="E3095" t="s">
        <v>9697</v>
      </c>
      <c r="F3095" t="s">
        <v>273</v>
      </c>
      <c r="G3095" t="s">
        <v>9585</v>
      </c>
      <c r="H3095" t="s">
        <v>275</v>
      </c>
      <c r="I3095" t="s">
        <v>29</v>
      </c>
      <c r="J3095">
        <v>1</v>
      </c>
      <c r="K3095">
        <f>1-844-318-5957</f>
        <v>-7118</v>
      </c>
      <c r="L3095" t="s">
        <v>9698</v>
      </c>
      <c r="M3095" t="s">
        <v>9699</v>
      </c>
      <c r="N3095" t="s">
        <v>278</v>
      </c>
      <c r="O3095" t="s">
        <v>28</v>
      </c>
      <c r="P3095" t="s">
        <v>8085</v>
      </c>
      <c r="Q3095">
        <v>-24</v>
      </c>
      <c r="R3095">
        <v>-46.633000000000003</v>
      </c>
    </row>
    <row r="3096" spans="1:18" x14ac:dyDescent="0.2">
      <c r="A3096" t="s">
        <v>270</v>
      </c>
      <c r="B3096" t="s">
        <v>8080</v>
      </c>
      <c r="C3096">
        <v>1</v>
      </c>
      <c r="D3096" s="1">
        <v>44096.367847222224</v>
      </c>
      <c r="E3096" t="s">
        <v>9700</v>
      </c>
      <c r="F3096" t="s">
        <v>273</v>
      </c>
      <c r="G3096" t="s">
        <v>9585</v>
      </c>
      <c r="H3096" t="s">
        <v>275</v>
      </c>
      <c r="I3096" t="s">
        <v>29</v>
      </c>
      <c r="J3096">
        <v>1</v>
      </c>
      <c r="K3096">
        <f>1-844-305-9953</f>
        <v>-11101</v>
      </c>
      <c r="L3096" t="s">
        <v>9701</v>
      </c>
      <c r="M3096" t="s">
        <v>9702</v>
      </c>
      <c r="N3096" t="s">
        <v>278</v>
      </c>
      <c r="O3096" t="s">
        <v>28</v>
      </c>
      <c r="P3096" t="s">
        <v>8085</v>
      </c>
      <c r="Q3096">
        <v>-24</v>
      </c>
      <c r="R3096">
        <v>-46.633000000000003</v>
      </c>
    </row>
    <row r="3097" spans="1:18" x14ac:dyDescent="0.2">
      <c r="A3097" t="s">
        <v>270</v>
      </c>
      <c r="B3097" t="s">
        <v>8080</v>
      </c>
      <c r="C3097">
        <v>1</v>
      </c>
      <c r="D3097" s="1">
        <v>44096.367638888885</v>
      </c>
      <c r="E3097" t="s">
        <v>9703</v>
      </c>
      <c r="F3097" t="s">
        <v>273</v>
      </c>
      <c r="G3097" t="s">
        <v>9585</v>
      </c>
      <c r="H3097" t="s">
        <v>275</v>
      </c>
      <c r="I3097" t="s">
        <v>29</v>
      </c>
      <c r="J3097">
        <v>1</v>
      </c>
      <c r="K3097">
        <f>1-844-305-9953</f>
        <v>-11101</v>
      </c>
      <c r="L3097" t="s">
        <v>9704</v>
      </c>
      <c r="M3097" t="s">
        <v>9705</v>
      </c>
      <c r="N3097" t="s">
        <v>278</v>
      </c>
      <c r="O3097" t="s">
        <v>28</v>
      </c>
      <c r="P3097" t="s">
        <v>8085</v>
      </c>
      <c r="Q3097">
        <v>-24</v>
      </c>
      <c r="R3097">
        <v>-46.633000000000003</v>
      </c>
    </row>
    <row r="3098" spans="1:18" x14ac:dyDescent="0.2">
      <c r="A3098" t="s">
        <v>270</v>
      </c>
      <c r="B3098" t="s">
        <v>8080</v>
      </c>
      <c r="C3098">
        <v>1</v>
      </c>
      <c r="D3098" s="1">
        <v>44096.366261574076</v>
      </c>
      <c r="E3098" t="s">
        <v>9706</v>
      </c>
      <c r="F3098" t="s">
        <v>273</v>
      </c>
      <c r="G3098" t="s">
        <v>9585</v>
      </c>
      <c r="H3098" t="s">
        <v>275</v>
      </c>
      <c r="I3098" t="s">
        <v>29</v>
      </c>
      <c r="J3098">
        <v>1</v>
      </c>
      <c r="K3098">
        <f>1-844-318-5957</f>
        <v>-7118</v>
      </c>
      <c r="L3098" t="s">
        <v>9707</v>
      </c>
      <c r="M3098" t="s">
        <v>9708</v>
      </c>
      <c r="N3098" t="s">
        <v>278</v>
      </c>
      <c r="O3098" t="s">
        <v>28</v>
      </c>
      <c r="P3098" t="s">
        <v>8085</v>
      </c>
      <c r="Q3098">
        <v>-24</v>
      </c>
      <c r="R3098">
        <v>-46.633000000000003</v>
      </c>
    </row>
    <row r="3099" spans="1:18" x14ac:dyDescent="0.2">
      <c r="A3099" t="s">
        <v>270</v>
      </c>
      <c r="B3099" t="s">
        <v>8080</v>
      </c>
      <c r="C3099">
        <v>1</v>
      </c>
      <c r="D3099" s="1">
        <v>44095.78434027778</v>
      </c>
      <c r="E3099" t="s">
        <v>9709</v>
      </c>
      <c r="F3099" t="s">
        <v>273</v>
      </c>
      <c r="G3099" t="s">
        <v>9585</v>
      </c>
      <c r="H3099" t="s">
        <v>275</v>
      </c>
      <c r="I3099" t="s">
        <v>29</v>
      </c>
      <c r="J3099">
        <v>1</v>
      </c>
      <c r="K3099">
        <f>1-844-301-8222</f>
        <v>-9366</v>
      </c>
      <c r="L3099" t="s">
        <v>9710</v>
      </c>
      <c r="M3099" t="s">
        <v>9711</v>
      </c>
      <c r="N3099" t="s">
        <v>278</v>
      </c>
      <c r="O3099" t="s">
        <v>28</v>
      </c>
      <c r="P3099" t="s">
        <v>8085</v>
      </c>
      <c r="Q3099">
        <v>-24</v>
      </c>
      <c r="R3099">
        <v>-46.633000000000003</v>
      </c>
    </row>
    <row r="3100" spans="1:18" x14ac:dyDescent="0.2">
      <c r="A3100" t="s">
        <v>270</v>
      </c>
      <c r="B3100" t="s">
        <v>8080</v>
      </c>
      <c r="C3100">
        <v>1</v>
      </c>
      <c r="D3100" s="1">
        <v>44090.992013888892</v>
      </c>
      <c r="E3100" t="s">
        <v>9712</v>
      </c>
      <c r="F3100" t="s">
        <v>273</v>
      </c>
      <c r="G3100" t="s">
        <v>9585</v>
      </c>
      <c r="H3100" t="s">
        <v>275</v>
      </c>
      <c r="I3100" t="s">
        <v>29</v>
      </c>
      <c r="J3100">
        <v>1</v>
      </c>
      <c r="K3100">
        <f>1-844-242-3148</f>
        <v>-4233</v>
      </c>
      <c r="L3100" t="s">
        <v>9713</v>
      </c>
      <c r="M3100" t="s">
        <v>9714</v>
      </c>
      <c r="N3100" t="s">
        <v>278</v>
      </c>
      <c r="O3100" t="s">
        <v>28</v>
      </c>
      <c r="P3100" t="s">
        <v>8085</v>
      </c>
      <c r="Q3100">
        <v>-24</v>
      </c>
      <c r="R3100">
        <v>-46.633000000000003</v>
      </c>
    </row>
    <row r="3101" spans="1:18" x14ac:dyDescent="0.2">
      <c r="A3101" t="s">
        <v>270</v>
      </c>
      <c r="B3101" t="s">
        <v>8080</v>
      </c>
      <c r="C3101">
        <v>1</v>
      </c>
      <c r="D3101" s="1">
        <v>44090.798171296294</v>
      </c>
      <c r="E3101" t="s">
        <v>9715</v>
      </c>
      <c r="F3101" t="s">
        <v>273</v>
      </c>
      <c r="G3101" t="s">
        <v>9585</v>
      </c>
      <c r="H3101" t="s">
        <v>275</v>
      </c>
      <c r="I3101" t="s">
        <v>29</v>
      </c>
      <c r="J3101">
        <v>1</v>
      </c>
      <c r="K3101">
        <f>1-844-243-4064</f>
        <v>-5150</v>
      </c>
      <c r="L3101" t="s">
        <v>9716</v>
      </c>
      <c r="M3101" t="s">
        <v>9717</v>
      </c>
      <c r="N3101" t="s">
        <v>278</v>
      </c>
      <c r="O3101" t="s">
        <v>28</v>
      </c>
      <c r="P3101" t="s">
        <v>8085</v>
      </c>
      <c r="Q3101">
        <v>-24</v>
      </c>
      <c r="R3101">
        <v>-46.633000000000003</v>
      </c>
    </row>
    <row r="3102" spans="1:18" x14ac:dyDescent="0.2">
      <c r="A3102" t="s">
        <v>270</v>
      </c>
      <c r="B3102" t="s">
        <v>8080</v>
      </c>
      <c r="C3102">
        <v>1</v>
      </c>
      <c r="D3102" s="1">
        <v>44090.416064814817</v>
      </c>
      <c r="E3102" t="s">
        <v>9718</v>
      </c>
      <c r="F3102" t="s">
        <v>273</v>
      </c>
      <c r="G3102" t="s">
        <v>9585</v>
      </c>
      <c r="H3102" t="s">
        <v>275</v>
      </c>
      <c r="I3102" t="s">
        <v>29</v>
      </c>
      <c r="J3102">
        <v>1</v>
      </c>
      <c r="K3102">
        <f>1-844-254-8317</f>
        <v>-9414</v>
      </c>
      <c r="L3102" t="s">
        <v>9719</v>
      </c>
      <c r="M3102" t="s">
        <v>9720</v>
      </c>
      <c r="N3102" t="s">
        <v>278</v>
      </c>
      <c r="O3102" t="s">
        <v>28</v>
      </c>
      <c r="P3102" t="s">
        <v>8085</v>
      </c>
      <c r="Q3102">
        <v>-24</v>
      </c>
      <c r="R3102">
        <v>-46.633000000000003</v>
      </c>
    </row>
    <row r="3103" spans="1:18" x14ac:dyDescent="0.2">
      <c r="A3103" t="s">
        <v>270</v>
      </c>
      <c r="B3103" t="s">
        <v>8080</v>
      </c>
      <c r="C3103">
        <v>1</v>
      </c>
      <c r="D3103" s="1">
        <v>44090.415150462963</v>
      </c>
      <c r="E3103" t="s">
        <v>9721</v>
      </c>
      <c r="F3103" t="s">
        <v>273</v>
      </c>
      <c r="G3103" t="s">
        <v>9585</v>
      </c>
      <c r="H3103" t="s">
        <v>275</v>
      </c>
      <c r="I3103" t="s">
        <v>29</v>
      </c>
      <c r="J3103">
        <v>1</v>
      </c>
      <c r="K3103">
        <f>1-844-293-8713</f>
        <v>-9849</v>
      </c>
      <c r="L3103" t="s">
        <v>9722</v>
      </c>
      <c r="M3103" t="s">
        <v>9723</v>
      </c>
      <c r="N3103" t="s">
        <v>278</v>
      </c>
      <c r="O3103" t="s">
        <v>28</v>
      </c>
      <c r="P3103" t="s">
        <v>8085</v>
      </c>
      <c r="Q3103">
        <v>-24</v>
      </c>
      <c r="R3103">
        <v>-46.633000000000003</v>
      </c>
    </row>
    <row r="3104" spans="1:18" x14ac:dyDescent="0.2">
      <c r="A3104" t="s">
        <v>270</v>
      </c>
      <c r="B3104" t="s">
        <v>8080</v>
      </c>
      <c r="C3104">
        <v>1</v>
      </c>
      <c r="D3104" s="1">
        <v>44089.431527777779</v>
      </c>
      <c r="E3104" t="s">
        <v>9724</v>
      </c>
      <c r="F3104" t="s">
        <v>273</v>
      </c>
      <c r="G3104" t="s">
        <v>9585</v>
      </c>
      <c r="H3104" t="s">
        <v>275</v>
      </c>
      <c r="I3104" t="s">
        <v>29</v>
      </c>
      <c r="J3104">
        <v>1</v>
      </c>
      <c r="K3104">
        <f>1-844-210-4337</f>
        <v>-5390</v>
      </c>
      <c r="L3104" t="s">
        <v>9725</v>
      </c>
      <c r="M3104" t="s">
        <v>9726</v>
      </c>
      <c r="N3104" t="s">
        <v>278</v>
      </c>
      <c r="O3104" t="s">
        <v>28</v>
      </c>
      <c r="P3104" t="s">
        <v>8085</v>
      </c>
      <c r="Q3104">
        <v>-24</v>
      </c>
      <c r="R3104">
        <v>-46.633000000000003</v>
      </c>
    </row>
    <row r="3105" spans="1:18" x14ac:dyDescent="0.2">
      <c r="A3105" t="s">
        <v>270</v>
      </c>
      <c r="B3105" t="s">
        <v>8080</v>
      </c>
      <c r="C3105">
        <v>1</v>
      </c>
      <c r="D3105" s="1">
        <v>44089.430671296293</v>
      </c>
      <c r="E3105" t="s">
        <v>9727</v>
      </c>
      <c r="F3105" t="s">
        <v>273</v>
      </c>
      <c r="G3105" t="s">
        <v>9585</v>
      </c>
      <c r="H3105" t="s">
        <v>275</v>
      </c>
      <c r="I3105" t="s">
        <v>29</v>
      </c>
      <c r="J3105">
        <v>1</v>
      </c>
      <c r="K3105">
        <f>1-844-210-4337</f>
        <v>-5390</v>
      </c>
      <c r="L3105" t="s">
        <v>9728</v>
      </c>
      <c r="M3105" t="s">
        <v>9729</v>
      </c>
      <c r="N3105" t="s">
        <v>278</v>
      </c>
      <c r="O3105" t="s">
        <v>28</v>
      </c>
      <c r="P3105" t="s">
        <v>8085</v>
      </c>
      <c r="Q3105">
        <v>-24</v>
      </c>
      <c r="R3105">
        <v>-46.633000000000003</v>
      </c>
    </row>
    <row r="3106" spans="1:18" x14ac:dyDescent="0.2">
      <c r="A3106" t="s">
        <v>270</v>
      </c>
      <c r="B3106" t="s">
        <v>8080</v>
      </c>
      <c r="C3106">
        <v>1</v>
      </c>
      <c r="D3106" s="1">
        <v>44088.775196759256</v>
      </c>
      <c r="E3106" t="s">
        <v>9730</v>
      </c>
      <c r="F3106" t="s">
        <v>273</v>
      </c>
      <c r="G3106" t="s">
        <v>9585</v>
      </c>
      <c r="H3106" t="s">
        <v>275</v>
      </c>
      <c r="I3106" t="s">
        <v>29</v>
      </c>
      <c r="J3106">
        <v>1</v>
      </c>
      <c r="K3106">
        <f>1-844-212-7353</f>
        <v>-8408</v>
      </c>
      <c r="L3106" t="s">
        <v>9731</v>
      </c>
      <c r="M3106" t="s">
        <v>9732</v>
      </c>
      <c r="N3106" t="s">
        <v>278</v>
      </c>
      <c r="O3106" t="s">
        <v>28</v>
      </c>
      <c r="P3106" t="s">
        <v>8085</v>
      </c>
      <c r="Q3106">
        <v>-24</v>
      </c>
      <c r="R3106">
        <v>-46.633000000000003</v>
      </c>
    </row>
    <row r="3107" spans="1:18" x14ac:dyDescent="0.2">
      <c r="A3107" t="s">
        <v>270</v>
      </c>
      <c r="B3107" t="s">
        <v>8080</v>
      </c>
      <c r="C3107">
        <v>1</v>
      </c>
      <c r="D3107" s="1">
        <v>44084.783368055556</v>
      </c>
      <c r="E3107" t="s">
        <v>9733</v>
      </c>
      <c r="F3107" t="s">
        <v>273</v>
      </c>
      <c r="G3107" t="s">
        <v>9585</v>
      </c>
      <c r="H3107" t="s">
        <v>275</v>
      </c>
      <c r="I3107" t="s">
        <v>29</v>
      </c>
      <c r="J3107">
        <v>1</v>
      </c>
      <c r="K3107">
        <f>1-888-608-5109</f>
        <v>-6604</v>
      </c>
      <c r="L3107" t="s">
        <v>9734</v>
      </c>
      <c r="M3107" t="s">
        <v>9735</v>
      </c>
      <c r="N3107" t="s">
        <v>278</v>
      </c>
      <c r="O3107" t="s">
        <v>28</v>
      </c>
      <c r="P3107" t="s">
        <v>8085</v>
      </c>
      <c r="Q3107">
        <v>-24</v>
      </c>
      <c r="R3107">
        <v>-46.633000000000003</v>
      </c>
    </row>
    <row r="3108" spans="1:18" x14ac:dyDescent="0.2">
      <c r="A3108" t="s">
        <v>270</v>
      </c>
      <c r="B3108" t="s">
        <v>8080</v>
      </c>
      <c r="C3108">
        <v>1</v>
      </c>
      <c r="D3108" s="1">
        <v>44084.781863425924</v>
      </c>
      <c r="E3108" t="s">
        <v>9736</v>
      </c>
      <c r="F3108" t="s">
        <v>273</v>
      </c>
      <c r="G3108" t="s">
        <v>9585</v>
      </c>
      <c r="H3108" t="s">
        <v>275</v>
      </c>
      <c r="I3108" t="s">
        <v>29</v>
      </c>
      <c r="J3108">
        <v>1</v>
      </c>
      <c r="K3108">
        <f>1-888-608-5109</f>
        <v>-6604</v>
      </c>
      <c r="L3108" t="s">
        <v>9737</v>
      </c>
      <c r="M3108" t="s">
        <v>9738</v>
      </c>
      <c r="N3108" t="s">
        <v>278</v>
      </c>
      <c r="O3108" t="s">
        <v>28</v>
      </c>
      <c r="P3108" t="s">
        <v>8085</v>
      </c>
      <c r="Q3108">
        <v>-24</v>
      </c>
      <c r="R3108">
        <v>-46.633000000000003</v>
      </c>
    </row>
    <row r="3109" spans="1:18" x14ac:dyDescent="0.2">
      <c r="A3109" t="s">
        <v>270</v>
      </c>
      <c r="B3109" t="s">
        <v>8080</v>
      </c>
      <c r="C3109">
        <v>1</v>
      </c>
      <c r="D3109" s="1">
        <v>44084.780289351853</v>
      </c>
      <c r="E3109" t="s">
        <v>9739</v>
      </c>
      <c r="F3109" t="s">
        <v>273</v>
      </c>
      <c r="G3109" t="s">
        <v>9585</v>
      </c>
      <c r="H3109" t="s">
        <v>275</v>
      </c>
      <c r="I3109" t="s">
        <v>29</v>
      </c>
      <c r="J3109">
        <v>1</v>
      </c>
      <c r="K3109">
        <f>1-888-608-5109</f>
        <v>-6604</v>
      </c>
      <c r="L3109" t="s">
        <v>9740</v>
      </c>
      <c r="M3109" t="s">
        <v>9741</v>
      </c>
      <c r="N3109" t="s">
        <v>278</v>
      </c>
      <c r="O3109" t="s">
        <v>28</v>
      </c>
      <c r="P3109" t="s">
        <v>8085</v>
      </c>
      <c r="Q3109">
        <v>-24</v>
      </c>
      <c r="R3109">
        <v>-46.633000000000003</v>
      </c>
    </row>
    <row r="3110" spans="1:18" x14ac:dyDescent="0.2">
      <c r="A3110" t="s">
        <v>270</v>
      </c>
      <c r="B3110" t="s">
        <v>8080</v>
      </c>
      <c r="C3110">
        <v>1</v>
      </c>
      <c r="D3110" s="1">
        <v>44083.83011574074</v>
      </c>
      <c r="E3110" t="s">
        <v>9742</v>
      </c>
      <c r="F3110" t="s">
        <v>273</v>
      </c>
      <c r="G3110" t="s">
        <v>9585</v>
      </c>
      <c r="H3110" t="s">
        <v>275</v>
      </c>
      <c r="I3110" t="s">
        <v>29</v>
      </c>
      <c r="J3110">
        <v>1</v>
      </c>
      <c r="K3110">
        <f>1-888-585-6916</f>
        <v>-8388</v>
      </c>
      <c r="L3110" t="s">
        <v>9743</v>
      </c>
      <c r="M3110" t="s">
        <v>9744</v>
      </c>
      <c r="N3110" t="s">
        <v>278</v>
      </c>
      <c r="O3110" t="s">
        <v>28</v>
      </c>
      <c r="P3110" t="s">
        <v>8085</v>
      </c>
      <c r="Q3110">
        <v>-24</v>
      </c>
      <c r="R3110">
        <v>-46.633000000000003</v>
      </c>
    </row>
    <row r="3111" spans="1:18" x14ac:dyDescent="0.2">
      <c r="A3111" t="s">
        <v>270</v>
      </c>
      <c r="B3111" t="s">
        <v>8080</v>
      </c>
      <c r="C3111">
        <v>1</v>
      </c>
      <c r="D3111" s="1">
        <v>44083.829247685186</v>
      </c>
      <c r="E3111" t="s">
        <v>9745</v>
      </c>
      <c r="F3111" t="s">
        <v>273</v>
      </c>
      <c r="G3111" t="s">
        <v>9585</v>
      </c>
      <c r="H3111" t="s">
        <v>275</v>
      </c>
      <c r="I3111" t="s">
        <v>29</v>
      </c>
      <c r="J3111">
        <v>1</v>
      </c>
      <c r="K3111">
        <f>1-888-592-7014</f>
        <v>-8493</v>
      </c>
      <c r="L3111" t="s">
        <v>9746</v>
      </c>
      <c r="M3111" t="s">
        <v>9747</v>
      </c>
      <c r="N3111" t="s">
        <v>278</v>
      </c>
      <c r="O3111" t="s">
        <v>28</v>
      </c>
      <c r="P3111" t="s">
        <v>8085</v>
      </c>
      <c r="Q3111">
        <v>-24</v>
      </c>
      <c r="R3111">
        <v>-46.633000000000003</v>
      </c>
    </row>
    <row r="3112" spans="1:18" x14ac:dyDescent="0.2">
      <c r="A3112" t="s">
        <v>270</v>
      </c>
      <c r="B3112" t="s">
        <v>8080</v>
      </c>
      <c r="C3112">
        <v>1</v>
      </c>
      <c r="D3112" s="1">
        <v>44082.938611111109</v>
      </c>
      <c r="E3112" t="s">
        <v>9748</v>
      </c>
      <c r="F3112" t="s">
        <v>273</v>
      </c>
      <c r="G3112" t="s">
        <v>9585</v>
      </c>
      <c r="H3112" t="s">
        <v>275</v>
      </c>
      <c r="I3112" t="s">
        <v>29</v>
      </c>
      <c r="J3112">
        <v>1</v>
      </c>
      <c r="K3112">
        <f>1-888-599-8076</f>
        <v>-9562</v>
      </c>
      <c r="L3112" t="s">
        <v>9749</v>
      </c>
      <c r="M3112" t="s">
        <v>9750</v>
      </c>
      <c r="N3112" t="s">
        <v>278</v>
      </c>
      <c r="O3112" t="s">
        <v>28</v>
      </c>
      <c r="P3112" t="s">
        <v>8085</v>
      </c>
      <c r="Q3112">
        <v>-24</v>
      </c>
      <c r="R3112">
        <v>-46.633000000000003</v>
      </c>
    </row>
    <row r="3113" spans="1:18" x14ac:dyDescent="0.2">
      <c r="A3113" t="s">
        <v>270</v>
      </c>
      <c r="B3113" t="s">
        <v>8080</v>
      </c>
      <c r="C3113">
        <v>1</v>
      </c>
      <c r="D3113" s="1">
        <v>44078.857673611114</v>
      </c>
      <c r="E3113" t="s">
        <v>9751</v>
      </c>
      <c r="F3113" t="s">
        <v>273</v>
      </c>
      <c r="G3113" t="s">
        <v>9585</v>
      </c>
      <c r="H3113" t="s">
        <v>275</v>
      </c>
      <c r="I3113" t="s">
        <v>29</v>
      </c>
      <c r="J3113">
        <v>1</v>
      </c>
      <c r="K3113">
        <f>1-888-530-1472</f>
        <v>-2889</v>
      </c>
      <c r="L3113" t="s">
        <v>9752</v>
      </c>
      <c r="M3113" t="s">
        <v>9753</v>
      </c>
      <c r="N3113" t="s">
        <v>278</v>
      </c>
      <c r="O3113" t="s">
        <v>134</v>
      </c>
      <c r="P3113" t="s">
        <v>8085</v>
      </c>
      <c r="Q3113">
        <v>-24</v>
      </c>
      <c r="R3113">
        <v>-46.633000000000003</v>
      </c>
    </row>
    <row r="3114" spans="1:18" x14ac:dyDescent="0.2">
      <c r="A3114" t="s">
        <v>270</v>
      </c>
      <c r="B3114" t="s">
        <v>8080</v>
      </c>
      <c r="C3114">
        <v>1</v>
      </c>
      <c r="D3114" s="1">
        <v>44078.852384259262</v>
      </c>
      <c r="E3114" t="s">
        <v>9754</v>
      </c>
      <c r="F3114" t="s">
        <v>273</v>
      </c>
      <c r="G3114" t="s">
        <v>9585</v>
      </c>
      <c r="H3114" t="s">
        <v>275</v>
      </c>
      <c r="I3114" t="s">
        <v>29</v>
      </c>
      <c r="J3114">
        <v>1</v>
      </c>
      <c r="K3114">
        <f>1-866-591-3044</f>
        <v>-4500</v>
      </c>
      <c r="L3114" t="s">
        <v>9755</v>
      </c>
      <c r="M3114" t="s">
        <v>9756</v>
      </c>
      <c r="N3114" t="s">
        <v>278</v>
      </c>
      <c r="O3114" t="s">
        <v>134</v>
      </c>
      <c r="P3114" t="s">
        <v>8085</v>
      </c>
      <c r="Q3114">
        <v>-24</v>
      </c>
      <c r="R3114">
        <v>-46.633000000000003</v>
      </c>
    </row>
    <row r="3115" spans="1:18" x14ac:dyDescent="0.2">
      <c r="A3115" t="s">
        <v>270</v>
      </c>
      <c r="B3115" t="s">
        <v>8080</v>
      </c>
      <c r="C3115">
        <v>1</v>
      </c>
      <c r="D3115" s="1">
        <v>44078.8512962963</v>
      </c>
      <c r="E3115" t="s">
        <v>9757</v>
      </c>
      <c r="F3115" t="s">
        <v>273</v>
      </c>
      <c r="G3115" t="s">
        <v>9585</v>
      </c>
      <c r="H3115" t="s">
        <v>275</v>
      </c>
      <c r="I3115" t="s">
        <v>29</v>
      </c>
      <c r="J3115">
        <v>1</v>
      </c>
      <c r="K3115">
        <f>1-866-754-7703</f>
        <v>-9322</v>
      </c>
      <c r="L3115" t="s">
        <v>9758</v>
      </c>
      <c r="M3115" t="s">
        <v>9759</v>
      </c>
      <c r="N3115" t="s">
        <v>278</v>
      </c>
      <c r="O3115" t="s">
        <v>134</v>
      </c>
      <c r="P3115" t="s">
        <v>8085</v>
      </c>
      <c r="Q3115">
        <v>-24</v>
      </c>
      <c r="R3115">
        <v>-46.633000000000003</v>
      </c>
    </row>
    <row r="3116" spans="1:18" x14ac:dyDescent="0.2">
      <c r="A3116" t="s">
        <v>270</v>
      </c>
      <c r="B3116" t="s">
        <v>8080</v>
      </c>
      <c r="C3116">
        <v>1</v>
      </c>
      <c r="D3116" s="1">
        <v>44078.850219907406</v>
      </c>
      <c r="E3116" t="s">
        <v>9760</v>
      </c>
      <c r="F3116" t="s">
        <v>273</v>
      </c>
      <c r="G3116" t="s">
        <v>9585</v>
      </c>
      <c r="H3116" t="s">
        <v>275</v>
      </c>
      <c r="I3116" t="s">
        <v>29</v>
      </c>
      <c r="J3116">
        <v>1</v>
      </c>
      <c r="K3116">
        <f>1-866-759-9790</f>
        <v>-11414</v>
      </c>
      <c r="L3116" t="s">
        <v>9761</v>
      </c>
      <c r="M3116" t="s">
        <v>9762</v>
      </c>
      <c r="N3116" t="s">
        <v>278</v>
      </c>
      <c r="O3116" t="s">
        <v>134</v>
      </c>
      <c r="P3116" t="s">
        <v>8085</v>
      </c>
      <c r="Q3116">
        <v>-24</v>
      </c>
      <c r="R3116">
        <v>-46.633000000000003</v>
      </c>
    </row>
    <row r="3117" spans="1:18" x14ac:dyDescent="0.2">
      <c r="A3117" t="s">
        <v>270</v>
      </c>
      <c r="B3117" t="s">
        <v>8080</v>
      </c>
      <c r="C3117">
        <v>1</v>
      </c>
      <c r="D3117" s="1">
        <v>44078.848333333335</v>
      </c>
      <c r="E3117" t="s">
        <v>9763</v>
      </c>
      <c r="F3117" t="s">
        <v>273</v>
      </c>
      <c r="G3117" t="s">
        <v>9585</v>
      </c>
      <c r="H3117" t="s">
        <v>275</v>
      </c>
      <c r="I3117" t="s">
        <v>29</v>
      </c>
      <c r="J3117">
        <v>1</v>
      </c>
      <c r="K3117">
        <f>1-866-512-2889</f>
        <v>-4266</v>
      </c>
      <c r="L3117" t="s">
        <v>9764</v>
      </c>
      <c r="M3117" t="s">
        <v>9765</v>
      </c>
      <c r="N3117" t="s">
        <v>278</v>
      </c>
      <c r="O3117" t="s">
        <v>134</v>
      </c>
      <c r="P3117" t="s">
        <v>8085</v>
      </c>
      <c r="Q3117">
        <v>-24</v>
      </c>
      <c r="R3117">
        <v>-46.633000000000003</v>
      </c>
    </row>
    <row r="3118" spans="1:18" x14ac:dyDescent="0.2">
      <c r="A3118" t="s">
        <v>270</v>
      </c>
      <c r="B3118" t="s">
        <v>8080</v>
      </c>
      <c r="C3118">
        <v>1</v>
      </c>
      <c r="D3118" s="1">
        <v>44075.76053240741</v>
      </c>
      <c r="E3118" t="s">
        <v>9766</v>
      </c>
      <c r="F3118" t="s">
        <v>273</v>
      </c>
      <c r="G3118" t="s">
        <v>9585</v>
      </c>
      <c r="H3118" t="s">
        <v>275</v>
      </c>
      <c r="I3118" t="s">
        <v>29</v>
      </c>
      <c r="J3118">
        <v>1</v>
      </c>
      <c r="K3118">
        <f>1-888-708-1143</f>
        <v>-2738</v>
      </c>
      <c r="L3118" t="s">
        <v>9767</v>
      </c>
      <c r="M3118" t="s">
        <v>9768</v>
      </c>
      <c r="N3118" t="s">
        <v>278</v>
      </c>
      <c r="O3118" t="s">
        <v>134</v>
      </c>
      <c r="P3118" t="s">
        <v>8085</v>
      </c>
      <c r="Q3118">
        <v>-24</v>
      </c>
      <c r="R3118">
        <v>-46.633000000000003</v>
      </c>
    </row>
    <row r="3119" spans="1:18" x14ac:dyDescent="0.2">
      <c r="A3119" t="s">
        <v>270</v>
      </c>
      <c r="B3119" t="s">
        <v>8080</v>
      </c>
      <c r="C3119">
        <v>1</v>
      </c>
      <c r="D3119" s="1">
        <v>44074.934016203704</v>
      </c>
      <c r="E3119" t="s">
        <v>9769</v>
      </c>
      <c r="F3119" t="s">
        <v>273</v>
      </c>
      <c r="G3119" t="s">
        <v>9585</v>
      </c>
      <c r="H3119" t="s">
        <v>275</v>
      </c>
      <c r="I3119" t="s">
        <v>29</v>
      </c>
      <c r="J3119">
        <v>1</v>
      </c>
      <c r="K3119">
        <f>1-888-655-2343</f>
        <v>-3885</v>
      </c>
      <c r="L3119" t="s">
        <v>9770</v>
      </c>
      <c r="M3119" t="s">
        <v>9771</v>
      </c>
      <c r="N3119" t="s">
        <v>278</v>
      </c>
      <c r="O3119" t="s">
        <v>134</v>
      </c>
      <c r="P3119" t="s">
        <v>8085</v>
      </c>
      <c r="Q3119">
        <v>-24</v>
      </c>
      <c r="R3119">
        <v>-46.633000000000003</v>
      </c>
    </row>
    <row r="3120" spans="1:18" x14ac:dyDescent="0.2">
      <c r="A3120" t="s">
        <v>270</v>
      </c>
      <c r="B3120" t="s">
        <v>8080</v>
      </c>
      <c r="C3120">
        <v>1</v>
      </c>
      <c r="D3120" s="1">
        <v>44074.930821759262</v>
      </c>
      <c r="E3120" t="s">
        <v>9772</v>
      </c>
      <c r="F3120" t="s">
        <v>273</v>
      </c>
      <c r="G3120" t="s">
        <v>9585</v>
      </c>
      <c r="H3120" t="s">
        <v>275</v>
      </c>
      <c r="I3120" t="s">
        <v>29</v>
      </c>
      <c r="J3120">
        <v>1</v>
      </c>
      <c r="K3120">
        <f>1-888-651-2892</f>
        <v>-4430</v>
      </c>
      <c r="L3120" t="s">
        <v>9773</v>
      </c>
      <c r="M3120" t="s">
        <v>9774</v>
      </c>
      <c r="N3120" t="s">
        <v>278</v>
      </c>
      <c r="O3120" t="s">
        <v>28</v>
      </c>
      <c r="P3120" t="s">
        <v>8085</v>
      </c>
      <c r="Q3120">
        <v>-24</v>
      </c>
      <c r="R3120">
        <v>-46.633000000000003</v>
      </c>
    </row>
    <row r="3121" spans="1:18" x14ac:dyDescent="0.2">
      <c r="A3121" t="s">
        <v>270</v>
      </c>
      <c r="B3121" t="s">
        <v>8080</v>
      </c>
      <c r="C3121">
        <v>1</v>
      </c>
      <c r="D3121" s="1">
        <v>44074.929629629631</v>
      </c>
      <c r="E3121" t="s">
        <v>9775</v>
      </c>
      <c r="F3121" t="s">
        <v>273</v>
      </c>
      <c r="G3121" t="s">
        <v>9585</v>
      </c>
      <c r="H3121" t="s">
        <v>275</v>
      </c>
      <c r="I3121" t="s">
        <v>29</v>
      </c>
      <c r="J3121">
        <v>1</v>
      </c>
      <c r="K3121">
        <f>1-888-652-8170</f>
        <v>-9709</v>
      </c>
      <c r="L3121" t="s">
        <v>9776</v>
      </c>
      <c r="M3121" t="s">
        <v>9777</v>
      </c>
      <c r="N3121" t="s">
        <v>278</v>
      </c>
      <c r="O3121" t="s">
        <v>28</v>
      </c>
      <c r="P3121" t="s">
        <v>8085</v>
      </c>
      <c r="Q3121">
        <v>-24</v>
      </c>
      <c r="R3121">
        <v>-46.633000000000003</v>
      </c>
    </row>
    <row r="3122" spans="1:18" x14ac:dyDescent="0.2">
      <c r="A3122" t="s">
        <v>270</v>
      </c>
      <c r="B3122" t="s">
        <v>8080</v>
      </c>
      <c r="C3122">
        <v>1</v>
      </c>
      <c r="D3122" s="1">
        <v>44073.941805555558</v>
      </c>
      <c r="E3122" t="s">
        <v>9778</v>
      </c>
      <c r="F3122" t="s">
        <v>273</v>
      </c>
      <c r="G3122" t="s">
        <v>9585</v>
      </c>
      <c r="H3122" t="s">
        <v>275</v>
      </c>
      <c r="I3122" t="s">
        <v>29</v>
      </c>
      <c r="J3122">
        <v>1</v>
      </c>
      <c r="K3122">
        <f>1-888-521-2495</f>
        <v>-3903</v>
      </c>
      <c r="L3122" t="s">
        <v>9779</v>
      </c>
      <c r="M3122" t="s">
        <v>9780</v>
      </c>
      <c r="N3122" t="s">
        <v>278</v>
      </c>
      <c r="O3122" t="s">
        <v>134</v>
      </c>
      <c r="P3122" t="s">
        <v>8085</v>
      </c>
      <c r="Q3122">
        <v>-24</v>
      </c>
      <c r="R3122">
        <v>-46.633000000000003</v>
      </c>
    </row>
    <row r="3123" spans="1:18" x14ac:dyDescent="0.2">
      <c r="A3123" t="s">
        <v>270</v>
      </c>
      <c r="B3123" t="s">
        <v>8080</v>
      </c>
      <c r="C3123">
        <v>1</v>
      </c>
      <c r="D3123" s="1">
        <v>44073.930277777778</v>
      </c>
      <c r="E3123" t="s">
        <v>9781</v>
      </c>
      <c r="F3123" t="s">
        <v>273</v>
      </c>
      <c r="G3123" t="s">
        <v>9585</v>
      </c>
      <c r="H3123" t="s">
        <v>275</v>
      </c>
      <c r="I3123" t="s">
        <v>29</v>
      </c>
      <c r="J3123">
        <v>1</v>
      </c>
      <c r="K3123">
        <f>1-888-534-316</f>
        <v>-1737</v>
      </c>
      <c r="L3123" t="s">
        <v>9782</v>
      </c>
      <c r="M3123" t="s">
        <v>9783</v>
      </c>
      <c r="N3123" t="s">
        <v>278</v>
      </c>
      <c r="O3123" t="s">
        <v>134</v>
      </c>
      <c r="P3123" t="s">
        <v>8085</v>
      </c>
      <c r="Q3123">
        <v>-24</v>
      </c>
      <c r="R3123">
        <v>-46.633000000000003</v>
      </c>
    </row>
    <row r="3124" spans="1:18" x14ac:dyDescent="0.2">
      <c r="A3124" t="s">
        <v>270</v>
      </c>
      <c r="B3124" t="s">
        <v>8080</v>
      </c>
      <c r="C3124">
        <v>1</v>
      </c>
      <c r="D3124" s="1">
        <v>44073.929722222223</v>
      </c>
      <c r="E3124" t="s">
        <v>9784</v>
      </c>
      <c r="F3124" t="s">
        <v>273</v>
      </c>
      <c r="G3124" t="s">
        <v>9585</v>
      </c>
      <c r="H3124" t="s">
        <v>275</v>
      </c>
      <c r="I3124" t="s">
        <v>29</v>
      </c>
      <c r="J3124">
        <v>1</v>
      </c>
      <c r="K3124">
        <f>1-888-534-316</f>
        <v>-1737</v>
      </c>
      <c r="L3124" t="s">
        <v>9785</v>
      </c>
      <c r="M3124" t="s">
        <v>9786</v>
      </c>
      <c r="N3124" t="s">
        <v>278</v>
      </c>
      <c r="O3124" t="s">
        <v>134</v>
      </c>
      <c r="P3124" t="s">
        <v>8085</v>
      </c>
      <c r="Q3124">
        <v>-24</v>
      </c>
      <c r="R3124">
        <v>-46.633000000000003</v>
      </c>
    </row>
    <row r="3125" spans="1:18" x14ac:dyDescent="0.2">
      <c r="A3125" t="s">
        <v>270</v>
      </c>
      <c r="B3125" t="s">
        <v>8080</v>
      </c>
      <c r="C3125">
        <v>1</v>
      </c>
      <c r="D3125" s="1">
        <v>44073.063773148147</v>
      </c>
      <c r="E3125" t="s">
        <v>9787</v>
      </c>
      <c r="F3125" t="s">
        <v>273</v>
      </c>
      <c r="G3125" t="s">
        <v>9585</v>
      </c>
      <c r="H3125" t="s">
        <v>275</v>
      </c>
      <c r="I3125" t="s">
        <v>29</v>
      </c>
      <c r="J3125">
        <v>1</v>
      </c>
      <c r="K3125">
        <f>1-888-417-4066</f>
        <v>-5370</v>
      </c>
      <c r="L3125" t="s">
        <v>9788</v>
      </c>
      <c r="M3125" t="s">
        <v>9789</v>
      </c>
      <c r="N3125" t="s">
        <v>278</v>
      </c>
      <c r="O3125" t="s">
        <v>134</v>
      </c>
      <c r="P3125" t="s">
        <v>8085</v>
      </c>
      <c r="Q3125">
        <v>-24</v>
      </c>
      <c r="R3125">
        <v>-46.633000000000003</v>
      </c>
    </row>
    <row r="3126" spans="1:18" x14ac:dyDescent="0.2">
      <c r="A3126" t="s">
        <v>270</v>
      </c>
      <c r="B3126" t="s">
        <v>8080</v>
      </c>
      <c r="C3126">
        <v>1</v>
      </c>
      <c r="D3126" s="1">
        <v>44073.02789351852</v>
      </c>
      <c r="E3126" t="s">
        <v>9790</v>
      </c>
      <c r="F3126" t="s">
        <v>273</v>
      </c>
      <c r="G3126" t="s">
        <v>9585</v>
      </c>
      <c r="H3126" t="s">
        <v>275</v>
      </c>
      <c r="I3126" t="s">
        <v>29</v>
      </c>
      <c r="J3126">
        <v>1</v>
      </c>
      <c r="K3126">
        <f>1-888-441-3235</f>
        <v>-4563</v>
      </c>
      <c r="L3126" t="s">
        <v>9791</v>
      </c>
      <c r="M3126" t="s">
        <v>9792</v>
      </c>
      <c r="N3126" t="s">
        <v>278</v>
      </c>
      <c r="O3126" t="s">
        <v>134</v>
      </c>
      <c r="P3126" t="s">
        <v>8085</v>
      </c>
      <c r="Q3126">
        <v>-24</v>
      </c>
      <c r="R3126">
        <v>-46.633000000000003</v>
      </c>
    </row>
    <row r="3127" spans="1:18" x14ac:dyDescent="0.2">
      <c r="A3127" t="s">
        <v>270</v>
      </c>
      <c r="B3127" t="s">
        <v>8080</v>
      </c>
      <c r="C3127">
        <v>1</v>
      </c>
      <c r="D3127" s="1">
        <v>44073.027037037034</v>
      </c>
      <c r="E3127" t="s">
        <v>9793</v>
      </c>
      <c r="F3127" t="s">
        <v>273</v>
      </c>
      <c r="G3127" t="s">
        <v>9585</v>
      </c>
      <c r="H3127" t="s">
        <v>275</v>
      </c>
      <c r="I3127" t="s">
        <v>29</v>
      </c>
      <c r="J3127">
        <v>1</v>
      </c>
      <c r="K3127">
        <f>1-888-909-1336</f>
        <v>-3132</v>
      </c>
      <c r="L3127" t="s">
        <v>9794</v>
      </c>
      <c r="M3127" t="s">
        <v>9795</v>
      </c>
      <c r="N3127" t="s">
        <v>278</v>
      </c>
      <c r="O3127" t="s">
        <v>134</v>
      </c>
      <c r="P3127" t="s">
        <v>8085</v>
      </c>
      <c r="Q3127">
        <v>-24</v>
      </c>
      <c r="R3127">
        <v>-46.633000000000003</v>
      </c>
    </row>
    <row r="3128" spans="1:18" x14ac:dyDescent="0.2">
      <c r="A3128" t="s">
        <v>270</v>
      </c>
      <c r="B3128" t="s">
        <v>8080</v>
      </c>
      <c r="C3128">
        <v>1</v>
      </c>
      <c r="D3128" s="1">
        <v>44073.02616898148</v>
      </c>
      <c r="E3128" t="s">
        <v>9796</v>
      </c>
      <c r="F3128" t="s">
        <v>273</v>
      </c>
      <c r="G3128" t="s">
        <v>9585</v>
      </c>
      <c r="H3128" t="s">
        <v>275</v>
      </c>
      <c r="I3128" t="s">
        <v>29</v>
      </c>
      <c r="J3128">
        <v>1</v>
      </c>
      <c r="K3128">
        <f>1-888-598-1511</f>
        <v>-2996</v>
      </c>
      <c r="L3128" t="s">
        <v>9797</v>
      </c>
      <c r="M3128" t="s">
        <v>9798</v>
      </c>
      <c r="N3128" t="s">
        <v>278</v>
      </c>
      <c r="O3128" t="s">
        <v>134</v>
      </c>
      <c r="P3128" t="s">
        <v>8085</v>
      </c>
      <c r="Q3128">
        <v>-24</v>
      </c>
      <c r="R3128">
        <v>-46.633000000000003</v>
      </c>
    </row>
    <row r="3129" spans="1:18" x14ac:dyDescent="0.2">
      <c r="A3129" t="s">
        <v>270</v>
      </c>
      <c r="B3129" t="s">
        <v>8080</v>
      </c>
      <c r="C3129">
        <v>1</v>
      </c>
      <c r="D3129" s="1">
        <v>44072.870405092595</v>
      </c>
      <c r="E3129" t="s">
        <v>9799</v>
      </c>
      <c r="F3129" t="s">
        <v>273</v>
      </c>
      <c r="G3129" t="s">
        <v>9585</v>
      </c>
      <c r="H3129" t="s">
        <v>275</v>
      </c>
      <c r="I3129" t="s">
        <v>29</v>
      </c>
      <c r="J3129">
        <v>1</v>
      </c>
      <c r="K3129">
        <f>1-888-662-8133</f>
        <v>-9682</v>
      </c>
      <c r="L3129" t="s">
        <v>9800</v>
      </c>
      <c r="M3129" t="s">
        <v>9801</v>
      </c>
      <c r="N3129" t="s">
        <v>278</v>
      </c>
      <c r="O3129" t="s">
        <v>134</v>
      </c>
      <c r="P3129" t="s">
        <v>8085</v>
      </c>
      <c r="Q3129">
        <v>-24</v>
      </c>
      <c r="R3129">
        <v>-46.633000000000003</v>
      </c>
    </row>
    <row r="3130" spans="1:18" x14ac:dyDescent="0.2">
      <c r="A3130" t="s">
        <v>270</v>
      </c>
      <c r="B3130" t="s">
        <v>8080</v>
      </c>
      <c r="C3130">
        <v>1</v>
      </c>
      <c r="D3130" s="1">
        <v>44072.870347222219</v>
      </c>
      <c r="E3130" t="s">
        <v>9802</v>
      </c>
      <c r="F3130" t="s">
        <v>273</v>
      </c>
      <c r="G3130" t="s">
        <v>9585</v>
      </c>
      <c r="H3130" t="s">
        <v>275</v>
      </c>
      <c r="I3130" t="s">
        <v>29</v>
      </c>
      <c r="J3130">
        <v>1</v>
      </c>
      <c r="K3130">
        <f>1-888-662-8133</f>
        <v>-9682</v>
      </c>
      <c r="L3130" t="s">
        <v>9803</v>
      </c>
      <c r="M3130" t="s">
        <v>9804</v>
      </c>
      <c r="N3130" t="s">
        <v>278</v>
      </c>
      <c r="O3130" t="s">
        <v>134</v>
      </c>
      <c r="P3130" t="s">
        <v>8085</v>
      </c>
      <c r="Q3130">
        <v>-24</v>
      </c>
      <c r="R3130">
        <v>-46.633000000000003</v>
      </c>
    </row>
    <row r="3131" spans="1:18" x14ac:dyDescent="0.2">
      <c r="A3131" t="s">
        <v>270</v>
      </c>
      <c r="B3131" t="s">
        <v>8080</v>
      </c>
      <c r="C3131">
        <v>1</v>
      </c>
      <c r="D3131" s="1">
        <v>44072.869259259256</v>
      </c>
      <c r="E3131" t="s">
        <v>9805</v>
      </c>
      <c r="F3131" t="s">
        <v>273</v>
      </c>
      <c r="G3131" t="s">
        <v>9585</v>
      </c>
      <c r="H3131" t="s">
        <v>275</v>
      </c>
      <c r="I3131" t="s">
        <v>29</v>
      </c>
      <c r="J3131">
        <v>1</v>
      </c>
      <c r="K3131">
        <f>1-888-609-3819</f>
        <v>-5315</v>
      </c>
      <c r="L3131" t="s">
        <v>9806</v>
      </c>
      <c r="M3131" t="s">
        <v>9807</v>
      </c>
      <c r="N3131" t="s">
        <v>278</v>
      </c>
      <c r="O3131" t="s">
        <v>134</v>
      </c>
      <c r="P3131" t="s">
        <v>8085</v>
      </c>
      <c r="Q3131">
        <v>-24</v>
      </c>
      <c r="R3131">
        <v>-46.633000000000003</v>
      </c>
    </row>
    <row r="3132" spans="1:18" x14ac:dyDescent="0.2">
      <c r="A3132" t="s">
        <v>270</v>
      </c>
      <c r="B3132" t="s">
        <v>8080</v>
      </c>
      <c r="C3132">
        <v>1</v>
      </c>
      <c r="D3132" s="1">
        <v>44072.867627314816</v>
      </c>
      <c r="E3132" t="s">
        <v>9808</v>
      </c>
      <c r="F3132" t="s">
        <v>273</v>
      </c>
      <c r="G3132" t="s">
        <v>9585</v>
      </c>
      <c r="H3132" t="s">
        <v>275</v>
      </c>
      <c r="I3132" t="s">
        <v>29</v>
      </c>
      <c r="J3132">
        <v>1</v>
      </c>
      <c r="K3132">
        <f>1-888-604-806</f>
        <v>-2297</v>
      </c>
      <c r="L3132" t="s">
        <v>9809</v>
      </c>
      <c r="M3132" t="s">
        <v>9810</v>
      </c>
      <c r="N3132" t="s">
        <v>278</v>
      </c>
      <c r="O3132" t="s">
        <v>134</v>
      </c>
      <c r="P3132" t="s">
        <v>8085</v>
      </c>
      <c r="Q3132">
        <v>-24</v>
      </c>
      <c r="R3132">
        <v>-46.633000000000003</v>
      </c>
    </row>
    <row r="3133" spans="1:18" x14ac:dyDescent="0.2">
      <c r="A3133" t="s">
        <v>270</v>
      </c>
      <c r="B3133" t="s">
        <v>8080</v>
      </c>
      <c r="C3133">
        <v>1</v>
      </c>
      <c r="D3133" s="1">
        <v>44072.867175925923</v>
      </c>
      <c r="E3133" t="s">
        <v>9811</v>
      </c>
      <c r="F3133" t="s">
        <v>273</v>
      </c>
      <c r="G3133" t="s">
        <v>9585</v>
      </c>
      <c r="H3133" t="s">
        <v>275</v>
      </c>
      <c r="I3133" t="s">
        <v>29</v>
      </c>
      <c r="J3133">
        <v>1</v>
      </c>
      <c r="K3133">
        <f>1-888-604-806</f>
        <v>-2297</v>
      </c>
      <c r="L3133" t="s">
        <v>9812</v>
      </c>
      <c r="M3133" t="s">
        <v>9813</v>
      </c>
      <c r="N3133" t="s">
        <v>278</v>
      </c>
      <c r="O3133" t="s">
        <v>134</v>
      </c>
      <c r="P3133" t="s">
        <v>8085</v>
      </c>
      <c r="Q3133">
        <v>-24</v>
      </c>
      <c r="R3133">
        <v>-46.633000000000003</v>
      </c>
    </row>
    <row r="3134" spans="1:18" x14ac:dyDescent="0.2">
      <c r="A3134" t="s">
        <v>270</v>
      </c>
      <c r="B3134" t="s">
        <v>8080</v>
      </c>
      <c r="C3134">
        <v>1</v>
      </c>
      <c r="D3134" s="1">
        <v>44072.866087962961</v>
      </c>
      <c r="E3134" t="s">
        <v>9814</v>
      </c>
      <c r="F3134" t="s">
        <v>273</v>
      </c>
      <c r="G3134" t="s">
        <v>9585</v>
      </c>
      <c r="H3134" t="s">
        <v>275</v>
      </c>
      <c r="I3134" t="s">
        <v>29</v>
      </c>
      <c r="J3134">
        <v>1</v>
      </c>
      <c r="K3134">
        <f>1-888-604-806</f>
        <v>-2297</v>
      </c>
      <c r="L3134" t="s">
        <v>9815</v>
      </c>
      <c r="M3134" t="s">
        <v>9816</v>
      </c>
      <c r="N3134" t="s">
        <v>278</v>
      </c>
      <c r="O3134" t="s">
        <v>134</v>
      </c>
      <c r="P3134" t="s">
        <v>8085</v>
      </c>
      <c r="Q3134">
        <v>-24</v>
      </c>
      <c r="R3134">
        <v>-46.633000000000003</v>
      </c>
    </row>
    <row r="3135" spans="1:18" x14ac:dyDescent="0.2">
      <c r="A3135" t="s">
        <v>270</v>
      </c>
      <c r="B3135" t="s">
        <v>8080</v>
      </c>
      <c r="C3135">
        <v>1</v>
      </c>
      <c r="D3135" s="1">
        <v>44072.864849537036</v>
      </c>
      <c r="E3135" t="s">
        <v>9817</v>
      </c>
      <c r="F3135" t="s">
        <v>273</v>
      </c>
      <c r="G3135" t="s">
        <v>9585</v>
      </c>
      <c r="H3135" t="s">
        <v>275</v>
      </c>
      <c r="I3135" t="s">
        <v>29</v>
      </c>
      <c r="J3135">
        <v>1</v>
      </c>
      <c r="K3135">
        <f>1-888-650-4670</f>
        <v>-6207</v>
      </c>
      <c r="L3135" t="s">
        <v>9818</v>
      </c>
      <c r="M3135" t="s">
        <v>9819</v>
      </c>
      <c r="N3135" t="s">
        <v>278</v>
      </c>
      <c r="O3135" t="s">
        <v>134</v>
      </c>
      <c r="P3135" t="s">
        <v>8085</v>
      </c>
      <c r="Q3135">
        <v>-24</v>
      </c>
      <c r="R3135">
        <v>-46.633000000000003</v>
      </c>
    </row>
    <row r="3136" spans="1:18" x14ac:dyDescent="0.2">
      <c r="A3136" t="s">
        <v>270</v>
      </c>
      <c r="B3136" t="s">
        <v>8080</v>
      </c>
      <c r="C3136">
        <v>1</v>
      </c>
      <c r="D3136" s="1">
        <v>44072.863587962966</v>
      </c>
      <c r="E3136" t="s">
        <v>9820</v>
      </c>
      <c r="F3136" t="s">
        <v>273</v>
      </c>
      <c r="G3136" t="s">
        <v>9585</v>
      </c>
      <c r="H3136" t="s">
        <v>275</v>
      </c>
      <c r="I3136" t="s">
        <v>29</v>
      </c>
      <c r="J3136">
        <v>1</v>
      </c>
      <c r="K3136">
        <f>1-888-658-5805</f>
        <v>-7350</v>
      </c>
      <c r="L3136" t="s">
        <v>9821</v>
      </c>
      <c r="M3136" t="s">
        <v>9822</v>
      </c>
      <c r="N3136" t="s">
        <v>278</v>
      </c>
      <c r="O3136" t="s">
        <v>134</v>
      </c>
      <c r="P3136" t="s">
        <v>8085</v>
      </c>
      <c r="Q3136">
        <v>-24</v>
      </c>
      <c r="R3136">
        <v>-46.633000000000003</v>
      </c>
    </row>
    <row r="3137" spans="1:18" x14ac:dyDescent="0.2">
      <c r="A3137" t="s">
        <v>270</v>
      </c>
      <c r="B3137" t="s">
        <v>8080</v>
      </c>
      <c r="C3137">
        <v>1</v>
      </c>
      <c r="D3137" s="1">
        <v>44072.291331018518</v>
      </c>
      <c r="E3137" t="s">
        <v>9823</v>
      </c>
      <c r="F3137" t="s">
        <v>273</v>
      </c>
      <c r="G3137" t="s">
        <v>9585</v>
      </c>
      <c r="H3137" t="s">
        <v>275</v>
      </c>
      <c r="I3137" t="s">
        <v>29</v>
      </c>
      <c r="J3137">
        <v>1</v>
      </c>
      <c r="K3137">
        <f>1-888-658-5805</f>
        <v>-7350</v>
      </c>
      <c r="L3137" t="s">
        <v>9824</v>
      </c>
      <c r="M3137" t="s">
        <v>9825</v>
      </c>
      <c r="N3137" t="s">
        <v>278</v>
      </c>
      <c r="O3137" t="s">
        <v>134</v>
      </c>
      <c r="P3137" t="s">
        <v>8085</v>
      </c>
      <c r="Q3137">
        <v>-24</v>
      </c>
      <c r="R3137">
        <v>-46.633000000000003</v>
      </c>
    </row>
    <row r="3138" spans="1:18" x14ac:dyDescent="0.2">
      <c r="A3138" t="s">
        <v>270</v>
      </c>
      <c r="B3138" t="s">
        <v>8080</v>
      </c>
      <c r="C3138">
        <v>1</v>
      </c>
      <c r="D3138" s="1">
        <v>44072.291018518517</v>
      </c>
      <c r="E3138" t="s">
        <v>9826</v>
      </c>
      <c r="F3138" t="s">
        <v>273</v>
      </c>
      <c r="G3138" t="s">
        <v>9585</v>
      </c>
      <c r="H3138" t="s">
        <v>275</v>
      </c>
      <c r="I3138" t="s">
        <v>29</v>
      </c>
      <c r="J3138">
        <v>1</v>
      </c>
      <c r="K3138">
        <f>1-888-658-5805</f>
        <v>-7350</v>
      </c>
      <c r="L3138" t="s">
        <v>9827</v>
      </c>
      <c r="M3138" t="s">
        <v>9828</v>
      </c>
      <c r="N3138" t="s">
        <v>278</v>
      </c>
      <c r="O3138" t="s">
        <v>134</v>
      </c>
      <c r="P3138" t="s">
        <v>8085</v>
      </c>
      <c r="Q3138">
        <v>-24</v>
      </c>
      <c r="R3138">
        <v>-46.633000000000003</v>
      </c>
    </row>
    <row r="3139" spans="1:18" x14ac:dyDescent="0.2">
      <c r="A3139" t="s">
        <v>270</v>
      </c>
      <c r="B3139" t="s">
        <v>8080</v>
      </c>
      <c r="C3139">
        <v>1</v>
      </c>
      <c r="D3139" s="1">
        <v>44071.915486111109</v>
      </c>
      <c r="E3139" t="s">
        <v>9829</v>
      </c>
      <c r="F3139" t="s">
        <v>273</v>
      </c>
      <c r="G3139" t="s">
        <v>9585</v>
      </c>
      <c r="H3139" t="s">
        <v>275</v>
      </c>
      <c r="I3139" t="s">
        <v>29</v>
      </c>
      <c r="J3139">
        <v>1</v>
      </c>
      <c r="K3139">
        <f>1-888-521-2457</f>
        <v>-3865</v>
      </c>
      <c r="L3139" t="s">
        <v>9830</v>
      </c>
      <c r="M3139" t="s">
        <v>9831</v>
      </c>
      <c r="N3139" t="s">
        <v>278</v>
      </c>
      <c r="O3139" t="s">
        <v>134</v>
      </c>
      <c r="P3139" t="s">
        <v>8085</v>
      </c>
      <c r="Q3139">
        <v>-24</v>
      </c>
      <c r="R3139">
        <v>-46.633000000000003</v>
      </c>
    </row>
    <row r="3140" spans="1:18" x14ac:dyDescent="0.2">
      <c r="A3140" t="s">
        <v>270</v>
      </c>
      <c r="B3140" t="s">
        <v>8080</v>
      </c>
      <c r="C3140">
        <v>1</v>
      </c>
      <c r="D3140" s="1">
        <v>44071.905370370368</v>
      </c>
      <c r="E3140" t="s">
        <v>9832</v>
      </c>
      <c r="F3140" t="s">
        <v>273</v>
      </c>
      <c r="G3140" t="s">
        <v>9585</v>
      </c>
      <c r="H3140" t="s">
        <v>275</v>
      </c>
      <c r="I3140" t="s">
        <v>29</v>
      </c>
      <c r="J3140">
        <v>1</v>
      </c>
      <c r="K3140">
        <f>1-888-803-850</f>
        <v>-2540</v>
      </c>
      <c r="L3140" t="s">
        <v>9833</v>
      </c>
      <c r="M3140" t="s">
        <v>9834</v>
      </c>
      <c r="N3140" t="s">
        <v>278</v>
      </c>
      <c r="O3140" t="s">
        <v>134</v>
      </c>
      <c r="P3140" t="s">
        <v>8085</v>
      </c>
      <c r="Q3140">
        <v>-24</v>
      </c>
      <c r="R3140">
        <v>-46.633000000000003</v>
      </c>
    </row>
    <row r="3141" spans="1:18" x14ac:dyDescent="0.2">
      <c r="A3141" t="s">
        <v>270</v>
      </c>
      <c r="B3141" t="s">
        <v>8080</v>
      </c>
      <c r="C3141">
        <v>1</v>
      </c>
      <c r="D3141" s="1">
        <v>44071.904328703706</v>
      </c>
      <c r="E3141" t="s">
        <v>9835</v>
      </c>
      <c r="F3141" t="s">
        <v>273</v>
      </c>
      <c r="G3141" t="s">
        <v>9585</v>
      </c>
      <c r="H3141" t="s">
        <v>275</v>
      </c>
      <c r="I3141" t="s">
        <v>29</v>
      </c>
      <c r="J3141">
        <v>1</v>
      </c>
      <c r="K3141">
        <f>1-888-383-569</f>
        <v>-1839</v>
      </c>
      <c r="L3141" t="s">
        <v>9836</v>
      </c>
      <c r="M3141" t="s">
        <v>9837</v>
      </c>
      <c r="N3141" t="s">
        <v>278</v>
      </c>
      <c r="O3141" t="s">
        <v>134</v>
      </c>
      <c r="P3141" t="s">
        <v>8085</v>
      </c>
      <c r="Q3141">
        <v>-24</v>
      </c>
      <c r="R3141">
        <v>-46.633000000000003</v>
      </c>
    </row>
    <row r="3142" spans="1:18" x14ac:dyDescent="0.2">
      <c r="A3142" t="s">
        <v>270</v>
      </c>
      <c r="B3142" t="s">
        <v>8080</v>
      </c>
      <c r="C3142">
        <v>1</v>
      </c>
      <c r="D3142" s="1">
        <v>44071.892881944441</v>
      </c>
      <c r="E3142" t="s">
        <v>9838</v>
      </c>
      <c r="F3142" t="s">
        <v>273</v>
      </c>
      <c r="G3142" t="s">
        <v>9585</v>
      </c>
      <c r="H3142" t="s">
        <v>275</v>
      </c>
      <c r="I3142" t="s">
        <v>29</v>
      </c>
      <c r="J3142">
        <v>1</v>
      </c>
      <c r="K3142">
        <f>1-888-851-587</f>
        <v>-2325</v>
      </c>
      <c r="L3142" t="s">
        <v>9839</v>
      </c>
      <c r="M3142" t="s">
        <v>9840</v>
      </c>
      <c r="N3142" t="s">
        <v>278</v>
      </c>
      <c r="O3142" t="s">
        <v>134</v>
      </c>
      <c r="P3142" t="s">
        <v>8085</v>
      </c>
      <c r="Q3142">
        <v>-24</v>
      </c>
      <c r="R3142">
        <v>-46.633000000000003</v>
      </c>
    </row>
    <row r="3143" spans="1:18" x14ac:dyDescent="0.2">
      <c r="A3143" t="s">
        <v>270</v>
      </c>
      <c r="B3143" t="s">
        <v>8080</v>
      </c>
      <c r="C3143">
        <v>1</v>
      </c>
      <c r="D3143" s="1">
        <v>44071.833287037036</v>
      </c>
      <c r="E3143" t="s">
        <v>9841</v>
      </c>
      <c r="F3143" t="s">
        <v>273</v>
      </c>
      <c r="G3143" t="s">
        <v>9585</v>
      </c>
      <c r="H3143" t="s">
        <v>275</v>
      </c>
      <c r="I3143" t="s">
        <v>29</v>
      </c>
      <c r="J3143">
        <v>1</v>
      </c>
      <c r="K3143">
        <f>1-888-650-4670</f>
        <v>-6207</v>
      </c>
      <c r="L3143" t="s">
        <v>9842</v>
      </c>
      <c r="M3143" t="s">
        <v>9843</v>
      </c>
      <c r="N3143" t="s">
        <v>278</v>
      </c>
      <c r="O3143" t="s">
        <v>28</v>
      </c>
      <c r="P3143" t="s">
        <v>8085</v>
      </c>
      <c r="Q3143">
        <v>-24</v>
      </c>
      <c r="R3143">
        <v>-46.633000000000003</v>
      </c>
    </row>
    <row r="3144" spans="1:18" x14ac:dyDescent="0.2">
      <c r="A3144" t="s">
        <v>270</v>
      </c>
      <c r="B3144" t="s">
        <v>8080</v>
      </c>
      <c r="C3144">
        <v>1</v>
      </c>
      <c r="D3144" s="1">
        <v>44071.417164351849</v>
      </c>
      <c r="E3144" t="s">
        <v>9844</v>
      </c>
      <c r="F3144" t="s">
        <v>273</v>
      </c>
      <c r="G3144" t="s">
        <v>9585</v>
      </c>
      <c r="H3144" t="s">
        <v>275</v>
      </c>
      <c r="I3144" t="s">
        <v>29</v>
      </c>
      <c r="J3144">
        <v>1</v>
      </c>
      <c r="K3144">
        <f>1-888-686-474</f>
        <v>-2047</v>
      </c>
      <c r="L3144" t="s">
        <v>9845</v>
      </c>
      <c r="M3144" t="s">
        <v>9846</v>
      </c>
      <c r="N3144" t="s">
        <v>278</v>
      </c>
      <c r="O3144" t="s">
        <v>134</v>
      </c>
      <c r="P3144" t="s">
        <v>8085</v>
      </c>
      <c r="Q3144">
        <v>-24</v>
      </c>
      <c r="R3144">
        <v>-46.633000000000003</v>
      </c>
    </row>
    <row r="3145" spans="1:18" x14ac:dyDescent="0.2">
      <c r="A3145" t="s">
        <v>270</v>
      </c>
      <c r="B3145" t="s">
        <v>8080</v>
      </c>
      <c r="C3145">
        <v>1</v>
      </c>
      <c r="D3145" s="1">
        <v>44071.415358796294</v>
      </c>
      <c r="E3145" t="s">
        <v>9847</v>
      </c>
      <c r="F3145" t="s">
        <v>273</v>
      </c>
      <c r="G3145" t="s">
        <v>9585</v>
      </c>
      <c r="H3145" t="s">
        <v>275</v>
      </c>
      <c r="I3145" t="s">
        <v>29</v>
      </c>
      <c r="J3145">
        <v>1</v>
      </c>
      <c r="K3145">
        <f>1-888-417-4090</f>
        <v>-5394</v>
      </c>
      <c r="L3145" t="s">
        <v>9848</v>
      </c>
      <c r="M3145" t="s">
        <v>9849</v>
      </c>
      <c r="N3145" t="s">
        <v>278</v>
      </c>
      <c r="O3145" t="s">
        <v>134</v>
      </c>
      <c r="P3145" t="s">
        <v>8085</v>
      </c>
      <c r="Q3145">
        <v>-24</v>
      </c>
      <c r="R3145">
        <v>-46.633000000000003</v>
      </c>
    </row>
    <row r="3146" spans="1:18" x14ac:dyDescent="0.2">
      <c r="A3146" t="s">
        <v>270</v>
      </c>
      <c r="B3146" t="s">
        <v>8080</v>
      </c>
      <c r="C3146">
        <v>1</v>
      </c>
      <c r="D3146" s="1">
        <v>44070.870648148149</v>
      </c>
      <c r="E3146" t="s">
        <v>9850</v>
      </c>
      <c r="F3146" t="s">
        <v>273</v>
      </c>
      <c r="G3146" t="s">
        <v>9585</v>
      </c>
      <c r="H3146" t="s">
        <v>275</v>
      </c>
      <c r="I3146" t="s">
        <v>29</v>
      </c>
      <c r="J3146">
        <v>1</v>
      </c>
      <c r="K3146">
        <f>1-888-597-1445</f>
        <v>-2929</v>
      </c>
      <c r="L3146" t="s">
        <v>9851</v>
      </c>
      <c r="M3146" t="s">
        <v>9852</v>
      </c>
      <c r="N3146" t="s">
        <v>278</v>
      </c>
      <c r="O3146" t="s">
        <v>134</v>
      </c>
      <c r="P3146" t="s">
        <v>8085</v>
      </c>
      <c r="Q3146">
        <v>-24</v>
      </c>
      <c r="R3146">
        <v>-46.633000000000003</v>
      </c>
    </row>
    <row r="3147" spans="1:18" x14ac:dyDescent="0.2">
      <c r="A3147" t="s">
        <v>270</v>
      </c>
      <c r="B3147" t="s">
        <v>8080</v>
      </c>
      <c r="C3147">
        <v>1</v>
      </c>
      <c r="D3147" s="1">
        <v>44070.601817129631</v>
      </c>
      <c r="E3147" t="s">
        <v>9853</v>
      </c>
      <c r="F3147" t="s">
        <v>273</v>
      </c>
      <c r="G3147" t="s">
        <v>9585</v>
      </c>
      <c r="H3147" t="s">
        <v>275</v>
      </c>
      <c r="I3147" t="s">
        <v>29</v>
      </c>
      <c r="J3147">
        <v>1</v>
      </c>
      <c r="K3147">
        <f>1-888-527-4189</f>
        <v>-5603</v>
      </c>
      <c r="L3147" t="s">
        <v>9854</v>
      </c>
      <c r="M3147" t="s">
        <v>9855</v>
      </c>
      <c r="N3147" t="s">
        <v>278</v>
      </c>
      <c r="O3147" t="s">
        <v>134</v>
      </c>
      <c r="P3147" t="s">
        <v>8085</v>
      </c>
      <c r="Q3147">
        <v>-24</v>
      </c>
      <c r="R3147">
        <v>-46.633000000000003</v>
      </c>
    </row>
    <row r="3148" spans="1:18" x14ac:dyDescent="0.2">
      <c r="A3148" t="s">
        <v>270</v>
      </c>
      <c r="B3148" t="s">
        <v>8080</v>
      </c>
      <c r="C3148">
        <v>1</v>
      </c>
      <c r="D3148" s="1">
        <v>44070.599120370367</v>
      </c>
      <c r="E3148" t="s">
        <v>9856</v>
      </c>
      <c r="F3148" t="s">
        <v>273</v>
      </c>
      <c r="G3148" t="s">
        <v>9585</v>
      </c>
      <c r="H3148" t="s">
        <v>275</v>
      </c>
      <c r="I3148" t="s">
        <v>29</v>
      </c>
      <c r="J3148">
        <v>1</v>
      </c>
      <c r="K3148">
        <f>1-888-530-1472</f>
        <v>-2889</v>
      </c>
      <c r="L3148" t="s">
        <v>9857</v>
      </c>
      <c r="M3148" t="s">
        <v>9858</v>
      </c>
      <c r="N3148" t="s">
        <v>278</v>
      </c>
      <c r="O3148" t="s">
        <v>134</v>
      </c>
      <c r="P3148" t="s">
        <v>8085</v>
      </c>
      <c r="Q3148">
        <v>-24</v>
      </c>
      <c r="R3148">
        <v>-46.633000000000003</v>
      </c>
    </row>
    <row r="3149" spans="1:18" x14ac:dyDescent="0.2">
      <c r="A3149" t="s">
        <v>270</v>
      </c>
      <c r="B3149" t="s">
        <v>8080</v>
      </c>
      <c r="C3149">
        <v>1</v>
      </c>
      <c r="D3149" s="1">
        <v>44070.580937500003</v>
      </c>
      <c r="E3149" t="s">
        <v>9859</v>
      </c>
      <c r="F3149" t="s">
        <v>273</v>
      </c>
      <c r="G3149" t="s">
        <v>9585</v>
      </c>
      <c r="H3149" t="s">
        <v>275</v>
      </c>
      <c r="I3149" t="s">
        <v>29</v>
      </c>
      <c r="J3149">
        <v>1</v>
      </c>
      <c r="K3149">
        <f>1-866-746-1819</f>
        <v>-3430</v>
      </c>
      <c r="L3149" t="s">
        <v>9860</v>
      </c>
      <c r="M3149" t="s">
        <v>9861</v>
      </c>
      <c r="N3149" t="s">
        <v>278</v>
      </c>
      <c r="O3149" t="s">
        <v>134</v>
      </c>
      <c r="P3149" t="s">
        <v>8085</v>
      </c>
      <c r="Q3149">
        <v>-24</v>
      </c>
      <c r="R3149">
        <v>-46.633000000000003</v>
      </c>
    </row>
    <row r="3150" spans="1:18" x14ac:dyDescent="0.2">
      <c r="A3150" t="s">
        <v>270</v>
      </c>
      <c r="B3150" t="s">
        <v>8080</v>
      </c>
      <c r="C3150">
        <v>1</v>
      </c>
      <c r="D3150" s="1">
        <v>44068.192893518521</v>
      </c>
      <c r="E3150" t="s">
        <v>9862</v>
      </c>
      <c r="F3150" t="s">
        <v>273</v>
      </c>
      <c r="G3150" t="s">
        <v>9585</v>
      </c>
      <c r="H3150" t="s">
        <v>275</v>
      </c>
      <c r="I3150" t="s">
        <v>29</v>
      </c>
      <c r="J3150">
        <v>1</v>
      </c>
      <c r="K3150">
        <f>1-888-530-4241</f>
        <v>-5658</v>
      </c>
      <c r="L3150" t="s">
        <v>9863</v>
      </c>
      <c r="M3150" t="s">
        <v>9864</v>
      </c>
      <c r="N3150" t="s">
        <v>278</v>
      </c>
      <c r="O3150" t="s">
        <v>134</v>
      </c>
      <c r="P3150" t="s">
        <v>8085</v>
      </c>
      <c r="Q3150">
        <v>-24</v>
      </c>
      <c r="R3150">
        <v>-46.633000000000003</v>
      </c>
    </row>
    <row r="3151" spans="1:18" x14ac:dyDescent="0.2">
      <c r="A3151" t="s">
        <v>270</v>
      </c>
      <c r="B3151" t="s">
        <v>8080</v>
      </c>
      <c r="C3151">
        <v>1</v>
      </c>
      <c r="D3151" s="1">
        <v>44068.058842592596</v>
      </c>
      <c r="E3151" t="s">
        <v>9865</v>
      </c>
      <c r="F3151" t="s">
        <v>273</v>
      </c>
      <c r="G3151" t="s">
        <v>9585</v>
      </c>
      <c r="H3151" t="s">
        <v>275</v>
      </c>
      <c r="I3151" t="s">
        <v>29</v>
      </c>
      <c r="J3151">
        <v>1</v>
      </c>
      <c r="K3151">
        <f>1-888-527-5177</f>
        <v>-6591</v>
      </c>
      <c r="L3151" t="s">
        <v>9866</v>
      </c>
      <c r="M3151" t="s">
        <v>9867</v>
      </c>
      <c r="N3151" t="s">
        <v>278</v>
      </c>
      <c r="O3151" t="s">
        <v>28</v>
      </c>
      <c r="P3151" t="s">
        <v>8085</v>
      </c>
      <c r="Q3151">
        <v>-24</v>
      </c>
      <c r="R3151">
        <v>-46.633000000000003</v>
      </c>
    </row>
    <row r="3152" spans="1:18" x14ac:dyDescent="0.2">
      <c r="A3152" t="s">
        <v>270</v>
      </c>
      <c r="B3152" t="s">
        <v>8080</v>
      </c>
      <c r="C3152">
        <v>1</v>
      </c>
      <c r="D3152" s="1">
        <v>44068.057222222225</v>
      </c>
      <c r="E3152" t="s">
        <v>9868</v>
      </c>
      <c r="F3152" t="s">
        <v>273</v>
      </c>
      <c r="G3152" t="s">
        <v>9585</v>
      </c>
      <c r="H3152" t="s">
        <v>275</v>
      </c>
      <c r="I3152" t="s">
        <v>29</v>
      </c>
      <c r="J3152">
        <v>1</v>
      </c>
      <c r="K3152">
        <f>1-888-524-5804</f>
        <v>-7215</v>
      </c>
      <c r="L3152" t="s">
        <v>9869</v>
      </c>
      <c r="M3152" t="s">
        <v>9870</v>
      </c>
      <c r="N3152" t="s">
        <v>278</v>
      </c>
      <c r="O3152" t="s">
        <v>28</v>
      </c>
      <c r="P3152" t="s">
        <v>8085</v>
      </c>
      <c r="Q3152">
        <v>-24</v>
      </c>
      <c r="R3152">
        <v>-46.633000000000003</v>
      </c>
    </row>
    <row r="3153" spans="1:18" x14ac:dyDescent="0.2">
      <c r="A3153" t="s">
        <v>270</v>
      </c>
      <c r="B3153" t="s">
        <v>8080</v>
      </c>
      <c r="C3153">
        <v>1</v>
      </c>
      <c r="D3153" s="1">
        <v>44068.033773148149</v>
      </c>
      <c r="E3153" t="s">
        <v>9871</v>
      </c>
      <c r="F3153" t="s">
        <v>273</v>
      </c>
      <c r="G3153" t="s">
        <v>9585</v>
      </c>
      <c r="H3153" t="s">
        <v>275</v>
      </c>
      <c r="I3153" t="s">
        <v>29</v>
      </c>
      <c r="J3153">
        <v>1</v>
      </c>
      <c r="K3153">
        <f>1-888-965-914</f>
        <v>-2766</v>
      </c>
      <c r="L3153" t="s">
        <v>9872</v>
      </c>
      <c r="M3153" t="s">
        <v>9873</v>
      </c>
      <c r="N3153" t="s">
        <v>278</v>
      </c>
      <c r="O3153" t="s">
        <v>28</v>
      </c>
      <c r="P3153" t="s">
        <v>8085</v>
      </c>
      <c r="Q3153">
        <v>-24</v>
      </c>
      <c r="R3153">
        <v>-46.633000000000003</v>
      </c>
    </row>
    <row r="3154" spans="1:18" x14ac:dyDescent="0.2">
      <c r="A3154" t="s">
        <v>270</v>
      </c>
      <c r="B3154" t="s">
        <v>8080</v>
      </c>
      <c r="C3154">
        <v>1</v>
      </c>
      <c r="D3154" s="1">
        <v>44068.030972222223</v>
      </c>
      <c r="E3154" t="s">
        <v>9874</v>
      </c>
      <c r="F3154" t="s">
        <v>273</v>
      </c>
      <c r="G3154" t="s">
        <v>9585</v>
      </c>
      <c r="H3154" t="s">
        <v>275</v>
      </c>
      <c r="I3154" t="s">
        <v>29</v>
      </c>
      <c r="J3154">
        <v>1</v>
      </c>
      <c r="K3154">
        <f>1-888-965-777</f>
        <v>-2629</v>
      </c>
      <c r="L3154" t="s">
        <v>9875</v>
      </c>
      <c r="M3154" t="s">
        <v>9876</v>
      </c>
      <c r="N3154" t="s">
        <v>278</v>
      </c>
      <c r="O3154" t="s">
        <v>28</v>
      </c>
      <c r="P3154" t="s">
        <v>8085</v>
      </c>
      <c r="Q3154">
        <v>-24</v>
      </c>
      <c r="R3154">
        <v>-46.633000000000003</v>
      </c>
    </row>
    <row r="3155" spans="1:18" x14ac:dyDescent="0.2">
      <c r="A3155" t="s">
        <v>270</v>
      </c>
      <c r="B3155" t="s">
        <v>8080</v>
      </c>
      <c r="C3155">
        <v>1</v>
      </c>
      <c r="D3155" s="1">
        <v>44068.030439814815</v>
      </c>
      <c r="E3155" t="s">
        <v>9877</v>
      </c>
      <c r="F3155" t="s">
        <v>273</v>
      </c>
      <c r="G3155" t="s">
        <v>9585</v>
      </c>
      <c r="H3155" t="s">
        <v>275</v>
      </c>
      <c r="I3155" t="s">
        <v>29</v>
      </c>
      <c r="J3155">
        <v>1</v>
      </c>
      <c r="K3155">
        <f>1-888-965-777</f>
        <v>-2629</v>
      </c>
      <c r="L3155" t="s">
        <v>9878</v>
      </c>
      <c r="M3155" t="s">
        <v>9879</v>
      </c>
      <c r="N3155" t="s">
        <v>278</v>
      </c>
      <c r="O3155" t="s">
        <v>28</v>
      </c>
      <c r="P3155" t="s">
        <v>8085</v>
      </c>
      <c r="Q3155">
        <v>-24</v>
      </c>
      <c r="R3155">
        <v>-46.633000000000003</v>
      </c>
    </row>
    <row r="3156" spans="1:18" x14ac:dyDescent="0.2">
      <c r="A3156" t="s">
        <v>270</v>
      </c>
      <c r="B3156" t="s">
        <v>8080</v>
      </c>
      <c r="C3156">
        <v>1</v>
      </c>
      <c r="D3156" s="1">
        <v>44068.028506944444</v>
      </c>
      <c r="E3156" t="s">
        <v>9880</v>
      </c>
      <c r="F3156" t="s">
        <v>273</v>
      </c>
      <c r="G3156" t="s">
        <v>9585</v>
      </c>
      <c r="H3156" t="s">
        <v>275</v>
      </c>
      <c r="I3156" t="s">
        <v>29</v>
      </c>
      <c r="J3156">
        <v>1</v>
      </c>
      <c r="K3156">
        <f>1-888-690-840</f>
        <v>-2417</v>
      </c>
      <c r="L3156" t="s">
        <v>9881</v>
      </c>
      <c r="M3156" t="s">
        <v>9882</v>
      </c>
      <c r="N3156" t="s">
        <v>278</v>
      </c>
      <c r="O3156" t="s">
        <v>28</v>
      </c>
      <c r="P3156" t="s">
        <v>8085</v>
      </c>
      <c r="Q3156">
        <v>-24</v>
      </c>
      <c r="R3156">
        <v>-46.633000000000003</v>
      </c>
    </row>
    <row r="3157" spans="1:18" x14ac:dyDescent="0.2">
      <c r="A3157" t="s">
        <v>270</v>
      </c>
      <c r="B3157" t="s">
        <v>8080</v>
      </c>
      <c r="C3157">
        <v>1</v>
      </c>
      <c r="D3157" s="1">
        <v>44068.02207175926</v>
      </c>
      <c r="E3157" t="s">
        <v>9883</v>
      </c>
      <c r="F3157" t="s">
        <v>273</v>
      </c>
      <c r="G3157" t="s">
        <v>9585</v>
      </c>
      <c r="H3157" t="s">
        <v>275</v>
      </c>
      <c r="I3157" t="s">
        <v>29</v>
      </c>
      <c r="J3157">
        <v>1</v>
      </c>
      <c r="K3157">
        <f>1-888-965-777</f>
        <v>-2629</v>
      </c>
      <c r="L3157" t="s">
        <v>9884</v>
      </c>
      <c r="M3157" t="s">
        <v>9885</v>
      </c>
      <c r="N3157" t="s">
        <v>278</v>
      </c>
      <c r="O3157" t="s">
        <v>28</v>
      </c>
      <c r="P3157" t="s">
        <v>8085</v>
      </c>
      <c r="Q3157">
        <v>-24</v>
      </c>
      <c r="R3157">
        <v>-46.633000000000003</v>
      </c>
    </row>
    <row r="3158" spans="1:18" x14ac:dyDescent="0.2">
      <c r="A3158" t="s">
        <v>270</v>
      </c>
      <c r="B3158" t="s">
        <v>8080</v>
      </c>
      <c r="C3158">
        <v>1</v>
      </c>
      <c r="D3158" s="1">
        <v>44068.015821759262</v>
      </c>
      <c r="E3158" t="s">
        <v>9886</v>
      </c>
      <c r="F3158" t="s">
        <v>273</v>
      </c>
      <c r="G3158" t="s">
        <v>9585</v>
      </c>
      <c r="H3158" t="s">
        <v>275</v>
      </c>
      <c r="I3158" t="s">
        <v>29</v>
      </c>
      <c r="J3158">
        <v>1</v>
      </c>
      <c r="K3158">
        <f>1-888-851-511</f>
        <v>-2249</v>
      </c>
      <c r="L3158" t="s">
        <v>9887</v>
      </c>
      <c r="M3158" t="s">
        <v>9888</v>
      </c>
      <c r="N3158" t="s">
        <v>278</v>
      </c>
      <c r="O3158" t="s">
        <v>28</v>
      </c>
      <c r="P3158" t="s">
        <v>8085</v>
      </c>
      <c r="Q3158">
        <v>-24</v>
      </c>
      <c r="R3158">
        <v>-46.633000000000003</v>
      </c>
    </row>
    <row r="3159" spans="1:18" x14ac:dyDescent="0.2">
      <c r="A3159" t="s">
        <v>270</v>
      </c>
      <c r="B3159" t="s">
        <v>8080</v>
      </c>
      <c r="C3159">
        <v>1</v>
      </c>
      <c r="D3159" s="1">
        <v>44068.012476851851</v>
      </c>
      <c r="E3159" t="s">
        <v>9889</v>
      </c>
      <c r="F3159" t="s">
        <v>273</v>
      </c>
      <c r="G3159" t="s">
        <v>9585</v>
      </c>
      <c r="H3159" t="s">
        <v>275</v>
      </c>
      <c r="I3159" t="s">
        <v>29</v>
      </c>
      <c r="J3159">
        <v>1</v>
      </c>
      <c r="K3159">
        <f>1-888-851-511</f>
        <v>-2249</v>
      </c>
      <c r="L3159" t="s">
        <v>9890</v>
      </c>
      <c r="M3159" t="s">
        <v>9891</v>
      </c>
      <c r="N3159" t="s">
        <v>278</v>
      </c>
      <c r="O3159" t="s">
        <v>28</v>
      </c>
      <c r="P3159" t="s">
        <v>8085</v>
      </c>
      <c r="Q3159">
        <v>-24</v>
      </c>
      <c r="R3159">
        <v>-46.633000000000003</v>
      </c>
    </row>
    <row r="3160" spans="1:18" x14ac:dyDescent="0.2">
      <c r="A3160" t="s">
        <v>270</v>
      </c>
      <c r="B3160" t="s">
        <v>8080</v>
      </c>
      <c r="C3160">
        <v>1</v>
      </c>
      <c r="D3160" s="1">
        <v>44066.539247685185</v>
      </c>
      <c r="E3160" t="s">
        <v>9892</v>
      </c>
      <c r="F3160" t="s">
        <v>273</v>
      </c>
      <c r="G3160" t="s">
        <v>9585</v>
      </c>
      <c r="H3160" t="s">
        <v>275</v>
      </c>
      <c r="I3160" t="s">
        <v>29</v>
      </c>
      <c r="J3160">
        <v>1</v>
      </c>
      <c r="K3160">
        <f>1-888-304-1236</f>
        <v>-2427</v>
      </c>
      <c r="L3160" t="s">
        <v>9893</v>
      </c>
      <c r="M3160" t="s">
        <v>9894</v>
      </c>
      <c r="N3160" t="s">
        <v>278</v>
      </c>
      <c r="O3160" t="s">
        <v>134</v>
      </c>
      <c r="P3160" t="s">
        <v>8085</v>
      </c>
      <c r="Q3160">
        <v>-24</v>
      </c>
      <c r="R3160">
        <v>-46.633000000000003</v>
      </c>
    </row>
    <row r="3161" spans="1:18" x14ac:dyDescent="0.2">
      <c r="A3161" t="s">
        <v>270</v>
      </c>
      <c r="B3161" t="s">
        <v>8080</v>
      </c>
      <c r="C3161">
        <v>1</v>
      </c>
      <c r="D3161" s="1">
        <v>44053.304965277777</v>
      </c>
      <c r="E3161" t="s">
        <v>9895</v>
      </c>
      <c r="F3161" t="s">
        <v>273</v>
      </c>
      <c r="G3161" t="s">
        <v>9585</v>
      </c>
      <c r="H3161" t="s">
        <v>275</v>
      </c>
      <c r="I3161" t="s">
        <v>29</v>
      </c>
      <c r="J3161">
        <v>1</v>
      </c>
      <c r="K3161">
        <f>1-866-702-3639</f>
        <v>-5206</v>
      </c>
      <c r="L3161" t="s">
        <v>9896</v>
      </c>
      <c r="M3161" t="s">
        <v>9897</v>
      </c>
      <c r="N3161" t="s">
        <v>278</v>
      </c>
      <c r="O3161" t="s">
        <v>134</v>
      </c>
      <c r="P3161" t="s">
        <v>8085</v>
      </c>
      <c r="Q3161">
        <v>-24</v>
      </c>
      <c r="R3161">
        <v>-46.633000000000003</v>
      </c>
    </row>
    <row r="3162" spans="1:18" x14ac:dyDescent="0.2">
      <c r="A3162" t="s">
        <v>270</v>
      </c>
      <c r="B3162" t="s">
        <v>8080</v>
      </c>
      <c r="C3162">
        <v>1</v>
      </c>
      <c r="D3162" s="1">
        <v>44053.298425925925</v>
      </c>
      <c r="E3162" t="s">
        <v>9898</v>
      </c>
      <c r="F3162" t="s">
        <v>273</v>
      </c>
      <c r="G3162" t="s">
        <v>9585</v>
      </c>
      <c r="H3162" t="s">
        <v>275</v>
      </c>
      <c r="I3162" t="s">
        <v>29</v>
      </c>
      <c r="J3162">
        <v>1</v>
      </c>
      <c r="K3162">
        <f>1-866-672-9693</f>
        <v>-11230</v>
      </c>
      <c r="L3162" t="s">
        <v>9899</v>
      </c>
      <c r="M3162" t="s">
        <v>9900</v>
      </c>
      <c r="N3162" t="s">
        <v>278</v>
      </c>
      <c r="O3162" t="s">
        <v>134</v>
      </c>
      <c r="P3162" t="s">
        <v>8085</v>
      </c>
      <c r="Q3162">
        <v>-24</v>
      </c>
      <c r="R3162">
        <v>-46.633000000000003</v>
      </c>
    </row>
    <row r="3163" spans="1:18" x14ac:dyDescent="0.2">
      <c r="A3163" t="s">
        <v>270</v>
      </c>
      <c r="B3163" t="s">
        <v>8080</v>
      </c>
      <c r="C3163">
        <v>1</v>
      </c>
      <c r="D3163" s="1">
        <v>44046.717118055552</v>
      </c>
      <c r="E3163" t="s">
        <v>9901</v>
      </c>
      <c r="F3163" t="s">
        <v>273</v>
      </c>
      <c r="G3163" t="s">
        <v>9585</v>
      </c>
      <c r="H3163" t="s">
        <v>275</v>
      </c>
      <c r="I3163" t="s">
        <v>29</v>
      </c>
      <c r="J3163">
        <v>1</v>
      </c>
      <c r="K3163">
        <f>1-844-474-3214</f>
        <v>-4531</v>
      </c>
      <c r="L3163" t="s">
        <v>9902</v>
      </c>
      <c r="M3163" t="s">
        <v>9903</v>
      </c>
      <c r="N3163" t="s">
        <v>278</v>
      </c>
      <c r="O3163" t="s">
        <v>134</v>
      </c>
      <c r="P3163" t="s">
        <v>8085</v>
      </c>
      <c r="Q3163">
        <v>-24</v>
      </c>
      <c r="R3163">
        <v>-46.633000000000003</v>
      </c>
    </row>
    <row r="3164" spans="1:18" x14ac:dyDescent="0.2">
      <c r="A3164" t="s">
        <v>270</v>
      </c>
      <c r="B3164" t="s">
        <v>8080</v>
      </c>
      <c r="C3164">
        <v>1</v>
      </c>
      <c r="D3164" s="1">
        <v>44046.716863425929</v>
      </c>
      <c r="E3164" t="s">
        <v>9904</v>
      </c>
      <c r="F3164" t="s">
        <v>273</v>
      </c>
      <c r="G3164" t="s">
        <v>9585</v>
      </c>
      <c r="H3164" t="s">
        <v>275</v>
      </c>
      <c r="I3164" t="s">
        <v>29</v>
      </c>
      <c r="J3164">
        <v>1</v>
      </c>
      <c r="K3164">
        <f>1-844-469-481</f>
        <v>-1793</v>
      </c>
      <c r="L3164" t="s">
        <v>9905</v>
      </c>
      <c r="M3164" t="s">
        <v>9906</v>
      </c>
      <c r="N3164" t="s">
        <v>278</v>
      </c>
      <c r="O3164" t="s">
        <v>134</v>
      </c>
      <c r="P3164" t="s">
        <v>8085</v>
      </c>
      <c r="Q3164">
        <v>-24</v>
      </c>
      <c r="R3164">
        <v>-46.633000000000003</v>
      </c>
    </row>
    <row r="3165" spans="1:18" x14ac:dyDescent="0.2">
      <c r="A3165" t="s">
        <v>270</v>
      </c>
      <c r="B3165" t="s">
        <v>8080</v>
      </c>
      <c r="C3165">
        <v>1</v>
      </c>
      <c r="D3165" s="1">
        <v>44041.518761574072</v>
      </c>
      <c r="E3165" t="s">
        <v>9907</v>
      </c>
      <c r="F3165" t="s">
        <v>273</v>
      </c>
      <c r="G3165" t="s">
        <v>9585</v>
      </c>
      <c r="H3165" t="s">
        <v>275</v>
      </c>
      <c r="I3165" t="s">
        <v>29</v>
      </c>
      <c r="J3165">
        <v>1</v>
      </c>
      <c r="K3165">
        <f>1-888-539-3185</f>
        <v>-4611</v>
      </c>
      <c r="L3165" t="s">
        <v>9908</v>
      </c>
      <c r="M3165" t="s">
        <v>9909</v>
      </c>
      <c r="N3165" t="s">
        <v>278</v>
      </c>
      <c r="O3165" t="s">
        <v>134</v>
      </c>
      <c r="P3165" t="s">
        <v>8085</v>
      </c>
      <c r="Q3165">
        <v>-24</v>
      </c>
      <c r="R3165">
        <v>-46.633000000000003</v>
      </c>
    </row>
    <row r="3166" spans="1:18" x14ac:dyDescent="0.2">
      <c r="A3166" t="s">
        <v>270</v>
      </c>
      <c r="B3166" t="s">
        <v>8080</v>
      </c>
      <c r="C3166">
        <v>1</v>
      </c>
      <c r="D3166" s="1">
        <v>44037.3983912037</v>
      </c>
      <c r="E3166" t="s">
        <v>9910</v>
      </c>
      <c r="F3166" t="s">
        <v>273</v>
      </c>
      <c r="G3166" t="s">
        <v>9585</v>
      </c>
      <c r="H3166" t="s">
        <v>275</v>
      </c>
      <c r="I3166" t="s">
        <v>29</v>
      </c>
      <c r="J3166">
        <v>1</v>
      </c>
      <c r="K3166">
        <f>1-888-527-4158</f>
        <v>-5572</v>
      </c>
      <c r="L3166" t="s">
        <v>9911</v>
      </c>
      <c r="M3166" t="s">
        <v>9912</v>
      </c>
      <c r="N3166" t="s">
        <v>278</v>
      </c>
      <c r="O3166" t="s">
        <v>134</v>
      </c>
      <c r="P3166" t="s">
        <v>8085</v>
      </c>
      <c r="Q3166">
        <v>-24</v>
      </c>
      <c r="R3166">
        <v>-46.633000000000003</v>
      </c>
    </row>
    <row r="3167" spans="1:18" x14ac:dyDescent="0.2">
      <c r="A3167" t="s">
        <v>270</v>
      </c>
      <c r="B3167" t="s">
        <v>8080</v>
      </c>
      <c r="C3167">
        <v>1</v>
      </c>
      <c r="D3167" s="1">
        <v>44036.938067129631</v>
      </c>
      <c r="E3167" t="s">
        <v>9913</v>
      </c>
      <c r="F3167" t="s">
        <v>273</v>
      </c>
      <c r="G3167" t="s">
        <v>9585</v>
      </c>
      <c r="H3167" t="s">
        <v>275</v>
      </c>
      <c r="I3167" t="s">
        <v>29</v>
      </c>
      <c r="J3167">
        <v>1</v>
      </c>
      <c r="K3167">
        <f>1-888-538-7062</f>
        <v>-8487</v>
      </c>
      <c r="L3167" t="s">
        <v>9914</v>
      </c>
      <c r="M3167" t="s">
        <v>9915</v>
      </c>
      <c r="N3167" t="s">
        <v>278</v>
      </c>
      <c r="O3167" t="s">
        <v>134</v>
      </c>
      <c r="P3167" t="s">
        <v>8085</v>
      </c>
      <c r="Q3167">
        <v>-24</v>
      </c>
      <c r="R3167">
        <v>-46.633000000000003</v>
      </c>
    </row>
    <row r="3168" spans="1:18" x14ac:dyDescent="0.2">
      <c r="A3168" t="s">
        <v>270</v>
      </c>
      <c r="B3168" t="s">
        <v>8080</v>
      </c>
      <c r="C3168">
        <v>1</v>
      </c>
      <c r="D3168" s="1">
        <v>44037.398043981484</v>
      </c>
      <c r="E3168" t="s">
        <v>9916</v>
      </c>
      <c r="F3168" t="s">
        <v>273</v>
      </c>
      <c r="G3168" t="s">
        <v>9585</v>
      </c>
      <c r="H3168" t="s">
        <v>275</v>
      </c>
      <c r="I3168" t="s">
        <v>29</v>
      </c>
      <c r="J3168">
        <v>1</v>
      </c>
      <c r="K3168">
        <f>1-888-524-3403</f>
        <v>-4814</v>
      </c>
      <c r="L3168" t="s">
        <v>9917</v>
      </c>
      <c r="M3168" t="s">
        <v>9918</v>
      </c>
      <c r="N3168" t="s">
        <v>278</v>
      </c>
      <c r="O3168" t="s">
        <v>134</v>
      </c>
      <c r="P3168" t="s">
        <v>8085</v>
      </c>
      <c r="Q3168">
        <v>-24</v>
      </c>
      <c r="R3168">
        <v>-46.633000000000003</v>
      </c>
    </row>
    <row r="3169" spans="1:18" x14ac:dyDescent="0.2">
      <c r="A3169" t="s">
        <v>270</v>
      </c>
      <c r="B3169" t="s">
        <v>8080</v>
      </c>
      <c r="C3169">
        <v>1</v>
      </c>
      <c r="D3169" s="1">
        <v>44031.866180555553</v>
      </c>
      <c r="E3169" t="s">
        <v>9919</v>
      </c>
      <c r="F3169" t="s">
        <v>273</v>
      </c>
      <c r="G3169" t="s">
        <v>9585</v>
      </c>
      <c r="H3169" t="s">
        <v>275</v>
      </c>
      <c r="I3169" t="s">
        <v>29</v>
      </c>
      <c r="J3169">
        <v>1</v>
      </c>
      <c r="K3169">
        <f>1-866-751-5563</f>
        <v>-7179</v>
      </c>
      <c r="L3169" t="s">
        <v>9920</v>
      </c>
      <c r="M3169" t="s">
        <v>9921</v>
      </c>
      <c r="N3169" t="s">
        <v>278</v>
      </c>
      <c r="O3169" t="s">
        <v>134</v>
      </c>
      <c r="P3169" t="s">
        <v>8085</v>
      </c>
      <c r="Q3169">
        <v>-24</v>
      </c>
      <c r="R3169">
        <v>-46.633000000000003</v>
      </c>
    </row>
    <row r="3170" spans="1:18" x14ac:dyDescent="0.2">
      <c r="A3170" t="s">
        <v>270</v>
      </c>
      <c r="B3170" t="s">
        <v>9922</v>
      </c>
      <c r="C3170">
        <v>1</v>
      </c>
      <c r="D3170" s="1">
        <v>44149.138171296298</v>
      </c>
      <c r="E3170" t="s">
        <v>9923</v>
      </c>
      <c r="F3170" t="s">
        <v>273</v>
      </c>
      <c r="G3170" t="s">
        <v>9924</v>
      </c>
      <c r="H3170" t="s">
        <v>275</v>
      </c>
      <c r="I3170" t="s">
        <v>29</v>
      </c>
      <c r="J3170">
        <v>1</v>
      </c>
      <c r="K3170">
        <f>1-844-293-617</f>
        <v>-1753</v>
      </c>
      <c r="L3170" t="s">
        <v>9925</v>
      </c>
      <c r="M3170" t="s">
        <v>9926</v>
      </c>
      <c r="N3170" t="s">
        <v>278</v>
      </c>
      <c r="O3170" t="s">
        <v>134</v>
      </c>
      <c r="P3170" t="s">
        <v>29</v>
      </c>
      <c r="Q3170">
        <v>47</v>
      </c>
      <c r="R3170">
        <v>-99.999999000000003</v>
      </c>
    </row>
    <row r="3171" spans="1:18" x14ac:dyDescent="0.2">
      <c r="A3171" t="s">
        <v>270</v>
      </c>
      <c r="B3171" t="s">
        <v>9922</v>
      </c>
      <c r="C3171">
        <v>1</v>
      </c>
      <c r="D3171" s="1">
        <v>44149.136747685188</v>
      </c>
      <c r="E3171" t="s">
        <v>9927</v>
      </c>
      <c r="F3171" t="s">
        <v>273</v>
      </c>
      <c r="G3171" t="s">
        <v>9924</v>
      </c>
      <c r="H3171" t="s">
        <v>275</v>
      </c>
      <c r="I3171" t="s">
        <v>29</v>
      </c>
      <c r="J3171">
        <v>1</v>
      </c>
      <c r="K3171">
        <f>1-844-288-9125</f>
        <v>-10256</v>
      </c>
      <c r="L3171" t="s">
        <v>9928</v>
      </c>
      <c r="M3171" t="s">
        <v>9929</v>
      </c>
      <c r="N3171" t="s">
        <v>278</v>
      </c>
      <c r="O3171" t="s">
        <v>134</v>
      </c>
      <c r="P3171" t="s">
        <v>29</v>
      </c>
      <c r="Q3171">
        <v>47</v>
      </c>
      <c r="R3171">
        <v>-99.999999000000003</v>
      </c>
    </row>
    <row r="3172" spans="1:18" x14ac:dyDescent="0.2">
      <c r="A3172" t="s">
        <v>270</v>
      </c>
      <c r="B3172" t="s">
        <v>9922</v>
      </c>
      <c r="C3172">
        <v>1</v>
      </c>
      <c r="D3172" s="1">
        <v>44149.134571759256</v>
      </c>
      <c r="E3172" t="s">
        <v>9930</v>
      </c>
      <c r="F3172" t="s">
        <v>273</v>
      </c>
      <c r="G3172" t="s">
        <v>9924</v>
      </c>
      <c r="H3172" t="s">
        <v>275</v>
      </c>
      <c r="I3172" t="s">
        <v>29</v>
      </c>
      <c r="J3172">
        <v>1</v>
      </c>
      <c r="K3172">
        <f>1-844-295-6539</f>
        <v>-7677</v>
      </c>
      <c r="L3172" t="s">
        <v>9931</v>
      </c>
      <c r="M3172" t="s">
        <v>9932</v>
      </c>
      <c r="N3172" t="s">
        <v>278</v>
      </c>
      <c r="O3172" t="s">
        <v>134</v>
      </c>
      <c r="P3172" t="s">
        <v>29</v>
      </c>
      <c r="Q3172">
        <v>47</v>
      </c>
      <c r="R3172">
        <v>-99.999999000000003</v>
      </c>
    </row>
    <row r="3173" spans="1:18" x14ac:dyDescent="0.2">
      <c r="A3173" t="s">
        <v>270</v>
      </c>
      <c r="B3173" t="s">
        <v>9922</v>
      </c>
      <c r="C3173">
        <v>1</v>
      </c>
      <c r="D3173" s="1">
        <v>44149.122499999998</v>
      </c>
      <c r="E3173" t="s">
        <v>9933</v>
      </c>
      <c r="F3173" t="s">
        <v>273</v>
      </c>
      <c r="G3173" t="s">
        <v>9924</v>
      </c>
      <c r="H3173" t="s">
        <v>275</v>
      </c>
      <c r="I3173" t="s">
        <v>29</v>
      </c>
      <c r="J3173">
        <v>1</v>
      </c>
      <c r="K3173">
        <f>1-844-295-7564</f>
        <v>-8702</v>
      </c>
      <c r="L3173" t="s">
        <v>9934</v>
      </c>
      <c r="M3173" t="s">
        <v>9935</v>
      </c>
      <c r="N3173" t="s">
        <v>278</v>
      </c>
      <c r="O3173" t="s">
        <v>134</v>
      </c>
      <c r="P3173" t="s">
        <v>29</v>
      </c>
      <c r="Q3173">
        <v>47</v>
      </c>
      <c r="R3173">
        <v>-99.999999000000003</v>
      </c>
    </row>
    <row r="3174" spans="1:18" x14ac:dyDescent="0.2">
      <c r="A3174" t="s">
        <v>270</v>
      </c>
      <c r="B3174" t="s">
        <v>9922</v>
      </c>
      <c r="C3174">
        <v>1</v>
      </c>
      <c r="D3174" s="1">
        <v>44144.729097222225</v>
      </c>
      <c r="E3174" t="s">
        <v>9936</v>
      </c>
      <c r="F3174" t="s">
        <v>273</v>
      </c>
      <c r="G3174" t="s">
        <v>9924</v>
      </c>
      <c r="H3174" t="s">
        <v>275</v>
      </c>
      <c r="I3174" t="s">
        <v>29</v>
      </c>
      <c r="J3174">
        <v>1</v>
      </c>
      <c r="K3174">
        <f>1-844-280-7415</f>
        <v>-8538</v>
      </c>
      <c r="L3174" t="s">
        <v>9937</v>
      </c>
      <c r="M3174" t="s">
        <v>9938</v>
      </c>
      <c r="N3174" t="s">
        <v>278</v>
      </c>
      <c r="O3174" t="s">
        <v>28</v>
      </c>
      <c r="P3174" t="s">
        <v>29</v>
      </c>
      <c r="Q3174">
        <v>47</v>
      </c>
      <c r="R3174">
        <v>-99.999999000000003</v>
      </c>
    </row>
    <row r="3175" spans="1:18" x14ac:dyDescent="0.2">
      <c r="A3175" t="s">
        <v>270</v>
      </c>
      <c r="B3175" t="s">
        <v>9922</v>
      </c>
      <c r="C3175">
        <v>1</v>
      </c>
      <c r="D3175" s="1">
        <v>44141.777199074073</v>
      </c>
      <c r="E3175" t="s">
        <v>9939</v>
      </c>
      <c r="F3175" t="s">
        <v>273</v>
      </c>
      <c r="G3175" t="s">
        <v>9924</v>
      </c>
      <c r="H3175" t="s">
        <v>275</v>
      </c>
      <c r="I3175" t="s">
        <v>29</v>
      </c>
      <c r="J3175">
        <v>1</v>
      </c>
      <c r="K3175">
        <f>1-844-289-7494</f>
        <v>-8626</v>
      </c>
      <c r="L3175" t="s">
        <v>9940</v>
      </c>
      <c r="M3175" t="s">
        <v>9941</v>
      </c>
      <c r="N3175" t="s">
        <v>278</v>
      </c>
      <c r="O3175" t="s">
        <v>28</v>
      </c>
      <c r="P3175" t="s">
        <v>29</v>
      </c>
      <c r="Q3175">
        <v>47</v>
      </c>
      <c r="R3175">
        <v>-99.999999000000003</v>
      </c>
    </row>
    <row r="3176" spans="1:18" x14ac:dyDescent="0.2">
      <c r="A3176" t="s">
        <v>270</v>
      </c>
      <c r="B3176" t="s">
        <v>9922</v>
      </c>
      <c r="C3176">
        <v>1</v>
      </c>
      <c r="D3176" s="1">
        <v>44140.779803240737</v>
      </c>
      <c r="E3176" t="s">
        <v>9942</v>
      </c>
      <c r="F3176" t="s">
        <v>273</v>
      </c>
      <c r="G3176" t="s">
        <v>9924</v>
      </c>
      <c r="H3176" t="s">
        <v>275</v>
      </c>
      <c r="I3176" t="s">
        <v>29</v>
      </c>
      <c r="J3176">
        <v>1</v>
      </c>
      <c r="K3176">
        <f>1-888-397-7606</f>
        <v>-8890</v>
      </c>
      <c r="L3176" t="s">
        <v>9943</v>
      </c>
      <c r="M3176" t="s">
        <v>9944</v>
      </c>
      <c r="N3176" t="s">
        <v>278</v>
      </c>
      <c r="O3176" t="s">
        <v>28</v>
      </c>
      <c r="P3176" t="s">
        <v>29</v>
      </c>
      <c r="Q3176">
        <v>47</v>
      </c>
      <c r="R3176">
        <v>-99.999999000000003</v>
      </c>
    </row>
    <row r="3177" spans="1:18" x14ac:dyDescent="0.2">
      <c r="A3177" t="s">
        <v>270</v>
      </c>
      <c r="B3177" t="s">
        <v>9922</v>
      </c>
      <c r="C3177">
        <v>1</v>
      </c>
      <c r="D3177" s="1">
        <v>44140.776273148149</v>
      </c>
      <c r="E3177" t="s">
        <v>9945</v>
      </c>
      <c r="F3177" t="s">
        <v>273</v>
      </c>
      <c r="G3177" t="s">
        <v>9924</v>
      </c>
      <c r="H3177" t="s">
        <v>275</v>
      </c>
      <c r="I3177" t="s">
        <v>29</v>
      </c>
      <c r="J3177">
        <v>1</v>
      </c>
      <c r="K3177">
        <f>1-888-397-7606</f>
        <v>-8890</v>
      </c>
      <c r="L3177" t="s">
        <v>9946</v>
      </c>
      <c r="M3177" t="s">
        <v>9947</v>
      </c>
      <c r="N3177" t="s">
        <v>278</v>
      </c>
      <c r="O3177" t="s">
        <v>28</v>
      </c>
      <c r="P3177" t="s">
        <v>29</v>
      </c>
      <c r="Q3177">
        <v>47</v>
      </c>
      <c r="R3177">
        <v>-99.999999000000003</v>
      </c>
    </row>
    <row r="3178" spans="1:18" x14ac:dyDescent="0.2">
      <c r="A3178" t="s">
        <v>270</v>
      </c>
      <c r="B3178" t="s">
        <v>9922</v>
      </c>
      <c r="C3178">
        <v>1</v>
      </c>
      <c r="D3178" s="1">
        <v>44139.841377314813</v>
      </c>
      <c r="E3178" t="s">
        <v>9948</v>
      </c>
      <c r="F3178" t="s">
        <v>273</v>
      </c>
      <c r="G3178" t="s">
        <v>9924</v>
      </c>
      <c r="H3178" t="s">
        <v>275</v>
      </c>
      <c r="I3178" t="s">
        <v>29</v>
      </c>
      <c r="J3178">
        <v>1</v>
      </c>
      <c r="K3178">
        <f>1-888-369-1843</f>
        <v>-3099</v>
      </c>
      <c r="L3178" t="s">
        <v>9949</v>
      </c>
      <c r="M3178" t="s">
        <v>9950</v>
      </c>
      <c r="N3178" t="s">
        <v>278</v>
      </c>
      <c r="O3178" t="s">
        <v>28</v>
      </c>
      <c r="P3178" t="s">
        <v>29</v>
      </c>
      <c r="Q3178">
        <v>47</v>
      </c>
      <c r="R3178">
        <v>-99.999999000000003</v>
      </c>
    </row>
    <row r="3179" spans="1:18" x14ac:dyDescent="0.2">
      <c r="A3179" t="s">
        <v>270</v>
      </c>
      <c r="B3179" t="s">
        <v>9922</v>
      </c>
      <c r="C3179">
        <v>1</v>
      </c>
      <c r="D3179" s="1">
        <v>44112.772638888891</v>
      </c>
      <c r="E3179" t="s">
        <v>9951</v>
      </c>
      <c r="F3179" t="s">
        <v>273</v>
      </c>
      <c r="G3179" t="s">
        <v>9924</v>
      </c>
      <c r="H3179" t="s">
        <v>275</v>
      </c>
      <c r="I3179" t="s">
        <v>29</v>
      </c>
      <c r="J3179">
        <v>1</v>
      </c>
      <c r="K3179">
        <f>1-888-334-1270</f>
        <v>-2491</v>
      </c>
      <c r="L3179" t="s">
        <v>9952</v>
      </c>
      <c r="M3179" t="s">
        <v>9953</v>
      </c>
      <c r="N3179" t="s">
        <v>278</v>
      </c>
      <c r="O3179" t="s">
        <v>28</v>
      </c>
      <c r="P3179" t="s">
        <v>29</v>
      </c>
      <c r="Q3179">
        <v>47</v>
      </c>
      <c r="R3179">
        <v>-99.999999000000003</v>
      </c>
    </row>
    <row r="3180" spans="1:18" x14ac:dyDescent="0.2">
      <c r="A3180" t="s">
        <v>270</v>
      </c>
      <c r="B3180" t="s">
        <v>9922</v>
      </c>
      <c r="C3180">
        <v>1</v>
      </c>
      <c r="D3180" s="1">
        <v>44112.759652777779</v>
      </c>
      <c r="E3180" t="s">
        <v>9954</v>
      </c>
      <c r="F3180" t="s">
        <v>273</v>
      </c>
      <c r="G3180" t="s">
        <v>9924</v>
      </c>
      <c r="H3180" t="s">
        <v>275</v>
      </c>
      <c r="I3180" t="s">
        <v>29</v>
      </c>
      <c r="J3180">
        <v>1</v>
      </c>
      <c r="K3180">
        <f>1-888-334-1316</f>
        <v>-2537</v>
      </c>
      <c r="L3180" t="s">
        <v>9955</v>
      </c>
      <c r="M3180" t="s">
        <v>9956</v>
      </c>
      <c r="N3180" t="s">
        <v>278</v>
      </c>
      <c r="O3180" t="s">
        <v>28</v>
      </c>
      <c r="P3180" t="s">
        <v>29</v>
      </c>
      <c r="Q3180">
        <v>47</v>
      </c>
      <c r="R3180">
        <v>-99.999999000000003</v>
      </c>
    </row>
    <row r="3181" spans="1:18" x14ac:dyDescent="0.2">
      <c r="A3181" t="s">
        <v>270</v>
      </c>
      <c r="B3181" t="s">
        <v>9922</v>
      </c>
      <c r="C3181">
        <v>1</v>
      </c>
      <c r="D3181" s="1">
        <v>44111.907743055555</v>
      </c>
      <c r="E3181" t="s">
        <v>9957</v>
      </c>
      <c r="F3181" t="s">
        <v>273</v>
      </c>
      <c r="G3181" t="s">
        <v>9924</v>
      </c>
      <c r="H3181" t="s">
        <v>275</v>
      </c>
      <c r="I3181" t="s">
        <v>29</v>
      </c>
      <c r="J3181">
        <v>1</v>
      </c>
      <c r="K3181">
        <f>1-888-319-1464</f>
        <v>-2670</v>
      </c>
      <c r="L3181" t="s">
        <v>9958</v>
      </c>
      <c r="M3181" t="s">
        <v>9959</v>
      </c>
      <c r="N3181" t="s">
        <v>278</v>
      </c>
      <c r="O3181" t="s">
        <v>28</v>
      </c>
      <c r="P3181" t="s">
        <v>29</v>
      </c>
      <c r="Q3181">
        <v>47</v>
      </c>
      <c r="R3181">
        <v>-99.999999000000003</v>
      </c>
    </row>
    <row r="3182" spans="1:18" x14ac:dyDescent="0.2">
      <c r="A3182" t="s">
        <v>270</v>
      </c>
      <c r="B3182" t="s">
        <v>9922</v>
      </c>
      <c r="C3182">
        <v>1</v>
      </c>
      <c r="D3182" s="1">
        <v>44111.864155092589</v>
      </c>
      <c r="E3182" t="s">
        <v>9960</v>
      </c>
      <c r="F3182" t="s">
        <v>273</v>
      </c>
      <c r="G3182" t="s">
        <v>9924</v>
      </c>
      <c r="H3182" t="s">
        <v>275</v>
      </c>
      <c r="I3182" t="s">
        <v>29</v>
      </c>
      <c r="J3182">
        <v>1</v>
      </c>
      <c r="K3182">
        <f>1-888-315-3668</f>
        <v>-4870</v>
      </c>
      <c r="L3182" t="s">
        <v>9961</v>
      </c>
      <c r="M3182" t="s">
        <v>9962</v>
      </c>
      <c r="N3182" t="s">
        <v>278</v>
      </c>
      <c r="O3182" t="s">
        <v>28</v>
      </c>
      <c r="P3182" t="s">
        <v>29</v>
      </c>
      <c r="Q3182">
        <v>47</v>
      </c>
      <c r="R3182">
        <v>-99.999999000000003</v>
      </c>
    </row>
    <row r="3183" spans="1:18" x14ac:dyDescent="0.2">
      <c r="A3183" t="s">
        <v>270</v>
      </c>
      <c r="B3183" t="s">
        <v>9922</v>
      </c>
      <c r="C3183">
        <v>1</v>
      </c>
      <c r="D3183" s="1">
        <v>44104.931898148148</v>
      </c>
      <c r="E3183" t="s">
        <v>9963</v>
      </c>
      <c r="F3183" t="s">
        <v>273</v>
      </c>
      <c r="G3183" t="s">
        <v>9924</v>
      </c>
      <c r="H3183" t="s">
        <v>275</v>
      </c>
      <c r="I3183" t="s">
        <v>29</v>
      </c>
      <c r="J3183">
        <v>1</v>
      </c>
      <c r="K3183">
        <f>1-888-210-3270</f>
        <v>-4367</v>
      </c>
      <c r="L3183" t="s">
        <v>9964</v>
      </c>
      <c r="M3183" t="s">
        <v>9965</v>
      </c>
      <c r="N3183" t="s">
        <v>278</v>
      </c>
      <c r="O3183" t="s">
        <v>134</v>
      </c>
      <c r="P3183" t="s">
        <v>29</v>
      </c>
      <c r="Q3183">
        <v>47</v>
      </c>
      <c r="R3183">
        <v>-99.999999000000003</v>
      </c>
    </row>
    <row r="3184" spans="1:18" x14ac:dyDescent="0.2">
      <c r="A3184" t="s">
        <v>270</v>
      </c>
      <c r="B3184" t="s">
        <v>9922</v>
      </c>
      <c r="C3184">
        <v>1</v>
      </c>
      <c r="D3184" s="1">
        <v>44106.825891203705</v>
      </c>
      <c r="E3184" t="s">
        <v>9966</v>
      </c>
      <c r="F3184" t="s">
        <v>273</v>
      </c>
      <c r="G3184" t="s">
        <v>9924</v>
      </c>
      <c r="H3184" t="s">
        <v>275</v>
      </c>
      <c r="I3184" t="s">
        <v>29</v>
      </c>
      <c r="J3184">
        <v>1</v>
      </c>
      <c r="K3184">
        <f>1-888-304-9499</f>
        <v>-10690</v>
      </c>
      <c r="L3184" t="s">
        <v>9967</v>
      </c>
      <c r="M3184" t="s">
        <v>9968</v>
      </c>
      <c r="N3184" t="s">
        <v>278</v>
      </c>
      <c r="O3184" t="s">
        <v>28</v>
      </c>
      <c r="P3184" t="s">
        <v>29</v>
      </c>
      <c r="Q3184">
        <v>47</v>
      </c>
      <c r="R3184">
        <v>-99.999999000000003</v>
      </c>
    </row>
    <row r="3185" spans="1:18" x14ac:dyDescent="0.2">
      <c r="A3185" t="s">
        <v>270</v>
      </c>
      <c r="B3185" t="s">
        <v>9922</v>
      </c>
      <c r="C3185">
        <v>1</v>
      </c>
      <c r="D3185" s="1">
        <v>44103.839537037034</v>
      </c>
      <c r="E3185" t="s">
        <v>9969</v>
      </c>
      <c r="F3185" t="s">
        <v>273</v>
      </c>
      <c r="G3185" t="s">
        <v>9924</v>
      </c>
      <c r="H3185" t="s">
        <v>275</v>
      </c>
      <c r="I3185" t="s">
        <v>29</v>
      </c>
      <c r="J3185">
        <v>1</v>
      </c>
      <c r="K3185">
        <f>1-888-223-1452</f>
        <v>-2562</v>
      </c>
      <c r="L3185" t="s">
        <v>9970</v>
      </c>
      <c r="M3185" t="s">
        <v>9971</v>
      </c>
      <c r="N3185" t="s">
        <v>278</v>
      </c>
      <c r="O3185" t="s">
        <v>28</v>
      </c>
      <c r="P3185" t="s">
        <v>29</v>
      </c>
      <c r="Q3185">
        <v>47</v>
      </c>
      <c r="R3185">
        <v>-99.999999000000003</v>
      </c>
    </row>
    <row r="3186" spans="1:18" x14ac:dyDescent="0.2">
      <c r="A3186" t="s">
        <v>270</v>
      </c>
      <c r="B3186" t="s">
        <v>9922</v>
      </c>
      <c r="C3186">
        <v>1</v>
      </c>
      <c r="D3186" s="1">
        <v>44102.822962962964</v>
      </c>
      <c r="E3186" t="s">
        <v>9972</v>
      </c>
      <c r="F3186" t="s">
        <v>273</v>
      </c>
      <c r="G3186" t="s">
        <v>9924</v>
      </c>
      <c r="H3186" t="s">
        <v>275</v>
      </c>
      <c r="I3186" t="s">
        <v>29</v>
      </c>
      <c r="J3186">
        <v>1</v>
      </c>
      <c r="K3186">
        <f>1-888-252-7514</f>
        <v>-8653</v>
      </c>
      <c r="L3186" t="s">
        <v>9973</v>
      </c>
      <c r="M3186" t="s">
        <v>9974</v>
      </c>
      <c r="N3186" t="s">
        <v>278</v>
      </c>
      <c r="O3186" t="s">
        <v>28</v>
      </c>
      <c r="P3186" t="s">
        <v>29</v>
      </c>
      <c r="Q3186">
        <v>47</v>
      </c>
      <c r="R3186">
        <v>-99.999999000000003</v>
      </c>
    </row>
    <row r="3187" spans="1:18" x14ac:dyDescent="0.2">
      <c r="A3187" t="s">
        <v>270</v>
      </c>
      <c r="B3187" t="s">
        <v>9922</v>
      </c>
      <c r="C3187">
        <v>1</v>
      </c>
      <c r="D3187" s="1">
        <v>44102.822581018518</v>
      </c>
      <c r="E3187" t="s">
        <v>9975</v>
      </c>
      <c r="F3187" t="s">
        <v>273</v>
      </c>
      <c r="G3187" t="s">
        <v>9924</v>
      </c>
      <c r="H3187" t="s">
        <v>275</v>
      </c>
      <c r="I3187" t="s">
        <v>29</v>
      </c>
      <c r="J3187">
        <v>1</v>
      </c>
      <c r="K3187">
        <f>1-888-228-8619</f>
        <v>-9734</v>
      </c>
      <c r="L3187" t="s">
        <v>9976</v>
      </c>
      <c r="M3187" t="s">
        <v>9977</v>
      </c>
      <c r="N3187" t="s">
        <v>278</v>
      </c>
      <c r="O3187" t="s">
        <v>28</v>
      </c>
      <c r="P3187" t="s">
        <v>29</v>
      </c>
      <c r="Q3187">
        <v>47</v>
      </c>
      <c r="R3187">
        <v>-99.999999000000003</v>
      </c>
    </row>
    <row r="3188" spans="1:18" x14ac:dyDescent="0.2">
      <c r="A3188" t="s">
        <v>270</v>
      </c>
      <c r="B3188" t="s">
        <v>9922</v>
      </c>
      <c r="C3188">
        <v>1</v>
      </c>
      <c r="D3188" s="1">
        <v>44102.817800925928</v>
      </c>
      <c r="E3188" t="s">
        <v>9978</v>
      </c>
      <c r="F3188" t="s">
        <v>273</v>
      </c>
      <c r="G3188" t="s">
        <v>9924</v>
      </c>
      <c r="H3188" t="s">
        <v>275</v>
      </c>
      <c r="I3188" t="s">
        <v>29</v>
      </c>
      <c r="J3188">
        <v>1</v>
      </c>
      <c r="K3188">
        <f>1-888-228-8619</f>
        <v>-9734</v>
      </c>
      <c r="L3188" t="s">
        <v>9979</v>
      </c>
      <c r="M3188" t="s">
        <v>9980</v>
      </c>
      <c r="N3188" t="s">
        <v>278</v>
      </c>
      <c r="O3188" t="s">
        <v>28</v>
      </c>
      <c r="P3188" t="s">
        <v>29</v>
      </c>
      <c r="Q3188">
        <v>47</v>
      </c>
      <c r="R3188">
        <v>-99.999999000000003</v>
      </c>
    </row>
    <row r="3189" spans="1:18" x14ac:dyDescent="0.2">
      <c r="A3189" t="s">
        <v>270</v>
      </c>
      <c r="B3189" t="s">
        <v>9922</v>
      </c>
      <c r="C3189">
        <v>1</v>
      </c>
      <c r="D3189" s="1">
        <v>44099.887141203704</v>
      </c>
      <c r="E3189" t="s">
        <v>9981</v>
      </c>
      <c r="F3189" t="s">
        <v>273</v>
      </c>
      <c r="G3189" t="s">
        <v>9924</v>
      </c>
      <c r="H3189" t="s">
        <v>275</v>
      </c>
      <c r="I3189" t="s">
        <v>29</v>
      </c>
      <c r="J3189">
        <v>1</v>
      </c>
      <c r="K3189">
        <f>1-888-252-1197</f>
        <v>-2336</v>
      </c>
      <c r="L3189" t="s">
        <v>9982</v>
      </c>
      <c r="M3189" t="s">
        <v>9983</v>
      </c>
      <c r="N3189" t="s">
        <v>278</v>
      </c>
      <c r="O3189" t="s">
        <v>28</v>
      </c>
      <c r="P3189" t="s">
        <v>29</v>
      </c>
      <c r="Q3189">
        <v>47</v>
      </c>
      <c r="R3189">
        <v>-99.999999000000003</v>
      </c>
    </row>
    <row r="3190" spans="1:18" x14ac:dyDescent="0.2">
      <c r="A3190" t="s">
        <v>270</v>
      </c>
      <c r="B3190" t="s">
        <v>9922</v>
      </c>
      <c r="C3190">
        <v>1</v>
      </c>
      <c r="D3190" s="1">
        <v>44096.836805555555</v>
      </c>
      <c r="E3190" t="s">
        <v>9984</v>
      </c>
      <c r="F3190" t="s">
        <v>273</v>
      </c>
      <c r="G3190" t="s">
        <v>9924</v>
      </c>
      <c r="H3190" t="s">
        <v>275</v>
      </c>
      <c r="I3190" t="s">
        <v>29</v>
      </c>
      <c r="J3190">
        <v>1</v>
      </c>
      <c r="K3190">
        <f>1-888-210-6063</f>
        <v>-7160</v>
      </c>
      <c r="L3190" t="s">
        <v>9985</v>
      </c>
      <c r="M3190" t="s">
        <v>9986</v>
      </c>
      <c r="N3190" t="s">
        <v>278</v>
      </c>
      <c r="O3190" t="s">
        <v>28</v>
      </c>
      <c r="P3190" t="s">
        <v>29</v>
      </c>
      <c r="Q3190">
        <v>47</v>
      </c>
      <c r="R3190">
        <v>-99.999999000000003</v>
      </c>
    </row>
    <row r="3191" spans="1:18" x14ac:dyDescent="0.2">
      <c r="A3191" t="s">
        <v>270</v>
      </c>
      <c r="B3191" t="s">
        <v>9922</v>
      </c>
      <c r="C3191">
        <v>1</v>
      </c>
      <c r="D3191" s="1">
        <v>44096.836712962962</v>
      </c>
      <c r="E3191" t="s">
        <v>9987</v>
      </c>
      <c r="F3191" t="s">
        <v>273</v>
      </c>
      <c r="G3191" t="s">
        <v>9924</v>
      </c>
      <c r="H3191" t="s">
        <v>275</v>
      </c>
      <c r="I3191" t="s">
        <v>29</v>
      </c>
      <c r="J3191">
        <v>1</v>
      </c>
      <c r="K3191">
        <f>1-888-210-6063</f>
        <v>-7160</v>
      </c>
      <c r="L3191" t="s">
        <v>9988</v>
      </c>
      <c r="M3191" t="s">
        <v>9989</v>
      </c>
      <c r="N3191" t="s">
        <v>278</v>
      </c>
      <c r="O3191" t="s">
        <v>28</v>
      </c>
      <c r="P3191" t="s">
        <v>29</v>
      </c>
      <c r="Q3191">
        <v>47</v>
      </c>
      <c r="R3191">
        <v>-99.999999000000003</v>
      </c>
    </row>
    <row r="3192" spans="1:18" x14ac:dyDescent="0.2">
      <c r="A3192" t="s">
        <v>270</v>
      </c>
      <c r="B3192" t="s">
        <v>9922</v>
      </c>
      <c r="C3192">
        <v>1</v>
      </c>
      <c r="D3192" s="1">
        <v>44096.369120370371</v>
      </c>
      <c r="E3192" t="s">
        <v>9990</v>
      </c>
      <c r="F3192" t="s">
        <v>273</v>
      </c>
      <c r="G3192" t="s">
        <v>9924</v>
      </c>
      <c r="H3192" t="s">
        <v>275</v>
      </c>
      <c r="I3192" t="s">
        <v>29</v>
      </c>
      <c r="J3192">
        <v>1</v>
      </c>
      <c r="K3192">
        <f>1-844-312-611</f>
        <v>-1766</v>
      </c>
      <c r="L3192" t="s">
        <v>9991</v>
      </c>
      <c r="M3192" t="s">
        <v>9992</v>
      </c>
      <c r="N3192" t="s">
        <v>278</v>
      </c>
      <c r="O3192" t="s">
        <v>28</v>
      </c>
      <c r="P3192" t="s">
        <v>29</v>
      </c>
      <c r="Q3192">
        <v>47</v>
      </c>
      <c r="R3192">
        <v>-99.999999000000003</v>
      </c>
    </row>
    <row r="3193" spans="1:18" x14ac:dyDescent="0.2">
      <c r="A3193" t="s">
        <v>270</v>
      </c>
      <c r="B3193" t="s">
        <v>9922</v>
      </c>
      <c r="C3193">
        <v>1</v>
      </c>
      <c r="D3193" s="1">
        <v>44096.368715277778</v>
      </c>
      <c r="E3193" t="s">
        <v>9993</v>
      </c>
      <c r="F3193" t="s">
        <v>273</v>
      </c>
      <c r="G3193" t="s">
        <v>9924</v>
      </c>
      <c r="H3193" t="s">
        <v>275</v>
      </c>
      <c r="I3193" t="s">
        <v>29</v>
      </c>
      <c r="J3193">
        <v>1</v>
      </c>
      <c r="K3193">
        <f>1-844-305-9953</f>
        <v>-11101</v>
      </c>
      <c r="L3193" t="s">
        <v>9994</v>
      </c>
      <c r="M3193" t="s">
        <v>9995</v>
      </c>
      <c r="N3193" t="s">
        <v>278</v>
      </c>
      <c r="O3193" t="s">
        <v>28</v>
      </c>
      <c r="P3193" t="s">
        <v>29</v>
      </c>
      <c r="Q3193">
        <v>47</v>
      </c>
      <c r="R3193">
        <v>-99.999999000000003</v>
      </c>
    </row>
    <row r="3194" spans="1:18" x14ac:dyDescent="0.2">
      <c r="A3194" t="s">
        <v>270</v>
      </c>
      <c r="B3194" t="s">
        <v>9922</v>
      </c>
      <c r="C3194">
        <v>1</v>
      </c>
      <c r="D3194" s="1">
        <v>44096.366759259261</v>
      </c>
      <c r="E3194" t="s">
        <v>9996</v>
      </c>
      <c r="F3194" t="s">
        <v>273</v>
      </c>
      <c r="G3194" t="s">
        <v>9924</v>
      </c>
      <c r="H3194" t="s">
        <v>275</v>
      </c>
      <c r="I3194" t="s">
        <v>29</v>
      </c>
      <c r="J3194">
        <v>1</v>
      </c>
      <c r="K3194">
        <f>1-844-309-2655</f>
        <v>-3807</v>
      </c>
      <c r="L3194" t="s">
        <v>9997</v>
      </c>
      <c r="M3194" t="s">
        <v>9998</v>
      </c>
      <c r="N3194" t="s">
        <v>278</v>
      </c>
      <c r="O3194" t="s">
        <v>28</v>
      </c>
      <c r="P3194" t="s">
        <v>29</v>
      </c>
      <c r="Q3194">
        <v>47</v>
      </c>
      <c r="R3194">
        <v>-99.999999000000003</v>
      </c>
    </row>
    <row r="3195" spans="1:18" x14ac:dyDescent="0.2">
      <c r="A3195" t="s">
        <v>270</v>
      </c>
      <c r="B3195" t="s">
        <v>9922</v>
      </c>
      <c r="C3195">
        <v>1</v>
      </c>
      <c r="D3195" s="1">
        <v>44096.365983796299</v>
      </c>
      <c r="E3195" t="s">
        <v>9999</v>
      </c>
      <c r="F3195" t="s">
        <v>273</v>
      </c>
      <c r="G3195" t="s">
        <v>9924</v>
      </c>
      <c r="H3195" t="s">
        <v>275</v>
      </c>
      <c r="I3195" t="s">
        <v>29</v>
      </c>
      <c r="J3195">
        <v>1</v>
      </c>
      <c r="K3195">
        <f>1-844-290-1224</f>
        <v>-2357</v>
      </c>
      <c r="L3195" t="s">
        <v>10000</v>
      </c>
      <c r="M3195" t="s">
        <v>10001</v>
      </c>
      <c r="N3195" t="s">
        <v>278</v>
      </c>
      <c r="O3195" t="s">
        <v>28</v>
      </c>
      <c r="P3195" t="s">
        <v>29</v>
      </c>
      <c r="Q3195">
        <v>47</v>
      </c>
      <c r="R3195">
        <v>-99.999999000000003</v>
      </c>
    </row>
    <row r="3196" spans="1:18" x14ac:dyDescent="0.2">
      <c r="A3196" t="s">
        <v>270</v>
      </c>
      <c r="B3196" t="s">
        <v>9922</v>
      </c>
      <c r="C3196">
        <v>1</v>
      </c>
      <c r="D3196" s="1">
        <v>44095.775613425925</v>
      </c>
      <c r="E3196" t="s">
        <v>10002</v>
      </c>
      <c r="F3196" t="s">
        <v>273</v>
      </c>
      <c r="G3196" t="s">
        <v>9924</v>
      </c>
      <c r="H3196" t="s">
        <v>275</v>
      </c>
      <c r="I3196" t="s">
        <v>29</v>
      </c>
      <c r="J3196">
        <v>1</v>
      </c>
      <c r="K3196">
        <f>1-844-301-8222</f>
        <v>-9366</v>
      </c>
      <c r="L3196" t="s">
        <v>10003</v>
      </c>
      <c r="M3196" t="s">
        <v>10004</v>
      </c>
      <c r="N3196" t="s">
        <v>278</v>
      </c>
      <c r="O3196" t="s">
        <v>28</v>
      </c>
      <c r="P3196" t="s">
        <v>29</v>
      </c>
      <c r="Q3196">
        <v>47</v>
      </c>
      <c r="R3196">
        <v>-99.999999000000003</v>
      </c>
    </row>
    <row r="3197" spans="1:18" x14ac:dyDescent="0.2">
      <c r="A3197" t="s">
        <v>270</v>
      </c>
      <c r="B3197" t="s">
        <v>9922</v>
      </c>
      <c r="C3197">
        <v>1</v>
      </c>
      <c r="D3197" s="1">
        <v>44090.798541666663</v>
      </c>
      <c r="E3197" t="s">
        <v>10005</v>
      </c>
      <c r="F3197" t="s">
        <v>273</v>
      </c>
      <c r="G3197" t="s">
        <v>9924</v>
      </c>
      <c r="H3197" t="s">
        <v>275</v>
      </c>
      <c r="I3197" t="s">
        <v>29</v>
      </c>
      <c r="J3197">
        <v>1</v>
      </c>
      <c r="K3197">
        <f>1-844-221-1452</f>
        <v>-2516</v>
      </c>
      <c r="L3197" t="s">
        <v>10006</v>
      </c>
      <c r="M3197" t="s">
        <v>10007</v>
      </c>
      <c r="N3197" t="s">
        <v>278</v>
      </c>
      <c r="O3197" t="s">
        <v>28</v>
      </c>
      <c r="P3197" t="s">
        <v>29</v>
      </c>
      <c r="Q3197">
        <v>47</v>
      </c>
      <c r="R3197">
        <v>-99.999999000000003</v>
      </c>
    </row>
    <row r="3198" spans="1:18" x14ac:dyDescent="0.2">
      <c r="A3198" t="s">
        <v>270</v>
      </c>
      <c r="B3198" t="s">
        <v>9922</v>
      </c>
      <c r="C3198">
        <v>1</v>
      </c>
      <c r="D3198" s="1">
        <v>44090.797881944447</v>
      </c>
      <c r="E3198" t="s">
        <v>10008</v>
      </c>
      <c r="F3198" t="s">
        <v>273</v>
      </c>
      <c r="G3198" t="s">
        <v>9924</v>
      </c>
      <c r="H3198" t="s">
        <v>275</v>
      </c>
      <c r="I3198" t="s">
        <v>29</v>
      </c>
      <c r="J3198">
        <v>1</v>
      </c>
      <c r="K3198">
        <f>1-844-216-845</f>
        <v>-1904</v>
      </c>
      <c r="L3198" t="s">
        <v>10009</v>
      </c>
      <c r="M3198" t="s">
        <v>10010</v>
      </c>
      <c r="N3198" t="s">
        <v>278</v>
      </c>
      <c r="O3198" t="s">
        <v>28</v>
      </c>
      <c r="P3198" t="s">
        <v>29</v>
      </c>
      <c r="Q3198">
        <v>47</v>
      </c>
      <c r="R3198">
        <v>-99.999999000000003</v>
      </c>
    </row>
    <row r="3199" spans="1:18" x14ac:dyDescent="0.2">
      <c r="A3199" t="s">
        <v>270</v>
      </c>
      <c r="B3199" t="s">
        <v>9922</v>
      </c>
      <c r="C3199">
        <v>1</v>
      </c>
      <c r="D3199" s="1">
        <v>44090.416354166664</v>
      </c>
      <c r="E3199" t="s">
        <v>10011</v>
      </c>
      <c r="F3199" t="s">
        <v>273</v>
      </c>
      <c r="G3199" t="s">
        <v>9924</v>
      </c>
      <c r="H3199" t="s">
        <v>275</v>
      </c>
      <c r="I3199" t="s">
        <v>29</v>
      </c>
      <c r="J3199">
        <v>1</v>
      </c>
      <c r="K3199">
        <f>1-844-318-8589</f>
        <v>-9750</v>
      </c>
      <c r="L3199" t="s">
        <v>10012</v>
      </c>
      <c r="M3199" t="s">
        <v>10013</v>
      </c>
      <c r="N3199" t="s">
        <v>278</v>
      </c>
      <c r="O3199" t="s">
        <v>28</v>
      </c>
      <c r="P3199" t="s">
        <v>29</v>
      </c>
      <c r="Q3199">
        <v>47</v>
      </c>
      <c r="R3199">
        <v>-99.999999000000003</v>
      </c>
    </row>
    <row r="3200" spans="1:18" x14ac:dyDescent="0.2">
      <c r="A3200" t="s">
        <v>270</v>
      </c>
      <c r="B3200" t="s">
        <v>9922</v>
      </c>
      <c r="C3200">
        <v>1</v>
      </c>
      <c r="D3200" s="1">
        <v>44090.415254629632</v>
      </c>
      <c r="E3200" t="s">
        <v>10014</v>
      </c>
      <c r="F3200" t="s">
        <v>273</v>
      </c>
      <c r="G3200" t="s">
        <v>9924</v>
      </c>
      <c r="H3200" t="s">
        <v>275</v>
      </c>
      <c r="I3200" t="s">
        <v>29</v>
      </c>
      <c r="J3200">
        <v>1</v>
      </c>
      <c r="K3200">
        <f>1-844-293-8713</f>
        <v>-9849</v>
      </c>
      <c r="L3200" t="s">
        <v>10015</v>
      </c>
      <c r="M3200" t="s">
        <v>10016</v>
      </c>
      <c r="N3200" t="s">
        <v>278</v>
      </c>
      <c r="O3200" t="s">
        <v>28</v>
      </c>
      <c r="P3200" t="s">
        <v>29</v>
      </c>
      <c r="Q3200">
        <v>47</v>
      </c>
      <c r="R3200">
        <v>-99.999999000000003</v>
      </c>
    </row>
    <row r="3201" spans="1:18" x14ac:dyDescent="0.2">
      <c r="A3201" t="s">
        <v>270</v>
      </c>
      <c r="B3201" t="s">
        <v>9922</v>
      </c>
      <c r="C3201">
        <v>1</v>
      </c>
      <c r="D3201" s="1">
        <v>44090.414907407408</v>
      </c>
      <c r="E3201" t="s">
        <v>10017</v>
      </c>
      <c r="F3201" t="s">
        <v>273</v>
      </c>
      <c r="G3201" t="s">
        <v>9924</v>
      </c>
      <c r="H3201" t="s">
        <v>275</v>
      </c>
      <c r="I3201" t="s">
        <v>29</v>
      </c>
      <c r="J3201">
        <v>1</v>
      </c>
      <c r="K3201">
        <f>1-844-311-7591</f>
        <v>-8745</v>
      </c>
      <c r="L3201" t="s">
        <v>10018</v>
      </c>
      <c r="M3201" t="s">
        <v>10019</v>
      </c>
      <c r="N3201" t="s">
        <v>278</v>
      </c>
      <c r="O3201" t="s">
        <v>28</v>
      </c>
      <c r="P3201" t="s">
        <v>29</v>
      </c>
      <c r="Q3201">
        <v>47</v>
      </c>
      <c r="R3201">
        <v>-99.999999000000003</v>
      </c>
    </row>
    <row r="3202" spans="1:18" x14ac:dyDescent="0.2">
      <c r="A3202" t="s">
        <v>270</v>
      </c>
      <c r="B3202" t="s">
        <v>9922</v>
      </c>
      <c r="C3202">
        <v>1</v>
      </c>
      <c r="D3202" s="1">
        <v>44089.81931712963</v>
      </c>
      <c r="E3202" t="s">
        <v>10020</v>
      </c>
      <c r="F3202" t="s">
        <v>273</v>
      </c>
      <c r="G3202" t="s">
        <v>9924</v>
      </c>
      <c r="H3202" t="s">
        <v>275</v>
      </c>
      <c r="I3202" t="s">
        <v>29</v>
      </c>
      <c r="J3202">
        <v>1</v>
      </c>
      <c r="K3202">
        <f>1-844-233-1380</f>
        <v>-2456</v>
      </c>
      <c r="L3202" t="s">
        <v>10021</v>
      </c>
      <c r="M3202" t="s">
        <v>10022</v>
      </c>
      <c r="N3202" t="s">
        <v>278</v>
      </c>
      <c r="O3202" t="s">
        <v>28</v>
      </c>
      <c r="P3202" t="s">
        <v>29</v>
      </c>
      <c r="Q3202">
        <v>47</v>
      </c>
      <c r="R3202">
        <v>-99.999999000000003</v>
      </c>
    </row>
    <row r="3203" spans="1:18" x14ac:dyDescent="0.2">
      <c r="A3203" t="s">
        <v>270</v>
      </c>
      <c r="B3203" t="s">
        <v>9922</v>
      </c>
      <c r="C3203">
        <v>1</v>
      </c>
      <c r="D3203" s="1">
        <v>44089.432199074072</v>
      </c>
      <c r="E3203" t="s">
        <v>10023</v>
      </c>
      <c r="F3203" t="s">
        <v>273</v>
      </c>
      <c r="G3203" t="s">
        <v>9924</v>
      </c>
      <c r="H3203" t="s">
        <v>275</v>
      </c>
      <c r="I3203" t="s">
        <v>29</v>
      </c>
      <c r="J3203">
        <v>1</v>
      </c>
      <c r="K3203">
        <f>1-844-210-4337</f>
        <v>-5390</v>
      </c>
      <c r="L3203" t="s">
        <v>10024</v>
      </c>
      <c r="M3203" t="s">
        <v>10025</v>
      </c>
      <c r="N3203" t="s">
        <v>278</v>
      </c>
      <c r="O3203" t="s">
        <v>28</v>
      </c>
      <c r="P3203" t="s">
        <v>29</v>
      </c>
      <c r="Q3203">
        <v>47</v>
      </c>
      <c r="R3203">
        <v>-99.999999000000003</v>
      </c>
    </row>
    <row r="3204" spans="1:18" x14ac:dyDescent="0.2">
      <c r="A3204" t="s">
        <v>270</v>
      </c>
      <c r="B3204" t="s">
        <v>9922</v>
      </c>
      <c r="C3204">
        <v>1</v>
      </c>
      <c r="D3204" s="1">
        <v>44088.860613425924</v>
      </c>
      <c r="E3204" t="s">
        <v>10026</v>
      </c>
      <c r="F3204" t="s">
        <v>273</v>
      </c>
      <c r="G3204" t="s">
        <v>9924</v>
      </c>
      <c r="H3204" t="s">
        <v>275</v>
      </c>
      <c r="I3204" t="s">
        <v>29</v>
      </c>
      <c r="J3204">
        <v>1</v>
      </c>
      <c r="K3204">
        <f>1-844-225-7967</f>
        <v>-9035</v>
      </c>
      <c r="L3204" t="s">
        <v>10027</v>
      </c>
      <c r="M3204" t="s">
        <v>10028</v>
      </c>
      <c r="N3204" t="s">
        <v>278</v>
      </c>
      <c r="O3204" t="s">
        <v>28</v>
      </c>
      <c r="P3204" t="s">
        <v>29</v>
      </c>
      <c r="Q3204">
        <v>47</v>
      </c>
      <c r="R3204">
        <v>-99.999999000000003</v>
      </c>
    </row>
    <row r="3205" spans="1:18" x14ac:dyDescent="0.2">
      <c r="A3205" t="s">
        <v>270</v>
      </c>
      <c r="B3205" t="s">
        <v>9922</v>
      </c>
      <c r="C3205">
        <v>1</v>
      </c>
      <c r="D3205" s="1">
        <v>44088.7887962963</v>
      </c>
      <c r="E3205" t="s">
        <v>10029</v>
      </c>
      <c r="F3205" t="s">
        <v>273</v>
      </c>
      <c r="G3205" t="s">
        <v>9924</v>
      </c>
      <c r="H3205" t="s">
        <v>275</v>
      </c>
      <c r="I3205" t="s">
        <v>29</v>
      </c>
      <c r="J3205">
        <v>1</v>
      </c>
      <c r="K3205">
        <f>1-844-212-1446</f>
        <v>-2501</v>
      </c>
      <c r="L3205" t="s">
        <v>10030</v>
      </c>
      <c r="M3205" t="s">
        <v>10031</v>
      </c>
      <c r="N3205" t="s">
        <v>278</v>
      </c>
      <c r="O3205" t="s">
        <v>28</v>
      </c>
      <c r="P3205" t="s">
        <v>29</v>
      </c>
      <c r="Q3205">
        <v>47</v>
      </c>
      <c r="R3205">
        <v>-99.999999000000003</v>
      </c>
    </row>
    <row r="3206" spans="1:18" x14ac:dyDescent="0.2">
      <c r="A3206" t="s">
        <v>270</v>
      </c>
      <c r="B3206" t="s">
        <v>9922</v>
      </c>
      <c r="C3206">
        <v>1</v>
      </c>
      <c r="D3206" s="1">
        <v>44088.772766203707</v>
      </c>
      <c r="E3206" t="s">
        <v>10032</v>
      </c>
      <c r="F3206" t="s">
        <v>273</v>
      </c>
      <c r="G3206" t="s">
        <v>9924</v>
      </c>
      <c r="H3206" t="s">
        <v>275</v>
      </c>
      <c r="I3206" t="s">
        <v>29</v>
      </c>
      <c r="J3206">
        <v>1</v>
      </c>
      <c r="K3206">
        <f>1-844-212-7353</f>
        <v>-8408</v>
      </c>
      <c r="L3206" t="s">
        <v>10033</v>
      </c>
      <c r="M3206" t="s">
        <v>10034</v>
      </c>
      <c r="N3206" t="s">
        <v>278</v>
      </c>
      <c r="O3206" t="s">
        <v>28</v>
      </c>
      <c r="P3206" t="s">
        <v>29</v>
      </c>
      <c r="Q3206">
        <v>47</v>
      </c>
      <c r="R3206">
        <v>-99.999999000000003</v>
      </c>
    </row>
    <row r="3207" spans="1:18" x14ac:dyDescent="0.2">
      <c r="A3207" t="s">
        <v>270</v>
      </c>
      <c r="B3207" t="s">
        <v>9922</v>
      </c>
      <c r="C3207">
        <v>1</v>
      </c>
      <c r="D3207" s="1">
        <v>44084.782361111109</v>
      </c>
      <c r="E3207" t="s">
        <v>10035</v>
      </c>
      <c r="F3207" t="s">
        <v>273</v>
      </c>
      <c r="G3207" t="s">
        <v>9924</v>
      </c>
      <c r="H3207" t="s">
        <v>275</v>
      </c>
      <c r="I3207" t="s">
        <v>29</v>
      </c>
      <c r="J3207">
        <v>1</v>
      </c>
      <c r="K3207">
        <f>1-888-608-5109</f>
        <v>-6604</v>
      </c>
      <c r="L3207" t="s">
        <v>10036</v>
      </c>
      <c r="M3207" t="s">
        <v>10037</v>
      </c>
      <c r="N3207" t="s">
        <v>278</v>
      </c>
      <c r="O3207" t="s">
        <v>28</v>
      </c>
      <c r="P3207" t="s">
        <v>29</v>
      </c>
      <c r="Q3207">
        <v>47</v>
      </c>
      <c r="R3207">
        <v>-99.999999000000003</v>
      </c>
    </row>
    <row r="3208" spans="1:18" x14ac:dyDescent="0.2">
      <c r="A3208" t="s">
        <v>270</v>
      </c>
      <c r="B3208" t="s">
        <v>9922</v>
      </c>
      <c r="C3208">
        <v>1</v>
      </c>
      <c r="D3208" s="1">
        <v>44084.780856481484</v>
      </c>
      <c r="E3208" t="s">
        <v>10038</v>
      </c>
      <c r="F3208" t="s">
        <v>273</v>
      </c>
      <c r="G3208" t="s">
        <v>9924</v>
      </c>
      <c r="H3208" t="s">
        <v>275</v>
      </c>
      <c r="I3208" t="s">
        <v>29</v>
      </c>
      <c r="J3208">
        <v>1</v>
      </c>
      <c r="K3208">
        <f>1-888-608-5109</f>
        <v>-6604</v>
      </c>
      <c r="L3208" t="s">
        <v>10039</v>
      </c>
      <c r="M3208" t="s">
        <v>10040</v>
      </c>
      <c r="N3208" t="s">
        <v>278</v>
      </c>
      <c r="O3208" t="s">
        <v>28</v>
      </c>
      <c r="P3208" t="s">
        <v>29</v>
      </c>
      <c r="Q3208">
        <v>47</v>
      </c>
      <c r="R3208">
        <v>-99.999999000000003</v>
      </c>
    </row>
    <row r="3209" spans="1:18" x14ac:dyDescent="0.2">
      <c r="A3209" t="s">
        <v>270</v>
      </c>
      <c r="B3209" t="s">
        <v>9922</v>
      </c>
      <c r="C3209">
        <v>1</v>
      </c>
      <c r="D3209" s="1">
        <v>44083.829560185186</v>
      </c>
      <c r="E3209" t="s">
        <v>10041</v>
      </c>
      <c r="F3209" t="s">
        <v>273</v>
      </c>
      <c r="G3209" t="s">
        <v>9924</v>
      </c>
      <c r="H3209" t="s">
        <v>275</v>
      </c>
      <c r="I3209" t="s">
        <v>29</v>
      </c>
      <c r="J3209">
        <v>1</v>
      </c>
      <c r="K3209">
        <f>1-888-592-7014</f>
        <v>-8493</v>
      </c>
      <c r="L3209" t="s">
        <v>10042</v>
      </c>
      <c r="M3209" t="s">
        <v>10043</v>
      </c>
      <c r="N3209" t="s">
        <v>278</v>
      </c>
      <c r="O3209" t="s">
        <v>28</v>
      </c>
      <c r="P3209" t="s">
        <v>29</v>
      </c>
      <c r="Q3209">
        <v>47</v>
      </c>
      <c r="R3209">
        <v>-99.999999000000003</v>
      </c>
    </row>
    <row r="3210" spans="1:18" x14ac:dyDescent="0.2">
      <c r="A3210" t="s">
        <v>270</v>
      </c>
      <c r="B3210" t="s">
        <v>9922</v>
      </c>
      <c r="C3210">
        <v>1</v>
      </c>
      <c r="D3210" s="1">
        <v>44083.828703703701</v>
      </c>
      <c r="E3210" t="s">
        <v>10044</v>
      </c>
      <c r="F3210" t="s">
        <v>273</v>
      </c>
      <c r="G3210" t="s">
        <v>9924</v>
      </c>
      <c r="H3210" t="s">
        <v>275</v>
      </c>
      <c r="I3210" t="s">
        <v>29</v>
      </c>
      <c r="J3210">
        <v>1</v>
      </c>
      <c r="K3210">
        <f>1-888-585-7516</f>
        <v>-8988</v>
      </c>
      <c r="L3210" t="s">
        <v>10045</v>
      </c>
      <c r="M3210" t="s">
        <v>10046</v>
      </c>
      <c r="N3210" t="s">
        <v>278</v>
      </c>
      <c r="O3210" t="s">
        <v>28</v>
      </c>
      <c r="P3210" t="s">
        <v>29</v>
      </c>
      <c r="Q3210">
        <v>47</v>
      </c>
      <c r="R3210">
        <v>-99.999999000000003</v>
      </c>
    </row>
    <row r="3211" spans="1:18" x14ac:dyDescent="0.2">
      <c r="A3211" t="s">
        <v>270</v>
      </c>
      <c r="B3211" t="s">
        <v>9922</v>
      </c>
      <c r="C3211">
        <v>1</v>
      </c>
      <c r="D3211" s="1">
        <v>44078.849490740744</v>
      </c>
      <c r="E3211" t="s">
        <v>10047</v>
      </c>
      <c r="F3211" t="s">
        <v>273</v>
      </c>
      <c r="G3211" t="s">
        <v>9924</v>
      </c>
      <c r="H3211" t="s">
        <v>275</v>
      </c>
      <c r="I3211" t="s">
        <v>29</v>
      </c>
      <c r="J3211">
        <v>1</v>
      </c>
      <c r="K3211">
        <f>1-866-586-2110</f>
        <v>-3561</v>
      </c>
      <c r="L3211" t="s">
        <v>10048</v>
      </c>
      <c r="M3211" t="s">
        <v>10049</v>
      </c>
      <c r="N3211" t="s">
        <v>278</v>
      </c>
      <c r="O3211" t="s">
        <v>134</v>
      </c>
      <c r="P3211" t="s">
        <v>29</v>
      </c>
      <c r="Q3211">
        <v>47</v>
      </c>
      <c r="R3211">
        <v>-99.999999000000003</v>
      </c>
    </row>
    <row r="3212" spans="1:18" x14ac:dyDescent="0.2">
      <c r="A3212" t="s">
        <v>270</v>
      </c>
      <c r="B3212" t="s">
        <v>9922</v>
      </c>
      <c r="C3212">
        <v>1</v>
      </c>
      <c r="D3212" s="1">
        <v>44076.381712962961</v>
      </c>
      <c r="E3212" t="s">
        <v>10050</v>
      </c>
      <c r="F3212" t="s">
        <v>273</v>
      </c>
      <c r="G3212" t="s">
        <v>9924</v>
      </c>
      <c r="H3212" t="s">
        <v>275</v>
      </c>
      <c r="I3212" t="s">
        <v>29</v>
      </c>
      <c r="J3212">
        <v>1</v>
      </c>
      <c r="K3212">
        <f>1-888-541-4913</f>
        <v>-6341</v>
      </c>
      <c r="L3212" t="s">
        <v>10051</v>
      </c>
      <c r="M3212" t="s">
        <v>10052</v>
      </c>
      <c r="N3212" t="s">
        <v>278</v>
      </c>
      <c r="O3212" t="s">
        <v>28</v>
      </c>
      <c r="P3212" t="s">
        <v>29</v>
      </c>
      <c r="Q3212">
        <v>47</v>
      </c>
      <c r="R3212">
        <v>-99.999999000000003</v>
      </c>
    </row>
    <row r="3213" spans="1:18" x14ac:dyDescent="0.2">
      <c r="A3213" t="s">
        <v>270</v>
      </c>
      <c r="B3213" t="s">
        <v>9922</v>
      </c>
      <c r="C3213">
        <v>1</v>
      </c>
      <c r="D3213" s="1">
        <v>44074.931168981479</v>
      </c>
      <c r="E3213" t="s">
        <v>10053</v>
      </c>
      <c r="F3213" t="s">
        <v>273</v>
      </c>
      <c r="G3213" t="s">
        <v>9924</v>
      </c>
      <c r="H3213" t="s">
        <v>275</v>
      </c>
      <c r="I3213" t="s">
        <v>29</v>
      </c>
      <c r="J3213">
        <v>1</v>
      </c>
      <c r="K3213">
        <f>1-888-658-268</f>
        <v>-1813</v>
      </c>
      <c r="L3213" t="s">
        <v>10054</v>
      </c>
      <c r="M3213" t="s">
        <v>10055</v>
      </c>
      <c r="N3213" t="s">
        <v>278</v>
      </c>
      <c r="O3213" t="s">
        <v>28</v>
      </c>
      <c r="P3213" t="s">
        <v>29</v>
      </c>
      <c r="Q3213">
        <v>47</v>
      </c>
      <c r="R3213">
        <v>-99.999999000000003</v>
      </c>
    </row>
    <row r="3214" spans="1:18" x14ac:dyDescent="0.2">
      <c r="A3214" t="s">
        <v>270</v>
      </c>
      <c r="B3214" t="s">
        <v>9922</v>
      </c>
      <c r="C3214">
        <v>1</v>
      </c>
      <c r="D3214" s="1">
        <v>44073.943784722222</v>
      </c>
      <c r="E3214" t="s">
        <v>10056</v>
      </c>
      <c r="F3214" t="s">
        <v>273</v>
      </c>
      <c r="G3214" t="s">
        <v>9924</v>
      </c>
      <c r="H3214" t="s">
        <v>275</v>
      </c>
      <c r="I3214" t="s">
        <v>29</v>
      </c>
      <c r="J3214">
        <v>1</v>
      </c>
      <c r="K3214">
        <f>1-888-417-4066</f>
        <v>-5370</v>
      </c>
      <c r="L3214" t="s">
        <v>10057</v>
      </c>
      <c r="M3214" t="s">
        <v>10058</v>
      </c>
      <c r="N3214" t="s">
        <v>278</v>
      </c>
      <c r="O3214" t="s">
        <v>134</v>
      </c>
      <c r="P3214" t="s">
        <v>29</v>
      </c>
      <c r="Q3214">
        <v>47</v>
      </c>
      <c r="R3214">
        <v>-99.999999000000003</v>
      </c>
    </row>
    <row r="3215" spans="1:18" x14ac:dyDescent="0.2">
      <c r="A3215" t="s">
        <v>270</v>
      </c>
      <c r="B3215" t="s">
        <v>9922</v>
      </c>
      <c r="C3215">
        <v>1</v>
      </c>
      <c r="D3215" s="1">
        <v>44073.939444444448</v>
      </c>
      <c r="E3215" t="s">
        <v>10059</v>
      </c>
      <c r="F3215" t="s">
        <v>273</v>
      </c>
      <c r="G3215" t="s">
        <v>9924</v>
      </c>
      <c r="H3215" t="s">
        <v>275</v>
      </c>
      <c r="I3215" t="s">
        <v>29</v>
      </c>
      <c r="J3215">
        <v>1</v>
      </c>
      <c r="K3215">
        <f>1-888-521-2485</f>
        <v>-3893</v>
      </c>
      <c r="L3215" t="s">
        <v>10060</v>
      </c>
      <c r="M3215" t="s">
        <v>10061</v>
      </c>
      <c r="N3215" t="s">
        <v>278</v>
      </c>
      <c r="O3215" t="s">
        <v>134</v>
      </c>
      <c r="P3215" t="s">
        <v>29</v>
      </c>
      <c r="Q3215">
        <v>47</v>
      </c>
      <c r="R3215">
        <v>-99.999999000000003</v>
      </c>
    </row>
    <row r="3216" spans="1:18" x14ac:dyDescent="0.2">
      <c r="A3216" t="s">
        <v>270</v>
      </c>
      <c r="B3216" t="s">
        <v>9922</v>
      </c>
      <c r="C3216">
        <v>1</v>
      </c>
      <c r="D3216" s="1">
        <v>44073.063391203701</v>
      </c>
      <c r="E3216" t="s">
        <v>10062</v>
      </c>
      <c r="F3216" t="s">
        <v>273</v>
      </c>
      <c r="G3216" t="s">
        <v>9924</v>
      </c>
      <c r="H3216" t="s">
        <v>275</v>
      </c>
      <c r="I3216" t="s">
        <v>29</v>
      </c>
      <c r="J3216">
        <v>1</v>
      </c>
      <c r="K3216">
        <f>1-888-705-881</f>
        <v>-2473</v>
      </c>
      <c r="L3216" t="s">
        <v>10063</v>
      </c>
      <c r="M3216" t="s">
        <v>10064</v>
      </c>
      <c r="N3216" t="s">
        <v>278</v>
      </c>
      <c r="O3216" t="s">
        <v>134</v>
      </c>
      <c r="P3216" t="s">
        <v>29</v>
      </c>
      <c r="Q3216">
        <v>47</v>
      </c>
      <c r="R3216">
        <v>-99.999999000000003</v>
      </c>
    </row>
    <row r="3217" spans="1:18" x14ac:dyDescent="0.2">
      <c r="A3217" t="s">
        <v>270</v>
      </c>
      <c r="B3217" t="s">
        <v>9922</v>
      </c>
      <c r="C3217">
        <v>1</v>
      </c>
      <c r="D3217" s="1">
        <v>44072.869583333333</v>
      </c>
      <c r="E3217" t="s">
        <v>10065</v>
      </c>
      <c r="F3217" t="s">
        <v>273</v>
      </c>
      <c r="G3217" t="s">
        <v>9924</v>
      </c>
      <c r="H3217" t="s">
        <v>275</v>
      </c>
      <c r="I3217" t="s">
        <v>29</v>
      </c>
      <c r="J3217">
        <v>1</v>
      </c>
      <c r="K3217">
        <f>1-888-650-5539</f>
        <v>-7076</v>
      </c>
      <c r="L3217" t="s">
        <v>10066</v>
      </c>
      <c r="M3217" t="s">
        <v>10067</v>
      </c>
      <c r="N3217" t="s">
        <v>278</v>
      </c>
      <c r="O3217" t="s">
        <v>134</v>
      </c>
      <c r="P3217" t="s">
        <v>29</v>
      </c>
      <c r="Q3217">
        <v>47</v>
      </c>
      <c r="R3217">
        <v>-99.999999000000003</v>
      </c>
    </row>
    <row r="3218" spans="1:18" x14ac:dyDescent="0.2">
      <c r="A3218" t="s">
        <v>270</v>
      </c>
      <c r="B3218" t="s">
        <v>9922</v>
      </c>
      <c r="C3218">
        <v>1</v>
      </c>
      <c r="D3218" s="1">
        <v>44072.868518518517</v>
      </c>
      <c r="E3218" t="s">
        <v>10068</v>
      </c>
      <c r="F3218" t="s">
        <v>273</v>
      </c>
      <c r="G3218" t="s">
        <v>9924</v>
      </c>
      <c r="H3218" t="s">
        <v>275</v>
      </c>
      <c r="I3218" t="s">
        <v>29</v>
      </c>
      <c r="J3218">
        <v>1</v>
      </c>
      <c r="K3218">
        <f>1-888-609-3819</f>
        <v>-5315</v>
      </c>
      <c r="L3218" t="s">
        <v>10069</v>
      </c>
      <c r="M3218" t="s">
        <v>10070</v>
      </c>
      <c r="N3218" t="s">
        <v>278</v>
      </c>
      <c r="O3218" t="s">
        <v>134</v>
      </c>
      <c r="P3218" t="s">
        <v>29</v>
      </c>
      <c r="Q3218">
        <v>47</v>
      </c>
      <c r="R3218">
        <v>-99.999999000000003</v>
      </c>
    </row>
    <row r="3219" spans="1:18" x14ac:dyDescent="0.2">
      <c r="A3219" t="s">
        <v>270</v>
      </c>
      <c r="B3219" t="s">
        <v>9922</v>
      </c>
      <c r="C3219">
        <v>1</v>
      </c>
      <c r="D3219" s="1">
        <v>44072.867951388886</v>
      </c>
      <c r="E3219" t="s">
        <v>10071</v>
      </c>
      <c r="F3219" t="s">
        <v>273</v>
      </c>
      <c r="G3219" t="s">
        <v>9924</v>
      </c>
      <c r="H3219" t="s">
        <v>275</v>
      </c>
      <c r="I3219" t="s">
        <v>29</v>
      </c>
      <c r="J3219">
        <v>1</v>
      </c>
      <c r="K3219">
        <f>1-888-619-5735</f>
        <v>-7241</v>
      </c>
      <c r="L3219" t="s">
        <v>10072</v>
      </c>
      <c r="M3219" t="s">
        <v>10073</v>
      </c>
      <c r="N3219" t="s">
        <v>278</v>
      </c>
      <c r="O3219" t="s">
        <v>134</v>
      </c>
      <c r="P3219" t="s">
        <v>29</v>
      </c>
      <c r="Q3219">
        <v>47</v>
      </c>
      <c r="R3219">
        <v>-99.999999000000003</v>
      </c>
    </row>
    <row r="3220" spans="1:18" x14ac:dyDescent="0.2">
      <c r="A3220" t="s">
        <v>270</v>
      </c>
      <c r="B3220" t="s">
        <v>9922</v>
      </c>
      <c r="C3220">
        <v>1</v>
      </c>
      <c r="D3220" s="1">
        <v>44072.866481481484</v>
      </c>
      <c r="E3220" t="s">
        <v>10074</v>
      </c>
      <c r="F3220" t="s">
        <v>273</v>
      </c>
      <c r="G3220" t="s">
        <v>9924</v>
      </c>
      <c r="H3220" t="s">
        <v>275</v>
      </c>
      <c r="I3220" t="s">
        <v>29</v>
      </c>
      <c r="J3220">
        <v>1</v>
      </c>
      <c r="K3220">
        <f>1-888-604-806</f>
        <v>-2297</v>
      </c>
      <c r="L3220" t="s">
        <v>10075</v>
      </c>
      <c r="M3220" t="s">
        <v>10076</v>
      </c>
      <c r="N3220" t="s">
        <v>278</v>
      </c>
      <c r="O3220" t="s">
        <v>134</v>
      </c>
      <c r="P3220" t="s">
        <v>29</v>
      </c>
      <c r="Q3220">
        <v>47</v>
      </c>
      <c r="R3220">
        <v>-99.999999000000003</v>
      </c>
    </row>
    <row r="3221" spans="1:18" x14ac:dyDescent="0.2">
      <c r="A3221" t="s">
        <v>270</v>
      </c>
      <c r="B3221" t="s">
        <v>9922</v>
      </c>
      <c r="C3221">
        <v>1</v>
      </c>
      <c r="D3221" s="1">
        <v>44072.86546296296</v>
      </c>
      <c r="E3221" t="s">
        <v>10077</v>
      </c>
      <c r="F3221" t="s">
        <v>273</v>
      </c>
      <c r="G3221" t="s">
        <v>9924</v>
      </c>
      <c r="H3221" t="s">
        <v>275</v>
      </c>
      <c r="I3221" t="s">
        <v>29</v>
      </c>
      <c r="J3221">
        <v>1</v>
      </c>
      <c r="K3221">
        <f>1-888-619-5735</f>
        <v>-7241</v>
      </c>
      <c r="L3221" t="s">
        <v>10078</v>
      </c>
      <c r="M3221" t="s">
        <v>10079</v>
      </c>
      <c r="N3221" t="s">
        <v>278</v>
      </c>
      <c r="O3221" t="s">
        <v>134</v>
      </c>
      <c r="P3221" t="s">
        <v>29</v>
      </c>
      <c r="Q3221">
        <v>47</v>
      </c>
      <c r="R3221">
        <v>-99.999999000000003</v>
      </c>
    </row>
    <row r="3222" spans="1:18" x14ac:dyDescent="0.2">
      <c r="A3222" t="s">
        <v>270</v>
      </c>
      <c r="B3222" t="s">
        <v>9922</v>
      </c>
      <c r="C3222">
        <v>1</v>
      </c>
      <c r="D3222" s="1">
        <v>44071.973796296297</v>
      </c>
      <c r="E3222" t="s">
        <v>10080</v>
      </c>
      <c r="F3222" t="s">
        <v>273</v>
      </c>
      <c r="G3222" t="s">
        <v>9924</v>
      </c>
      <c r="H3222" t="s">
        <v>275</v>
      </c>
      <c r="I3222" t="s">
        <v>29</v>
      </c>
      <c r="J3222">
        <v>1</v>
      </c>
      <c r="K3222">
        <f>1-888-909-1270</f>
        <v>-3066</v>
      </c>
      <c r="L3222" t="s">
        <v>10081</v>
      </c>
      <c r="M3222" t="s">
        <v>10082</v>
      </c>
      <c r="N3222" t="s">
        <v>278</v>
      </c>
      <c r="O3222" t="s">
        <v>134</v>
      </c>
      <c r="P3222" t="s">
        <v>29</v>
      </c>
      <c r="Q3222">
        <v>47</v>
      </c>
      <c r="R3222">
        <v>-99.999999000000003</v>
      </c>
    </row>
    <row r="3223" spans="1:18" x14ac:dyDescent="0.2">
      <c r="A3223" t="s">
        <v>270</v>
      </c>
      <c r="B3223" t="s">
        <v>9922</v>
      </c>
      <c r="C3223">
        <v>1</v>
      </c>
      <c r="D3223" s="1">
        <v>44071.903263888889</v>
      </c>
      <c r="E3223" t="s">
        <v>10083</v>
      </c>
      <c r="F3223" t="s">
        <v>273</v>
      </c>
      <c r="G3223" t="s">
        <v>9924</v>
      </c>
      <c r="H3223" t="s">
        <v>275</v>
      </c>
      <c r="I3223" t="s">
        <v>29</v>
      </c>
      <c r="J3223">
        <v>1</v>
      </c>
      <c r="K3223">
        <f>1-888-417-4090</f>
        <v>-5394</v>
      </c>
      <c r="L3223" t="s">
        <v>10084</v>
      </c>
      <c r="M3223" t="s">
        <v>10085</v>
      </c>
      <c r="N3223" t="s">
        <v>278</v>
      </c>
      <c r="O3223" t="s">
        <v>134</v>
      </c>
      <c r="P3223" t="s">
        <v>29</v>
      </c>
      <c r="Q3223">
        <v>47</v>
      </c>
      <c r="R3223">
        <v>-99.999999000000003</v>
      </c>
    </row>
    <row r="3224" spans="1:18" x14ac:dyDescent="0.2">
      <c r="A3224" t="s">
        <v>270</v>
      </c>
      <c r="B3224" t="s">
        <v>9922</v>
      </c>
      <c r="C3224">
        <v>1</v>
      </c>
      <c r="D3224" s="1">
        <v>44071.903032407405</v>
      </c>
      <c r="E3224" t="s">
        <v>10086</v>
      </c>
      <c r="F3224" t="s">
        <v>273</v>
      </c>
      <c r="G3224" t="s">
        <v>9924</v>
      </c>
      <c r="H3224" t="s">
        <v>275</v>
      </c>
      <c r="I3224" t="s">
        <v>29</v>
      </c>
      <c r="J3224">
        <v>1</v>
      </c>
      <c r="K3224">
        <f>1-888-686-474</f>
        <v>-2047</v>
      </c>
      <c r="L3224" t="s">
        <v>10087</v>
      </c>
      <c r="M3224" t="s">
        <v>10088</v>
      </c>
      <c r="N3224" t="s">
        <v>278</v>
      </c>
      <c r="O3224" t="s">
        <v>134</v>
      </c>
      <c r="P3224" t="s">
        <v>29</v>
      </c>
      <c r="Q3224">
        <v>47</v>
      </c>
      <c r="R3224">
        <v>-99.999999000000003</v>
      </c>
    </row>
    <row r="3225" spans="1:18" x14ac:dyDescent="0.2">
      <c r="A3225" t="s">
        <v>270</v>
      </c>
      <c r="B3225" t="s">
        <v>9922</v>
      </c>
      <c r="C3225">
        <v>1</v>
      </c>
      <c r="D3225" s="1">
        <v>44070.581678240742</v>
      </c>
      <c r="E3225" t="s">
        <v>10089</v>
      </c>
      <c r="F3225" t="s">
        <v>273</v>
      </c>
      <c r="G3225" t="s">
        <v>9924</v>
      </c>
      <c r="H3225" t="s">
        <v>275</v>
      </c>
      <c r="I3225" t="s">
        <v>29</v>
      </c>
      <c r="J3225">
        <v>1</v>
      </c>
      <c r="K3225">
        <f>1-866-672-9693</f>
        <v>-11230</v>
      </c>
      <c r="L3225" t="s">
        <v>10090</v>
      </c>
      <c r="M3225" t="s">
        <v>10091</v>
      </c>
      <c r="N3225" t="s">
        <v>278</v>
      </c>
      <c r="O3225" t="s">
        <v>134</v>
      </c>
      <c r="P3225" t="s">
        <v>29</v>
      </c>
      <c r="Q3225">
        <v>47</v>
      </c>
      <c r="R3225">
        <v>-99.999999000000003</v>
      </c>
    </row>
    <row r="3226" spans="1:18" x14ac:dyDescent="0.2">
      <c r="A3226" t="s">
        <v>270</v>
      </c>
      <c r="B3226" t="s">
        <v>9922</v>
      </c>
      <c r="C3226">
        <v>1</v>
      </c>
      <c r="D3226" s="1">
        <v>44068.193680555552</v>
      </c>
      <c r="E3226" t="s">
        <v>10092</v>
      </c>
      <c r="F3226" t="s">
        <v>273</v>
      </c>
      <c r="G3226" t="s">
        <v>9924</v>
      </c>
      <c r="H3226" t="s">
        <v>275</v>
      </c>
      <c r="I3226" t="s">
        <v>29</v>
      </c>
      <c r="J3226">
        <v>1</v>
      </c>
      <c r="K3226">
        <f>1-888-535-4744</f>
        <v>-6166</v>
      </c>
      <c r="L3226" t="s">
        <v>10093</v>
      </c>
      <c r="M3226" t="s">
        <v>10094</v>
      </c>
      <c r="N3226" t="s">
        <v>278</v>
      </c>
      <c r="O3226" t="s">
        <v>134</v>
      </c>
      <c r="P3226" t="s">
        <v>29</v>
      </c>
      <c r="Q3226">
        <v>47</v>
      </c>
      <c r="R3226">
        <v>-99.999999000000003</v>
      </c>
    </row>
    <row r="3227" spans="1:18" x14ac:dyDescent="0.2">
      <c r="A3227" t="s">
        <v>270</v>
      </c>
      <c r="B3227" t="s">
        <v>9922</v>
      </c>
      <c r="C3227">
        <v>1</v>
      </c>
      <c r="D3227" s="1">
        <v>44068.031481481485</v>
      </c>
      <c r="E3227" t="s">
        <v>10095</v>
      </c>
      <c r="F3227" t="s">
        <v>273</v>
      </c>
      <c r="G3227" t="s">
        <v>9924</v>
      </c>
      <c r="H3227" t="s">
        <v>275</v>
      </c>
      <c r="I3227" t="s">
        <v>29</v>
      </c>
      <c r="J3227">
        <v>1</v>
      </c>
      <c r="K3227">
        <f>1-888-965-777</f>
        <v>-2629</v>
      </c>
      <c r="L3227" t="s">
        <v>10096</v>
      </c>
      <c r="M3227" t="s">
        <v>10097</v>
      </c>
      <c r="N3227" t="s">
        <v>278</v>
      </c>
      <c r="O3227" t="s">
        <v>28</v>
      </c>
      <c r="P3227" t="s">
        <v>29</v>
      </c>
      <c r="Q3227">
        <v>47</v>
      </c>
      <c r="R3227">
        <v>-99.999999000000003</v>
      </c>
    </row>
    <row r="3228" spans="1:18" x14ac:dyDescent="0.2">
      <c r="A3228" t="s">
        <v>270</v>
      </c>
      <c r="B3228" t="s">
        <v>9922</v>
      </c>
      <c r="C3228">
        <v>1</v>
      </c>
      <c r="D3228" s="1">
        <v>44068.029548611114</v>
      </c>
      <c r="E3228" t="s">
        <v>10098</v>
      </c>
      <c r="F3228" t="s">
        <v>273</v>
      </c>
      <c r="G3228" t="s">
        <v>9924</v>
      </c>
      <c r="H3228" t="s">
        <v>275</v>
      </c>
      <c r="I3228" t="s">
        <v>29</v>
      </c>
      <c r="J3228">
        <v>1</v>
      </c>
      <c r="K3228">
        <f>1-888-291-197</f>
        <v>-1375</v>
      </c>
      <c r="L3228" t="s">
        <v>10099</v>
      </c>
      <c r="M3228" t="s">
        <v>10100</v>
      </c>
      <c r="N3228" t="s">
        <v>278</v>
      </c>
      <c r="O3228" t="s">
        <v>28</v>
      </c>
      <c r="P3228" t="s">
        <v>29</v>
      </c>
      <c r="Q3228">
        <v>47</v>
      </c>
      <c r="R3228">
        <v>-99.999999000000003</v>
      </c>
    </row>
    <row r="3229" spans="1:18" x14ac:dyDescent="0.2">
      <c r="A3229" t="s">
        <v>270</v>
      </c>
      <c r="B3229" t="s">
        <v>9922</v>
      </c>
      <c r="C3229">
        <v>1</v>
      </c>
      <c r="D3229" s="1">
        <v>44053.715902777774</v>
      </c>
      <c r="E3229" t="s">
        <v>10101</v>
      </c>
      <c r="F3229" t="s">
        <v>273</v>
      </c>
      <c r="G3229" t="s">
        <v>9924</v>
      </c>
      <c r="H3229" t="s">
        <v>275</v>
      </c>
      <c r="I3229" t="s">
        <v>29</v>
      </c>
      <c r="J3229">
        <v>1</v>
      </c>
      <c r="K3229">
        <f>1-888-538-1045</f>
        <v>-2470</v>
      </c>
      <c r="L3229" t="s">
        <v>10102</v>
      </c>
      <c r="M3229" t="s">
        <v>10103</v>
      </c>
      <c r="N3229" t="s">
        <v>278</v>
      </c>
      <c r="O3229" t="s">
        <v>134</v>
      </c>
      <c r="P3229" t="s">
        <v>29</v>
      </c>
      <c r="Q3229">
        <v>47</v>
      </c>
      <c r="R3229">
        <v>-99.999999000000003</v>
      </c>
    </row>
    <row r="3230" spans="1:18" x14ac:dyDescent="0.2">
      <c r="A3230" t="s">
        <v>270</v>
      </c>
      <c r="B3230" t="s">
        <v>9922</v>
      </c>
      <c r="C3230">
        <v>1</v>
      </c>
      <c r="D3230" s="1">
        <v>44053.291226851848</v>
      </c>
      <c r="E3230" t="s">
        <v>10104</v>
      </c>
      <c r="F3230" t="s">
        <v>273</v>
      </c>
      <c r="G3230" t="s">
        <v>9924</v>
      </c>
      <c r="H3230" t="s">
        <v>275</v>
      </c>
      <c r="I3230" t="s">
        <v>29</v>
      </c>
      <c r="J3230">
        <v>1</v>
      </c>
      <c r="K3230">
        <f>1-866-788-5605</f>
        <v>-7258</v>
      </c>
      <c r="L3230" t="s">
        <v>10105</v>
      </c>
      <c r="M3230" t="s">
        <v>10106</v>
      </c>
      <c r="N3230" t="s">
        <v>278</v>
      </c>
      <c r="O3230" t="s">
        <v>134</v>
      </c>
      <c r="P3230" t="s">
        <v>29</v>
      </c>
      <c r="Q3230">
        <v>47</v>
      </c>
      <c r="R3230">
        <v>-99.999999000000003</v>
      </c>
    </row>
    <row r="3231" spans="1:18" x14ac:dyDescent="0.2">
      <c r="A3231" t="s">
        <v>270</v>
      </c>
      <c r="B3231" t="s">
        <v>9922</v>
      </c>
      <c r="C3231">
        <v>1</v>
      </c>
      <c r="D3231" s="1">
        <v>44031.867083333331</v>
      </c>
      <c r="E3231" t="s">
        <v>10107</v>
      </c>
      <c r="F3231" t="s">
        <v>273</v>
      </c>
      <c r="G3231" t="s">
        <v>9924</v>
      </c>
      <c r="H3231" t="s">
        <v>275</v>
      </c>
      <c r="I3231" t="s">
        <v>29</v>
      </c>
      <c r="J3231">
        <v>1</v>
      </c>
      <c r="K3231">
        <f>1-866-755-2213</f>
        <v>-3833</v>
      </c>
      <c r="L3231" t="s">
        <v>10108</v>
      </c>
      <c r="M3231" t="s">
        <v>10109</v>
      </c>
      <c r="N3231" t="s">
        <v>278</v>
      </c>
      <c r="O3231" t="s">
        <v>134</v>
      </c>
      <c r="P3231" t="s">
        <v>29</v>
      </c>
      <c r="Q3231">
        <v>47</v>
      </c>
      <c r="R3231">
        <v>-99.999999000000003</v>
      </c>
    </row>
    <row r="3232" spans="1:18" x14ac:dyDescent="0.2">
      <c r="A3232" t="s">
        <v>270</v>
      </c>
      <c r="B3232" t="s">
        <v>9922</v>
      </c>
      <c r="C3232">
        <v>1</v>
      </c>
      <c r="D3232" s="1">
        <v>44031.866770833331</v>
      </c>
      <c r="E3232" t="s">
        <v>10110</v>
      </c>
      <c r="F3232" t="s">
        <v>273</v>
      </c>
      <c r="G3232" t="s">
        <v>9924</v>
      </c>
      <c r="H3232" t="s">
        <v>275</v>
      </c>
      <c r="I3232" t="s">
        <v>29</v>
      </c>
      <c r="J3232">
        <v>1</v>
      </c>
      <c r="K3232">
        <f>1-866-506-145</f>
        <v>-1516</v>
      </c>
      <c r="L3232" t="s">
        <v>10111</v>
      </c>
      <c r="M3232" t="s">
        <v>10112</v>
      </c>
      <c r="N3232" t="s">
        <v>278</v>
      </c>
      <c r="O3232" t="s">
        <v>134</v>
      </c>
      <c r="P3232" t="s">
        <v>29</v>
      </c>
      <c r="Q3232">
        <v>47</v>
      </c>
      <c r="R3232">
        <v>-99.999999000000003</v>
      </c>
    </row>
    <row r="3233" spans="1:18" x14ac:dyDescent="0.2">
      <c r="A3233" t="s">
        <v>6660</v>
      </c>
      <c r="B3233" t="s">
        <v>10113</v>
      </c>
      <c r="C3233">
        <v>1</v>
      </c>
      <c r="D3233" s="1">
        <v>44068.790925925925</v>
      </c>
      <c r="E3233" t="s">
        <v>10114</v>
      </c>
      <c r="F3233" t="s">
        <v>6663</v>
      </c>
      <c r="G3233" t="s">
        <v>10115</v>
      </c>
      <c r="H3233" t="s">
        <v>6665</v>
      </c>
      <c r="I3233" t="s">
        <v>29</v>
      </c>
      <c r="J3233">
        <v>1</v>
      </c>
      <c r="K3233">
        <f>1-808-600-6735</f>
        <v>-8142</v>
      </c>
      <c r="L3233" t="s">
        <v>10116</v>
      </c>
      <c r="M3233" t="s">
        <v>10117</v>
      </c>
      <c r="N3233" t="s">
        <v>674</v>
      </c>
      <c r="O3233" t="s">
        <v>134</v>
      </c>
      <c r="P3233" t="s">
        <v>10118</v>
      </c>
      <c r="Q3233">
        <v>55</v>
      </c>
      <c r="R3233">
        <v>25.279699999999998</v>
      </c>
    </row>
    <row r="3234" spans="1:18" x14ac:dyDescent="0.2">
      <c r="A3234" t="s">
        <v>6660</v>
      </c>
      <c r="B3234" t="s">
        <v>10113</v>
      </c>
      <c r="C3234">
        <v>1</v>
      </c>
      <c r="D3234" s="1">
        <v>44042.871666666666</v>
      </c>
      <c r="E3234" t="s">
        <v>10119</v>
      </c>
      <c r="F3234" t="s">
        <v>6663</v>
      </c>
      <c r="G3234" t="s">
        <v>10115</v>
      </c>
      <c r="H3234" t="s">
        <v>6665</v>
      </c>
      <c r="I3234" t="s">
        <v>29</v>
      </c>
      <c r="J3234">
        <v>1</v>
      </c>
      <c r="K3234">
        <f>1-844-204-6239</f>
        <v>-7286</v>
      </c>
      <c r="L3234" t="s">
        <v>10120</v>
      </c>
      <c r="M3234" t="s">
        <v>10121</v>
      </c>
      <c r="N3234" t="s">
        <v>213</v>
      </c>
      <c r="O3234" t="s">
        <v>134</v>
      </c>
      <c r="P3234" t="s">
        <v>10118</v>
      </c>
      <c r="Q3234">
        <v>55</v>
      </c>
      <c r="R3234">
        <v>25.279699999999998</v>
      </c>
    </row>
    <row r="3235" spans="1:18" x14ac:dyDescent="0.2">
      <c r="A3235" t="s">
        <v>6660</v>
      </c>
      <c r="B3235" t="s">
        <v>10113</v>
      </c>
      <c r="C3235">
        <v>1</v>
      </c>
      <c r="D3235" s="1">
        <v>44040.797199074077</v>
      </c>
      <c r="E3235" t="s">
        <v>10122</v>
      </c>
      <c r="F3235" t="s">
        <v>6663</v>
      </c>
      <c r="G3235" t="s">
        <v>10115</v>
      </c>
      <c r="H3235" t="s">
        <v>6665</v>
      </c>
      <c r="I3235" t="s">
        <v>29</v>
      </c>
      <c r="J3235">
        <v>1</v>
      </c>
      <c r="K3235">
        <f>1-866-914-6701</f>
        <v>-8480</v>
      </c>
      <c r="L3235" t="s">
        <v>10123</v>
      </c>
      <c r="M3235" t="s">
        <v>10124</v>
      </c>
      <c r="N3235" t="s">
        <v>3454</v>
      </c>
      <c r="O3235" t="s">
        <v>134</v>
      </c>
      <c r="P3235" t="s">
        <v>10118</v>
      </c>
      <c r="Q3235">
        <v>55</v>
      </c>
      <c r="R3235">
        <v>25.279699999999998</v>
      </c>
    </row>
    <row r="3236" spans="1:18" x14ac:dyDescent="0.2">
      <c r="A3236" t="s">
        <v>6660</v>
      </c>
      <c r="B3236" t="s">
        <v>10113</v>
      </c>
      <c r="C3236">
        <v>1</v>
      </c>
      <c r="D3236" s="1">
        <v>44040.017187500001</v>
      </c>
      <c r="E3236" t="s">
        <v>10125</v>
      </c>
      <c r="F3236" t="s">
        <v>6663</v>
      </c>
      <c r="G3236" t="s">
        <v>10115</v>
      </c>
      <c r="H3236" t="s">
        <v>6665</v>
      </c>
      <c r="I3236" t="s">
        <v>29</v>
      </c>
      <c r="J3236">
        <v>1</v>
      </c>
      <c r="K3236">
        <f>1-855-725-1487</f>
        <v>-3066</v>
      </c>
      <c r="L3236" t="s">
        <v>10126</v>
      </c>
      <c r="M3236" t="s">
        <v>10127</v>
      </c>
      <c r="N3236" t="s">
        <v>674</v>
      </c>
      <c r="O3236" t="s">
        <v>134</v>
      </c>
      <c r="P3236" t="s">
        <v>10118</v>
      </c>
      <c r="Q3236">
        <v>55</v>
      </c>
      <c r="R3236">
        <v>25.279699999999998</v>
      </c>
    </row>
    <row r="3237" spans="1:18" x14ac:dyDescent="0.2">
      <c r="A3237" t="s">
        <v>6660</v>
      </c>
      <c r="B3237" t="s">
        <v>10113</v>
      </c>
      <c r="C3237">
        <v>1</v>
      </c>
      <c r="D3237" s="1">
        <v>44039.931666666664</v>
      </c>
      <c r="E3237" t="s">
        <v>10128</v>
      </c>
      <c r="F3237" t="s">
        <v>6663</v>
      </c>
      <c r="G3237" t="s">
        <v>10115</v>
      </c>
      <c r="H3237" t="s">
        <v>6665</v>
      </c>
      <c r="I3237" t="s">
        <v>29</v>
      </c>
      <c r="J3237">
        <v>1</v>
      </c>
      <c r="K3237">
        <f>1-855-725-1487</f>
        <v>-3066</v>
      </c>
      <c r="L3237" t="s">
        <v>10129</v>
      </c>
      <c r="M3237" t="s">
        <v>10130</v>
      </c>
      <c r="N3237" t="s">
        <v>3454</v>
      </c>
      <c r="O3237" t="s">
        <v>134</v>
      </c>
      <c r="P3237" t="s">
        <v>10118</v>
      </c>
      <c r="Q3237">
        <v>55</v>
      </c>
      <c r="R3237">
        <v>25.279699999999998</v>
      </c>
    </row>
    <row r="3238" spans="1:18" x14ac:dyDescent="0.2">
      <c r="A3238" t="s">
        <v>6660</v>
      </c>
      <c r="B3238" t="s">
        <v>10113</v>
      </c>
      <c r="C3238">
        <v>1</v>
      </c>
      <c r="D3238" s="1">
        <v>44039.761736111112</v>
      </c>
      <c r="E3238" t="s">
        <v>10125</v>
      </c>
      <c r="F3238" t="s">
        <v>6663</v>
      </c>
      <c r="G3238" t="s">
        <v>10115</v>
      </c>
      <c r="H3238" t="s">
        <v>6665</v>
      </c>
      <c r="I3238" t="s">
        <v>29</v>
      </c>
      <c r="J3238">
        <v>1</v>
      </c>
      <c r="K3238">
        <f>1-866-903-2593</f>
        <v>-4361</v>
      </c>
      <c r="L3238" t="s">
        <v>10131</v>
      </c>
      <c r="M3238" t="s">
        <v>10132</v>
      </c>
      <c r="N3238" t="s">
        <v>674</v>
      </c>
      <c r="O3238" t="s">
        <v>134</v>
      </c>
      <c r="P3238" t="s">
        <v>10118</v>
      </c>
      <c r="Q3238">
        <v>55</v>
      </c>
      <c r="R3238">
        <v>25.279699999999998</v>
      </c>
    </row>
    <row r="3239" spans="1:18" x14ac:dyDescent="0.2">
      <c r="A3239" t="s">
        <v>6660</v>
      </c>
      <c r="B3239" t="s">
        <v>10113</v>
      </c>
      <c r="C3239">
        <v>1</v>
      </c>
      <c r="D3239" s="1">
        <v>44037.986458333333</v>
      </c>
      <c r="E3239" t="s">
        <v>10133</v>
      </c>
      <c r="F3239" t="s">
        <v>6663</v>
      </c>
      <c r="G3239" t="s">
        <v>10115</v>
      </c>
      <c r="H3239" t="s">
        <v>6665</v>
      </c>
      <c r="I3239" t="s">
        <v>29</v>
      </c>
      <c r="J3239">
        <v>1</v>
      </c>
      <c r="K3239">
        <f>1-866-903-2593</f>
        <v>-4361</v>
      </c>
      <c r="L3239" t="s">
        <v>10134</v>
      </c>
      <c r="M3239" t="s">
        <v>10135</v>
      </c>
      <c r="N3239" t="s">
        <v>447</v>
      </c>
      <c r="O3239" t="s">
        <v>134</v>
      </c>
      <c r="P3239" t="s">
        <v>10118</v>
      </c>
      <c r="Q3239">
        <v>55</v>
      </c>
      <c r="R3239">
        <v>25.279699999999998</v>
      </c>
    </row>
    <row r="3240" spans="1:18" x14ac:dyDescent="0.2">
      <c r="A3240" t="s">
        <v>6660</v>
      </c>
      <c r="B3240" t="s">
        <v>10113</v>
      </c>
      <c r="C3240">
        <v>1</v>
      </c>
      <c r="D3240" s="1">
        <v>44039.815682870372</v>
      </c>
      <c r="E3240" t="s">
        <v>10136</v>
      </c>
      <c r="F3240" t="s">
        <v>6663</v>
      </c>
      <c r="G3240" t="s">
        <v>10115</v>
      </c>
      <c r="H3240" t="s">
        <v>6665</v>
      </c>
      <c r="I3240" t="s">
        <v>29</v>
      </c>
      <c r="J3240">
        <v>1</v>
      </c>
      <c r="K3240">
        <f>1-866-903-2593</f>
        <v>-4361</v>
      </c>
      <c r="L3240" t="s">
        <v>10137</v>
      </c>
      <c r="M3240" t="s">
        <v>10138</v>
      </c>
      <c r="N3240" t="s">
        <v>447</v>
      </c>
      <c r="O3240" t="s">
        <v>134</v>
      </c>
      <c r="P3240" t="s">
        <v>10118</v>
      </c>
      <c r="Q3240">
        <v>55</v>
      </c>
      <c r="R3240">
        <v>25.279699999999998</v>
      </c>
    </row>
    <row r="3241" spans="1:18" x14ac:dyDescent="0.2">
      <c r="A3241" t="s">
        <v>6660</v>
      </c>
      <c r="B3241" t="s">
        <v>10113</v>
      </c>
      <c r="C3241">
        <v>1</v>
      </c>
      <c r="D3241" s="1">
        <v>44037.725590277776</v>
      </c>
      <c r="E3241" t="s">
        <v>10139</v>
      </c>
      <c r="F3241" t="s">
        <v>6663</v>
      </c>
      <c r="G3241" t="s">
        <v>10115</v>
      </c>
      <c r="H3241" t="s">
        <v>6665</v>
      </c>
      <c r="I3241" t="s">
        <v>29</v>
      </c>
      <c r="J3241">
        <v>1</v>
      </c>
      <c r="K3241">
        <f>1-866-806-1682</f>
        <v>-3353</v>
      </c>
      <c r="L3241" t="s">
        <v>10140</v>
      </c>
      <c r="M3241" t="s">
        <v>10141</v>
      </c>
      <c r="N3241" t="s">
        <v>3441</v>
      </c>
      <c r="O3241" t="s">
        <v>134</v>
      </c>
      <c r="P3241" t="s">
        <v>10118</v>
      </c>
      <c r="Q3241">
        <v>55</v>
      </c>
      <c r="R3241">
        <v>25.279699999999998</v>
      </c>
    </row>
    <row r="3242" spans="1:18" x14ac:dyDescent="0.2">
      <c r="A3242" t="s">
        <v>6660</v>
      </c>
      <c r="B3242" t="s">
        <v>10113</v>
      </c>
      <c r="C3242">
        <v>1</v>
      </c>
      <c r="D3242" s="1">
        <v>44036.788645833331</v>
      </c>
      <c r="E3242" t="s">
        <v>10142</v>
      </c>
      <c r="F3242" t="s">
        <v>6663</v>
      </c>
      <c r="G3242" t="s">
        <v>10115</v>
      </c>
      <c r="H3242" t="s">
        <v>6665</v>
      </c>
      <c r="I3242" t="s">
        <v>29</v>
      </c>
      <c r="J3242">
        <v>1</v>
      </c>
      <c r="K3242">
        <f>1-844-904-850</f>
        <v>-2597</v>
      </c>
      <c r="L3242" t="s">
        <v>10143</v>
      </c>
      <c r="M3242" t="s">
        <v>10144</v>
      </c>
      <c r="N3242" t="s">
        <v>3454</v>
      </c>
      <c r="O3242" t="s">
        <v>134</v>
      </c>
      <c r="P3242" t="s">
        <v>10118</v>
      </c>
      <c r="Q3242">
        <v>55</v>
      </c>
      <c r="R3242">
        <v>25.279699999999998</v>
      </c>
    </row>
    <row r="3243" spans="1:18" x14ac:dyDescent="0.2">
      <c r="A3243" t="s">
        <v>6660</v>
      </c>
      <c r="B3243" t="s">
        <v>10113</v>
      </c>
      <c r="C3243">
        <v>1</v>
      </c>
      <c r="D3243" s="1">
        <v>44034.997569444444</v>
      </c>
      <c r="E3243" t="s">
        <v>10145</v>
      </c>
      <c r="F3243" t="s">
        <v>6663</v>
      </c>
      <c r="G3243" t="s">
        <v>10115</v>
      </c>
      <c r="H3243" t="s">
        <v>6665</v>
      </c>
      <c r="I3243" t="s">
        <v>29</v>
      </c>
      <c r="J3243">
        <v>1</v>
      </c>
      <c r="K3243">
        <f>1-866-645-9015</f>
        <v>-10525</v>
      </c>
      <c r="L3243" t="s">
        <v>10146</v>
      </c>
      <c r="M3243" t="s">
        <v>10147</v>
      </c>
      <c r="N3243" t="s">
        <v>3454</v>
      </c>
      <c r="O3243" t="s">
        <v>134</v>
      </c>
      <c r="P3243" t="s">
        <v>10118</v>
      </c>
      <c r="Q3243">
        <v>55</v>
      </c>
      <c r="R3243">
        <v>25.279699999999998</v>
      </c>
    </row>
    <row r="3244" spans="1:18" x14ac:dyDescent="0.2">
      <c r="A3244" t="s">
        <v>6660</v>
      </c>
      <c r="B3244" t="s">
        <v>10113</v>
      </c>
      <c r="C3244">
        <v>1</v>
      </c>
      <c r="D3244" s="1">
        <v>44034.830659722225</v>
      </c>
      <c r="E3244" t="s">
        <v>10148</v>
      </c>
      <c r="F3244" t="s">
        <v>6663</v>
      </c>
      <c r="G3244" t="s">
        <v>10115</v>
      </c>
      <c r="H3244" t="s">
        <v>6665</v>
      </c>
      <c r="I3244" t="s">
        <v>29</v>
      </c>
      <c r="J3244">
        <v>1</v>
      </c>
      <c r="K3244">
        <f>1-855-686-553</f>
        <v>-2093</v>
      </c>
      <c r="L3244" t="s">
        <v>10149</v>
      </c>
      <c r="M3244" t="s">
        <v>10150</v>
      </c>
      <c r="N3244" t="s">
        <v>452</v>
      </c>
      <c r="O3244" t="s">
        <v>134</v>
      </c>
      <c r="P3244" t="s">
        <v>10118</v>
      </c>
      <c r="Q3244">
        <v>55</v>
      </c>
      <c r="R3244">
        <v>25.279699999999998</v>
      </c>
    </row>
    <row r="3245" spans="1:18" x14ac:dyDescent="0.2">
      <c r="A3245" t="s">
        <v>6660</v>
      </c>
      <c r="B3245" t="s">
        <v>10113</v>
      </c>
      <c r="C3245">
        <v>1</v>
      </c>
      <c r="D3245" s="1">
        <v>44033.882349537038</v>
      </c>
      <c r="E3245" t="s">
        <v>10151</v>
      </c>
      <c r="F3245" t="s">
        <v>6663</v>
      </c>
      <c r="G3245" t="s">
        <v>10115</v>
      </c>
      <c r="H3245" t="s">
        <v>6665</v>
      </c>
      <c r="I3245" t="s">
        <v>29</v>
      </c>
      <c r="J3245">
        <v>1</v>
      </c>
      <c r="K3245">
        <f>1-855-686-553</f>
        <v>-2093</v>
      </c>
      <c r="L3245" t="s">
        <v>10152</v>
      </c>
      <c r="M3245" t="s">
        <v>10153</v>
      </c>
      <c r="N3245" t="s">
        <v>452</v>
      </c>
      <c r="O3245" t="s">
        <v>28</v>
      </c>
      <c r="P3245" t="s">
        <v>10118</v>
      </c>
      <c r="Q3245">
        <v>55</v>
      </c>
      <c r="R3245">
        <v>25.279699999999998</v>
      </c>
    </row>
    <row r="3246" spans="1:18" x14ac:dyDescent="0.2">
      <c r="A3246" t="s">
        <v>663</v>
      </c>
      <c r="B3246" t="s">
        <v>2263</v>
      </c>
      <c r="C3246">
        <v>1</v>
      </c>
      <c r="D3246" s="1">
        <v>44032.692893518521</v>
      </c>
      <c r="E3246" t="s">
        <v>10154</v>
      </c>
      <c r="F3246" t="s">
        <v>666</v>
      </c>
      <c r="G3246" t="s">
        <v>10155</v>
      </c>
      <c r="H3246" t="s">
        <v>667</v>
      </c>
      <c r="I3246" t="s">
        <v>29</v>
      </c>
      <c r="J3246">
        <v>1</v>
      </c>
      <c r="K3246">
        <f>1-47-800-62-628</f>
        <v>-1536</v>
      </c>
      <c r="L3246" t="s">
        <v>10156</v>
      </c>
      <c r="M3246" t="s">
        <v>10157</v>
      </c>
      <c r="N3246" t="s">
        <v>2475</v>
      </c>
      <c r="O3246" t="s">
        <v>28</v>
      </c>
      <c r="P3246" t="s">
        <v>2268</v>
      </c>
      <c r="Q3246">
        <v>44</v>
      </c>
      <c r="R3246">
        <v>-79.362300000000005</v>
      </c>
    </row>
    <row r="3247" spans="1:18" x14ac:dyDescent="0.2">
      <c r="A3247" t="s">
        <v>2349</v>
      </c>
      <c r="B3247" t="s">
        <v>4281</v>
      </c>
      <c r="C3247">
        <v>49</v>
      </c>
      <c r="D3247" s="1">
        <v>44032.485185185185</v>
      </c>
      <c r="E3247" t="s">
        <v>10158</v>
      </c>
      <c r="F3247" t="s">
        <v>2352</v>
      </c>
      <c r="G3247" t="s">
        <v>10158</v>
      </c>
      <c r="H3247" t="s">
        <v>2353</v>
      </c>
      <c r="I3247" t="s">
        <v>24</v>
      </c>
      <c r="J3247">
        <v>49</v>
      </c>
      <c r="K3247">
        <f>49-800-723-7181</f>
        <v>-8655</v>
      </c>
      <c r="L3247" t="s">
        <v>10159</v>
      </c>
      <c r="M3247" t="s">
        <v>10160</v>
      </c>
      <c r="N3247">
        <v>208</v>
      </c>
      <c r="O3247" t="s">
        <v>134</v>
      </c>
      <c r="P3247" t="s">
        <v>24</v>
      </c>
      <c r="Q3247">
        <v>50</v>
      </c>
      <c r="R3247">
        <v>8.7147000000000006</v>
      </c>
    </row>
    <row r="3248" spans="1:18" x14ac:dyDescent="0.2">
      <c r="A3248" t="s">
        <v>663</v>
      </c>
      <c r="B3248" t="s">
        <v>5784</v>
      </c>
      <c r="C3248">
        <v>1</v>
      </c>
      <c r="D3248" s="1">
        <v>44032.772847222222</v>
      </c>
      <c r="E3248" t="s">
        <v>10161</v>
      </c>
      <c r="F3248" t="s">
        <v>666</v>
      </c>
      <c r="G3248" t="s">
        <v>10162</v>
      </c>
      <c r="H3248" t="s">
        <v>667</v>
      </c>
      <c r="I3248" t="s">
        <v>29</v>
      </c>
      <c r="J3248">
        <v>1</v>
      </c>
      <c r="K3248">
        <f>1-866-770-5296</f>
        <v>-6931</v>
      </c>
      <c r="L3248" t="s">
        <v>10163</v>
      </c>
      <c r="M3248" t="s">
        <v>10164</v>
      </c>
      <c r="N3248" t="s">
        <v>452</v>
      </c>
      <c r="O3248" t="s">
        <v>28</v>
      </c>
      <c r="P3248" t="s">
        <v>5789</v>
      </c>
      <c r="Q3248">
        <v>13</v>
      </c>
      <c r="R3248">
        <v>77.593299999999999</v>
      </c>
    </row>
    <row r="3249" spans="1:18" x14ac:dyDescent="0.2">
      <c r="A3249" t="s">
        <v>663</v>
      </c>
      <c r="B3249" t="s">
        <v>454</v>
      </c>
      <c r="C3249">
        <v>43</v>
      </c>
      <c r="D3249" s="1">
        <v>44032.652488425927</v>
      </c>
      <c r="E3249" t="s">
        <v>10165</v>
      </c>
      <c r="F3249" t="s">
        <v>666</v>
      </c>
      <c r="G3249" t="s">
        <v>10166</v>
      </c>
      <c r="H3249" t="s">
        <v>667</v>
      </c>
      <c r="I3249" t="s">
        <v>3432</v>
      </c>
      <c r="J3249">
        <v>43</v>
      </c>
      <c r="K3249">
        <f>43-670-308-150</f>
        <v>-1085</v>
      </c>
      <c r="L3249" t="s">
        <v>10167</v>
      </c>
      <c r="M3249" t="s">
        <v>10168</v>
      </c>
      <c r="N3249" t="s">
        <v>5354</v>
      </c>
      <c r="O3249" t="s">
        <v>134</v>
      </c>
      <c r="P3249" t="s">
        <v>461</v>
      </c>
      <c r="Q3249">
        <v>52</v>
      </c>
      <c r="R3249">
        <v>4.9391999999999996</v>
      </c>
    </row>
    <row r="3250" spans="1:18" x14ac:dyDescent="0.2">
      <c r="A3250" t="s">
        <v>663</v>
      </c>
      <c r="B3250" t="s">
        <v>454</v>
      </c>
      <c r="C3250">
        <v>43</v>
      </c>
      <c r="D3250" s="1">
        <v>44032.583414351851</v>
      </c>
      <c r="E3250" t="s">
        <v>10169</v>
      </c>
      <c r="F3250" t="s">
        <v>666</v>
      </c>
      <c r="G3250" t="s">
        <v>10166</v>
      </c>
      <c r="H3250" t="s">
        <v>667</v>
      </c>
      <c r="I3250" t="s">
        <v>3432</v>
      </c>
      <c r="J3250">
        <v>43</v>
      </c>
      <c r="K3250">
        <f>43-670-308-150</f>
        <v>-1085</v>
      </c>
      <c r="L3250" t="s">
        <v>10170</v>
      </c>
      <c r="M3250" t="s">
        <v>10171</v>
      </c>
      <c r="N3250" t="s">
        <v>213</v>
      </c>
      <c r="O3250" t="s">
        <v>28</v>
      </c>
      <c r="P3250" t="s">
        <v>461</v>
      </c>
      <c r="Q3250">
        <v>52</v>
      </c>
      <c r="R3250">
        <v>4.9391999999999996</v>
      </c>
    </row>
    <row r="3251" spans="1:18" x14ac:dyDescent="0.2">
      <c r="A3251" t="s">
        <v>663</v>
      </c>
      <c r="B3251" t="s">
        <v>2263</v>
      </c>
      <c r="C3251">
        <v>47</v>
      </c>
      <c r="D3251" s="1">
        <v>44033.636956018519</v>
      </c>
      <c r="E3251" t="s">
        <v>10172</v>
      </c>
      <c r="F3251" t="s">
        <v>666</v>
      </c>
      <c r="G3251" t="s">
        <v>10173</v>
      </c>
      <c r="H3251" t="s">
        <v>667</v>
      </c>
      <c r="I3251" t="s">
        <v>6185</v>
      </c>
      <c r="J3251">
        <v>47</v>
      </c>
      <c r="K3251">
        <f>47-800-62-628</f>
        <v>-1443</v>
      </c>
      <c r="L3251" t="s">
        <v>10174</v>
      </c>
      <c r="M3251" t="s">
        <v>10175</v>
      </c>
      <c r="N3251" t="s">
        <v>2475</v>
      </c>
      <c r="O3251" t="s">
        <v>28</v>
      </c>
      <c r="P3251" t="s">
        <v>2268</v>
      </c>
      <c r="Q3251">
        <v>44</v>
      </c>
      <c r="R3251">
        <v>-79.362300000000005</v>
      </c>
    </row>
    <row r="3252" spans="1:18" x14ac:dyDescent="0.2">
      <c r="A3252" t="s">
        <v>270</v>
      </c>
      <c r="B3252" t="s">
        <v>440</v>
      </c>
      <c r="C3252">
        <v>1</v>
      </c>
      <c r="D3252" s="1">
        <v>44112.759722222225</v>
      </c>
      <c r="E3252" t="s">
        <v>10176</v>
      </c>
      <c r="F3252" t="s">
        <v>273</v>
      </c>
      <c r="G3252" t="s">
        <v>10177</v>
      </c>
      <c r="H3252" t="s">
        <v>275</v>
      </c>
      <c r="I3252" t="s">
        <v>29</v>
      </c>
      <c r="J3252">
        <v>1</v>
      </c>
      <c r="K3252">
        <f>1-888-334-1316</f>
        <v>-2537</v>
      </c>
      <c r="L3252" t="s">
        <v>10178</v>
      </c>
      <c r="M3252" t="s">
        <v>10179</v>
      </c>
      <c r="N3252" t="s">
        <v>278</v>
      </c>
      <c r="O3252" t="s">
        <v>28</v>
      </c>
      <c r="P3252" t="s">
        <v>29</v>
      </c>
      <c r="Q3252">
        <v>39</v>
      </c>
      <c r="R3252">
        <v>-77.487399999999994</v>
      </c>
    </row>
    <row r="3253" spans="1:18" x14ac:dyDescent="0.2">
      <c r="A3253" t="s">
        <v>270</v>
      </c>
      <c r="B3253" t="s">
        <v>440</v>
      </c>
      <c r="C3253">
        <v>1</v>
      </c>
      <c r="D3253" s="1">
        <v>44106.935335648152</v>
      </c>
      <c r="E3253" t="s">
        <v>10180</v>
      </c>
      <c r="F3253" t="s">
        <v>273</v>
      </c>
      <c r="G3253" t="s">
        <v>10177</v>
      </c>
      <c r="H3253" t="s">
        <v>275</v>
      </c>
      <c r="I3253" t="s">
        <v>29</v>
      </c>
      <c r="J3253">
        <v>1</v>
      </c>
      <c r="K3253">
        <f>1-888-278-9830</f>
        <v>-10995</v>
      </c>
      <c r="L3253" t="s">
        <v>10181</v>
      </c>
      <c r="M3253" t="s">
        <v>10182</v>
      </c>
      <c r="N3253" t="s">
        <v>278</v>
      </c>
      <c r="O3253" t="s">
        <v>28</v>
      </c>
      <c r="P3253" t="s">
        <v>29</v>
      </c>
      <c r="Q3253">
        <v>39</v>
      </c>
      <c r="R3253">
        <v>-77.487399999999994</v>
      </c>
    </row>
    <row r="3254" spans="1:18" x14ac:dyDescent="0.2">
      <c r="A3254" t="s">
        <v>270</v>
      </c>
      <c r="B3254" t="s">
        <v>440</v>
      </c>
      <c r="C3254">
        <v>1</v>
      </c>
      <c r="D3254" s="1">
        <v>44106.82403935185</v>
      </c>
      <c r="E3254" t="s">
        <v>10183</v>
      </c>
      <c r="F3254" t="s">
        <v>273</v>
      </c>
      <c r="G3254" t="s">
        <v>10177</v>
      </c>
      <c r="H3254" t="s">
        <v>275</v>
      </c>
      <c r="I3254" t="s">
        <v>29</v>
      </c>
      <c r="J3254">
        <v>1</v>
      </c>
      <c r="K3254">
        <f>1-888-304-9499</f>
        <v>-10690</v>
      </c>
      <c r="L3254" t="s">
        <v>10184</v>
      </c>
      <c r="M3254" t="s">
        <v>10185</v>
      </c>
      <c r="N3254" t="s">
        <v>278</v>
      </c>
      <c r="O3254" t="s">
        <v>28</v>
      </c>
      <c r="P3254" t="s">
        <v>29</v>
      </c>
      <c r="Q3254">
        <v>39</v>
      </c>
      <c r="R3254">
        <v>-77.487399999999994</v>
      </c>
    </row>
    <row r="3255" spans="1:18" x14ac:dyDescent="0.2">
      <c r="A3255" t="s">
        <v>270</v>
      </c>
      <c r="B3255" t="s">
        <v>440</v>
      </c>
      <c r="C3255">
        <v>1</v>
      </c>
      <c r="D3255" s="1">
        <v>44103.762048611112</v>
      </c>
      <c r="E3255" t="s">
        <v>10186</v>
      </c>
      <c r="F3255" t="s">
        <v>273</v>
      </c>
      <c r="G3255" t="s">
        <v>10177</v>
      </c>
      <c r="H3255" t="s">
        <v>275</v>
      </c>
      <c r="I3255" t="s">
        <v>29</v>
      </c>
      <c r="J3255">
        <v>1</v>
      </c>
      <c r="K3255">
        <f>1-888-210-6654</f>
        <v>-7751</v>
      </c>
      <c r="L3255" t="s">
        <v>10187</v>
      </c>
      <c r="M3255" t="s">
        <v>10188</v>
      </c>
      <c r="N3255" t="s">
        <v>278</v>
      </c>
      <c r="O3255" t="s">
        <v>134</v>
      </c>
      <c r="P3255" t="s">
        <v>29</v>
      </c>
      <c r="Q3255">
        <v>39</v>
      </c>
      <c r="R3255">
        <v>-77.487399999999994</v>
      </c>
    </row>
    <row r="3256" spans="1:18" x14ac:dyDescent="0.2">
      <c r="A3256" t="s">
        <v>270</v>
      </c>
      <c r="B3256" t="s">
        <v>440</v>
      </c>
      <c r="C3256">
        <v>1</v>
      </c>
      <c r="D3256" s="1">
        <v>44102.822708333333</v>
      </c>
      <c r="E3256" t="s">
        <v>10189</v>
      </c>
      <c r="F3256" t="s">
        <v>273</v>
      </c>
      <c r="G3256" t="s">
        <v>10177</v>
      </c>
      <c r="H3256" t="s">
        <v>275</v>
      </c>
      <c r="I3256" t="s">
        <v>29</v>
      </c>
      <c r="J3256">
        <v>1</v>
      </c>
      <c r="K3256">
        <f>1-888-228-8619</f>
        <v>-9734</v>
      </c>
      <c r="L3256" t="s">
        <v>10190</v>
      </c>
      <c r="M3256" t="s">
        <v>10191</v>
      </c>
      <c r="N3256" t="s">
        <v>278</v>
      </c>
      <c r="O3256" t="s">
        <v>28</v>
      </c>
      <c r="P3256" t="s">
        <v>29</v>
      </c>
      <c r="Q3256">
        <v>39</v>
      </c>
      <c r="R3256">
        <v>-77.487399999999994</v>
      </c>
    </row>
    <row r="3257" spans="1:18" x14ac:dyDescent="0.2">
      <c r="A3257" t="s">
        <v>270</v>
      </c>
      <c r="B3257" t="s">
        <v>440</v>
      </c>
      <c r="C3257">
        <v>1</v>
      </c>
      <c r="D3257" s="1">
        <v>44099.35832175926</v>
      </c>
      <c r="E3257" t="s">
        <v>10192</v>
      </c>
      <c r="F3257" t="s">
        <v>273</v>
      </c>
      <c r="G3257" t="s">
        <v>10177</v>
      </c>
      <c r="H3257" t="s">
        <v>275</v>
      </c>
      <c r="I3257" t="s">
        <v>29</v>
      </c>
      <c r="J3257">
        <v>1</v>
      </c>
      <c r="K3257">
        <f>1-888-254-1267</f>
        <v>-2408</v>
      </c>
      <c r="L3257" t="s">
        <v>10193</v>
      </c>
      <c r="M3257" t="s">
        <v>10194</v>
      </c>
      <c r="N3257" t="s">
        <v>278</v>
      </c>
      <c r="O3257" t="s">
        <v>28</v>
      </c>
      <c r="P3257" t="s">
        <v>29</v>
      </c>
      <c r="Q3257">
        <v>39</v>
      </c>
      <c r="R3257">
        <v>-77.487399999999994</v>
      </c>
    </row>
    <row r="3258" spans="1:18" x14ac:dyDescent="0.2">
      <c r="A3258" t="s">
        <v>270</v>
      </c>
      <c r="B3258" t="s">
        <v>440</v>
      </c>
      <c r="C3258">
        <v>1</v>
      </c>
      <c r="D3258" s="1">
        <v>44098.855347222219</v>
      </c>
      <c r="E3258" t="s">
        <v>10195</v>
      </c>
      <c r="F3258" t="s">
        <v>273</v>
      </c>
      <c r="G3258" t="s">
        <v>10177</v>
      </c>
      <c r="H3258" t="s">
        <v>275</v>
      </c>
      <c r="I3258" t="s">
        <v>29</v>
      </c>
      <c r="J3258">
        <v>1</v>
      </c>
      <c r="K3258">
        <f>1-888-254-1267</f>
        <v>-2408</v>
      </c>
      <c r="L3258" t="s">
        <v>10196</v>
      </c>
      <c r="M3258" t="s">
        <v>10197</v>
      </c>
      <c r="N3258" t="s">
        <v>278</v>
      </c>
      <c r="O3258" t="s">
        <v>28</v>
      </c>
      <c r="P3258" t="s">
        <v>29</v>
      </c>
      <c r="Q3258">
        <v>39</v>
      </c>
      <c r="R3258">
        <v>-77.487399999999994</v>
      </c>
    </row>
    <row r="3259" spans="1:18" x14ac:dyDescent="0.2">
      <c r="A3259" t="s">
        <v>270</v>
      </c>
      <c r="B3259" t="s">
        <v>440</v>
      </c>
      <c r="C3259">
        <v>1</v>
      </c>
      <c r="D3259" s="1">
        <v>44095.78460648148</v>
      </c>
      <c r="E3259" t="s">
        <v>10198</v>
      </c>
      <c r="F3259" t="s">
        <v>273</v>
      </c>
      <c r="G3259" t="s">
        <v>10177</v>
      </c>
      <c r="H3259" t="s">
        <v>275</v>
      </c>
      <c r="I3259" t="s">
        <v>29</v>
      </c>
      <c r="J3259">
        <v>1</v>
      </c>
      <c r="K3259">
        <f>1-844-301-8222</f>
        <v>-9366</v>
      </c>
      <c r="L3259" t="s">
        <v>10199</v>
      </c>
      <c r="M3259" t="s">
        <v>10200</v>
      </c>
      <c r="N3259" t="s">
        <v>278</v>
      </c>
      <c r="O3259" t="s">
        <v>28</v>
      </c>
      <c r="P3259" t="s">
        <v>29</v>
      </c>
      <c r="Q3259">
        <v>39</v>
      </c>
      <c r="R3259">
        <v>-77.487399999999994</v>
      </c>
    </row>
    <row r="3260" spans="1:18" x14ac:dyDescent="0.2">
      <c r="A3260" t="s">
        <v>270</v>
      </c>
      <c r="B3260" t="s">
        <v>440</v>
      </c>
      <c r="C3260">
        <v>1</v>
      </c>
      <c r="D3260" s="1">
        <v>44032.787430555552</v>
      </c>
      <c r="E3260" t="s">
        <v>10201</v>
      </c>
      <c r="F3260" t="s">
        <v>273</v>
      </c>
      <c r="G3260" t="s">
        <v>10177</v>
      </c>
      <c r="H3260" t="s">
        <v>275</v>
      </c>
      <c r="I3260" t="s">
        <v>29</v>
      </c>
      <c r="J3260">
        <v>1</v>
      </c>
      <c r="K3260">
        <f>1-866-734-76</f>
        <v>-1675</v>
      </c>
      <c r="L3260" t="s">
        <v>10202</v>
      </c>
      <c r="M3260" t="s">
        <v>10203</v>
      </c>
      <c r="N3260" t="s">
        <v>278</v>
      </c>
      <c r="O3260" t="s">
        <v>28</v>
      </c>
      <c r="P3260" t="s">
        <v>29</v>
      </c>
      <c r="Q3260">
        <v>39</v>
      </c>
      <c r="R3260">
        <v>-77.487399999999994</v>
      </c>
    </row>
    <row r="3261" spans="1:18" x14ac:dyDescent="0.2">
      <c r="A3261" t="s">
        <v>270</v>
      </c>
      <c r="B3261" t="s">
        <v>440</v>
      </c>
      <c r="C3261">
        <v>1</v>
      </c>
      <c r="D3261" s="1">
        <v>44099.358298611114</v>
      </c>
      <c r="E3261" t="s">
        <v>10204</v>
      </c>
      <c r="F3261" t="s">
        <v>273</v>
      </c>
      <c r="G3261" t="s">
        <v>10205</v>
      </c>
      <c r="H3261" t="s">
        <v>275</v>
      </c>
      <c r="I3261" t="s">
        <v>29</v>
      </c>
      <c r="J3261">
        <v>1</v>
      </c>
      <c r="K3261">
        <f>1-888-254-1267</f>
        <v>-2408</v>
      </c>
      <c r="L3261" t="s">
        <v>10206</v>
      </c>
      <c r="M3261" t="s">
        <v>10207</v>
      </c>
      <c r="N3261" t="s">
        <v>278</v>
      </c>
      <c r="O3261" t="s">
        <v>28</v>
      </c>
      <c r="P3261" t="s">
        <v>29</v>
      </c>
      <c r="Q3261">
        <v>39</v>
      </c>
      <c r="R3261">
        <v>-77.487399999999994</v>
      </c>
    </row>
    <row r="3262" spans="1:18" x14ac:dyDescent="0.2">
      <c r="A3262" t="s">
        <v>270</v>
      </c>
      <c r="B3262" t="s">
        <v>440</v>
      </c>
      <c r="C3262">
        <v>1</v>
      </c>
      <c r="D3262" s="1">
        <v>44096.366643518515</v>
      </c>
      <c r="E3262" t="s">
        <v>10208</v>
      </c>
      <c r="F3262" t="s">
        <v>273</v>
      </c>
      <c r="G3262" t="s">
        <v>10205</v>
      </c>
      <c r="H3262" t="s">
        <v>275</v>
      </c>
      <c r="I3262" t="s">
        <v>29</v>
      </c>
      <c r="J3262">
        <v>1</v>
      </c>
      <c r="K3262">
        <f>1-844-309-2655</f>
        <v>-3807</v>
      </c>
      <c r="L3262" t="s">
        <v>10209</v>
      </c>
      <c r="M3262" t="s">
        <v>10210</v>
      </c>
      <c r="N3262" t="s">
        <v>278</v>
      </c>
      <c r="O3262" t="s">
        <v>28</v>
      </c>
      <c r="P3262" t="s">
        <v>29</v>
      </c>
      <c r="Q3262">
        <v>39</v>
      </c>
      <c r="R3262">
        <v>-77.487399999999994</v>
      </c>
    </row>
    <row r="3263" spans="1:18" x14ac:dyDescent="0.2">
      <c r="A3263" t="s">
        <v>270</v>
      </c>
      <c r="B3263" t="s">
        <v>440</v>
      </c>
      <c r="C3263">
        <v>1</v>
      </c>
      <c r="D3263" s="1">
        <v>44090.991851851853</v>
      </c>
      <c r="E3263" t="s">
        <v>10211</v>
      </c>
      <c r="F3263" t="s">
        <v>273</v>
      </c>
      <c r="G3263" t="s">
        <v>10205</v>
      </c>
      <c r="H3263" t="s">
        <v>275</v>
      </c>
      <c r="I3263" t="s">
        <v>29</v>
      </c>
      <c r="J3263">
        <v>1</v>
      </c>
      <c r="K3263">
        <f>1-844-242-3148</f>
        <v>-4233</v>
      </c>
      <c r="L3263" t="s">
        <v>10212</v>
      </c>
      <c r="M3263" t="s">
        <v>10213</v>
      </c>
      <c r="N3263" t="s">
        <v>278</v>
      </c>
      <c r="O3263" t="s">
        <v>28</v>
      </c>
      <c r="P3263" t="s">
        <v>29</v>
      </c>
      <c r="Q3263">
        <v>39</v>
      </c>
      <c r="R3263">
        <v>-77.487399999999994</v>
      </c>
    </row>
    <row r="3264" spans="1:18" x14ac:dyDescent="0.2">
      <c r="A3264" t="s">
        <v>270</v>
      </c>
      <c r="B3264" t="s">
        <v>440</v>
      </c>
      <c r="C3264">
        <v>1</v>
      </c>
      <c r="D3264" s="1">
        <v>44090.762731481482</v>
      </c>
      <c r="E3264" t="s">
        <v>10214</v>
      </c>
      <c r="F3264" t="s">
        <v>273</v>
      </c>
      <c r="G3264" t="s">
        <v>10205</v>
      </c>
      <c r="H3264" t="s">
        <v>275</v>
      </c>
      <c r="I3264" t="s">
        <v>29</v>
      </c>
      <c r="J3264">
        <v>1</v>
      </c>
      <c r="K3264">
        <f>1-844-243-4064</f>
        <v>-5150</v>
      </c>
      <c r="L3264" t="s">
        <v>10215</v>
      </c>
      <c r="M3264" t="s">
        <v>10216</v>
      </c>
      <c r="N3264" t="s">
        <v>278</v>
      </c>
      <c r="O3264" t="s">
        <v>28</v>
      </c>
      <c r="P3264" t="s">
        <v>29</v>
      </c>
      <c r="Q3264">
        <v>39</v>
      </c>
      <c r="R3264">
        <v>-77.487399999999994</v>
      </c>
    </row>
    <row r="3265" spans="1:18" x14ac:dyDescent="0.2">
      <c r="A3265" t="s">
        <v>270</v>
      </c>
      <c r="B3265" t="s">
        <v>440</v>
      </c>
      <c r="C3265">
        <v>1</v>
      </c>
      <c r="D3265" s="1">
        <v>44089.838784722226</v>
      </c>
      <c r="E3265" t="s">
        <v>10217</v>
      </c>
      <c r="F3265" t="s">
        <v>273</v>
      </c>
      <c r="G3265" t="s">
        <v>10205</v>
      </c>
      <c r="H3265" t="s">
        <v>275</v>
      </c>
      <c r="I3265" t="s">
        <v>29</v>
      </c>
      <c r="J3265">
        <v>1</v>
      </c>
      <c r="K3265">
        <f>1-844-233-1380</f>
        <v>-2456</v>
      </c>
      <c r="L3265" t="s">
        <v>10218</v>
      </c>
      <c r="M3265" t="s">
        <v>10219</v>
      </c>
      <c r="N3265" t="s">
        <v>278</v>
      </c>
      <c r="O3265" t="s">
        <v>28</v>
      </c>
      <c r="P3265" t="s">
        <v>29</v>
      </c>
      <c r="Q3265">
        <v>39</v>
      </c>
      <c r="R3265">
        <v>-77.487399999999994</v>
      </c>
    </row>
    <row r="3266" spans="1:18" x14ac:dyDescent="0.2">
      <c r="A3266" t="s">
        <v>270</v>
      </c>
      <c r="B3266" t="s">
        <v>440</v>
      </c>
      <c r="C3266">
        <v>1</v>
      </c>
      <c r="D3266" s="1">
        <v>44089.431608796294</v>
      </c>
      <c r="E3266" t="s">
        <v>10220</v>
      </c>
      <c r="F3266" t="s">
        <v>273</v>
      </c>
      <c r="G3266" t="s">
        <v>10205</v>
      </c>
      <c r="H3266" t="s">
        <v>275</v>
      </c>
      <c r="I3266" t="s">
        <v>29</v>
      </c>
      <c r="J3266">
        <v>1</v>
      </c>
      <c r="K3266">
        <f>1-844-210-4337</f>
        <v>-5390</v>
      </c>
      <c r="L3266" t="s">
        <v>10221</v>
      </c>
      <c r="M3266" t="s">
        <v>10222</v>
      </c>
      <c r="N3266" t="s">
        <v>278</v>
      </c>
      <c r="O3266" t="s">
        <v>28</v>
      </c>
      <c r="P3266" t="s">
        <v>29</v>
      </c>
      <c r="Q3266">
        <v>39</v>
      </c>
      <c r="R3266">
        <v>-77.487399999999994</v>
      </c>
    </row>
    <row r="3267" spans="1:18" x14ac:dyDescent="0.2">
      <c r="A3267" t="s">
        <v>270</v>
      </c>
      <c r="B3267" t="s">
        <v>440</v>
      </c>
      <c r="C3267">
        <v>1</v>
      </c>
      <c r="D3267" s="1">
        <v>44089.430601851855</v>
      </c>
      <c r="E3267" t="s">
        <v>10223</v>
      </c>
      <c r="F3267" t="s">
        <v>273</v>
      </c>
      <c r="G3267" t="s">
        <v>10205</v>
      </c>
      <c r="H3267" t="s">
        <v>275</v>
      </c>
      <c r="I3267" t="s">
        <v>29</v>
      </c>
      <c r="J3267">
        <v>1</v>
      </c>
      <c r="K3267">
        <f>1-844-210-4337</f>
        <v>-5390</v>
      </c>
      <c r="L3267" t="s">
        <v>10224</v>
      </c>
      <c r="M3267" t="s">
        <v>10225</v>
      </c>
      <c r="N3267" t="s">
        <v>278</v>
      </c>
      <c r="O3267" t="s">
        <v>28</v>
      </c>
      <c r="P3267" t="s">
        <v>29</v>
      </c>
      <c r="Q3267">
        <v>39</v>
      </c>
      <c r="R3267">
        <v>-77.487399999999994</v>
      </c>
    </row>
    <row r="3268" spans="1:18" x14ac:dyDescent="0.2">
      <c r="A3268" t="s">
        <v>270</v>
      </c>
      <c r="B3268" t="s">
        <v>440</v>
      </c>
      <c r="C3268">
        <v>1</v>
      </c>
      <c r="D3268" s="1">
        <v>44088.771817129629</v>
      </c>
      <c r="E3268" t="s">
        <v>10226</v>
      </c>
      <c r="F3268" t="s">
        <v>273</v>
      </c>
      <c r="G3268" t="s">
        <v>10205</v>
      </c>
      <c r="H3268" t="s">
        <v>275</v>
      </c>
      <c r="I3268" t="s">
        <v>29</v>
      </c>
      <c r="J3268">
        <v>1</v>
      </c>
      <c r="K3268">
        <f>1-844-212-7353</f>
        <v>-8408</v>
      </c>
      <c r="L3268" t="s">
        <v>10227</v>
      </c>
      <c r="M3268" t="s">
        <v>10228</v>
      </c>
      <c r="N3268" t="s">
        <v>278</v>
      </c>
      <c r="O3268" t="s">
        <v>28</v>
      </c>
      <c r="P3268" t="s">
        <v>29</v>
      </c>
      <c r="Q3268">
        <v>39</v>
      </c>
      <c r="R3268">
        <v>-77.487399999999994</v>
      </c>
    </row>
    <row r="3269" spans="1:18" x14ac:dyDescent="0.2">
      <c r="A3269" t="s">
        <v>270</v>
      </c>
      <c r="B3269" t="s">
        <v>440</v>
      </c>
      <c r="C3269">
        <v>1</v>
      </c>
      <c r="D3269" s="1">
        <v>44084.782129629632</v>
      </c>
      <c r="E3269" t="s">
        <v>10229</v>
      </c>
      <c r="F3269" t="s">
        <v>273</v>
      </c>
      <c r="G3269" t="s">
        <v>10205</v>
      </c>
      <c r="H3269" t="s">
        <v>275</v>
      </c>
      <c r="I3269" t="s">
        <v>29</v>
      </c>
      <c r="J3269">
        <v>1</v>
      </c>
      <c r="K3269">
        <f>1-888-608-5109</f>
        <v>-6604</v>
      </c>
      <c r="L3269" t="s">
        <v>10230</v>
      </c>
      <c r="M3269" t="s">
        <v>10231</v>
      </c>
      <c r="N3269" t="s">
        <v>278</v>
      </c>
      <c r="O3269" t="s">
        <v>28</v>
      </c>
      <c r="P3269" t="s">
        <v>29</v>
      </c>
      <c r="Q3269">
        <v>39</v>
      </c>
      <c r="R3269">
        <v>-77.487399999999994</v>
      </c>
    </row>
    <row r="3270" spans="1:18" x14ac:dyDescent="0.2">
      <c r="A3270" t="s">
        <v>270</v>
      </c>
      <c r="B3270" t="s">
        <v>440</v>
      </c>
      <c r="C3270">
        <v>1</v>
      </c>
      <c r="D3270" s="1">
        <v>44084.78052083333</v>
      </c>
      <c r="E3270" t="s">
        <v>10232</v>
      </c>
      <c r="F3270" t="s">
        <v>273</v>
      </c>
      <c r="G3270" t="s">
        <v>10205</v>
      </c>
      <c r="H3270" t="s">
        <v>275</v>
      </c>
      <c r="I3270" t="s">
        <v>29</v>
      </c>
      <c r="J3270">
        <v>1</v>
      </c>
      <c r="K3270">
        <f>1-888-608-5109</f>
        <v>-6604</v>
      </c>
      <c r="L3270" t="s">
        <v>10233</v>
      </c>
      <c r="M3270" t="s">
        <v>10234</v>
      </c>
      <c r="N3270" t="s">
        <v>278</v>
      </c>
      <c r="O3270" t="s">
        <v>28</v>
      </c>
      <c r="P3270" t="s">
        <v>29</v>
      </c>
      <c r="Q3270">
        <v>39</v>
      </c>
      <c r="R3270">
        <v>-77.487399999999994</v>
      </c>
    </row>
    <row r="3271" spans="1:18" x14ac:dyDescent="0.2">
      <c r="A3271" t="s">
        <v>270</v>
      </c>
      <c r="B3271" t="s">
        <v>440</v>
      </c>
      <c r="C3271">
        <v>1</v>
      </c>
      <c r="D3271" s="1">
        <v>44083.910069444442</v>
      </c>
      <c r="E3271" t="s">
        <v>10235</v>
      </c>
      <c r="F3271" t="s">
        <v>273</v>
      </c>
      <c r="G3271" t="s">
        <v>10205</v>
      </c>
      <c r="H3271" t="s">
        <v>275</v>
      </c>
      <c r="I3271" t="s">
        <v>29</v>
      </c>
      <c r="J3271">
        <v>1</v>
      </c>
      <c r="K3271">
        <f>1-888-585-4129</f>
        <v>-5601</v>
      </c>
      <c r="L3271" t="s">
        <v>10236</v>
      </c>
      <c r="M3271" t="s">
        <v>10237</v>
      </c>
      <c r="N3271" t="s">
        <v>278</v>
      </c>
      <c r="O3271" t="s">
        <v>28</v>
      </c>
      <c r="P3271" t="s">
        <v>29</v>
      </c>
      <c r="Q3271">
        <v>39</v>
      </c>
      <c r="R3271">
        <v>-77.487399999999994</v>
      </c>
    </row>
    <row r="3272" spans="1:18" x14ac:dyDescent="0.2">
      <c r="A3272" t="s">
        <v>270</v>
      </c>
      <c r="B3272" t="s">
        <v>440</v>
      </c>
      <c r="C3272">
        <v>1</v>
      </c>
      <c r="D3272" s="1">
        <v>44083.84516203704</v>
      </c>
      <c r="E3272" t="s">
        <v>10238</v>
      </c>
      <c r="F3272" t="s">
        <v>273</v>
      </c>
      <c r="G3272" t="s">
        <v>10205</v>
      </c>
      <c r="H3272" t="s">
        <v>275</v>
      </c>
      <c r="I3272" t="s">
        <v>29</v>
      </c>
      <c r="J3272">
        <v>1</v>
      </c>
      <c r="K3272">
        <f>1-888-599-4298</f>
        <v>-5784</v>
      </c>
      <c r="L3272" t="s">
        <v>10239</v>
      </c>
      <c r="M3272" t="s">
        <v>10240</v>
      </c>
      <c r="N3272" t="s">
        <v>278</v>
      </c>
      <c r="O3272" t="s">
        <v>28</v>
      </c>
      <c r="P3272" t="s">
        <v>29</v>
      </c>
      <c r="Q3272">
        <v>39</v>
      </c>
      <c r="R3272">
        <v>-77.487399999999994</v>
      </c>
    </row>
    <row r="3273" spans="1:18" x14ac:dyDescent="0.2">
      <c r="A3273" t="s">
        <v>270</v>
      </c>
      <c r="B3273" t="s">
        <v>440</v>
      </c>
      <c r="C3273">
        <v>1</v>
      </c>
      <c r="D3273" s="1">
        <v>44083.829398148147</v>
      </c>
      <c r="E3273" t="s">
        <v>10241</v>
      </c>
      <c r="F3273" t="s">
        <v>273</v>
      </c>
      <c r="G3273" t="s">
        <v>10205</v>
      </c>
      <c r="H3273" t="s">
        <v>275</v>
      </c>
      <c r="I3273" t="s">
        <v>29</v>
      </c>
      <c r="J3273">
        <v>1</v>
      </c>
      <c r="K3273">
        <f>1-888-592-7014</f>
        <v>-8493</v>
      </c>
      <c r="L3273" t="s">
        <v>10242</v>
      </c>
      <c r="M3273" t="s">
        <v>10243</v>
      </c>
      <c r="N3273" t="s">
        <v>278</v>
      </c>
      <c r="O3273" t="s">
        <v>28</v>
      </c>
      <c r="P3273" t="s">
        <v>29</v>
      </c>
      <c r="Q3273">
        <v>39</v>
      </c>
      <c r="R3273">
        <v>-77.487399999999994</v>
      </c>
    </row>
    <row r="3274" spans="1:18" x14ac:dyDescent="0.2">
      <c r="A3274" t="s">
        <v>270</v>
      </c>
      <c r="B3274" t="s">
        <v>440</v>
      </c>
      <c r="C3274">
        <v>1</v>
      </c>
      <c r="D3274" s="1">
        <v>44083.801249999997</v>
      </c>
      <c r="E3274" t="s">
        <v>10244</v>
      </c>
      <c r="F3274" t="s">
        <v>273</v>
      </c>
      <c r="G3274" t="s">
        <v>10205</v>
      </c>
      <c r="H3274" t="s">
        <v>275</v>
      </c>
      <c r="I3274" t="s">
        <v>29</v>
      </c>
      <c r="J3274">
        <v>1</v>
      </c>
      <c r="K3274">
        <f>1-888-599-5036</f>
        <v>-6522</v>
      </c>
      <c r="L3274" t="s">
        <v>10245</v>
      </c>
      <c r="M3274" t="s">
        <v>10246</v>
      </c>
      <c r="N3274" t="s">
        <v>278</v>
      </c>
      <c r="O3274" t="s">
        <v>28</v>
      </c>
      <c r="P3274" t="s">
        <v>29</v>
      </c>
      <c r="Q3274">
        <v>39</v>
      </c>
      <c r="R3274">
        <v>-77.487399999999994</v>
      </c>
    </row>
    <row r="3275" spans="1:18" x14ac:dyDescent="0.2">
      <c r="A3275" t="s">
        <v>270</v>
      </c>
      <c r="B3275" t="s">
        <v>440</v>
      </c>
      <c r="C3275">
        <v>1</v>
      </c>
      <c r="D3275" s="1">
        <v>44082.947187500002</v>
      </c>
      <c r="E3275" t="s">
        <v>10247</v>
      </c>
      <c r="F3275" t="s">
        <v>273</v>
      </c>
      <c r="G3275" t="s">
        <v>10205</v>
      </c>
      <c r="H3275" t="s">
        <v>275</v>
      </c>
      <c r="I3275" t="s">
        <v>29</v>
      </c>
      <c r="J3275">
        <v>1</v>
      </c>
      <c r="K3275">
        <f>1-888-592-8059</f>
        <v>-9538</v>
      </c>
      <c r="L3275" t="s">
        <v>10248</v>
      </c>
      <c r="M3275" t="s">
        <v>10249</v>
      </c>
      <c r="N3275" t="s">
        <v>278</v>
      </c>
      <c r="O3275" t="s">
        <v>28</v>
      </c>
      <c r="P3275" t="s">
        <v>29</v>
      </c>
      <c r="Q3275">
        <v>39</v>
      </c>
      <c r="R3275">
        <v>-77.487399999999994</v>
      </c>
    </row>
    <row r="3276" spans="1:18" x14ac:dyDescent="0.2">
      <c r="A3276" t="s">
        <v>270</v>
      </c>
      <c r="B3276" t="s">
        <v>440</v>
      </c>
      <c r="C3276">
        <v>1</v>
      </c>
      <c r="D3276" s="1">
        <v>44078.852094907408</v>
      </c>
      <c r="E3276" t="s">
        <v>10250</v>
      </c>
      <c r="F3276" t="s">
        <v>273</v>
      </c>
      <c r="G3276" t="s">
        <v>10205</v>
      </c>
      <c r="H3276" t="s">
        <v>275</v>
      </c>
      <c r="I3276" t="s">
        <v>29</v>
      </c>
      <c r="J3276">
        <v>1</v>
      </c>
      <c r="K3276">
        <f>1-866-754-7703</f>
        <v>-9322</v>
      </c>
      <c r="L3276" t="s">
        <v>10251</v>
      </c>
      <c r="M3276" t="s">
        <v>10252</v>
      </c>
      <c r="N3276" t="s">
        <v>278</v>
      </c>
      <c r="O3276" t="s">
        <v>134</v>
      </c>
      <c r="P3276" t="s">
        <v>29</v>
      </c>
      <c r="Q3276">
        <v>39</v>
      </c>
      <c r="R3276">
        <v>-77.487399999999994</v>
      </c>
    </row>
    <row r="3277" spans="1:18" x14ac:dyDescent="0.2">
      <c r="A3277" t="s">
        <v>270</v>
      </c>
      <c r="B3277" t="s">
        <v>440</v>
      </c>
      <c r="C3277">
        <v>1</v>
      </c>
      <c r="D3277" s="1">
        <v>44078.8515625</v>
      </c>
      <c r="E3277" t="s">
        <v>10253</v>
      </c>
      <c r="F3277" t="s">
        <v>273</v>
      </c>
      <c r="G3277" t="s">
        <v>10205</v>
      </c>
      <c r="H3277" t="s">
        <v>275</v>
      </c>
      <c r="I3277" t="s">
        <v>29</v>
      </c>
      <c r="J3277">
        <v>1</v>
      </c>
      <c r="K3277">
        <f>1-866-754-7703</f>
        <v>-9322</v>
      </c>
      <c r="L3277" t="s">
        <v>10254</v>
      </c>
      <c r="M3277" t="s">
        <v>10255</v>
      </c>
      <c r="N3277" t="s">
        <v>278</v>
      </c>
      <c r="O3277" t="s">
        <v>134</v>
      </c>
      <c r="P3277" t="s">
        <v>29</v>
      </c>
      <c r="Q3277">
        <v>39</v>
      </c>
      <c r="R3277">
        <v>-77.487399999999994</v>
      </c>
    </row>
    <row r="3278" spans="1:18" x14ac:dyDescent="0.2">
      <c r="A3278" t="s">
        <v>270</v>
      </c>
      <c r="B3278" t="s">
        <v>440</v>
      </c>
      <c r="C3278">
        <v>1</v>
      </c>
      <c r="D3278" s="1">
        <v>44078.850416666668</v>
      </c>
      <c r="E3278" t="s">
        <v>10256</v>
      </c>
      <c r="F3278" t="s">
        <v>273</v>
      </c>
      <c r="G3278" t="s">
        <v>10205</v>
      </c>
      <c r="H3278" t="s">
        <v>275</v>
      </c>
      <c r="I3278" t="s">
        <v>29</v>
      </c>
      <c r="J3278">
        <v>1</v>
      </c>
      <c r="K3278">
        <f>1-866-674-6552</f>
        <v>-8091</v>
      </c>
      <c r="L3278" t="s">
        <v>10257</v>
      </c>
      <c r="M3278" t="s">
        <v>10258</v>
      </c>
      <c r="N3278" t="s">
        <v>278</v>
      </c>
      <c r="O3278" t="s">
        <v>134</v>
      </c>
      <c r="P3278" t="s">
        <v>29</v>
      </c>
      <c r="Q3278">
        <v>39</v>
      </c>
      <c r="R3278">
        <v>-77.487399999999994</v>
      </c>
    </row>
    <row r="3279" spans="1:18" x14ac:dyDescent="0.2">
      <c r="A3279" t="s">
        <v>270</v>
      </c>
      <c r="B3279" t="s">
        <v>440</v>
      </c>
      <c r="C3279">
        <v>1</v>
      </c>
      <c r="D3279" s="1">
        <v>44078.848576388889</v>
      </c>
      <c r="E3279" t="s">
        <v>10259</v>
      </c>
      <c r="F3279" t="s">
        <v>273</v>
      </c>
      <c r="G3279" t="s">
        <v>10205</v>
      </c>
      <c r="H3279" t="s">
        <v>275</v>
      </c>
      <c r="I3279" t="s">
        <v>29</v>
      </c>
      <c r="J3279">
        <v>1</v>
      </c>
      <c r="K3279">
        <f>1-866-512-2889</f>
        <v>-4266</v>
      </c>
      <c r="L3279" t="s">
        <v>10260</v>
      </c>
      <c r="M3279" t="s">
        <v>10261</v>
      </c>
      <c r="N3279" t="s">
        <v>278</v>
      </c>
      <c r="O3279" t="s">
        <v>134</v>
      </c>
      <c r="P3279" t="s">
        <v>29</v>
      </c>
      <c r="Q3279">
        <v>39</v>
      </c>
      <c r="R3279">
        <v>-77.487399999999994</v>
      </c>
    </row>
    <row r="3280" spans="1:18" x14ac:dyDescent="0.2">
      <c r="A3280" t="s">
        <v>270</v>
      </c>
      <c r="B3280" t="s">
        <v>440</v>
      </c>
      <c r="C3280">
        <v>1</v>
      </c>
      <c r="D3280" s="1">
        <v>44073.944236111114</v>
      </c>
      <c r="E3280" t="s">
        <v>10262</v>
      </c>
      <c r="F3280" t="s">
        <v>273</v>
      </c>
      <c r="G3280" t="s">
        <v>10205</v>
      </c>
      <c r="H3280" t="s">
        <v>275</v>
      </c>
      <c r="I3280" t="s">
        <v>29</v>
      </c>
      <c r="J3280">
        <v>1</v>
      </c>
      <c r="K3280">
        <f>1-888-417-4066</f>
        <v>-5370</v>
      </c>
      <c r="L3280" t="s">
        <v>10263</v>
      </c>
      <c r="M3280" t="s">
        <v>10264</v>
      </c>
      <c r="N3280" t="s">
        <v>278</v>
      </c>
      <c r="O3280" t="s">
        <v>134</v>
      </c>
      <c r="P3280" t="s">
        <v>29</v>
      </c>
      <c r="Q3280">
        <v>39</v>
      </c>
      <c r="R3280">
        <v>-77.487399999999994</v>
      </c>
    </row>
    <row r="3281" spans="1:18" x14ac:dyDescent="0.2">
      <c r="A3281" t="s">
        <v>270</v>
      </c>
      <c r="B3281" t="s">
        <v>440</v>
      </c>
      <c r="C3281">
        <v>1</v>
      </c>
      <c r="D3281" s="1">
        <v>44073.942071759258</v>
      </c>
      <c r="E3281" t="s">
        <v>10265</v>
      </c>
      <c r="F3281" t="s">
        <v>273</v>
      </c>
      <c r="G3281" t="s">
        <v>10205</v>
      </c>
      <c r="H3281" t="s">
        <v>275</v>
      </c>
      <c r="I3281" t="s">
        <v>29</v>
      </c>
      <c r="J3281">
        <v>1</v>
      </c>
      <c r="K3281">
        <f>1-888-690-903</f>
        <v>-2480</v>
      </c>
      <c r="L3281" t="s">
        <v>10266</v>
      </c>
      <c r="M3281" t="s">
        <v>10267</v>
      </c>
      <c r="N3281" t="s">
        <v>278</v>
      </c>
      <c r="O3281" t="s">
        <v>134</v>
      </c>
      <c r="P3281" t="s">
        <v>29</v>
      </c>
      <c r="Q3281">
        <v>39</v>
      </c>
      <c r="R3281">
        <v>-77.487399999999994</v>
      </c>
    </row>
    <row r="3282" spans="1:18" x14ac:dyDescent="0.2">
      <c r="A3282" t="s">
        <v>270</v>
      </c>
      <c r="B3282" t="s">
        <v>440</v>
      </c>
      <c r="C3282">
        <v>1</v>
      </c>
      <c r="D3282" s="1">
        <v>44073.940949074073</v>
      </c>
      <c r="E3282" t="s">
        <v>10268</v>
      </c>
      <c r="F3282" t="s">
        <v>273</v>
      </c>
      <c r="G3282" t="s">
        <v>10205</v>
      </c>
      <c r="H3282" t="s">
        <v>275</v>
      </c>
      <c r="I3282" t="s">
        <v>29</v>
      </c>
      <c r="J3282">
        <v>1</v>
      </c>
      <c r="K3282">
        <f>1-888-417-4076</f>
        <v>-5380</v>
      </c>
      <c r="L3282" t="s">
        <v>10269</v>
      </c>
      <c r="M3282" t="s">
        <v>10270</v>
      </c>
      <c r="N3282" t="s">
        <v>278</v>
      </c>
      <c r="O3282" t="s">
        <v>134</v>
      </c>
      <c r="P3282" t="s">
        <v>29</v>
      </c>
      <c r="Q3282">
        <v>39</v>
      </c>
      <c r="R3282">
        <v>-77.487399999999994</v>
      </c>
    </row>
    <row r="3283" spans="1:18" x14ac:dyDescent="0.2">
      <c r="A3283" t="s">
        <v>270</v>
      </c>
      <c r="B3283" t="s">
        <v>440</v>
      </c>
      <c r="C3283">
        <v>1</v>
      </c>
      <c r="D3283" s="1">
        <v>44073.939328703702</v>
      </c>
      <c r="E3283" t="s">
        <v>10271</v>
      </c>
      <c r="F3283" t="s">
        <v>273</v>
      </c>
      <c r="G3283" t="s">
        <v>10205</v>
      </c>
      <c r="H3283" t="s">
        <v>275</v>
      </c>
      <c r="I3283" t="s">
        <v>29</v>
      </c>
      <c r="J3283">
        <v>1</v>
      </c>
      <c r="K3283">
        <f>1-888-521-2485</f>
        <v>-3893</v>
      </c>
      <c r="L3283" t="s">
        <v>10272</v>
      </c>
      <c r="M3283" t="s">
        <v>10273</v>
      </c>
      <c r="N3283" t="s">
        <v>278</v>
      </c>
      <c r="O3283" t="s">
        <v>134</v>
      </c>
      <c r="P3283" t="s">
        <v>29</v>
      </c>
      <c r="Q3283">
        <v>39</v>
      </c>
      <c r="R3283">
        <v>-77.487399999999994</v>
      </c>
    </row>
    <row r="3284" spans="1:18" x14ac:dyDescent="0.2">
      <c r="A3284" t="s">
        <v>270</v>
      </c>
      <c r="B3284" t="s">
        <v>440</v>
      </c>
      <c r="C3284">
        <v>1</v>
      </c>
      <c r="D3284" s="1">
        <v>44073.929965277777</v>
      </c>
      <c r="E3284" t="s">
        <v>10274</v>
      </c>
      <c r="F3284" t="s">
        <v>273</v>
      </c>
      <c r="G3284" t="s">
        <v>10205</v>
      </c>
      <c r="H3284" t="s">
        <v>275</v>
      </c>
      <c r="I3284" t="s">
        <v>29</v>
      </c>
      <c r="J3284">
        <v>1</v>
      </c>
      <c r="K3284">
        <f>1-888-534-316</f>
        <v>-1737</v>
      </c>
      <c r="L3284" t="s">
        <v>10275</v>
      </c>
      <c r="M3284" t="s">
        <v>10276</v>
      </c>
      <c r="N3284" t="s">
        <v>278</v>
      </c>
      <c r="O3284" t="s">
        <v>134</v>
      </c>
      <c r="P3284" t="s">
        <v>29</v>
      </c>
      <c r="Q3284">
        <v>39</v>
      </c>
      <c r="R3284">
        <v>-77.487399999999994</v>
      </c>
    </row>
    <row r="3285" spans="1:18" x14ac:dyDescent="0.2">
      <c r="A3285" t="s">
        <v>270</v>
      </c>
      <c r="B3285" t="s">
        <v>440</v>
      </c>
      <c r="C3285">
        <v>1</v>
      </c>
      <c r="D3285" s="1">
        <v>44073.928912037038</v>
      </c>
      <c r="E3285" t="s">
        <v>10277</v>
      </c>
      <c r="F3285" t="s">
        <v>273</v>
      </c>
      <c r="G3285" t="s">
        <v>10205</v>
      </c>
      <c r="H3285" t="s">
        <v>275</v>
      </c>
      <c r="I3285" t="s">
        <v>29</v>
      </c>
      <c r="J3285">
        <v>1</v>
      </c>
      <c r="K3285">
        <f>1-888-530-2072</f>
        <v>-3489</v>
      </c>
      <c r="L3285" t="s">
        <v>10278</v>
      </c>
      <c r="M3285" t="s">
        <v>10279</v>
      </c>
      <c r="N3285" t="s">
        <v>278</v>
      </c>
      <c r="O3285" t="s">
        <v>134</v>
      </c>
      <c r="P3285" t="s">
        <v>29</v>
      </c>
      <c r="Q3285">
        <v>39</v>
      </c>
      <c r="R3285">
        <v>-77.487399999999994</v>
      </c>
    </row>
    <row r="3286" spans="1:18" x14ac:dyDescent="0.2">
      <c r="A3286" t="s">
        <v>270</v>
      </c>
      <c r="B3286" t="s">
        <v>440</v>
      </c>
      <c r="C3286">
        <v>1</v>
      </c>
      <c r="D3286" s="1">
        <v>44073.061064814814</v>
      </c>
      <c r="E3286" t="s">
        <v>10280</v>
      </c>
      <c r="F3286" t="s">
        <v>273</v>
      </c>
      <c r="G3286" t="s">
        <v>10205</v>
      </c>
      <c r="H3286" t="s">
        <v>275</v>
      </c>
      <c r="I3286" t="s">
        <v>29</v>
      </c>
      <c r="J3286">
        <v>1</v>
      </c>
      <c r="K3286">
        <f>1-888-803-832</f>
        <v>-2522</v>
      </c>
      <c r="L3286" t="s">
        <v>10281</v>
      </c>
      <c r="M3286" t="s">
        <v>10282</v>
      </c>
      <c r="N3286" t="s">
        <v>278</v>
      </c>
      <c r="O3286" t="s">
        <v>134</v>
      </c>
      <c r="P3286" t="s">
        <v>29</v>
      </c>
      <c r="Q3286">
        <v>39</v>
      </c>
      <c r="R3286">
        <v>-77.487399999999994</v>
      </c>
    </row>
    <row r="3287" spans="1:18" x14ac:dyDescent="0.2">
      <c r="A3287" t="s">
        <v>270</v>
      </c>
      <c r="B3287" t="s">
        <v>440</v>
      </c>
      <c r="C3287">
        <v>1</v>
      </c>
      <c r="D3287" s="1">
        <v>44073.038449074076</v>
      </c>
      <c r="E3287" t="s">
        <v>10283</v>
      </c>
      <c r="F3287" t="s">
        <v>273</v>
      </c>
      <c r="G3287" t="s">
        <v>10205</v>
      </c>
      <c r="H3287" t="s">
        <v>275</v>
      </c>
      <c r="I3287" t="s">
        <v>29</v>
      </c>
      <c r="J3287">
        <v>1</v>
      </c>
      <c r="K3287">
        <f>1-888-541-8493</f>
        <v>-9921</v>
      </c>
      <c r="L3287" t="s">
        <v>10284</v>
      </c>
      <c r="M3287" t="s">
        <v>10285</v>
      </c>
      <c r="N3287" t="s">
        <v>278</v>
      </c>
      <c r="O3287" t="s">
        <v>134</v>
      </c>
      <c r="P3287" t="s">
        <v>29</v>
      </c>
      <c r="Q3287">
        <v>39</v>
      </c>
      <c r="R3287">
        <v>-77.487399999999994</v>
      </c>
    </row>
    <row r="3288" spans="1:18" x14ac:dyDescent="0.2">
      <c r="A3288" t="s">
        <v>270</v>
      </c>
      <c r="B3288" t="s">
        <v>440</v>
      </c>
      <c r="C3288">
        <v>1</v>
      </c>
      <c r="D3288" s="1">
        <v>44073.028043981481</v>
      </c>
      <c r="E3288" t="s">
        <v>10286</v>
      </c>
      <c r="F3288" t="s">
        <v>273</v>
      </c>
      <c r="G3288" t="s">
        <v>10205</v>
      </c>
      <c r="H3288" t="s">
        <v>275</v>
      </c>
      <c r="I3288" t="s">
        <v>29</v>
      </c>
      <c r="J3288">
        <v>1</v>
      </c>
      <c r="K3288">
        <f>1-888-441-3235</f>
        <v>-4563</v>
      </c>
      <c r="L3288" t="s">
        <v>10287</v>
      </c>
      <c r="M3288" t="s">
        <v>10288</v>
      </c>
      <c r="N3288" t="s">
        <v>278</v>
      </c>
      <c r="O3288" t="s">
        <v>134</v>
      </c>
      <c r="P3288" t="s">
        <v>29</v>
      </c>
      <c r="Q3288">
        <v>39</v>
      </c>
      <c r="R3288">
        <v>-77.487399999999994</v>
      </c>
    </row>
    <row r="3289" spans="1:18" x14ac:dyDescent="0.2">
      <c r="A3289" t="s">
        <v>270</v>
      </c>
      <c r="B3289" t="s">
        <v>440</v>
      </c>
      <c r="C3289">
        <v>1</v>
      </c>
      <c r="D3289" s="1">
        <v>44072.86891203704</v>
      </c>
      <c r="E3289" t="s">
        <v>10289</v>
      </c>
      <c r="F3289" t="s">
        <v>273</v>
      </c>
      <c r="G3289" t="s">
        <v>10205</v>
      </c>
      <c r="H3289" t="s">
        <v>275</v>
      </c>
      <c r="I3289" t="s">
        <v>29</v>
      </c>
      <c r="J3289">
        <v>1</v>
      </c>
      <c r="K3289">
        <f>1-888-609-3819</f>
        <v>-5315</v>
      </c>
      <c r="L3289" t="s">
        <v>10290</v>
      </c>
      <c r="M3289" t="s">
        <v>10291</v>
      </c>
      <c r="N3289" t="s">
        <v>278</v>
      </c>
      <c r="O3289" t="s">
        <v>134</v>
      </c>
      <c r="P3289" t="s">
        <v>29</v>
      </c>
      <c r="Q3289">
        <v>39</v>
      </c>
      <c r="R3289">
        <v>-77.487399999999994</v>
      </c>
    </row>
    <row r="3290" spans="1:18" x14ac:dyDescent="0.2">
      <c r="A3290" t="s">
        <v>270</v>
      </c>
      <c r="B3290" t="s">
        <v>440</v>
      </c>
      <c r="C3290">
        <v>1</v>
      </c>
      <c r="D3290" s="1">
        <v>44072.86681712963</v>
      </c>
      <c r="E3290" t="s">
        <v>10292</v>
      </c>
      <c r="F3290" t="s">
        <v>273</v>
      </c>
      <c r="G3290" t="s">
        <v>10205</v>
      </c>
      <c r="H3290" t="s">
        <v>275</v>
      </c>
      <c r="I3290" t="s">
        <v>29</v>
      </c>
      <c r="J3290">
        <v>1</v>
      </c>
      <c r="K3290">
        <f>1-888-604-806</f>
        <v>-2297</v>
      </c>
      <c r="L3290" t="s">
        <v>10293</v>
      </c>
      <c r="M3290" t="s">
        <v>10294</v>
      </c>
      <c r="N3290" t="s">
        <v>278</v>
      </c>
      <c r="O3290" t="s">
        <v>134</v>
      </c>
      <c r="P3290" t="s">
        <v>29</v>
      </c>
      <c r="Q3290">
        <v>39</v>
      </c>
      <c r="R3290">
        <v>-77.487399999999994</v>
      </c>
    </row>
    <row r="3291" spans="1:18" x14ac:dyDescent="0.2">
      <c r="A3291" t="s">
        <v>270</v>
      </c>
      <c r="B3291" t="s">
        <v>440</v>
      </c>
      <c r="C3291">
        <v>1</v>
      </c>
      <c r="D3291" s="1">
        <v>44072.866307870368</v>
      </c>
      <c r="E3291" t="s">
        <v>10295</v>
      </c>
      <c r="F3291" t="s">
        <v>273</v>
      </c>
      <c r="G3291" t="s">
        <v>10205</v>
      </c>
      <c r="H3291" t="s">
        <v>275</v>
      </c>
      <c r="I3291" t="s">
        <v>29</v>
      </c>
      <c r="J3291">
        <v>1</v>
      </c>
      <c r="K3291">
        <f>1-888-604-806</f>
        <v>-2297</v>
      </c>
      <c r="L3291" t="s">
        <v>10296</v>
      </c>
      <c r="M3291" t="s">
        <v>10297</v>
      </c>
      <c r="N3291" t="s">
        <v>278</v>
      </c>
      <c r="O3291" t="s">
        <v>134</v>
      </c>
      <c r="P3291" t="s">
        <v>29</v>
      </c>
      <c r="Q3291">
        <v>39</v>
      </c>
      <c r="R3291">
        <v>-77.487399999999994</v>
      </c>
    </row>
    <row r="3292" spans="1:18" x14ac:dyDescent="0.2">
      <c r="A3292" t="s">
        <v>270</v>
      </c>
      <c r="B3292" t="s">
        <v>440</v>
      </c>
      <c r="C3292">
        <v>1</v>
      </c>
      <c r="D3292" s="1">
        <v>44072.863796296297</v>
      </c>
      <c r="E3292" t="s">
        <v>10298</v>
      </c>
      <c r="F3292" t="s">
        <v>273</v>
      </c>
      <c r="G3292" t="s">
        <v>10205</v>
      </c>
      <c r="H3292" t="s">
        <v>275</v>
      </c>
      <c r="I3292" t="s">
        <v>29</v>
      </c>
      <c r="J3292">
        <v>1</v>
      </c>
      <c r="K3292">
        <f>1-888-658-5805</f>
        <v>-7350</v>
      </c>
      <c r="L3292" t="s">
        <v>10299</v>
      </c>
      <c r="M3292" t="s">
        <v>10300</v>
      </c>
      <c r="N3292" t="s">
        <v>278</v>
      </c>
      <c r="O3292" t="s">
        <v>134</v>
      </c>
      <c r="P3292" t="s">
        <v>29</v>
      </c>
      <c r="Q3292">
        <v>39</v>
      </c>
      <c r="R3292">
        <v>-77.487399999999994</v>
      </c>
    </row>
    <row r="3293" spans="1:18" x14ac:dyDescent="0.2">
      <c r="A3293" t="s">
        <v>270</v>
      </c>
      <c r="B3293" t="s">
        <v>440</v>
      </c>
      <c r="C3293">
        <v>1</v>
      </c>
      <c r="D3293" s="1">
        <v>44072.862800925926</v>
      </c>
      <c r="E3293" t="s">
        <v>10301</v>
      </c>
      <c r="F3293" t="s">
        <v>273</v>
      </c>
      <c r="G3293" t="s">
        <v>10205</v>
      </c>
      <c r="H3293" t="s">
        <v>275</v>
      </c>
      <c r="I3293" t="s">
        <v>29</v>
      </c>
      <c r="J3293">
        <v>1</v>
      </c>
      <c r="K3293">
        <f>1-888-658-5805</f>
        <v>-7350</v>
      </c>
      <c r="L3293" t="s">
        <v>10302</v>
      </c>
      <c r="M3293" t="s">
        <v>10303</v>
      </c>
      <c r="N3293" t="s">
        <v>278</v>
      </c>
      <c r="O3293" t="s">
        <v>134</v>
      </c>
      <c r="P3293" t="s">
        <v>29</v>
      </c>
      <c r="Q3293">
        <v>39</v>
      </c>
      <c r="R3293">
        <v>-77.487399999999994</v>
      </c>
    </row>
    <row r="3294" spans="1:18" x14ac:dyDescent="0.2">
      <c r="A3294" t="s">
        <v>270</v>
      </c>
      <c r="B3294" t="s">
        <v>440</v>
      </c>
      <c r="C3294">
        <v>1</v>
      </c>
      <c r="D3294" s="1">
        <v>44071.977083333331</v>
      </c>
      <c r="E3294" t="s">
        <v>10304</v>
      </c>
      <c r="F3294" t="s">
        <v>273</v>
      </c>
      <c r="G3294" t="s">
        <v>10205</v>
      </c>
      <c r="H3294" t="s">
        <v>275</v>
      </c>
      <c r="I3294" t="s">
        <v>29</v>
      </c>
      <c r="J3294">
        <v>1</v>
      </c>
      <c r="K3294">
        <f>1-888-690-842</f>
        <v>-2419</v>
      </c>
      <c r="L3294" t="s">
        <v>10305</v>
      </c>
      <c r="M3294" t="s">
        <v>10306</v>
      </c>
      <c r="N3294" t="s">
        <v>278</v>
      </c>
      <c r="O3294" t="s">
        <v>134</v>
      </c>
      <c r="P3294" t="s">
        <v>29</v>
      </c>
      <c r="Q3294">
        <v>39</v>
      </c>
      <c r="R3294">
        <v>-77.487399999999994</v>
      </c>
    </row>
    <row r="3295" spans="1:18" x14ac:dyDescent="0.2">
      <c r="A3295" t="s">
        <v>270</v>
      </c>
      <c r="B3295" t="s">
        <v>440</v>
      </c>
      <c r="C3295">
        <v>1</v>
      </c>
      <c r="D3295" s="1">
        <v>44071.974270833336</v>
      </c>
      <c r="E3295" t="s">
        <v>10307</v>
      </c>
      <c r="F3295" t="s">
        <v>273</v>
      </c>
      <c r="G3295" t="s">
        <v>10205</v>
      </c>
      <c r="H3295" t="s">
        <v>275</v>
      </c>
      <c r="I3295" t="s">
        <v>29</v>
      </c>
      <c r="J3295">
        <v>1</v>
      </c>
      <c r="K3295">
        <f>1-888-851-676</f>
        <v>-2414</v>
      </c>
      <c r="L3295" t="s">
        <v>10308</v>
      </c>
      <c r="M3295" t="s">
        <v>10309</v>
      </c>
      <c r="N3295" t="s">
        <v>278</v>
      </c>
      <c r="O3295" t="s">
        <v>134</v>
      </c>
      <c r="P3295" t="s">
        <v>29</v>
      </c>
      <c r="Q3295">
        <v>39</v>
      </c>
      <c r="R3295">
        <v>-77.487399999999994</v>
      </c>
    </row>
    <row r="3296" spans="1:18" x14ac:dyDescent="0.2">
      <c r="A3296" t="s">
        <v>270</v>
      </c>
      <c r="B3296" t="s">
        <v>440</v>
      </c>
      <c r="C3296">
        <v>1</v>
      </c>
      <c r="D3296" s="1">
        <v>44071.905543981484</v>
      </c>
      <c r="E3296" t="s">
        <v>10310</v>
      </c>
      <c r="F3296" t="s">
        <v>273</v>
      </c>
      <c r="G3296" t="s">
        <v>10205</v>
      </c>
      <c r="H3296" t="s">
        <v>275</v>
      </c>
      <c r="I3296" t="s">
        <v>29</v>
      </c>
      <c r="J3296">
        <v>1</v>
      </c>
      <c r="K3296">
        <f>1-888-803-850</f>
        <v>-2540</v>
      </c>
      <c r="L3296" t="s">
        <v>10311</v>
      </c>
      <c r="M3296" t="s">
        <v>10312</v>
      </c>
      <c r="N3296" t="s">
        <v>278</v>
      </c>
      <c r="O3296" t="s">
        <v>134</v>
      </c>
      <c r="P3296" t="s">
        <v>29</v>
      </c>
      <c r="Q3296">
        <v>39</v>
      </c>
      <c r="R3296">
        <v>-77.487399999999994</v>
      </c>
    </row>
    <row r="3297" spans="1:18" x14ac:dyDescent="0.2">
      <c r="A3297" t="s">
        <v>270</v>
      </c>
      <c r="B3297" t="s">
        <v>440</v>
      </c>
      <c r="C3297">
        <v>1</v>
      </c>
      <c r="D3297" s="1">
        <v>44071.903622685182</v>
      </c>
      <c r="E3297" t="s">
        <v>10313</v>
      </c>
      <c r="F3297" t="s">
        <v>273</v>
      </c>
      <c r="G3297" t="s">
        <v>10205</v>
      </c>
      <c r="H3297" t="s">
        <v>275</v>
      </c>
      <c r="I3297" t="s">
        <v>29</v>
      </c>
      <c r="J3297">
        <v>1</v>
      </c>
      <c r="K3297">
        <f>1-888-909-1327</f>
        <v>-3123</v>
      </c>
      <c r="L3297" t="s">
        <v>10314</v>
      </c>
      <c r="M3297" t="s">
        <v>10315</v>
      </c>
      <c r="N3297" t="s">
        <v>278</v>
      </c>
      <c r="O3297" t="s">
        <v>134</v>
      </c>
      <c r="P3297" t="s">
        <v>29</v>
      </c>
      <c r="Q3297">
        <v>39</v>
      </c>
      <c r="R3297">
        <v>-77.487399999999994</v>
      </c>
    </row>
    <row r="3298" spans="1:18" x14ac:dyDescent="0.2">
      <c r="A3298" t="s">
        <v>270</v>
      </c>
      <c r="B3298" t="s">
        <v>440</v>
      </c>
      <c r="C3298">
        <v>1</v>
      </c>
      <c r="D3298" s="1">
        <v>44071.417615740742</v>
      </c>
      <c r="E3298" t="s">
        <v>10316</v>
      </c>
      <c r="F3298" t="s">
        <v>273</v>
      </c>
      <c r="G3298" t="s">
        <v>10205</v>
      </c>
      <c r="H3298" t="s">
        <v>275</v>
      </c>
      <c r="I3298" t="s">
        <v>29</v>
      </c>
      <c r="J3298">
        <v>1</v>
      </c>
      <c r="K3298">
        <f>1-888-803-850</f>
        <v>-2540</v>
      </c>
      <c r="L3298" t="s">
        <v>10317</v>
      </c>
      <c r="M3298" t="s">
        <v>10318</v>
      </c>
      <c r="N3298" t="s">
        <v>278</v>
      </c>
      <c r="O3298" t="s">
        <v>134</v>
      </c>
      <c r="P3298" t="s">
        <v>29</v>
      </c>
      <c r="Q3298">
        <v>39</v>
      </c>
      <c r="R3298">
        <v>-77.487399999999994</v>
      </c>
    </row>
    <row r="3299" spans="1:18" x14ac:dyDescent="0.2">
      <c r="A3299" t="s">
        <v>270</v>
      </c>
      <c r="B3299" t="s">
        <v>440</v>
      </c>
      <c r="C3299">
        <v>1</v>
      </c>
      <c r="D3299" s="1">
        <v>44071.415983796294</v>
      </c>
      <c r="E3299" t="s">
        <v>10319</v>
      </c>
      <c r="F3299" t="s">
        <v>273</v>
      </c>
      <c r="G3299" t="s">
        <v>10205</v>
      </c>
      <c r="H3299" t="s">
        <v>275</v>
      </c>
      <c r="I3299" t="s">
        <v>29</v>
      </c>
      <c r="J3299">
        <v>1</v>
      </c>
      <c r="K3299">
        <f>1-888-417-4090</f>
        <v>-5394</v>
      </c>
      <c r="L3299" t="s">
        <v>10320</v>
      </c>
      <c r="M3299" t="s">
        <v>10321</v>
      </c>
      <c r="N3299" t="s">
        <v>278</v>
      </c>
      <c r="O3299" t="s">
        <v>134</v>
      </c>
      <c r="P3299" t="s">
        <v>29</v>
      </c>
      <c r="Q3299">
        <v>39</v>
      </c>
      <c r="R3299">
        <v>-77.487399999999994</v>
      </c>
    </row>
    <row r="3300" spans="1:18" x14ac:dyDescent="0.2">
      <c r="A3300" t="s">
        <v>270</v>
      </c>
      <c r="B3300" t="s">
        <v>440</v>
      </c>
      <c r="C3300">
        <v>1</v>
      </c>
      <c r="D3300" s="1">
        <v>44070.600925925923</v>
      </c>
      <c r="E3300" t="s">
        <v>10322</v>
      </c>
      <c r="F3300" t="s">
        <v>273</v>
      </c>
      <c r="G3300" t="s">
        <v>10205</v>
      </c>
      <c r="H3300" t="s">
        <v>275</v>
      </c>
      <c r="I3300" t="s">
        <v>29</v>
      </c>
      <c r="J3300">
        <v>1</v>
      </c>
      <c r="K3300">
        <f>1-888-527-4189</f>
        <v>-5603</v>
      </c>
      <c r="L3300" t="s">
        <v>10323</v>
      </c>
      <c r="M3300" t="s">
        <v>10324</v>
      </c>
      <c r="N3300" t="s">
        <v>278</v>
      </c>
      <c r="O3300" t="s">
        <v>134</v>
      </c>
      <c r="P3300" t="s">
        <v>29</v>
      </c>
      <c r="Q3300">
        <v>39</v>
      </c>
      <c r="R3300">
        <v>-77.487399999999994</v>
      </c>
    </row>
    <row r="3301" spans="1:18" x14ac:dyDescent="0.2">
      <c r="A3301" t="s">
        <v>270</v>
      </c>
      <c r="B3301" t="s">
        <v>440</v>
      </c>
      <c r="C3301">
        <v>1</v>
      </c>
      <c r="D3301" s="1">
        <v>44070.600428240738</v>
      </c>
      <c r="E3301" t="s">
        <v>10325</v>
      </c>
      <c r="F3301" t="s">
        <v>273</v>
      </c>
      <c r="G3301" t="s">
        <v>10205</v>
      </c>
      <c r="H3301" t="s">
        <v>275</v>
      </c>
      <c r="I3301" t="s">
        <v>29</v>
      </c>
      <c r="J3301">
        <v>1</v>
      </c>
      <c r="K3301">
        <f>1-888-527-4189</f>
        <v>-5603</v>
      </c>
      <c r="L3301" t="s">
        <v>10326</v>
      </c>
      <c r="M3301" t="s">
        <v>10327</v>
      </c>
      <c r="N3301" t="s">
        <v>278</v>
      </c>
      <c r="O3301" t="s">
        <v>134</v>
      </c>
      <c r="P3301" t="s">
        <v>29</v>
      </c>
      <c r="Q3301">
        <v>39</v>
      </c>
      <c r="R3301">
        <v>-77.487399999999994</v>
      </c>
    </row>
    <row r="3302" spans="1:18" x14ac:dyDescent="0.2">
      <c r="A3302" t="s">
        <v>270</v>
      </c>
      <c r="B3302" t="s">
        <v>440</v>
      </c>
      <c r="C3302">
        <v>1</v>
      </c>
      <c r="D3302" s="1">
        <v>44070.599918981483</v>
      </c>
      <c r="E3302" t="s">
        <v>10328</v>
      </c>
      <c r="F3302" t="s">
        <v>273</v>
      </c>
      <c r="G3302" t="s">
        <v>10205</v>
      </c>
      <c r="H3302" t="s">
        <v>275</v>
      </c>
      <c r="I3302" t="s">
        <v>29</v>
      </c>
      <c r="J3302">
        <v>1</v>
      </c>
      <c r="K3302">
        <f>1-888-530-1472</f>
        <v>-2889</v>
      </c>
      <c r="L3302" t="s">
        <v>10329</v>
      </c>
      <c r="M3302" t="s">
        <v>10330</v>
      </c>
      <c r="N3302" t="s">
        <v>278</v>
      </c>
      <c r="O3302" t="s">
        <v>134</v>
      </c>
      <c r="P3302" t="s">
        <v>29</v>
      </c>
      <c r="Q3302">
        <v>39</v>
      </c>
      <c r="R3302">
        <v>-77.487399999999994</v>
      </c>
    </row>
    <row r="3303" spans="1:18" x14ac:dyDescent="0.2">
      <c r="A3303" t="s">
        <v>270</v>
      </c>
      <c r="B3303" t="s">
        <v>440</v>
      </c>
      <c r="C3303">
        <v>1</v>
      </c>
      <c r="D3303" s="1">
        <v>44070.583541666667</v>
      </c>
      <c r="E3303" t="s">
        <v>10331</v>
      </c>
      <c r="F3303" t="s">
        <v>273</v>
      </c>
      <c r="G3303" t="s">
        <v>10205</v>
      </c>
      <c r="H3303" t="s">
        <v>275</v>
      </c>
      <c r="I3303" t="s">
        <v>29</v>
      </c>
      <c r="J3303">
        <v>1</v>
      </c>
      <c r="K3303">
        <f>1-866-672-9693</f>
        <v>-11230</v>
      </c>
      <c r="L3303" t="s">
        <v>10332</v>
      </c>
      <c r="M3303" t="s">
        <v>10333</v>
      </c>
      <c r="N3303" t="s">
        <v>278</v>
      </c>
      <c r="O3303" t="s">
        <v>134</v>
      </c>
      <c r="P3303" t="s">
        <v>29</v>
      </c>
      <c r="Q3303">
        <v>39</v>
      </c>
      <c r="R3303">
        <v>-77.487399999999994</v>
      </c>
    </row>
    <row r="3304" spans="1:18" x14ac:dyDescent="0.2">
      <c r="A3304" t="s">
        <v>270</v>
      </c>
      <c r="B3304" t="s">
        <v>440</v>
      </c>
      <c r="C3304">
        <v>1</v>
      </c>
      <c r="D3304" s="1">
        <v>44070.582013888888</v>
      </c>
      <c r="E3304" t="s">
        <v>10334</v>
      </c>
      <c r="F3304" t="s">
        <v>273</v>
      </c>
      <c r="G3304" t="s">
        <v>10205</v>
      </c>
      <c r="H3304" t="s">
        <v>275</v>
      </c>
      <c r="I3304" t="s">
        <v>29</v>
      </c>
      <c r="J3304">
        <v>1</v>
      </c>
      <c r="K3304">
        <f>1-866-672-9693</f>
        <v>-11230</v>
      </c>
      <c r="L3304" t="s">
        <v>10335</v>
      </c>
      <c r="M3304" t="s">
        <v>10336</v>
      </c>
      <c r="N3304" t="s">
        <v>278</v>
      </c>
      <c r="O3304" t="s">
        <v>134</v>
      </c>
      <c r="P3304" t="s">
        <v>29</v>
      </c>
      <c r="Q3304">
        <v>39</v>
      </c>
      <c r="R3304">
        <v>-77.487399999999994</v>
      </c>
    </row>
    <row r="3305" spans="1:18" x14ac:dyDescent="0.2">
      <c r="A3305" t="s">
        <v>270</v>
      </c>
      <c r="B3305" t="s">
        <v>440</v>
      </c>
      <c r="C3305">
        <v>1</v>
      </c>
      <c r="D3305" s="1">
        <v>44070.581296296295</v>
      </c>
      <c r="E3305" t="s">
        <v>10337</v>
      </c>
      <c r="F3305" t="s">
        <v>273</v>
      </c>
      <c r="G3305" t="s">
        <v>10205</v>
      </c>
      <c r="H3305" t="s">
        <v>275</v>
      </c>
      <c r="I3305" t="s">
        <v>29</v>
      </c>
      <c r="J3305">
        <v>1</v>
      </c>
      <c r="K3305">
        <f>1-866-749-6811</f>
        <v>-8425</v>
      </c>
      <c r="L3305" t="s">
        <v>10338</v>
      </c>
      <c r="M3305" t="s">
        <v>10339</v>
      </c>
      <c r="N3305" t="s">
        <v>278</v>
      </c>
      <c r="O3305" t="s">
        <v>134</v>
      </c>
      <c r="P3305" t="s">
        <v>29</v>
      </c>
      <c r="Q3305">
        <v>39</v>
      </c>
      <c r="R3305">
        <v>-77.487399999999994</v>
      </c>
    </row>
    <row r="3306" spans="1:18" x14ac:dyDescent="0.2">
      <c r="A3306" t="s">
        <v>270</v>
      </c>
      <c r="B3306" t="s">
        <v>440</v>
      </c>
      <c r="C3306">
        <v>1</v>
      </c>
      <c r="D3306" s="1">
        <v>44068.195868055554</v>
      </c>
      <c r="E3306" t="s">
        <v>10340</v>
      </c>
      <c r="F3306" t="s">
        <v>273</v>
      </c>
      <c r="G3306" t="s">
        <v>10205</v>
      </c>
      <c r="H3306" t="s">
        <v>275</v>
      </c>
      <c r="I3306" t="s">
        <v>29</v>
      </c>
      <c r="J3306">
        <v>1</v>
      </c>
      <c r="K3306">
        <f>1-888-530-6238</f>
        <v>-7655</v>
      </c>
      <c r="L3306" t="s">
        <v>10341</v>
      </c>
      <c r="M3306" t="s">
        <v>10342</v>
      </c>
      <c r="N3306" t="s">
        <v>278</v>
      </c>
      <c r="O3306" t="s">
        <v>134</v>
      </c>
      <c r="P3306" t="s">
        <v>29</v>
      </c>
      <c r="Q3306">
        <v>39</v>
      </c>
      <c r="R3306">
        <v>-77.487399999999994</v>
      </c>
    </row>
    <row r="3307" spans="1:18" x14ac:dyDescent="0.2">
      <c r="A3307" t="s">
        <v>270</v>
      </c>
      <c r="B3307" t="s">
        <v>440</v>
      </c>
      <c r="C3307">
        <v>1</v>
      </c>
      <c r="D3307" s="1">
        <v>44068.059513888889</v>
      </c>
      <c r="E3307" t="s">
        <v>10343</v>
      </c>
      <c r="F3307" t="s">
        <v>273</v>
      </c>
      <c r="G3307" t="s">
        <v>10205</v>
      </c>
      <c r="H3307" t="s">
        <v>275</v>
      </c>
      <c r="I3307" t="s">
        <v>29</v>
      </c>
      <c r="J3307">
        <v>1</v>
      </c>
      <c r="K3307">
        <f>1-888-527-5177</f>
        <v>-6591</v>
      </c>
      <c r="L3307" t="s">
        <v>10344</v>
      </c>
      <c r="M3307" t="s">
        <v>10345</v>
      </c>
      <c r="N3307" t="s">
        <v>278</v>
      </c>
      <c r="O3307" t="s">
        <v>28</v>
      </c>
      <c r="P3307" t="s">
        <v>29</v>
      </c>
      <c r="Q3307">
        <v>39</v>
      </c>
      <c r="R3307">
        <v>-77.487399999999994</v>
      </c>
    </row>
    <row r="3308" spans="1:18" x14ac:dyDescent="0.2">
      <c r="A3308" t="s">
        <v>270</v>
      </c>
      <c r="B3308" t="s">
        <v>440</v>
      </c>
      <c r="C3308">
        <v>1</v>
      </c>
      <c r="D3308" s="1">
        <v>44068.033136574071</v>
      </c>
      <c r="E3308" t="s">
        <v>10346</v>
      </c>
      <c r="F3308" t="s">
        <v>273</v>
      </c>
      <c r="G3308" t="s">
        <v>10205</v>
      </c>
      <c r="H3308" t="s">
        <v>275</v>
      </c>
      <c r="I3308" t="s">
        <v>29</v>
      </c>
      <c r="J3308">
        <v>1</v>
      </c>
      <c r="K3308">
        <f>1-888-965-777</f>
        <v>-2629</v>
      </c>
      <c r="L3308" t="s">
        <v>10347</v>
      </c>
      <c r="M3308" t="s">
        <v>10348</v>
      </c>
      <c r="N3308" t="s">
        <v>278</v>
      </c>
      <c r="O3308" t="s">
        <v>28</v>
      </c>
      <c r="P3308" t="s">
        <v>29</v>
      </c>
      <c r="Q3308">
        <v>39</v>
      </c>
      <c r="R3308">
        <v>-77.487399999999994</v>
      </c>
    </row>
    <row r="3309" spans="1:18" x14ac:dyDescent="0.2">
      <c r="A3309" t="s">
        <v>270</v>
      </c>
      <c r="B3309" t="s">
        <v>440</v>
      </c>
      <c r="C3309">
        <v>1</v>
      </c>
      <c r="D3309" s="1">
        <v>44068.027812499997</v>
      </c>
      <c r="E3309" t="s">
        <v>10349</v>
      </c>
      <c r="F3309" t="s">
        <v>273</v>
      </c>
      <c r="G3309" t="s">
        <v>10205</v>
      </c>
      <c r="H3309" t="s">
        <v>275</v>
      </c>
      <c r="I3309" t="s">
        <v>29</v>
      </c>
      <c r="J3309">
        <v>1</v>
      </c>
      <c r="K3309">
        <f>1-888-690-840</f>
        <v>-2417</v>
      </c>
      <c r="L3309" t="s">
        <v>10350</v>
      </c>
      <c r="M3309" t="s">
        <v>10351</v>
      </c>
      <c r="N3309" t="s">
        <v>278</v>
      </c>
      <c r="O3309" t="s">
        <v>28</v>
      </c>
      <c r="P3309" t="s">
        <v>29</v>
      </c>
      <c r="Q3309">
        <v>39</v>
      </c>
      <c r="R3309">
        <v>-77.487399999999994</v>
      </c>
    </row>
    <row r="3310" spans="1:18" x14ac:dyDescent="0.2">
      <c r="A3310" t="s">
        <v>270</v>
      </c>
      <c r="B3310" t="s">
        <v>440</v>
      </c>
      <c r="C3310">
        <v>1</v>
      </c>
      <c r="D3310" s="1">
        <v>44068.026365740741</v>
      </c>
      <c r="E3310" t="s">
        <v>10352</v>
      </c>
      <c r="F3310" t="s">
        <v>273</v>
      </c>
      <c r="G3310" t="s">
        <v>10205</v>
      </c>
      <c r="H3310" t="s">
        <v>275</v>
      </c>
      <c r="I3310" t="s">
        <v>29</v>
      </c>
      <c r="J3310">
        <v>1</v>
      </c>
      <c r="K3310">
        <f>1-888-690-840</f>
        <v>-2417</v>
      </c>
      <c r="L3310" t="s">
        <v>10353</v>
      </c>
      <c r="M3310" t="s">
        <v>10354</v>
      </c>
      <c r="N3310" t="s">
        <v>278</v>
      </c>
      <c r="O3310" t="s">
        <v>28</v>
      </c>
      <c r="P3310" t="s">
        <v>29</v>
      </c>
      <c r="Q3310">
        <v>39</v>
      </c>
      <c r="R3310">
        <v>-77.487399999999994</v>
      </c>
    </row>
    <row r="3311" spans="1:18" x14ac:dyDescent="0.2">
      <c r="A3311" t="s">
        <v>270</v>
      </c>
      <c r="B3311" t="s">
        <v>440</v>
      </c>
      <c r="C3311">
        <v>1</v>
      </c>
      <c r="D3311" s="1">
        <v>44068.023020833331</v>
      </c>
      <c r="E3311" t="s">
        <v>10355</v>
      </c>
      <c r="F3311" t="s">
        <v>273</v>
      </c>
      <c r="G3311" t="s">
        <v>10205</v>
      </c>
      <c r="H3311" t="s">
        <v>275</v>
      </c>
      <c r="I3311" t="s">
        <v>29</v>
      </c>
      <c r="J3311">
        <v>1</v>
      </c>
      <c r="K3311">
        <f>1-888-965-777</f>
        <v>-2629</v>
      </c>
      <c r="L3311" t="s">
        <v>10356</v>
      </c>
      <c r="M3311" t="s">
        <v>10357</v>
      </c>
      <c r="N3311" t="s">
        <v>278</v>
      </c>
      <c r="O3311" t="s">
        <v>28</v>
      </c>
      <c r="P3311" t="s">
        <v>29</v>
      </c>
      <c r="Q3311">
        <v>39</v>
      </c>
      <c r="R3311">
        <v>-77.487399999999994</v>
      </c>
    </row>
    <row r="3312" spans="1:18" x14ac:dyDescent="0.2">
      <c r="A3312" t="s">
        <v>270</v>
      </c>
      <c r="B3312" t="s">
        <v>440</v>
      </c>
      <c r="C3312">
        <v>1</v>
      </c>
      <c r="D3312" s="1">
        <v>44068.02039351852</v>
      </c>
      <c r="E3312" t="s">
        <v>10358</v>
      </c>
      <c r="F3312" t="s">
        <v>273</v>
      </c>
      <c r="G3312" t="s">
        <v>10205</v>
      </c>
      <c r="H3312" t="s">
        <v>275</v>
      </c>
      <c r="I3312" t="s">
        <v>29</v>
      </c>
      <c r="J3312">
        <v>1</v>
      </c>
      <c r="K3312">
        <f>1-888-965-777</f>
        <v>-2629</v>
      </c>
      <c r="L3312" t="s">
        <v>10359</v>
      </c>
      <c r="M3312" t="s">
        <v>10360</v>
      </c>
      <c r="N3312" t="s">
        <v>278</v>
      </c>
      <c r="O3312" t="s">
        <v>28</v>
      </c>
      <c r="P3312" t="s">
        <v>29</v>
      </c>
      <c r="Q3312">
        <v>39</v>
      </c>
      <c r="R3312">
        <v>-77.487399999999994</v>
      </c>
    </row>
    <row r="3313" spans="1:18" x14ac:dyDescent="0.2">
      <c r="A3313" t="s">
        <v>270</v>
      </c>
      <c r="B3313" t="s">
        <v>440</v>
      </c>
      <c r="C3313">
        <v>1</v>
      </c>
      <c r="D3313" s="1">
        <v>44061.694976851853</v>
      </c>
      <c r="E3313" t="s">
        <v>10361</v>
      </c>
      <c r="F3313" t="s">
        <v>273</v>
      </c>
      <c r="G3313" t="s">
        <v>10205</v>
      </c>
      <c r="H3313" t="s">
        <v>275</v>
      </c>
      <c r="I3313" t="s">
        <v>29</v>
      </c>
      <c r="J3313">
        <v>1</v>
      </c>
      <c r="K3313">
        <f>1-888-535-4744</f>
        <v>-6166</v>
      </c>
      <c r="L3313" t="s">
        <v>10362</v>
      </c>
      <c r="M3313" t="s">
        <v>10363</v>
      </c>
      <c r="N3313" t="s">
        <v>278</v>
      </c>
      <c r="O3313" t="s">
        <v>134</v>
      </c>
      <c r="P3313" t="s">
        <v>29</v>
      </c>
      <c r="Q3313">
        <v>39</v>
      </c>
      <c r="R3313">
        <v>-77.487399999999994</v>
      </c>
    </row>
    <row r="3314" spans="1:18" x14ac:dyDescent="0.2">
      <c r="A3314" t="s">
        <v>270</v>
      </c>
      <c r="B3314" t="s">
        <v>440</v>
      </c>
      <c r="C3314">
        <v>1</v>
      </c>
      <c r="D3314" s="1">
        <v>44053.715671296297</v>
      </c>
      <c r="E3314" t="s">
        <v>10364</v>
      </c>
      <c r="F3314" t="s">
        <v>273</v>
      </c>
      <c r="G3314" t="s">
        <v>10205</v>
      </c>
      <c r="H3314" t="s">
        <v>275</v>
      </c>
      <c r="I3314" t="s">
        <v>29</v>
      </c>
      <c r="J3314">
        <v>1</v>
      </c>
      <c r="K3314">
        <f>1-888-527-6035</f>
        <v>-7449</v>
      </c>
      <c r="L3314" t="s">
        <v>10365</v>
      </c>
      <c r="M3314" t="s">
        <v>10366</v>
      </c>
      <c r="N3314" t="s">
        <v>278</v>
      </c>
      <c r="O3314" t="s">
        <v>134</v>
      </c>
      <c r="P3314" t="s">
        <v>29</v>
      </c>
      <c r="Q3314">
        <v>39</v>
      </c>
      <c r="R3314">
        <v>-77.487399999999994</v>
      </c>
    </row>
    <row r="3315" spans="1:18" x14ac:dyDescent="0.2">
      <c r="A3315" t="s">
        <v>270</v>
      </c>
      <c r="B3315" t="s">
        <v>440</v>
      </c>
      <c r="C3315">
        <v>1</v>
      </c>
      <c r="D3315" s="1">
        <v>44045.639178240737</v>
      </c>
      <c r="E3315" t="s">
        <v>10367</v>
      </c>
      <c r="F3315" t="s">
        <v>273</v>
      </c>
      <c r="G3315" t="s">
        <v>10205</v>
      </c>
      <c r="H3315" t="s">
        <v>275</v>
      </c>
      <c r="I3315" t="s">
        <v>29</v>
      </c>
      <c r="J3315">
        <v>1</v>
      </c>
      <c r="K3315">
        <f>1-888-526-717</f>
        <v>-2130</v>
      </c>
      <c r="L3315" t="s">
        <v>10368</v>
      </c>
      <c r="M3315" t="s">
        <v>10369</v>
      </c>
      <c r="N3315" t="s">
        <v>278</v>
      </c>
      <c r="O3315" t="s">
        <v>134</v>
      </c>
      <c r="P3315" t="s">
        <v>29</v>
      </c>
      <c r="Q3315">
        <v>39</v>
      </c>
      <c r="R3315">
        <v>-77.487399999999994</v>
      </c>
    </row>
    <row r="3316" spans="1:18" x14ac:dyDescent="0.2">
      <c r="A3316" t="s">
        <v>270</v>
      </c>
      <c r="B3316" t="s">
        <v>440</v>
      </c>
      <c r="C3316">
        <v>1</v>
      </c>
      <c r="D3316" s="1">
        <v>44045.638298611113</v>
      </c>
      <c r="E3316" t="s">
        <v>10370</v>
      </c>
      <c r="F3316" t="s">
        <v>273</v>
      </c>
      <c r="G3316" t="s">
        <v>10205</v>
      </c>
      <c r="H3316" t="s">
        <v>275</v>
      </c>
      <c r="I3316" t="s">
        <v>29</v>
      </c>
      <c r="J3316">
        <v>1</v>
      </c>
      <c r="K3316">
        <f>1-844-468-274</f>
        <v>-1585</v>
      </c>
      <c r="L3316" t="s">
        <v>10371</v>
      </c>
      <c r="M3316" t="s">
        <v>10372</v>
      </c>
      <c r="N3316" t="s">
        <v>278</v>
      </c>
      <c r="O3316" t="s">
        <v>134</v>
      </c>
      <c r="P3316" t="s">
        <v>29</v>
      </c>
      <c r="Q3316">
        <v>39</v>
      </c>
      <c r="R3316">
        <v>-77.487399999999994</v>
      </c>
    </row>
    <row r="3317" spans="1:18" x14ac:dyDescent="0.2">
      <c r="A3317" t="s">
        <v>270</v>
      </c>
      <c r="B3317" t="s">
        <v>440</v>
      </c>
      <c r="C3317">
        <v>1</v>
      </c>
      <c r="D3317" s="1">
        <v>44045.636493055557</v>
      </c>
      <c r="E3317" t="s">
        <v>10373</v>
      </c>
      <c r="F3317" t="s">
        <v>273</v>
      </c>
      <c r="G3317" t="s">
        <v>10205</v>
      </c>
      <c r="H3317" t="s">
        <v>275</v>
      </c>
      <c r="I3317" t="s">
        <v>29</v>
      </c>
      <c r="J3317">
        <v>1</v>
      </c>
      <c r="K3317">
        <f>1-844-488-3633</f>
        <v>-4964</v>
      </c>
      <c r="L3317" t="s">
        <v>10374</v>
      </c>
      <c r="M3317" t="s">
        <v>10375</v>
      </c>
      <c r="N3317" t="s">
        <v>278</v>
      </c>
      <c r="O3317" t="s">
        <v>134</v>
      </c>
      <c r="P3317" t="s">
        <v>29</v>
      </c>
      <c r="Q3317">
        <v>39</v>
      </c>
      <c r="R3317">
        <v>-77.487399999999994</v>
      </c>
    </row>
    <row r="3318" spans="1:18" x14ac:dyDescent="0.2">
      <c r="A3318" t="s">
        <v>270</v>
      </c>
      <c r="B3318" t="s">
        <v>440</v>
      </c>
      <c r="C3318">
        <v>1</v>
      </c>
      <c r="D3318" s="1">
        <v>44037.024444444447</v>
      </c>
      <c r="E3318" t="s">
        <v>10376</v>
      </c>
      <c r="F3318" t="s">
        <v>273</v>
      </c>
      <c r="G3318" t="s">
        <v>10205</v>
      </c>
      <c r="H3318" t="s">
        <v>275</v>
      </c>
      <c r="I3318" t="s">
        <v>29</v>
      </c>
      <c r="J3318">
        <v>1</v>
      </c>
      <c r="K3318">
        <f>1-888-537-9622</f>
        <v>-11046</v>
      </c>
      <c r="L3318" t="s">
        <v>10377</v>
      </c>
      <c r="M3318" t="s">
        <v>10378</v>
      </c>
      <c r="N3318" t="s">
        <v>278</v>
      </c>
      <c r="O3318" t="s">
        <v>134</v>
      </c>
      <c r="P3318" t="s">
        <v>29</v>
      </c>
      <c r="Q3318">
        <v>39</v>
      </c>
      <c r="R3318">
        <v>-77.487399999999994</v>
      </c>
    </row>
    <row r="3319" spans="1:18" x14ac:dyDescent="0.2">
      <c r="A3319" t="s">
        <v>270</v>
      </c>
      <c r="B3319" t="s">
        <v>440</v>
      </c>
      <c r="C3319">
        <v>1</v>
      </c>
      <c r="D3319" s="1">
        <v>44036.937083333331</v>
      </c>
      <c r="E3319" t="s">
        <v>10379</v>
      </c>
      <c r="F3319" t="s">
        <v>273</v>
      </c>
      <c r="G3319" t="s">
        <v>10205</v>
      </c>
      <c r="H3319" t="s">
        <v>275</v>
      </c>
      <c r="I3319" t="s">
        <v>29</v>
      </c>
      <c r="J3319">
        <v>1</v>
      </c>
      <c r="K3319">
        <f>1-888-539-462</f>
        <v>-1888</v>
      </c>
      <c r="L3319" t="s">
        <v>10380</v>
      </c>
      <c r="M3319" t="s">
        <v>10381</v>
      </c>
      <c r="N3319" t="s">
        <v>278</v>
      </c>
      <c r="O3319" t="s">
        <v>134</v>
      </c>
      <c r="P3319" t="s">
        <v>29</v>
      </c>
      <c r="Q3319">
        <v>39</v>
      </c>
      <c r="R3319">
        <v>-77.487399999999994</v>
      </c>
    </row>
    <row r="3320" spans="1:18" x14ac:dyDescent="0.2">
      <c r="A3320" t="s">
        <v>270</v>
      </c>
      <c r="B3320" t="s">
        <v>440</v>
      </c>
      <c r="C3320">
        <v>1</v>
      </c>
      <c r="D3320" s="1">
        <v>44033.589537037034</v>
      </c>
      <c r="E3320" t="s">
        <v>10382</v>
      </c>
      <c r="F3320" t="s">
        <v>273</v>
      </c>
      <c r="G3320" t="s">
        <v>10205</v>
      </c>
      <c r="H3320" t="s">
        <v>275</v>
      </c>
      <c r="I3320" t="s">
        <v>29</v>
      </c>
      <c r="J3320">
        <v>1</v>
      </c>
      <c r="K3320">
        <f>1-866-643-3511</f>
        <v>-5019</v>
      </c>
      <c r="L3320" t="s">
        <v>10383</v>
      </c>
      <c r="M3320" t="s">
        <v>10384</v>
      </c>
      <c r="N3320" t="s">
        <v>278</v>
      </c>
      <c r="O3320" t="s">
        <v>134</v>
      </c>
      <c r="P3320" t="s">
        <v>29</v>
      </c>
      <c r="Q3320">
        <v>39</v>
      </c>
      <c r="R3320">
        <v>-77.487399999999994</v>
      </c>
    </row>
    <row r="3321" spans="1:18" x14ac:dyDescent="0.2">
      <c r="A3321" t="s">
        <v>270</v>
      </c>
      <c r="B3321" t="s">
        <v>440</v>
      </c>
      <c r="C3321">
        <v>1</v>
      </c>
      <c r="D3321" s="1">
        <v>44033.589270833334</v>
      </c>
      <c r="E3321" t="s">
        <v>10385</v>
      </c>
      <c r="F3321" t="s">
        <v>273</v>
      </c>
      <c r="G3321" t="s">
        <v>10205</v>
      </c>
      <c r="H3321" t="s">
        <v>275</v>
      </c>
      <c r="I3321" t="s">
        <v>29</v>
      </c>
      <c r="J3321">
        <v>1</v>
      </c>
      <c r="K3321">
        <f>1-866-699-6311</f>
        <v>-7875</v>
      </c>
      <c r="L3321" t="s">
        <v>10386</v>
      </c>
      <c r="M3321" t="s">
        <v>10387</v>
      </c>
      <c r="N3321" t="s">
        <v>278</v>
      </c>
      <c r="O3321" t="s">
        <v>134</v>
      </c>
      <c r="P3321" t="s">
        <v>29</v>
      </c>
      <c r="Q3321">
        <v>39</v>
      </c>
      <c r="R3321">
        <v>-77.487399999999994</v>
      </c>
    </row>
    <row r="3322" spans="1:18" x14ac:dyDescent="0.2">
      <c r="A3322" t="s">
        <v>270</v>
      </c>
      <c r="B3322" t="s">
        <v>440</v>
      </c>
      <c r="C3322">
        <v>1</v>
      </c>
      <c r="D3322" s="1">
        <v>44033.476180555554</v>
      </c>
      <c r="E3322" t="s">
        <v>10388</v>
      </c>
      <c r="F3322" t="s">
        <v>273</v>
      </c>
      <c r="G3322" t="s">
        <v>10205</v>
      </c>
      <c r="H3322" t="s">
        <v>275</v>
      </c>
      <c r="I3322" t="s">
        <v>29</v>
      </c>
      <c r="J3322">
        <v>1</v>
      </c>
      <c r="K3322">
        <f>1-866-643-3511</f>
        <v>-5019</v>
      </c>
      <c r="L3322" t="s">
        <v>10389</v>
      </c>
      <c r="M3322" t="s">
        <v>10390</v>
      </c>
      <c r="N3322" t="s">
        <v>278</v>
      </c>
      <c r="O3322" t="s">
        <v>134</v>
      </c>
      <c r="P3322" t="s">
        <v>29</v>
      </c>
      <c r="Q3322">
        <v>39</v>
      </c>
      <c r="R3322">
        <v>-77.487399999999994</v>
      </c>
    </row>
    <row r="3323" spans="1:18" x14ac:dyDescent="0.2">
      <c r="A3323" t="s">
        <v>270</v>
      </c>
      <c r="B3323" t="s">
        <v>440</v>
      </c>
      <c r="C3323">
        <v>1</v>
      </c>
      <c r="D3323" s="1">
        <v>44032.787812499999</v>
      </c>
      <c r="E3323" t="s">
        <v>10391</v>
      </c>
      <c r="F3323" t="s">
        <v>273</v>
      </c>
      <c r="G3323" t="s">
        <v>10205</v>
      </c>
      <c r="H3323" t="s">
        <v>275</v>
      </c>
      <c r="I3323" t="s">
        <v>29</v>
      </c>
      <c r="J3323">
        <v>1</v>
      </c>
      <c r="K3323">
        <f>1-866-785-6618</f>
        <v>-8268</v>
      </c>
      <c r="L3323" t="s">
        <v>10392</v>
      </c>
      <c r="M3323" t="s">
        <v>10393</v>
      </c>
      <c r="N3323" t="s">
        <v>278</v>
      </c>
      <c r="O3323" t="s">
        <v>134</v>
      </c>
      <c r="P3323" t="s">
        <v>29</v>
      </c>
      <c r="Q3323">
        <v>39</v>
      </c>
      <c r="R3323">
        <v>-77.487399999999994</v>
      </c>
    </row>
    <row r="3324" spans="1:18" x14ac:dyDescent="0.2">
      <c r="A3324" t="s">
        <v>270</v>
      </c>
      <c r="B3324" t="s">
        <v>10394</v>
      </c>
      <c r="C3324">
        <v>1</v>
      </c>
      <c r="D3324" s="1">
        <v>44225.818622685183</v>
      </c>
      <c r="E3324" t="s">
        <v>10395</v>
      </c>
      <c r="F3324" t="s">
        <v>273</v>
      </c>
      <c r="G3324" t="s">
        <v>10396</v>
      </c>
      <c r="H3324" t="s">
        <v>275</v>
      </c>
      <c r="I3324" t="s">
        <v>29</v>
      </c>
      <c r="J3324">
        <v>1</v>
      </c>
      <c r="K3324">
        <f>1-888-380-8394</f>
        <v>-9661</v>
      </c>
      <c r="L3324" t="s">
        <v>10397</v>
      </c>
      <c r="M3324" t="s">
        <v>10398</v>
      </c>
      <c r="N3324" t="s">
        <v>278</v>
      </c>
      <c r="O3324" t="s">
        <v>28</v>
      </c>
      <c r="P3324" t="s">
        <v>29</v>
      </c>
      <c r="Q3324">
        <v>29</v>
      </c>
      <c r="R3324">
        <v>-98.5</v>
      </c>
    </row>
    <row r="3325" spans="1:18" x14ac:dyDescent="0.2">
      <c r="A3325" t="s">
        <v>270</v>
      </c>
      <c r="B3325" t="s">
        <v>10394</v>
      </c>
      <c r="C3325">
        <v>1</v>
      </c>
      <c r="D3325" s="1">
        <v>44174.784826388888</v>
      </c>
      <c r="E3325" t="s">
        <v>10399</v>
      </c>
      <c r="F3325" t="s">
        <v>273</v>
      </c>
      <c r="G3325" t="s">
        <v>10396</v>
      </c>
      <c r="H3325" t="s">
        <v>275</v>
      </c>
      <c r="I3325" t="s">
        <v>29</v>
      </c>
      <c r="J3325">
        <v>1</v>
      </c>
      <c r="K3325">
        <f>1-888-203-6989</f>
        <v>-8079</v>
      </c>
      <c r="L3325" t="s">
        <v>10400</v>
      </c>
      <c r="M3325" t="s">
        <v>10401</v>
      </c>
      <c r="N3325" t="s">
        <v>278</v>
      </c>
      <c r="O3325" t="s">
        <v>28</v>
      </c>
      <c r="P3325" t="s">
        <v>29</v>
      </c>
      <c r="Q3325">
        <v>29</v>
      </c>
      <c r="R3325">
        <v>-98.5</v>
      </c>
    </row>
    <row r="3326" spans="1:18" x14ac:dyDescent="0.2">
      <c r="A3326" t="s">
        <v>270</v>
      </c>
      <c r="B3326" t="s">
        <v>10394</v>
      </c>
      <c r="C3326">
        <v>1</v>
      </c>
      <c r="D3326" s="1">
        <v>44149.134513888886</v>
      </c>
      <c r="E3326" t="s">
        <v>10402</v>
      </c>
      <c r="F3326" t="s">
        <v>273</v>
      </c>
      <c r="G3326" t="s">
        <v>10396</v>
      </c>
      <c r="H3326" t="s">
        <v>275</v>
      </c>
      <c r="I3326" t="s">
        <v>29</v>
      </c>
      <c r="J3326">
        <v>1</v>
      </c>
      <c r="K3326">
        <f>1-844-295-6539</f>
        <v>-7677</v>
      </c>
      <c r="L3326" t="s">
        <v>10403</v>
      </c>
      <c r="M3326" t="s">
        <v>10404</v>
      </c>
      <c r="N3326" t="s">
        <v>278</v>
      </c>
      <c r="O3326" t="s">
        <v>134</v>
      </c>
      <c r="P3326" t="s">
        <v>29</v>
      </c>
      <c r="Q3326">
        <v>29</v>
      </c>
      <c r="R3326">
        <v>-98.5</v>
      </c>
    </row>
    <row r="3327" spans="1:18" x14ac:dyDescent="0.2">
      <c r="A3327" t="s">
        <v>270</v>
      </c>
      <c r="B3327" t="s">
        <v>10394</v>
      </c>
      <c r="C3327">
        <v>1</v>
      </c>
      <c r="D3327" s="1">
        <v>44145.79960648148</v>
      </c>
      <c r="E3327" t="s">
        <v>10405</v>
      </c>
      <c r="F3327" t="s">
        <v>273</v>
      </c>
      <c r="G3327" t="s">
        <v>10396</v>
      </c>
      <c r="H3327" t="s">
        <v>275</v>
      </c>
      <c r="I3327" t="s">
        <v>29</v>
      </c>
      <c r="J3327">
        <v>1</v>
      </c>
      <c r="K3327">
        <f>1-844-295-6539</f>
        <v>-7677</v>
      </c>
      <c r="L3327" t="s">
        <v>10406</v>
      </c>
      <c r="M3327" t="s">
        <v>10407</v>
      </c>
      <c r="N3327" t="s">
        <v>278</v>
      </c>
      <c r="O3327" t="s">
        <v>28</v>
      </c>
      <c r="P3327" t="s">
        <v>29</v>
      </c>
      <c r="Q3327">
        <v>29</v>
      </c>
      <c r="R3327">
        <v>-98.5</v>
      </c>
    </row>
    <row r="3328" spans="1:18" x14ac:dyDescent="0.2">
      <c r="A3328" t="s">
        <v>270</v>
      </c>
      <c r="B3328" t="s">
        <v>10394</v>
      </c>
      <c r="C3328">
        <v>1</v>
      </c>
      <c r="D3328" s="1">
        <v>44140.774398148147</v>
      </c>
      <c r="E3328" t="s">
        <v>10408</v>
      </c>
      <c r="F3328" t="s">
        <v>273</v>
      </c>
      <c r="G3328" t="s">
        <v>10396</v>
      </c>
      <c r="H3328" t="s">
        <v>275</v>
      </c>
      <c r="I3328" t="s">
        <v>29</v>
      </c>
      <c r="J3328">
        <v>1</v>
      </c>
      <c r="K3328">
        <f>1-888-397-7606</f>
        <v>-8890</v>
      </c>
      <c r="L3328" t="s">
        <v>10409</v>
      </c>
      <c r="M3328" t="s">
        <v>10410</v>
      </c>
      <c r="N3328" t="s">
        <v>278</v>
      </c>
      <c r="O3328" t="s">
        <v>28</v>
      </c>
      <c r="P3328" t="s">
        <v>29</v>
      </c>
      <c r="Q3328">
        <v>29</v>
      </c>
      <c r="R3328">
        <v>-98.5</v>
      </c>
    </row>
    <row r="3329" spans="1:18" x14ac:dyDescent="0.2">
      <c r="A3329" t="s">
        <v>270</v>
      </c>
      <c r="B3329" t="s">
        <v>10394</v>
      </c>
      <c r="C3329">
        <v>1</v>
      </c>
      <c r="D3329" s="1">
        <v>44131.722673611112</v>
      </c>
      <c r="E3329" t="s">
        <v>10411</v>
      </c>
      <c r="F3329" t="s">
        <v>273</v>
      </c>
      <c r="G3329" t="s">
        <v>10396</v>
      </c>
      <c r="H3329" t="s">
        <v>275</v>
      </c>
      <c r="I3329" t="s">
        <v>29</v>
      </c>
      <c r="J3329">
        <v>1</v>
      </c>
      <c r="K3329">
        <f>1-888-393-4112</f>
        <v>-5392</v>
      </c>
      <c r="L3329" t="s">
        <v>10412</v>
      </c>
      <c r="M3329" t="s">
        <v>10413</v>
      </c>
      <c r="N3329" t="s">
        <v>278</v>
      </c>
      <c r="O3329" t="s">
        <v>28</v>
      </c>
      <c r="P3329" t="s">
        <v>29</v>
      </c>
      <c r="Q3329">
        <v>29</v>
      </c>
      <c r="R3329">
        <v>-98.5</v>
      </c>
    </row>
    <row r="3330" spans="1:18" x14ac:dyDescent="0.2">
      <c r="A3330" t="s">
        <v>270</v>
      </c>
      <c r="B3330" t="s">
        <v>10394</v>
      </c>
      <c r="C3330">
        <v>1</v>
      </c>
      <c r="D3330" s="1">
        <v>44109.908946759257</v>
      </c>
      <c r="E3330" t="s">
        <v>10414</v>
      </c>
      <c r="F3330" t="s">
        <v>273</v>
      </c>
      <c r="G3330" t="s">
        <v>10396</v>
      </c>
      <c r="H3330" t="s">
        <v>275</v>
      </c>
      <c r="I3330" t="s">
        <v>29</v>
      </c>
      <c r="J3330">
        <v>1</v>
      </c>
      <c r="K3330">
        <f>1-888-298-6326</f>
        <v>-7511</v>
      </c>
      <c r="L3330" t="s">
        <v>10415</v>
      </c>
      <c r="M3330" t="s">
        <v>10416</v>
      </c>
      <c r="N3330" t="s">
        <v>278</v>
      </c>
      <c r="O3330" t="s">
        <v>28</v>
      </c>
      <c r="P3330" t="s">
        <v>29</v>
      </c>
      <c r="Q3330">
        <v>29</v>
      </c>
      <c r="R3330">
        <v>-98.5</v>
      </c>
    </row>
    <row r="3331" spans="1:18" x14ac:dyDescent="0.2">
      <c r="A3331" t="s">
        <v>270</v>
      </c>
      <c r="B3331" t="s">
        <v>10394</v>
      </c>
      <c r="C3331">
        <v>1</v>
      </c>
      <c r="D3331" s="1">
        <v>44106.935636574075</v>
      </c>
      <c r="E3331" t="s">
        <v>10417</v>
      </c>
      <c r="F3331" t="s">
        <v>273</v>
      </c>
      <c r="G3331" t="s">
        <v>10396</v>
      </c>
      <c r="H3331" t="s">
        <v>275</v>
      </c>
      <c r="I3331" t="s">
        <v>29</v>
      </c>
      <c r="J3331">
        <v>1</v>
      </c>
      <c r="K3331">
        <f>1-888-278-9830</f>
        <v>-10995</v>
      </c>
      <c r="L3331" t="s">
        <v>10418</v>
      </c>
      <c r="M3331" t="s">
        <v>10419</v>
      </c>
      <c r="N3331" t="s">
        <v>278</v>
      </c>
      <c r="O3331" t="s">
        <v>28</v>
      </c>
      <c r="P3331" t="s">
        <v>29</v>
      </c>
      <c r="Q3331">
        <v>29</v>
      </c>
      <c r="R3331">
        <v>-98.5</v>
      </c>
    </row>
    <row r="3332" spans="1:18" x14ac:dyDescent="0.2">
      <c r="A3332" t="s">
        <v>270</v>
      </c>
      <c r="B3332" t="s">
        <v>10394</v>
      </c>
      <c r="C3332">
        <v>1</v>
      </c>
      <c r="D3332" s="1">
        <v>44105.626064814816</v>
      </c>
      <c r="E3332" t="s">
        <v>10420</v>
      </c>
      <c r="F3332" t="s">
        <v>273</v>
      </c>
      <c r="G3332" t="s">
        <v>10396</v>
      </c>
      <c r="H3332" t="s">
        <v>275</v>
      </c>
      <c r="I3332" t="s">
        <v>29</v>
      </c>
      <c r="J3332">
        <v>1</v>
      </c>
      <c r="K3332">
        <f>1-888-210-3301</f>
        <v>-4398</v>
      </c>
      <c r="L3332" t="s">
        <v>10421</v>
      </c>
      <c r="M3332" t="s">
        <v>10422</v>
      </c>
      <c r="N3332" t="s">
        <v>278</v>
      </c>
      <c r="O3332" t="s">
        <v>134</v>
      </c>
      <c r="P3332" t="s">
        <v>29</v>
      </c>
      <c r="Q3332">
        <v>29</v>
      </c>
      <c r="R3332">
        <v>-98.5</v>
      </c>
    </row>
    <row r="3333" spans="1:18" x14ac:dyDescent="0.2">
      <c r="A3333" t="s">
        <v>270</v>
      </c>
      <c r="B3333" t="s">
        <v>10394</v>
      </c>
      <c r="C3333">
        <v>1</v>
      </c>
      <c r="D3333" s="1">
        <v>44106.825937499998</v>
      </c>
      <c r="E3333" t="s">
        <v>10423</v>
      </c>
      <c r="F3333" t="s">
        <v>273</v>
      </c>
      <c r="G3333" t="s">
        <v>10396</v>
      </c>
      <c r="H3333" t="s">
        <v>275</v>
      </c>
      <c r="I3333" t="s">
        <v>29</v>
      </c>
      <c r="J3333">
        <v>1</v>
      </c>
      <c r="K3333">
        <f>1-888-304-9499</f>
        <v>-10690</v>
      </c>
      <c r="L3333" t="s">
        <v>10424</v>
      </c>
      <c r="M3333" t="s">
        <v>10425</v>
      </c>
      <c r="N3333" t="s">
        <v>278</v>
      </c>
      <c r="O3333" t="s">
        <v>28</v>
      </c>
      <c r="P3333" t="s">
        <v>29</v>
      </c>
      <c r="Q3333">
        <v>29</v>
      </c>
      <c r="R3333">
        <v>-98.5</v>
      </c>
    </row>
    <row r="3334" spans="1:18" x14ac:dyDescent="0.2">
      <c r="A3334" t="s">
        <v>270</v>
      </c>
      <c r="B3334" t="s">
        <v>10394</v>
      </c>
      <c r="C3334">
        <v>1</v>
      </c>
      <c r="D3334" s="1">
        <v>44103.941423611112</v>
      </c>
      <c r="E3334" t="s">
        <v>10426</v>
      </c>
      <c r="F3334" t="s">
        <v>273</v>
      </c>
      <c r="G3334" t="s">
        <v>10396</v>
      </c>
      <c r="H3334" t="s">
        <v>275</v>
      </c>
      <c r="I3334" t="s">
        <v>29</v>
      </c>
      <c r="J3334">
        <v>1</v>
      </c>
      <c r="K3334">
        <f>1-888-221-6473</f>
        <v>-7581</v>
      </c>
      <c r="L3334" t="s">
        <v>10427</v>
      </c>
      <c r="M3334" t="s">
        <v>10428</v>
      </c>
      <c r="N3334" t="s">
        <v>278</v>
      </c>
      <c r="O3334" t="s">
        <v>28</v>
      </c>
      <c r="P3334" t="s">
        <v>29</v>
      </c>
      <c r="Q3334">
        <v>29</v>
      </c>
      <c r="R3334">
        <v>-98.5</v>
      </c>
    </row>
    <row r="3335" spans="1:18" x14ac:dyDescent="0.2">
      <c r="A3335" t="s">
        <v>270</v>
      </c>
      <c r="B3335" t="s">
        <v>10394</v>
      </c>
      <c r="C3335">
        <v>1</v>
      </c>
      <c r="D3335" s="1">
        <v>44102.822696759256</v>
      </c>
      <c r="E3335" t="s">
        <v>10429</v>
      </c>
      <c r="F3335" t="s">
        <v>273</v>
      </c>
      <c r="G3335" t="s">
        <v>10396</v>
      </c>
      <c r="H3335" t="s">
        <v>275</v>
      </c>
      <c r="I3335" t="s">
        <v>29</v>
      </c>
      <c r="J3335">
        <v>1</v>
      </c>
      <c r="K3335">
        <f>1-888-228-8619</f>
        <v>-9734</v>
      </c>
      <c r="L3335" t="s">
        <v>10430</v>
      </c>
      <c r="M3335" t="s">
        <v>10431</v>
      </c>
      <c r="N3335" t="s">
        <v>278</v>
      </c>
      <c r="O3335" t="s">
        <v>28</v>
      </c>
      <c r="P3335" t="s">
        <v>29</v>
      </c>
      <c r="Q3335">
        <v>29</v>
      </c>
      <c r="R3335">
        <v>-98.5</v>
      </c>
    </row>
    <row r="3336" spans="1:18" x14ac:dyDescent="0.2">
      <c r="A3336" t="s">
        <v>270</v>
      </c>
      <c r="B3336" t="s">
        <v>10394</v>
      </c>
      <c r="C3336">
        <v>1</v>
      </c>
      <c r="D3336" s="1">
        <v>44102.81689814815</v>
      </c>
      <c r="E3336" t="s">
        <v>10432</v>
      </c>
      <c r="F3336" t="s">
        <v>273</v>
      </c>
      <c r="G3336" t="s">
        <v>10396</v>
      </c>
      <c r="H3336" t="s">
        <v>275</v>
      </c>
      <c r="I3336" t="s">
        <v>29</v>
      </c>
      <c r="J3336">
        <v>1</v>
      </c>
      <c r="K3336">
        <f>1-888-252-7514</f>
        <v>-8653</v>
      </c>
      <c r="L3336" t="s">
        <v>10433</v>
      </c>
      <c r="M3336" t="s">
        <v>10434</v>
      </c>
      <c r="N3336" t="s">
        <v>278</v>
      </c>
      <c r="O3336" t="s">
        <v>28</v>
      </c>
      <c r="P3336" t="s">
        <v>29</v>
      </c>
      <c r="Q3336">
        <v>29</v>
      </c>
      <c r="R3336">
        <v>-98.5</v>
      </c>
    </row>
    <row r="3337" spans="1:18" x14ac:dyDescent="0.2">
      <c r="A3337" t="s">
        <v>270</v>
      </c>
      <c r="B3337" t="s">
        <v>10394</v>
      </c>
      <c r="C3337">
        <v>1</v>
      </c>
      <c r="D3337" s="1">
        <v>44096.837187500001</v>
      </c>
      <c r="E3337" t="s">
        <v>10435</v>
      </c>
      <c r="F3337" t="s">
        <v>273</v>
      </c>
      <c r="G3337" t="s">
        <v>10396</v>
      </c>
      <c r="H3337" t="s">
        <v>275</v>
      </c>
      <c r="I3337" t="s">
        <v>29</v>
      </c>
      <c r="J3337">
        <v>1</v>
      </c>
      <c r="K3337">
        <f>1-888-257-7505</f>
        <v>-8649</v>
      </c>
      <c r="L3337" t="s">
        <v>10436</v>
      </c>
      <c r="M3337" t="s">
        <v>10437</v>
      </c>
      <c r="N3337" t="s">
        <v>278</v>
      </c>
      <c r="O3337" t="s">
        <v>28</v>
      </c>
      <c r="P3337" t="s">
        <v>29</v>
      </c>
      <c r="Q3337">
        <v>29</v>
      </c>
      <c r="R3337">
        <v>-98.5</v>
      </c>
    </row>
    <row r="3338" spans="1:18" x14ac:dyDescent="0.2">
      <c r="A3338" t="s">
        <v>270</v>
      </c>
      <c r="B3338" t="s">
        <v>10394</v>
      </c>
      <c r="C3338">
        <v>1</v>
      </c>
      <c r="D3338" s="1">
        <v>44096.36886574074</v>
      </c>
      <c r="E3338" t="s">
        <v>10438</v>
      </c>
      <c r="F3338" t="s">
        <v>273</v>
      </c>
      <c r="G3338" t="s">
        <v>10396</v>
      </c>
      <c r="H3338" t="s">
        <v>275</v>
      </c>
      <c r="I3338" t="s">
        <v>29</v>
      </c>
      <c r="J3338">
        <v>1</v>
      </c>
      <c r="K3338">
        <f>1-844-312-611</f>
        <v>-1766</v>
      </c>
      <c r="L3338" t="s">
        <v>10439</v>
      </c>
      <c r="M3338" t="s">
        <v>10440</v>
      </c>
      <c r="N3338" t="s">
        <v>278</v>
      </c>
      <c r="O3338" t="s">
        <v>28</v>
      </c>
      <c r="P3338" t="s">
        <v>29</v>
      </c>
      <c r="Q3338">
        <v>29</v>
      </c>
      <c r="R3338">
        <v>-98.5</v>
      </c>
    </row>
    <row r="3339" spans="1:18" x14ac:dyDescent="0.2">
      <c r="A3339" t="s">
        <v>270</v>
      </c>
      <c r="B3339" t="s">
        <v>10394</v>
      </c>
      <c r="C3339">
        <v>1</v>
      </c>
      <c r="D3339" s="1">
        <v>44095.784745370373</v>
      </c>
      <c r="E3339" t="s">
        <v>10441</v>
      </c>
      <c r="F3339" t="s">
        <v>273</v>
      </c>
      <c r="G3339" t="s">
        <v>10396</v>
      </c>
      <c r="H3339" t="s">
        <v>275</v>
      </c>
      <c r="I3339" t="s">
        <v>29</v>
      </c>
      <c r="J3339">
        <v>1</v>
      </c>
      <c r="K3339">
        <f>1-844-301-8222</f>
        <v>-9366</v>
      </c>
      <c r="L3339" t="s">
        <v>10442</v>
      </c>
      <c r="M3339" t="s">
        <v>10443</v>
      </c>
      <c r="N3339" t="s">
        <v>278</v>
      </c>
      <c r="O3339" t="s">
        <v>28</v>
      </c>
      <c r="P3339" t="s">
        <v>29</v>
      </c>
      <c r="Q3339">
        <v>29</v>
      </c>
      <c r="R3339">
        <v>-98.5</v>
      </c>
    </row>
    <row r="3340" spans="1:18" x14ac:dyDescent="0.2">
      <c r="A3340" t="s">
        <v>270</v>
      </c>
      <c r="B3340" t="s">
        <v>10394</v>
      </c>
      <c r="C3340">
        <v>1</v>
      </c>
      <c r="D3340" s="1">
        <v>44095.783541666664</v>
      </c>
      <c r="E3340" t="s">
        <v>10444</v>
      </c>
      <c r="F3340" t="s">
        <v>273</v>
      </c>
      <c r="G3340" t="s">
        <v>10396</v>
      </c>
      <c r="H3340" t="s">
        <v>275</v>
      </c>
      <c r="I3340" t="s">
        <v>29</v>
      </c>
      <c r="J3340">
        <v>1</v>
      </c>
      <c r="K3340">
        <f>1-844-288-9111</f>
        <v>-10242</v>
      </c>
      <c r="L3340" t="s">
        <v>10445</v>
      </c>
      <c r="M3340" t="s">
        <v>10446</v>
      </c>
      <c r="N3340" t="s">
        <v>278</v>
      </c>
      <c r="O3340" t="s">
        <v>28</v>
      </c>
      <c r="P3340" t="s">
        <v>29</v>
      </c>
      <c r="Q3340">
        <v>29</v>
      </c>
      <c r="R3340">
        <v>-98.5</v>
      </c>
    </row>
    <row r="3341" spans="1:18" x14ac:dyDescent="0.2">
      <c r="A3341" t="s">
        <v>270</v>
      </c>
      <c r="B3341" t="s">
        <v>10394</v>
      </c>
      <c r="C3341">
        <v>1</v>
      </c>
      <c r="D3341" s="1">
        <v>44090.992407407408</v>
      </c>
      <c r="E3341" t="s">
        <v>10447</v>
      </c>
      <c r="F3341" t="s">
        <v>273</v>
      </c>
      <c r="G3341" t="s">
        <v>10396</v>
      </c>
      <c r="H3341" t="s">
        <v>275</v>
      </c>
      <c r="I3341" t="s">
        <v>29</v>
      </c>
      <c r="J3341">
        <v>1</v>
      </c>
      <c r="K3341">
        <f>1-844-242-3148</f>
        <v>-4233</v>
      </c>
      <c r="L3341" t="s">
        <v>10448</v>
      </c>
      <c r="M3341" t="s">
        <v>10449</v>
      </c>
      <c r="N3341" t="s">
        <v>278</v>
      </c>
      <c r="O3341" t="s">
        <v>28</v>
      </c>
      <c r="P3341" t="s">
        <v>29</v>
      </c>
      <c r="Q3341">
        <v>29</v>
      </c>
      <c r="R3341">
        <v>-98.5</v>
      </c>
    </row>
    <row r="3342" spans="1:18" x14ac:dyDescent="0.2">
      <c r="A3342" t="s">
        <v>270</v>
      </c>
      <c r="B3342" t="s">
        <v>10394</v>
      </c>
      <c r="C3342">
        <v>1</v>
      </c>
      <c r="D3342" s="1">
        <v>44090.991932870369</v>
      </c>
      <c r="E3342" t="s">
        <v>10450</v>
      </c>
      <c r="F3342" t="s">
        <v>273</v>
      </c>
      <c r="G3342" t="s">
        <v>10396</v>
      </c>
      <c r="H3342" t="s">
        <v>275</v>
      </c>
      <c r="I3342" t="s">
        <v>29</v>
      </c>
      <c r="J3342">
        <v>1</v>
      </c>
      <c r="K3342">
        <f>1-844-242-3148</f>
        <v>-4233</v>
      </c>
      <c r="L3342" t="s">
        <v>10451</v>
      </c>
      <c r="M3342" t="s">
        <v>10452</v>
      </c>
      <c r="N3342" t="s">
        <v>278</v>
      </c>
      <c r="O3342" t="s">
        <v>28</v>
      </c>
      <c r="P3342" t="s">
        <v>29</v>
      </c>
      <c r="Q3342">
        <v>29</v>
      </c>
      <c r="R3342">
        <v>-98.5</v>
      </c>
    </row>
    <row r="3343" spans="1:18" x14ac:dyDescent="0.2">
      <c r="A3343" t="s">
        <v>270</v>
      </c>
      <c r="B3343" t="s">
        <v>10394</v>
      </c>
      <c r="C3343">
        <v>1</v>
      </c>
      <c r="D3343" s="1">
        <v>44090.798622685186</v>
      </c>
      <c r="E3343" t="s">
        <v>10453</v>
      </c>
      <c r="F3343" t="s">
        <v>273</v>
      </c>
      <c r="G3343" t="s">
        <v>10396</v>
      </c>
      <c r="H3343" t="s">
        <v>275</v>
      </c>
      <c r="I3343" t="s">
        <v>29</v>
      </c>
      <c r="J3343">
        <v>1</v>
      </c>
      <c r="K3343">
        <f>1-844-221-1452</f>
        <v>-2516</v>
      </c>
      <c r="L3343" t="s">
        <v>10454</v>
      </c>
      <c r="M3343" t="s">
        <v>10455</v>
      </c>
      <c r="N3343" t="s">
        <v>278</v>
      </c>
      <c r="O3343" t="s">
        <v>28</v>
      </c>
      <c r="P3343" t="s">
        <v>29</v>
      </c>
      <c r="Q3343">
        <v>29</v>
      </c>
      <c r="R3343">
        <v>-98.5</v>
      </c>
    </row>
    <row r="3344" spans="1:18" x14ac:dyDescent="0.2">
      <c r="A3344" t="s">
        <v>270</v>
      </c>
      <c r="B3344" t="s">
        <v>10394</v>
      </c>
      <c r="C3344">
        <v>1</v>
      </c>
      <c r="D3344" s="1">
        <v>44090.798368055555</v>
      </c>
      <c r="E3344" t="s">
        <v>10456</v>
      </c>
      <c r="F3344" t="s">
        <v>273</v>
      </c>
      <c r="G3344" t="s">
        <v>10396</v>
      </c>
      <c r="H3344" t="s">
        <v>275</v>
      </c>
      <c r="I3344" t="s">
        <v>29</v>
      </c>
      <c r="J3344">
        <v>1</v>
      </c>
      <c r="K3344">
        <f>1-844-243-4064</f>
        <v>-5150</v>
      </c>
      <c r="L3344" t="s">
        <v>10457</v>
      </c>
      <c r="M3344" t="s">
        <v>10458</v>
      </c>
      <c r="N3344" t="s">
        <v>278</v>
      </c>
      <c r="O3344" t="s">
        <v>28</v>
      </c>
      <c r="P3344" t="s">
        <v>29</v>
      </c>
      <c r="Q3344">
        <v>29</v>
      </c>
      <c r="R3344">
        <v>-98.5</v>
      </c>
    </row>
    <row r="3345" spans="1:18" x14ac:dyDescent="0.2">
      <c r="A3345" t="s">
        <v>270</v>
      </c>
      <c r="B3345" t="s">
        <v>10394</v>
      </c>
      <c r="C3345">
        <v>1</v>
      </c>
      <c r="D3345" s="1">
        <v>44090.414918981478</v>
      </c>
      <c r="E3345" t="s">
        <v>10459</v>
      </c>
      <c r="F3345" t="s">
        <v>273</v>
      </c>
      <c r="G3345" t="s">
        <v>10396</v>
      </c>
      <c r="H3345" t="s">
        <v>275</v>
      </c>
      <c r="I3345" t="s">
        <v>29</v>
      </c>
      <c r="J3345">
        <v>1</v>
      </c>
      <c r="K3345">
        <f>1-844-311-7591</f>
        <v>-8745</v>
      </c>
      <c r="L3345" t="s">
        <v>10460</v>
      </c>
      <c r="M3345" t="s">
        <v>10461</v>
      </c>
      <c r="N3345" t="s">
        <v>278</v>
      </c>
      <c r="O3345" t="s">
        <v>28</v>
      </c>
      <c r="P3345" t="s">
        <v>29</v>
      </c>
      <c r="Q3345">
        <v>29</v>
      </c>
      <c r="R3345">
        <v>-98.5</v>
      </c>
    </row>
    <row r="3346" spans="1:18" x14ac:dyDescent="0.2">
      <c r="A3346" t="s">
        <v>270</v>
      </c>
      <c r="B3346" t="s">
        <v>10394</v>
      </c>
      <c r="C3346">
        <v>1</v>
      </c>
      <c r="D3346" s="1">
        <v>44089.756319444445</v>
      </c>
      <c r="E3346" t="s">
        <v>10462</v>
      </c>
      <c r="F3346" t="s">
        <v>273</v>
      </c>
      <c r="G3346" t="s">
        <v>10396</v>
      </c>
      <c r="H3346" t="s">
        <v>275</v>
      </c>
      <c r="I3346" t="s">
        <v>29</v>
      </c>
      <c r="J3346">
        <v>1</v>
      </c>
      <c r="K3346">
        <f>1-844-218-3888</f>
        <v>-4949</v>
      </c>
      <c r="L3346" t="s">
        <v>10463</v>
      </c>
      <c r="M3346" t="s">
        <v>10464</v>
      </c>
      <c r="N3346" t="s">
        <v>278</v>
      </c>
      <c r="O3346" t="s">
        <v>28</v>
      </c>
      <c r="P3346" t="s">
        <v>29</v>
      </c>
      <c r="Q3346">
        <v>29</v>
      </c>
      <c r="R3346">
        <v>-98.5</v>
      </c>
    </row>
    <row r="3347" spans="1:18" x14ac:dyDescent="0.2">
      <c r="A3347" t="s">
        <v>270</v>
      </c>
      <c r="B3347" t="s">
        <v>10394</v>
      </c>
      <c r="C3347">
        <v>1</v>
      </c>
      <c r="D3347" s="1">
        <v>44089.755486111113</v>
      </c>
      <c r="E3347" t="s">
        <v>10465</v>
      </c>
      <c r="F3347" t="s">
        <v>273</v>
      </c>
      <c r="G3347" t="s">
        <v>10396</v>
      </c>
      <c r="H3347" t="s">
        <v>275</v>
      </c>
      <c r="I3347" t="s">
        <v>29</v>
      </c>
      <c r="J3347">
        <v>1</v>
      </c>
      <c r="K3347">
        <f>1-844-218-3888</f>
        <v>-4949</v>
      </c>
      <c r="L3347" t="s">
        <v>10466</v>
      </c>
      <c r="M3347" t="s">
        <v>10467</v>
      </c>
      <c r="N3347" t="s">
        <v>278</v>
      </c>
      <c r="O3347" t="s">
        <v>28</v>
      </c>
      <c r="P3347" t="s">
        <v>29</v>
      </c>
      <c r="Q3347">
        <v>29</v>
      </c>
      <c r="R3347">
        <v>-98.5</v>
      </c>
    </row>
    <row r="3348" spans="1:18" x14ac:dyDescent="0.2">
      <c r="A3348" t="s">
        <v>270</v>
      </c>
      <c r="B3348" t="s">
        <v>10394</v>
      </c>
      <c r="C3348">
        <v>1</v>
      </c>
      <c r="D3348" s="1">
        <v>44089.430949074071</v>
      </c>
      <c r="E3348" t="s">
        <v>10468</v>
      </c>
      <c r="F3348" t="s">
        <v>273</v>
      </c>
      <c r="G3348" t="s">
        <v>10396</v>
      </c>
      <c r="H3348" t="s">
        <v>275</v>
      </c>
      <c r="I3348" t="s">
        <v>29</v>
      </c>
      <c r="J3348">
        <v>1</v>
      </c>
      <c r="K3348">
        <f>1-844-210-4337</f>
        <v>-5390</v>
      </c>
      <c r="L3348" t="s">
        <v>10469</v>
      </c>
      <c r="M3348" t="s">
        <v>10470</v>
      </c>
      <c r="N3348" t="s">
        <v>278</v>
      </c>
      <c r="O3348" t="s">
        <v>28</v>
      </c>
      <c r="P3348" t="s">
        <v>29</v>
      </c>
      <c r="Q3348">
        <v>29</v>
      </c>
      <c r="R3348">
        <v>-98.5</v>
      </c>
    </row>
    <row r="3349" spans="1:18" x14ac:dyDescent="0.2">
      <c r="A3349" t="s">
        <v>270</v>
      </c>
      <c r="B3349" t="s">
        <v>10394</v>
      </c>
      <c r="C3349">
        <v>1</v>
      </c>
      <c r="D3349" s="1">
        <v>44089.430879629632</v>
      </c>
      <c r="E3349" t="s">
        <v>10471</v>
      </c>
      <c r="F3349" t="s">
        <v>273</v>
      </c>
      <c r="G3349" t="s">
        <v>10396</v>
      </c>
      <c r="H3349" t="s">
        <v>275</v>
      </c>
      <c r="I3349" t="s">
        <v>29</v>
      </c>
      <c r="J3349">
        <v>1</v>
      </c>
      <c r="K3349">
        <f>1-844-210-4337</f>
        <v>-5390</v>
      </c>
      <c r="L3349" t="s">
        <v>10472</v>
      </c>
      <c r="M3349" t="s">
        <v>10473</v>
      </c>
      <c r="N3349" t="s">
        <v>278</v>
      </c>
      <c r="O3349" t="s">
        <v>28</v>
      </c>
      <c r="P3349" t="s">
        <v>29</v>
      </c>
      <c r="Q3349">
        <v>29</v>
      </c>
      <c r="R3349">
        <v>-98.5</v>
      </c>
    </row>
    <row r="3350" spans="1:18" x14ac:dyDescent="0.2">
      <c r="A3350" t="s">
        <v>270</v>
      </c>
      <c r="B3350" t="s">
        <v>10394</v>
      </c>
      <c r="C3350">
        <v>1</v>
      </c>
      <c r="D3350" s="1">
        <v>44089.430555555555</v>
      </c>
      <c r="E3350" t="s">
        <v>10474</v>
      </c>
      <c r="F3350" t="s">
        <v>273</v>
      </c>
      <c r="G3350" t="s">
        <v>10396</v>
      </c>
      <c r="H3350" t="s">
        <v>275</v>
      </c>
      <c r="I3350" t="s">
        <v>29</v>
      </c>
      <c r="J3350">
        <v>1</v>
      </c>
      <c r="K3350">
        <f>1-844-210-4337</f>
        <v>-5390</v>
      </c>
      <c r="L3350" t="s">
        <v>10475</v>
      </c>
      <c r="M3350" t="s">
        <v>10476</v>
      </c>
      <c r="N3350" t="s">
        <v>278</v>
      </c>
      <c r="O3350" t="s">
        <v>28</v>
      </c>
      <c r="P3350" t="s">
        <v>29</v>
      </c>
      <c r="Q3350">
        <v>29</v>
      </c>
      <c r="R3350">
        <v>-98.5</v>
      </c>
    </row>
    <row r="3351" spans="1:18" x14ac:dyDescent="0.2">
      <c r="A3351" t="s">
        <v>270</v>
      </c>
      <c r="B3351" t="s">
        <v>10394</v>
      </c>
      <c r="C3351">
        <v>1</v>
      </c>
      <c r="D3351" s="1">
        <v>44088.860532407409</v>
      </c>
      <c r="E3351" t="s">
        <v>10477</v>
      </c>
      <c r="F3351" t="s">
        <v>273</v>
      </c>
      <c r="G3351" t="s">
        <v>10396</v>
      </c>
      <c r="H3351" t="s">
        <v>275</v>
      </c>
      <c r="I3351" t="s">
        <v>29</v>
      </c>
      <c r="J3351">
        <v>1</v>
      </c>
      <c r="K3351">
        <f>1-844-225-7967</f>
        <v>-9035</v>
      </c>
      <c r="L3351" t="s">
        <v>10478</v>
      </c>
      <c r="M3351" t="s">
        <v>10479</v>
      </c>
      <c r="N3351" t="s">
        <v>278</v>
      </c>
      <c r="O3351" t="s">
        <v>28</v>
      </c>
      <c r="P3351" t="s">
        <v>29</v>
      </c>
      <c r="Q3351">
        <v>29</v>
      </c>
      <c r="R3351">
        <v>-98.5</v>
      </c>
    </row>
    <row r="3352" spans="1:18" x14ac:dyDescent="0.2">
      <c r="A3352" t="s">
        <v>270</v>
      </c>
      <c r="B3352" t="s">
        <v>10394</v>
      </c>
      <c r="C3352">
        <v>1</v>
      </c>
      <c r="D3352" s="1">
        <v>44088.788680555554</v>
      </c>
      <c r="E3352" t="s">
        <v>10480</v>
      </c>
      <c r="F3352" t="s">
        <v>273</v>
      </c>
      <c r="G3352" t="s">
        <v>10396</v>
      </c>
      <c r="H3352" t="s">
        <v>275</v>
      </c>
      <c r="I3352" t="s">
        <v>29</v>
      </c>
      <c r="J3352">
        <v>1</v>
      </c>
      <c r="K3352">
        <f>1-844-212-1446</f>
        <v>-2501</v>
      </c>
      <c r="L3352" t="s">
        <v>10481</v>
      </c>
      <c r="M3352" t="s">
        <v>10482</v>
      </c>
      <c r="N3352" t="s">
        <v>278</v>
      </c>
      <c r="O3352" t="s">
        <v>28</v>
      </c>
      <c r="P3352" t="s">
        <v>29</v>
      </c>
      <c r="Q3352">
        <v>29</v>
      </c>
      <c r="R3352">
        <v>-98.5</v>
      </c>
    </row>
    <row r="3353" spans="1:18" x14ac:dyDescent="0.2">
      <c r="A3353" t="s">
        <v>270</v>
      </c>
      <c r="B3353" t="s">
        <v>10394</v>
      </c>
      <c r="C3353">
        <v>1</v>
      </c>
      <c r="D3353" s="1">
        <v>44088.774907407409</v>
      </c>
      <c r="E3353" t="s">
        <v>10483</v>
      </c>
      <c r="F3353" t="s">
        <v>273</v>
      </c>
      <c r="G3353" t="s">
        <v>10396</v>
      </c>
      <c r="H3353" t="s">
        <v>275</v>
      </c>
      <c r="I3353" t="s">
        <v>29</v>
      </c>
      <c r="J3353">
        <v>1</v>
      </c>
      <c r="K3353">
        <f>1-844-212-7353</f>
        <v>-8408</v>
      </c>
      <c r="L3353" t="s">
        <v>10484</v>
      </c>
      <c r="M3353" t="s">
        <v>10485</v>
      </c>
      <c r="N3353" t="s">
        <v>278</v>
      </c>
      <c r="O3353" t="s">
        <v>28</v>
      </c>
      <c r="P3353" t="s">
        <v>29</v>
      </c>
      <c r="Q3353">
        <v>29</v>
      </c>
      <c r="R3353">
        <v>-98.5</v>
      </c>
    </row>
    <row r="3354" spans="1:18" x14ac:dyDescent="0.2">
      <c r="A3354" t="s">
        <v>270</v>
      </c>
      <c r="B3354" t="s">
        <v>10394</v>
      </c>
      <c r="C3354">
        <v>1</v>
      </c>
      <c r="D3354" s="1">
        <v>44084.784270833334</v>
      </c>
      <c r="E3354" t="s">
        <v>10486</v>
      </c>
      <c r="F3354" t="s">
        <v>273</v>
      </c>
      <c r="G3354" t="s">
        <v>10396</v>
      </c>
      <c r="H3354" t="s">
        <v>275</v>
      </c>
      <c r="I3354" t="s">
        <v>29</v>
      </c>
      <c r="J3354">
        <v>1</v>
      </c>
      <c r="K3354">
        <f>1-844-318-7909</f>
        <v>-9070</v>
      </c>
      <c r="L3354" t="s">
        <v>10487</v>
      </c>
      <c r="M3354" t="s">
        <v>10488</v>
      </c>
      <c r="N3354" t="s">
        <v>278</v>
      </c>
      <c r="O3354" t="s">
        <v>28</v>
      </c>
      <c r="P3354" t="s">
        <v>29</v>
      </c>
      <c r="Q3354">
        <v>29</v>
      </c>
      <c r="R3354">
        <v>-98.5</v>
      </c>
    </row>
    <row r="3355" spans="1:18" x14ac:dyDescent="0.2">
      <c r="A3355" t="s">
        <v>270</v>
      </c>
      <c r="B3355" t="s">
        <v>10394</v>
      </c>
      <c r="C3355">
        <v>1</v>
      </c>
      <c r="D3355" s="1">
        <v>44084.783819444441</v>
      </c>
      <c r="E3355" t="s">
        <v>10489</v>
      </c>
      <c r="F3355" t="s">
        <v>273</v>
      </c>
      <c r="G3355" t="s">
        <v>10396</v>
      </c>
      <c r="H3355" t="s">
        <v>275</v>
      </c>
      <c r="I3355" t="s">
        <v>29</v>
      </c>
      <c r="J3355">
        <v>1</v>
      </c>
      <c r="K3355">
        <f>1-844-318-7909</f>
        <v>-9070</v>
      </c>
      <c r="L3355" t="s">
        <v>10490</v>
      </c>
      <c r="M3355" t="s">
        <v>10491</v>
      </c>
      <c r="N3355" t="s">
        <v>278</v>
      </c>
      <c r="O3355" t="s">
        <v>28</v>
      </c>
      <c r="P3355" t="s">
        <v>29</v>
      </c>
      <c r="Q3355">
        <v>29</v>
      </c>
      <c r="R3355">
        <v>-98.5</v>
      </c>
    </row>
    <row r="3356" spans="1:18" x14ac:dyDescent="0.2">
      <c r="A3356" t="s">
        <v>270</v>
      </c>
      <c r="B3356" t="s">
        <v>10394</v>
      </c>
      <c r="C3356">
        <v>1</v>
      </c>
      <c r="D3356" s="1">
        <v>44084.78229166667</v>
      </c>
      <c r="E3356" t="s">
        <v>10492</v>
      </c>
      <c r="F3356" t="s">
        <v>273</v>
      </c>
      <c r="G3356" t="s">
        <v>10396</v>
      </c>
      <c r="H3356" t="s">
        <v>275</v>
      </c>
      <c r="I3356" t="s">
        <v>29</v>
      </c>
      <c r="J3356">
        <v>1</v>
      </c>
      <c r="K3356">
        <f>1-888-608-5109</f>
        <v>-6604</v>
      </c>
      <c r="L3356" t="s">
        <v>10493</v>
      </c>
      <c r="M3356" t="s">
        <v>10494</v>
      </c>
      <c r="N3356" t="s">
        <v>278</v>
      </c>
      <c r="O3356" t="s">
        <v>28</v>
      </c>
      <c r="P3356" t="s">
        <v>29</v>
      </c>
      <c r="Q3356">
        <v>29</v>
      </c>
      <c r="R3356">
        <v>-98.5</v>
      </c>
    </row>
    <row r="3357" spans="1:18" x14ac:dyDescent="0.2">
      <c r="A3357" t="s">
        <v>270</v>
      </c>
      <c r="B3357" t="s">
        <v>10394</v>
      </c>
      <c r="C3357">
        <v>1</v>
      </c>
      <c r="D3357" s="1">
        <v>44084.780775462961</v>
      </c>
      <c r="E3357" t="s">
        <v>10495</v>
      </c>
      <c r="F3357" t="s">
        <v>273</v>
      </c>
      <c r="G3357" t="s">
        <v>10396</v>
      </c>
      <c r="H3357" t="s">
        <v>275</v>
      </c>
      <c r="I3357" t="s">
        <v>29</v>
      </c>
      <c r="J3357">
        <v>1</v>
      </c>
      <c r="K3357">
        <f>1-888-608-5109</f>
        <v>-6604</v>
      </c>
      <c r="L3357" t="s">
        <v>10496</v>
      </c>
      <c r="M3357" t="s">
        <v>10497</v>
      </c>
      <c r="N3357" t="s">
        <v>278</v>
      </c>
      <c r="O3357" t="s">
        <v>28</v>
      </c>
      <c r="P3357" t="s">
        <v>29</v>
      </c>
      <c r="Q3357">
        <v>29</v>
      </c>
      <c r="R3357">
        <v>-98.5</v>
      </c>
    </row>
    <row r="3358" spans="1:18" x14ac:dyDescent="0.2">
      <c r="A3358" t="s">
        <v>270</v>
      </c>
      <c r="B3358" t="s">
        <v>10394</v>
      </c>
      <c r="C3358">
        <v>1</v>
      </c>
      <c r="D3358" s="1">
        <v>44083.829826388886</v>
      </c>
      <c r="E3358" t="s">
        <v>10498</v>
      </c>
      <c r="F3358" t="s">
        <v>273</v>
      </c>
      <c r="G3358" t="s">
        <v>10396</v>
      </c>
      <c r="H3358" t="s">
        <v>275</v>
      </c>
      <c r="I3358" t="s">
        <v>29</v>
      </c>
      <c r="J3358">
        <v>1</v>
      </c>
      <c r="K3358">
        <f>1-888-592-7014</f>
        <v>-8493</v>
      </c>
      <c r="L3358" t="s">
        <v>10499</v>
      </c>
      <c r="M3358" t="s">
        <v>10500</v>
      </c>
      <c r="N3358" t="s">
        <v>278</v>
      </c>
      <c r="O3358" t="s">
        <v>28</v>
      </c>
      <c r="P3358" t="s">
        <v>29</v>
      </c>
      <c r="Q3358">
        <v>29</v>
      </c>
      <c r="R3358">
        <v>-98.5</v>
      </c>
    </row>
    <row r="3359" spans="1:18" x14ac:dyDescent="0.2">
      <c r="A3359" t="s">
        <v>270</v>
      </c>
      <c r="B3359" t="s">
        <v>10394</v>
      </c>
      <c r="C3359">
        <v>1</v>
      </c>
      <c r="D3359" s="1">
        <v>44083.829513888886</v>
      </c>
      <c r="E3359" t="s">
        <v>10501</v>
      </c>
      <c r="F3359" t="s">
        <v>273</v>
      </c>
      <c r="G3359" t="s">
        <v>10396</v>
      </c>
      <c r="H3359" t="s">
        <v>275</v>
      </c>
      <c r="I3359" t="s">
        <v>29</v>
      </c>
      <c r="J3359">
        <v>1</v>
      </c>
      <c r="K3359">
        <f>1-888-592-7014</f>
        <v>-8493</v>
      </c>
      <c r="L3359" t="s">
        <v>10502</v>
      </c>
      <c r="M3359" t="s">
        <v>10503</v>
      </c>
      <c r="N3359" t="s">
        <v>278</v>
      </c>
      <c r="O3359" t="s">
        <v>28</v>
      </c>
      <c r="P3359" t="s">
        <v>29</v>
      </c>
      <c r="Q3359">
        <v>29</v>
      </c>
      <c r="R3359">
        <v>-98.5</v>
      </c>
    </row>
    <row r="3360" spans="1:18" x14ac:dyDescent="0.2">
      <c r="A3360" t="s">
        <v>270</v>
      </c>
      <c r="B3360" t="s">
        <v>10394</v>
      </c>
      <c r="C3360">
        <v>1</v>
      </c>
      <c r="D3360" s="1">
        <v>44078.853020833332</v>
      </c>
      <c r="E3360" t="s">
        <v>10504</v>
      </c>
      <c r="F3360" t="s">
        <v>273</v>
      </c>
      <c r="G3360" t="s">
        <v>10396</v>
      </c>
      <c r="H3360" t="s">
        <v>275</v>
      </c>
      <c r="I3360" t="s">
        <v>29</v>
      </c>
      <c r="J3360">
        <v>1</v>
      </c>
      <c r="K3360">
        <f>1-866-591-3044</f>
        <v>-4500</v>
      </c>
      <c r="L3360" t="s">
        <v>10505</v>
      </c>
      <c r="M3360" t="s">
        <v>10506</v>
      </c>
      <c r="N3360" t="s">
        <v>278</v>
      </c>
      <c r="O3360" t="s">
        <v>134</v>
      </c>
      <c r="P3360" t="s">
        <v>29</v>
      </c>
      <c r="Q3360">
        <v>29</v>
      </c>
      <c r="R3360">
        <v>-98.5</v>
      </c>
    </row>
    <row r="3361" spans="1:18" x14ac:dyDescent="0.2">
      <c r="A3361" t="s">
        <v>270</v>
      </c>
      <c r="B3361" t="s">
        <v>10394</v>
      </c>
      <c r="C3361">
        <v>1</v>
      </c>
      <c r="D3361" s="1">
        <v>44078.85193287037</v>
      </c>
      <c r="E3361" t="s">
        <v>10507</v>
      </c>
      <c r="F3361" t="s">
        <v>273</v>
      </c>
      <c r="G3361" t="s">
        <v>10396</v>
      </c>
      <c r="H3361" t="s">
        <v>275</v>
      </c>
      <c r="I3361" t="s">
        <v>29</v>
      </c>
      <c r="J3361">
        <v>1</v>
      </c>
      <c r="K3361">
        <f>1-866-754-7703</f>
        <v>-9322</v>
      </c>
      <c r="L3361" t="s">
        <v>10508</v>
      </c>
      <c r="M3361" t="s">
        <v>10509</v>
      </c>
      <c r="N3361" t="s">
        <v>278</v>
      </c>
      <c r="O3361" t="s">
        <v>134</v>
      </c>
      <c r="P3361" t="s">
        <v>29</v>
      </c>
      <c r="Q3361">
        <v>29</v>
      </c>
      <c r="R3361">
        <v>-98.5</v>
      </c>
    </row>
    <row r="3362" spans="1:18" x14ac:dyDescent="0.2">
      <c r="A3362" t="s">
        <v>270</v>
      </c>
      <c r="B3362" t="s">
        <v>10394</v>
      </c>
      <c r="C3362">
        <v>1</v>
      </c>
      <c r="D3362" s="1">
        <v>44078.850856481484</v>
      </c>
      <c r="E3362" t="s">
        <v>10510</v>
      </c>
      <c r="F3362" t="s">
        <v>273</v>
      </c>
      <c r="G3362" t="s">
        <v>10396</v>
      </c>
      <c r="H3362" t="s">
        <v>275</v>
      </c>
      <c r="I3362" t="s">
        <v>29</v>
      </c>
      <c r="J3362">
        <v>1</v>
      </c>
      <c r="K3362">
        <f>1-866-517-1982</f>
        <v>-3364</v>
      </c>
      <c r="L3362" t="s">
        <v>10511</v>
      </c>
      <c r="M3362" t="s">
        <v>10512</v>
      </c>
      <c r="N3362" t="s">
        <v>278</v>
      </c>
      <c r="O3362" t="s">
        <v>134</v>
      </c>
      <c r="P3362" t="s">
        <v>29</v>
      </c>
      <c r="Q3362">
        <v>29</v>
      </c>
      <c r="R3362">
        <v>-98.5</v>
      </c>
    </row>
    <row r="3363" spans="1:18" x14ac:dyDescent="0.2">
      <c r="A3363" t="s">
        <v>270</v>
      </c>
      <c r="B3363" t="s">
        <v>10394</v>
      </c>
      <c r="C3363">
        <v>1</v>
      </c>
      <c r="D3363" s="1">
        <v>44078.849756944444</v>
      </c>
      <c r="E3363" t="s">
        <v>10513</v>
      </c>
      <c r="F3363" t="s">
        <v>273</v>
      </c>
      <c r="G3363" t="s">
        <v>10396</v>
      </c>
      <c r="H3363" t="s">
        <v>275</v>
      </c>
      <c r="I3363" t="s">
        <v>29</v>
      </c>
      <c r="J3363">
        <v>1</v>
      </c>
      <c r="K3363">
        <f>1-866-586-2110</f>
        <v>-3561</v>
      </c>
      <c r="L3363" t="s">
        <v>10514</v>
      </c>
      <c r="M3363" t="s">
        <v>10515</v>
      </c>
      <c r="N3363" t="s">
        <v>278</v>
      </c>
      <c r="O3363" t="s">
        <v>134</v>
      </c>
      <c r="P3363" t="s">
        <v>29</v>
      </c>
      <c r="Q3363">
        <v>29</v>
      </c>
      <c r="R3363">
        <v>-98.5</v>
      </c>
    </row>
    <row r="3364" spans="1:18" x14ac:dyDescent="0.2">
      <c r="A3364" t="s">
        <v>270</v>
      </c>
      <c r="B3364" t="s">
        <v>10394</v>
      </c>
      <c r="C3364">
        <v>1</v>
      </c>
      <c r="D3364" s="1">
        <v>44074.931122685186</v>
      </c>
      <c r="E3364" t="s">
        <v>10516</v>
      </c>
      <c r="F3364" t="s">
        <v>273</v>
      </c>
      <c r="G3364" t="s">
        <v>10396</v>
      </c>
      <c r="H3364" t="s">
        <v>275</v>
      </c>
      <c r="I3364" t="s">
        <v>29</v>
      </c>
      <c r="J3364">
        <v>1</v>
      </c>
      <c r="K3364">
        <f>1-888-658-268</f>
        <v>-1813</v>
      </c>
      <c r="L3364" t="s">
        <v>10517</v>
      </c>
      <c r="M3364" t="s">
        <v>10518</v>
      </c>
      <c r="N3364" t="s">
        <v>278</v>
      </c>
      <c r="O3364" t="s">
        <v>28</v>
      </c>
      <c r="P3364" t="s">
        <v>29</v>
      </c>
      <c r="Q3364">
        <v>29</v>
      </c>
      <c r="R3364">
        <v>-98.5</v>
      </c>
    </row>
    <row r="3365" spans="1:18" x14ac:dyDescent="0.2">
      <c r="A3365" t="s">
        <v>270</v>
      </c>
      <c r="B3365" t="s">
        <v>10394</v>
      </c>
      <c r="C3365">
        <v>1</v>
      </c>
      <c r="D3365" s="1">
        <v>44074.930115740739</v>
      </c>
      <c r="E3365" t="s">
        <v>10519</v>
      </c>
      <c r="F3365" t="s">
        <v>273</v>
      </c>
      <c r="G3365" t="s">
        <v>10396</v>
      </c>
      <c r="H3365" t="s">
        <v>275</v>
      </c>
      <c r="I3365" t="s">
        <v>29</v>
      </c>
      <c r="J3365">
        <v>1</v>
      </c>
      <c r="K3365">
        <f>1-888-654-8048</f>
        <v>-9589</v>
      </c>
      <c r="L3365" t="s">
        <v>10520</v>
      </c>
      <c r="M3365" t="s">
        <v>10521</v>
      </c>
      <c r="N3365" t="s">
        <v>278</v>
      </c>
      <c r="O3365" t="s">
        <v>28</v>
      </c>
      <c r="P3365" t="s">
        <v>29</v>
      </c>
      <c r="Q3365">
        <v>29</v>
      </c>
      <c r="R3365">
        <v>-98.5</v>
      </c>
    </row>
    <row r="3366" spans="1:18" x14ac:dyDescent="0.2">
      <c r="A3366" t="s">
        <v>270</v>
      </c>
      <c r="B3366" t="s">
        <v>10394</v>
      </c>
      <c r="C3366">
        <v>1</v>
      </c>
      <c r="D3366" s="1">
        <v>44074.929479166669</v>
      </c>
      <c r="E3366" t="s">
        <v>10522</v>
      </c>
      <c r="F3366" t="s">
        <v>273</v>
      </c>
      <c r="G3366" t="s">
        <v>10396</v>
      </c>
      <c r="H3366" t="s">
        <v>275</v>
      </c>
      <c r="I3366" t="s">
        <v>29</v>
      </c>
      <c r="J3366">
        <v>1</v>
      </c>
      <c r="K3366">
        <f>1-888-632-364</f>
        <v>-1883</v>
      </c>
      <c r="L3366" t="s">
        <v>10523</v>
      </c>
      <c r="M3366" t="s">
        <v>10524</v>
      </c>
      <c r="N3366" t="s">
        <v>278</v>
      </c>
      <c r="O3366" t="s">
        <v>28</v>
      </c>
      <c r="P3366" t="s">
        <v>29</v>
      </c>
      <c r="Q3366">
        <v>29</v>
      </c>
      <c r="R3366">
        <v>-98.5</v>
      </c>
    </row>
    <row r="3367" spans="1:18" x14ac:dyDescent="0.2">
      <c r="A3367" t="s">
        <v>270</v>
      </c>
      <c r="B3367" t="s">
        <v>10394</v>
      </c>
      <c r="C3367">
        <v>1</v>
      </c>
      <c r="D3367" s="1">
        <v>44073.941307870373</v>
      </c>
      <c r="E3367" t="s">
        <v>10525</v>
      </c>
      <c r="F3367" t="s">
        <v>273</v>
      </c>
      <c r="G3367" t="s">
        <v>10396</v>
      </c>
      <c r="H3367" t="s">
        <v>275</v>
      </c>
      <c r="I3367" t="s">
        <v>29</v>
      </c>
      <c r="J3367">
        <v>1</v>
      </c>
      <c r="K3367">
        <f>1-888-312-1413</f>
        <v>-2612</v>
      </c>
      <c r="L3367" t="s">
        <v>10526</v>
      </c>
      <c r="M3367" t="s">
        <v>10527</v>
      </c>
      <c r="N3367" t="s">
        <v>278</v>
      </c>
      <c r="O3367" t="s">
        <v>134</v>
      </c>
      <c r="P3367" t="s">
        <v>29</v>
      </c>
      <c r="Q3367">
        <v>29</v>
      </c>
      <c r="R3367">
        <v>-98.5</v>
      </c>
    </row>
    <row r="3368" spans="1:18" x14ac:dyDescent="0.2">
      <c r="A3368" t="s">
        <v>270</v>
      </c>
      <c r="B3368" t="s">
        <v>10394</v>
      </c>
      <c r="C3368">
        <v>1</v>
      </c>
      <c r="D3368" s="1">
        <v>44073.929282407407</v>
      </c>
      <c r="E3368" t="s">
        <v>10528</v>
      </c>
      <c r="F3368" t="s">
        <v>273</v>
      </c>
      <c r="G3368" t="s">
        <v>10396</v>
      </c>
      <c r="H3368" t="s">
        <v>275</v>
      </c>
      <c r="I3368" t="s">
        <v>29</v>
      </c>
      <c r="J3368">
        <v>1</v>
      </c>
      <c r="K3368">
        <f>1-888-526-3661</f>
        <v>-5074</v>
      </c>
      <c r="L3368" t="s">
        <v>10529</v>
      </c>
      <c r="M3368" t="s">
        <v>10530</v>
      </c>
      <c r="N3368" t="s">
        <v>278</v>
      </c>
      <c r="O3368" t="s">
        <v>134</v>
      </c>
      <c r="P3368" t="s">
        <v>29</v>
      </c>
      <c r="Q3368">
        <v>29</v>
      </c>
      <c r="R3368">
        <v>-98.5</v>
      </c>
    </row>
    <row r="3369" spans="1:18" x14ac:dyDescent="0.2">
      <c r="A3369" t="s">
        <v>270</v>
      </c>
      <c r="B3369" t="s">
        <v>10394</v>
      </c>
      <c r="C3369">
        <v>1</v>
      </c>
      <c r="D3369" s="1">
        <v>44073.062939814816</v>
      </c>
      <c r="E3369" t="s">
        <v>10531</v>
      </c>
      <c r="F3369" t="s">
        <v>273</v>
      </c>
      <c r="G3369" t="s">
        <v>10396</v>
      </c>
      <c r="H3369" t="s">
        <v>275</v>
      </c>
      <c r="I3369" t="s">
        <v>29</v>
      </c>
      <c r="J3369">
        <v>1</v>
      </c>
      <c r="K3369">
        <f>1-888-705-881</f>
        <v>-2473</v>
      </c>
      <c r="L3369" t="s">
        <v>10532</v>
      </c>
      <c r="M3369" t="s">
        <v>10533</v>
      </c>
      <c r="N3369" t="s">
        <v>278</v>
      </c>
      <c r="O3369" t="s">
        <v>134</v>
      </c>
      <c r="P3369" t="s">
        <v>29</v>
      </c>
      <c r="Q3369">
        <v>29</v>
      </c>
      <c r="R3369">
        <v>-98.5</v>
      </c>
    </row>
    <row r="3370" spans="1:18" x14ac:dyDescent="0.2">
      <c r="A3370" t="s">
        <v>270</v>
      </c>
      <c r="B3370" t="s">
        <v>10394</v>
      </c>
      <c r="C3370">
        <v>1</v>
      </c>
      <c r="D3370" s="1">
        <v>44073.027442129627</v>
      </c>
      <c r="E3370" t="s">
        <v>10534</v>
      </c>
      <c r="F3370" t="s">
        <v>273</v>
      </c>
      <c r="G3370" t="s">
        <v>10396</v>
      </c>
      <c r="H3370" t="s">
        <v>275</v>
      </c>
      <c r="I3370" t="s">
        <v>29</v>
      </c>
      <c r="J3370">
        <v>1</v>
      </c>
      <c r="K3370">
        <f>1-888-597-1445</f>
        <v>-2929</v>
      </c>
      <c r="L3370" t="s">
        <v>10535</v>
      </c>
      <c r="M3370" t="s">
        <v>10536</v>
      </c>
      <c r="N3370" t="s">
        <v>278</v>
      </c>
      <c r="O3370" t="s">
        <v>134</v>
      </c>
      <c r="P3370" t="s">
        <v>29</v>
      </c>
      <c r="Q3370">
        <v>29</v>
      </c>
      <c r="R3370">
        <v>-98.5</v>
      </c>
    </row>
    <row r="3371" spans="1:18" x14ac:dyDescent="0.2">
      <c r="A3371" t="s">
        <v>270</v>
      </c>
      <c r="B3371" t="s">
        <v>10394</v>
      </c>
      <c r="C3371">
        <v>1</v>
      </c>
      <c r="D3371" s="1">
        <v>44073.026678240742</v>
      </c>
      <c r="E3371" t="s">
        <v>10537</v>
      </c>
      <c r="F3371" t="s">
        <v>273</v>
      </c>
      <c r="G3371" t="s">
        <v>10396</v>
      </c>
      <c r="H3371" t="s">
        <v>275</v>
      </c>
      <c r="I3371" t="s">
        <v>29</v>
      </c>
      <c r="J3371">
        <v>1</v>
      </c>
      <c r="K3371">
        <f>1-888-909-1336</f>
        <v>-3132</v>
      </c>
      <c r="L3371" t="s">
        <v>10538</v>
      </c>
      <c r="M3371" t="s">
        <v>10539</v>
      </c>
      <c r="N3371" t="s">
        <v>278</v>
      </c>
      <c r="O3371" t="s">
        <v>134</v>
      </c>
      <c r="P3371" t="s">
        <v>29</v>
      </c>
      <c r="Q3371">
        <v>29</v>
      </c>
      <c r="R3371">
        <v>-98.5</v>
      </c>
    </row>
    <row r="3372" spans="1:18" x14ac:dyDescent="0.2">
      <c r="A3372" t="s">
        <v>270</v>
      </c>
      <c r="B3372" t="s">
        <v>10394</v>
      </c>
      <c r="C3372">
        <v>1</v>
      </c>
      <c r="D3372" s="1">
        <v>44072.869849537034</v>
      </c>
      <c r="E3372" t="s">
        <v>10540</v>
      </c>
      <c r="F3372" t="s">
        <v>273</v>
      </c>
      <c r="G3372" t="s">
        <v>10396</v>
      </c>
      <c r="H3372" t="s">
        <v>275</v>
      </c>
      <c r="I3372" t="s">
        <v>29</v>
      </c>
      <c r="J3372">
        <v>1</v>
      </c>
      <c r="K3372">
        <f>1-888-662-8133</f>
        <v>-9682</v>
      </c>
      <c r="L3372" t="s">
        <v>10541</v>
      </c>
      <c r="M3372" t="s">
        <v>10542</v>
      </c>
      <c r="N3372" t="s">
        <v>278</v>
      </c>
      <c r="O3372" t="s">
        <v>134</v>
      </c>
      <c r="P3372" t="s">
        <v>29</v>
      </c>
      <c r="Q3372">
        <v>29</v>
      </c>
      <c r="R3372">
        <v>-98.5</v>
      </c>
    </row>
    <row r="3373" spans="1:18" x14ac:dyDescent="0.2">
      <c r="A3373" t="s">
        <v>270</v>
      </c>
      <c r="B3373" t="s">
        <v>10394</v>
      </c>
      <c r="C3373">
        <v>1</v>
      </c>
      <c r="D3373" s="1">
        <v>44072.868252314816</v>
      </c>
      <c r="E3373" t="s">
        <v>10543</v>
      </c>
      <c r="F3373" t="s">
        <v>273</v>
      </c>
      <c r="G3373" t="s">
        <v>10396</v>
      </c>
      <c r="H3373" t="s">
        <v>275</v>
      </c>
      <c r="I3373" t="s">
        <v>29</v>
      </c>
      <c r="J3373">
        <v>1</v>
      </c>
      <c r="K3373">
        <f>1-888-619-5735</f>
        <v>-7241</v>
      </c>
      <c r="L3373" t="s">
        <v>10544</v>
      </c>
      <c r="M3373" t="s">
        <v>10545</v>
      </c>
      <c r="N3373" t="s">
        <v>278</v>
      </c>
      <c r="O3373" t="s">
        <v>134</v>
      </c>
      <c r="P3373" t="s">
        <v>29</v>
      </c>
      <c r="Q3373">
        <v>29</v>
      </c>
      <c r="R3373">
        <v>-98.5</v>
      </c>
    </row>
    <row r="3374" spans="1:18" x14ac:dyDescent="0.2">
      <c r="A3374" t="s">
        <v>270</v>
      </c>
      <c r="B3374" t="s">
        <v>10394</v>
      </c>
      <c r="C3374">
        <v>1</v>
      </c>
      <c r="D3374" s="1">
        <v>44072.867835648147</v>
      </c>
      <c r="E3374" t="s">
        <v>10546</v>
      </c>
      <c r="F3374" t="s">
        <v>273</v>
      </c>
      <c r="G3374" t="s">
        <v>10396</v>
      </c>
      <c r="H3374" t="s">
        <v>275</v>
      </c>
      <c r="I3374" t="s">
        <v>29</v>
      </c>
      <c r="J3374">
        <v>1</v>
      </c>
      <c r="K3374">
        <f>1-888-594-3468</f>
        <v>-4949</v>
      </c>
      <c r="L3374" t="s">
        <v>10547</v>
      </c>
      <c r="M3374" t="s">
        <v>10548</v>
      </c>
      <c r="N3374" t="s">
        <v>278</v>
      </c>
      <c r="O3374" t="s">
        <v>134</v>
      </c>
      <c r="P3374" t="s">
        <v>29</v>
      </c>
      <c r="Q3374">
        <v>29</v>
      </c>
      <c r="R3374">
        <v>-98.5</v>
      </c>
    </row>
    <row r="3375" spans="1:18" x14ac:dyDescent="0.2">
      <c r="A3375" t="s">
        <v>270</v>
      </c>
      <c r="B3375" t="s">
        <v>10394</v>
      </c>
      <c r="C3375">
        <v>1</v>
      </c>
      <c r="D3375" s="1">
        <v>44072.866712962961</v>
      </c>
      <c r="E3375" t="s">
        <v>10549</v>
      </c>
      <c r="F3375" t="s">
        <v>273</v>
      </c>
      <c r="G3375" t="s">
        <v>10396</v>
      </c>
      <c r="H3375" t="s">
        <v>275</v>
      </c>
      <c r="I3375" t="s">
        <v>29</v>
      </c>
      <c r="J3375">
        <v>1</v>
      </c>
      <c r="K3375">
        <f>1-888-604-806</f>
        <v>-2297</v>
      </c>
      <c r="L3375" t="s">
        <v>10550</v>
      </c>
      <c r="M3375" t="s">
        <v>10551</v>
      </c>
      <c r="N3375" t="s">
        <v>278</v>
      </c>
      <c r="O3375" t="s">
        <v>134</v>
      </c>
      <c r="P3375" t="s">
        <v>29</v>
      </c>
      <c r="Q3375">
        <v>29</v>
      </c>
      <c r="R3375">
        <v>-98.5</v>
      </c>
    </row>
    <row r="3376" spans="1:18" x14ac:dyDescent="0.2">
      <c r="A3376" t="s">
        <v>270</v>
      </c>
      <c r="B3376" t="s">
        <v>10394</v>
      </c>
      <c r="C3376">
        <v>1</v>
      </c>
      <c r="D3376" s="1">
        <v>44072.866412037038</v>
      </c>
      <c r="E3376" t="s">
        <v>10552</v>
      </c>
      <c r="F3376" t="s">
        <v>273</v>
      </c>
      <c r="G3376" t="s">
        <v>10396</v>
      </c>
      <c r="H3376" t="s">
        <v>275</v>
      </c>
      <c r="I3376" t="s">
        <v>29</v>
      </c>
      <c r="J3376">
        <v>1</v>
      </c>
      <c r="K3376">
        <f>1-888-604-806</f>
        <v>-2297</v>
      </c>
      <c r="L3376" t="s">
        <v>10553</v>
      </c>
      <c r="M3376" t="s">
        <v>10554</v>
      </c>
      <c r="N3376" t="s">
        <v>278</v>
      </c>
      <c r="O3376" t="s">
        <v>134</v>
      </c>
      <c r="P3376" t="s">
        <v>29</v>
      </c>
      <c r="Q3376">
        <v>29</v>
      </c>
      <c r="R3376">
        <v>-98.5</v>
      </c>
    </row>
    <row r="3377" spans="1:18" x14ac:dyDescent="0.2">
      <c r="A3377" t="s">
        <v>270</v>
      </c>
      <c r="B3377" t="s">
        <v>10394</v>
      </c>
      <c r="C3377">
        <v>1</v>
      </c>
      <c r="D3377" s="1">
        <v>44072.865636574075</v>
      </c>
      <c r="E3377" t="s">
        <v>10555</v>
      </c>
      <c r="F3377" t="s">
        <v>273</v>
      </c>
      <c r="G3377" t="s">
        <v>10396</v>
      </c>
      <c r="H3377" t="s">
        <v>275</v>
      </c>
      <c r="I3377" t="s">
        <v>29</v>
      </c>
      <c r="J3377">
        <v>1</v>
      </c>
      <c r="K3377">
        <f>1-888-604-806</f>
        <v>-2297</v>
      </c>
      <c r="L3377" t="s">
        <v>10556</v>
      </c>
      <c r="M3377" t="s">
        <v>10557</v>
      </c>
      <c r="N3377" t="s">
        <v>278</v>
      </c>
      <c r="O3377" t="s">
        <v>134</v>
      </c>
      <c r="P3377" t="s">
        <v>29</v>
      </c>
      <c r="Q3377">
        <v>29</v>
      </c>
      <c r="R3377">
        <v>-98.5</v>
      </c>
    </row>
    <row r="3378" spans="1:18" x14ac:dyDescent="0.2">
      <c r="A3378" t="s">
        <v>270</v>
      </c>
      <c r="B3378" t="s">
        <v>10394</v>
      </c>
      <c r="C3378">
        <v>1</v>
      </c>
      <c r="D3378" s="1">
        <v>44071.974085648151</v>
      </c>
      <c r="E3378" t="s">
        <v>10558</v>
      </c>
      <c r="F3378" t="s">
        <v>273</v>
      </c>
      <c r="G3378" t="s">
        <v>10396</v>
      </c>
      <c r="H3378" t="s">
        <v>275</v>
      </c>
      <c r="I3378" t="s">
        <v>29</v>
      </c>
      <c r="J3378">
        <v>1</v>
      </c>
      <c r="K3378">
        <f>1-888-909-1270</f>
        <v>-3066</v>
      </c>
      <c r="L3378" t="s">
        <v>10559</v>
      </c>
      <c r="M3378" t="s">
        <v>10560</v>
      </c>
      <c r="N3378" t="s">
        <v>278</v>
      </c>
      <c r="O3378" t="s">
        <v>134</v>
      </c>
      <c r="P3378" t="s">
        <v>29</v>
      </c>
      <c r="Q3378">
        <v>29</v>
      </c>
      <c r="R3378">
        <v>-98.5</v>
      </c>
    </row>
    <row r="3379" spans="1:18" x14ac:dyDescent="0.2">
      <c r="A3379" t="s">
        <v>270</v>
      </c>
      <c r="B3379" t="s">
        <v>10394</v>
      </c>
      <c r="C3379">
        <v>1</v>
      </c>
      <c r="D3379" s="1">
        <v>44071.906851851854</v>
      </c>
      <c r="E3379" t="s">
        <v>10561</v>
      </c>
      <c r="F3379" t="s">
        <v>273</v>
      </c>
      <c r="G3379" t="s">
        <v>10396</v>
      </c>
      <c r="H3379" t="s">
        <v>275</v>
      </c>
      <c r="I3379" t="s">
        <v>29</v>
      </c>
      <c r="J3379">
        <v>1</v>
      </c>
      <c r="K3379">
        <f>1-888-383-569</f>
        <v>-1839</v>
      </c>
      <c r="L3379" t="s">
        <v>10562</v>
      </c>
      <c r="M3379" t="s">
        <v>10563</v>
      </c>
      <c r="N3379" t="s">
        <v>278</v>
      </c>
      <c r="O3379" t="s">
        <v>134</v>
      </c>
      <c r="P3379" t="s">
        <v>29</v>
      </c>
      <c r="Q3379">
        <v>29</v>
      </c>
      <c r="R3379">
        <v>-98.5</v>
      </c>
    </row>
    <row r="3380" spans="1:18" x14ac:dyDescent="0.2">
      <c r="A3380" t="s">
        <v>270</v>
      </c>
      <c r="B3380" t="s">
        <v>10394</v>
      </c>
      <c r="C3380">
        <v>1</v>
      </c>
      <c r="D3380" s="1">
        <v>44071.903495370374</v>
      </c>
      <c r="E3380" t="s">
        <v>10564</v>
      </c>
      <c r="F3380" t="s">
        <v>273</v>
      </c>
      <c r="G3380" t="s">
        <v>10396</v>
      </c>
      <c r="H3380" t="s">
        <v>275</v>
      </c>
      <c r="I3380" t="s">
        <v>29</v>
      </c>
      <c r="J3380">
        <v>1</v>
      </c>
      <c r="K3380">
        <f>1-888-909-1327</f>
        <v>-3123</v>
      </c>
      <c r="L3380" t="s">
        <v>10565</v>
      </c>
      <c r="M3380" t="s">
        <v>10566</v>
      </c>
      <c r="N3380" t="s">
        <v>278</v>
      </c>
      <c r="O3380" t="s">
        <v>134</v>
      </c>
      <c r="P3380" t="s">
        <v>29</v>
      </c>
      <c r="Q3380">
        <v>29</v>
      </c>
      <c r="R3380">
        <v>-98.5</v>
      </c>
    </row>
    <row r="3381" spans="1:18" x14ac:dyDescent="0.2">
      <c r="A3381" t="s">
        <v>270</v>
      </c>
      <c r="B3381" t="s">
        <v>10394</v>
      </c>
      <c r="C3381">
        <v>1</v>
      </c>
      <c r="D3381" s="1">
        <v>44071.834363425929</v>
      </c>
      <c r="E3381" t="s">
        <v>10567</v>
      </c>
      <c r="F3381" t="s">
        <v>273</v>
      </c>
      <c r="G3381" t="s">
        <v>10396</v>
      </c>
      <c r="H3381" t="s">
        <v>275</v>
      </c>
      <c r="I3381" t="s">
        <v>29</v>
      </c>
      <c r="J3381">
        <v>1</v>
      </c>
      <c r="K3381">
        <f>1-888-585-7716</f>
        <v>-9188</v>
      </c>
      <c r="L3381" t="s">
        <v>10568</v>
      </c>
      <c r="M3381" t="s">
        <v>10569</v>
      </c>
      <c r="N3381" t="s">
        <v>278</v>
      </c>
      <c r="O3381" t="s">
        <v>28</v>
      </c>
      <c r="P3381" t="s">
        <v>29</v>
      </c>
      <c r="Q3381">
        <v>29</v>
      </c>
      <c r="R3381">
        <v>-98.5</v>
      </c>
    </row>
    <row r="3382" spans="1:18" x14ac:dyDescent="0.2">
      <c r="A3382" t="s">
        <v>270</v>
      </c>
      <c r="B3382" t="s">
        <v>10394</v>
      </c>
      <c r="C3382">
        <v>1</v>
      </c>
      <c r="D3382" s="1">
        <v>44070.739861111113</v>
      </c>
      <c r="E3382" t="s">
        <v>10570</v>
      </c>
      <c r="F3382" t="s">
        <v>273</v>
      </c>
      <c r="G3382" t="s">
        <v>10396</v>
      </c>
      <c r="H3382" t="s">
        <v>275</v>
      </c>
      <c r="I3382" t="s">
        <v>29</v>
      </c>
      <c r="J3382">
        <v>1</v>
      </c>
      <c r="K3382">
        <f>1-888-655-2343</f>
        <v>-3885</v>
      </c>
      <c r="L3382" t="s">
        <v>10571</v>
      </c>
      <c r="M3382" t="s">
        <v>10572</v>
      </c>
      <c r="N3382" t="s">
        <v>278</v>
      </c>
      <c r="O3382" t="s">
        <v>134</v>
      </c>
      <c r="P3382" t="s">
        <v>29</v>
      </c>
      <c r="Q3382">
        <v>29</v>
      </c>
      <c r="R3382">
        <v>-98.5</v>
      </c>
    </row>
    <row r="3383" spans="1:18" x14ac:dyDescent="0.2">
      <c r="A3383" t="s">
        <v>270</v>
      </c>
      <c r="B3383" t="s">
        <v>10394</v>
      </c>
      <c r="C3383">
        <v>1</v>
      </c>
      <c r="D3383" s="1">
        <v>44070.603541666664</v>
      </c>
      <c r="E3383" t="s">
        <v>10573</v>
      </c>
      <c r="F3383" t="s">
        <v>273</v>
      </c>
      <c r="G3383" t="s">
        <v>10396</v>
      </c>
      <c r="H3383" t="s">
        <v>275</v>
      </c>
      <c r="I3383" t="s">
        <v>29</v>
      </c>
      <c r="J3383">
        <v>1</v>
      </c>
      <c r="K3383">
        <f>1-888-527-4189</f>
        <v>-5603</v>
      </c>
      <c r="L3383" t="s">
        <v>10574</v>
      </c>
      <c r="M3383" t="s">
        <v>10575</v>
      </c>
      <c r="N3383" t="s">
        <v>278</v>
      </c>
      <c r="O3383" t="s">
        <v>134</v>
      </c>
      <c r="P3383" t="s">
        <v>29</v>
      </c>
      <c r="Q3383">
        <v>29</v>
      </c>
      <c r="R3383">
        <v>-98.5</v>
      </c>
    </row>
    <row r="3384" spans="1:18" x14ac:dyDescent="0.2">
      <c r="A3384" t="s">
        <v>270</v>
      </c>
      <c r="B3384" t="s">
        <v>10394</v>
      </c>
      <c r="C3384">
        <v>1</v>
      </c>
      <c r="D3384" s="1">
        <v>44070.586747685185</v>
      </c>
      <c r="E3384" t="s">
        <v>10576</v>
      </c>
      <c r="F3384" t="s">
        <v>273</v>
      </c>
      <c r="G3384" t="s">
        <v>10396</v>
      </c>
      <c r="H3384" t="s">
        <v>275</v>
      </c>
      <c r="I3384" t="s">
        <v>29</v>
      </c>
      <c r="J3384">
        <v>1</v>
      </c>
      <c r="K3384">
        <f>1-888-690-842</f>
        <v>-2419</v>
      </c>
      <c r="L3384" t="s">
        <v>10577</v>
      </c>
      <c r="M3384" t="s">
        <v>10578</v>
      </c>
      <c r="N3384" t="s">
        <v>278</v>
      </c>
      <c r="O3384" t="s">
        <v>134</v>
      </c>
      <c r="P3384" t="s">
        <v>29</v>
      </c>
      <c r="Q3384">
        <v>29</v>
      </c>
      <c r="R3384">
        <v>-98.5</v>
      </c>
    </row>
    <row r="3385" spans="1:18" x14ac:dyDescent="0.2">
      <c r="A3385" t="s">
        <v>270</v>
      </c>
      <c r="B3385" t="s">
        <v>10394</v>
      </c>
      <c r="C3385">
        <v>1</v>
      </c>
      <c r="D3385" s="1">
        <v>44070.582488425927</v>
      </c>
      <c r="E3385" t="s">
        <v>10579</v>
      </c>
      <c r="F3385" t="s">
        <v>273</v>
      </c>
      <c r="G3385" t="s">
        <v>10396</v>
      </c>
      <c r="H3385" t="s">
        <v>275</v>
      </c>
      <c r="I3385" t="s">
        <v>29</v>
      </c>
      <c r="J3385">
        <v>1</v>
      </c>
      <c r="K3385">
        <f>1-866-672-9693</f>
        <v>-11230</v>
      </c>
      <c r="L3385" t="s">
        <v>10580</v>
      </c>
      <c r="M3385" t="s">
        <v>10581</v>
      </c>
      <c r="N3385" t="s">
        <v>278</v>
      </c>
      <c r="O3385" t="s">
        <v>134</v>
      </c>
      <c r="P3385" t="s">
        <v>29</v>
      </c>
      <c r="Q3385">
        <v>29</v>
      </c>
      <c r="R3385">
        <v>-98.5</v>
      </c>
    </row>
    <row r="3386" spans="1:18" x14ac:dyDescent="0.2">
      <c r="A3386" t="s">
        <v>270</v>
      </c>
      <c r="B3386" t="s">
        <v>10394</v>
      </c>
      <c r="C3386">
        <v>1</v>
      </c>
      <c r="D3386" s="1">
        <v>44068.185972222222</v>
      </c>
      <c r="E3386" t="s">
        <v>10582</v>
      </c>
      <c r="F3386" t="s">
        <v>273</v>
      </c>
      <c r="G3386" t="s">
        <v>10396</v>
      </c>
      <c r="H3386" t="s">
        <v>275</v>
      </c>
      <c r="I3386" t="s">
        <v>29</v>
      </c>
      <c r="J3386">
        <v>1</v>
      </c>
      <c r="K3386">
        <f>1-888-523-5728</f>
        <v>-7138</v>
      </c>
      <c r="L3386" t="s">
        <v>10583</v>
      </c>
      <c r="M3386" t="s">
        <v>10584</v>
      </c>
      <c r="N3386" t="s">
        <v>278</v>
      </c>
      <c r="O3386" t="s">
        <v>134</v>
      </c>
      <c r="P3386" t="s">
        <v>29</v>
      </c>
      <c r="Q3386">
        <v>29</v>
      </c>
      <c r="R3386">
        <v>-98.5</v>
      </c>
    </row>
    <row r="3387" spans="1:18" x14ac:dyDescent="0.2">
      <c r="A3387" t="s">
        <v>270</v>
      </c>
      <c r="B3387" t="s">
        <v>10394</v>
      </c>
      <c r="C3387">
        <v>1</v>
      </c>
      <c r="D3387" s="1">
        <v>44068.032118055555</v>
      </c>
      <c r="E3387" t="s">
        <v>10585</v>
      </c>
      <c r="F3387" t="s">
        <v>273</v>
      </c>
      <c r="G3387" t="s">
        <v>10396</v>
      </c>
      <c r="H3387" t="s">
        <v>275</v>
      </c>
      <c r="I3387" t="s">
        <v>29</v>
      </c>
      <c r="J3387">
        <v>1</v>
      </c>
      <c r="K3387">
        <f>1-888-965-777</f>
        <v>-2629</v>
      </c>
      <c r="L3387" t="s">
        <v>10586</v>
      </c>
      <c r="M3387" t="s">
        <v>10587</v>
      </c>
      <c r="N3387" t="s">
        <v>278</v>
      </c>
      <c r="O3387" t="s">
        <v>28</v>
      </c>
      <c r="P3387" t="s">
        <v>29</v>
      </c>
      <c r="Q3387">
        <v>29</v>
      </c>
      <c r="R3387">
        <v>-98.5</v>
      </c>
    </row>
    <row r="3388" spans="1:18" x14ac:dyDescent="0.2">
      <c r="A3388" t="s">
        <v>270</v>
      </c>
      <c r="B3388" t="s">
        <v>10394</v>
      </c>
      <c r="C3388">
        <v>1</v>
      </c>
      <c r="D3388" s="1">
        <v>44068.028865740744</v>
      </c>
      <c r="E3388" t="s">
        <v>10588</v>
      </c>
      <c r="F3388" t="s">
        <v>273</v>
      </c>
      <c r="G3388" t="s">
        <v>10396</v>
      </c>
      <c r="H3388" t="s">
        <v>275</v>
      </c>
      <c r="I3388" t="s">
        <v>29</v>
      </c>
      <c r="J3388">
        <v>1</v>
      </c>
      <c r="K3388">
        <f>1-888-690-840</f>
        <v>-2417</v>
      </c>
      <c r="L3388" t="s">
        <v>10589</v>
      </c>
      <c r="M3388" t="s">
        <v>10590</v>
      </c>
      <c r="N3388" t="s">
        <v>278</v>
      </c>
      <c r="O3388" t="s">
        <v>28</v>
      </c>
      <c r="P3388" t="s">
        <v>29</v>
      </c>
      <c r="Q3388">
        <v>29</v>
      </c>
      <c r="R3388">
        <v>-98.5</v>
      </c>
    </row>
    <row r="3389" spans="1:18" x14ac:dyDescent="0.2">
      <c r="A3389" t="s">
        <v>270</v>
      </c>
      <c r="B3389" t="s">
        <v>10394</v>
      </c>
      <c r="C3389">
        <v>1</v>
      </c>
      <c r="D3389" s="1">
        <v>44068.027592592596</v>
      </c>
      <c r="E3389" t="s">
        <v>10591</v>
      </c>
      <c r="F3389" t="s">
        <v>273</v>
      </c>
      <c r="G3389" t="s">
        <v>10396</v>
      </c>
      <c r="H3389" t="s">
        <v>275</v>
      </c>
      <c r="I3389" t="s">
        <v>29</v>
      </c>
      <c r="J3389">
        <v>1</v>
      </c>
      <c r="K3389">
        <f>1-888-690-840</f>
        <v>-2417</v>
      </c>
      <c r="L3389" t="s">
        <v>10592</v>
      </c>
      <c r="M3389" t="s">
        <v>10593</v>
      </c>
      <c r="N3389" t="s">
        <v>278</v>
      </c>
      <c r="O3389" t="s">
        <v>28</v>
      </c>
      <c r="P3389" t="s">
        <v>29</v>
      </c>
      <c r="Q3389">
        <v>29</v>
      </c>
      <c r="R3389">
        <v>-98.5</v>
      </c>
    </row>
    <row r="3390" spans="1:18" x14ac:dyDescent="0.2">
      <c r="A3390" t="s">
        <v>270</v>
      </c>
      <c r="B3390" t="s">
        <v>10394</v>
      </c>
      <c r="C3390">
        <v>1</v>
      </c>
      <c r="D3390" s="1">
        <v>44068.023148148146</v>
      </c>
      <c r="E3390" t="s">
        <v>10594</v>
      </c>
      <c r="F3390" t="s">
        <v>273</v>
      </c>
      <c r="G3390" t="s">
        <v>10396</v>
      </c>
      <c r="H3390" t="s">
        <v>275</v>
      </c>
      <c r="I3390" t="s">
        <v>29</v>
      </c>
      <c r="J3390">
        <v>1</v>
      </c>
      <c r="K3390">
        <f>1-888-706-1246</f>
        <v>-2839</v>
      </c>
      <c r="L3390" t="s">
        <v>10595</v>
      </c>
      <c r="M3390" t="s">
        <v>10596</v>
      </c>
      <c r="N3390" t="s">
        <v>278</v>
      </c>
      <c r="O3390" t="s">
        <v>28</v>
      </c>
      <c r="P3390" t="s">
        <v>29</v>
      </c>
      <c r="Q3390">
        <v>29</v>
      </c>
      <c r="R3390">
        <v>-98.5</v>
      </c>
    </row>
    <row r="3391" spans="1:18" x14ac:dyDescent="0.2">
      <c r="A3391" t="s">
        <v>270</v>
      </c>
      <c r="B3391" t="s">
        <v>10394</v>
      </c>
      <c r="C3391">
        <v>1</v>
      </c>
      <c r="D3391" s="1">
        <v>44068.018599537034</v>
      </c>
      <c r="E3391" t="s">
        <v>10597</v>
      </c>
      <c r="F3391" t="s">
        <v>273</v>
      </c>
      <c r="G3391" t="s">
        <v>10396</v>
      </c>
      <c r="H3391" t="s">
        <v>275</v>
      </c>
      <c r="I3391" t="s">
        <v>29</v>
      </c>
      <c r="J3391">
        <v>1</v>
      </c>
      <c r="K3391">
        <f>1-888-706-1246</f>
        <v>-2839</v>
      </c>
      <c r="L3391" t="s">
        <v>10598</v>
      </c>
      <c r="M3391" t="s">
        <v>10599</v>
      </c>
      <c r="N3391" t="s">
        <v>278</v>
      </c>
      <c r="O3391" t="s">
        <v>28</v>
      </c>
      <c r="P3391" t="s">
        <v>29</v>
      </c>
      <c r="Q3391">
        <v>29</v>
      </c>
      <c r="R3391">
        <v>-98.5</v>
      </c>
    </row>
    <row r="3392" spans="1:18" x14ac:dyDescent="0.2">
      <c r="A3392" t="s">
        <v>270</v>
      </c>
      <c r="B3392" t="s">
        <v>10394</v>
      </c>
      <c r="C3392">
        <v>1</v>
      </c>
      <c r="D3392" s="1">
        <v>44066.538148148145</v>
      </c>
      <c r="E3392" t="s">
        <v>10600</v>
      </c>
      <c r="F3392" t="s">
        <v>273</v>
      </c>
      <c r="G3392" t="s">
        <v>10396</v>
      </c>
      <c r="H3392" t="s">
        <v>275</v>
      </c>
      <c r="I3392" t="s">
        <v>29</v>
      </c>
      <c r="J3392">
        <v>1</v>
      </c>
      <c r="K3392">
        <f>1-888-965-835</f>
        <v>-2687</v>
      </c>
      <c r="L3392" t="s">
        <v>10601</v>
      </c>
      <c r="M3392" t="s">
        <v>10602</v>
      </c>
      <c r="N3392" t="s">
        <v>278</v>
      </c>
      <c r="O3392" t="s">
        <v>134</v>
      </c>
      <c r="P3392" t="s">
        <v>29</v>
      </c>
      <c r="Q3392">
        <v>29</v>
      </c>
      <c r="R3392">
        <v>-98.5</v>
      </c>
    </row>
    <row r="3393" spans="1:18" x14ac:dyDescent="0.2">
      <c r="A3393" t="s">
        <v>270</v>
      </c>
      <c r="B3393" t="s">
        <v>10394</v>
      </c>
      <c r="C3393">
        <v>1</v>
      </c>
      <c r="D3393" s="1">
        <v>44045.639004629629</v>
      </c>
      <c r="E3393" t="s">
        <v>10603</v>
      </c>
      <c r="F3393" t="s">
        <v>273</v>
      </c>
      <c r="G3393" t="s">
        <v>10396</v>
      </c>
      <c r="H3393" t="s">
        <v>275</v>
      </c>
      <c r="I3393" t="s">
        <v>29</v>
      </c>
      <c r="J3393">
        <v>1</v>
      </c>
      <c r="K3393">
        <f>1-888-526-717</f>
        <v>-2130</v>
      </c>
      <c r="L3393" t="s">
        <v>10604</v>
      </c>
      <c r="M3393" t="s">
        <v>10605</v>
      </c>
      <c r="N3393" t="s">
        <v>278</v>
      </c>
      <c r="O3393" t="s">
        <v>134</v>
      </c>
      <c r="P3393" t="s">
        <v>29</v>
      </c>
      <c r="Q3393">
        <v>29</v>
      </c>
      <c r="R3393">
        <v>-98.5</v>
      </c>
    </row>
    <row r="3394" spans="1:18" x14ac:dyDescent="0.2">
      <c r="A3394" t="s">
        <v>270</v>
      </c>
      <c r="B3394" t="s">
        <v>10394</v>
      </c>
      <c r="C3394">
        <v>1</v>
      </c>
      <c r="D3394" s="1">
        <v>44032.788784722223</v>
      </c>
      <c r="E3394" t="s">
        <v>10606</v>
      </c>
      <c r="F3394" t="s">
        <v>273</v>
      </c>
      <c r="G3394" t="s">
        <v>10396</v>
      </c>
      <c r="H3394" t="s">
        <v>275</v>
      </c>
      <c r="I3394" t="s">
        <v>29</v>
      </c>
      <c r="J3394">
        <v>1</v>
      </c>
      <c r="K3394">
        <f>1-866-726-4621</f>
        <v>-6212</v>
      </c>
      <c r="L3394" t="s">
        <v>10607</v>
      </c>
      <c r="M3394" t="s">
        <v>10608</v>
      </c>
      <c r="N3394" t="s">
        <v>278</v>
      </c>
      <c r="O3394" t="s">
        <v>134</v>
      </c>
      <c r="P3394" t="s">
        <v>29</v>
      </c>
      <c r="Q3394">
        <v>29</v>
      </c>
      <c r="R3394">
        <v>-98.5</v>
      </c>
    </row>
    <row r="3395" spans="1:18" x14ac:dyDescent="0.2">
      <c r="A3395" t="s">
        <v>663</v>
      </c>
      <c r="B3395" t="s">
        <v>5784</v>
      </c>
      <c r="C3395">
        <v>1</v>
      </c>
      <c r="D3395" s="1">
        <v>44032.817488425928</v>
      </c>
      <c r="E3395" t="s">
        <v>10609</v>
      </c>
      <c r="F3395" t="s">
        <v>666</v>
      </c>
      <c r="G3395" t="s">
        <v>10610</v>
      </c>
      <c r="H3395" t="s">
        <v>667</v>
      </c>
      <c r="I3395" t="s">
        <v>29</v>
      </c>
      <c r="J3395">
        <v>1</v>
      </c>
      <c r="K3395">
        <f>1-866-749-6066</f>
        <v>-7680</v>
      </c>
      <c r="L3395" t="s">
        <v>10611</v>
      </c>
      <c r="M3395" t="s">
        <v>10612</v>
      </c>
      <c r="N3395" t="s">
        <v>452</v>
      </c>
      <c r="O3395" t="s">
        <v>28</v>
      </c>
      <c r="P3395" t="s">
        <v>5789</v>
      </c>
      <c r="Q3395">
        <v>13</v>
      </c>
      <c r="R3395">
        <v>77.593299999999999</v>
      </c>
    </row>
    <row r="3396" spans="1:18" x14ac:dyDescent="0.2">
      <c r="A3396" t="s">
        <v>663</v>
      </c>
      <c r="B3396" t="s">
        <v>3385</v>
      </c>
      <c r="C3396">
        <v>43</v>
      </c>
      <c r="D3396" s="1">
        <v>44033.378784722219</v>
      </c>
      <c r="E3396" t="s">
        <v>10613</v>
      </c>
      <c r="F3396" t="s">
        <v>666</v>
      </c>
      <c r="G3396" t="s">
        <v>10614</v>
      </c>
      <c r="H3396" t="s">
        <v>667</v>
      </c>
      <c r="I3396" t="s">
        <v>3432</v>
      </c>
      <c r="J3396">
        <v>43</v>
      </c>
      <c r="K3396">
        <f>43-670-308-150</f>
        <v>-1085</v>
      </c>
      <c r="L3396" t="s">
        <v>10615</v>
      </c>
      <c r="M3396" t="s">
        <v>10616</v>
      </c>
      <c r="N3396" t="s">
        <v>278</v>
      </c>
      <c r="O3396" t="s">
        <v>134</v>
      </c>
      <c r="P3396" t="s">
        <v>29</v>
      </c>
      <c r="Q3396">
        <v>41</v>
      </c>
      <c r="R3396">
        <v>-73.996600000000001</v>
      </c>
    </row>
    <row r="3397" spans="1:18" x14ac:dyDescent="0.2">
      <c r="A3397" t="s">
        <v>663</v>
      </c>
      <c r="B3397" t="s">
        <v>3385</v>
      </c>
      <c r="C3397">
        <v>43</v>
      </c>
      <c r="D3397" s="1">
        <v>44033.377118055556</v>
      </c>
      <c r="E3397" t="s">
        <v>10617</v>
      </c>
      <c r="F3397" t="s">
        <v>666</v>
      </c>
      <c r="G3397" t="s">
        <v>10614</v>
      </c>
      <c r="H3397" t="s">
        <v>667</v>
      </c>
      <c r="I3397" t="s">
        <v>3432</v>
      </c>
      <c r="J3397">
        <v>43</v>
      </c>
      <c r="K3397">
        <f>43-670-308-150</f>
        <v>-1085</v>
      </c>
      <c r="L3397" t="s">
        <v>10618</v>
      </c>
      <c r="M3397" t="s">
        <v>10619</v>
      </c>
      <c r="N3397" t="s">
        <v>278</v>
      </c>
      <c r="O3397" t="s">
        <v>134</v>
      </c>
      <c r="P3397" t="s">
        <v>29</v>
      </c>
      <c r="Q3397">
        <v>41</v>
      </c>
      <c r="R3397">
        <v>-73.996600000000001</v>
      </c>
    </row>
    <row r="3398" spans="1:18" x14ac:dyDescent="0.2">
      <c r="A3398" t="s">
        <v>663</v>
      </c>
      <c r="B3398" t="s">
        <v>3385</v>
      </c>
      <c r="C3398">
        <v>43</v>
      </c>
      <c r="D3398" s="1">
        <v>44032.914687500001</v>
      </c>
      <c r="E3398" t="s">
        <v>10620</v>
      </c>
      <c r="F3398" t="s">
        <v>666</v>
      </c>
      <c r="G3398" t="s">
        <v>10614</v>
      </c>
      <c r="H3398" t="s">
        <v>667</v>
      </c>
      <c r="I3398" t="s">
        <v>3432</v>
      </c>
      <c r="J3398">
        <v>43</v>
      </c>
      <c r="K3398">
        <f>43-670-308-150</f>
        <v>-1085</v>
      </c>
      <c r="L3398" t="s">
        <v>10621</v>
      </c>
      <c r="M3398" t="s">
        <v>10622</v>
      </c>
      <c r="N3398" t="s">
        <v>447</v>
      </c>
      <c r="O3398" t="s">
        <v>28</v>
      </c>
      <c r="P3398" t="s">
        <v>29</v>
      </c>
      <c r="Q3398">
        <v>41</v>
      </c>
      <c r="R3398">
        <v>-73.996600000000001</v>
      </c>
    </row>
    <row r="3399" spans="1:18" x14ac:dyDescent="0.2">
      <c r="A3399" t="s">
        <v>663</v>
      </c>
      <c r="B3399" t="s">
        <v>3385</v>
      </c>
      <c r="C3399">
        <v>44</v>
      </c>
      <c r="D3399" s="1">
        <v>44033.586041666669</v>
      </c>
      <c r="E3399" t="s">
        <v>10623</v>
      </c>
      <c r="F3399" t="s">
        <v>666</v>
      </c>
      <c r="G3399" t="s">
        <v>10624</v>
      </c>
      <c r="H3399" t="s">
        <v>667</v>
      </c>
      <c r="I3399" t="s">
        <v>618</v>
      </c>
      <c r="J3399">
        <v>44</v>
      </c>
      <c r="K3399">
        <f>44-800-51-3726</f>
        <v>-4533</v>
      </c>
      <c r="L3399" t="s">
        <v>10625</v>
      </c>
      <c r="M3399" t="s">
        <v>10626</v>
      </c>
      <c r="N3399" t="s">
        <v>1645</v>
      </c>
      <c r="O3399" t="s">
        <v>28</v>
      </c>
      <c r="P3399" t="s">
        <v>29</v>
      </c>
      <c r="Q3399">
        <v>41</v>
      </c>
      <c r="R3399">
        <v>-73.996600000000001</v>
      </c>
    </row>
    <row r="3400" spans="1:18" x14ac:dyDescent="0.2">
      <c r="A3400" t="s">
        <v>2233</v>
      </c>
      <c r="B3400" t="s">
        <v>2234</v>
      </c>
      <c r="C3400">
        <v>49</v>
      </c>
      <c r="D3400" s="1">
        <v>44033.473969907405</v>
      </c>
      <c r="E3400" t="s">
        <v>10627</v>
      </c>
      <c r="F3400" t="s">
        <v>2236</v>
      </c>
      <c r="G3400" t="s">
        <v>10627</v>
      </c>
      <c r="H3400" t="s">
        <v>2237</v>
      </c>
      <c r="I3400" t="s">
        <v>24</v>
      </c>
      <c r="J3400">
        <v>49</v>
      </c>
      <c r="K3400">
        <f>49-800-7238478</f>
        <v>-7239229</v>
      </c>
      <c r="L3400" t="s">
        <v>10628</v>
      </c>
      <c r="M3400" t="s">
        <v>10629</v>
      </c>
      <c r="N3400">
        <v>219</v>
      </c>
      <c r="O3400" t="s">
        <v>134</v>
      </c>
      <c r="P3400" t="s">
        <v>29</v>
      </c>
      <c r="Q3400">
        <v>40</v>
      </c>
      <c r="R3400">
        <v>-83.114099999999993</v>
      </c>
    </row>
    <row r="3401" spans="1:18" x14ac:dyDescent="0.2">
      <c r="A3401" t="s">
        <v>2233</v>
      </c>
      <c r="B3401" t="s">
        <v>2234</v>
      </c>
      <c r="C3401">
        <v>49</v>
      </c>
      <c r="D3401" s="1">
        <v>44033.472905092596</v>
      </c>
      <c r="E3401" t="s">
        <v>10630</v>
      </c>
      <c r="F3401" t="s">
        <v>2236</v>
      </c>
      <c r="G3401" t="s">
        <v>10627</v>
      </c>
      <c r="H3401" t="s">
        <v>2237</v>
      </c>
      <c r="I3401" t="s">
        <v>24</v>
      </c>
      <c r="J3401">
        <v>49</v>
      </c>
      <c r="K3401">
        <f>49-800-7238478</f>
        <v>-7239229</v>
      </c>
      <c r="L3401" t="s">
        <v>10631</v>
      </c>
      <c r="M3401" t="s">
        <v>10632</v>
      </c>
      <c r="N3401" t="s">
        <v>10633</v>
      </c>
      <c r="O3401" t="s">
        <v>134</v>
      </c>
      <c r="P3401" t="s">
        <v>29</v>
      </c>
      <c r="Q3401">
        <v>40</v>
      </c>
      <c r="R3401">
        <v>-83.114099999999993</v>
      </c>
    </row>
    <row r="3402" spans="1:18" x14ac:dyDescent="0.2">
      <c r="A3402" t="s">
        <v>2349</v>
      </c>
      <c r="B3402" t="s">
        <v>10634</v>
      </c>
      <c r="C3402">
        <v>49</v>
      </c>
      <c r="D3402" s="1">
        <v>44033.542280092595</v>
      </c>
      <c r="E3402" t="s">
        <v>10635</v>
      </c>
      <c r="F3402" t="s">
        <v>4584</v>
      </c>
      <c r="G3402" t="s">
        <v>10635</v>
      </c>
      <c r="H3402" t="s">
        <v>2353</v>
      </c>
      <c r="I3402" t="s">
        <v>24</v>
      </c>
      <c r="J3402">
        <v>49</v>
      </c>
      <c r="K3402">
        <f>49-800-182-6614</f>
        <v>-7547</v>
      </c>
      <c r="L3402" t="s">
        <v>10636</v>
      </c>
      <c r="M3402" t="s">
        <v>10637</v>
      </c>
      <c r="N3402">
        <v>32</v>
      </c>
      <c r="O3402" t="s">
        <v>134</v>
      </c>
      <c r="P3402" t="s">
        <v>292</v>
      </c>
      <c r="Q3402">
        <v>49</v>
      </c>
      <c r="R3402">
        <v>2.3678300000000001</v>
      </c>
    </row>
    <row r="3403" spans="1:18" x14ac:dyDescent="0.2">
      <c r="A3403" t="s">
        <v>1637</v>
      </c>
      <c r="B3403" t="s">
        <v>10638</v>
      </c>
      <c r="C3403">
        <v>33</v>
      </c>
      <c r="D3403" s="1">
        <v>44046.596377314818</v>
      </c>
      <c r="E3403" t="s">
        <v>10639</v>
      </c>
      <c r="F3403" t="s">
        <v>10640</v>
      </c>
      <c r="G3403" t="s">
        <v>10639</v>
      </c>
      <c r="H3403" t="s">
        <v>1642</v>
      </c>
      <c r="I3403" t="s">
        <v>292</v>
      </c>
      <c r="J3403">
        <v>33</v>
      </c>
      <c r="K3403">
        <f>33-4-346-1-36</f>
        <v>-354</v>
      </c>
      <c r="L3403" t="s">
        <v>10641</v>
      </c>
      <c r="M3403" t="s">
        <v>10642</v>
      </c>
      <c r="N3403">
        <v>68</v>
      </c>
      <c r="O3403" t="s">
        <v>134</v>
      </c>
      <c r="P3403" t="s">
        <v>292</v>
      </c>
      <c r="Q3403">
        <v>46</v>
      </c>
      <c r="R3403">
        <v>4.9036</v>
      </c>
    </row>
    <row r="3404" spans="1:18" x14ac:dyDescent="0.2">
      <c r="A3404" t="s">
        <v>1637</v>
      </c>
      <c r="B3404" t="s">
        <v>10638</v>
      </c>
      <c r="C3404">
        <v>33</v>
      </c>
      <c r="D3404" s="1">
        <v>44033.659143518518</v>
      </c>
      <c r="E3404" t="s">
        <v>10643</v>
      </c>
      <c r="F3404" t="s">
        <v>10640</v>
      </c>
      <c r="G3404" t="s">
        <v>10639</v>
      </c>
      <c r="H3404" t="s">
        <v>1642</v>
      </c>
      <c r="I3404" t="s">
        <v>292</v>
      </c>
      <c r="J3404">
        <v>33</v>
      </c>
      <c r="K3404">
        <f>33-4-346-1-36</f>
        <v>-354</v>
      </c>
      <c r="L3404" t="s">
        <v>10644</v>
      </c>
      <c r="M3404" t="s">
        <v>10645</v>
      </c>
      <c r="N3404" t="s">
        <v>3295</v>
      </c>
      <c r="O3404" t="s">
        <v>134</v>
      </c>
      <c r="P3404" t="s">
        <v>292</v>
      </c>
      <c r="Q3404">
        <v>46</v>
      </c>
      <c r="R3404">
        <v>4.9036</v>
      </c>
    </row>
    <row r="3405" spans="1:18" x14ac:dyDescent="0.2">
      <c r="A3405" t="s">
        <v>1637</v>
      </c>
      <c r="B3405" t="s">
        <v>10638</v>
      </c>
      <c r="C3405">
        <v>49</v>
      </c>
      <c r="D3405" s="1">
        <v>44033.658425925925</v>
      </c>
      <c r="E3405" t="s">
        <v>10646</v>
      </c>
      <c r="F3405" t="s">
        <v>10640</v>
      </c>
      <c r="G3405" t="s">
        <v>10639</v>
      </c>
      <c r="H3405" t="s">
        <v>1642</v>
      </c>
      <c r="I3405" t="s">
        <v>24</v>
      </c>
      <c r="J3405">
        <v>49</v>
      </c>
      <c r="K3405">
        <f>49-4-346-1-36</f>
        <v>-338</v>
      </c>
      <c r="L3405" t="s">
        <v>10647</v>
      </c>
      <c r="M3405" t="s">
        <v>10648</v>
      </c>
      <c r="N3405" t="s">
        <v>10649</v>
      </c>
      <c r="O3405" t="s">
        <v>134</v>
      </c>
      <c r="P3405" t="s">
        <v>292</v>
      </c>
      <c r="Q3405">
        <v>46</v>
      </c>
      <c r="R3405">
        <v>4.9036</v>
      </c>
    </row>
    <row r="3406" spans="1:18" x14ac:dyDescent="0.2">
      <c r="A3406" t="s">
        <v>1637</v>
      </c>
      <c r="B3406" t="s">
        <v>10638</v>
      </c>
      <c r="C3406">
        <v>49</v>
      </c>
      <c r="D3406" s="1">
        <v>44033.658634259256</v>
      </c>
      <c r="E3406" t="s">
        <v>10650</v>
      </c>
      <c r="F3406" t="s">
        <v>10640</v>
      </c>
      <c r="G3406" t="s">
        <v>10639</v>
      </c>
      <c r="H3406" t="s">
        <v>1642</v>
      </c>
      <c r="I3406" t="s">
        <v>24</v>
      </c>
      <c r="J3406">
        <v>49</v>
      </c>
      <c r="K3406">
        <f>49-4-346-1-36</f>
        <v>-338</v>
      </c>
      <c r="L3406" t="s">
        <v>10651</v>
      </c>
      <c r="M3406" t="s">
        <v>10652</v>
      </c>
      <c r="N3406" t="s">
        <v>10649</v>
      </c>
      <c r="O3406" t="s">
        <v>134</v>
      </c>
      <c r="P3406" t="s">
        <v>292</v>
      </c>
      <c r="Q3406">
        <v>46</v>
      </c>
      <c r="R3406">
        <v>4.9036</v>
      </c>
    </row>
    <row r="3407" spans="1:18" x14ac:dyDescent="0.2">
      <c r="A3407" t="s">
        <v>1637</v>
      </c>
      <c r="B3407" t="s">
        <v>10638</v>
      </c>
      <c r="C3407">
        <v>41</v>
      </c>
      <c r="D3407" s="1">
        <v>44033.659456018519</v>
      </c>
      <c r="E3407" t="s">
        <v>10653</v>
      </c>
      <c r="F3407" t="s">
        <v>10640</v>
      </c>
      <c r="G3407" t="s">
        <v>10639</v>
      </c>
      <c r="H3407" t="s">
        <v>1642</v>
      </c>
      <c r="I3407" t="s">
        <v>204</v>
      </c>
      <c r="J3407">
        <v>41</v>
      </c>
      <c r="K3407">
        <f>41-4-346-1-36</f>
        <v>-346</v>
      </c>
      <c r="L3407" t="s">
        <v>10654</v>
      </c>
      <c r="M3407" t="s">
        <v>10655</v>
      </c>
      <c r="N3407" t="s">
        <v>10656</v>
      </c>
      <c r="O3407" t="s">
        <v>134</v>
      </c>
      <c r="P3407" t="s">
        <v>292</v>
      </c>
      <c r="Q3407">
        <v>46</v>
      </c>
      <c r="R3407">
        <v>4.9036</v>
      </c>
    </row>
    <row r="3408" spans="1:18" x14ac:dyDescent="0.2">
      <c r="A3408" t="s">
        <v>1637</v>
      </c>
      <c r="B3408" t="s">
        <v>10638</v>
      </c>
      <c r="C3408">
        <v>32</v>
      </c>
      <c r="D3408" s="1">
        <v>44033.612453703703</v>
      </c>
      <c r="E3408" t="s">
        <v>10657</v>
      </c>
      <c r="F3408" t="s">
        <v>10640</v>
      </c>
      <c r="G3408" t="s">
        <v>10639</v>
      </c>
      <c r="H3408" t="s">
        <v>1642</v>
      </c>
      <c r="I3408" t="s">
        <v>4288</v>
      </c>
      <c r="J3408">
        <v>32</v>
      </c>
      <c r="K3408">
        <f>32-4-346-1-36</f>
        <v>-355</v>
      </c>
      <c r="L3408" t="s">
        <v>10658</v>
      </c>
      <c r="M3408" t="s">
        <v>10659</v>
      </c>
      <c r="N3408" t="s">
        <v>7822</v>
      </c>
      <c r="O3408" t="s">
        <v>28</v>
      </c>
      <c r="P3408" t="s">
        <v>292</v>
      </c>
      <c r="Q3408">
        <v>46</v>
      </c>
      <c r="R3408">
        <v>4.9036</v>
      </c>
    </row>
    <row r="3409" spans="1:18" x14ac:dyDescent="0.2">
      <c r="A3409" t="s">
        <v>10660</v>
      </c>
      <c r="B3409" t="s">
        <v>4281</v>
      </c>
      <c r="C3409">
        <v>1</v>
      </c>
      <c r="D3409" s="1">
        <v>44250.891296296293</v>
      </c>
      <c r="E3409" t="s">
        <v>10661</v>
      </c>
      <c r="F3409" t="s">
        <v>10662</v>
      </c>
      <c r="G3409" t="s">
        <v>10663</v>
      </c>
      <c r="H3409" t="s">
        <v>10664</v>
      </c>
      <c r="I3409" t="s">
        <v>29</v>
      </c>
      <c r="J3409">
        <v>1</v>
      </c>
      <c r="K3409">
        <f>1-888-632-7310</f>
        <v>-8829</v>
      </c>
      <c r="L3409" t="s">
        <v>10665</v>
      </c>
      <c r="M3409" t="s">
        <v>10666</v>
      </c>
      <c r="N3409" t="s">
        <v>5468</v>
      </c>
      <c r="O3409" t="s">
        <v>28</v>
      </c>
      <c r="P3409" t="s">
        <v>24</v>
      </c>
      <c r="Q3409">
        <v>50</v>
      </c>
      <c r="R3409">
        <v>8.6843000000000004</v>
      </c>
    </row>
    <row r="3410" spans="1:18" x14ac:dyDescent="0.2">
      <c r="A3410" t="s">
        <v>10660</v>
      </c>
      <c r="B3410" t="s">
        <v>4281</v>
      </c>
      <c r="C3410">
        <v>1</v>
      </c>
      <c r="D3410" s="1">
        <v>44249.79787037037</v>
      </c>
      <c r="E3410" t="s">
        <v>10667</v>
      </c>
      <c r="F3410" t="s">
        <v>10662</v>
      </c>
      <c r="G3410" t="s">
        <v>10663</v>
      </c>
      <c r="H3410" t="s">
        <v>10664</v>
      </c>
      <c r="I3410" t="s">
        <v>29</v>
      </c>
      <c r="J3410">
        <v>1</v>
      </c>
      <c r="K3410">
        <f>1-888-585-6435</f>
        <v>-7907</v>
      </c>
      <c r="L3410" t="s">
        <v>10668</v>
      </c>
      <c r="M3410" t="s">
        <v>10669</v>
      </c>
      <c r="N3410" t="s">
        <v>5468</v>
      </c>
      <c r="O3410" t="s">
        <v>28</v>
      </c>
      <c r="P3410" t="s">
        <v>24</v>
      </c>
      <c r="Q3410">
        <v>50</v>
      </c>
      <c r="R3410">
        <v>8.6843000000000004</v>
      </c>
    </row>
    <row r="3411" spans="1:18" x14ac:dyDescent="0.2">
      <c r="A3411" t="s">
        <v>10660</v>
      </c>
      <c r="B3411" t="s">
        <v>4281</v>
      </c>
      <c r="C3411">
        <v>1</v>
      </c>
      <c r="D3411" s="1">
        <v>44244.713506944441</v>
      </c>
      <c r="E3411" t="s">
        <v>10670</v>
      </c>
      <c r="F3411" t="s">
        <v>10662</v>
      </c>
      <c r="G3411" t="s">
        <v>10663</v>
      </c>
      <c r="H3411" t="s">
        <v>10664</v>
      </c>
      <c r="I3411" t="s">
        <v>29</v>
      </c>
      <c r="J3411">
        <v>1</v>
      </c>
      <c r="K3411">
        <f>1-888-401-3648</f>
        <v>-4936</v>
      </c>
      <c r="L3411" t="s">
        <v>10671</v>
      </c>
      <c r="M3411" t="s">
        <v>10672</v>
      </c>
      <c r="N3411" t="s">
        <v>5468</v>
      </c>
      <c r="O3411" t="s">
        <v>28</v>
      </c>
      <c r="P3411" t="s">
        <v>24</v>
      </c>
      <c r="Q3411">
        <v>50</v>
      </c>
      <c r="R3411">
        <v>8.6843000000000004</v>
      </c>
    </row>
    <row r="3412" spans="1:18" x14ac:dyDescent="0.2">
      <c r="A3412" t="s">
        <v>10660</v>
      </c>
      <c r="B3412" t="s">
        <v>4281</v>
      </c>
      <c r="C3412">
        <v>32</v>
      </c>
      <c r="D3412" s="1">
        <v>44033.612511574072</v>
      </c>
      <c r="E3412" t="s">
        <v>10673</v>
      </c>
      <c r="F3412" t="s">
        <v>10662</v>
      </c>
      <c r="G3412" t="s">
        <v>10663</v>
      </c>
      <c r="H3412" t="s">
        <v>10664</v>
      </c>
      <c r="I3412" t="s">
        <v>4288</v>
      </c>
      <c r="J3412">
        <v>32</v>
      </c>
      <c r="K3412">
        <f>32-6-36-81-455</f>
        <v>-546</v>
      </c>
      <c r="L3412" t="s">
        <v>10674</v>
      </c>
      <c r="M3412" t="s">
        <v>10675</v>
      </c>
      <c r="N3412" t="s">
        <v>5468</v>
      </c>
      <c r="O3412" t="s">
        <v>134</v>
      </c>
      <c r="P3412" t="s">
        <v>24</v>
      </c>
      <c r="Q3412">
        <v>50</v>
      </c>
      <c r="R3412">
        <v>8.6532999999999998</v>
      </c>
    </row>
    <row r="3413" spans="1:18" x14ac:dyDescent="0.2">
      <c r="A3413" t="s">
        <v>663</v>
      </c>
      <c r="B3413" t="s">
        <v>3385</v>
      </c>
      <c r="C3413">
        <v>43</v>
      </c>
      <c r="D3413" s="1">
        <v>44033.636157407411</v>
      </c>
      <c r="E3413" t="s">
        <v>10676</v>
      </c>
      <c r="F3413" t="s">
        <v>666</v>
      </c>
      <c r="G3413" t="s">
        <v>10677</v>
      </c>
      <c r="H3413" t="s">
        <v>667</v>
      </c>
      <c r="I3413" t="s">
        <v>3432</v>
      </c>
      <c r="J3413">
        <v>43</v>
      </c>
      <c r="K3413">
        <f>43-670-308-150</f>
        <v>-1085</v>
      </c>
      <c r="L3413" t="s">
        <v>10678</v>
      </c>
      <c r="M3413" t="s">
        <v>10679</v>
      </c>
      <c r="N3413" t="s">
        <v>674</v>
      </c>
      <c r="O3413" t="s">
        <v>28</v>
      </c>
      <c r="P3413" t="s">
        <v>29</v>
      </c>
      <c r="Q3413">
        <v>41</v>
      </c>
      <c r="R3413">
        <v>-74.006600000000006</v>
      </c>
    </row>
    <row r="3414" spans="1:18" x14ac:dyDescent="0.2">
      <c r="A3414" t="s">
        <v>663</v>
      </c>
      <c r="B3414" t="s">
        <v>4281</v>
      </c>
      <c r="C3414">
        <v>49</v>
      </c>
      <c r="D3414" s="1">
        <v>44033.732523148145</v>
      </c>
      <c r="E3414" t="s">
        <v>10680</v>
      </c>
      <c r="F3414" t="s">
        <v>666</v>
      </c>
      <c r="G3414" t="s">
        <v>10680</v>
      </c>
      <c r="H3414" t="s">
        <v>667</v>
      </c>
      <c r="I3414" t="s">
        <v>24</v>
      </c>
      <c r="J3414">
        <v>49</v>
      </c>
      <c r="K3414">
        <f>49-3221-300-1</f>
        <v>-3473</v>
      </c>
      <c r="L3414" t="s">
        <v>10681</v>
      </c>
      <c r="M3414" t="s">
        <v>10682</v>
      </c>
      <c r="N3414">
        <v>96</v>
      </c>
      <c r="O3414" t="s">
        <v>134</v>
      </c>
      <c r="P3414" t="s">
        <v>24</v>
      </c>
      <c r="Q3414">
        <v>50</v>
      </c>
      <c r="R3414">
        <v>8.6843000000000004</v>
      </c>
    </row>
    <row r="3415" spans="1:18" x14ac:dyDescent="0.2">
      <c r="A3415" t="s">
        <v>663</v>
      </c>
      <c r="B3415" t="s">
        <v>4281</v>
      </c>
      <c r="C3415">
        <v>49</v>
      </c>
      <c r="D3415" s="1">
        <v>44033.73133101852</v>
      </c>
      <c r="E3415" t="s">
        <v>10683</v>
      </c>
      <c r="F3415" t="s">
        <v>666</v>
      </c>
      <c r="G3415" t="s">
        <v>10680</v>
      </c>
      <c r="H3415" t="s">
        <v>667</v>
      </c>
      <c r="I3415" t="s">
        <v>24</v>
      </c>
      <c r="J3415">
        <v>49</v>
      </c>
      <c r="K3415">
        <f>49-3221-300-1</f>
        <v>-3473</v>
      </c>
      <c r="L3415" t="s">
        <v>10684</v>
      </c>
      <c r="M3415" t="s">
        <v>10685</v>
      </c>
      <c r="N3415" t="s">
        <v>3454</v>
      </c>
      <c r="O3415" t="s">
        <v>28</v>
      </c>
      <c r="P3415" t="s">
        <v>24</v>
      </c>
      <c r="Q3415">
        <v>50</v>
      </c>
      <c r="R3415">
        <v>8.6843000000000004</v>
      </c>
    </row>
    <row r="3416" spans="1:18" x14ac:dyDescent="0.2">
      <c r="A3416" t="s">
        <v>663</v>
      </c>
      <c r="B3416" t="s">
        <v>5337</v>
      </c>
      <c r="C3416">
        <v>1</v>
      </c>
      <c r="D3416" s="1">
        <v>44033.73133101852</v>
      </c>
      <c r="E3416" t="s">
        <v>10686</v>
      </c>
      <c r="F3416" t="s">
        <v>666</v>
      </c>
      <c r="G3416" t="s">
        <v>10687</v>
      </c>
      <c r="H3416" t="s">
        <v>667</v>
      </c>
      <c r="I3416" t="s">
        <v>29</v>
      </c>
      <c r="J3416">
        <v>1</v>
      </c>
      <c r="K3416">
        <f>1-47-800-62-628</f>
        <v>-1536</v>
      </c>
      <c r="L3416" t="s">
        <v>10688</v>
      </c>
      <c r="M3416" t="s">
        <v>10689</v>
      </c>
      <c r="N3416" t="s">
        <v>2475</v>
      </c>
      <c r="O3416" t="s">
        <v>28</v>
      </c>
      <c r="P3416" t="s">
        <v>29</v>
      </c>
      <c r="Q3416">
        <v>38</v>
      </c>
      <c r="R3416">
        <v>-99.999999000000003</v>
      </c>
    </row>
    <row r="3417" spans="1:18" x14ac:dyDescent="0.2">
      <c r="A3417" t="s">
        <v>5349</v>
      </c>
      <c r="B3417" t="s">
        <v>440</v>
      </c>
      <c r="C3417">
        <v>81</v>
      </c>
      <c r="D3417" s="1">
        <v>44034.167766203704</v>
      </c>
      <c r="E3417" t="s">
        <v>10690</v>
      </c>
      <c r="F3417" t="s">
        <v>2236</v>
      </c>
      <c r="G3417" t="s">
        <v>10690</v>
      </c>
      <c r="H3417" t="s">
        <v>2237</v>
      </c>
      <c r="I3417" t="s">
        <v>53</v>
      </c>
      <c r="J3417">
        <v>81</v>
      </c>
      <c r="K3417">
        <f>81-50-3196-532</f>
        <v>-3697</v>
      </c>
      <c r="L3417" t="s">
        <v>10691</v>
      </c>
      <c r="M3417" t="s">
        <v>10692</v>
      </c>
      <c r="N3417">
        <v>129</v>
      </c>
      <c r="O3417" t="s">
        <v>134</v>
      </c>
      <c r="P3417" t="s">
        <v>29</v>
      </c>
      <c r="Q3417">
        <v>39</v>
      </c>
      <c r="R3417">
        <v>-77.487399999999994</v>
      </c>
    </row>
    <row r="3418" spans="1:18" x14ac:dyDescent="0.2">
      <c r="A3418" t="s">
        <v>2233</v>
      </c>
      <c r="B3418" t="s">
        <v>440</v>
      </c>
      <c r="C3418">
        <v>1</v>
      </c>
      <c r="D3418" s="1">
        <v>44033.826041666667</v>
      </c>
      <c r="E3418" t="s">
        <v>10693</v>
      </c>
      <c r="F3418" t="s">
        <v>2236</v>
      </c>
      <c r="G3418" t="s">
        <v>10694</v>
      </c>
      <c r="H3418" t="s">
        <v>2237</v>
      </c>
      <c r="I3418" t="s">
        <v>29</v>
      </c>
      <c r="J3418">
        <v>1</v>
      </c>
      <c r="K3418">
        <f>1-855-945-3168</f>
        <v>-4967</v>
      </c>
      <c r="L3418" t="s">
        <v>10695</v>
      </c>
      <c r="M3418" t="s">
        <v>10696</v>
      </c>
      <c r="N3418" t="s">
        <v>10697</v>
      </c>
      <c r="O3418" t="s">
        <v>28</v>
      </c>
      <c r="P3418" t="s">
        <v>29</v>
      </c>
      <c r="Q3418">
        <v>39</v>
      </c>
      <c r="R3418">
        <v>-77.487399999999994</v>
      </c>
    </row>
    <row r="3419" spans="1:18" x14ac:dyDescent="0.2">
      <c r="A3419" t="s">
        <v>439</v>
      </c>
      <c r="B3419" t="s">
        <v>440</v>
      </c>
      <c r="C3419">
        <v>1</v>
      </c>
      <c r="D3419" s="1">
        <v>44033.854097222225</v>
      </c>
      <c r="E3419" t="s">
        <v>10698</v>
      </c>
      <c r="F3419" t="s">
        <v>442</v>
      </c>
      <c r="G3419" t="s">
        <v>10699</v>
      </c>
      <c r="H3419" t="s">
        <v>444</v>
      </c>
      <c r="I3419" t="s">
        <v>29</v>
      </c>
      <c r="J3419">
        <v>1</v>
      </c>
      <c r="K3419">
        <f>1-855-930-4586</f>
        <v>-6370</v>
      </c>
      <c r="L3419" t="s">
        <v>10700</v>
      </c>
      <c r="M3419" t="s">
        <v>10701</v>
      </c>
      <c r="N3419" t="s">
        <v>674</v>
      </c>
      <c r="O3419" t="s">
        <v>28</v>
      </c>
      <c r="P3419" t="s">
        <v>29</v>
      </c>
      <c r="Q3419">
        <v>39</v>
      </c>
      <c r="R3419">
        <v>-77.487399999999994</v>
      </c>
    </row>
    <row r="3420" spans="1:18" x14ac:dyDescent="0.2">
      <c r="A3420" t="s">
        <v>663</v>
      </c>
      <c r="B3420" t="s">
        <v>3245</v>
      </c>
      <c r="C3420">
        <v>61</v>
      </c>
      <c r="D3420" s="1">
        <v>44034.385879629626</v>
      </c>
      <c r="E3420" t="s">
        <v>10702</v>
      </c>
      <c r="F3420" t="s">
        <v>666</v>
      </c>
      <c r="G3420" t="s">
        <v>10702</v>
      </c>
      <c r="H3420" t="s">
        <v>667</v>
      </c>
      <c r="I3420" t="s">
        <v>782</v>
      </c>
      <c r="J3420">
        <v>61</v>
      </c>
      <c r="K3420">
        <f>61-1800-531-983</f>
        <v>-3253</v>
      </c>
      <c r="L3420" t="s">
        <v>10703</v>
      </c>
      <c r="M3420" t="s">
        <v>10704</v>
      </c>
      <c r="N3420">
        <v>162</v>
      </c>
      <c r="O3420" t="s">
        <v>134</v>
      </c>
      <c r="P3420" t="s">
        <v>29</v>
      </c>
      <c r="Q3420">
        <v>41</v>
      </c>
      <c r="R3420">
        <v>-74.140299999999996</v>
      </c>
    </row>
    <row r="3421" spans="1:18" x14ac:dyDescent="0.2">
      <c r="A3421" t="s">
        <v>663</v>
      </c>
      <c r="B3421" t="s">
        <v>3245</v>
      </c>
      <c r="C3421">
        <v>61</v>
      </c>
      <c r="D3421" s="1">
        <v>44034.045185185183</v>
      </c>
      <c r="E3421" t="s">
        <v>10705</v>
      </c>
      <c r="F3421" t="s">
        <v>666</v>
      </c>
      <c r="G3421" t="s">
        <v>10702</v>
      </c>
      <c r="H3421" t="s">
        <v>667</v>
      </c>
      <c r="I3421" t="s">
        <v>782</v>
      </c>
      <c r="J3421">
        <v>61</v>
      </c>
      <c r="K3421">
        <f>61-1800-531-983</f>
        <v>-3253</v>
      </c>
      <c r="L3421" t="s">
        <v>10706</v>
      </c>
      <c r="M3421" t="s">
        <v>10707</v>
      </c>
      <c r="N3421" t="s">
        <v>1645</v>
      </c>
      <c r="O3421" t="s">
        <v>28</v>
      </c>
      <c r="P3421" t="s">
        <v>29</v>
      </c>
      <c r="Q3421">
        <v>41</v>
      </c>
      <c r="R3421">
        <v>-74.140299999999996</v>
      </c>
    </row>
    <row r="3422" spans="1:18" x14ac:dyDescent="0.2">
      <c r="A3422" t="s">
        <v>2349</v>
      </c>
      <c r="B3422" t="s">
        <v>10708</v>
      </c>
      <c r="C3422">
        <v>1</v>
      </c>
      <c r="D3422" s="1">
        <v>44033.918819444443</v>
      </c>
      <c r="E3422" t="s">
        <v>10709</v>
      </c>
      <c r="F3422" t="s">
        <v>2352</v>
      </c>
      <c r="G3422" t="s">
        <v>10710</v>
      </c>
      <c r="H3422" t="s">
        <v>2353</v>
      </c>
      <c r="I3422" t="s">
        <v>29</v>
      </c>
      <c r="J3422">
        <v>1</v>
      </c>
      <c r="K3422">
        <f>1-833-917-9111</f>
        <v>-10860</v>
      </c>
      <c r="L3422" t="s">
        <v>10711</v>
      </c>
      <c r="M3422" t="s">
        <v>10712</v>
      </c>
      <c r="N3422" t="s">
        <v>452</v>
      </c>
      <c r="O3422" t="s">
        <v>28</v>
      </c>
      <c r="P3422" t="s">
        <v>782</v>
      </c>
      <c r="Q3422">
        <v>-34</v>
      </c>
      <c r="R3422">
        <v>99.999999000000003</v>
      </c>
    </row>
    <row r="3423" spans="1:18" x14ac:dyDescent="0.2">
      <c r="A3423" t="s">
        <v>2349</v>
      </c>
      <c r="B3423" t="s">
        <v>10708</v>
      </c>
      <c r="C3423">
        <v>1</v>
      </c>
      <c r="D3423" s="1">
        <v>44033.917766203704</v>
      </c>
      <c r="E3423" t="s">
        <v>10709</v>
      </c>
      <c r="F3423" t="s">
        <v>2352</v>
      </c>
      <c r="G3423" t="s">
        <v>10710</v>
      </c>
      <c r="H3423" t="s">
        <v>2353</v>
      </c>
      <c r="I3423" t="s">
        <v>29</v>
      </c>
      <c r="J3423">
        <v>1</v>
      </c>
      <c r="K3423">
        <f>1-866-754-3258</f>
        <v>-4877</v>
      </c>
      <c r="L3423" t="s">
        <v>10713</v>
      </c>
      <c r="M3423" t="s">
        <v>10714</v>
      </c>
      <c r="N3423" t="s">
        <v>452</v>
      </c>
      <c r="O3423" t="s">
        <v>28</v>
      </c>
      <c r="P3423" t="s">
        <v>782</v>
      </c>
      <c r="Q3423">
        <v>-34</v>
      </c>
      <c r="R3423">
        <v>99.999999000000003</v>
      </c>
    </row>
    <row r="3424" spans="1:18" x14ac:dyDescent="0.2">
      <c r="A3424" t="s">
        <v>439</v>
      </c>
      <c r="B3424" t="s">
        <v>3094</v>
      </c>
      <c r="C3424">
        <v>81</v>
      </c>
      <c r="D3424" s="1">
        <v>44034.16783564815</v>
      </c>
      <c r="E3424" t="s">
        <v>10715</v>
      </c>
      <c r="F3424" t="s">
        <v>442</v>
      </c>
      <c r="G3424" t="s">
        <v>10716</v>
      </c>
      <c r="H3424" t="s">
        <v>444</v>
      </c>
      <c r="I3424" t="s">
        <v>53</v>
      </c>
      <c r="J3424">
        <v>81</v>
      </c>
      <c r="K3424">
        <f>81-50-5809-3115</f>
        <v>-8893</v>
      </c>
      <c r="L3424" t="s">
        <v>10717</v>
      </c>
      <c r="M3424" t="s">
        <v>10718</v>
      </c>
      <c r="N3424" t="s">
        <v>674</v>
      </c>
      <c r="O3424" t="s">
        <v>28</v>
      </c>
      <c r="P3424" t="s">
        <v>2268</v>
      </c>
      <c r="Q3424">
        <v>46</v>
      </c>
      <c r="R3424">
        <v>-73.567300000000003</v>
      </c>
    </row>
    <row r="3425" spans="1:18" x14ac:dyDescent="0.2">
      <c r="A3425" t="s">
        <v>675</v>
      </c>
      <c r="B3425" t="s">
        <v>1412</v>
      </c>
      <c r="C3425">
        <v>420</v>
      </c>
      <c r="D3425" s="1">
        <v>44188.253449074073</v>
      </c>
      <c r="E3425" t="s">
        <v>10719</v>
      </c>
      <c r="F3425" t="s">
        <v>678</v>
      </c>
      <c r="G3425" t="s">
        <v>10720</v>
      </c>
      <c r="H3425" t="s">
        <v>680</v>
      </c>
      <c r="I3425" t="s">
        <v>10721</v>
      </c>
      <c r="J3425">
        <v>420</v>
      </c>
      <c r="K3425">
        <f>420-553-829-755</f>
        <v>-1717</v>
      </c>
      <c r="L3425" t="s">
        <v>10722</v>
      </c>
      <c r="M3425" t="s">
        <v>10723</v>
      </c>
      <c r="N3425" t="s">
        <v>2475</v>
      </c>
      <c r="O3425" t="s">
        <v>28</v>
      </c>
      <c r="P3425" t="s">
        <v>29</v>
      </c>
      <c r="Q3425">
        <v>41</v>
      </c>
      <c r="R3425">
        <v>-74.172399999999996</v>
      </c>
    </row>
    <row r="3426" spans="1:18" x14ac:dyDescent="0.2">
      <c r="A3426" t="s">
        <v>675</v>
      </c>
      <c r="B3426" t="s">
        <v>1412</v>
      </c>
      <c r="C3426">
        <v>33</v>
      </c>
      <c r="D3426" s="1">
        <v>44177.60019675926</v>
      </c>
      <c r="E3426" t="s">
        <v>10724</v>
      </c>
      <c r="F3426" t="s">
        <v>678</v>
      </c>
      <c r="G3426" t="s">
        <v>10720</v>
      </c>
      <c r="H3426" t="s">
        <v>680</v>
      </c>
      <c r="I3426" t="s">
        <v>292</v>
      </c>
      <c r="J3426">
        <v>33</v>
      </c>
      <c r="K3426">
        <f>33-420-553-829</f>
        <v>-1769</v>
      </c>
      <c r="L3426" t="s">
        <v>10725</v>
      </c>
      <c r="M3426" t="s">
        <v>10726</v>
      </c>
      <c r="N3426" t="s">
        <v>2475</v>
      </c>
      <c r="O3426" t="s">
        <v>28</v>
      </c>
      <c r="P3426" t="s">
        <v>29</v>
      </c>
      <c r="Q3426">
        <v>41</v>
      </c>
      <c r="R3426">
        <v>-74.172399999999996</v>
      </c>
    </row>
    <row r="3427" spans="1:18" x14ac:dyDescent="0.2">
      <c r="A3427" t="s">
        <v>675</v>
      </c>
      <c r="B3427" t="s">
        <v>1412</v>
      </c>
      <c r="C3427">
        <v>81</v>
      </c>
      <c r="D3427" s="1">
        <v>44034.168090277781</v>
      </c>
      <c r="E3427" t="s">
        <v>10727</v>
      </c>
      <c r="F3427" t="s">
        <v>678</v>
      </c>
      <c r="G3427" t="s">
        <v>10720</v>
      </c>
      <c r="H3427" t="s">
        <v>680</v>
      </c>
      <c r="I3427" t="s">
        <v>53</v>
      </c>
      <c r="J3427">
        <v>81</v>
      </c>
      <c r="K3427">
        <f>81-50-3196-4805</f>
        <v>-7970</v>
      </c>
      <c r="L3427" t="s">
        <v>10728</v>
      </c>
      <c r="M3427" t="s">
        <v>10729</v>
      </c>
      <c r="N3427" t="s">
        <v>2475</v>
      </c>
      <c r="O3427" t="s">
        <v>28</v>
      </c>
      <c r="P3427" t="s">
        <v>29</v>
      </c>
      <c r="Q3427">
        <v>41</v>
      </c>
      <c r="R3427">
        <v>-74.172399999999996</v>
      </c>
    </row>
    <row r="3428" spans="1:18" x14ac:dyDescent="0.2">
      <c r="A3428" t="s">
        <v>6660</v>
      </c>
      <c r="B3428" t="s">
        <v>10730</v>
      </c>
      <c r="C3428">
        <v>1</v>
      </c>
      <c r="D3428" s="1">
        <v>44152.956053240741</v>
      </c>
      <c r="E3428" t="s">
        <v>10731</v>
      </c>
      <c r="F3428" t="s">
        <v>6663</v>
      </c>
      <c r="G3428" t="s">
        <v>10732</v>
      </c>
      <c r="H3428" t="s">
        <v>6665</v>
      </c>
      <c r="I3428" t="s">
        <v>29</v>
      </c>
      <c r="J3428">
        <v>1</v>
      </c>
      <c r="K3428">
        <f>1-866-510-8012</f>
        <v>-9387</v>
      </c>
      <c r="L3428" t="s">
        <v>10733</v>
      </c>
      <c r="M3428" t="s">
        <v>10734</v>
      </c>
      <c r="N3428" t="s">
        <v>674</v>
      </c>
      <c r="O3428" t="s">
        <v>134</v>
      </c>
      <c r="P3428" t="s">
        <v>29</v>
      </c>
      <c r="Q3428">
        <v>38</v>
      </c>
      <c r="R3428">
        <v>-99.999999000000003</v>
      </c>
    </row>
    <row r="3429" spans="1:18" x14ac:dyDescent="0.2">
      <c r="A3429" t="s">
        <v>6660</v>
      </c>
      <c r="B3429" t="s">
        <v>10730</v>
      </c>
      <c r="C3429">
        <v>1</v>
      </c>
      <c r="D3429" s="1">
        <v>44152.946921296294</v>
      </c>
      <c r="E3429" t="s">
        <v>10735</v>
      </c>
      <c r="F3429" t="s">
        <v>6663</v>
      </c>
      <c r="G3429" t="s">
        <v>10732</v>
      </c>
      <c r="H3429" t="s">
        <v>6665</v>
      </c>
      <c r="I3429" t="s">
        <v>29</v>
      </c>
      <c r="J3429">
        <v>1</v>
      </c>
      <c r="K3429">
        <f>1-802-308-3856</f>
        <v>-4965</v>
      </c>
      <c r="L3429" t="s">
        <v>10736</v>
      </c>
      <c r="M3429" t="s">
        <v>10737</v>
      </c>
      <c r="N3429" t="s">
        <v>674</v>
      </c>
      <c r="O3429" t="s">
        <v>134</v>
      </c>
      <c r="P3429" t="s">
        <v>29</v>
      </c>
      <c r="Q3429">
        <v>38</v>
      </c>
      <c r="R3429">
        <v>-99.999999000000003</v>
      </c>
    </row>
    <row r="3430" spans="1:18" x14ac:dyDescent="0.2">
      <c r="A3430" t="s">
        <v>6660</v>
      </c>
      <c r="B3430" t="s">
        <v>10730</v>
      </c>
      <c r="C3430">
        <v>1</v>
      </c>
      <c r="D3430" s="1">
        <v>44141.961875000001</v>
      </c>
      <c r="E3430" t="s">
        <v>10738</v>
      </c>
      <c r="F3430" t="s">
        <v>6663</v>
      </c>
      <c r="G3430" t="s">
        <v>10732</v>
      </c>
      <c r="H3430" t="s">
        <v>6665</v>
      </c>
      <c r="I3430" t="s">
        <v>29</v>
      </c>
      <c r="J3430">
        <v>1</v>
      </c>
      <c r="K3430">
        <f>1-832-450-3396</f>
        <v>-4677</v>
      </c>
      <c r="L3430" t="s">
        <v>10739</v>
      </c>
      <c r="M3430" t="s">
        <v>10740</v>
      </c>
      <c r="N3430" t="s">
        <v>3441</v>
      </c>
      <c r="O3430" t="s">
        <v>134</v>
      </c>
      <c r="P3430" t="s">
        <v>29</v>
      </c>
      <c r="Q3430">
        <v>38</v>
      </c>
      <c r="R3430">
        <v>-99.999999000000003</v>
      </c>
    </row>
    <row r="3431" spans="1:18" x14ac:dyDescent="0.2">
      <c r="A3431" t="s">
        <v>6660</v>
      </c>
      <c r="B3431" t="s">
        <v>10730</v>
      </c>
      <c r="C3431">
        <v>1</v>
      </c>
      <c r="D3431" s="1">
        <v>44141.873842592591</v>
      </c>
      <c r="E3431" t="s">
        <v>10741</v>
      </c>
      <c r="F3431" t="s">
        <v>6663</v>
      </c>
      <c r="G3431" t="s">
        <v>10732</v>
      </c>
      <c r="H3431" t="s">
        <v>6665</v>
      </c>
      <c r="I3431" t="s">
        <v>29</v>
      </c>
      <c r="J3431">
        <v>1</v>
      </c>
      <c r="K3431">
        <f>1-808-774-7404</f>
        <v>-8985</v>
      </c>
      <c r="L3431" t="s">
        <v>10742</v>
      </c>
      <c r="M3431" t="s">
        <v>10743</v>
      </c>
      <c r="N3431" t="s">
        <v>213</v>
      </c>
      <c r="O3431" t="s">
        <v>134</v>
      </c>
      <c r="P3431" t="s">
        <v>29</v>
      </c>
      <c r="Q3431">
        <v>38</v>
      </c>
      <c r="R3431">
        <v>-99.999999000000003</v>
      </c>
    </row>
    <row r="3432" spans="1:18" x14ac:dyDescent="0.2">
      <c r="A3432" t="s">
        <v>6660</v>
      </c>
      <c r="B3432" t="s">
        <v>10730</v>
      </c>
      <c r="C3432">
        <v>1</v>
      </c>
      <c r="D3432" s="1">
        <v>44140.804791666669</v>
      </c>
      <c r="E3432" t="s">
        <v>10744</v>
      </c>
      <c r="F3432" t="s">
        <v>6663</v>
      </c>
      <c r="G3432" t="s">
        <v>10732</v>
      </c>
      <c r="H3432" t="s">
        <v>6665</v>
      </c>
      <c r="I3432" t="s">
        <v>29</v>
      </c>
      <c r="J3432">
        <v>1</v>
      </c>
      <c r="K3432">
        <f>1-808-774-7404</f>
        <v>-8985</v>
      </c>
      <c r="L3432" t="s">
        <v>10745</v>
      </c>
      <c r="M3432" t="s">
        <v>10746</v>
      </c>
      <c r="N3432" t="s">
        <v>447</v>
      </c>
      <c r="O3432" t="s">
        <v>134</v>
      </c>
      <c r="P3432" t="s">
        <v>29</v>
      </c>
      <c r="Q3432">
        <v>38</v>
      </c>
      <c r="R3432">
        <v>-99.999999000000003</v>
      </c>
    </row>
    <row r="3433" spans="1:18" x14ac:dyDescent="0.2">
      <c r="A3433" t="s">
        <v>6660</v>
      </c>
      <c r="B3433" t="s">
        <v>10730</v>
      </c>
      <c r="C3433">
        <v>1</v>
      </c>
      <c r="D3433" s="1">
        <v>44138.965949074074</v>
      </c>
      <c r="E3433" t="s">
        <v>10747</v>
      </c>
      <c r="F3433" t="s">
        <v>6663</v>
      </c>
      <c r="G3433" t="s">
        <v>10732</v>
      </c>
      <c r="H3433" t="s">
        <v>6665</v>
      </c>
      <c r="I3433" t="s">
        <v>29</v>
      </c>
      <c r="J3433">
        <v>1</v>
      </c>
      <c r="K3433">
        <f>1-808-774-7404</f>
        <v>-8985</v>
      </c>
      <c r="L3433" t="s">
        <v>10748</v>
      </c>
      <c r="M3433" t="s">
        <v>10749</v>
      </c>
      <c r="N3433" t="s">
        <v>3441</v>
      </c>
      <c r="O3433" t="s">
        <v>134</v>
      </c>
      <c r="P3433" t="s">
        <v>29</v>
      </c>
      <c r="Q3433">
        <v>38</v>
      </c>
      <c r="R3433">
        <v>-99.999999000000003</v>
      </c>
    </row>
    <row r="3434" spans="1:18" x14ac:dyDescent="0.2">
      <c r="A3434" t="s">
        <v>6660</v>
      </c>
      <c r="B3434" t="s">
        <v>10730</v>
      </c>
      <c r="C3434">
        <v>61</v>
      </c>
      <c r="D3434" s="1">
        <v>44096.898402777777</v>
      </c>
      <c r="E3434" t="s">
        <v>10750</v>
      </c>
      <c r="F3434" t="s">
        <v>6663</v>
      </c>
      <c r="G3434" t="s">
        <v>10732</v>
      </c>
      <c r="H3434" t="s">
        <v>6665</v>
      </c>
      <c r="I3434" t="s">
        <v>782</v>
      </c>
      <c r="J3434">
        <v>61</v>
      </c>
      <c r="K3434">
        <f>61-8-8121-5737</f>
        <v>-13805</v>
      </c>
      <c r="L3434" t="s">
        <v>10751</v>
      </c>
      <c r="M3434" t="s">
        <v>10752</v>
      </c>
      <c r="N3434" t="s">
        <v>213</v>
      </c>
      <c r="O3434" t="s">
        <v>134</v>
      </c>
      <c r="P3434" t="s">
        <v>29</v>
      </c>
      <c r="Q3434">
        <v>38</v>
      </c>
      <c r="R3434">
        <v>-99.999999000000003</v>
      </c>
    </row>
    <row r="3435" spans="1:18" x14ac:dyDescent="0.2">
      <c r="A3435" t="s">
        <v>6660</v>
      </c>
      <c r="B3435" t="s">
        <v>10730</v>
      </c>
      <c r="C3435">
        <v>1</v>
      </c>
      <c r="D3435" s="1">
        <v>44095.848333333335</v>
      </c>
      <c r="E3435" t="s">
        <v>10753</v>
      </c>
      <c r="F3435" t="s">
        <v>6663</v>
      </c>
      <c r="G3435" t="s">
        <v>10732</v>
      </c>
      <c r="H3435" t="s">
        <v>6665</v>
      </c>
      <c r="I3435" t="s">
        <v>29</v>
      </c>
      <c r="J3435">
        <v>1</v>
      </c>
      <c r="K3435">
        <f>1-866-954-7983</f>
        <v>-9802</v>
      </c>
      <c r="L3435" t="s">
        <v>10754</v>
      </c>
      <c r="M3435" t="s">
        <v>10755</v>
      </c>
      <c r="N3435" t="s">
        <v>674</v>
      </c>
      <c r="O3435" t="s">
        <v>134</v>
      </c>
      <c r="P3435" t="s">
        <v>29</v>
      </c>
      <c r="Q3435">
        <v>38</v>
      </c>
      <c r="R3435">
        <v>-99.999999000000003</v>
      </c>
    </row>
    <row r="3436" spans="1:18" x14ac:dyDescent="0.2">
      <c r="A3436" t="s">
        <v>6660</v>
      </c>
      <c r="B3436" t="s">
        <v>10730</v>
      </c>
      <c r="C3436">
        <v>1</v>
      </c>
      <c r="D3436" s="1">
        <v>44077.998611111114</v>
      </c>
      <c r="E3436" t="s">
        <v>10756</v>
      </c>
      <c r="F3436" t="s">
        <v>6663</v>
      </c>
      <c r="G3436" t="s">
        <v>10732</v>
      </c>
      <c r="H3436" t="s">
        <v>6665</v>
      </c>
      <c r="I3436" t="s">
        <v>29</v>
      </c>
      <c r="J3436">
        <v>1</v>
      </c>
      <c r="K3436">
        <f>1-866-636-8217</f>
        <v>-9718</v>
      </c>
      <c r="L3436" t="s">
        <v>10757</v>
      </c>
      <c r="M3436" t="s">
        <v>10758</v>
      </c>
      <c r="N3436" t="s">
        <v>447</v>
      </c>
      <c r="O3436" t="s">
        <v>134</v>
      </c>
      <c r="P3436" t="s">
        <v>29</v>
      </c>
      <c r="Q3436">
        <v>38</v>
      </c>
      <c r="R3436">
        <v>-99.999999000000003</v>
      </c>
    </row>
    <row r="3437" spans="1:18" x14ac:dyDescent="0.2">
      <c r="A3437" t="s">
        <v>6660</v>
      </c>
      <c r="B3437" t="s">
        <v>10730</v>
      </c>
      <c r="C3437">
        <v>1</v>
      </c>
      <c r="D3437" s="1">
        <v>44077.995416666665</v>
      </c>
      <c r="E3437" t="s">
        <v>10756</v>
      </c>
      <c r="F3437" t="s">
        <v>6663</v>
      </c>
      <c r="G3437" t="s">
        <v>10732</v>
      </c>
      <c r="H3437" t="s">
        <v>6665</v>
      </c>
      <c r="I3437" t="s">
        <v>29</v>
      </c>
      <c r="J3437">
        <v>1</v>
      </c>
      <c r="K3437">
        <f>1-808-774-7404</f>
        <v>-8985</v>
      </c>
      <c r="L3437" t="s">
        <v>10759</v>
      </c>
      <c r="M3437" t="s">
        <v>10760</v>
      </c>
      <c r="N3437" t="s">
        <v>447</v>
      </c>
      <c r="O3437" t="s">
        <v>134</v>
      </c>
      <c r="P3437" t="s">
        <v>29</v>
      </c>
      <c r="Q3437">
        <v>38</v>
      </c>
      <c r="R3437">
        <v>-99.999999000000003</v>
      </c>
    </row>
    <row r="3438" spans="1:18" x14ac:dyDescent="0.2">
      <c r="A3438" t="s">
        <v>6660</v>
      </c>
      <c r="B3438" t="s">
        <v>10730</v>
      </c>
      <c r="C3438">
        <v>1</v>
      </c>
      <c r="D3438" s="1">
        <v>44077.930543981478</v>
      </c>
      <c r="E3438" t="s">
        <v>10761</v>
      </c>
      <c r="F3438" t="s">
        <v>6663</v>
      </c>
      <c r="G3438" t="s">
        <v>10732</v>
      </c>
      <c r="H3438" t="s">
        <v>6665</v>
      </c>
      <c r="I3438" t="s">
        <v>29</v>
      </c>
      <c r="J3438">
        <v>1</v>
      </c>
      <c r="K3438">
        <f>1-866-271-3375</f>
        <v>-4511</v>
      </c>
      <c r="L3438" t="s">
        <v>10762</v>
      </c>
      <c r="M3438" t="s">
        <v>10763</v>
      </c>
      <c r="N3438" t="s">
        <v>213</v>
      </c>
      <c r="O3438" t="s">
        <v>134</v>
      </c>
      <c r="P3438" t="s">
        <v>29</v>
      </c>
      <c r="Q3438">
        <v>38</v>
      </c>
      <c r="R3438">
        <v>-99.999999000000003</v>
      </c>
    </row>
    <row r="3439" spans="1:18" x14ac:dyDescent="0.2">
      <c r="A3439" t="s">
        <v>6660</v>
      </c>
      <c r="B3439" t="s">
        <v>10730</v>
      </c>
      <c r="C3439">
        <v>1</v>
      </c>
      <c r="D3439" s="1">
        <v>44077.929409722223</v>
      </c>
      <c r="E3439" t="s">
        <v>10761</v>
      </c>
      <c r="F3439" t="s">
        <v>6663</v>
      </c>
      <c r="G3439" t="s">
        <v>10732</v>
      </c>
      <c r="H3439" t="s">
        <v>6665</v>
      </c>
      <c r="I3439" t="s">
        <v>29</v>
      </c>
      <c r="J3439">
        <v>1</v>
      </c>
      <c r="K3439">
        <f>1-808-774-7404</f>
        <v>-8985</v>
      </c>
      <c r="L3439" t="s">
        <v>10764</v>
      </c>
      <c r="M3439" t="s">
        <v>10765</v>
      </c>
      <c r="N3439" t="s">
        <v>213</v>
      </c>
      <c r="O3439" t="s">
        <v>134</v>
      </c>
      <c r="P3439" t="s">
        <v>29</v>
      </c>
      <c r="Q3439">
        <v>38</v>
      </c>
      <c r="R3439">
        <v>-99.999999000000003</v>
      </c>
    </row>
    <row r="3440" spans="1:18" x14ac:dyDescent="0.2">
      <c r="A3440" t="s">
        <v>6660</v>
      </c>
      <c r="B3440" t="s">
        <v>10730</v>
      </c>
      <c r="C3440">
        <v>1</v>
      </c>
      <c r="D3440" s="1">
        <v>44077.827303240738</v>
      </c>
      <c r="E3440" t="s">
        <v>10756</v>
      </c>
      <c r="F3440" t="s">
        <v>6663</v>
      </c>
      <c r="G3440" t="s">
        <v>10732</v>
      </c>
      <c r="H3440" t="s">
        <v>6665</v>
      </c>
      <c r="I3440" t="s">
        <v>29</v>
      </c>
      <c r="J3440">
        <v>1</v>
      </c>
      <c r="K3440">
        <f>1-866-271-3375</f>
        <v>-4511</v>
      </c>
      <c r="L3440" t="s">
        <v>10766</v>
      </c>
      <c r="M3440" t="s">
        <v>10767</v>
      </c>
      <c r="N3440" t="s">
        <v>447</v>
      </c>
      <c r="O3440" t="s">
        <v>134</v>
      </c>
      <c r="P3440" t="s">
        <v>29</v>
      </c>
      <c r="Q3440">
        <v>38</v>
      </c>
      <c r="R3440">
        <v>-99.999999000000003</v>
      </c>
    </row>
    <row r="3441" spans="1:18" x14ac:dyDescent="0.2">
      <c r="A3441" t="s">
        <v>6660</v>
      </c>
      <c r="B3441" t="s">
        <v>10730</v>
      </c>
      <c r="C3441">
        <v>1</v>
      </c>
      <c r="D3441" s="1">
        <v>44077.824664351851</v>
      </c>
      <c r="E3441" t="s">
        <v>10768</v>
      </c>
      <c r="F3441" t="s">
        <v>6663</v>
      </c>
      <c r="G3441" t="s">
        <v>10732</v>
      </c>
      <c r="H3441" t="s">
        <v>6665</v>
      </c>
      <c r="I3441" t="s">
        <v>29</v>
      </c>
      <c r="J3441">
        <v>1</v>
      </c>
      <c r="K3441">
        <f>1-866-300-4460</f>
        <v>-5625</v>
      </c>
      <c r="L3441" t="s">
        <v>10769</v>
      </c>
      <c r="M3441" t="s">
        <v>10770</v>
      </c>
      <c r="N3441" t="s">
        <v>3441</v>
      </c>
      <c r="O3441" t="s">
        <v>134</v>
      </c>
      <c r="P3441" t="s">
        <v>29</v>
      </c>
      <c r="Q3441">
        <v>38</v>
      </c>
      <c r="R3441">
        <v>-99.999999000000003</v>
      </c>
    </row>
    <row r="3442" spans="1:18" x14ac:dyDescent="0.2">
      <c r="A3442" t="s">
        <v>6660</v>
      </c>
      <c r="B3442" t="s">
        <v>10730</v>
      </c>
      <c r="C3442">
        <v>1</v>
      </c>
      <c r="D3442" s="1">
        <v>44071.117546296293</v>
      </c>
      <c r="E3442" t="s">
        <v>10771</v>
      </c>
      <c r="F3442" t="s">
        <v>6663</v>
      </c>
      <c r="G3442" t="s">
        <v>10732</v>
      </c>
      <c r="H3442" t="s">
        <v>6665</v>
      </c>
      <c r="I3442" t="s">
        <v>29</v>
      </c>
      <c r="J3442">
        <v>1</v>
      </c>
      <c r="K3442">
        <f>1-866-610-3661</f>
        <v>-5136</v>
      </c>
      <c r="L3442" t="s">
        <v>10772</v>
      </c>
      <c r="M3442" t="s">
        <v>10773</v>
      </c>
      <c r="N3442" t="s">
        <v>213</v>
      </c>
      <c r="O3442" t="s">
        <v>134</v>
      </c>
      <c r="P3442" t="s">
        <v>29</v>
      </c>
      <c r="Q3442">
        <v>38</v>
      </c>
      <c r="R3442">
        <v>-99.999999000000003</v>
      </c>
    </row>
    <row r="3443" spans="1:18" x14ac:dyDescent="0.2">
      <c r="A3443" t="s">
        <v>6660</v>
      </c>
      <c r="B3443" t="s">
        <v>10730</v>
      </c>
      <c r="C3443">
        <v>1</v>
      </c>
      <c r="D3443" s="1">
        <v>44070.879745370374</v>
      </c>
      <c r="E3443" t="s">
        <v>10774</v>
      </c>
      <c r="F3443" t="s">
        <v>6663</v>
      </c>
      <c r="G3443" t="s">
        <v>10732</v>
      </c>
      <c r="H3443" t="s">
        <v>6665</v>
      </c>
      <c r="I3443" t="s">
        <v>29</v>
      </c>
      <c r="J3443">
        <v>1</v>
      </c>
      <c r="K3443">
        <f>1-866-610-3661</f>
        <v>-5136</v>
      </c>
      <c r="L3443" t="s">
        <v>10775</v>
      </c>
      <c r="M3443" t="s">
        <v>10776</v>
      </c>
      <c r="N3443" t="s">
        <v>3441</v>
      </c>
      <c r="O3443" t="s">
        <v>134</v>
      </c>
      <c r="P3443" t="s">
        <v>29</v>
      </c>
      <c r="Q3443">
        <v>38</v>
      </c>
      <c r="R3443">
        <v>-99.999999000000003</v>
      </c>
    </row>
    <row r="3444" spans="1:18" x14ac:dyDescent="0.2">
      <c r="A3444" t="s">
        <v>6660</v>
      </c>
      <c r="B3444" t="s">
        <v>10730</v>
      </c>
      <c r="C3444">
        <v>1</v>
      </c>
      <c r="D3444" s="1">
        <v>44070.587453703702</v>
      </c>
      <c r="E3444" t="s">
        <v>10777</v>
      </c>
      <c r="F3444" t="s">
        <v>6663</v>
      </c>
      <c r="G3444" t="s">
        <v>10732</v>
      </c>
      <c r="H3444" t="s">
        <v>6665</v>
      </c>
      <c r="I3444" t="s">
        <v>29</v>
      </c>
      <c r="J3444">
        <v>1</v>
      </c>
      <c r="K3444">
        <f>1-866-271-3375</f>
        <v>-4511</v>
      </c>
      <c r="L3444" t="s">
        <v>10778</v>
      </c>
      <c r="M3444" t="s">
        <v>10779</v>
      </c>
      <c r="N3444" t="s">
        <v>3454</v>
      </c>
      <c r="O3444" t="s">
        <v>134</v>
      </c>
      <c r="P3444" t="s">
        <v>29</v>
      </c>
      <c r="Q3444">
        <v>38</v>
      </c>
      <c r="R3444">
        <v>-99.999999000000003</v>
      </c>
    </row>
    <row r="3445" spans="1:18" x14ac:dyDescent="0.2">
      <c r="A3445" t="s">
        <v>6660</v>
      </c>
      <c r="B3445" t="s">
        <v>10730</v>
      </c>
      <c r="C3445">
        <v>61</v>
      </c>
      <c r="D3445" s="1">
        <v>44064.934108796297</v>
      </c>
      <c r="E3445" t="s">
        <v>10780</v>
      </c>
      <c r="F3445" t="s">
        <v>6663</v>
      </c>
      <c r="G3445" t="s">
        <v>10732</v>
      </c>
      <c r="H3445" t="s">
        <v>6665</v>
      </c>
      <c r="I3445" t="s">
        <v>782</v>
      </c>
      <c r="J3445">
        <v>61</v>
      </c>
      <c r="K3445">
        <f>61-8-8121-5737</f>
        <v>-13805</v>
      </c>
      <c r="L3445" t="s">
        <v>10781</v>
      </c>
      <c r="M3445" t="s">
        <v>10782</v>
      </c>
      <c r="N3445" t="s">
        <v>447</v>
      </c>
      <c r="O3445" t="s">
        <v>134</v>
      </c>
      <c r="P3445" t="s">
        <v>29</v>
      </c>
      <c r="Q3445">
        <v>38</v>
      </c>
      <c r="R3445">
        <v>-99.999999000000003</v>
      </c>
    </row>
    <row r="3446" spans="1:18" x14ac:dyDescent="0.2">
      <c r="A3446" t="s">
        <v>6660</v>
      </c>
      <c r="B3446" t="s">
        <v>10730</v>
      </c>
      <c r="C3446">
        <v>1</v>
      </c>
      <c r="D3446" s="1">
        <v>44064.016539351855</v>
      </c>
      <c r="E3446" t="s">
        <v>10783</v>
      </c>
      <c r="F3446" t="s">
        <v>6663</v>
      </c>
      <c r="G3446" t="s">
        <v>10732</v>
      </c>
      <c r="H3446" t="s">
        <v>6665</v>
      </c>
      <c r="I3446" t="s">
        <v>29</v>
      </c>
      <c r="J3446">
        <v>1</v>
      </c>
      <c r="K3446">
        <f>1-844-216-9488</f>
        <v>-10547</v>
      </c>
      <c r="L3446" t="s">
        <v>10784</v>
      </c>
      <c r="M3446" t="s">
        <v>10785</v>
      </c>
      <c r="N3446" t="s">
        <v>674</v>
      </c>
      <c r="O3446" t="s">
        <v>134</v>
      </c>
      <c r="P3446" t="s">
        <v>29</v>
      </c>
      <c r="Q3446">
        <v>38</v>
      </c>
      <c r="R3446">
        <v>-99.999999000000003</v>
      </c>
    </row>
    <row r="3447" spans="1:18" x14ac:dyDescent="0.2">
      <c r="A3447" t="s">
        <v>6660</v>
      </c>
      <c r="B3447" t="s">
        <v>10730</v>
      </c>
      <c r="C3447">
        <v>1</v>
      </c>
      <c r="D3447" s="1">
        <v>44047.871053240742</v>
      </c>
      <c r="E3447" t="s">
        <v>10786</v>
      </c>
      <c r="F3447" t="s">
        <v>6663</v>
      </c>
      <c r="G3447" t="s">
        <v>10732</v>
      </c>
      <c r="H3447" t="s">
        <v>6665</v>
      </c>
      <c r="I3447" t="s">
        <v>29</v>
      </c>
      <c r="J3447">
        <v>1</v>
      </c>
      <c r="K3447">
        <f>1-844-928-1132</f>
        <v>-2903</v>
      </c>
      <c r="L3447" t="s">
        <v>10787</v>
      </c>
      <c r="M3447" t="s">
        <v>10788</v>
      </c>
      <c r="N3447" t="s">
        <v>3441</v>
      </c>
      <c r="O3447" t="s">
        <v>134</v>
      </c>
      <c r="P3447" t="s">
        <v>29</v>
      </c>
      <c r="Q3447">
        <v>38</v>
      </c>
      <c r="R3447">
        <v>-99.999999000000003</v>
      </c>
    </row>
    <row r="3448" spans="1:18" x14ac:dyDescent="0.2">
      <c r="A3448" t="s">
        <v>6660</v>
      </c>
      <c r="B3448" t="s">
        <v>10730</v>
      </c>
      <c r="C3448">
        <v>1</v>
      </c>
      <c r="D3448" s="1">
        <v>44036.884062500001</v>
      </c>
      <c r="E3448" t="s">
        <v>10789</v>
      </c>
      <c r="F3448" t="s">
        <v>6663</v>
      </c>
      <c r="G3448" t="s">
        <v>10732</v>
      </c>
      <c r="H3448" t="s">
        <v>6665</v>
      </c>
      <c r="I3448" t="s">
        <v>29</v>
      </c>
      <c r="J3448">
        <v>1</v>
      </c>
      <c r="K3448">
        <f>1-11010101010</f>
        <v>-11010101009</v>
      </c>
      <c r="L3448" t="s">
        <v>10790</v>
      </c>
      <c r="M3448" t="s">
        <v>10791</v>
      </c>
      <c r="N3448" t="s">
        <v>674</v>
      </c>
      <c r="O3448" t="s">
        <v>134</v>
      </c>
      <c r="P3448" t="s">
        <v>29</v>
      </c>
      <c r="Q3448">
        <v>38</v>
      </c>
      <c r="R3448">
        <v>-99.999999000000003</v>
      </c>
    </row>
    <row r="3449" spans="1:18" x14ac:dyDescent="0.2">
      <c r="A3449" t="s">
        <v>6660</v>
      </c>
      <c r="B3449" t="s">
        <v>10730</v>
      </c>
      <c r="C3449">
        <v>1</v>
      </c>
      <c r="D3449" s="1">
        <v>44036.833229166667</v>
      </c>
      <c r="E3449" t="s">
        <v>10792</v>
      </c>
      <c r="F3449" t="s">
        <v>6663</v>
      </c>
      <c r="G3449" t="s">
        <v>10732</v>
      </c>
      <c r="H3449" t="s">
        <v>6665</v>
      </c>
      <c r="I3449" t="s">
        <v>29</v>
      </c>
      <c r="J3449">
        <v>1</v>
      </c>
      <c r="K3449">
        <f>1-866-771-3720</f>
        <v>-5356</v>
      </c>
      <c r="L3449" t="s">
        <v>10793</v>
      </c>
      <c r="M3449" t="s">
        <v>10794</v>
      </c>
      <c r="N3449" t="s">
        <v>3454</v>
      </c>
      <c r="O3449" t="s">
        <v>134</v>
      </c>
      <c r="P3449" t="s">
        <v>29</v>
      </c>
      <c r="Q3449">
        <v>38</v>
      </c>
      <c r="R3449">
        <v>-99.999999000000003</v>
      </c>
    </row>
    <row r="3450" spans="1:18" x14ac:dyDescent="0.2">
      <c r="A3450" t="s">
        <v>6660</v>
      </c>
      <c r="B3450" t="s">
        <v>10730</v>
      </c>
      <c r="C3450">
        <v>1</v>
      </c>
      <c r="D3450" s="1">
        <v>44037.097407407404</v>
      </c>
      <c r="E3450" t="s">
        <v>10795</v>
      </c>
      <c r="F3450" t="s">
        <v>6663</v>
      </c>
      <c r="G3450" t="s">
        <v>10732</v>
      </c>
      <c r="H3450" t="s">
        <v>6665</v>
      </c>
      <c r="I3450" t="s">
        <v>29</v>
      </c>
      <c r="J3450">
        <v>1</v>
      </c>
      <c r="K3450">
        <f>1-866-892-1055</f>
        <v>-2812</v>
      </c>
      <c r="L3450" t="s">
        <v>10796</v>
      </c>
      <c r="M3450" t="s">
        <v>10797</v>
      </c>
      <c r="N3450" t="s">
        <v>213</v>
      </c>
      <c r="O3450" t="s">
        <v>134</v>
      </c>
      <c r="P3450" t="s">
        <v>29</v>
      </c>
      <c r="Q3450">
        <v>38</v>
      </c>
      <c r="R3450">
        <v>-99.999999000000003</v>
      </c>
    </row>
    <row r="3451" spans="1:18" x14ac:dyDescent="0.2">
      <c r="A3451" t="s">
        <v>6660</v>
      </c>
      <c r="B3451" t="s">
        <v>10730</v>
      </c>
      <c r="C3451">
        <v>1</v>
      </c>
      <c r="D3451" s="1">
        <v>44035.886284722219</v>
      </c>
      <c r="E3451" t="s">
        <v>10798</v>
      </c>
      <c r="F3451" t="s">
        <v>6663</v>
      </c>
      <c r="G3451" t="s">
        <v>10732</v>
      </c>
      <c r="H3451" t="s">
        <v>6665</v>
      </c>
      <c r="I3451" t="s">
        <v>29</v>
      </c>
      <c r="J3451">
        <v>1</v>
      </c>
      <c r="K3451">
        <f>1-866-587-8496</f>
        <v>-9948</v>
      </c>
      <c r="L3451" t="s">
        <v>10799</v>
      </c>
      <c r="M3451" t="s">
        <v>10800</v>
      </c>
      <c r="N3451" t="s">
        <v>3441</v>
      </c>
      <c r="O3451" t="s">
        <v>134</v>
      </c>
      <c r="P3451" t="s">
        <v>29</v>
      </c>
      <c r="Q3451">
        <v>38</v>
      </c>
      <c r="R3451">
        <v>-99.999999000000003</v>
      </c>
    </row>
    <row r="3452" spans="1:18" x14ac:dyDescent="0.2">
      <c r="A3452" t="s">
        <v>6660</v>
      </c>
      <c r="B3452" t="s">
        <v>10730</v>
      </c>
      <c r="C3452">
        <v>1</v>
      </c>
      <c r="D3452" s="1">
        <v>44035.777118055557</v>
      </c>
      <c r="E3452" t="s">
        <v>10801</v>
      </c>
      <c r="F3452" t="s">
        <v>6663</v>
      </c>
      <c r="G3452" t="s">
        <v>10732</v>
      </c>
      <c r="H3452" t="s">
        <v>6665</v>
      </c>
      <c r="I3452" t="s">
        <v>29</v>
      </c>
      <c r="J3452">
        <v>1</v>
      </c>
      <c r="K3452">
        <f>1-11010101010</f>
        <v>-11010101009</v>
      </c>
      <c r="L3452" t="s">
        <v>10802</v>
      </c>
      <c r="M3452" t="s">
        <v>10803</v>
      </c>
      <c r="N3452" t="s">
        <v>3454</v>
      </c>
      <c r="O3452" t="s">
        <v>134</v>
      </c>
      <c r="P3452" t="s">
        <v>29</v>
      </c>
      <c r="Q3452">
        <v>38</v>
      </c>
      <c r="R3452">
        <v>-99.999999000000003</v>
      </c>
    </row>
    <row r="3453" spans="1:18" x14ac:dyDescent="0.2">
      <c r="A3453" t="s">
        <v>6660</v>
      </c>
      <c r="B3453" t="s">
        <v>10730</v>
      </c>
      <c r="C3453">
        <v>1</v>
      </c>
      <c r="D3453" s="1">
        <v>44035.776724537034</v>
      </c>
      <c r="E3453" t="s">
        <v>10804</v>
      </c>
      <c r="F3453" t="s">
        <v>6663</v>
      </c>
      <c r="G3453" t="s">
        <v>10732</v>
      </c>
      <c r="H3453" t="s">
        <v>6665</v>
      </c>
      <c r="I3453" t="s">
        <v>29</v>
      </c>
      <c r="J3453">
        <v>1</v>
      </c>
      <c r="K3453">
        <f>1-11010101010</f>
        <v>-11010101009</v>
      </c>
      <c r="L3453" t="s">
        <v>10805</v>
      </c>
      <c r="M3453" t="s">
        <v>10806</v>
      </c>
      <c r="N3453" t="s">
        <v>213</v>
      </c>
      <c r="O3453" t="s">
        <v>134</v>
      </c>
      <c r="P3453" t="s">
        <v>29</v>
      </c>
      <c r="Q3453">
        <v>38</v>
      </c>
      <c r="R3453">
        <v>-99.999999000000003</v>
      </c>
    </row>
    <row r="3454" spans="1:18" x14ac:dyDescent="0.2">
      <c r="A3454" t="s">
        <v>6660</v>
      </c>
      <c r="B3454" t="s">
        <v>10730</v>
      </c>
      <c r="C3454">
        <v>1</v>
      </c>
      <c r="D3454" s="1">
        <v>44035.776238425926</v>
      </c>
      <c r="E3454" t="s">
        <v>10807</v>
      </c>
      <c r="F3454" t="s">
        <v>6663</v>
      </c>
      <c r="G3454" t="s">
        <v>10732</v>
      </c>
      <c r="H3454" t="s">
        <v>6665</v>
      </c>
      <c r="I3454" t="s">
        <v>29</v>
      </c>
      <c r="J3454">
        <v>1</v>
      </c>
      <c r="K3454">
        <f>1-11010101010</f>
        <v>-11010101009</v>
      </c>
      <c r="L3454" t="s">
        <v>10808</v>
      </c>
      <c r="M3454" t="s">
        <v>10809</v>
      </c>
      <c r="N3454" t="s">
        <v>447</v>
      </c>
      <c r="O3454" t="s">
        <v>134</v>
      </c>
      <c r="P3454" t="s">
        <v>29</v>
      </c>
      <c r="Q3454">
        <v>38</v>
      </c>
      <c r="R3454">
        <v>-99.999999000000003</v>
      </c>
    </row>
    <row r="3455" spans="1:18" x14ac:dyDescent="0.2">
      <c r="A3455" t="s">
        <v>6660</v>
      </c>
      <c r="B3455" t="s">
        <v>10730</v>
      </c>
      <c r="C3455">
        <v>1</v>
      </c>
      <c r="D3455" s="1">
        <v>44034.905902777777</v>
      </c>
      <c r="E3455" t="s">
        <v>10804</v>
      </c>
      <c r="F3455" t="s">
        <v>6663</v>
      </c>
      <c r="G3455" t="s">
        <v>10732</v>
      </c>
      <c r="H3455" t="s">
        <v>6665</v>
      </c>
      <c r="I3455" t="s">
        <v>29</v>
      </c>
      <c r="J3455">
        <v>1</v>
      </c>
      <c r="K3455">
        <f>1-844-259-4832</f>
        <v>-5934</v>
      </c>
      <c r="L3455" t="s">
        <v>10810</v>
      </c>
      <c r="M3455" t="s">
        <v>10811</v>
      </c>
      <c r="N3455" t="s">
        <v>213</v>
      </c>
      <c r="O3455" t="s">
        <v>134</v>
      </c>
      <c r="P3455" t="s">
        <v>29</v>
      </c>
      <c r="Q3455">
        <v>38</v>
      </c>
      <c r="R3455">
        <v>-99.999999000000003</v>
      </c>
    </row>
    <row r="3456" spans="1:18" x14ac:dyDescent="0.2">
      <c r="A3456" t="s">
        <v>6660</v>
      </c>
      <c r="B3456" t="s">
        <v>10730</v>
      </c>
      <c r="C3456">
        <v>1</v>
      </c>
      <c r="D3456" s="1">
        <v>44034.795543981483</v>
      </c>
      <c r="E3456" t="s">
        <v>10801</v>
      </c>
      <c r="F3456" t="s">
        <v>6663</v>
      </c>
      <c r="G3456" t="s">
        <v>10732</v>
      </c>
      <c r="H3456" t="s">
        <v>6665</v>
      </c>
      <c r="I3456" t="s">
        <v>29</v>
      </c>
      <c r="J3456">
        <v>1</v>
      </c>
      <c r="K3456">
        <f>1-866-806-4851</f>
        <v>-6522</v>
      </c>
      <c r="L3456" t="s">
        <v>10812</v>
      </c>
      <c r="M3456" t="s">
        <v>10813</v>
      </c>
      <c r="N3456" t="s">
        <v>3454</v>
      </c>
      <c r="O3456" t="s">
        <v>134</v>
      </c>
      <c r="P3456" t="s">
        <v>29</v>
      </c>
      <c r="Q3456">
        <v>38</v>
      </c>
      <c r="R3456">
        <v>-99.999999000000003</v>
      </c>
    </row>
    <row r="3457" spans="1:18" x14ac:dyDescent="0.2">
      <c r="A3457" t="s">
        <v>6660</v>
      </c>
      <c r="B3457" t="s">
        <v>10730</v>
      </c>
      <c r="C3457">
        <v>1</v>
      </c>
      <c r="D3457" s="1">
        <v>44034.784594907411</v>
      </c>
      <c r="E3457" t="s">
        <v>10814</v>
      </c>
      <c r="F3457" t="s">
        <v>6663</v>
      </c>
      <c r="G3457" t="s">
        <v>10732</v>
      </c>
      <c r="H3457" t="s">
        <v>6665</v>
      </c>
      <c r="I3457" t="s">
        <v>29</v>
      </c>
      <c r="J3457">
        <v>1</v>
      </c>
      <c r="K3457">
        <f>1-800-598-1890</f>
        <v>-3287</v>
      </c>
      <c r="L3457" t="s">
        <v>10815</v>
      </c>
      <c r="M3457" t="s">
        <v>10816</v>
      </c>
      <c r="N3457" t="s">
        <v>674</v>
      </c>
      <c r="O3457" t="s">
        <v>134</v>
      </c>
      <c r="P3457" t="s">
        <v>29</v>
      </c>
      <c r="Q3457">
        <v>38</v>
      </c>
      <c r="R3457">
        <v>-99.999999000000003</v>
      </c>
    </row>
    <row r="3458" spans="1:18" x14ac:dyDescent="0.2">
      <c r="A3458" t="s">
        <v>6660</v>
      </c>
      <c r="B3458" t="s">
        <v>10730</v>
      </c>
      <c r="C3458">
        <v>1</v>
      </c>
      <c r="D3458" s="1">
        <v>44034.734479166669</v>
      </c>
      <c r="E3458" t="s">
        <v>10817</v>
      </c>
      <c r="F3458" t="s">
        <v>6663</v>
      </c>
      <c r="G3458" t="s">
        <v>10732</v>
      </c>
      <c r="H3458" t="s">
        <v>6665</v>
      </c>
      <c r="I3458" t="s">
        <v>29</v>
      </c>
      <c r="J3458">
        <v>1</v>
      </c>
      <c r="K3458">
        <f>1-866-849-7311</f>
        <v>-9025</v>
      </c>
      <c r="L3458" t="s">
        <v>10818</v>
      </c>
      <c r="M3458" t="s">
        <v>10819</v>
      </c>
      <c r="N3458" t="s">
        <v>2475</v>
      </c>
      <c r="O3458" t="s">
        <v>134</v>
      </c>
      <c r="P3458" t="s">
        <v>29</v>
      </c>
      <c r="Q3458">
        <v>38</v>
      </c>
      <c r="R3458">
        <v>-99.999999000000003</v>
      </c>
    </row>
    <row r="3459" spans="1:18" x14ac:dyDescent="0.2">
      <c r="A3459" t="s">
        <v>6660</v>
      </c>
      <c r="B3459" t="s">
        <v>10730</v>
      </c>
      <c r="C3459">
        <v>1</v>
      </c>
      <c r="D3459" s="1">
        <v>44034.726747685185</v>
      </c>
      <c r="E3459" t="s">
        <v>10820</v>
      </c>
      <c r="F3459" t="s">
        <v>6663</v>
      </c>
      <c r="G3459" t="s">
        <v>10732</v>
      </c>
      <c r="H3459" t="s">
        <v>6665</v>
      </c>
      <c r="I3459" t="s">
        <v>29</v>
      </c>
      <c r="J3459">
        <v>1</v>
      </c>
      <c r="K3459">
        <f>1-866-500-1099</f>
        <v>-2464</v>
      </c>
      <c r="L3459" t="s">
        <v>10821</v>
      </c>
      <c r="M3459" t="s">
        <v>10822</v>
      </c>
      <c r="N3459" t="s">
        <v>3454</v>
      </c>
      <c r="O3459" t="s">
        <v>134</v>
      </c>
      <c r="P3459" t="s">
        <v>29</v>
      </c>
      <c r="Q3459">
        <v>38</v>
      </c>
      <c r="R3459">
        <v>-99.999999000000003</v>
      </c>
    </row>
    <row r="3460" spans="1:18" x14ac:dyDescent="0.2">
      <c r="A3460" t="s">
        <v>270</v>
      </c>
      <c r="B3460" t="s">
        <v>10823</v>
      </c>
      <c r="C3460">
        <v>1</v>
      </c>
      <c r="D3460" s="1">
        <v>44209.829814814817</v>
      </c>
      <c r="E3460" t="s">
        <v>10824</v>
      </c>
      <c r="F3460" t="s">
        <v>273</v>
      </c>
      <c r="G3460" t="s">
        <v>10825</v>
      </c>
      <c r="H3460" t="s">
        <v>275</v>
      </c>
      <c r="I3460" t="s">
        <v>29</v>
      </c>
      <c r="J3460">
        <v>1</v>
      </c>
      <c r="K3460">
        <f>1-888-339-8643</f>
        <v>-9869</v>
      </c>
      <c r="L3460" t="s">
        <v>10826</v>
      </c>
      <c r="M3460" t="s">
        <v>10827</v>
      </c>
      <c r="N3460" t="s">
        <v>278</v>
      </c>
      <c r="O3460" t="s">
        <v>28</v>
      </c>
      <c r="P3460" t="s">
        <v>29</v>
      </c>
      <c r="Q3460">
        <v>41</v>
      </c>
      <c r="R3460">
        <v>-99.999999000000003</v>
      </c>
    </row>
    <row r="3461" spans="1:18" x14ac:dyDescent="0.2">
      <c r="A3461" t="s">
        <v>270</v>
      </c>
      <c r="B3461" t="s">
        <v>10823</v>
      </c>
      <c r="C3461">
        <v>1</v>
      </c>
      <c r="D3461" s="1">
        <v>44208.740243055552</v>
      </c>
      <c r="E3461" t="s">
        <v>10828</v>
      </c>
      <c r="F3461" t="s">
        <v>273</v>
      </c>
      <c r="G3461" t="s">
        <v>10825</v>
      </c>
      <c r="H3461" t="s">
        <v>275</v>
      </c>
      <c r="I3461" t="s">
        <v>29</v>
      </c>
      <c r="J3461">
        <v>1</v>
      </c>
      <c r="K3461">
        <f>1-888-335-2264</f>
        <v>-3486</v>
      </c>
      <c r="L3461" t="s">
        <v>10829</v>
      </c>
      <c r="M3461" t="s">
        <v>10830</v>
      </c>
      <c r="N3461" t="s">
        <v>278</v>
      </c>
      <c r="O3461" t="s">
        <v>28</v>
      </c>
      <c r="P3461" t="s">
        <v>29</v>
      </c>
      <c r="Q3461">
        <v>41</v>
      </c>
      <c r="R3461">
        <v>-99.999999000000003</v>
      </c>
    </row>
    <row r="3462" spans="1:18" x14ac:dyDescent="0.2">
      <c r="A3462" t="s">
        <v>270</v>
      </c>
      <c r="B3462" t="s">
        <v>10823</v>
      </c>
      <c r="C3462">
        <v>1</v>
      </c>
      <c r="D3462" s="1">
        <v>44149.154791666668</v>
      </c>
      <c r="E3462" t="s">
        <v>10831</v>
      </c>
      <c r="F3462" t="s">
        <v>273</v>
      </c>
      <c r="G3462" t="s">
        <v>10825</v>
      </c>
      <c r="H3462" t="s">
        <v>275</v>
      </c>
      <c r="I3462" t="s">
        <v>29</v>
      </c>
      <c r="J3462">
        <v>1</v>
      </c>
      <c r="K3462">
        <f>1-844-279-115</f>
        <v>-1237</v>
      </c>
      <c r="L3462" t="s">
        <v>10832</v>
      </c>
      <c r="M3462" t="s">
        <v>10833</v>
      </c>
      <c r="N3462" t="s">
        <v>278</v>
      </c>
      <c r="O3462" t="s">
        <v>134</v>
      </c>
      <c r="P3462" t="s">
        <v>29</v>
      </c>
      <c r="Q3462">
        <v>41</v>
      </c>
      <c r="R3462">
        <v>-99.999999000000003</v>
      </c>
    </row>
    <row r="3463" spans="1:18" x14ac:dyDescent="0.2">
      <c r="A3463" t="s">
        <v>270</v>
      </c>
      <c r="B3463" t="s">
        <v>10823</v>
      </c>
      <c r="C3463">
        <v>1</v>
      </c>
      <c r="D3463" s="1">
        <v>44149.154224537036</v>
      </c>
      <c r="E3463" t="s">
        <v>10834</v>
      </c>
      <c r="F3463" t="s">
        <v>273</v>
      </c>
      <c r="G3463" t="s">
        <v>10825</v>
      </c>
      <c r="H3463" t="s">
        <v>275</v>
      </c>
      <c r="I3463" t="s">
        <v>29</v>
      </c>
      <c r="J3463">
        <v>1</v>
      </c>
      <c r="K3463">
        <f>1-844-280-7415</f>
        <v>-8538</v>
      </c>
      <c r="L3463" t="s">
        <v>10835</v>
      </c>
      <c r="M3463" t="s">
        <v>10836</v>
      </c>
      <c r="N3463" t="s">
        <v>278</v>
      </c>
      <c r="O3463" t="s">
        <v>134</v>
      </c>
      <c r="P3463" t="s">
        <v>29</v>
      </c>
      <c r="Q3463">
        <v>41</v>
      </c>
      <c r="R3463">
        <v>-99.999999000000003</v>
      </c>
    </row>
    <row r="3464" spans="1:18" x14ac:dyDescent="0.2">
      <c r="A3464" t="s">
        <v>270</v>
      </c>
      <c r="B3464" t="s">
        <v>10823</v>
      </c>
      <c r="C3464">
        <v>1</v>
      </c>
      <c r="D3464" s="1">
        <v>44149.138275462959</v>
      </c>
      <c r="E3464" t="s">
        <v>10837</v>
      </c>
      <c r="F3464" t="s">
        <v>273</v>
      </c>
      <c r="G3464" t="s">
        <v>10825</v>
      </c>
      <c r="H3464" t="s">
        <v>275</v>
      </c>
      <c r="I3464" t="s">
        <v>29</v>
      </c>
      <c r="J3464">
        <v>1</v>
      </c>
      <c r="K3464">
        <f>1-844-293-617</f>
        <v>-1753</v>
      </c>
      <c r="L3464" t="s">
        <v>10838</v>
      </c>
      <c r="M3464" t="s">
        <v>10839</v>
      </c>
      <c r="N3464" t="s">
        <v>278</v>
      </c>
      <c r="O3464" t="s">
        <v>134</v>
      </c>
      <c r="P3464" t="s">
        <v>29</v>
      </c>
      <c r="Q3464">
        <v>41</v>
      </c>
      <c r="R3464">
        <v>-99.999999000000003</v>
      </c>
    </row>
    <row r="3465" spans="1:18" x14ac:dyDescent="0.2">
      <c r="A3465" t="s">
        <v>270</v>
      </c>
      <c r="B3465" t="s">
        <v>10823</v>
      </c>
      <c r="C3465">
        <v>1</v>
      </c>
      <c r="D3465" s="1">
        <v>44149.137719907405</v>
      </c>
      <c r="E3465" t="s">
        <v>10840</v>
      </c>
      <c r="F3465" t="s">
        <v>273</v>
      </c>
      <c r="G3465" t="s">
        <v>10825</v>
      </c>
      <c r="H3465" t="s">
        <v>275</v>
      </c>
      <c r="I3465" t="s">
        <v>29</v>
      </c>
      <c r="J3465">
        <v>1</v>
      </c>
      <c r="K3465">
        <f>1-844-293-617</f>
        <v>-1753</v>
      </c>
      <c r="L3465" t="s">
        <v>10841</v>
      </c>
      <c r="M3465" t="s">
        <v>10842</v>
      </c>
      <c r="N3465" t="s">
        <v>278</v>
      </c>
      <c r="O3465" t="s">
        <v>134</v>
      </c>
      <c r="P3465" t="s">
        <v>29</v>
      </c>
      <c r="Q3465">
        <v>41</v>
      </c>
      <c r="R3465">
        <v>-99.999999000000003</v>
      </c>
    </row>
    <row r="3466" spans="1:18" x14ac:dyDescent="0.2">
      <c r="A3466" t="s">
        <v>270</v>
      </c>
      <c r="B3466" t="s">
        <v>10823</v>
      </c>
      <c r="C3466">
        <v>1</v>
      </c>
      <c r="D3466" s="1">
        <v>44149.136863425927</v>
      </c>
      <c r="E3466" t="s">
        <v>10843</v>
      </c>
      <c r="F3466" t="s">
        <v>273</v>
      </c>
      <c r="G3466" t="s">
        <v>10825</v>
      </c>
      <c r="H3466" t="s">
        <v>275</v>
      </c>
      <c r="I3466" t="s">
        <v>29</v>
      </c>
      <c r="J3466">
        <v>1</v>
      </c>
      <c r="K3466">
        <f>1-844-288-9125</f>
        <v>-10256</v>
      </c>
      <c r="L3466" t="s">
        <v>10844</v>
      </c>
      <c r="M3466" t="s">
        <v>10845</v>
      </c>
      <c r="N3466" t="s">
        <v>278</v>
      </c>
      <c r="O3466" t="s">
        <v>134</v>
      </c>
      <c r="P3466" t="s">
        <v>29</v>
      </c>
      <c r="Q3466">
        <v>41</v>
      </c>
      <c r="R3466">
        <v>-99.999999000000003</v>
      </c>
    </row>
    <row r="3467" spans="1:18" x14ac:dyDescent="0.2">
      <c r="A3467" t="s">
        <v>270</v>
      </c>
      <c r="B3467" t="s">
        <v>10823</v>
      </c>
      <c r="C3467">
        <v>1</v>
      </c>
      <c r="D3467" s="1">
        <v>44149.135798611111</v>
      </c>
      <c r="E3467" t="s">
        <v>10846</v>
      </c>
      <c r="F3467" t="s">
        <v>273</v>
      </c>
      <c r="G3467" t="s">
        <v>10825</v>
      </c>
      <c r="H3467" t="s">
        <v>275</v>
      </c>
      <c r="I3467" t="s">
        <v>29</v>
      </c>
      <c r="J3467">
        <v>1</v>
      </c>
      <c r="K3467">
        <f>1-844-288-9125</f>
        <v>-10256</v>
      </c>
      <c r="L3467" t="s">
        <v>10847</v>
      </c>
      <c r="M3467" t="s">
        <v>10848</v>
      </c>
      <c r="N3467" t="s">
        <v>278</v>
      </c>
      <c r="O3467" t="s">
        <v>134</v>
      </c>
      <c r="P3467" t="s">
        <v>29</v>
      </c>
      <c r="Q3467">
        <v>41</v>
      </c>
      <c r="R3467">
        <v>-99.999999000000003</v>
      </c>
    </row>
    <row r="3468" spans="1:18" x14ac:dyDescent="0.2">
      <c r="A3468" t="s">
        <v>270</v>
      </c>
      <c r="B3468" t="s">
        <v>10823</v>
      </c>
      <c r="C3468">
        <v>1</v>
      </c>
      <c r="D3468" s="1">
        <v>44149.124085648145</v>
      </c>
      <c r="E3468" t="s">
        <v>10849</v>
      </c>
      <c r="F3468" t="s">
        <v>273</v>
      </c>
      <c r="G3468" t="s">
        <v>10825</v>
      </c>
      <c r="H3468" t="s">
        <v>275</v>
      </c>
      <c r="I3468" t="s">
        <v>29</v>
      </c>
      <c r="J3468">
        <v>1</v>
      </c>
      <c r="K3468">
        <f>1-844-295-7543</f>
        <v>-8681</v>
      </c>
      <c r="L3468" t="s">
        <v>10850</v>
      </c>
      <c r="M3468" t="s">
        <v>10851</v>
      </c>
      <c r="N3468" t="s">
        <v>278</v>
      </c>
      <c r="O3468" t="s">
        <v>134</v>
      </c>
      <c r="P3468" t="s">
        <v>29</v>
      </c>
      <c r="Q3468">
        <v>41</v>
      </c>
      <c r="R3468">
        <v>-99.999999000000003</v>
      </c>
    </row>
    <row r="3469" spans="1:18" x14ac:dyDescent="0.2">
      <c r="A3469" t="s">
        <v>270</v>
      </c>
      <c r="B3469" t="s">
        <v>10823</v>
      </c>
      <c r="C3469">
        <v>1</v>
      </c>
      <c r="D3469" s="1">
        <v>44149.123333333337</v>
      </c>
      <c r="E3469" t="s">
        <v>10852</v>
      </c>
      <c r="F3469" t="s">
        <v>273</v>
      </c>
      <c r="G3469" t="s">
        <v>10825</v>
      </c>
      <c r="H3469" t="s">
        <v>275</v>
      </c>
      <c r="I3469" t="s">
        <v>29</v>
      </c>
      <c r="J3469">
        <v>1</v>
      </c>
      <c r="K3469">
        <f>1-844-290-7339</f>
        <v>-8472</v>
      </c>
      <c r="L3469" t="s">
        <v>10853</v>
      </c>
      <c r="M3469" t="s">
        <v>10854</v>
      </c>
      <c r="N3469" t="s">
        <v>278</v>
      </c>
      <c r="O3469" t="s">
        <v>134</v>
      </c>
      <c r="P3469" t="s">
        <v>29</v>
      </c>
      <c r="Q3469">
        <v>41</v>
      </c>
      <c r="R3469">
        <v>-99.999999000000003</v>
      </c>
    </row>
    <row r="3470" spans="1:18" x14ac:dyDescent="0.2">
      <c r="A3470" t="s">
        <v>270</v>
      </c>
      <c r="B3470" t="s">
        <v>10823</v>
      </c>
      <c r="C3470">
        <v>1</v>
      </c>
      <c r="D3470" s="1">
        <v>44149.122696759259</v>
      </c>
      <c r="E3470" t="s">
        <v>10855</v>
      </c>
      <c r="F3470" t="s">
        <v>273</v>
      </c>
      <c r="G3470" t="s">
        <v>10825</v>
      </c>
      <c r="H3470" t="s">
        <v>275</v>
      </c>
      <c r="I3470" t="s">
        <v>29</v>
      </c>
      <c r="J3470">
        <v>1</v>
      </c>
      <c r="K3470">
        <f>1-844-295-7564</f>
        <v>-8702</v>
      </c>
      <c r="L3470" t="s">
        <v>10856</v>
      </c>
      <c r="M3470" t="s">
        <v>10857</v>
      </c>
      <c r="N3470" t="s">
        <v>278</v>
      </c>
      <c r="O3470" t="s">
        <v>134</v>
      </c>
      <c r="P3470" t="s">
        <v>29</v>
      </c>
      <c r="Q3470">
        <v>41</v>
      </c>
      <c r="R3470">
        <v>-99.999999000000003</v>
      </c>
    </row>
    <row r="3471" spans="1:18" x14ac:dyDescent="0.2">
      <c r="A3471" t="s">
        <v>270</v>
      </c>
      <c r="B3471" t="s">
        <v>10823</v>
      </c>
      <c r="C3471">
        <v>1</v>
      </c>
      <c r="D3471" s="1">
        <v>44145.800335648149</v>
      </c>
      <c r="E3471" t="s">
        <v>10858</v>
      </c>
      <c r="F3471" t="s">
        <v>273</v>
      </c>
      <c r="G3471" t="s">
        <v>10825</v>
      </c>
      <c r="H3471" t="s">
        <v>275</v>
      </c>
      <c r="I3471" t="s">
        <v>29</v>
      </c>
      <c r="J3471">
        <v>1</v>
      </c>
      <c r="K3471">
        <f>1-844-295-6539</f>
        <v>-7677</v>
      </c>
      <c r="L3471" t="s">
        <v>10859</v>
      </c>
      <c r="M3471" t="s">
        <v>10860</v>
      </c>
      <c r="N3471" t="s">
        <v>278</v>
      </c>
      <c r="O3471" t="s">
        <v>28</v>
      </c>
      <c r="P3471" t="s">
        <v>29</v>
      </c>
      <c r="Q3471">
        <v>41</v>
      </c>
      <c r="R3471">
        <v>-99.999999000000003</v>
      </c>
    </row>
    <row r="3472" spans="1:18" x14ac:dyDescent="0.2">
      <c r="A3472" t="s">
        <v>270</v>
      </c>
      <c r="B3472" t="s">
        <v>10823</v>
      </c>
      <c r="C3472">
        <v>1</v>
      </c>
      <c r="D3472" s="1">
        <v>44140.780104166668</v>
      </c>
      <c r="E3472" t="s">
        <v>10861</v>
      </c>
      <c r="F3472" t="s">
        <v>273</v>
      </c>
      <c r="G3472" t="s">
        <v>10825</v>
      </c>
      <c r="H3472" t="s">
        <v>275</v>
      </c>
      <c r="I3472" t="s">
        <v>29</v>
      </c>
      <c r="J3472">
        <v>1</v>
      </c>
      <c r="K3472">
        <f>1-888-397-7606</f>
        <v>-8890</v>
      </c>
      <c r="L3472" t="s">
        <v>10862</v>
      </c>
      <c r="M3472" t="s">
        <v>10863</v>
      </c>
      <c r="N3472" t="s">
        <v>278</v>
      </c>
      <c r="O3472" t="s">
        <v>28</v>
      </c>
      <c r="P3472" t="s">
        <v>29</v>
      </c>
      <c r="Q3472">
        <v>41</v>
      </c>
      <c r="R3472">
        <v>-99.999999000000003</v>
      </c>
    </row>
    <row r="3473" spans="1:18" x14ac:dyDescent="0.2">
      <c r="A3473" t="s">
        <v>270</v>
      </c>
      <c r="B3473" t="s">
        <v>10823</v>
      </c>
      <c r="C3473">
        <v>1</v>
      </c>
      <c r="D3473" s="1">
        <v>44140.776585648149</v>
      </c>
      <c r="E3473" t="s">
        <v>10864</v>
      </c>
      <c r="F3473" t="s">
        <v>273</v>
      </c>
      <c r="G3473" t="s">
        <v>10825</v>
      </c>
      <c r="H3473" t="s">
        <v>275</v>
      </c>
      <c r="I3473" t="s">
        <v>29</v>
      </c>
      <c r="J3473">
        <v>1</v>
      </c>
      <c r="K3473">
        <f>1-888-397-7606</f>
        <v>-8890</v>
      </c>
      <c r="L3473" t="s">
        <v>10865</v>
      </c>
      <c r="M3473" t="s">
        <v>10866</v>
      </c>
      <c r="N3473" t="s">
        <v>278</v>
      </c>
      <c r="O3473" t="s">
        <v>28</v>
      </c>
      <c r="P3473" t="s">
        <v>29</v>
      </c>
      <c r="Q3473">
        <v>41</v>
      </c>
      <c r="R3473">
        <v>-99.999999000000003</v>
      </c>
    </row>
    <row r="3474" spans="1:18" x14ac:dyDescent="0.2">
      <c r="A3474" t="s">
        <v>270</v>
      </c>
      <c r="B3474" t="s">
        <v>10823</v>
      </c>
      <c r="C3474">
        <v>1</v>
      </c>
      <c r="D3474" s="1">
        <v>44139.841446759259</v>
      </c>
      <c r="E3474" t="s">
        <v>10867</v>
      </c>
      <c r="F3474" t="s">
        <v>273</v>
      </c>
      <c r="G3474" t="s">
        <v>10825</v>
      </c>
      <c r="H3474" t="s">
        <v>275</v>
      </c>
      <c r="I3474" t="s">
        <v>29</v>
      </c>
      <c r="J3474">
        <v>1</v>
      </c>
      <c r="K3474">
        <f>1-888-386-8562</f>
        <v>-9835</v>
      </c>
      <c r="L3474" t="s">
        <v>10868</v>
      </c>
      <c r="M3474" t="s">
        <v>10869</v>
      </c>
      <c r="N3474" t="s">
        <v>278</v>
      </c>
      <c r="O3474" t="s">
        <v>28</v>
      </c>
      <c r="P3474" t="s">
        <v>29</v>
      </c>
      <c r="Q3474">
        <v>41</v>
      </c>
      <c r="R3474">
        <v>-99.999999000000003</v>
      </c>
    </row>
    <row r="3475" spans="1:18" x14ac:dyDescent="0.2">
      <c r="A3475" t="s">
        <v>270</v>
      </c>
      <c r="B3475" t="s">
        <v>10823</v>
      </c>
      <c r="C3475">
        <v>1</v>
      </c>
      <c r="D3475" s="1">
        <v>44131.726550925923</v>
      </c>
      <c r="E3475" t="s">
        <v>10870</v>
      </c>
      <c r="F3475" t="s">
        <v>273</v>
      </c>
      <c r="G3475" t="s">
        <v>10825</v>
      </c>
      <c r="H3475" t="s">
        <v>275</v>
      </c>
      <c r="I3475" t="s">
        <v>29</v>
      </c>
      <c r="J3475">
        <v>1</v>
      </c>
      <c r="K3475">
        <f>1-888-401-4080</f>
        <v>-5368</v>
      </c>
      <c r="L3475" t="s">
        <v>10871</v>
      </c>
      <c r="M3475" t="s">
        <v>10872</v>
      </c>
      <c r="N3475" t="s">
        <v>278</v>
      </c>
      <c r="O3475" t="s">
        <v>28</v>
      </c>
      <c r="P3475" t="s">
        <v>29</v>
      </c>
      <c r="Q3475">
        <v>41</v>
      </c>
      <c r="R3475">
        <v>-99.999999000000003</v>
      </c>
    </row>
    <row r="3476" spans="1:18" x14ac:dyDescent="0.2">
      <c r="A3476" t="s">
        <v>270</v>
      </c>
      <c r="B3476" t="s">
        <v>10823</v>
      </c>
      <c r="C3476">
        <v>1</v>
      </c>
      <c r="D3476" s="1">
        <v>44112.760821759257</v>
      </c>
      <c r="E3476" t="s">
        <v>10873</v>
      </c>
      <c r="F3476" t="s">
        <v>273</v>
      </c>
      <c r="G3476" t="s">
        <v>10825</v>
      </c>
      <c r="H3476" t="s">
        <v>275</v>
      </c>
      <c r="I3476" t="s">
        <v>29</v>
      </c>
      <c r="J3476">
        <v>1</v>
      </c>
      <c r="K3476">
        <f>1-888-334-1316</f>
        <v>-2537</v>
      </c>
      <c r="L3476" t="s">
        <v>10874</v>
      </c>
      <c r="M3476" t="s">
        <v>10875</v>
      </c>
      <c r="N3476" t="s">
        <v>278</v>
      </c>
      <c r="O3476" t="s">
        <v>28</v>
      </c>
      <c r="P3476" t="s">
        <v>29</v>
      </c>
      <c r="Q3476">
        <v>41</v>
      </c>
      <c r="R3476">
        <v>-99.999999000000003</v>
      </c>
    </row>
    <row r="3477" spans="1:18" x14ac:dyDescent="0.2">
      <c r="A3477" t="s">
        <v>270</v>
      </c>
      <c r="B3477" t="s">
        <v>10823</v>
      </c>
      <c r="C3477">
        <v>1</v>
      </c>
      <c r="D3477" s="1">
        <v>44112.759467592594</v>
      </c>
      <c r="E3477" t="s">
        <v>10876</v>
      </c>
      <c r="F3477" t="s">
        <v>273</v>
      </c>
      <c r="G3477" t="s">
        <v>10825</v>
      </c>
      <c r="H3477" t="s">
        <v>275</v>
      </c>
      <c r="I3477" t="s">
        <v>29</v>
      </c>
      <c r="J3477">
        <v>1</v>
      </c>
      <c r="K3477">
        <f>1-888-334-1316</f>
        <v>-2537</v>
      </c>
      <c r="L3477" t="s">
        <v>10877</v>
      </c>
      <c r="M3477" t="s">
        <v>10878</v>
      </c>
      <c r="N3477" t="s">
        <v>278</v>
      </c>
      <c r="O3477" t="s">
        <v>28</v>
      </c>
      <c r="P3477" t="s">
        <v>29</v>
      </c>
      <c r="Q3477">
        <v>41</v>
      </c>
      <c r="R3477">
        <v>-99.999999000000003</v>
      </c>
    </row>
    <row r="3478" spans="1:18" x14ac:dyDescent="0.2">
      <c r="A3478" t="s">
        <v>270</v>
      </c>
      <c r="B3478" t="s">
        <v>10823</v>
      </c>
      <c r="C3478">
        <v>1</v>
      </c>
      <c r="D3478" s="1">
        <v>44109.898356481484</v>
      </c>
      <c r="E3478" t="s">
        <v>10879</v>
      </c>
      <c r="F3478" t="s">
        <v>273</v>
      </c>
      <c r="G3478" t="s">
        <v>10825</v>
      </c>
      <c r="H3478" t="s">
        <v>275</v>
      </c>
      <c r="I3478" t="s">
        <v>29</v>
      </c>
      <c r="J3478">
        <v>1</v>
      </c>
      <c r="K3478">
        <f>1-888-298-6326</f>
        <v>-7511</v>
      </c>
      <c r="L3478" t="s">
        <v>10880</v>
      </c>
      <c r="M3478" t="s">
        <v>10881</v>
      </c>
      <c r="N3478" t="s">
        <v>278</v>
      </c>
      <c r="O3478" t="s">
        <v>28</v>
      </c>
      <c r="P3478" t="s">
        <v>29</v>
      </c>
      <c r="Q3478">
        <v>41</v>
      </c>
      <c r="R3478">
        <v>-99.999999000000003</v>
      </c>
    </row>
    <row r="3479" spans="1:18" x14ac:dyDescent="0.2">
      <c r="A3479" t="s">
        <v>270</v>
      </c>
      <c r="B3479" t="s">
        <v>10823</v>
      </c>
      <c r="C3479">
        <v>1</v>
      </c>
      <c r="D3479" s="1">
        <v>44089.821886574071</v>
      </c>
      <c r="E3479" t="s">
        <v>10882</v>
      </c>
      <c r="F3479" t="s">
        <v>273</v>
      </c>
      <c r="G3479" t="s">
        <v>10825</v>
      </c>
      <c r="H3479" t="s">
        <v>275</v>
      </c>
      <c r="I3479" t="s">
        <v>29</v>
      </c>
      <c r="J3479">
        <v>1</v>
      </c>
      <c r="K3479">
        <f>1-844-233-1380</f>
        <v>-2456</v>
      </c>
      <c r="L3479" t="s">
        <v>10883</v>
      </c>
      <c r="M3479" t="s">
        <v>10884</v>
      </c>
      <c r="N3479" t="s">
        <v>278</v>
      </c>
      <c r="O3479" t="s">
        <v>28</v>
      </c>
      <c r="P3479" t="s">
        <v>29</v>
      </c>
      <c r="Q3479">
        <v>41</v>
      </c>
      <c r="R3479">
        <v>-99.999999000000003</v>
      </c>
    </row>
    <row r="3480" spans="1:18" x14ac:dyDescent="0.2">
      <c r="A3480" t="s">
        <v>270</v>
      </c>
      <c r="B3480" t="s">
        <v>10823</v>
      </c>
      <c r="C3480">
        <v>1</v>
      </c>
      <c r="D3480" s="1">
        <v>44089.432245370372</v>
      </c>
      <c r="E3480" t="s">
        <v>10885</v>
      </c>
      <c r="F3480" t="s">
        <v>273</v>
      </c>
      <c r="G3480" t="s">
        <v>10825</v>
      </c>
      <c r="H3480" t="s">
        <v>275</v>
      </c>
      <c r="I3480" t="s">
        <v>29</v>
      </c>
      <c r="J3480">
        <v>1</v>
      </c>
      <c r="K3480">
        <f>1-844-210-4337</f>
        <v>-5390</v>
      </c>
      <c r="L3480" t="s">
        <v>10886</v>
      </c>
      <c r="M3480" t="s">
        <v>10887</v>
      </c>
      <c r="N3480" t="s">
        <v>278</v>
      </c>
      <c r="O3480" t="s">
        <v>28</v>
      </c>
      <c r="P3480" t="s">
        <v>29</v>
      </c>
      <c r="Q3480">
        <v>41</v>
      </c>
      <c r="R3480">
        <v>-99.999999000000003</v>
      </c>
    </row>
    <row r="3481" spans="1:18" x14ac:dyDescent="0.2">
      <c r="A3481" t="s">
        <v>270</v>
      </c>
      <c r="B3481" t="s">
        <v>10823</v>
      </c>
      <c r="C3481">
        <v>1</v>
      </c>
      <c r="D3481" s="1">
        <v>44089.430902777778</v>
      </c>
      <c r="E3481" t="s">
        <v>10888</v>
      </c>
      <c r="F3481" t="s">
        <v>273</v>
      </c>
      <c r="G3481" t="s">
        <v>10825</v>
      </c>
      <c r="H3481" t="s">
        <v>275</v>
      </c>
      <c r="I3481" t="s">
        <v>29</v>
      </c>
      <c r="J3481">
        <v>1</v>
      </c>
      <c r="K3481">
        <f>1-844-210-4337</f>
        <v>-5390</v>
      </c>
      <c r="L3481" t="s">
        <v>10889</v>
      </c>
      <c r="M3481" t="s">
        <v>10890</v>
      </c>
      <c r="N3481" t="s">
        <v>278</v>
      </c>
      <c r="O3481" t="s">
        <v>28</v>
      </c>
      <c r="P3481" t="s">
        <v>29</v>
      </c>
      <c r="Q3481">
        <v>41</v>
      </c>
      <c r="R3481">
        <v>-99.999999000000003</v>
      </c>
    </row>
    <row r="3482" spans="1:18" x14ac:dyDescent="0.2">
      <c r="A3482" t="s">
        <v>270</v>
      </c>
      <c r="B3482" t="s">
        <v>10823</v>
      </c>
      <c r="C3482">
        <v>1</v>
      </c>
      <c r="D3482" s="1">
        <v>44088.940729166665</v>
      </c>
      <c r="E3482" t="s">
        <v>10891</v>
      </c>
      <c r="F3482" t="s">
        <v>273</v>
      </c>
      <c r="G3482" t="s">
        <v>10825</v>
      </c>
      <c r="H3482" t="s">
        <v>275</v>
      </c>
      <c r="I3482" t="s">
        <v>29</v>
      </c>
      <c r="J3482">
        <v>1</v>
      </c>
      <c r="K3482">
        <f>1-844-210-4337</f>
        <v>-5390</v>
      </c>
      <c r="L3482" t="s">
        <v>10892</v>
      </c>
      <c r="M3482" t="s">
        <v>10893</v>
      </c>
      <c r="N3482" t="s">
        <v>278</v>
      </c>
      <c r="O3482" t="s">
        <v>28</v>
      </c>
      <c r="P3482" t="s">
        <v>29</v>
      </c>
      <c r="Q3482">
        <v>41</v>
      </c>
      <c r="R3482">
        <v>-99.999999000000003</v>
      </c>
    </row>
    <row r="3483" spans="1:18" x14ac:dyDescent="0.2">
      <c r="A3483" t="s">
        <v>270</v>
      </c>
      <c r="B3483" t="s">
        <v>10823</v>
      </c>
      <c r="C3483">
        <v>1</v>
      </c>
      <c r="D3483" s="1">
        <v>44088.77270833333</v>
      </c>
      <c r="E3483" t="s">
        <v>10894</v>
      </c>
      <c r="F3483" t="s">
        <v>273</v>
      </c>
      <c r="G3483" t="s">
        <v>10825</v>
      </c>
      <c r="H3483" t="s">
        <v>275</v>
      </c>
      <c r="I3483" t="s">
        <v>29</v>
      </c>
      <c r="J3483">
        <v>1</v>
      </c>
      <c r="K3483">
        <f>1-844-212-7353</f>
        <v>-8408</v>
      </c>
      <c r="L3483" t="s">
        <v>10895</v>
      </c>
      <c r="M3483" t="s">
        <v>10896</v>
      </c>
      <c r="N3483" t="s">
        <v>278</v>
      </c>
      <c r="O3483" t="s">
        <v>28</v>
      </c>
      <c r="P3483" t="s">
        <v>29</v>
      </c>
      <c r="Q3483">
        <v>41</v>
      </c>
      <c r="R3483">
        <v>-99.999999000000003</v>
      </c>
    </row>
    <row r="3484" spans="1:18" x14ac:dyDescent="0.2">
      <c r="A3484" t="s">
        <v>270</v>
      </c>
      <c r="B3484" t="s">
        <v>10823</v>
      </c>
      <c r="C3484">
        <v>1</v>
      </c>
      <c r="D3484" s="1">
        <v>44084.78396990741</v>
      </c>
      <c r="E3484" t="s">
        <v>10897</v>
      </c>
      <c r="F3484" t="s">
        <v>273</v>
      </c>
      <c r="G3484" t="s">
        <v>10825</v>
      </c>
      <c r="H3484" t="s">
        <v>275</v>
      </c>
      <c r="I3484" t="s">
        <v>29</v>
      </c>
      <c r="J3484">
        <v>1</v>
      </c>
      <c r="K3484">
        <f>1-844-318-7909</f>
        <v>-9070</v>
      </c>
      <c r="L3484" t="s">
        <v>10898</v>
      </c>
      <c r="M3484" t="s">
        <v>10899</v>
      </c>
      <c r="N3484" t="s">
        <v>278</v>
      </c>
      <c r="O3484" t="s">
        <v>28</v>
      </c>
      <c r="P3484" t="s">
        <v>29</v>
      </c>
      <c r="Q3484">
        <v>41</v>
      </c>
      <c r="R3484">
        <v>-99.999999000000003</v>
      </c>
    </row>
    <row r="3485" spans="1:18" x14ac:dyDescent="0.2">
      <c r="A3485" t="s">
        <v>270</v>
      </c>
      <c r="B3485" t="s">
        <v>10823</v>
      </c>
      <c r="C3485">
        <v>1</v>
      </c>
      <c r="D3485" s="1">
        <v>44084.782500000001</v>
      </c>
      <c r="E3485" t="s">
        <v>10900</v>
      </c>
      <c r="F3485" t="s">
        <v>273</v>
      </c>
      <c r="G3485" t="s">
        <v>10825</v>
      </c>
      <c r="H3485" t="s">
        <v>275</v>
      </c>
      <c r="I3485" t="s">
        <v>29</v>
      </c>
      <c r="J3485">
        <v>1</v>
      </c>
      <c r="K3485">
        <f>1-888-608-5109</f>
        <v>-6604</v>
      </c>
      <c r="L3485" t="s">
        <v>10901</v>
      </c>
      <c r="M3485" t="s">
        <v>10902</v>
      </c>
      <c r="N3485" t="s">
        <v>278</v>
      </c>
      <c r="O3485" t="s">
        <v>28</v>
      </c>
      <c r="P3485" t="s">
        <v>29</v>
      </c>
      <c r="Q3485">
        <v>41</v>
      </c>
      <c r="R3485">
        <v>-99.999999000000003</v>
      </c>
    </row>
    <row r="3486" spans="1:18" x14ac:dyDescent="0.2">
      <c r="A3486" t="s">
        <v>270</v>
      </c>
      <c r="B3486" t="s">
        <v>10823</v>
      </c>
      <c r="C3486">
        <v>1</v>
      </c>
      <c r="D3486" s="1">
        <v>44084.780995370369</v>
      </c>
      <c r="E3486" t="s">
        <v>10903</v>
      </c>
      <c r="F3486" t="s">
        <v>273</v>
      </c>
      <c r="G3486" t="s">
        <v>10825</v>
      </c>
      <c r="H3486" t="s">
        <v>275</v>
      </c>
      <c r="I3486" t="s">
        <v>29</v>
      </c>
      <c r="J3486">
        <v>1</v>
      </c>
      <c r="K3486">
        <f>1-888-608-5109</f>
        <v>-6604</v>
      </c>
      <c r="L3486" t="s">
        <v>10904</v>
      </c>
      <c r="M3486" t="s">
        <v>10905</v>
      </c>
      <c r="N3486" t="s">
        <v>278</v>
      </c>
      <c r="O3486" t="s">
        <v>28</v>
      </c>
      <c r="P3486" t="s">
        <v>29</v>
      </c>
      <c r="Q3486">
        <v>41</v>
      </c>
      <c r="R3486">
        <v>-99.999999000000003</v>
      </c>
    </row>
    <row r="3487" spans="1:18" x14ac:dyDescent="0.2">
      <c r="A3487" t="s">
        <v>270</v>
      </c>
      <c r="B3487" t="s">
        <v>10823</v>
      </c>
      <c r="C3487">
        <v>1</v>
      </c>
      <c r="D3487" s="1">
        <v>44084.780636574076</v>
      </c>
      <c r="E3487" t="s">
        <v>10906</v>
      </c>
      <c r="F3487" t="s">
        <v>273</v>
      </c>
      <c r="G3487" t="s">
        <v>10825</v>
      </c>
      <c r="H3487" t="s">
        <v>275</v>
      </c>
      <c r="I3487" t="s">
        <v>29</v>
      </c>
      <c r="J3487">
        <v>1</v>
      </c>
      <c r="K3487">
        <f>1-844-318-7909</f>
        <v>-9070</v>
      </c>
      <c r="L3487" t="s">
        <v>10907</v>
      </c>
      <c r="M3487" t="s">
        <v>10908</v>
      </c>
      <c r="N3487" t="s">
        <v>278</v>
      </c>
      <c r="O3487" t="s">
        <v>28</v>
      </c>
      <c r="P3487" t="s">
        <v>29</v>
      </c>
      <c r="Q3487">
        <v>41</v>
      </c>
      <c r="R3487">
        <v>-99.999999000000003</v>
      </c>
    </row>
    <row r="3488" spans="1:18" x14ac:dyDescent="0.2">
      <c r="A3488" t="s">
        <v>270</v>
      </c>
      <c r="B3488" t="s">
        <v>10823</v>
      </c>
      <c r="C3488">
        <v>1</v>
      </c>
      <c r="D3488" s="1">
        <v>44083.910324074073</v>
      </c>
      <c r="E3488" t="s">
        <v>10909</v>
      </c>
      <c r="F3488" t="s">
        <v>273</v>
      </c>
      <c r="G3488" t="s">
        <v>10825</v>
      </c>
      <c r="H3488" t="s">
        <v>275</v>
      </c>
      <c r="I3488" t="s">
        <v>29</v>
      </c>
      <c r="J3488">
        <v>1</v>
      </c>
      <c r="K3488">
        <f>1-888-585-4129</f>
        <v>-5601</v>
      </c>
      <c r="L3488" t="s">
        <v>10910</v>
      </c>
      <c r="M3488" t="s">
        <v>10911</v>
      </c>
      <c r="N3488" t="s">
        <v>278</v>
      </c>
      <c r="O3488" t="s">
        <v>28</v>
      </c>
      <c r="P3488" t="s">
        <v>29</v>
      </c>
      <c r="Q3488">
        <v>41</v>
      </c>
      <c r="R3488">
        <v>-99.999999000000003</v>
      </c>
    </row>
    <row r="3489" spans="1:18" x14ac:dyDescent="0.2">
      <c r="A3489" t="s">
        <v>270</v>
      </c>
      <c r="B3489" t="s">
        <v>10823</v>
      </c>
      <c r="C3489">
        <v>1</v>
      </c>
      <c r="D3489" s="1">
        <v>44083.845439814817</v>
      </c>
      <c r="E3489" t="s">
        <v>10912</v>
      </c>
      <c r="F3489" t="s">
        <v>273</v>
      </c>
      <c r="G3489" t="s">
        <v>10825</v>
      </c>
      <c r="H3489" t="s">
        <v>275</v>
      </c>
      <c r="I3489" t="s">
        <v>29</v>
      </c>
      <c r="J3489">
        <v>1</v>
      </c>
      <c r="K3489">
        <f>1-888-599-4298</f>
        <v>-5784</v>
      </c>
      <c r="L3489" t="s">
        <v>10913</v>
      </c>
      <c r="M3489" t="s">
        <v>10914</v>
      </c>
      <c r="N3489" t="s">
        <v>278</v>
      </c>
      <c r="O3489" t="s">
        <v>28</v>
      </c>
      <c r="P3489" t="s">
        <v>29</v>
      </c>
      <c r="Q3489">
        <v>41</v>
      </c>
      <c r="R3489">
        <v>-99.999999000000003</v>
      </c>
    </row>
    <row r="3490" spans="1:18" x14ac:dyDescent="0.2">
      <c r="A3490" t="s">
        <v>270</v>
      </c>
      <c r="B3490" t="s">
        <v>10823</v>
      </c>
      <c r="C3490">
        <v>1</v>
      </c>
      <c r="D3490" s="1">
        <v>44083.829629629632</v>
      </c>
      <c r="E3490" t="s">
        <v>10915</v>
      </c>
      <c r="F3490" t="s">
        <v>273</v>
      </c>
      <c r="G3490" t="s">
        <v>10825</v>
      </c>
      <c r="H3490" t="s">
        <v>275</v>
      </c>
      <c r="I3490" t="s">
        <v>29</v>
      </c>
      <c r="J3490">
        <v>1</v>
      </c>
      <c r="K3490">
        <f>1-888-592-7014</f>
        <v>-8493</v>
      </c>
      <c r="L3490" t="s">
        <v>10916</v>
      </c>
      <c r="M3490" t="s">
        <v>10917</v>
      </c>
      <c r="N3490" t="s">
        <v>278</v>
      </c>
      <c r="O3490" t="s">
        <v>28</v>
      </c>
      <c r="P3490" t="s">
        <v>29</v>
      </c>
      <c r="Q3490">
        <v>41</v>
      </c>
      <c r="R3490">
        <v>-99.999999000000003</v>
      </c>
    </row>
    <row r="3491" spans="1:18" x14ac:dyDescent="0.2">
      <c r="A3491" t="s">
        <v>270</v>
      </c>
      <c r="B3491" t="s">
        <v>10823</v>
      </c>
      <c r="C3491">
        <v>1</v>
      </c>
      <c r="D3491" s="1">
        <v>44083.828796296293</v>
      </c>
      <c r="E3491" t="s">
        <v>10918</v>
      </c>
      <c r="F3491" t="s">
        <v>273</v>
      </c>
      <c r="G3491" t="s">
        <v>10825</v>
      </c>
      <c r="H3491" t="s">
        <v>275</v>
      </c>
      <c r="I3491" t="s">
        <v>29</v>
      </c>
      <c r="J3491">
        <v>1</v>
      </c>
      <c r="K3491">
        <f>1-888-585-7516</f>
        <v>-8988</v>
      </c>
      <c r="L3491" t="s">
        <v>10919</v>
      </c>
      <c r="M3491" t="s">
        <v>10920</v>
      </c>
      <c r="N3491" t="s">
        <v>278</v>
      </c>
      <c r="O3491" t="s">
        <v>28</v>
      </c>
      <c r="P3491" t="s">
        <v>29</v>
      </c>
      <c r="Q3491">
        <v>41</v>
      </c>
      <c r="R3491">
        <v>-99.999999000000003</v>
      </c>
    </row>
    <row r="3492" spans="1:18" x14ac:dyDescent="0.2">
      <c r="A3492" t="s">
        <v>270</v>
      </c>
      <c r="B3492" t="s">
        <v>10823</v>
      </c>
      <c r="C3492">
        <v>1</v>
      </c>
      <c r="D3492" s="1">
        <v>44083.801018518519</v>
      </c>
      <c r="E3492" t="s">
        <v>10921</v>
      </c>
      <c r="F3492" t="s">
        <v>273</v>
      </c>
      <c r="G3492" t="s">
        <v>10825</v>
      </c>
      <c r="H3492" t="s">
        <v>275</v>
      </c>
      <c r="I3492" t="s">
        <v>29</v>
      </c>
      <c r="J3492">
        <v>1</v>
      </c>
      <c r="K3492">
        <f>1-888-599-5036</f>
        <v>-6522</v>
      </c>
      <c r="L3492" t="s">
        <v>10922</v>
      </c>
      <c r="M3492" t="s">
        <v>10923</v>
      </c>
      <c r="N3492" t="s">
        <v>278</v>
      </c>
      <c r="O3492" t="s">
        <v>28</v>
      </c>
      <c r="P3492" t="s">
        <v>29</v>
      </c>
      <c r="Q3492">
        <v>41</v>
      </c>
      <c r="R3492">
        <v>-99.999999000000003</v>
      </c>
    </row>
    <row r="3493" spans="1:18" x14ac:dyDescent="0.2">
      <c r="A3493" t="s">
        <v>270</v>
      </c>
      <c r="B3493" t="s">
        <v>10823</v>
      </c>
      <c r="C3493">
        <v>1</v>
      </c>
      <c r="D3493" s="1">
        <v>44082.946863425925</v>
      </c>
      <c r="E3493" t="s">
        <v>10924</v>
      </c>
      <c r="F3493" t="s">
        <v>273</v>
      </c>
      <c r="G3493" t="s">
        <v>10825</v>
      </c>
      <c r="H3493" t="s">
        <v>275</v>
      </c>
      <c r="I3493" t="s">
        <v>29</v>
      </c>
      <c r="J3493">
        <v>1</v>
      </c>
      <c r="K3493">
        <f>1-888-592-8059</f>
        <v>-9538</v>
      </c>
      <c r="L3493" t="s">
        <v>10925</v>
      </c>
      <c r="M3493" t="s">
        <v>10926</v>
      </c>
      <c r="N3493" t="s">
        <v>278</v>
      </c>
      <c r="O3493" t="s">
        <v>28</v>
      </c>
      <c r="P3493" t="s">
        <v>29</v>
      </c>
      <c r="Q3493">
        <v>41</v>
      </c>
      <c r="R3493">
        <v>-99.999999000000003</v>
      </c>
    </row>
    <row r="3494" spans="1:18" x14ac:dyDescent="0.2">
      <c r="A3494" t="s">
        <v>270</v>
      </c>
      <c r="B3494" t="s">
        <v>10823</v>
      </c>
      <c r="C3494">
        <v>1</v>
      </c>
      <c r="D3494" s="1">
        <v>44082.841400462959</v>
      </c>
      <c r="E3494" t="s">
        <v>10927</v>
      </c>
      <c r="F3494" t="s">
        <v>273</v>
      </c>
      <c r="G3494" t="s">
        <v>10825</v>
      </c>
      <c r="H3494" t="s">
        <v>275</v>
      </c>
      <c r="I3494" t="s">
        <v>29</v>
      </c>
      <c r="J3494">
        <v>1</v>
      </c>
      <c r="K3494">
        <f>1-888-646-615</f>
        <v>-2148</v>
      </c>
      <c r="L3494" t="s">
        <v>10928</v>
      </c>
      <c r="M3494" t="s">
        <v>10929</v>
      </c>
      <c r="N3494" t="s">
        <v>278</v>
      </c>
      <c r="O3494" t="s">
        <v>134</v>
      </c>
      <c r="P3494" t="s">
        <v>29</v>
      </c>
      <c r="Q3494">
        <v>41</v>
      </c>
      <c r="R3494">
        <v>-99.999999000000003</v>
      </c>
    </row>
    <row r="3495" spans="1:18" x14ac:dyDescent="0.2">
      <c r="A3495" t="s">
        <v>270</v>
      </c>
      <c r="B3495" t="s">
        <v>10823</v>
      </c>
      <c r="C3495">
        <v>1</v>
      </c>
      <c r="D3495" s="1">
        <v>44082.840671296297</v>
      </c>
      <c r="E3495" t="s">
        <v>10930</v>
      </c>
      <c r="F3495" t="s">
        <v>273</v>
      </c>
      <c r="G3495" t="s">
        <v>10825</v>
      </c>
      <c r="H3495" t="s">
        <v>275</v>
      </c>
      <c r="I3495" t="s">
        <v>29</v>
      </c>
      <c r="J3495">
        <v>1</v>
      </c>
      <c r="K3495">
        <f>1-888-618-225</f>
        <v>-1730</v>
      </c>
      <c r="L3495" t="s">
        <v>10931</v>
      </c>
      <c r="M3495" t="s">
        <v>10932</v>
      </c>
      <c r="N3495" t="s">
        <v>278</v>
      </c>
      <c r="O3495" t="s">
        <v>134</v>
      </c>
      <c r="P3495" t="s">
        <v>29</v>
      </c>
      <c r="Q3495">
        <v>41</v>
      </c>
      <c r="R3495">
        <v>-99.999999000000003</v>
      </c>
    </row>
    <row r="3496" spans="1:18" x14ac:dyDescent="0.2">
      <c r="A3496" t="s">
        <v>270</v>
      </c>
      <c r="B3496" t="s">
        <v>10823</v>
      </c>
      <c r="C3496">
        <v>1</v>
      </c>
      <c r="D3496" s="1">
        <v>44082.840092592596</v>
      </c>
      <c r="E3496" t="s">
        <v>10933</v>
      </c>
      <c r="F3496" t="s">
        <v>273</v>
      </c>
      <c r="G3496" t="s">
        <v>10825</v>
      </c>
      <c r="H3496" t="s">
        <v>275</v>
      </c>
      <c r="I3496" t="s">
        <v>29</v>
      </c>
      <c r="J3496">
        <v>1</v>
      </c>
      <c r="K3496">
        <f>1-888-606-454</f>
        <v>-1947</v>
      </c>
      <c r="L3496" t="s">
        <v>10934</v>
      </c>
      <c r="M3496" t="s">
        <v>10935</v>
      </c>
      <c r="N3496" t="s">
        <v>278</v>
      </c>
      <c r="O3496" t="s">
        <v>134</v>
      </c>
      <c r="P3496" t="s">
        <v>29</v>
      </c>
      <c r="Q3496">
        <v>41</v>
      </c>
      <c r="R3496">
        <v>-99.999999000000003</v>
      </c>
    </row>
    <row r="3497" spans="1:18" x14ac:dyDescent="0.2">
      <c r="A3497" t="s">
        <v>270</v>
      </c>
      <c r="B3497" t="s">
        <v>10823</v>
      </c>
      <c r="C3497">
        <v>1</v>
      </c>
      <c r="D3497" s="1">
        <v>44078.852870370371</v>
      </c>
      <c r="E3497" t="s">
        <v>10936</v>
      </c>
      <c r="F3497" t="s">
        <v>273</v>
      </c>
      <c r="G3497" t="s">
        <v>10825</v>
      </c>
      <c r="H3497" t="s">
        <v>275</v>
      </c>
      <c r="I3497" t="s">
        <v>29</v>
      </c>
      <c r="J3497">
        <v>1</v>
      </c>
      <c r="K3497">
        <f>1-866-591-3044</f>
        <v>-4500</v>
      </c>
      <c r="L3497" t="s">
        <v>10937</v>
      </c>
      <c r="M3497" t="s">
        <v>10938</v>
      </c>
      <c r="N3497" t="s">
        <v>278</v>
      </c>
      <c r="O3497" t="s">
        <v>134</v>
      </c>
      <c r="P3497" t="s">
        <v>29</v>
      </c>
      <c r="Q3497">
        <v>41</v>
      </c>
      <c r="R3497">
        <v>-99.999999000000003</v>
      </c>
    </row>
    <row r="3498" spans="1:18" x14ac:dyDescent="0.2">
      <c r="A3498" t="s">
        <v>270</v>
      </c>
      <c r="B3498" t="s">
        <v>10823</v>
      </c>
      <c r="C3498">
        <v>1</v>
      </c>
      <c r="D3498" s="1">
        <v>44078.851770833331</v>
      </c>
      <c r="E3498" t="s">
        <v>10939</v>
      </c>
      <c r="F3498" t="s">
        <v>273</v>
      </c>
      <c r="G3498" t="s">
        <v>10825</v>
      </c>
      <c r="H3498" t="s">
        <v>275</v>
      </c>
      <c r="I3498" t="s">
        <v>29</v>
      </c>
      <c r="J3498">
        <v>1</v>
      </c>
      <c r="K3498">
        <f>1-866-754-7703</f>
        <v>-9322</v>
      </c>
      <c r="L3498" t="s">
        <v>10940</v>
      </c>
      <c r="M3498" t="s">
        <v>10941</v>
      </c>
      <c r="N3498" t="s">
        <v>278</v>
      </c>
      <c r="O3498" t="s">
        <v>134</v>
      </c>
      <c r="P3498" t="s">
        <v>29</v>
      </c>
      <c r="Q3498">
        <v>41</v>
      </c>
      <c r="R3498">
        <v>-99.999999000000003</v>
      </c>
    </row>
    <row r="3499" spans="1:18" x14ac:dyDescent="0.2">
      <c r="A3499" t="s">
        <v>270</v>
      </c>
      <c r="B3499" t="s">
        <v>10823</v>
      </c>
      <c r="C3499">
        <v>1</v>
      </c>
      <c r="D3499" s="1">
        <v>44078.850682870368</v>
      </c>
      <c r="E3499" t="s">
        <v>10942</v>
      </c>
      <c r="F3499" t="s">
        <v>273</v>
      </c>
      <c r="G3499" t="s">
        <v>10825</v>
      </c>
      <c r="H3499" t="s">
        <v>275</v>
      </c>
      <c r="I3499" t="s">
        <v>29</v>
      </c>
      <c r="J3499">
        <v>1</v>
      </c>
      <c r="K3499">
        <f>1-866-674-6552</f>
        <v>-8091</v>
      </c>
      <c r="L3499" t="s">
        <v>10943</v>
      </c>
      <c r="M3499" t="s">
        <v>10944</v>
      </c>
      <c r="N3499" t="s">
        <v>278</v>
      </c>
      <c r="O3499" t="s">
        <v>134</v>
      </c>
      <c r="P3499" t="s">
        <v>29</v>
      </c>
      <c r="Q3499">
        <v>41</v>
      </c>
      <c r="R3499">
        <v>-99.999999000000003</v>
      </c>
    </row>
    <row r="3500" spans="1:18" x14ac:dyDescent="0.2">
      <c r="A3500" t="s">
        <v>270</v>
      </c>
      <c r="B3500" t="s">
        <v>10823</v>
      </c>
      <c r="C3500">
        <v>1</v>
      </c>
      <c r="D3500" s="1">
        <v>44078.849594907406</v>
      </c>
      <c r="E3500" t="s">
        <v>10945</v>
      </c>
      <c r="F3500" t="s">
        <v>273</v>
      </c>
      <c r="G3500" t="s">
        <v>10825</v>
      </c>
      <c r="H3500" t="s">
        <v>275</v>
      </c>
      <c r="I3500" t="s">
        <v>29</v>
      </c>
      <c r="J3500">
        <v>1</v>
      </c>
      <c r="K3500">
        <f>1-866-586-2110</f>
        <v>-3561</v>
      </c>
      <c r="L3500" t="s">
        <v>10946</v>
      </c>
      <c r="M3500" t="s">
        <v>10947</v>
      </c>
      <c r="N3500" t="s">
        <v>278</v>
      </c>
      <c r="O3500" t="s">
        <v>134</v>
      </c>
      <c r="P3500" t="s">
        <v>29</v>
      </c>
      <c r="Q3500">
        <v>41</v>
      </c>
      <c r="R3500">
        <v>-99.999999000000003</v>
      </c>
    </row>
    <row r="3501" spans="1:18" x14ac:dyDescent="0.2">
      <c r="A3501" t="s">
        <v>270</v>
      </c>
      <c r="B3501" t="s">
        <v>10823</v>
      </c>
      <c r="C3501">
        <v>1</v>
      </c>
      <c r="D3501" s="1">
        <v>44074.931203703702</v>
      </c>
      <c r="E3501" t="s">
        <v>10948</v>
      </c>
      <c r="F3501" t="s">
        <v>273</v>
      </c>
      <c r="G3501" t="s">
        <v>10825</v>
      </c>
      <c r="H3501" t="s">
        <v>275</v>
      </c>
      <c r="I3501" t="s">
        <v>29</v>
      </c>
      <c r="J3501">
        <v>1</v>
      </c>
      <c r="K3501">
        <f>1-888-651-2892</f>
        <v>-4430</v>
      </c>
      <c r="L3501" t="s">
        <v>10949</v>
      </c>
      <c r="M3501" t="s">
        <v>10950</v>
      </c>
      <c r="N3501" t="s">
        <v>278</v>
      </c>
      <c r="O3501" t="s">
        <v>28</v>
      </c>
      <c r="P3501" t="s">
        <v>29</v>
      </c>
      <c r="Q3501">
        <v>41</v>
      </c>
      <c r="R3501">
        <v>-99.999999000000003</v>
      </c>
    </row>
    <row r="3502" spans="1:18" x14ac:dyDescent="0.2">
      <c r="A3502" t="s">
        <v>270</v>
      </c>
      <c r="B3502" t="s">
        <v>10823</v>
      </c>
      <c r="C3502">
        <v>1</v>
      </c>
      <c r="D3502" s="1">
        <v>44075.758240740739</v>
      </c>
      <c r="E3502" t="s">
        <v>10951</v>
      </c>
      <c r="F3502" t="s">
        <v>273</v>
      </c>
      <c r="G3502" t="s">
        <v>10825</v>
      </c>
      <c r="H3502" t="s">
        <v>275</v>
      </c>
      <c r="I3502" t="s">
        <v>29</v>
      </c>
      <c r="J3502">
        <v>1</v>
      </c>
      <c r="K3502">
        <f>1-888-291-91</f>
        <v>-1269</v>
      </c>
      <c r="L3502" t="s">
        <v>10952</v>
      </c>
      <c r="M3502" t="s">
        <v>10953</v>
      </c>
      <c r="N3502" t="s">
        <v>278</v>
      </c>
      <c r="O3502" t="s">
        <v>134</v>
      </c>
      <c r="P3502" t="s">
        <v>29</v>
      </c>
      <c r="Q3502">
        <v>41</v>
      </c>
      <c r="R3502">
        <v>-99.999999000000003</v>
      </c>
    </row>
    <row r="3503" spans="1:18" x14ac:dyDescent="0.2">
      <c r="A3503" t="s">
        <v>270</v>
      </c>
      <c r="B3503" t="s">
        <v>10823</v>
      </c>
      <c r="C3503">
        <v>1</v>
      </c>
      <c r="D3503" s="1">
        <v>44073.943888888891</v>
      </c>
      <c r="E3503" t="s">
        <v>10954</v>
      </c>
      <c r="F3503" t="s">
        <v>273</v>
      </c>
      <c r="G3503" t="s">
        <v>10825</v>
      </c>
      <c r="H3503" t="s">
        <v>275</v>
      </c>
      <c r="I3503" t="s">
        <v>29</v>
      </c>
      <c r="J3503">
        <v>1</v>
      </c>
      <c r="K3503">
        <f>1-888-417-4066</f>
        <v>-5370</v>
      </c>
      <c r="L3503" t="s">
        <v>10955</v>
      </c>
      <c r="M3503" t="s">
        <v>10956</v>
      </c>
      <c r="N3503" t="s">
        <v>278</v>
      </c>
      <c r="O3503" t="s">
        <v>134</v>
      </c>
      <c r="P3503" t="s">
        <v>29</v>
      </c>
      <c r="Q3503">
        <v>41</v>
      </c>
      <c r="R3503">
        <v>-99.999999000000003</v>
      </c>
    </row>
    <row r="3504" spans="1:18" x14ac:dyDescent="0.2">
      <c r="A3504" t="s">
        <v>270</v>
      </c>
      <c r="B3504" t="s">
        <v>10823</v>
      </c>
      <c r="C3504">
        <v>1</v>
      </c>
      <c r="D3504" s="1">
        <v>44073.942835648151</v>
      </c>
      <c r="E3504" t="s">
        <v>10957</v>
      </c>
      <c r="F3504" t="s">
        <v>273</v>
      </c>
      <c r="G3504" t="s">
        <v>10825</v>
      </c>
      <c r="H3504" t="s">
        <v>275</v>
      </c>
      <c r="I3504" t="s">
        <v>29</v>
      </c>
      <c r="J3504">
        <v>1</v>
      </c>
      <c r="K3504">
        <f>1-888-312-1403</f>
        <v>-2602</v>
      </c>
      <c r="L3504" t="s">
        <v>10958</v>
      </c>
      <c r="M3504" t="s">
        <v>10959</v>
      </c>
      <c r="N3504" t="s">
        <v>278</v>
      </c>
      <c r="O3504" t="s">
        <v>134</v>
      </c>
      <c r="P3504" t="s">
        <v>29</v>
      </c>
      <c r="Q3504">
        <v>41</v>
      </c>
      <c r="R3504">
        <v>-99.999999000000003</v>
      </c>
    </row>
    <row r="3505" spans="1:18" x14ac:dyDescent="0.2">
      <c r="A3505" t="s">
        <v>270</v>
      </c>
      <c r="B3505" t="s">
        <v>10823</v>
      </c>
      <c r="C3505">
        <v>1</v>
      </c>
      <c r="D3505" s="1">
        <v>44073.941168981481</v>
      </c>
      <c r="E3505" t="s">
        <v>10960</v>
      </c>
      <c r="F3505" t="s">
        <v>273</v>
      </c>
      <c r="G3505" t="s">
        <v>10825</v>
      </c>
      <c r="H3505" t="s">
        <v>275</v>
      </c>
      <c r="I3505" t="s">
        <v>29</v>
      </c>
      <c r="J3505">
        <v>1</v>
      </c>
      <c r="K3505">
        <f>1-888-312-1413</f>
        <v>-2612</v>
      </c>
      <c r="L3505" t="s">
        <v>10961</v>
      </c>
      <c r="M3505" t="s">
        <v>10962</v>
      </c>
      <c r="N3505" t="s">
        <v>278</v>
      </c>
      <c r="O3505" t="s">
        <v>134</v>
      </c>
      <c r="P3505" t="s">
        <v>29</v>
      </c>
      <c r="Q3505">
        <v>41</v>
      </c>
      <c r="R3505">
        <v>-99.999999000000003</v>
      </c>
    </row>
    <row r="3506" spans="1:18" x14ac:dyDescent="0.2">
      <c r="A3506" t="s">
        <v>270</v>
      </c>
      <c r="B3506" t="s">
        <v>10823</v>
      </c>
      <c r="C3506">
        <v>1</v>
      </c>
      <c r="D3506" s="1">
        <v>44073.93954861111</v>
      </c>
      <c r="E3506" t="s">
        <v>10963</v>
      </c>
      <c r="F3506" t="s">
        <v>273</v>
      </c>
      <c r="G3506" t="s">
        <v>10825</v>
      </c>
      <c r="H3506" t="s">
        <v>275</v>
      </c>
      <c r="I3506" t="s">
        <v>29</v>
      </c>
      <c r="J3506">
        <v>1</v>
      </c>
      <c r="K3506">
        <f>1-888-291-215</f>
        <v>-1393</v>
      </c>
      <c r="L3506" t="s">
        <v>10964</v>
      </c>
      <c r="M3506" t="s">
        <v>10965</v>
      </c>
      <c r="N3506" t="s">
        <v>278</v>
      </c>
      <c r="O3506" t="s">
        <v>134</v>
      </c>
      <c r="P3506" t="s">
        <v>29</v>
      </c>
      <c r="Q3506">
        <v>41</v>
      </c>
      <c r="R3506">
        <v>-99.999999000000003</v>
      </c>
    </row>
    <row r="3507" spans="1:18" x14ac:dyDescent="0.2">
      <c r="A3507" t="s">
        <v>270</v>
      </c>
      <c r="B3507" t="s">
        <v>10823</v>
      </c>
      <c r="C3507">
        <v>1</v>
      </c>
      <c r="D3507" s="1">
        <v>44073.929143518515</v>
      </c>
      <c r="E3507" t="s">
        <v>10966</v>
      </c>
      <c r="F3507" t="s">
        <v>273</v>
      </c>
      <c r="G3507" t="s">
        <v>10825</v>
      </c>
      <c r="H3507" t="s">
        <v>275</v>
      </c>
      <c r="I3507" t="s">
        <v>29</v>
      </c>
      <c r="J3507">
        <v>1</v>
      </c>
      <c r="K3507">
        <f>1-888-538-267</f>
        <v>-1692</v>
      </c>
      <c r="L3507" t="s">
        <v>10967</v>
      </c>
      <c r="M3507" t="s">
        <v>10968</v>
      </c>
      <c r="N3507" t="s">
        <v>278</v>
      </c>
      <c r="O3507" t="s">
        <v>134</v>
      </c>
      <c r="P3507" t="s">
        <v>29</v>
      </c>
      <c r="Q3507">
        <v>41</v>
      </c>
      <c r="R3507">
        <v>-99.999999000000003</v>
      </c>
    </row>
    <row r="3508" spans="1:18" x14ac:dyDescent="0.2">
      <c r="A3508" t="s">
        <v>270</v>
      </c>
      <c r="B3508" t="s">
        <v>10823</v>
      </c>
      <c r="C3508">
        <v>1</v>
      </c>
      <c r="D3508" s="1">
        <v>44073.928055555552</v>
      </c>
      <c r="E3508" t="s">
        <v>10969</v>
      </c>
      <c r="F3508" t="s">
        <v>273</v>
      </c>
      <c r="G3508" t="s">
        <v>10825</v>
      </c>
      <c r="H3508" t="s">
        <v>275</v>
      </c>
      <c r="I3508" t="s">
        <v>29</v>
      </c>
      <c r="J3508">
        <v>1</v>
      </c>
      <c r="K3508">
        <f>1-888-526-3661</f>
        <v>-5074</v>
      </c>
      <c r="L3508" t="s">
        <v>10970</v>
      </c>
      <c r="M3508" t="s">
        <v>10971</v>
      </c>
      <c r="N3508" t="s">
        <v>278</v>
      </c>
      <c r="O3508" t="s">
        <v>134</v>
      </c>
      <c r="P3508" t="s">
        <v>29</v>
      </c>
      <c r="Q3508">
        <v>41</v>
      </c>
      <c r="R3508">
        <v>-99.999999000000003</v>
      </c>
    </row>
    <row r="3509" spans="1:18" x14ac:dyDescent="0.2">
      <c r="A3509" t="s">
        <v>270</v>
      </c>
      <c r="B3509" t="s">
        <v>10823</v>
      </c>
      <c r="C3509">
        <v>1</v>
      </c>
      <c r="D3509" s="1">
        <v>44073.926990740743</v>
      </c>
      <c r="E3509" t="s">
        <v>10972</v>
      </c>
      <c r="F3509" t="s">
        <v>273</v>
      </c>
      <c r="G3509" t="s">
        <v>10825</v>
      </c>
      <c r="H3509" t="s">
        <v>275</v>
      </c>
      <c r="I3509" t="s">
        <v>29</v>
      </c>
      <c r="J3509">
        <v>1</v>
      </c>
      <c r="K3509">
        <f>1-888-524-3582</f>
        <v>-4993</v>
      </c>
      <c r="L3509" t="s">
        <v>10973</v>
      </c>
      <c r="M3509" t="s">
        <v>10974</v>
      </c>
      <c r="N3509" t="s">
        <v>278</v>
      </c>
      <c r="O3509" t="s">
        <v>134</v>
      </c>
      <c r="P3509" t="s">
        <v>29</v>
      </c>
      <c r="Q3509">
        <v>41</v>
      </c>
      <c r="R3509">
        <v>-99.999999000000003</v>
      </c>
    </row>
    <row r="3510" spans="1:18" x14ac:dyDescent="0.2">
      <c r="A3510" t="s">
        <v>270</v>
      </c>
      <c r="B3510" t="s">
        <v>10823</v>
      </c>
      <c r="C3510">
        <v>1</v>
      </c>
      <c r="D3510" s="1">
        <v>44073.063206018516</v>
      </c>
      <c r="E3510" t="s">
        <v>10975</v>
      </c>
      <c r="F3510" t="s">
        <v>273</v>
      </c>
      <c r="G3510" t="s">
        <v>10825</v>
      </c>
      <c r="H3510" t="s">
        <v>275</v>
      </c>
      <c r="I3510" t="s">
        <v>29</v>
      </c>
      <c r="J3510">
        <v>1</v>
      </c>
      <c r="K3510">
        <f>1-888-705-881</f>
        <v>-2473</v>
      </c>
      <c r="L3510" t="s">
        <v>10976</v>
      </c>
      <c r="M3510" t="s">
        <v>10977</v>
      </c>
      <c r="N3510" t="s">
        <v>278</v>
      </c>
      <c r="O3510" t="s">
        <v>134</v>
      </c>
      <c r="P3510" t="s">
        <v>29</v>
      </c>
      <c r="Q3510">
        <v>41</v>
      </c>
      <c r="R3510">
        <v>-99.999999000000003</v>
      </c>
    </row>
    <row r="3511" spans="1:18" x14ac:dyDescent="0.2">
      <c r="A3511" t="s">
        <v>270</v>
      </c>
      <c r="B3511" t="s">
        <v>10823</v>
      </c>
      <c r="C3511">
        <v>1</v>
      </c>
      <c r="D3511" s="1">
        <v>44073.027581018519</v>
      </c>
      <c r="E3511" t="s">
        <v>10978</v>
      </c>
      <c r="F3511" t="s">
        <v>273</v>
      </c>
      <c r="G3511" t="s">
        <v>10825</v>
      </c>
      <c r="H3511" t="s">
        <v>275</v>
      </c>
      <c r="I3511" t="s">
        <v>29</v>
      </c>
      <c r="J3511">
        <v>1</v>
      </c>
      <c r="K3511">
        <f>1-888-417-4065</f>
        <v>-5369</v>
      </c>
      <c r="L3511" t="s">
        <v>10979</v>
      </c>
      <c r="M3511" t="s">
        <v>10980</v>
      </c>
      <c r="N3511" t="s">
        <v>278</v>
      </c>
      <c r="O3511" t="s">
        <v>134</v>
      </c>
      <c r="P3511" t="s">
        <v>29</v>
      </c>
      <c r="Q3511">
        <v>41</v>
      </c>
      <c r="R3511">
        <v>-99.999999000000003</v>
      </c>
    </row>
    <row r="3512" spans="1:18" x14ac:dyDescent="0.2">
      <c r="A3512" t="s">
        <v>270</v>
      </c>
      <c r="B3512" t="s">
        <v>10823</v>
      </c>
      <c r="C3512">
        <v>1</v>
      </c>
      <c r="D3512" s="1">
        <v>44073.026562500003</v>
      </c>
      <c r="E3512" t="s">
        <v>10981</v>
      </c>
      <c r="F3512" t="s">
        <v>273</v>
      </c>
      <c r="G3512" t="s">
        <v>10825</v>
      </c>
      <c r="H3512" t="s">
        <v>275</v>
      </c>
      <c r="I3512" t="s">
        <v>29</v>
      </c>
      <c r="J3512">
        <v>1</v>
      </c>
      <c r="K3512">
        <f>1-888-598-1511</f>
        <v>-2996</v>
      </c>
      <c r="L3512" t="s">
        <v>10982</v>
      </c>
      <c r="M3512" t="s">
        <v>10983</v>
      </c>
      <c r="N3512" t="s">
        <v>278</v>
      </c>
      <c r="O3512" t="s">
        <v>134</v>
      </c>
      <c r="P3512" t="s">
        <v>29</v>
      </c>
      <c r="Q3512">
        <v>41</v>
      </c>
      <c r="R3512">
        <v>-99.999999000000003</v>
      </c>
    </row>
    <row r="3513" spans="1:18" x14ac:dyDescent="0.2">
      <c r="A3513" t="s">
        <v>270</v>
      </c>
      <c r="B3513" t="s">
        <v>10823</v>
      </c>
      <c r="C3513">
        <v>1</v>
      </c>
      <c r="D3513" s="1">
        <v>44072.869687500002</v>
      </c>
      <c r="E3513" t="s">
        <v>10984</v>
      </c>
      <c r="F3513" t="s">
        <v>273</v>
      </c>
      <c r="G3513" t="s">
        <v>10825</v>
      </c>
      <c r="H3513" t="s">
        <v>275</v>
      </c>
      <c r="I3513" t="s">
        <v>29</v>
      </c>
      <c r="J3513">
        <v>1</v>
      </c>
      <c r="K3513">
        <f>1-888-662-8133</f>
        <v>-9682</v>
      </c>
      <c r="L3513" t="s">
        <v>10985</v>
      </c>
      <c r="M3513" t="s">
        <v>10986</v>
      </c>
      <c r="N3513" t="s">
        <v>278</v>
      </c>
      <c r="O3513" t="s">
        <v>134</v>
      </c>
      <c r="P3513" t="s">
        <v>29</v>
      </c>
      <c r="Q3513">
        <v>41</v>
      </c>
      <c r="R3513">
        <v>-99.999999000000003</v>
      </c>
    </row>
    <row r="3514" spans="1:18" x14ac:dyDescent="0.2">
      <c r="A3514" t="s">
        <v>270</v>
      </c>
      <c r="B3514" t="s">
        <v>10823</v>
      </c>
      <c r="C3514">
        <v>1</v>
      </c>
      <c r="D3514" s="1">
        <v>44072.868634259263</v>
      </c>
      <c r="E3514" t="s">
        <v>10987</v>
      </c>
      <c r="F3514" t="s">
        <v>273</v>
      </c>
      <c r="G3514" t="s">
        <v>10825</v>
      </c>
      <c r="H3514" t="s">
        <v>275</v>
      </c>
      <c r="I3514" t="s">
        <v>29</v>
      </c>
      <c r="J3514">
        <v>1</v>
      </c>
      <c r="K3514">
        <f>1-888-609-3819</f>
        <v>-5315</v>
      </c>
      <c r="L3514" t="s">
        <v>10988</v>
      </c>
      <c r="M3514" t="s">
        <v>10989</v>
      </c>
      <c r="N3514" t="s">
        <v>278</v>
      </c>
      <c r="O3514" t="s">
        <v>134</v>
      </c>
      <c r="P3514" t="s">
        <v>29</v>
      </c>
      <c r="Q3514">
        <v>41</v>
      </c>
      <c r="R3514">
        <v>-99.999999000000003</v>
      </c>
    </row>
    <row r="3515" spans="1:18" x14ac:dyDescent="0.2">
      <c r="A3515" t="s">
        <v>270</v>
      </c>
      <c r="B3515" t="s">
        <v>10823</v>
      </c>
      <c r="C3515">
        <v>1</v>
      </c>
      <c r="D3515" s="1">
        <v>44072.868078703701</v>
      </c>
      <c r="E3515" t="s">
        <v>10990</v>
      </c>
      <c r="F3515" t="s">
        <v>273</v>
      </c>
      <c r="G3515" t="s">
        <v>10825</v>
      </c>
      <c r="H3515" t="s">
        <v>275</v>
      </c>
      <c r="I3515" t="s">
        <v>29</v>
      </c>
      <c r="J3515">
        <v>1</v>
      </c>
      <c r="K3515">
        <f>1-888-619-5735</f>
        <v>-7241</v>
      </c>
      <c r="L3515" t="s">
        <v>10991</v>
      </c>
      <c r="M3515" t="s">
        <v>10992</v>
      </c>
      <c r="N3515" t="s">
        <v>278</v>
      </c>
      <c r="O3515" t="s">
        <v>134</v>
      </c>
      <c r="P3515" t="s">
        <v>29</v>
      </c>
      <c r="Q3515">
        <v>41</v>
      </c>
      <c r="R3515">
        <v>-99.999999000000003</v>
      </c>
    </row>
    <row r="3516" spans="1:18" x14ac:dyDescent="0.2">
      <c r="A3516" t="s">
        <v>270</v>
      </c>
      <c r="B3516" t="s">
        <v>10823</v>
      </c>
      <c r="C3516">
        <v>1</v>
      </c>
      <c r="D3516" s="1">
        <v>44072.866585648146</v>
      </c>
      <c r="E3516" t="s">
        <v>10993</v>
      </c>
      <c r="F3516" t="s">
        <v>273</v>
      </c>
      <c r="G3516" t="s">
        <v>10825</v>
      </c>
      <c r="H3516" t="s">
        <v>275</v>
      </c>
      <c r="I3516" t="s">
        <v>29</v>
      </c>
      <c r="J3516">
        <v>1</v>
      </c>
      <c r="K3516">
        <f>1-888-604-806</f>
        <v>-2297</v>
      </c>
      <c r="L3516" t="s">
        <v>10994</v>
      </c>
      <c r="M3516" t="s">
        <v>10995</v>
      </c>
      <c r="N3516" t="s">
        <v>278</v>
      </c>
      <c r="O3516" t="s">
        <v>134</v>
      </c>
      <c r="P3516" t="s">
        <v>29</v>
      </c>
      <c r="Q3516">
        <v>41</v>
      </c>
      <c r="R3516">
        <v>-99.999999000000003</v>
      </c>
    </row>
    <row r="3517" spans="1:18" x14ac:dyDescent="0.2">
      <c r="A3517" t="s">
        <v>270</v>
      </c>
      <c r="B3517" t="s">
        <v>10823</v>
      </c>
      <c r="C3517">
        <v>1</v>
      </c>
      <c r="D3517" s="1">
        <v>44072.865520833337</v>
      </c>
      <c r="E3517" t="s">
        <v>10996</v>
      </c>
      <c r="F3517" t="s">
        <v>273</v>
      </c>
      <c r="G3517" t="s">
        <v>10825</v>
      </c>
      <c r="H3517" t="s">
        <v>275</v>
      </c>
      <c r="I3517" t="s">
        <v>29</v>
      </c>
      <c r="J3517">
        <v>1</v>
      </c>
      <c r="K3517">
        <f>1-888-619-5735</f>
        <v>-7241</v>
      </c>
      <c r="L3517" t="s">
        <v>10997</v>
      </c>
      <c r="M3517" t="s">
        <v>10998</v>
      </c>
      <c r="N3517" t="s">
        <v>278</v>
      </c>
      <c r="O3517" t="s">
        <v>134</v>
      </c>
      <c r="P3517" t="s">
        <v>29</v>
      </c>
      <c r="Q3517">
        <v>41</v>
      </c>
      <c r="R3517">
        <v>-99.999999000000003</v>
      </c>
    </row>
    <row r="3518" spans="1:18" x14ac:dyDescent="0.2">
      <c r="A3518" t="s">
        <v>270</v>
      </c>
      <c r="B3518" t="s">
        <v>10823</v>
      </c>
      <c r="C3518">
        <v>1</v>
      </c>
      <c r="D3518" s="1">
        <v>44071.976805555554</v>
      </c>
      <c r="E3518" t="s">
        <v>10999</v>
      </c>
      <c r="F3518" t="s">
        <v>273</v>
      </c>
      <c r="G3518" t="s">
        <v>10825</v>
      </c>
      <c r="H3518" t="s">
        <v>275</v>
      </c>
      <c r="I3518" t="s">
        <v>29</v>
      </c>
      <c r="J3518">
        <v>1</v>
      </c>
      <c r="K3518">
        <f>1-888-690-842</f>
        <v>-2419</v>
      </c>
      <c r="L3518" t="s">
        <v>11000</v>
      </c>
      <c r="M3518" t="s">
        <v>11001</v>
      </c>
      <c r="N3518" t="s">
        <v>278</v>
      </c>
      <c r="O3518" t="s">
        <v>134</v>
      </c>
      <c r="P3518" t="s">
        <v>29</v>
      </c>
      <c r="Q3518">
        <v>41</v>
      </c>
      <c r="R3518">
        <v>-99.999999000000003</v>
      </c>
    </row>
    <row r="3519" spans="1:18" x14ac:dyDescent="0.2">
      <c r="A3519" t="s">
        <v>270</v>
      </c>
      <c r="B3519" t="s">
        <v>10823</v>
      </c>
      <c r="C3519">
        <v>1</v>
      </c>
      <c r="D3519" s="1">
        <v>44071.973923611113</v>
      </c>
      <c r="E3519" t="s">
        <v>11002</v>
      </c>
      <c r="F3519" t="s">
        <v>273</v>
      </c>
      <c r="G3519" t="s">
        <v>10825</v>
      </c>
      <c r="H3519" t="s">
        <v>275</v>
      </c>
      <c r="I3519" t="s">
        <v>29</v>
      </c>
      <c r="J3519">
        <v>1</v>
      </c>
      <c r="K3519">
        <f>1-888-909-1270</f>
        <v>-3066</v>
      </c>
      <c r="L3519" t="s">
        <v>11003</v>
      </c>
      <c r="M3519" t="s">
        <v>11004</v>
      </c>
      <c r="N3519" t="s">
        <v>278</v>
      </c>
      <c r="O3519" t="s">
        <v>134</v>
      </c>
      <c r="P3519" t="s">
        <v>29</v>
      </c>
      <c r="Q3519">
        <v>41</v>
      </c>
      <c r="R3519">
        <v>-99.999999000000003</v>
      </c>
    </row>
    <row r="3520" spans="1:18" x14ac:dyDescent="0.2">
      <c r="A3520" t="s">
        <v>270</v>
      </c>
      <c r="B3520" t="s">
        <v>10823</v>
      </c>
      <c r="C3520">
        <v>1</v>
      </c>
      <c r="D3520" s="1">
        <v>44071.906712962962</v>
      </c>
      <c r="E3520" t="s">
        <v>11005</v>
      </c>
      <c r="F3520" t="s">
        <v>273</v>
      </c>
      <c r="G3520" t="s">
        <v>10825</v>
      </c>
      <c r="H3520" t="s">
        <v>275</v>
      </c>
      <c r="I3520" t="s">
        <v>29</v>
      </c>
      <c r="J3520">
        <v>1</v>
      </c>
      <c r="K3520">
        <f>1-888-383-569</f>
        <v>-1839</v>
      </c>
      <c r="L3520" t="s">
        <v>11006</v>
      </c>
      <c r="M3520" t="s">
        <v>11007</v>
      </c>
      <c r="N3520" t="s">
        <v>278</v>
      </c>
      <c r="O3520" t="s">
        <v>134</v>
      </c>
      <c r="P3520" t="s">
        <v>29</v>
      </c>
      <c r="Q3520">
        <v>41</v>
      </c>
      <c r="R3520">
        <v>-99.999999000000003</v>
      </c>
    </row>
    <row r="3521" spans="1:18" x14ac:dyDescent="0.2">
      <c r="A3521" t="s">
        <v>270</v>
      </c>
      <c r="B3521" t="s">
        <v>10823</v>
      </c>
      <c r="C3521">
        <v>1</v>
      </c>
      <c r="D3521" s="1">
        <v>44071.905775462961</v>
      </c>
      <c r="E3521" t="s">
        <v>11008</v>
      </c>
      <c r="F3521" t="s">
        <v>273</v>
      </c>
      <c r="G3521" t="s">
        <v>10825</v>
      </c>
      <c r="H3521" t="s">
        <v>275</v>
      </c>
      <c r="I3521" t="s">
        <v>29</v>
      </c>
      <c r="J3521">
        <v>1</v>
      </c>
      <c r="K3521">
        <f>1-888-803-850</f>
        <v>-2540</v>
      </c>
      <c r="L3521" t="s">
        <v>11009</v>
      </c>
      <c r="M3521" t="s">
        <v>11010</v>
      </c>
      <c r="N3521" t="s">
        <v>278</v>
      </c>
      <c r="O3521" t="s">
        <v>134</v>
      </c>
      <c r="P3521" t="s">
        <v>29</v>
      </c>
      <c r="Q3521">
        <v>41</v>
      </c>
      <c r="R3521">
        <v>-99.999999000000003</v>
      </c>
    </row>
    <row r="3522" spans="1:18" x14ac:dyDescent="0.2">
      <c r="A3522" t="s">
        <v>270</v>
      </c>
      <c r="B3522" t="s">
        <v>10823</v>
      </c>
      <c r="C3522">
        <v>1</v>
      </c>
      <c r="D3522" s="1">
        <v>44071.90488425926</v>
      </c>
      <c r="E3522" t="s">
        <v>11011</v>
      </c>
      <c r="F3522" t="s">
        <v>273</v>
      </c>
      <c r="G3522" t="s">
        <v>10825</v>
      </c>
      <c r="H3522" t="s">
        <v>275</v>
      </c>
      <c r="I3522" t="s">
        <v>29</v>
      </c>
      <c r="J3522">
        <v>1</v>
      </c>
      <c r="K3522">
        <f>1-888-708-1143</f>
        <v>-2738</v>
      </c>
      <c r="L3522" t="s">
        <v>11012</v>
      </c>
      <c r="M3522" t="s">
        <v>11013</v>
      </c>
      <c r="N3522" t="s">
        <v>278</v>
      </c>
      <c r="O3522" t="s">
        <v>134</v>
      </c>
      <c r="P3522" t="s">
        <v>29</v>
      </c>
      <c r="Q3522">
        <v>41</v>
      </c>
      <c r="R3522">
        <v>-99.999999000000003</v>
      </c>
    </row>
    <row r="3523" spans="1:18" x14ac:dyDescent="0.2">
      <c r="A3523" t="s">
        <v>270</v>
      </c>
      <c r="B3523" t="s">
        <v>10823</v>
      </c>
      <c r="C3523">
        <v>1</v>
      </c>
      <c r="D3523" s="1">
        <v>44071.903356481482</v>
      </c>
      <c r="E3523" t="s">
        <v>11014</v>
      </c>
      <c r="F3523" t="s">
        <v>273</v>
      </c>
      <c r="G3523" t="s">
        <v>10825</v>
      </c>
      <c r="H3523" t="s">
        <v>275</v>
      </c>
      <c r="I3523" t="s">
        <v>29</v>
      </c>
      <c r="J3523">
        <v>1</v>
      </c>
      <c r="K3523">
        <f>1-888-803-828</f>
        <v>-2518</v>
      </c>
      <c r="L3523" t="s">
        <v>11015</v>
      </c>
      <c r="M3523" t="s">
        <v>11016</v>
      </c>
      <c r="N3523" t="s">
        <v>278</v>
      </c>
      <c r="O3523" t="s">
        <v>134</v>
      </c>
      <c r="P3523" t="s">
        <v>29</v>
      </c>
      <c r="Q3523">
        <v>41</v>
      </c>
      <c r="R3523">
        <v>-99.999999000000003</v>
      </c>
    </row>
    <row r="3524" spans="1:18" x14ac:dyDescent="0.2">
      <c r="A3524" t="s">
        <v>270</v>
      </c>
      <c r="B3524" t="s">
        <v>10823</v>
      </c>
      <c r="C3524">
        <v>1</v>
      </c>
      <c r="D3524" s="1">
        <v>44071.836759259262</v>
      </c>
      <c r="E3524" t="s">
        <v>11017</v>
      </c>
      <c r="F3524" t="s">
        <v>273</v>
      </c>
      <c r="G3524" t="s">
        <v>10825</v>
      </c>
      <c r="H3524" t="s">
        <v>275</v>
      </c>
      <c r="I3524" t="s">
        <v>29</v>
      </c>
      <c r="J3524">
        <v>1</v>
      </c>
      <c r="K3524">
        <f>1-888-607-419</f>
        <v>-1913</v>
      </c>
      <c r="L3524" t="s">
        <v>11018</v>
      </c>
      <c r="M3524" t="s">
        <v>11019</v>
      </c>
      <c r="N3524" t="s">
        <v>278</v>
      </c>
      <c r="O3524" t="s">
        <v>28</v>
      </c>
      <c r="P3524" t="s">
        <v>29</v>
      </c>
      <c r="Q3524">
        <v>41</v>
      </c>
      <c r="R3524">
        <v>-99.999999000000003</v>
      </c>
    </row>
    <row r="3525" spans="1:18" x14ac:dyDescent="0.2">
      <c r="A3525" t="s">
        <v>270</v>
      </c>
      <c r="B3525" t="s">
        <v>10823</v>
      </c>
      <c r="C3525">
        <v>1</v>
      </c>
      <c r="D3525" s="1">
        <v>44071.833495370367</v>
      </c>
      <c r="E3525" t="s">
        <v>11020</v>
      </c>
      <c r="F3525" t="s">
        <v>273</v>
      </c>
      <c r="G3525" t="s">
        <v>10825</v>
      </c>
      <c r="H3525" t="s">
        <v>275</v>
      </c>
      <c r="I3525" t="s">
        <v>29</v>
      </c>
      <c r="J3525">
        <v>1</v>
      </c>
      <c r="K3525">
        <f>1-888-607-419</f>
        <v>-1913</v>
      </c>
      <c r="L3525" t="s">
        <v>11021</v>
      </c>
      <c r="M3525" t="s">
        <v>11022</v>
      </c>
      <c r="N3525" t="s">
        <v>278</v>
      </c>
      <c r="O3525" t="s">
        <v>28</v>
      </c>
      <c r="P3525" t="s">
        <v>29</v>
      </c>
      <c r="Q3525">
        <v>41</v>
      </c>
      <c r="R3525">
        <v>-99.999999000000003</v>
      </c>
    </row>
    <row r="3526" spans="1:18" x14ac:dyDescent="0.2">
      <c r="A3526" t="s">
        <v>270</v>
      </c>
      <c r="B3526" t="s">
        <v>10823</v>
      </c>
      <c r="C3526">
        <v>1</v>
      </c>
      <c r="D3526" s="1">
        <v>44071.417037037034</v>
      </c>
      <c r="E3526" t="s">
        <v>11023</v>
      </c>
      <c r="F3526" t="s">
        <v>273</v>
      </c>
      <c r="G3526" t="s">
        <v>10825</v>
      </c>
      <c r="H3526" t="s">
        <v>275</v>
      </c>
      <c r="I3526" t="s">
        <v>29</v>
      </c>
      <c r="J3526">
        <v>1</v>
      </c>
      <c r="K3526">
        <f>1-888-686-474</f>
        <v>-2047</v>
      </c>
      <c r="L3526" t="s">
        <v>11024</v>
      </c>
      <c r="M3526" t="s">
        <v>11025</v>
      </c>
      <c r="N3526" t="s">
        <v>278</v>
      </c>
      <c r="O3526" t="s">
        <v>134</v>
      </c>
      <c r="P3526" t="s">
        <v>29</v>
      </c>
      <c r="Q3526">
        <v>41</v>
      </c>
      <c r="R3526">
        <v>-99.999999000000003</v>
      </c>
    </row>
    <row r="3527" spans="1:18" x14ac:dyDescent="0.2">
      <c r="A3527" t="s">
        <v>270</v>
      </c>
      <c r="B3527" t="s">
        <v>10823</v>
      </c>
      <c r="C3527">
        <v>1</v>
      </c>
      <c r="D3527" s="1">
        <v>44071.416550925926</v>
      </c>
      <c r="E3527" t="s">
        <v>11026</v>
      </c>
      <c r="F3527" t="s">
        <v>273</v>
      </c>
      <c r="G3527" t="s">
        <v>10825</v>
      </c>
      <c r="H3527" t="s">
        <v>275</v>
      </c>
      <c r="I3527" t="s">
        <v>29</v>
      </c>
      <c r="J3527">
        <v>1</v>
      </c>
      <c r="K3527">
        <f>1-888-417-4090</f>
        <v>-5394</v>
      </c>
      <c r="L3527" t="s">
        <v>11027</v>
      </c>
      <c r="M3527" t="s">
        <v>11028</v>
      </c>
      <c r="N3527" t="s">
        <v>278</v>
      </c>
      <c r="O3527" t="s">
        <v>134</v>
      </c>
      <c r="P3527" t="s">
        <v>29</v>
      </c>
      <c r="Q3527">
        <v>41</v>
      </c>
      <c r="R3527">
        <v>-99.999999000000003</v>
      </c>
    </row>
    <row r="3528" spans="1:18" x14ac:dyDescent="0.2">
      <c r="A3528" t="s">
        <v>270</v>
      </c>
      <c r="B3528" t="s">
        <v>10823</v>
      </c>
      <c r="C3528">
        <v>1</v>
      </c>
      <c r="D3528" s="1">
        <v>44070.869849537034</v>
      </c>
      <c r="E3528" t="s">
        <v>11029</v>
      </c>
      <c r="F3528" t="s">
        <v>273</v>
      </c>
      <c r="G3528" t="s">
        <v>10825</v>
      </c>
      <c r="H3528" t="s">
        <v>275</v>
      </c>
      <c r="I3528" t="s">
        <v>29</v>
      </c>
      <c r="J3528">
        <v>1</v>
      </c>
      <c r="K3528">
        <f>1-888-441-3235</f>
        <v>-4563</v>
      </c>
      <c r="L3528" t="s">
        <v>11030</v>
      </c>
      <c r="M3528" t="s">
        <v>11031</v>
      </c>
      <c r="N3528" t="s">
        <v>278</v>
      </c>
      <c r="O3528" t="s">
        <v>134</v>
      </c>
      <c r="P3528" t="s">
        <v>29</v>
      </c>
      <c r="Q3528">
        <v>41</v>
      </c>
      <c r="R3528">
        <v>-99.999999000000003</v>
      </c>
    </row>
    <row r="3529" spans="1:18" x14ac:dyDescent="0.2">
      <c r="A3529" t="s">
        <v>270</v>
      </c>
      <c r="B3529" t="s">
        <v>10823</v>
      </c>
      <c r="C3529">
        <v>1</v>
      </c>
      <c r="D3529" s="1">
        <v>44070.739814814813</v>
      </c>
      <c r="E3529" t="s">
        <v>11032</v>
      </c>
      <c r="F3529" t="s">
        <v>273</v>
      </c>
      <c r="G3529" t="s">
        <v>10825</v>
      </c>
      <c r="H3529" t="s">
        <v>275</v>
      </c>
      <c r="I3529" t="s">
        <v>29</v>
      </c>
      <c r="J3529">
        <v>1</v>
      </c>
      <c r="K3529">
        <f>1-888-909-1270</f>
        <v>-3066</v>
      </c>
      <c r="L3529" t="s">
        <v>11033</v>
      </c>
      <c r="M3529" t="s">
        <v>11034</v>
      </c>
      <c r="N3529" t="s">
        <v>278</v>
      </c>
      <c r="O3529" t="s">
        <v>134</v>
      </c>
      <c r="P3529" t="s">
        <v>29</v>
      </c>
      <c r="Q3529">
        <v>41</v>
      </c>
      <c r="R3529">
        <v>-99.999999000000003</v>
      </c>
    </row>
    <row r="3530" spans="1:18" x14ac:dyDescent="0.2">
      <c r="A3530" t="s">
        <v>270</v>
      </c>
      <c r="B3530" t="s">
        <v>10823</v>
      </c>
      <c r="C3530">
        <v>1</v>
      </c>
      <c r="D3530" s="1">
        <v>44070.600243055553</v>
      </c>
      <c r="E3530" t="s">
        <v>11035</v>
      </c>
      <c r="F3530" t="s">
        <v>273</v>
      </c>
      <c r="G3530" t="s">
        <v>10825</v>
      </c>
      <c r="H3530" t="s">
        <v>275</v>
      </c>
      <c r="I3530" t="s">
        <v>29</v>
      </c>
      <c r="J3530">
        <v>1</v>
      </c>
      <c r="K3530">
        <f>1-888-526-3661</f>
        <v>-5074</v>
      </c>
      <c r="L3530" t="s">
        <v>11036</v>
      </c>
      <c r="M3530" t="s">
        <v>11037</v>
      </c>
      <c r="N3530" t="s">
        <v>278</v>
      </c>
      <c r="O3530" t="s">
        <v>134</v>
      </c>
      <c r="P3530" t="s">
        <v>29</v>
      </c>
      <c r="Q3530">
        <v>41</v>
      </c>
      <c r="R3530">
        <v>-99.999999000000003</v>
      </c>
    </row>
    <row r="3531" spans="1:18" x14ac:dyDescent="0.2">
      <c r="A3531" t="s">
        <v>270</v>
      </c>
      <c r="B3531" t="s">
        <v>10823</v>
      </c>
      <c r="C3531">
        <v>1</v>
      </c>
      <c r="D3531" s="1">
        <v>44070.582291666666</v>
      </c>
      <c r="E3531" t="s">
        <v>11038</v>
      </c>
      <c r="F3531" t="s">
        <v>273</v>
      </c>
      <c r="G3531" t="s">
        <v>10825</v>
      </c>
      <c r="H3531" t="s">
        <v>275</v>
      </c>
      <c r="I3531" t="s">
        <v>29</v>
      </c>
      <c r="J3531">
        <v>1</v>
      </c>
      <c r="K3531">
        <f>1-866-672-9693</f>
        <v>-11230</v>
      </c>
      <c r="L3531" t="s">
        <v>11039</v>
      </c>
      <c r="M3531" t="s">
        <v>11040</v>
      </c>
      <c r="N3531" t="s">
        <v>278</v>
      </c>
      <c r="O3531" t="s">
        <v>134</v>
      </c>
      <c r="P3531" t="s">
        <v>29</v>
      </c>
      <c r="Q3531">
        <v>41</v>
      </c>
      <c r="R3531">
        <v>-99.999999000000003</v>
      </c>
    </row>
    <row r="3532" spans="1:18" x14ac:dyDescent="0.2">
      <c r="A3532" t="s">
        <v>270</v>
      </c>
      <c r="B3532" t="s">
        <v>10823</v>
      </c>
      <c r="C3532">
        <v>1</v>
      </c>
      <c r="D3532" s="1">
        <v>44070.581770833334</v>
      </c>
      <c r="E3532" t="s">
        <v>11041</v>
      </c>
      <c r="F3532" t="s">
        <v>273</v>
      </c>
      <c r="G3532" t="s">
        <v>10825</v>
      </c>
      <c r="H3532" t="s">
        <v>275</v>
      </c>
      <c r="I3532" t="s">
        <v>29</v>
      </c>
      <c r="J3532">
        <v>1</v>
      </c>
      <c r="K3532">
        <f>1-866-672-9693</f>
        <v>-11230</v>
      </c>
      <c r="L3532" t="s">
        <v>11042</v>
      </c>
      <c r="M3532" t="s">
        <v>11043</v>
      </c>
      <c r="N3532" t="s">
        <v>278</v>
      </c>
      <c r="O3532" t="s">
        <v>134</v>
      </c>
      <c r="P3532" t="s">
        <v>29</v>
      </c>
      <c r="Q3532">
        <v>41</v>
      </c>
      <c r="R3532">
        <v>-99.999999000000003</v>
      </c>
    </row>
    <row r="3533" spans="1:18" x14ac:dyDescent="0.2">
      <c r="A3533" t="s">
        <v>270</v>
      </c>
      <c r="B3533" t="s">
        <v>10823</v>
      </c>
      <c r="C3533">
        <v>1</v>
      </c>
      <c r="D3533" s="1">
        <v>44068.194872685184</v>
      </c>
      <c r="E3533" t="s">
        <v>11044</v>
      </c>
      <c r="F3533" t="s">
        <v>273</v>
      </c>
      <c r="G3533" t="s">
        <v>10825</v>
      </c>
      <c r="H3533" t="s">
        <v>275</v>
      </c>
      <c r="I3533" t="s">
        <v>29</v>
      </c>
      <c r="J3533">
        <v>1</v>
      </c>
      <c r="K3533">
        <f>1-888-530-6238</f>
        <v>-7655</v>
      </c>
      <c r="L3533" t="s">
        <v>11045</v>
      </c>
      <c r="M3533" t="s">
        <v>11046</v>
      </c>
      <c r="N3533" t="s">
        <v>278</v>
      </c>
      <c r="O3533" t="s">
        <v>134</v>
      </c>
      <c r="P3533" t="s">
        <v>29</v>
      </c>
      <c r="Q3533">
        <v>41</v>
      </c>
      <c r="R3533">
        <v>-99.999999000000003</v>
      </c>
    </row>
    <row r="3534" spans="1:18" x14ac:dyDescent="0.2">
      <c r="A3534" t="s">
        <v>270</v>
      </c>
      <c r="B3534" t="s">
        <v>10823</v>
      </c>
      <c r="C3534">
        <v>1</v>
      </c>
      <c r="D3534" s="1">
        <v>44068.193935185183</v>
      </c>
      <c r="E3534" t="s">
        <v>11047</v>
      </c>
      <c r="F3534" t="s">
        <v>273</v>
      </c>
      <c r="G3534" t="s">
        <v>10825</v>
      </c>
      <c r="H3534" t="s">
        <v>275</v>
      </c>
      <c r="I3534" t="s">
        <v>29</v>
      </c>
      <c r="J3534">
        <v>1</v>
      </c>
      <c r="K3534">
        <f>1-888-530-6238</f>
        <v>-7655</v>
      </c>
      <c r="L3534" t="s">
        <v>11048</v>
      </c>
      <c r="M3534" t="s">
        <v>11049</v>
      </c>
      <c r="N3534" t="s">
        <v>278</v>
      </c>
      <c r="O3534" t="s">
        <v>134</v>
      </c>
      <c r="P3534" t="s">
        <v>29</v>
      </c>
      <c r="Q3534">
        <v>41</v>
      </c>
      <c r="R3534">
        <v>-99.999999000000003</v>
      </c>
    </row>
    <row r="3535" spans="1:18" x14ac:dyDescent="0.2">
      <c r="A3535" t="s">
        <v>270</v>
      </c>
      <c r="B3535" t="s">
        <v>10823</v>
      </c>
      <c r="C3535">
        <v>1</v>
      </c>
      <c r="D3535" s="1">
        <v>44068.185532407406</v>
      </c>
      <c r="E3535" t="s">
        <v>11050</v>
      </c>
      <c r="F3535" t="s">
        <v>273</v>
      </c>
      <c r="G3535" t="s">
        <v>10825</v>
      </c>
      <c r="H3535" t="s">
        <v>275</v>
      </c>
      <c r="I3535" t="s">
        <v>29</v>
      </c>
      <c r="J3535">
        <v>1</v>
      </c>
      <c r="K3535">
        <f>1-888-523-5728</f>
        <v>-7138</v>
      </c>
      <c r="L3535" t="s">
        <v>11051</v>
      </c>
      <c r="M3535" t="s">
        <v>11052</v>
      </c>
      <c r="N3535" t="s">
        <v>278</v>
      </c>
      <c r="O3535" t="s">
        <v>134</v>
      </c>
      <c r="P3535" t="s">
        <v>29</v>
      </c>
      <c r="Q3535">
        <v>41</v>
      </c>
      <c r="R3535">
        <v>-99.999999000000003</v>
      </c>
    </row>
    <row r="3536" spans="1:18" x14ac:dyDescent="0.2">
      <c r="A3536" t="s">
        <v>270</v>
      </c>
      <c r="B3536" t="s">
        <v>10823</v>
      </c>
      <c r="C3536">
        <v>1</v>
      </c>
      <c r="D3536" s="1">
        <v>44068.07576388889</v>
      </c>
      <c r="E3536" t="s">
        <v>11053</v>
      </c>
      <c r="F3536" t="s">
        <v>273</v>
      </c>
      <c r="G3536" t="s">
        <v>10825</v>
      </c>
      <c r="H3536" t="s">
        <v>275</v>
      </c>
      <c r="I3536" t="s">
        <v>29</v>
      </c>
      <c r="J3536">
        <v>1</v>
      </c>
      <c r="K3536">
        <f>1-888-597-1530</f>
        <v>-3014</v>
      </c>
      <c r="L3536" t="s">
        <v>11054</v>
      </c>
      <c r="M3536" t="s">
        <v>11055</v>
      </c>
      <c r="N3536" t="s">
        <v>278</v>
      </c>
      <c r="O3536" t="s">
        <v>28</v>
      </c>
      <c r="P3536" t="s">
        <v>29</v>
      </c>
      <c r="Q3536">
        <v>41</v>
      </c>
      <c r="R3536">
        <v>-99.999999000000003</v>
      </c>
    </row>
    <row r="3537" spans="1:18" x14ac:dyDescent="0.2">
      <c r="A3537" t="s">
        <v>270</v>
      </c>
      <c r="B3537" t="s">
        <v>10823</v>
      </c>
      <c r="C3537">
        <v>1</v>
      </c>
      <c r="D3537" s="1">
        <v>44068.071840277778</v>
      </c>
      <c r="E3537" t="s">
        <v>11056</v>
      </c>
      <c r="F3537" t="s">
        <v>273</v>
      </c>
      <c r="G3537" t="s">
        <v>10825</v>
      </c>
      <c r="H3537" t="s">
        <v>275</v>
      </c>
      <c r="I3537" t="s">
        <v>29</v>
      </c>
      <c r="J3537">
        <v>1</v>
      </c>
      <c r="K3537">
        <f>1-888-291-57</f>
        <v>-1235</v>
      </c>
      <c r="L3537" t="s">
        <v>11057</v>
      </c>
      <c r="M3537" t="s">
        <v>11058</v>
      </c>
      <c r="N3537" t="s">
        <v>278</v>
      </c>
      <c r="O3537" t="s">
        <v>28</v>
      </c>
      <c r="P3537" t="s">
        <v>29</v>
      </c>
      <c r="Q3537">
        <v>41</v>
      </c>
      <c r="R3537">
        <v>-99.999999000000003</v>
      </c>
    </row>
    <row r="3538" spans="1:18" x14ac:dyDescent="0.2">
      <c r="A3538" t="s">
        <v>270</v>
      </c>
      <c r="B3538" t="s">
        <v>10823</v>
      </c>
      <c r="C3538">
        <v>1</v>
      </c>
      <c r="D3538" s="1">
        <v>44068.049907407411</v>
      </c>
      <c r="E3538" t="s">
        <v>11059</v>
      </c>
      <c r="F3538" t="s">
        <v>273</v>
      </c>
      <c r="G3538" t="s">
        <v>10825</v>
      </c>
      <c r="H3538" t="s">
        <v>275</v>
      </c>
      <c r="I3538" t="s">
        <v>29</v>
      </c>
      <c r="J3538">
        <v>1</v>
      </c>
      <c r="K3538">
        <f>1-888-532-188</f>
        <v>-1607</v>
      </c>
      <c r="L3538" t="s">
        <v>11060</v>
      </c>
      <c r="M3538" t="s">
        <v>11061</v>
      </c>
      <c r="N3538" t="s">
        <v>278</v>
      </c>
      <c r="O3538" t="s">
        <v>28</v>
      </c>
      <c r="P3538" t="s">
        <v>29</v>
      </c>
      <c r="Q3538">
        <v>41</v>
      </c>
      <c r="R3538">
        <v>-99.999999000000003</v>
      </c>
    </row>
    <row r="3539" spans="1:18" x14ac:dyDescent="0.2">
      <c r="A3539" t="s">
        <v>270</v>
      </c>
      <c r="B3539" t="s">
        <v>10823</v>
      </c>
      <c r="C3539">
        <v>1</v>
      </c>
      <c r="D3539" s="1">
        <v>44068.04891203704</v>
      </c>
      <c r="E3539" t="s">
        <v>11062</v>
      </c>
      <c r="F3539" t="s">
        <v>273</v>
      </c>
      <c r="G3539" t="s">
        <v>10825</v>
      </c>
      <c r="H3539" t="s">
        <v>275</v>
      </c>
      <c r="I3539" t="s">
        <v>29</v>
      </c>
      <c r="J3539">
        <v>1</v>
      </c>
      <c r="K3539">
        <f>1-888-532-188</f>
        <v>-1607</v>
      </c>
      <c r="L3539" t="s">
        <v>11063</v>
      </c>
      <c r="M3539" t="s">
        <v>11064</v>
      </c>
      <c r="N3539" t="s">
        <v>278</v>
      </c>
      <c r="O3539" t="s">
        <v>28</v>
      </c>
      <c r="P3539" t="s">
        <v>29</v>
      </c>
      <c r="Q3539">
        <v>41</v>
      </c>
      <c r="R3539">
        <v>-99.999999000000003</v>
      </c>
    </row>
    <row r="3540" spans="1:18" x14ac:dyDescent="0.2">
      <c r="A3540" t="s">
        <v>270</v>
      </c>
      <c r="B3540" t="s">
        <v>10823</v>
      </c>
      <c r="C3540">
        <v>1</v>
      </c>
      <c r="D3540" s="1">
        <v>44068.031736111108</v>
      </c>
      <c r="E3540" t="s">
        <v>11065</v>
      </c>
      <c r="F3540" t="s">
        <v>273</v>
      </c>
      <c r="G3540" t="s">
        <v>10825</v>
      </c>
      <c r="H3540" t="s">
        <v>275</v>
      </c>
      <c r="I3540" t="s">
        <v>29</v>
      </c>
      <c r="J3540">
        <v>1</v>
      </c>
      <c r="K3540">
        <f>1-888-965-777</f>
        <v>-2629</v>
      </c>
      <c r="L3540" t="s">
        <v>11066</v>
      </c>
      <c r="M3540" t="s">
        <v>11067</v>
      </c>
      <c r="N3540" t="s">
        <v>278</v>
      </c>
      <c r="O3540" t="s">
        <v>28</v>
      </c>
      <c r="P3540" t="s">
        <v>29</v>
      </c>
      <c r="Q3540">
        <v>41</v>
      </c>
      <c r="R3540">
        <v>-99.999999000000003</v>
      </c>
    </row>
    <row r="3541" spans="1:18" x14ac:dyDescent="0.2">
      <c r="A3541" t="s">
        <v>270</v>
      </c>
      <c r="B3541" t="s">
        <v>10823</v>
      </c>
      <c r="C3541">
        <v>1</v>
      </c>
      <c r="D3541" s="1">
        <v>44068.02925925926</v>
      </c>
      <c r="E3541" t="s">
        <v>11068</v>
      </c>
      <c r="F3541" t="s">
        <v>273</v>
      </c>
      <c r="G3541" t="s">
        <v>10825</v>
      </c>
      <c r="H3541" t="s">
        <v>275</v>
      </c>
      <c r="I3541" t="s">
        <v>29</v>
      </c>
      <c r="J3541">
        <v>1</v>
      </c>
      <c r="K3541">
        <f>1-888-690-840</f>
        <v>-2417</v>
      </c>
      <c r="L3541" t="s">
        <v>11069</v>
      </c>
      <c r="M3541" t="s">
        <v>11070</v>
      </c>
      <c r="N3541" t="s">
        <v>278</v>
      </c>
      <c r="O3541" t="s">
        <v>28</v>
      </c>
      <c r="P3541" t="s">
        <v>29</v>
      </c>
      <c r="Q3541">
        <v>41</v>
      </c>
      <c r="R3541">
        <v>-99.999999000000003</v>
      </c>
    </row>
    <row r="3542" spans="1:18" x14ac:dyDescent="0.2">
      <c r="A3542" t="s">
        <v>270</v>
      </c>
      <c r="B3542" t="s">
        <v>10823</v>
      </c>
      <c r="C3542">
        <v>1</v>
      </c>
      <c r="D3542" s="1">
        <v>44068.027118055557</v>
      </c>
      <c r="E3542" t="s">
        <v>11071</v>
      </c>
      <c r="F3542" t="s">
        <v>273</v>
      </c>
      <c r="G3542" t="s">
        <v>10825</v>
      </c>
      <c r="H3542" t="s">
        <v>275</v>
      </c>
      <c r="I3542" t="s">
        <v>29</v>
      </c>
      <c r="J3542">
        <v>1</v>
      </c>
      <c r="K3542">
        <f>1-888-690-840</f>
        <v>-2417</v>
      </c>
      <c r="L3542" t="s">
        <v>11072</v>
      </c>
      <c r="M3542" t="s">
        <v>11073</v>
      </c>
      <c r="N3542" t="s">
        <v>278</v>
      </c>
      <c r="O3542" t="s">
        <v>28</v>
      </c>
      <c r="P3542" t="s">
        <v>29</v>
      </c>
      <c r="Q3542">
        <v>41</v>
      </c>
      <c r="R3542">
        <v>-99.999999000000003</v>
      </c>
    </row>
    <row r="3543" spans="1:18" x14ac:dyDescent="0.2">
      <c r="A3543" t="s">
        <v>270</v>
      </c>
      <c r="B3543" t="s">
        <v>10823</v>
      </c>
      <c r="C3543">
        <v>1</v>
      </c>
      <c r="D3543" s="1">
        <v>44068.023576388892</v>
      </c>
      <c r="E3543" t="s">
        <v>11074</v>
      </c>
      <c r="F3543" t="s">
        <v>273</v>
      </c>
      <c r="G3543" t="s">
        <v>10825</v>
      </c>
      <c r="H3543" t="s">
        <v>275</v>
      </c>
      <c r="I3543" t="s">
        <v>29</v>
      </c>
      <c r="J3543">
        <v>1</v>
      </c>
      <c r="K3543">
        <f>1-888-706-1246</f>
        <v>-2839</v>
      </c>
      <c r="L3543" t="s">
        <v>11075</v>
      </c>
      <c r="M3543" t="s">
        <v>11076</v>
      </c>
      <c r="N3543" t="s">
        <v>278</v>
      </c>
      <c r="O3543" t="s">
        <v>28</v>
      </c>
      <c r="P3543" t="s">
        <v>29</v>
      </c>
      <c r="Q3543">
        <v>41</v>
      </c>
      <c r="R3543">
        <v>-99.999999000000003</v>
      </c>
    </row>
    <row r="3544" spans="1:18" x14ac:dyDescent="0.2">
      <c r="A3544" t="s">
        <v>270</v>
      </c>
      <c r="B3544" t="s">
        <v>10823</v>
      </c>
      <c r="C3544">
        <v>1</v>
      </c>
      <c r="D3544" s="1">
        <v>44068.021226851852</v>
      </c>
      <c r="E3544" t="s">
        <v>11077</v>
      </c>
      <c r="F3544" t="s">
        <v>273</v>
      </c>
      <c r="G3544" t="s">
        <v>10825</v>
      </c>
      <c r="H3544" t="s">
        <v>275</v>
      </c>
      <c r="I3544" t="s">
        <v>29</v>
      </c>
      <c r="J3544">
        <v>1</v>
      </c>
      <c r="K3544">
        <f>1-888-965-777</f>
        <v>-2629</v>
      </c>
      <c r="L3544" t="s">
        <v>11078</v>
      </c>
      <c r="M3544" t="s">
        <v>11079</v>
      </c>
      <c r="N3544" t="s">
        <v>278</v>
      </c>
      <c r="O3544" t="s">
        <v>28</v>
      </c>
      <c r="P3544" t="s">
        <v>29</v>
      </c>
      <c r="Q3544">
        <v>41</v>
      </c>
      <c r="R3544">
        <v>-99.999999000000003</v>
      </c>
    </row>
    <row r="3545" spans="1:18" x14ac:dyDescent="0.2">
      <c r="A3545" t="s">
        <v>270</v>
      </c>
      <c r="B3545" t="s">
        <v>10823</v>
      </c>
      <c r="C3545">
        <v>1</v>
      </c>
      <c r="D3545" s="1">
        <v>44065.566030092596</v>
      </c>
      <c r="E3545" t="s">
        <v>11080</v>
      </c>
      <c r="F3545" t="s">
        <v>273</v>
      </c>
      <c r="G3545" t="s">
        <v>10825</v>
      </c>
      <c r="H3545" t="s">
        <v>275</v>
      </c>
      <c r="I3545" t="s">
        <v>29</v>
      </c>
      <c r="J3545">
        <v>1</v>
      </c>
      <c r="K3545">
        <f>1-888-525-636</f>
        <v>-2048</v>
      </c>
      <c r="L3545" t="s">
        <v>11081</v>
      </c>
      <c r="M3545" t="s">
        <v>11082</v>
      </c>
      <c r="N3545" t="s">
        <v>278</v>
      </c>
      <c r="O3545" t="s">
        <v>134</v>
      </c>
      <c r="P3545" t="s">
        <v>29</v>
      </c>
      <c r="Q3545">
        <v>41</v>
      </c>
      <c r="R3545">
        <v>-99.999999000000003</v>
      </c>
    </row>
    <row r="3546" spans="1:18" x14ac:dyDescent="0.2">
      <c r="A3546" t="s">
        <v>270</v>
      </c>
      <c r="B3546" t="s">
        <v>10823</v>
      </c>
      <c r="C3546">
        <v>1</v>
      </c>
      <c r="D3546" s="1">
        <v>44053.715787037036</v>
      </c>
      <c r="E3546" t="s">
        <v>11083</v>
      </c>
      <c r="F3546" t="s">
        <v>273</v>
      </c>
      <c r="G3546" t="s">
        <v>10825</v>
      </c>
      <c r="H3546" t="s">
        <v>275</v>
      </c>
      <c r="I3546" t="s">
        <v>29</v>
      </c>
      <c r="J3546">
        <v>1</v>
      </c>
      <c r="K3546">
        <f>1-888-538-1045</f>
        <v>-2470</v>
      </c>
      <c r="L3546" t="s">
        <v>11084</v>
      </c>
      <c r="M3546" t="s">
        <v>11085</v>
      </c>
      <c r="N3546" t="s">
        <v>278</v>
      </c>
      <c r="O3546" t="s">
        <v>134</v>
      </c>
      <c r="P3546" t="s">
        <v>29</v>
      </c>
      <c r="Q3546">
        <v>41</v>
      </c>
      <c r="R3546">
        <v>-99.999999000000003</v>
      </c>
    </row>
    <row r="3547" spans="1:18" x14ac:dyDescent="0.2">
      <c r="A3547" t="s">
        <v>270</v>
      </c>
      <c r="B3547" t="s">
        <v>10823</v>
      </c>
      <c r="C3547">
        <v>1</v>
      </c>
      <c r="D3547" s="1">
        <v>44053.714224537034</v>
      </c>
      <c r="E3547" t="s">
        <v>11086</v>
      </c>
      <c r="F3547" t="s">
        <v>273</v>
      </c>
      <c r="G3547" t="s">
        <v>10825</v>
      </c>
      <c r="H3547" t="s">
        <v>275</v>
      </c>
      <c r="I3547" t="s">
        <v>29</v>
      </c>
      <c r="J3547">
        <v>1</v>
      </c>
      <c r="K3547">
        <f>1-866-702-3639</f>
        <v>-5206</v>
      </c>
      <c r="L3547" t="s">
        <v>11087</v>
      </c>
      <c r="M3547" t="s">
        <v>11088</v>
      </c>
      <c r="N3547" t="s">
        <v>278</v>
      </c>
      <c r="O3547" t="s">
        <v>134</v>
      </c>
      <c r="P3547" t="s">
        <v>29</v>
      </c>
      <c r="Q3547">
        <v>41</v>
      </c>
      <c r="R3547">
        <v>-99.999999000000003</v>
      </c>
    </row>
    <row r="3548" spans="1:18" x14ac:dyDescent="0.2">
      <c r="A3548" t="s">
        <v>270</v>
      </c>
      <c r="B3548" t="s">
        <v>10823</v>
      </c>
      <c r="C3548">
        <v>1</v>
      </c>
      <c r="D3548" s="1">
        <v>44053.300810185188</v>
      </c>
      <c r="E3548" t="s">
        <v>11089</v>
      </c>
      <c r="F3548" t="s">
        <v>273</v>
      </c>
      <c r="G3548" t="s">
        <v>10825</v>
      </c>
      <c r="H3548" t="s">
        <v>275</v>
      </c>
      <c r="I3548" t="s">
        <v>29</v>
      </c>
      <c r="J3548">
        <v>1</v>
      </c>
      <c r="K3548">
        <f>1-866-801-5549</f>
        <v>-7215</v>
      </c>
      <c r="L3548" t="s">
        <v>11090</v>
      </c>
      <c r="M3548" t="s">
        <v>11091</v>
      </c>
      <c r="N3548" t="s">
        <v>278</v>
      </c>
      <c r="O3548" t="s">
        <v>134</v>
      </c>
      <c r="P3548" t="s">
        <v>29</v>
      </c>
      <c r="Q3548">
        <v>41</v>
      </c>
      <c r="R3548">
        <v>-99.999999000000003</v>
      </c>
    </row>
    <row r="3549" spans="1:18" x14ac:dyDescent="0.2">
      <c r="A3549" t="s">
        <v>270</v>
      </c>
      <c r="B3549" t="s">
        <v>10823</v>
      </c>
      <c r="C3549">
        <v>1</v>
      </c>
      <c r="D3549" s="1">
        <v>44053.291331018518</v>
      </c>
      <c r="E3549" t="s">
        <v>11092</v>
      </c>
      <c r="F3549" t="s">
        <v>273</v>
      </c>
      <c r="G3549" t="s">
        <v>10825</v>
      </c>
      <c r="H3549" t="s">
        <v>275</v>
      </c>
      <c r="I3549" t="s">
        <v>29</v>
      </c>
      <c r="J3549">
        <v>1</v>
      </c>
      <c r="K3549">
        <f>1-866-788-5605</f>
        <v>-7258</v>
      </c>
      <c r="L3549" t="s">
        <v>11093</v>
      </c>
      <c r="M3549" t="s">
        <v>11094</v>
      </c>
      <c r="N3549" t="s">
        <v>278</v>
      </c>
      <c r="O3549" t="s">
        <v>134</v>
      </c>
      <c r="P3549" t="s">
        <v>29</v>
      </c>
      <c r="Q3549">
        <v>41</v>
      </c>
      <c r="R3549">
        <v>-99.999999000000003</v>
      </c>
    </row>
    <row r="3550" spans="1:18" x14ac:dyDescent="0.2">
      <c r="A3550" t="s">
        <v>270</v>
      </c>
      <c r="B3550" t="s">
        <v>10823</v>
      </c>
      <c r="C3550">
        <v>1</v>
      </c>
      <c r="D3550" s="1">
        <v>44053.289699074077</v>
      </c>
      <c r="E3550" t="s">
        <v>11095</v>
      </c>
      <c r="F3550" t="s">
        <v>273</v>
      </c>
      <c r="G3550" t="s">
        <v>10825</v>
      </c>
      <c r="H3550" t="s">
        <v>275</v>
      </c>
      <c r="I3550" t="s">
        <v>29</v>
      </c>
      <c r="J3550">
        <v>1</v>
      </c>
      <c r="K3550">
        <f>1-888-524-5804</f>
        <v>-7215</v>
      </c>
      <c r="L3550" t="s">
        <v>11096</v>
      </c>
      <c r="M3550" t="s">
        <v>11097</v>
      </c>
      <c r="N3550" t="s">
        <v>278</v>
      </c>
      <c r="O3550" t="s">
        <v>134</v>
      </c>
      <c r="P3550" t="s">
        <v>29</v>
      </c>
      <c r="Q3550">
        <v>41</v>
      </c>
      <c r="R3550">
        <v>-99.999999000000003</v>
      </c>
    </row>
    <row r="3551" spans="1:18" x14ac:dyDescent="0.2">
      <c r="A3551" t="s">
        <v>270</v>
      </c>
      <c r="B3551" t="s">
        <v>10823</v>
      </c>
      <c r="C3551">
        <v>1</v>
      </c>
      <c r="D3551" s="1">
        <v>44053.289571759262</v>
      </c>
      <c r="E3551" t="s">
        <v>11098</v>
      </c>
      <c r="F3551" t="s">
        <v>273</v>
      </c>
      <c r="G3551" t="s">
        <v>10825</v>
      </c>
      <c r="H3551" t="s">
        <v>275</v>
      </c>
      <c r="I3551" t="s">
        <v>29</v>
      </c>
      <c r="J3551">
        <v>1</v>
      </c>
      <c r="K3551">
        <f>1-888-524-5804</f>
        <v>-7215</v>
      </c>
      <c r="L3551" t="s">
        <v>11099</v>
      </c>
      <c r="M3551" t="s">
        <v>11100</v>
      </c>
      <c r="N3551" t="s">
        <v>278</v>
      </c>
      <c r="O3551" t="s">
        <v>134</v>
      </c>
      <c r="P3551" t="s">
        <v>29</v>
      </c>
      <c r="Q3551">
        <v>41</v>
      </c>
      <c r="R3551">
        <v>-99.999999000000003</v>
      </c>
    </row>
    <row r="3552" spans="1:18" x14ac:dyDescent="0.2">
      <c r="A3552" t="s">
        <v>270</v>
      </c>
      <c r="B3552" t="s">
        <v>10823</v>
      </c>
      <c r="C3552">
        <v>1</v>
      </c>
      <c r="D3552" s="1">
        <v>44034.388298611113</v>
      </c>
      <c r="E3552" t="s">
        <v>11101</v>
      </c>
      <c r="F3552" t="s">
        <v>273</v>
      </c>
      <c r="G3552" t="s">
        <v>10825</v>
      </c>
      <c r="H3552" t="s">
        <v>275</v>
      </c>
      <c r="I3552" t="s">
        <v>29</v>
      </c>
      <c r="J3552">
        <v>1</v>
      </c>
      <c r="K3552">
        <f>1-866-733-8967</f>
        <v>-10565</v>
      </c>
      <c r="L3552" t="s">
        <v>11102</v>
      </c>
      <c r="M3552" t="s">
        <v>11103</v>
      </c>
      <c r="N3552" t="s">
        <v>278</v>
      </c>
      <c r="O3552" t="s">
        <v>134</v>
      </c>
      <c r="P3552" t="s">
        <v>29</v>
      </c>
      <c r="Q3552">
        <v>41</v>
      </c>
      <c r="R3552">
        <v>-99.999999000000003</v>
      </c>
    </row>
    <row r="3553" spans="1:18" x14ac:dyDescent="0.2">
      <c r="A3553" t="s">
        <v>663</v>
      </c>
      <c r="B3553" t="s">
        <v>4281</v>
      </c>
      <c r="C3553">
        <v>43</v>
      </c>
      <c r="D3553" s="1">
        <v>44034.555034722223</v>
      </c>
      <c r="E3553" t="s">
        <v>11104</v>
      </c>
      <c r="F3553" t="s">
        <v>666</v>
      </c>
      <c r="G3553" t="s">
        <v>11104</v>
      </c>
      <c r="H3553" t="s">
        <v>667</v>
      </c>
      <c r="I3553" t="s">
        <v>3432</v>
      </c>
      <c r="J3553">
        <v>43</v>
      </c>
      <c r="K3553">
        <f>43-670-308-150</f>
        <v>-1085</v>
      </c>
      <c r="L3553" t="s">
        <v>11105</v>
      </c>
      <c r="M3553" t="s">
        <v>11106</v>
      </c>
      <c r="N3553">
        <v>242</v>
      </c>
      <c r="O3553" t="s">
        <v>134</v>
      </c>
      <c r="P3553" t="s">
        <v>24</v>
      </c>
      <c r="Q3553">
        <v>50</v>
      </c>
      <c r="R3553">
        <v>8.6843000000000004</v>
      </c>
    </row>
    <row r="3554" spans="1:18" x14ac:dyDescent="0.2">
      <c r="A3554" t="s">
        <v>663</v>
      </c>
      <c r="B3554" t="s">
        <v>4281</v>
      </c>
      <c r="C3554">
        <v>43</v>
      </c>
      <c r="D3554" s="1">
        <v>44034.544976851852</v>
      </c>
      <c r="E3554" t="s">
        <v>11107</v>
      </c>
      <c r="F3554" t="s">
        <v>666</v>
      </c>
      <c r="G3554" t="s">
        <v>11104</v>
      </c>
      <c r="H3554" t="s">
        <v>667</v>
      </c>
      <c r="I3554" t="s">
        <v>3432</v>
      </c>
      <c r="J3554">
        <v>43</v>
      </c>
      <c r="K3554">
        <f>43-670-308-150</f>
        <v>-1085</v>
      </c>
      <c r="L3554" t="s">
        <v>11108</v>
      </c>
      <c r="M3554" t="s">
        <v>11109</v>
      </c>
      <c r="N3554" t="s">
        <v>447</v>
      </c>
      <c r="O3554" t="s">
        <v>28</v>
      </c>
      <c r="P3554" t="s">
        <v>24</v>
      </c>
      <c r="Q3554">
        <v>50</v>
      </c>
      <c r="R3554">
        <v>8.6843000000000004</v>
      </c>
    </row>
    <row r="3555" spans="1:18" x14ac:dyDescent="0.2">
      <c r="A3555" t="s">
        <v>663</v>
      </c>
      <c r="B3555" t="s">
        <v>454</v>
      </c>
      <c r="C3555">
        <v>47</v>
      </c>
      <c r="D3555" s="1">
        <v>44034.552268518521</v>
      </c>
      <c r="E3555" t="s">
        <v>11110</v>
      </c>
      <c r="F3555" t="s">
        <v>666</v>
      </c>
      <c r="G3555" t="s">
        <v>11110</v>
      </c>
      <c r="H3555" t="s">
        <v>667</v>
      </c>
      <c r="I3555" t="s">
        <v>6185</v>
      </c>
      <c r="J3555">
        <v>47</v>
      </c>
      <c r="K3555">
        <f>47-800-62-628</f>
        <v>-1443</v>
      </c>
      <c r="L3555" t="s">
        <v>11111</v>
      </c>
      <c r="M3555" t="s">
        <v>11112</v>
      </c>
      <c r="N3555">
        <v>167</v>
      </c>
      <c r="O3555" t="s">
        <v>134</v>
      </c>
      <c r="P3555" t="s">
        <v>461</v>
      </c>
      <c r="Q3555">
        <v>52</v>
      </c>
      <c r="R3555">
        <v>4.8975</v>
      </c>
    </row>
    <row r="3556" spans="1:18" x14ac:dyDescent="0.2">
      <c r="A3556" t="s">
        <v>663</v>
      </c>
      <c r="B3556" t="s">
        <v>454</v>
      </c>
      <c r="C3556">
        <v>1</v>
      </c>
      <c r="D3556" s="1">
        <v>44034.545104166667</v>
      </c>
      <c r="E3556" t="s">
        <v>11113</v>
      </c>
      <c r="F3556" t="s">
        <v>666</v>
      </c>
      <c r="G3556" t="s">
        <v>11110</v>
      </c>
      <c r="H3556" t="s">
        <v>667</v>
      </c>
      <c r="I3556" t="s">
        <v>29</v>
      </c>
      <c r="J3556">
        <v>1</v>
      </c>
      <c r="K3556">
        <f>1-47-800-62-628</f>
        <v>-1536</v>
      </c>
      <c r="L3556" t="s">
        <v>11114</v>
      </c>
      <c r="M3556" t="s">
        <v>11115</v>
      </c>
      <c r="N3556" t="s">
        <v>2475</v>
      </c>
      <c r="O3556" t="s">
        <v>28</v>
      </c>
      <c r="P3556" t="s">
        <v>461</v>
      </c>
      <c r="Q3556">
        <v>52</v>
      </c>
      <c r="R3556">
        <v>4.8975</v>
      </c>
    </row>
    <row r="3557" spans="1:18" x14ac:dyDescent="0.2">
      <c r="A3557" t="s">
        <v>663</v>
      </c>
      <c r="B3557" t="s">
        <v>3385</v>
      </c>
      <c r="C3557">
        <v>44</v>
      </c>
      <c r="D3557" s="1">
        <v>44034.550740740742</v>
      </c>
      <c r="E3557" t="s">
        <v>11116</v>
      </c>
      <c r="F3557" t="s">
        <v>666</v>
      </c>
      <c r="G3557" t="s">
        <v>11116</v>
      </c>
      <c r="H3557" t="s">
        <v>667</v>
      </c>
      <c r="I3557" t="s">
        <v>618</v>
      </c>
      <c r="J3557">
        <v>44</v>
      </c>
      <c r="K3557">
        <f>44-800-51-3726</f>
        <v>-4533</v>
      </c>
      <c r="L3557" t="s">
        <v>11117</v>
      </c>
      <c r="M3557" t="s">
        <v>11118</v>
      </c>
      <c r="N3557">
        <v>116</v>
      </c>
      <c r="O3557" t="s">
        <v>134</v>
      </c>
      <c r="P3557" t="s">
        <v>29</v>
      </c>
      <c r="Q3557">
        <v>41</v>
      </c>
      <c r="R3557">
        <v>-73.996600000000001</v>
      </c>
    </row>
    <row r="3558" spans="1:18" x14ac:dyDescent="0.2">
      <c r="A3558" t="s">
        <v>663</v>
      </c>
      <c r="B3558" t="s">
        <v>3385</v>
      </c>
      <c r="C3558">
        <v>44</v>
      </c>
      <c r="D3558" s="1">
        <v>44034.545694444445</v>
      </c>
      <c r="E3558" t="s">
        <v>11119</v>
      </c>
      <c r="F3558" t="s">
        <v>666</v>
      </c>
      <c r="G3558" t="s">
        <v>11116</v>
      </c>
      <c r="H3558" t="s">
        <v>667</v>
      </c>
      <c r="I3558" t="s">
        <v>618</v>
      </c>
      <c r="J3558">
        <v>44</v>
      </c>
      <c r="K3558">
        <f>44-800-51-3726</f>
        <v>-4533</v>
      </c>
      <c r="L3558" t="s">
        <v>11120</v>
      </c>
      <c r="M3558" t="s">
        <v>11121</v>
      </c>
      <c r="N3558" t="s">
        <v>1645</v>
      </c>
      <c r="O3558" t="s">
        <v>28</v>
      </c>
      <c r="P3558" t="s">
        <v>29</v>
      </c>
      <c r="Q3558">
        <v>41</v>
      </c>
      <c r="R3558">
        <v>-73.996600000000001</v>
      </c>
    </row>
    <row r="3559" spans="1:18" x14ac:dyDescent="0.2">
      <c r="A3559" t="s">
        <v>2233</v>
      </c>
      <c r="B3559" t="s">
        <v>440</v>
      </c>
      <c r="C3559">
        <v>1</v>
      </c>
      <c r="D3559" s="1">
        <v>44034.796307870369</v>
      </c>
      <c r="E3559" t="s">
        <v>11122</v>
      </c>
      <c r="F3559" t="s">
        <v>2236</v>
      </c>
      <c r="G3559" t="s">
        <v>11123</v>
      </c>
      <c r="H3559" t="s">
        <v>2237</v>
      </c>
      <c r="I3559" t="s">
        <v>29</v>
      </c>
      <c r="J3559">
        <v>1</v>
      </c>
      <c r="K3559">
        <f>1-855-945-3168</f>
        <v>-4967</v>
      </c>
      <c r="L3559" t="s">
        <v>11124</v>
      </c>
      <c r="M3559" t="s">
        <v>11125</v>
      </c>
      <c r="N3559" t="s">
        <v>10697</v>
      </c>
      <c r="O3559" t="s">
        <v>28</v>
      </c>
      <c r="P3559" t="s">
        <v>29</v>
      </c>
      <c r="Q3559">
        <v>39</v>
      </c>
      <c r="R3559">
        <v>-77.487399999999994</v>
      </c>
    </row>
    <row r="3560" spans="1:18" x14ac:dyDescent="0.2">
      <c r="A3560" t="s">
        <v>663</v>
      </c>
      <c r="B3560" t="s">
        <v>3385</v>
      </c>
      <c r="C3560">
        <v>1</v>
      </c>
      <c r="D3560" s="1">
        <v>44034.80269675926</v>
      </c>
      <c r="E3560" t="s">
        <v>11126</v>
      </c>
      <c r="F3560" t="s">
        <v>666</v>
      </c>
      <c r="G3560" t="s">
        <v>11127</v>
      </c>
      <c r="H3560" t="s">
        <v>667</v>
      </c>
      <c r="I3560" t="s">
        <v>29</v>
      </c>
      <c r="J3560">
        <v>1</v>
      </c>
      <c r="K3560">
        <f>1-855-915-329</f>
        <v>-2098</v>
      </c>
      <c r="L3560" t="s">
        <v>11128</v>
      </c>
      <c r="M3560" t="s">
        <v>11129</v>
      </c>
      <c r="N3560" t="s">
        <v>1645</v>
      </c>
      <c r="O3560" t="s">
        <v>28</v>
      </c>
      <c r="P3560" t="s">
        <v>29</v>
      </c>
      <c r="Q3560">
        <v>41</v>
      </c>
      <c r="R3560">
        <v>-74.006600000000006</v>
      </c>
    </row>
    <row r="3561" spans="1:18" x14ac:dyDescent="0.2">
      <c r="A3561" t="s">
        <v>439</v>
      </c>
      <c r="B3561" t="s">
        <v>3094</v>
      </c>
      <c r="C3561">
        <v>1</v>
      </c>
      <c r="D3561" s="1">
        <v>44034.828148148146</v>
      </c>
      <c r="E3561" t="s">
        <v>11130</v>
      </c>
      <c r="F3561" t="s">
        <v>442</v>
      </c>
      <c r="G3561" t="s">
        <v>11131</v>
      </c>
      <c r="H3561" t="s">
        <v>444</v>
      </c>
      <c r="I3561" t="s">
        <v>29</v>
      </c>
      <c r="J3561">
        <v>1</v>
      </c>
      <c r="K3561">
        <f>1-855-930-4586</f>
        <v>-6370</v>
      </c>
      <c r="L3561" t="s">
        <v>11132</v>
      </c>
      <c r="M3561" t="s">
        <v>11133</v>
      </c>
      <c r="N3561" t="s">
        <v>213</v>
      </c>
      <c r="O3561" t="s">
        <v>28</v>
      </c>
      <c r="P3561" t="s">
        <v>2268</v>
      </c>
      <c r="Q3561">
        <v>46</v>
      </c>
      <c r="R3561">
        <v>-73.567300000000003</v>
      </c>
    </row>
    <row r="3562" spans="1:18" x14ac:dyDescent="0.2">
      <c r="A3562" t="s">
        <v>663</v>
      </c>
      <c r="B3562" t="s">
        <v>5337</v>
      </c>
      <c r="C3562">
        <v>1</v>
      </c>
      <c r="D3562" s="1">
        <v>44034.917708333334</v>
      </c>
      <c r="E3562" t="s">
        <v>11134</v>
      </c>
      <c r="F3562" t="s">
        <v>666</v>
      </c>
      <c r="G3562" t="s">
        <v>11135</v>
      </c>
      <c r="H3562" t="s">
        <v>667</v>
      </c>
      <c r="I3562" t="s">
        <v>29</v>
      </c>
      <c r="J3562">
        <v>1</v>
      </c>
      <c r="K3562">
        <f>1-47-800-62-628</f>
        <v>-1536</v>
      </c>
      <c r="L3562" t="s">
        <v>11136</v>
      </c>
      <c r="M3562" t="s">
        <v>11137</v>
      </c>
      <c r="N3562" t="s">
        <v>1645</v>
      </c>
      <c r="O3562" t="s">
        <v>28</v>
      </c>
      <c r="P3562" t="s">
        <v>29</v>
      </c>
      <c r="Q3562">
        <v>38</v>
      </c>
      <c r="R3562">
        <v>-99.999999000000003</v>
      </c>
    </row>
    <row r="3563" spans="1:18" x14ac:dyDescent="0.2">
      <c r="A3563" t="s">
        <v>2349</v>
      </c>
      <c r="B3563" t="s">
        <v>4281</v>
      </c>
      <c r="C3563">
        <v>41</v>
      </c>
      <c r="D3563" s="1">
        <v>44034.927662037036</v>
      </c>
      <c r="E3563" t="s">
        <v>11138</v>
      </c>
      <c r="F3563" t="s">
        <v>4584</v>
      </c>
      <c r="G3563" t="s">
        <v>11138</v>
      </c>
      <c r="H3563" t="s">
        <v>2353</v>
      </c>
      <c r="I3563" t="s">
        <v>204</v>
      </c>
      <c r="J3563">
        <v>41</v>
      </c>
      <c r="K3563">
        <f>41-435882122</f>
        <v>-435882081</v>
      </c>
      <c r="L3563" t="s">
        <v>11139</v>
      </c>
      <c r="M3563" t="s">
        <v>11140</v>
      </c>
      <c r="N3563">
        <v>227</v>
      </c>
      <c r="O3563" t="s">
        <v>134</v>
      </c>
      <c r="P3563" t="s">
        <v>24</v>
      </c>
      <c r="Q3563">
        <v>50</v>
      </c>
      <c r="R3563">
        <v>8.7336100000000005</v>
      </c>
    </row>
    <row r="3564" spans="1:18" x14ac:dyDescent="0.2">
      <c r="A3564" t="s">
        <v>663</v>
      </c>
      <c r="B3564" t="s">
        <v>3245</v>
      </c>
      <c r="C3564">
        <v>44</v>
      </c>
      <c r="D3564" s="1">
        <v>44035.451493055552</v>
      </c>
      <c r="E3564" t="s">
        <v>11141</v>
      </c>
      <c r="F3564" t="s">
        <v>666</v>
      </c>
      <c r="G3564" t="s">
        <v>11142</v>
      </c>
      <c r="H3564" t="s">
        <v>667</v>
      </c>
      <c r="I3564" t="s">
        <v>618</v>
      </c>
      <c r="J3564">
        <v>44</v>
      </c>
      <c r="K3564">
        <f>44-800-51-3726</f>
        <v>-4533</v>
      </c>
      <c r="L3564" t="s">
        <v>11143</v>
      </c>
      <c r="M3564" t="s">
        <v>11144</v>
      </c>
      <c r="N3564" t="s">
        <v>1645</v>
      </c>
      <c r="O3564" t="s">
        <v>28</v>
      </c>
      <c r="P3564" t="s">
        <v>29</v>
      </c>
      <c r="Q3564">
        <v>41</v>
      </c>
      <c r="R3564">
        <v>-74.140299999999996</v>
      </c>
    </row>
    <row r="3565" spans="1:18" x14ac:dyDescent="0.2">
      <c r="A3565" t="s">
        <v>663</v>
      </c>
      <c r="B3565" t="s">
        <v>3245</v>
      </c>
      <c r="C3565">
        <v>34</v>
      </c>
      <c r="D3565" s="1">
        <v>44035.503287037034</v>
      </c>
      <c r="E3565" t="s">
        <v>11142</v>
      </c>
      <c r="F3565" t="s">
        <v>666</v>
      </c>
      <c r="G3565" t="s">
        <v>11142</v>
      </c>
      <c r="H3565" t="s">
        <v>667</v>
      </c>
      <c r="I3565" t="s">
        <v>700</v>
      </c>
      <c r="J3565">
        <v>34</v>
      </c>
      <c r="K3565">
        <f>34-800-51-3726</f>
        <v>-4543</v>
      </c>
      <c r="L3565" t="s">
        <v>11145</v>
      </c>
      <c r="M3565" t="s">
        <v>11146</v>
      </c>
      <c r="N3565">
        <v>66</v>
      </c>
      <c r="O3565" t="s">
        <v>134</v>
      </c>
      <c r="P3565" t="s">
        <v>29</v>
      </c>
      <c r="Q3565">
        <v>41</v>
      </c>
      <c r="R3565">
        <v>-74.140299999999996</v>
      </c>
    </row>
    <row r="3566" spans="1:18" x14ac:dyDescent="0.2">
      <c r="A3566" t="s">
        <v>270</v>
      </c>
      <c r="B3566" t="s">
        <v>271</v>
      </c>
      <c r="C3566">
        <v>34</v>
      </c>
      <c r="D3566" s="1">
        <v>44173.640821759262</v>
      </c>
      <c r="E3566" t="s">
        <v>11147</v>
      </c>
      <c r="F3566" t="s">
        <v>273</v>
      </c>
      <c r="G3566" t="s">
        <v>11148</v>
      </c>
      <c r="H3566" t="s">
        <v>275</v>
      </c>
      <c r="I3566" t="s">
        <v>700</v>
      </c>
      <c r="J3566">
        <v>34</v>
      </c>
      <c r="K3566">
        <f>34-900-649-667</f>
        <v>-2182</v>
      </c>
      <c r="L3566" t="s">
        <v>11149</v>
      </c>
      <c r="M3566" t="s">
        <v>11150</v>
      </c>
      <c r="N3566" t="s">
        <v>278</v>
      </c>
      <c r="O3566" t="s">
        <v>134</v>
      </c>
      <c r="P3566" t="s">
        <v>29</v>
      </c>
      <c r="Q3566">
        <v>42</v>
      </c>
      <c r="R3566">
        <v>-93.620800000000003</v>
      </c>
    </row>
    <row r="3567" spans="1:18" x14ac:dyDescent="0.2">
      <c r="A3567" t="s">
        <v>270</v>
      </c>
      <c r="B3567" t="s">
        <v>271</v>
      </c>
      <c r="C3567">
        <v>34</v>
      </c>
      <c r="D3567" s="1">
        <v>44173.639143518521</v>
      </c>
      <c r="E3567" t="s">
        <v>11151</v>
      </c>
      <c r="F3567" t="s">
        <v>273</v>
      </c>
      <c r="G3567" t="s">
        <v>11148</v>
      </c>
      <c r="H3567" t="s">
        <v>275</v>
      </c>
      <c r="I3567" t="s">
        <v>700</v>
      </c>
      <c r="J3567">
        <v>34</v>
      </c>
      <c r="K3567">
        <f>34-900-649-667</f>
        <v>-2182</v>
      </c>
      <c r="L3567" t="s">
        <v>11152</v>
      </c>
      <c r="M3567" t="s">
        <v>11153</v>
      </c>
      <c r="N3567" t="s">
        <v>278</v>
      </c>
      <c r="O3567" t="s">
        <v>134</v>
      </c>
      <c r="P3567" t="s">
        <v>29</v>
      </c>
      <c r="Q3567">
        <v>42</v>
      </c>
      <c r="R3567">
        <v>-93.620800000000003</v>
      </c>
    </row>
    <row r="3568" spans="1:18" x14ac:dyDescent="0.2">
      <c r="A3568" t="s">
        <v>270</v>
      </c>
      <c r="B3568" t="s">
        <v>271</v>
      </c>
      <c r="C3568">
        <v>1</v>
      </c>
      <c r="D3568" s="1">
        <v>44149.137245370373</v>
      </c>
      <c r="E3568" t="s">
        <v>11154</v>
      </c>
      <c r="F3568" t="s">
        <v>273</v>
      </c>
      <c r="G3568" t="s">
        <v>11148</v>
      </c>
      <c r="H3568" t="s">
        <v>275</v>
      </c>
      <c r="I3568" t="s">
        <v>29</v>
      </c>
      <c r="J3568">
        <v>1</v>
      </c>
      <c r="K3568">
        <f>1-844-293-617</f>
        <v>-1753</v>
      </c>
      <c r="L3568" t="s">
        <v>11155</v>
      </c>
      <c r="M3568" t="s">
        <v>11156</v>
      </c>
      <c r="N3568" t="s">
        <v>278</v>
      </c>
      <c r="O3568" t="s">
        <v>134</v>
      </c>
      <c r="P3568" t="s">
        <v>29</v>
      </c>
      <c r="Q3568">
        <v>42</v>
      </c>
      <c r="R3568">
        <v>-93.620800000000003</v>
      </c>
    </row>
    <row r="3569" spans="1:18" x14ac:dyDescent="0.2">
      <c r="A3569" t="s">
        <v>270</v>
      </c>
      <c r="B3569" t="s">
        <v>271</v>
      </c>
      <c r="C3569">
        <v>1</v>
      </c>
      <c r="D3569" s="1">
        <v>44139.805243055554</v>
      </c>
      <c r="E3569" t="s">
        <v>11157</v>
      </c>
      <c r="F3569" t="s">
        <v>273</v>
      </c>
      <c r="G3569" t="s">
        <v>11148</v>
      </c>
      <c r="H3569" t="s">
        <v>275</v>
      </c>
      <c r="I3569" t="s">
        <v>29</v>
      </c>
      <c r="J3569">
        <v>1</v>
      </c>
      <c r="K3569">
        <f>1-888-354-1842</f>
        <v>-3083</v>
      </c>
      <c r="L3569" t="s">
        <v>11158</v>
      </c>
      <c r="M3569" t="s">
        <v>11159</v>
      </c>
      <c r="N3569" t="s">
        <v>278</v>
      </c>
      <c r="O3569" t="s">
        <v>28</v>
      </c>
      <c r="P3569" t="s">
        <v>29</v>
      </c>
      <c r="Q3569">
        <v>42</v>
      </c>
      <c r="R3569">
        <v>-93.620800000000003</v>
      </c>
    </row>
    <row r="3570" spans="1:18" x14ac:dyDescent="0.2">
      <c r="A3570" t="s">
        <v>270</v>
      </c>
      <c r="B3570" t="s">
        <v>271</v>
      </c>
      <c r="C3570">
        <v>1</v>
      </c>
      <c r="D3570" s="1">
        <v>44111.771782407406</v>
      </c>
      <c r="E3570" t="s">
        <v>11160</v>
      </c>
      <c r="F3570" t="s">
        <v>273</v>
      </c>
      <c r="G3570" t="s">
        <v>11148</v>
      </c>
      <c r="H3570" t="s">
        <v>275</v>
      </c>
      <c r="I3570" t="s">
        <v>29</v>
      </c>
      <c r="J3570">
        <v>1</v>
      </c>
      <c r="K3570">
        <f>1-888-320-6872</f>
        <v>-8079</v>
      </c>
      <c r="L3570" t="s">
        <v>11161</v>
      </c>
      <c r="M3570" t="s">
        <v>11162</v>
      </c>
      <c r="N3570" t="s">
        <v>278</v>
      </c>
      <c r="O3570" t="s">
        <v>28</v>
      </c>
      <c r="P3570" t="s">
        <v>29</v>
      </c>
      <c r="Q3570">
        <v>42</v>
      </c>
      <c r="R3570">
        <v>-93.620800000000003</v>
      </c>
    </row>
    <row r="3571" spans="1:18" x14ac:dyDescent="0.2">
      <c r="A3571" t="s">
        <v>270</v>
      </c>
      <c r="B3571" t="s">
        <v>271</v>
      </c>
      <c r="C3571">
        <v>1</v>
      </c>
      <c r="D3571" s="1">
        <v>44104.934212962966</v>
      </c>
      <c r="E3571" t="s">
        <v>11163</v>
      </c>
      <c r="F3571" t="s">
        <v>273</v>
      </c>
      <c r="G3571" t="s">
        <v>11148</v>
      </c>
      <c r="H3571" t="s">
        <v>275</v>
      </c>
      <c r="I3571" t="s">
        <v>29</v>
      </c>
      <c r="J3571">
        <v>1</v>
      </c>
      <c r="K3571">
        <f>1-888-210-3270</f>
        <v>-4367</v>
      </c>
      <c r="L3571" t="s">
        <v>11164</v>
      </c>
      <c r="M3571" t="s">
        <v>11165</v>
      </c>
      <c r="N3571" t="s">
        <v>278</v>
      </c>
      <c r="O3571" t="s">
        <v>134</v>
      </c>
      <c r="P3571" t="s">
        <v>29</v>
      </c>
      <c r="Q3571">
        <v>42</v>
      </c>
      <c r="R3571">
        <v>-93.620800000000003</v>
      </c>
    </row>
    <row r="3572" spans="1:18" x14ac:dyDescent="0.2">
      <c r="A3572" t="s">
        <v>270</v>
      </c>
      <c r="B3572" t="s">
        <v>271</v>
      </c>
      <c r="C3572">
        <v>1</v>
      </c>
      <c r="D3572" s="1">
        <v>44098.854074074072</v>
      </c>
      <c r="E3572" t="s">
        <v>1550</v>
      </c>
      <c r="F3572" t="s">
        <v>273</v>
      </c>
      <c r="G3572" t="s">
        <v>11148</v>
      </c>
      <c r="H3572" t="s">
        <v>275</v>
      </c>
      <c r="I3572" t="s">
        <v>29</v>
      </c>
      <c r="J3572">
        <v>1</v>
      </c>
      <c r="K3572">
        <f>1-888-254-1267</f>
        <v>-2408</v>
      </c>
      <c r="L3572" t="s">
        <v>11166</v>
      </c>
      <c r="M3572" t="s">
        <v>11167</v>
      </c>
      <c r="N3572" t="s">
        <v>278</v>
      </c>
      <c r="O3572" t="s">
        <v>28</v>
      </c>
      <c r="P3572" t="s">
        <v>29</v>
      </c>
      <c r="Q3572">
        <v>42</v>
      </c>
      <c r="R3572">
        <v>-93.620800000000003</v>
      </c>
    </row>
    <row r="3573" spans="1:18" x14ac:dyDescent="0.2">
      <c r="A3573" t="s">
        <v>270</v>
      </c>
      <c r="B3573" t="s">
        <v>271</v>
      </c>
      <c r="C3573">
        <v>1</v>
      </c>
      <c r="D3573" s="1">
        <v>44097.389178240737</v>
      </c>
      <c r="E3573" t="s">
        <v>11168</v>
      </c>
      <c r="F3573" t="s">
        <v>273</v>
      </c>
      <c r="G3573" t="s">
        <v>11148</v>
      </c>
      <c r="H3573" t="s">
        <v>275</v>
      </c>
      <c r="I3573" t="s">
        <v>29</v>
      </c>
      <c r="J3573">
        <v>1</v>
      </c>
      <c r="K3573">
        <f>1-888-229-7472</f>
        <v>-8588</v>
      </c>
      <c r="L3573" t="s">
        <v>11169</v>
      </c>
      <c r="M3573" t="s">
        <v>11170</v>
      </c>
      <c r="N3573" t="s">
        <v>278</v>
      </c>
      <c r="O3573" t="s">
        <v>28</v>
      </c>
      <c r="P3573" t="s">
        <v>29</v>
      </c>
      <c r="Q3573">
        <v>42</v>
      </c>
      <c r="R3573">
        <v>-93.620800000000003</v>
      </c>
    </row>
    <row r="3574" spans="1:18" x14ac:dyDescent="0.2">
      <c r="A3574" t="s">
        <v>270</v>
      </c>
      <c r="B3574" t="s">
        <v>271</v>
      </c>
      <c r="C3574">
        <v>1</v>
      </c>
      <c r="D3574" s="1">
        <v>44096.837094907409</v>
      </c>
      <c r="E3574" t="s">
        <v>11171</v>
      </c>
      <c r="F3574" t="s">
        <v>273</v>
      </c>
      <c r="G3574" t="s">
        <v>11148</v>
      </c>
      <c r="H3574" t="s">
        <v>275</v>
      </c>
      <c r="I3574" t="s">
        <v>29</v>
      </c>
      <c r="J3574">
        <v>1</v>
      </c>
      <c r="K3574">
        <f>1-888-210-6063</f>
        <v>-7160</v>
      </c>
      <c r="L3574" t="s">
        <v>11172</v>
      </c>
      <c r="M3574" t="s">
        <v>11173</v>
      </c>
      <c r="N3574" t="s">
        <v>278</v>
      </c>
      <c r="O3574" t="s">
        <v>28</v>
      </c>
      <c r="P3574" t="s">
        <v>29</v>
      </c>
      <c r="Q3574">
        <v>42</v>
      </c>
      <c r="R3574">
        <v>-93.620800000000003</v>
      </c>
    </row>
    <row r="3575" spans="1:18" x14ac:dyDescent="0.2">
      <c r="A3575" t="s">
        <v>270</v>
      </c>
      <c r="B3575" t="s">
        <v>271</v>
      </c>
      <c r="C3575">
        <v>1</v>
      </c>
      <c r="D3575" s="1">
        <v>44096.369837962964</v>
      </c>
      <c r="E3575" t="s">
        <v>11174</v>
      </c>
      <c r="F3575" t="s">
        <v>273</v>
      </c>
      <c r="G3575" t="s">
        <v>11148</v>
      </c>
      <c r="H3575" t="s">
        <v>275</v>
      </c>
      <c r="I3575" t="s">
        <v>29</v>
      </c>
      <c r="J3575">
        <v>1</v>
      </c>
      <c r="K3575">
        <f>1-844-316-9077</f>
        <v>-10236</v>
      </c>
      <c r="L3575" t="s">
        <v>11175</v>
      </c>
      <c r="M3575" t="s">
        <v>11176</v>
      </c>
      <c r="N3575" t="s">
        <v>278</v>
      </c>
      <c r="O3575" t="s">
        <v>28</v>
      </c>
      <c r="P3575" t="s">
        <v>29</v>
      </c>
      <c r="Q3575">
        <v>42</v>
      </c>
      <c r="R3575">
        <v>-93.620800000000003</v>
      </c>
    </row>
    <row r="3576" spans="1:18" x14ac:dyDescent="0.2">
      <c r="A3576" t="s">
        <v>270</v>
      </c>
      <c r="B3576" t="s">
        <v>271</v>
      </c>
      <c r="C3576">
        <v>1</v>
      </c>
      <c r="D3576" s="1">
        <v>44096.369351851848</v>
      </c>
      <c r="E3576" t="s">
        <v>11177</v>
      </c>
      <c r="F3576" t="s">
        <v>273</v>
      </c>
      <c r="G3576" t="s">
        <v>11148</v>
      </c>
      <c r="H3576" t="s">
        <v>275</v>
      </c>
      <c r="I3576" t="s">
        <v>29</v>
      </c>
      <c r="J3576">
        <v>1</v>
      </c>
      <c r="K3576">
        <f>1-844-316-9077</f>
        <v>-10236</v>
      </c>
      <c r="L3576" t="s">
        <v>11178</v>
      </c>
      <c r="M3576" t="s">
        <v>11179</v>
      </c>
      <c r="N3576" t="s">
        <v>278</v>
      </c>
      <c r="O3576" t="s">
        <v>28</v>
      </c>
      <c r="P3576" t="s">
        <v>29</v>
      </c>
      <c r="Q3576">
        <v>42</v>
      </c>
      <c r="R3576">
        <v>-93.620800000000003</v>
      </c>
    </row>
    <row r="3577" spans="1:18" x14ac:dyDescent="0.2">
      <c r="A3577" t="s">
        <v>270</v>
      </c>
      <c r="B3577" t="s">
        <v>271</v>
      </c>
      <c r="C3577">
        <v>1</v>
      </c>
      <c r="D3577" s="1">
        <v>44091.544016203705</v>
      </c>
      <c r="E3577" t="s">
        <v>11180</v>
      </c>
      <c r="F3577" t="s">
        <v>273</v>
      </c>
      <c r="G3577" t="s">
        <v>11148</v>
      </c>
      <c r="H3577" t="s">
        <v>275</v>
      </c>
      <c r="I3577" t="s">
        <v>29</v>
      </c>
      <c r="J3577">
        <v>1</v>
      </c>
      <c r="K3577">
        <f>1-888-304-1345</f>
        <v>-2536</v>
      </c>
      <c r="L3577" t="s">
        <v>11181</v>
      </c>
      <c r="M3577" t="s">
        <v>11182</v>
      </c>
      <c r="N3577" t="s">
        <v>278</v>
      </c>
      <c r="O3577" t="s">
        <v>28</v>
      </c>
      <c r="P3577" t="s">
        <v>29</v>
      </c>
      <c r="Q3577">
        <v>42</v>
      </c>
      <c r="R3577">
        <v>-93.620800000000003</v>
      </c>
    </row>
    <row r="3578" spans="1:18" x14ac:dyDescent="0.2">
      <c r="A3578" t="s">
        <v>270</v>
      </c>
      <c r="B3578" t="s">
        <v>271</v>
      </c>
      <c r="C3578">
        <v>1</v>
      </c>
      <c r="D3578" s="1">
        <v>44090.798726851855</v>
      </c>
      <c r="E3578" t="s">
        <v>11183</v>
      </c>
      <c r="F3578" t="s">
        <v>273</v>
      </c>
      <c r="G3578" t="s">
        <v>11148</v>
      </c>
      <c r="H3578" t="s">
        <v>275</v>
      </c>
      <c r="I3578" t="s">
        <v>29</v>
      </c>
      <c r="J3578">
        <v>1</v>
      </c>
      <c r="K3578">
        <f>1-844-227-7011</f>
        <v>-8081</v>
      </c>
      <c r="L3578" t="s">
        <v>11184</v>
      </c>
      <c r="M3578" t="s">
        <v>11185</v>
      </c>
      <c r="N3578" t="s">
        <v>278</v>
      </c>
      <c r="O3578" t="s">
        <v>28</v>
      </c>
      <c r="P3578" t="s">
        <v>29</v>
      </c>
      <c r="Q3578">
        <v>42</v>
      </c>
      <c r="R3578">
        <v>-93.620800000000003</v>
      </c>
    </row>
    <row r="3579" spans="1:18" x14ac:dyDescent="0.2">
      <c r="A3579" t="s">
        <v>270</v>
      </c>
      <c r="B3579" t="s">
        <v>271</v>
      </c>
      <c r="C3579">
        <v>1</v>
      </c>
      <c r="D3579" s="1">
        <v>44090.798113425924</v>
      </c>
      <c r="E3579" t="s">
        <v>11186</v>
      </c>
      <c r="F3579" t="s">
        <v>273</v>
      </c>
      <c r="G3579" t="s">
        <v>11148</v>
      </c>
      <c r="H3579" t="s">
        <v>275</v>
      </c>
      <c r="I3579" t="s">
        <v>29</v>
      </c>
      <c r="J3579">
        <v>1</v>
      </c>
      <c r="K3579">
        <f>1-844-243-4064</f>
        <v>-5150</v>
      </c>
      <c r="L3579" t="s">
        <v>11187</v>
      </c>
      <c r="M3579" t="s">
        <v>11188</v>
      </c>
      <c r="N3579" t="s">
        <v>278</v>
      </c>
      <c r="O3579" t="s">
        <v>28</v>
      </c>
      <c r="P3579" t="s">
        <v>29</v>
      </c>
      <c r="Q3579">
        <v>42</v>
      </c>
      <c r="R3579">
        <v>-93.620800000000003</v>
      </c>
    </row>
    <row r="3580" spans="1:18" x14ac:dyDescent="0.2">
      <c r="A3580" t="s">
        <v>270</v>
      </c>
      <c r="B3580" t="s">
        <v>271</v>
      </c>
      <c r="C3580">
        <v>1</v>
      </c>
      <c r="D3580" s="1">
        <v>44090.797569444447</v>
      </c>
      <c r="E3580" t="s">
        <v>11189</v>
      </c>
      <c r="F3580" t="s">
        <v>273</v>
      </c>
      <c r="G3580" t="s">
        <v>11148</v>
      </c>
      <c r="H3580" t="s">
        <v>275</v>
      </c>
      <c r="I3580" t="s">
        <v>29</v>
      </c>
      <c r="J3580">
        <v>1</v>
      </c>
      <c r="K3580">
        <f>1-844-214-1003</f>
        <v>-2060</v>
      </c>
      <c r="L3580" t="s">
        <v>11190</v>
      </c>
      <c r="M3580" t="s">
        <v>11191</v>
      </c>
      <c r="N3580" t="s">
        <v>278</v>
      </c>
      <c r="O3580" t="s">
        <v>28</v>
      </c>
      <c r="P3580" t="s">
        <v>29</v>
      </c>
      <c r="Q3580">
        <v>42</v>
      </c>
      <c r="R3580">
        <v>-93.620800000000003</v>
      </c>
    </row>
    <row r="3581" spans="1:18" x14ac:dyDescent="0.2">
      <c r="A3581" t="s">
        <v>270</v>
      </c>
      <c r="B3581" t="s">
        <v>271</v>
      </c>
      <c r="C3581">
        <v>33</v>
      </c>
      <c r="D3581" s="1">
        <v>44088.69672453704</v>
      </c>
      <c r="E3581" t="s">
        <v>11192</v>
      </c>
      <c r="F3581" t="s">
        <v>273</v>
      </c>
      <c r="G3581" t="s">
        <v>11148</v>
      </c>
      <c r="H3581" t="s">
        <v>275</v>
      </c>
      <c r="I3581" t="s">
        <v>292</v>
      </c>
      <c r="J3581">
        <v>33</v>
      </c>
      <c r="K3581">
        <f>33-7-55-53-87-14</f>
        <v>-183</v>
      </c>
      <c r="L3581" t="s">
        <v>11193</v>
      </c>
      <c r="M3581" t="s">
        <v>11194</v>
      </c>
      <c r="N3581" t="s">
        <v>278</v>
      </c>
      <c r="O3581" t="s">
        <v>134</v>
      </c>
      <c r="P3581" t="s">
        <v>29</v>
      </c>
      <c r="Q3581">
        <v>42</v>
      </c>
      <c r="R3581">
        <v>-93.620800000000003</v>
      </c>
    </row>
    <row r="3582" spans="1:18" x14ac:dyDescent="0.2">
      <c r="A3582" t="s">
        <v>270</v>
      </c>
      <c r="B3582" t="s">
        <v>271</v>
      </c>
      <c r="C3582">
        <v>33</v>
      </c>
      <c r="D3582" s="1">
        <v>44086.509236111109</v>
      </c>
      <c r="E3582" t="s">
        <v>11195</v>
      </c>
      <c r="F3582" t="s">
        <v>273</v>
      </c>
      <c r="G3582" t="s">
        <v>11148</v>
      </c>
      <c r="H3582" t="s">
        <v>275</v>
      </c>
      <c r="I3582" t="s">
        <v>292</v>
      </c>
      <c r="J3582">
        <v>33</v>
      </c>
      <c r="K3582">
        <f>33-7-55-53-87-14</f>
        <v>-183</v>
      </c>
      <c r="L3582" t="s">
        <v>11196</v>
      </c>
      <c r="M3582" t="s">
        <v>11197</v>
      </c>
      <c r="N3582" t="s">
        <v>278</v>
      </c>
      <c r="O3582" t="s">
        <v>134</v>
      </c>
      <c r="P3582" t="s">
        <v>29</v>
      </c>
      <c r="Q3582">
        <v>42</v>
      </c>
      <c r="R3582">
        <v>-93.620800000000003</v>
      </c>
    </row>
    <row r="3583" spans="1:18" x14ac:dyDescent="0.2">
      <c r="A3583" t="s">
        <v>270</v>
      </c>
      <c r="B3583" t="s">
        <v>271</v>
      </c>
      <c r="C3583">
        <v>1</v>
      </c>
      <c r="D3583" s="1">
        <v>44084.791319444441</v>
      </c>
      <c r="E3583" t="s">
        <v>11198</v>
      </c>
      <c r="F3583" t="s">
        <v>273</v>
      </c>
      <c r="G3583" t="s">
        <v>11148</v>
      </c>
      <c r="H3583" t="s">
        <v>275</v>
      </c>
      <c r="I3583" t="s">
        <v>29</v>
      </c>
      <c r="J3583">
        <v>1</v>
      </c>
      <c r="K3583">
        <f>1-844-318-7909</f>
        <v>-9070</v>
      </c>
      <c r="L3583" t="s">
        <v>11199</v>
      </c>
      <c r="M3583" t="s">
        <v>11200</v>
      </c>
      <c r="N3583" t="s">
        <v>278</v>
      </c>
      <c r="O3583" t="s">
        <v>28</v>
      </c>
      <c r="P3583" t="s">
        <v>29</v>
      </c>
      <c r="Q3583">
        <v>42</v>
      </c>
      <c r="R3583">
        <v>-93.620800000000003</v>
      </c>
    </row>
    <row r="3584" spans="1:18" x14ac:dyDescent="0.2">
      <c r="A3584" t="s">
        <v>270</v>
      </c>
      <c r="B3584" t="s">
        <v>271</v>
      </c>
      <c r="C3584">
        <v>1</v>
      </c>
      <c r="D3584" s="1">
        <v>44083.829328703701</v>
      </c>
      <c r="E3584" t="s">
        <v>11201</v>
      </c>
      <c r="F3584" t="s">
        <v>273</v>
      </c>
      <c r="G3584" t="s">
        <v>11148</v>
      </c>
      <c r="H3584" t="s">
        <v>275</v>
      </c>
      <c r="I3584" t="s">
        <v>29</v>
      </c>
      <c r="J3584">
        <v>1</v>
      </c>
      <c r="K3584">
        <f>1-888-592-7014</f>
        <v>-8493</v>
      </c>
      <c r="L3584" t="s">
        <v>11202</v>
      </c>
      <c r="M3584" t="s">
        <v>11203</v>
      </c>
      <c r="N3584" t="s">
        <v>278</v>
      </c>
      <c r="O3584" t="s">
        <v>28</v>
      </c>
      <c r="P3584" t="s">
        <v>29</v>
      </c>
      <c r="Q3584">
        <v>42</v>
      </c>
      <c r="R3584">
        <v>-93.620800000000003</v>
      </c>
    </row>
    <row r="3585" spans="1:18" x14ac:dyDescent="0.2">
      <c r="A3585" t="s">
        <v>270</v>
      </c>
      <c r="B3585" t="s">
        <v>271</v>
      </c>
      <c r="C3585">
        <v>33</v>
      </c>
      <c r="D3585" s="1">
        <v>44082.788645833331</v>
      </c>
      <c r="E3585" t="s">
        <v>11204</v>
      </c>
      <c r="F3585" t="s">
        <v>273</v>
      </c>
      <c r="G3585" t="s">
        <v>11148</v>
      </c>
      <c r="H3585" t="s">
        <v>275</v>
      </c>
      <c r="I3585" t="s">
        <v>292</v>
      </c>
      <c r="J3585">
        <v>33</v>
      </c>
      <c r="K3585">
        <f t="shared" ref="K3585:K3594" si="21">33-7-55-53-87-14</f>
        <v>-183</v>
      </c>
      <c r="L3585" t="s">
        <v>11205</v>
      </c>
      <c r="M3585" t="s">
        <v>11206</v>
      </c>
      <c r="N3585" t="s">
        <v>278</v>
      </c>
      <c r="O3585" t="s">
        <v>134</v>
      </c>
      <c r="P3585" t="s">
        <v>29</v>
      </c>
      <c r="Q3585">
        <v>42</v>
      </c>
      <c r="R3585">
        <v>-93.620800000000003</v>
      </c>
    </row>
    <row r="3586" spans="1:18" x14ac:dyDescent="0.2">
      <c r="A3586" t="s">
        <v>270</v>
      </c>
      <c r="B3586" t="s">
        <v>271</v>
      </c>
      <c r="C3586">
        <v>33</v>
      </c>
      <c r="D3586" s="1">
        <v>44082.788645833331</v>
      </c>
      <c r="E3586" t="s">
        <v>11195</v>
      </c>
      <c r="F3586" t="s">
        <v>273</v>
      </c>
      <c r="G3586" t="s">
        <v>11148</v>
      </c>
      <c r="H3586" t="s">
        <v>275</v>
      </c>
      <c r="I3586" t="s">
        <v>292</v>
      </c>
      <c r="J3586">
        <v>33</v>
      </c>
      <c r="K3586">
        <f t="shared" si="21"/>
        <v>-183</v>
      </c>
      <c r="L3586" t="s">
        <v>11207</v>
      </c>
      <c r="M3586" t="s">
        <v>11208</v>
      </c>
      <c r="N3586" t="s">
        <v>278</v>
      </c>
      <c r="O3586" t="s">
        <v>134</v>
      </c>
      <c r="P3586" t="s">
        <v>29</v>
      </c>
      <c r="Q3586">
        <v>42</v>
      </c>
      <c r="R3586">
        <v>-93.620800000000003</v>
      </c>
    </row>
    <row r="3587" spans="1:18" x14ac:dyDescent="0.2">
      <c r="A3587" t="s">
        <v>270</v>
      </c>
      <c r="B3587" t="s">
        <v>271</v>
      </c>
      <c r="C3587">
        <v>33</v>
      </c>
      <c r="D3587" s="1">
        <v>44080.849641203706</v>
      </c>
      <c r="E3587" t="s">
        <v>11209</v>
      </c>
      <c r="F3587" t="s">
        <v>273</v>
      </c>
      <c r="G3587" t="s">
        <v>11148</v>
      </c>
      <c r="H3587" t="s">
        <v>275</v>
      </c>
      <c r="I3587" t="s">
        <v>292</v>
      </c>
      <c r="J3587">
        <v>33</v>
      </c>
      <c r="K3587">
        <f t="shared" si="21"/>
        <v>-183</v>
      </c>
      <c r="L3587" t="s">
        <v>11210</v>
      </c>
      <c r="M3587" t="s">
        <v>11211</v>
      </c>
      <c r="N3587" t="s">
        <v>278</v>
      </c>
      <c r="O3587" t="s">
        <v>134</v>
      </c>
      <c r="P3587" t="s">
        <v>29</v>
      </c>
      <c r="Q3587">
        <v>42</v>
      </c>
      <c r="R3587">
        <v>-93.620800000000003</v>
      </c>
    </row>
    <row r="3588" spans="1:18" x14ac:dyDescent="0.2">
      <c r="A3588" t="s">
        <v>270</v>
      </c>
      <c r="B3588" t="s">
        <v>271</v>
      </c>
      <c r="C3588">
        <v>33</v>
      </c>
      <c r="D3588" s="1">
        <v>44080.849444444444</v>
      </c>
      <c r="E3588" t="s">
        <v>11212</v>
      </c>
      <c r="F3588" t="s">
        <v>273</v>
      </c>
      <c r="G3588" t="s">
        <v>11148</v>
      </c>
      <c r="H3588" t="s">
        <v>275</v>
      </c>
      <c r="I3588" t="s">
        <v>292</v>
      </c>
      <c r="J3588">
        <v>33</v>
      </c>
      <c r="K3588">
        <f t="shared" si="21"/>
        <v>-183</v>
      </c>
      <c r="L3588" t="s">
        <v>11213</v>
      </c>
      <c r="M3588" t="s">
        <v>11214</v>
      </c>
      <c r="N3588" t="s">
        <v>278</v>
      </c>
      <c r="O3588" t="s">
        <v>134</v>
      </c>
      <c r="P3588" t="s">
        <v>29</v>
      </c>
      <c r="Q3588">
        <v>42</v>
      </c>
      <c r="R3588">
        <v>-93.620800000000003</v>
      </c>
    </row>
    <row r="3589" spans="1:18" x14ac:dyDescent="0.2">
      <c r="A3589" t="s">
        <v>270</v>
      </c>
      <c r="B3589" t="s">
        <v>271</v>
      </c>
      <c r="C3589">
        <v>33</v>
      </c>
      <c r="D3589" s="1">
        <v>44080.849027777775</v>
      </c>
      <c r="E3589" t="s">
        <v>11215</v>
      </c>
      <c r="F3589" t="s">
        <v>273</v>
      </c>
      <c r="G3589" t="s">
        <v>11148</v>
      </c>
      <c r="H3589" t="s">
        <v>275</v>
      </c>
      <c r="I3589" t="s">
        <v>292</v>
      </c>
      <c r="J3589">
        <v>33</v>
      </c>
      <c r="K3589">
        <f t="shared" si="21"/>
        <v>-183</v>
      </c>
      <c r="L3589" t="s">
        <v>11216</v>
      </c>
      <c r="M3589" t="s">
        <v>11217</v>
      </c>
      <c r="N3589" t="s">
        <v>278</v>
      </c>
      <c r="O3589" t="s">
        <v>134</v>
      </c>
      <c r="P3589" t="s">
        <v>29</v>
      </c>
      <c r="Q3589">
        <v>42</v>
      </c>
      <c r="R3589">
        <v>-93.620800000000003</v>
      </c>
    </row>
    <row r="3590" spans="1:18" x14ac:dyDescent="0.2">
      <c r="A3590" t="s">
        <v>270</v>
      </c>
      <c r="B3590" t="s">
        <v>271</v>
      </c>
      <c r="C3590">
        <v>33</v>
      </c>
      <c r="D3590" s="1">
        <v>44080.848993055559</v>
      </c>
      <c r="E3590" t="s">
        <v>11218</v>
      </c>
      <c r="F3590" t="s">
        <v>273</v>
      </c>
      <c r="G3590" t="s">
        <v>11148</v>
      </c>
      <c r="H3590" t="s">
        <v>275</v>
      </c>
      <c r="I3590" t="s">
        <v>292</v>
      </c>
      <c r="J3590">
        <v>33</v>
      </c>
      <c r="K3590">
        <f t="shared" si="21"/>
        <v>-183</v>
      </c>
      <c r="L3590" t="s">
        <v>11219</v>
      </c>
      <c r="M3590" t="s">
        <v>11220</v>
      </c>
      <c r="N3590" t="s">
        <v>278</v>
      </c>
      <c r="O3590" t="s">
        <v>134</v>
      </c>
      <c r="P3590" t="s">
        <v>29</v>
      </c>
      <c r="Q3590">
        <v>42</v>
      </c>
      <c r="R3590">
        <v>-93.620800000000003</v>
      </c>
    </row>
    <row r="3591" spans="1:18" x14ac:dyDescent="0.2">
      <c r="A3591" t="s">
        <v>270</v>
      </c>
      <c r="B3591" t="s">
        <v>271</v>
      </c>
      <c r="C3591">
        <v>33</v>
      </c>
      <c r="D3591" s="1">
        <v>44080.848958333336</v>
      </c>
      <c r="E3591" t="s">
        <v>11221</v>
      </c>
      <c r="F3591" t="s">
        <v>273</v>
      </c>
      <c r="G3591" t="s">
        <v>11148</v>
      </c>
      <c r="H3591" t="s">
        <v>275</v>
      </c>
      <c r="I3591" t="s">
        <v>292</v>
      </c>
      <c r="J3591">
        <v>33</v>
      </c>
      <c r="K3591">
        <f t="shared" si="21"/>
        <v>-183</v>
      </c>
      <c r="L3591" t="s">
        <v>11222</v>
      </c>
      <c r="M3591" t="s">
        <v>11223</v>
      </c>
      <c r="N3591" t="s">
        <v>278</v>
      </c>
      <c r="O3591" t="s">
        <v>134</v>
      </c>
      <c r="P3591" t="s">
        <v>29</v>
      </c>
      <c r="Q3591">
        <v>42</v>
      </c>
      <c r="R3591">
        <v>-93.620800000000003</v>
      </c>
    </row>
    <row r="3592" spans="1:18" x14ac:dyDescent="0.2">
      <c r="A3592" t="s">
        <v>270</v>
      </c>
      <c r="B3592" t="s">
        <v>271</v>
      </c>
      <c r="C3592">
        <v>33</v>
      </c>
      <c r="D3592" s="1">
        <v>44080.848912037036</v>
      </c>
      <c r="E3592" t="s">
        <v>11224</v>
      </c>
      <c r="F3592" t="s">
        <v>273</v>
      </c>
      <c r="G3592" t="s">
        <v>11148</v>
      </c>
      <c r="H3592" t="s">
        <v>275</v>
      </c>
      <c r="I3592" t="s">
        <v>292</v>
      </c>
      <c r="J3592">
        <v>33</v>
      </c>
      <c r="K3592">
        <f t="shared" si="21"/>
        <v>-183</v>
      </c>
      <c r="L3592" t="s">
        <v>11225</v>
      </c>
      <c r="M3592" t="s">
        <v>11226</v>
      </c>
      <c r="N3592" t="s">
        <v>278</v>
      </c>
      <c r="O3592" t="s">
        <v>134</v>
      </c>
      <c r="P3592" t="s">
        <v>29</v>
      </c>
      <c r="Q3592">
        <v>42</v>
      </c>
      <c r="R3592">
        <v>-93.620800000000003</v>
      </c>
    </row>
    <row r="3593" spans="1:18" x14ac:dyDescent="0.2">
      <c r="A3593" t="s">
        <v>270</v>
      </c>
      <c r="B3593" t="s">
        <v>271</v>
      </c>
      <c r="C3593">
        <v>33</v>
      </c>
      <c r="D3593" s="1">
        <v>44080.84883101852</v>
      </c>
      <c r="E3593" t="s">
        <v>11227</v>
      </c>
      <c r="F3593" t="s">
        <v>273</v>
      </c>
      <c r="G3593" t="s">
        <v>11148</v>
      </c>
      <c r="H3593" t="s">
        <v>275</v>
      </c>
      <c r="I3593" t="s">
        <v>292</v>
      </c>
      <c r="J3593">
        <v>33</v>
      </c>
      <c r="K3593">
        <f t="shared" si="21"/>
        <v>-183</v>
      </c>
      <c r="L3593" t="s">
        <v>11228</v>
      </c>
      <c r="M3593" t="s">
        <v>11229</v>
      </c>
      <c r="N3593" t="s">
        <v>278</v>
      </c>
      <c r="O3593" t="s">
        <v>134</v>
      </c>
      <c r="P3593" t="s">
        <v>29</v>
      </c>
      <c r="Q3593">
        <v>42</v>
      </c>
      <c r="R3593">
        <v>-93.620800000000003</v>
      </c>
    </row>
    <row r="3594" spans="1:18" x14ac:dyDescent="0.2">
      <c r="A3594" t="s">
        <v>270</v>
      </c>
      <c r="B3594" t="s">
        <v>271</v>
      </c>
      <c r="C3594">
        <v>33</v>
      </c>
      <c r="D3594" s="1">
        <v>44080.84878472222</v>
      </c>
      <c r="E3594" t="s">
        <v>11230</v>
      </c>
      <c r="F3594" t="s">
        <v>273</v>
      </c>
      <c r="G3594" t="s">
        <v>11148</v>
      </c>
      <c r="H3594" t="s">
        <v>275</v>
      </c>
      <c r="I3594" t="s">
        <v>292</v>
      </c>
      <c r="J3594">
        <v>33</v>
      </c>
      <c r="K3594">
        <f t="shared" si="21"/>
        <v>-183</v>
      </c>
      <c r="L3594" t="s">
        <v>11231</v>
      </c>
      <c r="M3594" t="s">
        <v>11232</v>
      </c>
      <c r="N3594" t="s">
        <v>278</v>
      </c>
      <c r="O3594" t="s">
        <v>134</v>
      </c>
      <c r="P3594" t="s">
        <v>29</v>
      </c>
      <c r="Q3594">
        <v>42</v>
      </c>
      <c r="R3594">
        <v>-93.620800000000003</v>
      </c>
    </row>
    <row r="3595" spans="1:18" x14ac:dyDescent="0.2">
      <c r="A3595" t="s">
        <v>270</v>
      </c>
      <c r="B3595" t="s">
        <v>271</v>
      </c>
      <c r="C3595">
        <v>1</v>
      </c>
      <c r="D3595" s="1">
        <v>44080.848692129628</v>
      </c>
      <c r="E3595" t="s">
        <v>11233</v>
      </c>
      <c r="F3595" t="s">
        <v>273</v>
      </c>
      <c r="G3595" t="s">
        <v>11148</v>
      </c>
      <c r="H3595" t="s">
        <v>275</v>
      </c>
      <c r="I3595" t="s">
        <v>29</v>
      </c>
      <c r="J3595">
        <v>1</v>
      </c>
      <c r="K3595">
        <f>1-888-507-2226</f>
        <v>-3620</v>
      </c>
      <c r="L3595" t="s">
        <v>11234</v>
      </c>
      <c r="M3595" t="s">
        <v>11235</v>
      </c>
      <c r="N3595" t="s">
        <v>278</v>
      </c>
      <c r="O3595" t="s">
        <v>134</v>
      </c>
      <c r="P3595" t="s">
        <v>29</v>
      </c>
      <c r="Q3595">
        <v>42</v>
      </c>
      <c r="R3595">
        <v>-93.620800000000003</v>
      </c>
    </row>
    <row r="3596" spans="1:18" x14ac:dyDescent="0.2">
      <c r="A3596" t="s">
        <v>270</v>
      </c>
      <c r="B3596" t="s">
        <v>271</v>
      </c>
      <c r="C3596">
        <v>33</v>
      </c>
      <c r="D3596" s="1">
        <v>44075.810567129629</v>
      </c>
      <c r="E3596" t="s">
        <v>11236</v>
      </c>
      <c r="F3596" t="s">
        <v>273</v>
      </c>
      <c r="G3596" t="s">
        <v>11148</v>
      </c>
      <c r="H3596" t="s">
        <v>275</v>
      </c>
      <c r="I3596" t="s">
        <v>292</v>
      </c>
      <c r="J3596">
        <v>33</v>
      </c>
      <c r="K3596">
        <f>33-7-55-53-87-14</f>
        <v>-183</v>
      </c>
      <c r="L3596" t="s">
        <v>11237</v>
      </c>
      <c r="M3596" t="s">
        <v>11238</v>
      </c>
      <c r="N3596" t="s">
        <v>278</v>
      </c>
      <c r="O3596" t="s">
        <v>134</v>
      </c>
      <c r="P3596" t="s">
        <v>29</v>
      </c>
      <c r="Q3596">
        <v>42</v>
      </c>
      <c r="R3596">
        <v>-93.620800000000003</v>
      </c>
    </row>
    <row r="3597" spans="1:18" x14ac:dyDescent="0.2">
      <c r="A3597" t="s">
        <v>270</v>
      </c>
      <c r="B3597" t="s">
        <v>271</v>
      </c>
      <c r="C3597">
        <v>33</v>
      </c>
      <c r="D3597" s="1">
        <v>44075.810393518521</v>
      </c>
      <c r="E3597" t="s">
        <v>11239</v>
      </c>
      <c r="F3597" t="s">
        <v>273</v>
      </c>
      <c r="G3597" t="s">
        <v>11148</v>
      </c>
      <c r="H3597" t="s">
        <v>275</v>
      </c>
      <c r="I3597" t="s">
        <v>292</v>
      </c>
      <c r="J3597">
        <v>33</v>
      </c>
      <c r="K3597">
        <f>33-7-55-53-87-14</f>
        <v>-183</v>
      </c>
      <c r="L3597" t="s">
        <v>11240</v>
      </c>
      <c r="M3597" t="s">
        <v>11241</v>
      </c>
      <c r="N3597" t="s">
        <v>278</v>
      </c>
      <c r="O3597" t="s">
        <v>134</v>
      </c>
      <c r="P3597" t="s">
        <v>29</v>
      </c>
      <c r="Q3597">
        <v>42</v>
      </c>
      <c r="R3597">
        <v>-93.620800000000003</v>
      </c>
    </row>
    <row r="3598" spans="1:18" x14ac:dyDescent="0.2">
      <c r="A3598" t="s">
        <v>270</v>
      </c>
      <c r="B3598" t="s">
        <v>271</v>
      </c>
      <c r="C3598">
        <v>33</v>
      </c>
      <c r="D3598" s="1">
        <v>44075.809849537036</v>
      </c>
      <c r="E3598" t="s">
        <v>11242</v>
      </c>
      <c r="F3598" t="s">
        <v>273</v>
      </c>
      <c r="G3598" t="s">
        <v>11148</v>
      </c>
      <c r="H3598" t="s">
        <v>275</v>
      </c>
      <c r="I3598" t="s">
        <v>292</v>
      </c>
      <c r="J3598">
        <v>33</v>
      </c>
      <c r="K3598">
        <f>33-7-55-53-87-14</f>
        <v>-183</v>
      </c>
      <c r="L3598" t="s">
        <v>11243</v>
      </c>
      <c r="M3598" t="s">
        <v>11244</v>
      </c>
      <c r="N3598" t="s">
        <v>278</v>
      </c>
      <c r="O3598" t="s">
        <v>134</v>
      </c>
      <c r="P3598" t="s">
        <v>29</v>
      </c>
      <c r="Q3598">
        <v>42</v>
      </c>
      <c r="R3598">
        <v>-93.620800000000003</v>
      </c>
    </row>
    <row r="3599" spans="1:18" x14ac:dyDescent="0.2">
      <c r="A3599" t="s">
        <v>270</v>
      </c>
      <c r="B3599" t="s">
        <v>271</v>
      </c>
      <c r="C3599">
        <v>33</v>
      </c>
      <c r="D3599" s="1">
        <v>44075.809652777774</v>
      </c>
      <c r="E3599" t="s">
        <v>11245</v>
      </c>
      <c r="F3599" t="s">
        <v>273</v>
      </c>
      <c r="G3599" t="s">
        <v>11148</v>
      </c>
      <c r="H3599" t="s">
        <v>275</v>
      </c>
      <c r="I3599" t="s">
        <v>292</v>
      </c>
      <c r="J3599">
        <v>33</v>
      </c>
      <c r="K3599">
        <f>33-7-55-53-87-14</f>
        <v>-183</v>
      </c>
      <c r="L3599" t="s">
        <v>11246</v>
      </c>
      <c r="M3599" t="s">
        <v>11247</v>
      </c>
      <c r="N3599" t="s">
        <v>278</v>
      </c>
      <c r="O3599" t="s">
        <v>134</v>
      </c>
      <c r="P3599" t="s">
        <v>29</v>
      </c>
      <c r="Q3599">
        <v>42</v>
      </c>
      <c r="R3599">
        <v>-93.620800000000003</v>
      </c>
    </row>
    <row r="3600" spans="1:18" x14ac:dyDescent="0.2">
      <c r="A3600" t="s">
        <v>270</v>
      </c>
      <c r="B3600" t="s">
        <v>271</v>
      </c>
      <c r="C3600">
        <v>1</v>
      </c>
      <c r="D3600" s="1">
        <v>44072.862696759257</v>
      </c>
      <c r="E3600" t="s">
        <v>11248</v>
      </c>
      <c r="F3600" t="s">
        <v>273</v>
      </c>
      <c r="G3600" t="s">
        <v>11148</v>
      </c>
      <c r="H3600" t="s">
        <v>275</v>
      </c>
      <c r="I3600" t="s">
        <v>29</v>
      </c>
      <c r="J3600">
        <v>1</v>
      </c>
      <c r="K3600">
        <f>1-888-658-5805</f>
        <v>-7350</v>
      </c>
      <c r="L3600" t="s">
        <v>11249</v>
      </c>
      <c r="M3600" t="s">
        <v>11250</v>
      </c>
      <c r="N3600" t="s">
        <v>278</v>
      </c>
      <c r="O3600" t="s">
        <v>134</v>
      </c>
      <c r="P3600" t="s">
        <v>29</v>
      </c>
      <c r="Q3600">
        <v>42</v>
      </c>
      <c r="R3600">
        <v>-93.620800000000003</v>
      </c>
    </row>
    <row r="3601" spans="1:18" x14ac:dyDescent="0.2">
      <c r="A3601" t="s">
        <v>270</v>
      </c>
      <c r="B3601" t="s">
        <v>271</v>
      </c>
      <c r="C3601">
        <v>1</v>
      </c>
      <c r="D3601" s="1">
        <v>44071.975300925929</v>
      </c>
      <c r="E3601" t="s">
        <v>11251</v>
      </c>
      <c r="F3601" t="s">
        <v>273</v>
      </c>
      <c r="G3601" t="s">
        <v>11148</v>
      </c>
      <c r="H3601" t="s">
        <v>275</v>
      </c>
      <c r="I3601" t="s">
        <v>29</v>
      </c>
      <c r="J3601">
        <v>1</v>
      </c>
      <c r="K3601">
        <f>1-888-598-1347</f>
        <v>-2832</v>
      </c>
      <c r="L3601" t="s">
        <v>11252</v>
      </c>
      <c r="M3601" t="s">
        <v>11253</v>
      </c>
      <c r="N3601" t="s">
        <v>278</v>
      </c>
      <c r="O3601" t="s">
        <v>134</v>
      </c>
      <c r="P3601" t="s">
        <v>29</v>
      </c>
      <c r="Q3601">
        <v>42</v>
      </c>
      <c r="R3601">
        <v>-93.620800000000003</v>
      </c>
    </row>
    <row r="3602" spans="1:18" x14ac:dyDescent="0.2">
      <c r="A3602" t="s">
        <v>270</v>
      </c>
      <c r="B3602" t="s">
        <v>271</v>
      </c>
      <c r="C3602">
        <v>1</v>
      </c>
      <c r="D3602" s="1">
        <v>44071.837222222224</v>
      </c>
      <c r="E3602" t="s">
        <v>11254</v>
      </c>
      <c r="F3602" t="s">
        <v>273</v>
      </c>
      <c r="G3602" t="s">
        <v>11148</v>
      </c>
      <c r="H3602" t="s">
        <v>275</v>
      </c>
      <c r="I3602" t="s">
        <v>29</v>
      </c>
      <c r="J3602">
        <v>1</v>
      </c>
      <c r="K3602">
        <f>1-888-650-4670</f>
        <v>-6207</v>
      </c>
      <c r="L3602" t="s">
        <v>11255</v>
      </c>
      <c r="M3602" t="s">
        <v>11256</v>
      </c>
      <c r="N3602" t="s">
        <v>278</v>
      </c>
      <c r="O3602" t="s">
        <v>28</v>
      </c>
      <c r="P3602" t="s">
        <v>29</v>
      </c>
      <c r="Q3602">
        <v>42</v>
      </c>
      <c r="R3602">
        <v>-93.620800000000003</v>
      </c>
    </row>
    <row r="3603" spans="1:18" x14ac:dyDescent="0.2">
      <c r="A3603" t="s">
        <v>270</v>
      </c>
      <c r="B3603" t="s">
        <v>271</v>
      </c>
      <c r="C3603">
        <v>1</v>
      </c>
      <c r="D3603" s="1">
        <v>44070.580729166664</v>
      </c>
      <c r="E3603" t="s">
        <v>11257</v>
      </c>
      <c r="F3603" t="s">
        <v>273</v>
      </c>
      <c r="G3603" t="s">
        <v>11148</v>
      </c>
      <c r="H3603" t="s">
        <v>275</v>
      </c>
      <c r="I3603" t="s">
        <v>29</v>
      </c>
      <c r="J3603">
        <v>1</v>
      </c>
      <c r="K3603">
        <f>1-866-746-1819</f>
        <v>-3430</v>
      </c>
      <c r="L3603" t="s">
        <v>11258</v>
      </c>
      <c r="M3603" t="s">
        <v>11259</v>
      </c>
      <c r="N3603" t="s">
        <v>278</v>
      </c>
      <c r="O3603" t="s">
        <v>134</v>
      </c>
      <c r="P3603" t="s">
        <v>29</v>
      </c>
      <c r="Q3603">
        <v>42</v>
      </c>
      <c r="R3603">
        <v>-93.620800000000003</v>
      </c>
    </row>
    <row r="3604" spans="1:18" x14ac:dyDescent="0.2">
      <c r="A3604" t="s">
        <v>270</v>
      </c>
      <c r="B3604" t="s">
        <v>271</v>
      </c>
      <c r="C3604">
        <v>1</v>
      </c>
      <c r="D3604" s="1">
        <v>44068.052199074074</v>
      </c>
      <c r="E3604" t="s">
        <v>11260</v>
      </c>
      <c r="F3604" t="s">
        <v>273</v>
      </c>
      <c r="G3604" t="s">
        <v>11148</v>
      </c>
      <c r="H3604" t="s">
        <v>275</v>
      </c>
      <c r="I3604" t="s">
        <v>29</v>
      </c>
      <c r="J3604">
        <v>1</v>
      </c>
      <c r="K3604">
        <f>1-888-524-5804</f>
        <v>-7215</v>
      </c>
      <c r="L3604" t="s">
        <v>11261</v>
      </c>
      <c r="M3604" t="s">
        <v>11262</v>
      </c>
      <c r="N3604" t="s">
        <v>278</v>
      </c>
      <c r="O3604" t="s">
        <v>28</v>
      </c>
      <c r="P3604" t="s">
        <v>29</v>
      </c>
      <c r="Q3604">
        <v>42</v>
      </c>
      <c r="R3604">
        <v>-93.620800000000003</v>
      </c>
    </row>
    <row r="3605" spans="1:18" x14ac:dyDescent="0.2">
      <c r="A3605" t="s">
        <v>270</v>
      </c>
      <c r="B3605" t="s">
        <v>271</v>
      </c>
      <c r="C3605">
        <v>1</v>
      </c>
      <c r="D3605" s="1">
        <v>44065.799490740741</v>
      </c>
      <c r="E3605" t="s">
        <v>11263</v>
      </c>
      <c r="F3605" t="s">
        <v>273</v>
      </c>
      <c r="G3605" t="s">
        <v>11148</v>
      </c>
      <c r="H3605" t="s">
        <v>275</v>
      </c>
      <c r="I3605" t="s">
        <v>29</v>
      </c>
      <c r="J3605">
        <v>1</v>
      </c>
      <c r="K3605">
        <f>1-866-209-9111</f>
        <v>-10185</v>
      </c>
      <c r="L3605" t="s">
        <v>11264</v>
      </c>
      <c r="M3605" t="s">
        <v>11265</v>
      </c>
      <c r="N3605" t="s">
        <v>278</v>
      </c>
      <c r="O3605" t="s">
        <v>28</v>
      </c>
      <c r="P3605" t="s">
        <v>29</v>
      </c>
      <c r="Q3605">
        <v>42</v>
      </c>
      <c r="R3605">
        <v>-93.620800000000003</v>
      </c>
    </row>
    <row r="3606" spans="1:18" x14ac:dyDescent="0.2">
      <c r="A3606" t="s">
        <v>270</v>
      </c>
      <c r="B3606" t="s">
        <v>271</v>
      </c>
      <c r="C3606">
        <v>1</v>
      </c>
      <c r="D3606" s="1">
        <v>44065.789143518516</v>
      </c>
      <c r="E3606" t="s">
        <v>11266</v>
      </c>
      <c r="F3606" t="s">
        <v>273</v>
      </c>
      <c r="G3606" t="s">
        <v>11148</v>
      </c>
      <c r="H3606" t="s">
        <v>275</v>
      </c>
      <c r="I3606" t="s">
        <v>29</v>
      </c>
      <c r="J3606">
        <v>1</v>
      </c>
      <c r="K3606">
        <f>1-888-441-3234</f>
        <v>-4562</v>
      </c>
      <c r="L3606" t="s">
        <v>11267</v>
      </c>
      <c r="M3606" t="s">
        <v>11268</v>
      </c>
      <c r="N3606" t="s">
        <v>278</v>
      </c>
      <c r="O3606" t="s">
        <v>134</v>
      </c>
      <c r="P3606" t="s">
        <v>29</v>
      </c>
      <c r="Q3606">
        <v>42</v>
      </c>
      <c r="R3606">
        <v>-93.620800000000003</v>
      </c>
    </row>
    <row r="3607" spans="1:18" x14ac:dyDescent="0.2">
      <c r="A3607" t="s">
        <v>270</v>
      </c>
      <c r="B3607" t="s">
        <v>271</v>
      </c>
      <c r="C3607">
        <v>1</v>
      </c>
      <c r="D3607" s="1">
        <v>44053.298043981478</v>
      </c>
      <c r="E3607" t="s">
        <v>11269</v>
      </c>
      <c r="F3607" t="s">
        <v>273</v>
      </c>
      <c r="G3607" t="s">
        <v>11148</v>
      </c>
      <c r="H3607" t="s">
        <v>275</v>
      </c>
      <c r="I3607" t="s">
        <v>29</v>
      </c>
      <c r="J3607">
        <v>1</v>
      </c>
      <c r="K3607">
        <f>1-866-754-7703</f>
        <v>-9322</v>
      </c>
      <c r="L3607" t="s">
        <v>11270</v>
      </c>
      <c r="M3607" t="s">
        <v>11271</v>
      </c>
      <c r="N3607" t="s">
        <v>278</v>
      </c>
      <c r="O3607" t="s">
        <v>134</v>
      </c>
      <c r="P3607" t="s">
        <v>29</v>
      </c>
      <c r="Q3607">
        <v>42</v>
      </c>
      <c r="R3607">
        <v>-93.620800000000003</v>
      </c>
    </row>
    <row r="3608" spans="1:18" x14ac:dyDescent="0.2">
      <c r="A3608" t="s">
        <v>270</v>
      </c>
      <c r="B3608" t="s">
        <v>271</v>
      </c>
      <c r="C3608">
        <v>1</v>
      </c>
      <c r="D3608" s="1">
        <v>44035.506168981483</v>
      </c>
      <c r="E3608" t="s">
        <v>11272</v>
      </c>
      <c r="F3608" t="s">
        <v>273</v>
      </c>
      <c r="G3608" t="s">
        <v>11148</v>
      </c>
      <c r="H3608" t="s">
        <v>275</v>
      </c>
      <c r="I3608" t="s">
        <v>29</v>
      </c>
      <c r="J3608">
        <v>1</v>
      </c>
      <c r="K3608">
        <f>1-866-479-7382</f>
        <v>-8726</v>
      </c>
      <c r="L3608" t="s">
        <v>11273</v>
      </c>
      <c r="M3608" t="s">
        <v>11274</v>
      </c>
      <c r="N3608" t="s">
        <v>278</v>
      </c>
      <c r="O3608" t="s">
        <v>134</v>
      </c>
      <c r="P3608" t="s">
        <v>29</v>
      </c>
      <c r="Q3608">
        <v>42</v>
      </c>
      <c r="R3608">
        <v>-93.620800000000003</v>
      </c>
    </row>
    <row r="3609" spans="1:18" x14ac:dyDescent="0.2">
      <c r="A3609" t="s">
        <v>270</v>
      </c>
      <c r="B3609" t="s">
        <v>271</v>
      </c>
      <c r="C3609">
        <v>1</v>
      </c>
      <c r="D3609" s="1">
        <v>44034.968460648146</v>
      </c>
      <c r="E3609" t="s">
        <v>11275</v>
      </c>
      <c r="F3609" t="s">
        <v>273</v>
      </c>
      <c r="G3609" t="s">
        <v>11148</v>
      </c>
      <c r="H3609" t="s">
        <v>275</v>
      </c>
      <c r="I3609" t="s">
        <v>29</v>
      </c>
      <c r="J3609">
        <v>1</v>
      </c>
      <c r="K3609">
        <f>1-888-528-115</f>
        <v>-1530</v>
      </c>
      <c r="L3609" t="s">
        <v>11276</v>
      </c>
      <c r="M3609" t="s">
        <v>11277</v>
      </c>
      <c r="N3609" t="s">
        <v>278</v>
      </c>
      <c r="O3609" t="s">
        <v>28</v>
      </c>
      <c r="P3609" t="s">
        <v>29</v>
      </c>
      <c r="Q3609">
        <v>42</v>
      </c>
      <c r="R3609">
        <v>-93.620800000000003</v>
      </c>
    </row>
    <row r="3610" spans="1:18" x14ac:dyDescent="0.2">
      <c r="A3610" t="s">
        <v>6660</v>
      </c>
      <c r="B3610" t="s">
        <v>1412</v>
      </c>
      <c r="C3610">
        <v>1</v>
      </c>
      <c r="D3610" s="1">
        <v>44078.637685185182</v>
      </c>
      <c r="E3610" t="s">
        <v>11278</v>
      </c>
      <c r="F3610" t="s">
        <v>6663</v>
      </c>
      <c r="G3610" t="s">
        <v>11279</v>
      </c>
      <c r="H3610" t="s">
        <v>6665</v>
      </c>
      <c r="I3610" t="s">
        <v>29</v>
      </c>
      <c r="J3610">
        <v>1</v>
      </c>
      <c r="K3610">
        <f>1-1800-592-182</f>
        <v>-2573</v>
      </c>
      <c r="L3610" t="s">
        <v>11280</v>
      </c>
      <c r="M3610" t="s">
        <v>11281</v>
      </c>
      <c r="N3610" t="s">
        <v>452</v>
      </c>
      <c r="O3610" t="s">
        <v>134</v>
      </c>
      <c r="P3610" t="s">
        <v>29</v>
      </c>
      <c r="Q3610">
        <v>41</v>
      </c>
      <c r="R3610">
        <v>-74.172399999999996</v>
      </c>
    </row>
    <row r="3611" spans="1:18" x14ac:dyDescent="0.2">
      <c r="A3611" t="s">
        <v>6660</v>
      </c>
      <c r="B3611" t="s">
        <v>6661</v>
      </c>
      <c r="C3611">
        <v>1</v>
      </c>
      <c r="D3611" s="1">
        <v>44035.811157407406</v>
      </c>
      <c r="E3611" t="s">
        <v>11282</v>
      </c>
      <c r="F3611" t="s">
        <v>6663</v>
      </c>
      <c r="G3611" t="s">
        <v>11279</v>
      </c>
      <c r="H3611" t="s">
        <v>6665</v>
      </c>
      <c r="I3611" t="s">
        <v>29</v>
      </c>
      <c r="J3611">
        <v>1</v>
      </c>
      <c r="K3611">
        <f>1-833-256-2778</f>
        <v>-3866</v>
      </c>
      <c r="L3611" t="s">
        <v>11283</v>
      </c>
      <c r="M3611" t="s">
        <v>11284</v>
      </c>
      <c r="N3611" t="s">
        <v>3305</v>
      </c>
      <c r="O3611" t="s">
        <v>134</v>
      </c>
      <c r="P3611" t="s">
        <v>29</v>
      </c>
      <c r="Q3611">
        <v>36</v>
      </c>
      <c r="R3611">
        <v>-82.551500000000004</v>
      </c>
    </row>
    <row r="3612" spans="1:18" x14ac:dyDescent="0.2">
      <c r="A3612" t="s">
        <v>6660</v>
      </c>
      <c r="B3612" t="s">
        <v>6661</v>
      </c>
      <c r="C3612">
        <v>1</v>
      </c>
      <c r="D3612" s="1">
        <v>44035.761828703704</v>
      </c>
      <c r="E3612" t="s">
        <v>11285</v>
      </c>
      <c r="F3612" t="s">
        <v>6663</v>
      </c>
      <c r="G3612" t="s">
        <v>11279</v>
      </c>
      <c r="H3612" t="s">
        <v>6665</v>
      </c>
      <c r="I3612" t="s">
        <v>29</v>
      </c>
      <c r="J3612">
        <v>1</v>
      </c>
      <c r="K3612">
        <f>1-844-512-9017</f>
        <v>-10372</v>
      </c>
      <c r="L3612" t="s">
        <v>11286</v>
      </c>
      <c r="M3612" t="s">
        <v>11287</v>
      </c>
      <c r="N3612" t="s">
        <v>452</v>
      </c>
      <c r="O3612" t="s">
        <v>134</v>
      </c>
      <c r="P3612" t="s">
        <v>29</v>
      </c>
      <c r="Q3612">
        <v>36</v>
      </c>
      <c r="R3612">
        <v>-82.551500000000004</v>
      </c>
    </row>
    <row r="3613" spans="1:18" x14ac:dyDescent="0.2">
      <c r="A3613" t="s">
        <v>1200</v>
      </c>
      <c r="B3613" t="s">
        <v>1201</v>
      </c>
      <c r="C3613">
        <v>1</v>
      </c>
      <c r="D3613" s="1">
        <v>44043.999201388891</v>
      </c>
      <c r="E3613" t="s">
        <v>11288</v>
      </c>
      <c r="F3613" t="s">
        <v>1203</v>
      </c>
      <c r="G3613" t="s">
        <v>11289</v>
      </c>
      <c r="H3613" t="s">
        <v>1205</v>
      </c>
      <c r="I3613" t="s">
        <v>29</v>
      </c>
      <c r="J3613">
        <v>1</v>
      </c>
      <c r="K3613">
        <f>1-844-997-885</f>
        <v>-2725</v>
      </c>
      <c r="L3613" t="s">
        <v>11290</v>
      </c>
      <c r="M3613" t="s">
        <v>11291</v>
      </c>
      <c r="N3613" t="s">
        <v>5354</v>
      </c>
      <c r="O3613" t="s">
        <v>134</v>
      </c>
      <c r="P3613" t="s">
        <v>29</v>
      </c>
      <c r="Q3613">
        <v>34</v>
      </c>
      <c r="R3613">
        <v>-99.999999000000003</v>
      </c>
    </row>
    <row r="3614" spans="1:18" x14ac:dyDescent="0.2">
      <c r="A3614" t="s">
        <v>1200</v>
      </c>
      <c r="B3614" t="s">
        <v>1201</v>
      </c>
      <c r="C3614">
        <v>1</v>
      </c>
      <c r="D3614" s="1">
        <v>44042.816724537035</v>
      </c>
      <c r="E3614" t="s">
        <v>11292</v>
      </c>
      <c r="F3614" t="s">
        <v>1203</v>
      </c>
      <c r="G3614" t="s">
        <v>11289</v>
      </c>
      <c r="H3614" t="s">
        <v>1205</v>
      </c>
      <c r="I3614" t="s">
        <v>29</v>
      </c>
      <c r="J3614">
        <v>1</v>
      </c>
      <c r="K3614">
        <f>1-844-725-3304</f>
        <v>-4872</v>
      </c>
      <c r="L3614" t="s">
        <v>11293</v>
      </c>
      <c r="M3614" t="s">
        <v>11294</v>
      </c>
      <c r="N3614" t="s">
        <v>5354</v>
      </c>
      <c r="O3614" t="s">
        <v>134</v>
      </c>
      <c r="P3614" t="s">
        <v>29</v>
      </c>
      <c r="Q3614">
        <v>34</v>
      </c>
      <c r="R3614">
        <v>-99.999999000000003</v>
      </c>
    </row>
    <row r="3615" spans="1:18" x14ac:dyDescent="0.2">
      <c r="A3615" t="s">
        <v>1200</v>
      </c>
      <c r="B3615" t="s">
        <v>1201</v>
      </c>
      <c r="C3615">
        <v>1</v>
      </c>
      <c r="D3615" s="1">
        <v>44041.101620370369</v>
      </c>
      <c r="E3615" t="s">
        <v>11288</v>
      </c>
      <c r="F3615" t="s">
        <v>1203</v>
      </c>
      <c r="G3615" t="s">
        <v>11289</v>
      </c>
      <c r="H3615" t="s">
        <v>1205</v>
      </c>
      <c r="I3615" t="s">
        <v>29</v>
      </c>
      <c r="J3615">
        <v>1</v>
      </c>
      <c r="K3615">
        <f>1-844-534-596</f>
        <v>-1973</v>
      </c>
      <c r="L3615" t="s">
        <v>11295</v>
      </c>
      <c r="M3615" t="s">
        <v>11296</v>
      </c>
      <c r="N3615" t="s">
        <v>5354</v>
      </c>
      <c r="O3615" t="s">
        <v>134</v>
      </c>
      <c r="P3615" t="s">
        <v>29</v>
      </c>
      <c r="Q3615">
        <v>34</v>
      </c>
      <c r="R3615">
        <v>-99.999999000000003</v>
      </c>
    </row>
    <row r="3616" spans="1:18" x14ac:dyDescent="0.2">
      <c r="A3616" t="s">
        <v>1200</v>
      </c>
      <c r="B3616" t="s">
        <v>1201</v>
      </c>
      <c r="C3616">
        <v>1</v>
      </c>
      <c r="D3616" s="1">
        <v>44035.808298611111</v>
      </c>
      <c r="E3616" t="s">
        <v>11297</v>
      </c>
      <c r="F3616" t="s">
        <v>1203</v>
      </c>
      <c r="G3616" t="s">
        <v>11289</v>
      </c>
      <c r="H3616" t="s">
        <v>1205</v>
      </c>
      <c r="I3616" t="s">
        <v>29</v>
      </c>
      <c r="J3616">
        <v>1</v>
      </c>
      <c r="K3616">
        <f>1-844-910-2037</f>
        <v>-3790</v>
      </c>
      <c r="L3616" t="s">
        <v>11298</v>
      </c>
      <c r="M3616" t="s">
        <v>11299</v>
      </c>
      <c r="N3616" t="s">
        <v>5354</v>
      </c>
      <c r="O3616" t="s">
        <v>134</v>
      </c>
      <c r="P3616" t="s">
        <v>29</v>
      </c>
      <c r="Q3616">
        <v>34</v>
      </c>
      <c r="R3616">
        <v>-99.999999000000003</v>
      </c>
    </row>
    <row r="3617" spans="1:18" x14ac:dyDescent="0.2">
      <c r="A3617" t="s">
        <v>439</v>
      </c>
      <c r="B3617" t="s">
        <v>440</v>
      </c>
      <c r="C3617">
        <v>1</v>
      </c>
      <c r="D3617" s="1">
        <v>44035.82068287037</v>
      </c>
      <c r="E3617" t="s">
        <v>11300</v>
      </c>
      <c r="F3617" t="s">
        <v>442</v>
      </c>
      <c r="G3617" t="s">
        <v>11301</v>
      </c>
      <c r="H3617" t="s">
        <v>444</v>
      </c>
      <c r="I3617" t="s">
        <v>29</v>
      </c>
      <c r="J3617">
        <v>1</v>
      </c>
      <c r="K3617">
        <f>1-844-900-923</f>
        <v>-2666</v>
      </c>
      <c r="L3617" t="s">
        <v>11302</v>
      </c>
      <c r="M3617" t="s">
        <v>11303</v>
      </c>
      <c r="N3617" t="s">
        <v>213</v>
      </c>
      <c r="O3617" t="s">
        <v>28</v>
      </c>
      <c r="P3617" t="s">
        <v>29</v>
      </c>
      <c r="Q3617">
        <v>39</v>
      </c>
      <c r="R3617">
        <v>-77.487399999999994</v>
      </c>
    </row>
    <row r="3618" spans="1:18" x14ac:dyDescent="0.2">
      <c r="A3618" t="s">
        <v>6660</v>
      </c>
      <c r="B3618" t="s">
        <v>11304</v>
      </c>
      <c r="C3618">
        <v>65</v>
      </c>
      <c r="D3618" s="1">
        <v>44080.71607638889</v>
      </c>
      <c r="E3618" t="s">
        <v>11305</v>
      </c>
      <c r="F3618" t="s">
        <v>11306</v>
      </c>
      <c r="G3618" t="s">
        <v>11307</v>
      </c>
      <c r="H3618" t="s">
        <v>6665</v>
      </c>
      <c r="I3618" t="s">
        <v>2500</v>
      </c>
      <c r="J3618">
        <v>65</v>
      </c>
      <c r="K3618">
        <f>65-65-3138-8687</f>
        <v>-11825</v>
      </c>
      <c r="L3618" t="s">
        <v>11308</v>
      </c>
      <c r="M3618" t="s">
        <v>11309</v>
      </c>
      <c r="N3618" t="s">
        <v>452</v>
      </c>
      <c r="O3618" t="s">
        <v>134</v>
      </c>
      <c r="P3618" t="s">
        <v>29</v>
      </c>
      <c r="Q3618">
        <v>35</v>
      </c>
      <c r="R3618">
        <v>-82.394000000000005</v>
      </c>
    </row>
    <row r="3619" spans="1:18" x14ac:dyDescent="0.2">
      <c r="A3619" t="s">
        <v>6660</v>
      </c>
      <c r="B3619" t="s">
        <v>11304</v>
      </c>
      <c r="C3619">
        <v>1</v>
      </c>
      <c r="D3619" s="1">
        <v>44047.841585648152</v>
      </c>
      <c r="E3619" t="s">
        <v>11310</v>
      </c>
      <c r="F3619" t="s">
        <v>11306</v>
      </c>
      <c r="G3619" t="s">
        <v>11307</v>
      </c>
      <c r="H3619" t="s">
        <v>6665</v>
      </c>
      <c r="I3619" t="s">
        <v>29</v>
      </c>
      <c r="J3619">
        <v>1</v>
      </c>
      <c r="K3619">
        <f>1-844-928-1132</f>
        <v>-2903</v>
      </c>
      <c r="L3619" t="s">
        <v>11311</v>
      </c>
      <c r="M3619" t="s">
        <v>11312</v>
      </c>
      <c r="N3619" t="s">
        <v>674</v>
      </c>
      <c r="O3619" t="s">
        <v>134</v>
      </c>
      <c r="P3619" t="s">
        <v>29</v>
      </c>
      <c r="Q3619">
        <v>35</v>
      </c>
      <c r="R3619">
        <v>-82.394000000000005</v>
      </c>
    </row>
    <row r="3620" spans="1:18" x14ac:dyDescent="0.2">
      <c r="A3620" t="s">
        <v>6660</v>
      </c>
      <c r="B3620" t="s">
        <v>11304</v>
      </c>
      <c r="C3620">
        <v>1</v>
      </c>
      <c r="D3620" s="1">
        <v>44035.83016203704</v>
      </c>
      <c r="E3620" t="s">
        <v>11313</v>
      </c>
      <c r="F3620" t="s">
        <v>11306</v>
      </c>
      <c r="G3620" t="s">
        <v>11307</v>
      </c>
      <c r="H3620" t="s">
        <v>6665</v>
      </c>
      <c r="I3620" t="s">
        <v>29</v>
      </c>
      <c r="J3620">
        <v>1</v>
      </c>
      <c r="K3620">
        <f>1-844-989-1230</f>
        <v>-3062</v>
      </c>
      <c r="L3620" t="s">
        <v>11314</v>
      </c>
      <c r="M3620" t="s">
        <v>11315</v>
      </c>
      <c r="N3620" t="s">
        <v>452</v>
      </c>
      <c r="O3620" t="s">
        <v>134</v>
      </c>
      <c r="P3620" t="s">
        <v>29</v>
      </c>
      <c r="Q3620">
        <v>35</v>
      </c>
      <c r="R3620">
        <v>-82.394000000000005</v>
      </c>
    </row>
    <row r="3621" spans="1:18" x14ac:dyDescent="0.2">
      <c r="A3621" t="s">
        <v>663</v>
      </c>
      <c r="B3621" t="s">
        <v>2493</v>
      </c>
      <c r="C3621">
        <v>1</v>
      </c>
      <c r="D3621" s="1">
        <v>44035.834363425929</v>
      </c>
      <c r="E3621" t="s">
        <v>11316</v>
      </c>
      <c r="F3621" t="s">
        <v>666</v>
      </c>
      <c r="G3621" t="s">
        <v>11316</v>
      </c>
      <c r="H3621" t="s">
        <v>667</v>
      </c>
      <c r="I3621" t="s">
        <v>29</v>
      </c>
      <c r="J3621">
        <v>1</v>
      </c>
      <c r="K3621">
        <f>1-833-534-8420</f>
        <v>-9786</v>
      </c>
      <c r="L3621" t="s">
        <v>11317</v>
      </c>
      <c r="M3621" t="s">
        <v>11318</v>
      </c>
      <c r="N3621">
        <v>225</v>
      </c>
      <c r="O3621" t="s">
        <v>134</v>
      </c>
      <c r="P3621" t="s">
        <v>29</v>
      </c>
      <c r="Q3621">
        <v>41</v>
      </c>
      <c r="R3621">
        <v>-74.024699999999996</v>
      </c>
    </row>
    <row r="3622" spans="1:18" x14ac:dyDescent="0.2">
      <c r="A3622" t="s">
        <v>663</v>
      </c>
      <c r="B3622" t="s">
        <v>3385</v>
      </c>
      <c r="C3622">
        <v>1</v>
      </c>
      <c r="D3622" s="1">
        <v>44035.975081018521</v>
      </c>
      <c r="E3622" t="s">
        <v>11319</v>
      </c>
      <c r="F3622" t="s">
        <v>666</v>
      </c>
      <c r="G3622" t="s">
        <v>11319</v>
      </c>
      <c r="H3622" t="s">
        <v>667</v>
      </c>
      <c r="I3622" t="s">
        <v>29</v>
      </c>
      <c r="J3622">
        <v>1</v>
      </c>
      <c r="K3622">
        <f>1-844-334-5353</f>
        <v>-6530</v>
      </c>
      <c r="L3622" t="s">
        <v>11320</v>
      </c>
      <c r="M3622" t="s">
        <v>11321</v>
      </c>
      <c r="N3622">
        <v>36</v>
      </c>
      <c r="O3622" t="s">
        <v>134</v>
      </c>
      <c r="P3622" t="s">
        <v>29</v>
      </c>
      <c r="Q3622">
        <v>41</v>
      </c>
      <c r="R3622">
        <v>-74.006600000000006</v>
      </c>
    </row>
    <row r="3623" spans="1:18" x14ac:dyDescent="0.2">
      <c r="A3623" t="s">
        <v>663</v>
      </c>
      <c r="B3623" t="s">
        <v>3245</v>
      </c>
      <c r="C3623">
        <v>44</v>
      </c>
      <c r="D3623" s="1">
        <v>44036.771273148152</v>
      </c>
      <c r="E3623" t="s">
        <v>11322</v>
      </c>
      <c r="F3623" t="s">
        <v>666</v>
      </c>
      <c r="G3623" t="s">
        <v>11322</v>
      </c>
      <c r="H3623" t="s">
        <v>667</v>
      </c>
      <c r="I3623" t="s">
        <v>618</v>
      </c>
      <c r="J3623">
        <v>44</v>
      </c>
      <c r="K3623">
        <f>44-800-51-3726</f>
        <v>-4533</v>
      </c>
      <c r="L3623" t="s">
        <v>11323</v>
      </c>
      <c r="M3623" t="s">
        <v>11324</v>
      </c>
      <c r="N3623">
        <v>120</v>
      </c>
      <c r="O3623" t="s">
        <v>134</v>
      </c>
      <c r="P3623" t="s">
        <v>29</v>
      </c>
      <c r="Q3623">
        <v>41</v>
      </c>
      <c r="R3623">
        <v>-74.140299999999996</v>
      </c>
    </row>
    <row r="3624" spans="1:18" x14ac:dyDescent="0.2">
      <c r="A3624" t="s">
        <v>663</v>
      </c>
      <c r="B3624" t="s">
        <v>3245</v>
      </c>
      <c r="C3624">
        <v>61</v>
      </c>
      <c r="D3624" s="1">
        <v>44036.605752314812</v>
      </c>
      <c r="E3624" t="s">
        <v>11325</v>
      </c>
      <c r="F3624" t="s">
        <v>666</v>
      </c>
      <c r="G3624" t="s">
        <v>11322</v>
      </c>
      <c r="H3624" t="s">
        <v>667</v>
      </c>
      <c r="I3624" t="s">
        <v>782</v>
      </c>
      <c r="J3624">
        <v>61</v>
      </c>
      <c r="K3624">
        <f>61-800-51-3726</f>
        <v>-4516</v>
      </c>
      <c r="L3624" t="s">
        <v>11326</v>
      </c>
      <c r="M3624" t="s">
        <v>11327</v>
      </c>
      <c r="N3624" t="s">
        <v>1645</v>
      </c>
      <c r="O3624" t="s">
        <v>28</v>
      </c>
      <c r="P3624" t="s">
        <v>29</v>
      </c>
      <c r="Q3624">
        <v>41</v>
      </c>
      <c r="R3624">
        <v>-74.140299999999996</v>
      </c>
    </row>
    <row r="3625" spans="1:18" x14ac:dyDescent="0.2">
      <c r="A3625" t="s">
        <v>663</v>
      </c>
      <c r="B3625" t="s">
        <v>3385</v>
      </c>
      <c r="C3625">
        <v>43</v>
      </c>
      <c r="D3625" s="1">
        <v>44036.606319444443</v>
      </c>
      <c r="E3625" t="s">
        <v>11328</v>
      </c>
      <c r="F3625" t="s">
        <v>666</v>
      </c>
      <c r="G3625" t="s">
        <v>11329</v>
      </c>
      <c r="H3625" t="s">
        <v>667</v>
      </c>
      <c r="I3625" t="s">
        <v>3432</v>
      </c>
      <c r="J3625">
        <v>43</v>
      </c>
      <c r="K3625">
        <f>43-670-308-150</f>
        <v>-1085</v>
      </c>
      <c r="L3625" t="s">
        <v>11330</v>
      </c>
      <c r="M3625" t="s">
        <v>11331</v>
      </c>
      <c r="N3625" t="s">
        <v>213</v>
      </c>
      <c r="O3625" t="s">
        <v>28</v>
      </c>
      <c r="P3625" t="s">
        <v>29</v>
      </c>
      <c r="Q3625">
        <v>41</v>
      </c>
      <c r="R3625">
        <v>-74.006600000000006</v>
      </c>
    </row>
    <row r="3626" spans="1:18" x14ac:dyDescent="0.2">
      <c r="A3626" t="s">
        <v>663</v>
      </c>
      <c r="B3626" t="s">
        <v>3385</v>
      </c>
      <c r="C3626">
        <v>47</v>
      </c>
      <c r="D3626" s="1">
        <v>44036.772557870368</v>
      </c>
      <c r="E3626" t="s">
        <v>11332</v>
      </c>
      <c r="F3626" t="s">
        <v>666</v>
      </c>
      <c r="G3626" t="s">
        <v>11332</v>
      </c>
      <c r="H3626" t="s">
        <v>667</v>
      </c>
      <c r="I3626" t="s">
        <v>6185</v>
      </c>
      <c r="J3626">
        <v>47</v>
      </c>
      <c r="K3626">
        <f>47-800-62-628</f>
        <v>-1443</v>
      </c>
      <c r="L3626" t="s">
        <v>11333</v>
      </c>
      <c r="M3626" t="s">
        <v>11334</v>
      </c>
      <c r="N3626">
        <v>27</v>
      </c>
      <c r="O3626" t="s">
        <v>134</v>
      </c>
      <c r="P3626" t="s">
        <v>29</v>
      </c>
      <c r="Q3626">
        <v>41</v>
      </c>
      <c r="R3626">
        <v>-73.996600000000001</v>
      </c>
    </row>
    <row r="3627" spans="1:18" x14ac:dyDescent="0.2">
      <c r="A3627" t="s">
        <v>663</v>
      </c>
      <c r="B3627" t="s">
        <v>3385</v>
      </c>
      <c r="C3627">
        <v>1</v>
      </c>
      <c r="D3627" s="1">
        <v>44036.606435185182</v>
      </c>
      <c r="E3627" t="s">
        <v>11335</v>
      </c>
      <c r="F3627" t="s">
        <v>666</v>
      </c>
      <c r="G3627" t="s">
        <v>11332</v>
      </c>
      <c r="H3627" t="s">
        <v>667</v>
      </c>
      <c r="I3627" t="s">
        <v>29</v>
      </c>
      <c r="J3627">
        <v>1</v>
      </c>
      <c r="K3627">
        <f>1-47-800-62-628</f>
        <v>-1536</v>
      </c>
      <c r="L3627" t="s">
        <v>11336</v>
      </c>
      <c r="M3627" t="s">
        <v>11337</v>
      </c>
      <c r="N3627" t="s">
        <v>2475</v>
      </c>
      <c r="O3627" t="s">
        <v>28</v>
      </c>
      <c r="P3627" t="s">
        <v>29</v>
      </c>
      <c r="Q3627">
        <v>41</v>
      </c>
      <c r="R3627">
        <v>-73.996600000000001</v>
      </c>
    </row>
    <row r="3628" spans="1:18" x14ac:dyDescent="0.2">
      <c r="A3628" t="s">
        <v>439</v>
      </c>
      <c r="B3628" t="s">
        <v>440</v>
      </c>
      <c r="C3628">
        <v>81</v>
      </c>
      <c r="D3628" s="1">
        <v>44036.607430555552</v>
      </c>
      <c r="E3628" t="s">
        <v>11338</v>
      </c>
      <c r="F3628" t="s">
        <v>442</v>
      </c>
      <c r="G3628" t="s">
        <v>11339</v>
      </c>
      <c r="H3628" t="s">
        <v>444</v>
      </c>
      <c r="I3628" t="s">
        <v>53</v>
      </c>
      <c r="J3628">
        <v>81</v>
      </c>
      <c r="K3628">
        <f>81-50-5809-3115</f>
        <v>-8893</v>
      </c>
      <c r="L3628" t="s">
        <v>11340</v>
      </c>
      <c r="M3628" t="s">
        <v>11341</v>
      </c>
      <c r="N3628" t="s">
        <v>213</v>
      </c>
      <c r="O3628" t="s">
        <v>28</v>
      </c>
      <c r="P3628" t="s">
        <v>29</v>
      </c>
      <c r="Q3628">
        <v>39</v>
      </c>
      <c r="R3628">
        <v>-77.487399999999994</v>
      </c>
    </row>
    <row r="3629" spans="1:18" x14ac:dyDescent="0.2">
      <c r="A3629" t="s">
        <v>663</v>
      </c>
      <c r="B3629" t="s">
        <v>3385</v>
      </c>
      <c r="C3629">
        <v>43</v>
      </c>
      <c r="D3629" s="1">
        <v>44036.77815972222</v>
      </c>
      <c r="E3629" t="s">
        <v>11342</v>
      </c>
      <c r="F3629" t="s">
        <v>666</v>
      </c>
      <c r="G3629" t="s">
        <v>11342</v>
      </c>
      <c r="H3629" t="s">
        <v>667</v>
      </c>
      <c r="I3629" t="s">
        <v>3432</v>
      </c>
      <c r="J3629">
        <v>43</v>
      </c>
      <c r="K3629">
        <f>43-670-308-150</f>
        <v>-1085</v>
      </c>
      <c r="L3629" t="s">
        <v>11343</v>
      </c>
      <c r="M3629" t="s">
        <v>11344</v>
      </c>
      <c r="N3629">
        <v>181</v>
      </c>
      <c r="O3629" t="s">
        <v>134</v>
      </c>
      <c r="P3629" t="s">
        <v>29</v>
      </c>
      <c r="Q3629">
        <v>41</v>
      </c>
      <c r="R3629">
        <v>-73.996600000000001</v>
      </c>
    </row>
    <row r="3630" spans="1:18" x14ac:dyDescent="0.2">
      <c r="A3630" t="s">
        <v>663</v>
      </c>
      <c r="B3630" t="s">
        <v>3385</v>
      </c>
      <c r="C3630">
        <v>43</v>
      </c>
      <c r="D3630" s="1">
        <v>44036.722673611112</v>
      </c>
      <c r="E3630" t="s">
        <v>11345</v>
      </c>
      <c r="F3630" t="s">
        <v>666</v>
      </c>
      <c r="G3630" t="s">
        <v>11342</v>
      </c>
      <c r="H3630" t="s">
        <v>667</v>
      </c>
      <c r="I3630" t="s">
        <v>3432</v>
      </c>
      <c r="J3630">
        <v>43</v>
      </c>
      <c r="K3630">
        <f>43-670-308-150</f>
        <v>-1085</v>
      </c>
      <c r="L3630" t="s">
        <v>11346</v>
      </c>
      <c r="M3630" t="s">
        <v>11347</v>
      </c>
      <c r="N3630" t="s">
        <v>3454</v>
      </c>
      <c r="O3630" t="s">
        <v>28</v>
      </c>
      <c r="P3630" t="s">
        <v>29</v>
      </c>
      <c r="Q3630">
        <v>41</v>
      </c>
      <c r="R3630">
        <v>-73.996600000000001</v>
      </c>
    </row>
    <row r="3631" spans="1:18" x14ac:dyDescent="0.2">
      <c r="A3631" t="s">
        <v>663</v>
      </c>
      <c r="B3631" t="s">
        <v>2493</v>
      </c>
      <c r="C3631">
        <v>1</v>
      </c>
      <c r="D3631" s="1">
        <v>44036.961562500001</v>
      </c>
      <c r="E3631" t="s">
        <v>11348</v>
      </c>
      <c r="F3631" t="s">
        <v>666</v>
      </c>
      <c r="G3631" t="s">
        <v>11349</v>
      </c>
      <c r="H3631" t="s">
        <v>667</v>
      </c>
      <c r="I3631" t="s">
        <v>29</v>
      </c>
      <c r="J3631">
        <v>1</v>
      </c>
      <c r="K3631">
        <f>1-844-979-3303</f>
        <v>-5125</v>
      </c>
      <c r="L3631" t="s">
        <v>11350</v>
      </c>
      <c r="M3631" t="s">
        <v>11351</v>
      </c>
      <c r="N3631" t="s">
        <v>278</v>
      </c>
      <c r="O3631" t="s">
        <v>134</v>
      </c>
      <c r="P3631" t="s">
        <v>29</v>
      </c>
      <c r="Q3631">
        <v>41</v>
      </c>
      <c r="R3631">
        <v>-74.024699999999996</v>
      </c>
    </row>
    <row r="3632" spans="1:18" x14ac:dyDescent="0.2">
      <c r="A3632" t="s">
        <v>663</v>
      </c>
      <c r="B3632" t="s">
        <v>2493</v>
      </c>
      <c r="C3632">
        <v>1</v>
      </c>
      <c r="D3632" s="1">
        <v>44036.961504629631</v>
      </c>
      <c r="E3632" t="s">
        <v>11352</v>
      </c>
      <c r="F3632" t="s">
        <v>666</v>
      </c>
      <c r="G3632" t="s">
        <v>11349</v>
      </c>
      <c r="H3632" t="s">
        <v>667</v>
      </c>
      <c r="I3632" t="s">
        <v>29</v>
      </c>
      <c r="J3632">
        <v>1</v>
      </c>
      <c r="K3632">
        <f>1-844-979-3303</f>
        <v>-5125</v>
      </c>
      <c r="L3632" t="s">
        <v>11353</v>
      </c>
      <c r="M3632" t="s">
        <v>11354</v>
      </c>
      <c r="N3632" t="s">
        <v>278</v>
      </c>
      <c r="O3632" t="s">
        <v>134</v>
      </c>
      <c r="P3632" t="s">
        <v>29</v>
      </c>
      <c r="Q3632">
        <v>41</v>
      </c>
      <c r="R3632">
        <v>-74.024699999999996</v>
      </c>
    </row>
    <row r="3633" spans="1:18" x14ac:dyDescent="0.2">
      <c r="A3633" t="s">
        <v>663</v>
      </c>
      <c r="B3633" t="s">
        <v>2493</v>
      </c>
      <c r="C3633">
        <v>1</v>
      </c>
      <c r="D3633" s="1">
        <v>44036.952974537038</v>
      </c>
      <c r="E3633" t="s">
        <v>11355</v>
      </c>
      <c r="F3633" t="s">
        <v>666</v>
      </c>
      <c r="G3633" t="s">
        <v>11349</v>
      </c>
      <c r="H3633" t="s">
        <v>667</v>
      </c>
      <c r="I3633" t="s">
        <v>29</v>
      </c>
      <c r="J3633">
        <v>1</v>
      </c>
      <c r="K3633">
        <f>1-844-938-3383</f>
        <v>-5164</v>
      </c>
      <c r="L3633" t="s">
        <v>11356</v>
      </c>
      <c r="M3633" t="s">
        <v>11357</v>
      </c>
      <c r="N3633" t="s">
        <v>5354</v>
      </c>
      <c r="O3633" t="s">
        <v>134</v>
      </c>
      <c r="P3633" t="s">
        <v>29</v>
      </c>
      <c r="Q3633">
        <v>41</v>
      </c>
      <c r="R3633">
        <v>-74.024699999999996</v>
      </c>
    </row>
    <row r="3634" spans="1:18" x14ac:dyDescent="0.2">
      <c r="A3634" t="s">
        <v>663</v>
      </c>
      <c r="B3634" t="s">
        <v>2493</v>
      </c>
      <c r="C3634">
        <v>1</v>
      </c>
      <c r="D3634" s="1">
        <v>44036.952094907407</v>
      </c>
      <c r="E3634" t="s">
        <v>11358</v>
      </c>
      <c r="F3634" t="s">
        <v>666</v>
      </c>
      <c r="G3634" t="s">
        <v>11349</v>
      </c>
      <c r="H3634" t="s">
        <v>667</v>
      </c>
      <c r="I3634" t="s">
        <v>29</v>
      </c>
      <c r="J3634">
        <v>1</v>
      </c>
      <c r="K3634">
        <f>1-844-979-3303</f>
        <v>-5125</v>
      </c>
      <c r="L3634" t="s">
        <v>11359</v>
      </c>
      <c r="M3634" t="s">
        <v>11360</v>
      </c>
      <c r="N3634" t="s">
        <v>278</v>
      </c>
      <c r="O3634" t="s">
        <v>134</v>
      </c>
      <c r="P3634" t="s">
        <v>29</v>
      </c>
      <c r="Q3634">
        <v>41</v>
      </c>
      <c r="R3634">
        <v>-74.024699999999996</v>
      </c>
    </row>
    <row r="3635" spans="1:18" x14ac:dyDescent="0.2">
      <c r="A3635" t="s">
        <v>663</v>
      </c>
      <c r="B3635" t="s">
        <v>2493</v>
      </c>
      <c r="C3635">
        <v>1</v>
      </c>
      <c r="D3635" s="1">
        <v>44036.949745370373</v>
      </c>
      <c r="E3635" t="s">
        <v>11361</v>
      </c>
      <c r="F3635" t="s">
        <v>666</v>
      </c>
      <c r="G3635" t="s">
        <v>11349</v>
      </c>
      <c r="H3635" t="s">
        <v>667</v>
      </c>
      <c r="I3635" t="s">
        <v>29</v>
      </c>
      <c r="J3635">
        <v>1</v>
      </c>
      <c r="K3635">
        <f>1-844-938-3383</f>
        <v>-5164</v>
      </c>
      <c r="L3635" t="s">
        <v>11362</v>
      </c>
      <c r="M3635" t="s">
        <v>11363</v>
      </c>
      <c r="N3635" t="s">
        <v>278</v>
      </c>
      <c r="O3635" t="s">
        <v>134</v>
      </c>
      <c r="P3635" t="s">
        <v>29</v>
      </c>
      <c r="Q3635">
        <v>41</v>
      </c>
      <c r="R3635">
        <v>-74.024699999999996</v>
      </c>
    </row>
    <row r="3636" spans="1:18" x14ac:dyDescent="0.2">
      <c r="A3636" t="s">
        <v>663</v>
      </c>
      <c r="B3636" t="s">
        <v>2493</v>
      </c>
      <c r="C3636">
        <v>1</v>
      </c>
      <c r="D3636" s="1">
        <v>44036.948946759258</v>
      </c>
      <c r="E3636" t="s">
        <v>11364</v>
      </c>
      <c r="F3636" t="s">
        <v>666</v>
      </c>
      <c r="G3636" t="s">
        <v>11349</v>
      </c>
      <c r="H3636" t="s">
        <v>667</v>
      </c>
      <c r="I3636" t="s">
        <v>29</v>
      </c>
      <c r="J3636">
        <v>1</v>
      </c>
      <c r="K3636">
        <f>1-844-979-3303</f>
        <v>-5125</v>
      </c>
      <c r="L3636" t="s">
        <v>11365</v>
      </c>
      <c r="M3636" t="s">
        <v>11366</v>
      </c>
      <c r="N3636" t="s">
        <v>278</v>
      </c>
      <c r="O3636" t="s">
        <v>134</v>
      </c>
      <c r="P3636" t="s">
        <v>29</v>
      </c>
      <c r="Q3636">
        <v>41</v>
      </c>
      <c r="R3636">
        <v>-74.024699999999996</v>
      </c>
    </row>
    <row r="3637" spans="1:18" x14ac:dyDescent="0.2">
      <c r="A3637" t="s">
        <v>663</v>
      </c>
      <c r="B3637" t="s">
        <v>2493</v>
      </c>
      <c r="C3637">
        <v>1</v>
      </c>
      <c r="D3637" s="1">
        <v>44036.94872685185</v>
      </c>
      <c r="E3637" t="s">
        <v>11367</v>
      </c>
      <c r="F3637" t="s">
        <v>666</v>
      </c>
      <c r="G3637" t="s">
        <v>11349</v>
      </c>
      <c r="H3637" t="s">
        <v>667</v>
      </c>
      <c r="I3637" t="s">
        <v>29</v>
      </c>
      <c r="J3637">
        <v>1</v>
      </c>
      <c r="K3637">
        <f>1-844-979-3303</f>
        <v>-5125</v>
      </c>
      <c r="L3637" t="s">
        <v>11368</v>
      </c>
      <c r="M3637" t="s">
        <v>11369</v>
      </c>
      <c r="N3637" t="s">
        <v>278</v>
      </c>
      <c r="O3637" t="s">
        <v>134</v>
      </c>
      <c r="P3637" t="s">
        <v>29</v>
      </c>
      <c r="Q3637">
        <v>41</v>
      </c>
      <c r="R3637">
        <v>-74.024699999999996</v>
      </c>
    </row>
    <row r="3638" spans="1:18" x14ac:dyDescent="0.2">
      <c r="A3638" t="s">
        <v>663</v>
      </c>
      <c r="B3638" t="s">
        <v>2493</v>
      </c>
      <c r="C3638">
        <v>1</v>
      </c>
      <c r="D3638" s="1">
        <v>44036.948587962965</v>
      </c>
      <c r="E3638" t="s">
        <v>11370</v>
      </c>
      <c r="F3638" t="s">
        <v>666</v>
      </c>
      <c r="G3638" t="s">
        <v>11349</v>
      </c>
      <c r="H3638" t="s">
        <v>667</v>
      </c>
      <c r="I3638" t="s">
        <v>29</v>
      </c>
      <c r="J3638">
        <v>1</v>
      </c>
      <c r="K3638">
        <f>1-844-979-3303</f>
        <v>-5125</v>
      </c>
      <c r="L3638" t="s">
        <v>11371</v>
      </c>
      <c r="M3638" t="s">
        <v>11372</v>
      </c>
      <c r="N3638" t="s">
        <v>278</v>
      </c>
      <c r="O3638" t="s">
        <v>134</v>
      </c>
      <c r="P3638" t="s">
        <v>29</v>
      </c>
      <c r="Q3638">
        <v>41</v>
      </c>
      <c r="R3638">
        <v>-74.024699999999996</v>
      </c>
    </row>
    <row r="3639" spans="1:18" x14ac:dyDescent="0.2">
      <c r="A3639" t="s">
        <v>663</v>
      </c>
      <c r="B3639" t="s">
        <v>2493</v>
      </c>
      <c r="C3639">
        <v>1</v>
      </c>
      <c r="D3639" s="1">
        <v>44036.948425925926</v>
      </c>
      <c r="E3639" t="s">
        <v>11373</v>
      </c>
      <c r="F3639" t="s">
        <v>666</v>
      </c>
      <c r="G3639" t="s">
        <v>11349</v>
      </c>
      <c r="H3639" t="s">
        <v>667</v>
      </c>
      <c r="I3639" t="s">
        <v>29</v>
      </c>
      <c r="J3639">
        <v>1</v>
      </c>
      <c r="K3639">
        <f>1-844-979-3303</f>
        <v>-5125</v>
      </c>
      <c r="L3639" t="s">
        <v>11374</v>
      </c>
      <c r="M3639" t="s">
        <v>11375</v>
      </c>
      <c r="N3639" t="s">
        <v>5354</v>
      </c>
      <c r="O3639" t="s">
        <v>134</v>
      </c>
      <c r="P3639" t="s">
        <v>29</v>
      </c>
      <c r="Q3639">
        <v>41</v>
      </c>
      <c r="R3639">
        <v>-74.024699999999996</v>
      </c>
    </row>
    <row r="3640" spans="1:18" x14ac:dyDescent="0.2">
      <c r="A3640" t="s">
        <v>663</v>
      </c>
      <c r="B3640" t="s">
        <v>2493</v>
      </c>
      <c r="C3640">
        <v>1</v>
      </c>
      <c r="D3640" s="1">
        <v>44036.948067129626</v>
      </c>
      <c r="E3640" t="s">
        <v>11349</v>
      </c>
      <c r="F3640" t="s">
        <v>666</v>
      </c>
      <c r="G3640" t="s">
        <v>11349</v>
      </c>
      <c r="H3640" t="s">
        <v>667</v>
      </c>
      <c r="I3640" t="s">
        <v>29</v>
      </c>
      <c r="J3640">
        <v>1</v>
      </c>
      <c r="K3640">
        <f>1-844-979-3303</f>
        <v>-5125</v>
      </c>
      <c r="L3640" t="s">
        <v>11376</v>
      </c>
      <c r="M3640" t="s">
        <v>11377</v>
      </c>
      <c r="N3640">
        <v>245</v>
      </c>
      <c r="O3640" t="s">
        <v>134</v>
      </c>
      <c r="P3640" t="s">
        <v>29</v>
      </c>
      <c r="Q3640">
        <v>41</v>
      </c>
      <c r="R3640">
        <v>-74.024699999999996</v>
      </c>
    </row>
    <row r="3641" spans="1:18" x14ac:dyDescent="0.2">
      <c r="A3641" t="s">
        <v>663</v>
      </c>
      <c r="B3641" t="s">
        <v>2493</v>
      </c>
      <c r="C3641">
        <v>1</v>
      </c>
      <c r="D3641" s="1">
        <v>44036.960324074076</v>
      </c>
      <c r="E3641" t="s">
        <v>11378</v>
      </c>
      <c r="F3641" t="s">
        <v>666</v>
      </c>
      <c r="G3641" t="s">
        <v>11349</v>
      </c>
      <c r="H3641" t="s">
        <v>667</v>
      </c>
      <c r="I3641" t="s">
        <v>29</v>
      </c>
      <c r="J3641">
        <v>1</v>
      </c>
      <c r="K3641">
        <f>1-844-938-3383</f>
        <v>-5164</v>
      </c>
      <c r="L3641" t="s">
        <v>11379</v>
      </c>
      <c r="M3641" t="s">
        <v>11380</v>
      </c>
      <c r="N3641" t="s">
        <v>278</v>
      </c>
      <c r="O3641" t="s">
        <v>134</v>
      </c>
      <c r="P3641" t="s">
        <v>29</v>
      </c>
      <c r="Q3641">
        <v>41</v>
      </c>
      <c r="R3641">
        <v>-74.024699999999996</v>
      </c>
    </row>
    <row r="3642" spans="1:18" x14ac:dyDescent="0.2">
      <c r="A3642" t="s">
        <v>663</v>
      </c>
      <c r="B3642" t="s">
        <v>2493</v>
      </c>
      <c r="C3642">
        <v>1</v>
      </c>
      <c r="D3642" s="1">
        <v>44036.950208333335</v>
      </c>
      <c r="E3642" t="s">
        <v>11381</v>
      </c>
      <c r="F3642" t="s">
        <v>666</v>
      </c>
      <c r="G3642" t="s">
        <v>11349</v>
      </c>
      <c r="H3642" t="s">
        <v>667</v>
      </c>
      <c r="I3642" t="s">
        <v>29</v>
      </c>
      <c r="J3642">
        <v>1</v>
      </c>
      <c r="K3642">
        <f>1-844-979-3303</f>
        <v>-5125</v>
      </c>
      <c r="L3642" t="s">
        <v>11382</v>
      </c>
      <c r="M3642" t="s">
        <v>11383</v>
      </c>
      <c r="N3642" t="s">
        <v>278</v>
      </c>
      <c r="O3642" t="s">
        <v>134</v>
      </c>
      <c r="P3642" t="s">
        <v>29</v>
      </c>
      <c r="Q3642">
        <v>41</v>
      </c>
      <c r="R3642">
        <v>-74.024699999999996</v>
      </c>
    </row>
    <row r="3643" spans="1:18" x14ac:dyDescent="0.2">
      <c r="A3643" t="s">
        <v>663</v>
      </c>
      <c r="B3643" t="s">
        <v>2493</v>
      </c>
      <c r="C3643">
        <v>1</v>
      </c>
      <c r="D3643" s="1">
        <v>44036.960451388892</v>
      </c>
      <c r="E3643" t="s">
        <v>11384</v>
      </c>
      <c r="F3643" t="s">
        <v>666</v>
      </c>
      <c r="G3643" t="s">
        <v>11349</v>
      </c>
      <c r="H3643" t="s">
        <v>667</v>
      </c>
      <c r="I3643" t="s">
        <v>29</v>
      </c>
      <c r="J3643">
        <v>1</v>
      </c>
      <c r="K3643">
        <f>1-844-938-3383</f>
        <v>-5164</v>
      </c>
      <c r="L3643" t="s">
        <v>11385</v>
      </c>
      <c r="M3643" t="s">
        <v>11386</v>
      </c>
      <c r="N3643" t="s">
        <v>278</v>
      </c>
      <c r="O3643" t="s">
        <v>134</v>
      </c>
      <c r="P3643" t="s">
        <v>29</v>
      </c>
      <c r="Q3643">
        <v>41</v>
      </c>
      <c r="R3643">
        <v>-74.024699999999996</v>
      </c>
    </row>
    <row r="3644" spans="1:18" x14ac:dyDescent="0.2">
      <c r="A3644" t="s">
        <v>663</v>
      </c>
      <c r="B3644" t="s">
        <v>2493</v>
      </c>
      <c r="C3644">
        <v>1</v>
      </c>
      <c r="D3644" s="1">
        <v>44036.95857638889</v>
      </c>
      <c r="E3644" t="s">
        <v>11387</v>
      </c>
      <c r="F3644" t="s">
        <v>666</v>
      </c>
      <c r="G3644" t="s">
        <v>11349</v>
      </c>
      <c r="H3644" t="s">
        <v>667</v>
      </c>
      <c r="I3644" t="s">
        <v>29</v>
      </c>
      <c r="J3644">
        <v>1</v>
      </c>
      <c r="K3644">
        <f>1-844-979-3303</f>
        <v>-5125</v>
      </c>
      <c r="L3644" t="s">
        <v>11388</v>
      </c>
      <c r="M3644" t="s">
        <v>11389</v>
      </c>
      <c r="N3644" t="s">
        <v>278</v>
      </c>
      <c r="O3644" t="s">
        <v>134</v>
      </c>
      <c r="P3644" t="s">
        <v>29</v>
      </c>
      <c r="Q3644">
        <v>41</v>
      </c>
      <c r="R3644">
        <v>-74.024699999999996</v>
      </c>
    </row>
    <row r="3645" spans="1:18" x14ac:dyDescent="0.2">
      <c r="A3645" t="s">
        <v>663</v>
      </c>
      <c r="B3645" t="s">
        <v>2493</v>
      </c>
      <c r="C3645">
        <v>1</v>
      </c>
      <c r="D3645" s="1">
        <v>44036.959305555552</v>
      </c>
      <c r="E3645" t="s">
        <v>11390</v>
      </c>
      <c r="F3645" t="s">
        <v>666</v>
      </c>
      <c r="G3645" t="s">
        <v>11349</v>
      </c>
      <c r="H3645" t="s">
        <v>667</v>
      </c>
      <c r="I3645" t="s">
        <v>29</v>
      </c>
      <c r="J3645">
        <v>1</v>
      </c>
      <c r="K3645">
        <f>1-844-979-3303</f>
        <v>-5125</v>
      </c>
      <c r="L3645" t="s">
        <v>11391</v>
      </c>
      <c r="M3645" t="s">
        <v>11392</v>
      </c>
      <c r="N3645" t="s">
        <v>278</v>
      </c>
      <c r="O3645" t="s">
        <v>134</v>
      </c>
      <c r="P3645" t="s">
        <v>29</v>
      </c>
      <c r="Q3645">
        <v>41</v>
      </c>
      <c r="R3645">
        <v>-74.024699999999996</v>
      </c>
    </row>
    <row r="3646" spans="1:18" x14ac:dyDescent="0.2">
      <c r="A3646" t="s">
        <v>439</v>
      </c>
      <c r="B3646" t="s">
        <v>3094</v>
      </c>
      <c r="C3646">
        <v>1</v>
      </c>
      <c r="D3646" s="1">
        <v>44037.388287037036</v>
      </c>
      <c r="E3646" t="s">
        <v>11393</v>
      </c>
      <c r="F3646" t="s">
        <v>442</v>
      </c>
      <c r="G3646" t="s">
        <v>11394</v>
      </c>
      <c r="H3646" t="s">
        <v>444</v>
      </c>
      <c r="I3646" t="s">
        <v>29</v>
      </c>
      <c r="J3646">
        <v>1</v>
      </c>
      <c r="K3646">
        <f>1-866-537-8352</f>
        <v>-9754</v>
      </c>
      <c r="L3646" t="s">
        <v>11395</v>
      </c>
      <c r="M3646" t="s">
        <v>11396</v>
      </c>
      <c r="N3646" t="s">
        <v>674</v>
      </c>
      <c r="O3646" t="s">
        <v>28</v>
      </c>
      <c r="P3646" t="s">
        <v>2268</v>
      </c>
      <c r="Q3646">
        <v>46</v>
      </c>
      <c r="R3646">
        <v>-73.567300000000003</v>
      </c>
    </row>
    <row r="3647" spans="1:18" x14ac:dyDescent="0.2">
      <c r="A3647" t="s">
        <v>439</v>
      </c>
      <c r="B3647" t="s">
        <v>3094</v>
      </c>
      <c r="C3647">
        <v>1</v>
      </c>
      <c r="D3647" s="1">
        <v>44037.389351851853</v>
      </c>
      <c r="E3647" t="s">
        <v>11397</v>
      </c>
      <c r="F3647" t="s">
        <v>442</v>
      </c>
      <c r="G3647" t="s">
        <v>11398</v>
      </c>
      <c r="H3647" t="s">
        <v>444</v>
      </c>
      <c r="I3647" t="s">
        <v>29</v>
      </c>
      <c r="J3647">
        <v>1</v>
      </c>
      <c r="K3647">
        <f>1-844-706-3981</f>
        <v>-5530</v>
      </c>
      <c r="L3647" t="s">
        <v>11399</v>
      </c>
      <c r="M3647" t="s">
        <v>11400</v>
      </c>
      <c r="N3647" t="s">
        <v>447</v>
      </c>
      <c r="O3647" t="s">
        <v>28</v>
      </c>
      <c r="P3647" t="s">
        <v>2268</v>
      </c>
      <c r="Q3647">
        <v>46</v>
      </c>
      <c r="R3647">
        <v>-73.567300000000003</v>
      </c>
    </row>
    <row r="3648" spans="1:18" x14ac:dyDescent="0.2">
      <c r="A3648" t="s">
        <v>663</v>
      </c>
      <c r="B3648" t="s">
        <v>664</v>
      </c>
      <c r="C3648">
        <v>1</v>
      </c>
      <c r="D3648" s="1">
        <v>44037.401689814818</v>
      </c>
      <c r="E3648" t="s">
        <v>11401</v>
      </c>
      <c r="F3648" t="s">
        <v>666</v>
      </c>
      <c r="G3648" t="s">
        <v>11402</v>
      </c>
      <c r="H3648" t="s">
        <v>667</v>
      </c>
      <c r="I3648" t="s">
        <v>29</v>
      </c>
      <c r="J3648">
        <v>1</v>
      </c>
      <c r="K3648">
        <f>1-866-227-7720</f>
        <v>-8812</v>
      </c>
      <c r="L3648" t="s">
        <v>11403</v>
      </c>
      <c r="M3648" t="s">
        <v>11404</v>
      </c>
      <c r="N3648" t="s">
        <v>213</v>
      </c>
      <c r="O3648" t="s">
        <v>28</v>
      </c>
      <c r="P3648" t="s">
        <v>29</v>
      </c>
      <c r="Q3648">
        <v>37</v>
      </c>
      <c r="R3648">
        <v>-99.999999000000003</v>
      </c>
    </row>
    <row r="3649" spans="1:18" x14ac:dyDescent="0.2">
      <c r="A3649" t="s">
        <v>663</v>
      </c>
      <c r="B3649" t="s">
        <v>664</v>
      </c>
      <c r="C3649">
        <v>1</v>
      </c>
      <c r="D3649" s="1">
        <v>44036.913807870369</v>
      </c>
      <c r="E3649" t="s">
        <v>11405</v>
      </c>
      <c r="F3649" t="s">
        <v>666</v>
      </c>
      <c r="G3649" t="s">
        <v>11402</v>
      </c>
      <c r="H3649" t="s">
        <v>667</v>
      </c>
      <c r="I3649" t="s">
        <v>29</v>
      </c>
      <c r="J3649">
        <v>1</v>
      </c>
      <c r="K3649">
        <f>1-866-227-7720</f>
        <v>-8812</v>
      </c>
      <c r="L3649" t="s">
        <v>11406</v>
      </c>
      <c r="M3649" t="s">
        <v>11407</v>
      </c>
      <c r="N3649" t="s">
        <v>674</v>
      </c>
      <c r="O3649" t="s">
        <v>28</v>
      </c>
      <c r="P3649" t="s">
        <v>29</v>
      </c>
      <c r="Q3649">
        <v>37</v>
      </c>
      <c r="R3649">
        <v>-99.999999000000003</v>
      </c>
    </row>
    <row r="3650" spans="1:18" x14ac:dyDescent="0.2">
      <c r="A3650" t="s">
        <v>663</v>
      </c>
      <c r="B3650" t="s">
        <v>664</v>
      </c>
      <c r="C3650">
        <v>1</v>
      </c>
      <c r="D3650" s="1">
        <v>44036.878935185188</v>
      </c>
      <c r="E3650" t="s">
        <v>11408</v>
      </c>
      <c r="F3650" t="s">
        <v>666</v>
      </c>
      <c r="G3650" t="s">
        <v>11402</v>
      </c>
      <c r="H3650" t="s">
        <v>667</v>
      </c>
      <c r="I3650" t="s">
        <v>29</v>
      </c>
      <c r="J3650">
        <v>1</v>
      </c>
      <c r="K3650">
        <f t="shared" ref="K3650:K3662" si="22">1-800-482-856</f>
        <v>-2137</v>
      </c>
      <c r="L3650" t="s">
        <v>11409</v>
      </c>
      <c r="M3650" t="s">
        <v>11410</v>
      </c>
      <c r="N3650" t="s">
        <v>3441</v>
      </c>
      <c r="O3650" t="s">
        <v>28</v>
      </c>
      <c r="P3650" t="s">
        <v>29</v>
      </c>
      <c r="Q3650">
        <v>37</v>
      </c>
      <c r="R3650">
        <v>-99.999999000000003</v>
      </c>
    </row>
    <row r="3651" spans="1:18" x14ac:dyDescent="0.2">
      <c r="A3651" t="s">
        <v>663</v>
      </c>
      <c r="B3651" t="s">
        <v>664</v>
      </c>
      <c r="C3651">
        <v>1</v>
      </c>
      <c r="D3651" s="1">
        <v>44036.878483796296</v>
      </c>
      <c r="E3651" t="s">
        <v>11401</v>
      </c>
      <c r="F3651" t="s">
        <v>666</v>
      </c>
      <c r="G3651" t="s">
        <v>11402</v>
      </c>
      <c r="H3651" t="s">
        <v>667</v>
      </c>
      <c r="I3651" t="s">
        <v>29</v>
      </c>
      <c r="J3651">
        <v>1</v>
      </c>
      <c r="K3651">
        <f t="shared" si="22"/>
        <v>-2137</v>
      </c>
      <c r="L3651" t="s">
        <v>11411</v>
      </c>
      <c r="M3651" t="s">
        <v>11412</v>
      </c>
      <c r="N3651" t="s">
        <v>213</v>
      </c>
      <c r="O3651" t="s">
        <v>28</v>
      </c>
      <c r="P3651" t="s">
        <v>29</v>
      </c>
      <c r="Q3651">
        <v>37</v>
      </c>
      <c r="R3651">
        <v>-99.999999000000003</v>
      </c>
    </row>
    <row r="3652" spans="1:18" x14ac:dyDescent="0.2">
      <c r="A3652" t="s">
        <v>663</v>
      </c>
      <c r="B3652" t="s">
        <v>664</v>
      </c>
      <c r="C3652">
        <v>1</v>
      </c>
      <c r="D3652" s="1">
        <v>44036.877523148149</v>
      </c>
      <c r="E3652" t="s">
        <v>11413</v>
      </c>
      <c r="F3652" t="s">
        <v>666</v>
      </c>
      <c r="G3652" t="s">
        <v>11402</v>
      </c>
      <c r="H3652" t="s">
        <v>667</v>
      </c>
      <c r="I3652" t="s">
        <v>29</v>
      </c>
      <c r="J3652">
        <v>1</v>
      </c>
      <c r="K3652">
        <f t="shared" si="22"/>
        <v>-2137</v>
      </c>
      <c r="L3652" t="s">
        <v>11414</v>
      </c>
      <c r="M3652" t="s">
        <v>11415</v>
      </c>
      <c r="N3652" t="s">
        <v>674</v>
      </c>
      <c r="O3652" t="s">
        <v>28</v>
      </c>
      <c r="P3652" t="s">
        <v>29</v>
      </c>
      <c r="Q3652">
        <v>37</v>
      </c>
      <c r="R3652">
        <v>-99.999999000000003</v>
      </c>
    </row>
    <row r="3653" spans="1:18" x14ac:dyDescent="0.2">
      <c r="A3653" t="s">
        <v>663</v>
      </c>
      <c r="B3653" t="s">
        <v>664</v>
      </c>
      <c r="C3653">
        <v>1</v>
      </c>
      <c r="D3653" s="1">
        <v>44036.877141203702</v>
      </c>
      <c r="E3653" t="s">
        <v>11416</v>
      </c>
      <c r="F3653" t="s">
        <v>666</v>
      </c>
      <c r="G3653" t="s">
        <v>11402</v>
      </c>
      <c r="H3653" t="s">
        <v>667</v>
      </c>
      <c r="I3653" t="s">
        <v>29</v>
      </c>
      <c r="J3653">
        <v>1</v>
      </c>
      <c r="K3653">
        <f t="shared" si="22"/>
        <v>-2137</v>
      </c>
      <c r="L3653" t="s">
        <v>11417</v>
      </c>
      <c r="M3653" t="s">
        <v>11418</v>
      </c>
      <c r="N3653" t="s">
        <v>3441</v>
      </c>
      <c r="O3653" t="s">
        <v>28</v>
      </c>
      <c r="P3653" t="s">
        <v>29</v>
      </c>
      <c r="Q3653">
        <v>37</v>
      </c>
      <c r="R3653">
        <v>-99.999999000000003</v>
      </c>
    </row>
    <row r="3654" spans="1:18" x14ac:dyDescent="0.2">
      <c r="A3654" t="s">
        <v>663</v>
      </c>
      <c r="B3654" t="s">
        <v>664</v>
      </c>
      <c r="C3654">
        <v>1</v>
      </c>
      <c r="D3654" s="1">
        <v>44036.876828703702</v>
      </c>
      <c r="E3654" t="s">
        <v>11419</v>
      </c>
      <c r="F3654" t="s">
        <v>666</v>
      </c>
      <c r="G3654" t="s">
        <v>11402</v>
      </c>
      <c r="H3654" t="s">
        <v>667</v>
      </c>
      <c r="I3654" t="s">
        <v>29</v>
      </c>
      <c r="J3654">
        <v>1</v>
      </c>
      <c r="K3654">
        <f t="shared" si="22"/>
        <v>-2137</v>
      </c>
      <c r="L3654" t="s">
        <v>11420</v>
      </c>
      <c r="M3654" t="s">
        <v>11421</v>
      </c>
      <c r="N3654" t="s">
        <v>3441</v>
      </c>
      <c r="O3654" t="s">
        <v>28</v>
      </c>
      <c r="P3654" t="s">
        <v>29</v>
      </c>
      <c r="Q3654">
        <v>37</v>
      </c>
      <c r="R3654">
        <v>-99.999999000000003</v>
      </c>
    </row>
    <row r="3655" spans="1:18" x14ac:dyDescent="0.2">
      <c r="A3655" t="s">
        <v>663</v>
      </c>
      <c r="B3655" t="s">
        <v>664</v>
      </c>
      <c r="C3655">
        <v>1</v>
      </c>
      <c r="D3655" s="1">
        <v>44036.876192129632</v>
      </c>
      <c r="E3655" t="s">
        <v>11422</v>
      </c>
      <c r="F3655" t="s">
        <v>666</v>
      </c>
      <c r="G3655" t="s">
        <v>11402</v>
      </c>
      <c r="H3655" t="s">
        <v>667</v>
      </c>
      <c r="I3655" t="s">
        <v>29</v>
      </c>
      <c r="J3655">
        <v>1</v>
      </c>
      <c r="K3655">
        <f t="shared" si="22"/>
        <v>-2137</v>
      </c>
      <c r="L3655" t="s">
        <v>11423</v>
      </c>
      <c r="M3655" t="s">
        <v>11424</v>
      </c>
      <c r="N3655" t="s">
        <v>213</v>
      </c>
      <c r="O3655" t="s">
        <v>28</v>
      </c>
      <c r="P3655" t="s">
        <v>29</v>
      </c>
      <c r="Q3655">
        <v>37</v>
      </c>
      <c r="R3655">
        <v>-99.999999000000003</v>
      </c>
    </row>
    <row r="3656" spans="1:18" x14ac:dyDescent="0.2">
      <c r="A3656" t="s">
        <v>663</v>
      </c>
      <c r="B3656" t="s">
        <v>664</v>
      </c>
      <c r="C3656">
        <v>1</v>
      </c>
      <c r="D3656" s="1">
        <v>44036.87572916667</v>
      </c>
      <c r="E3656" t="s">
        <v>11425</v>
      </c>
      <c r="F3656" t="s">
        <v>666</v>
      </c>
      <c r="G3656" t="s">
        <v>11402</v>
      </c>
      <c r="H3656" t="s">
        <v>667</v>
      </c>
      <c r="I3656" t="s">
        <v>29</v>
      </c>
      <c r="J3656">
        <v>1</v>
      </c>
      <c r="K3656">
        <f t="shared" si="22"/>
        <v>-2137</v>
      </c>
      <c r="L3656" t="s">
        <v>11426</v>
      </c>
      <c r="M3656" t="s">
        <v>11427</v>
      </c>
      <c r="N3656" t="s">
        <v>447</v>
      </c>
      <c r="O3656" t="s">
        <v>28</v>
      </c>
      <c r="P3656" t="s">
        <v>29</v>
      </c>
      <c r="Q3656">
        <v>37</v>
      </c>
      <c r="R3656">
        <v>-99.999999000000003</v>
      </c>
    </row>
    <row r="3657" spans="1:18" x14ac:dyDescent="0.2">
      <c r="A3657" t="s">
        <v>663</v>
      </c>
      <c r="B3657" t="s">
        <v>664</v>
      </c>
      <c r="C3657">
        <v>1</v>
      </c>
      <c r="D3657" s="1">
        <v>44036.874224537038</v>
      </c>
      <c r="E3657" t="s">
        <v>11428</v>
      </c>
      <c r="F3657" t="s">
        <v>666</v>
      </c>
      <c r="G3657" t="s">
        <v>11402</v>
      </c>
      <c r="H3657" t="s">
        <v>667</v>
      </c>
      <c r="I3657" t="s">
        <v>29</v>
      </c>
      <c r="J3657">
        <v>1</v>
      </c>
      <c r="K3657">
        <f t="shared" si="22"/>
        <v>-2137</v>
      </c>
      <c r="L3657" t="s">
        <v>11429</v>
      </c>
      <c r="M3657" t="s">
        <v>11430</v>
      </c>
      <c r="N3657" t="s">
        <v>447</v>
      </c>
      <c r="O3657" t="s">
        <v>28</v>
      </c>
      <c r="P3657" t="s">
        <v>29</v>
      </c>
      <c r="Q3657">
        <v>37</v>
      </c>
      <c r="R3657">
        <v>-99.999999000000003</v>
      </c>
    </row>
    <row r="3658" spans="1:18" x14ac:dyDescent="0.2">
      <c r="A3658" t="s">
        <v>663</v>
      </c>
      <c r="B3658" t="s">
        <v>664</v>
      </c>
      <c r="C3658">
        <v>1</v>
      </c>
      <c r="D3658" s="1">
        <v>44036.873784722222</v>
      </c>
      <c r="E3658" t="s">
        <v>11405</v>
      </c>
      <c r="F3658" t="s">
        <v>666</v>
      </c>
      <c r="G3658" t="s">
        <v>11402</v>
      </c>
      <c r="H3658" t="s">
        <v>667</v>
      </c>
      <c r="I3658" t="s">
        <v>29</v>
      </c>
      <c r="J3658">
        <v>1</v>
      </c>
      <c r="K3658">
        <f t="shared" si="22"/>
        <v>-2137</v>
      </c>
      <c r="L3658" t="s">
        <v>11431</v>
      </c>
      <c r="M3658" t="s">
        <v>11432</v>
      </c>
      <c r="N3658" t="s">
        <v>674</v>
      </c>
      <c r="O3658" t="s">
        <v>28</v>
      </c>
      <c r="P3658" t="s">
        <v>29</v>
      </c>
      <c r="Q3658">
        <v>37</v>
      </c>
      <c r="R3658">
        <v>-99.999999000000003</v>
      </c>
    </row>
    <row r="3659" spans="1:18" x14ac:dyDescent="0.2">
      <c r="A3659" t="s">
        <v>663</v>
      </c>
      <c r="B3659" t="s">
        <v>664</v>
      </c>
      <c r="C3659">
        <v>1</v>
      </c>
      <c r="D3659" s="1">
        <v>44036.873518518521</v>
      </c>
      <c r="E3659" t="s">
        <v>11433</v>
      </c>
      <c r="F3659" t="s">
        <v>666</v>
      </c>
      <c r="G3659" t="s">
        <v>11402</v>
      </c>
      <c r="H3659" t="s">
        <v>667</v>
      </c>
      <c r="I3659" t="s">
        <v>29</v>
      </c>
      <c r="J3659">
        <v>1</v>
      </c>
      <c r="K3659">
        <f t="shared" si="22"/>
        <v>-2137</v>
      </c>
      <c r="L3659" t="s">
        <v>11434</v>
      </c>
      <c r="M3659" t="s">
        <v>11435</v>
      </c>
      <c r="N3659" t="s">
        <v>3441</v>
      </c>
      <c r="O3659" t="s">
        <v>28</v>
      </c>
      <c r="P3659" t="s">
        <v>29</v>
      </c>
      <c r="Q3659">
        <v>37</v>
      </c>
      <c r="R3659">
        <v>-99.999999000000003</v>
      </c>
    </row>
    <row r="3660" spans="1:18" x14ac:dyDescent="0.2">
      <c r="A3660" t="s">
        <v>663</v>
      </c>
      <c r="B3660" t="s">
        <v>664</v>
      </c>
      <c r="C3660">
        <v>1</v>
      </c>
      <c r="D3660" s="1">
        <v>44036.872731481482</v>
      </c>
      <c r="E3660" t="s">
        <v>11436</v>
      </c>
      <c r="F3660" t="s">
        <v>666</v>
      </c>
      <c r="G3660" t="s">
        <v>11402</v>
      </c>
      <c r="H3660" t="s">
        <v>667</v>
      </c>
      <c r="I3660" t="s">
        <v>29</v>
      </c>
      <c r="J3660">
        <v>1</v>
      </c>
      <c r="K3660">
        <f t="shared" si="22"/>
        <v>-2137</v>
      </c>
      <c r="L3660" t="s">
        <v>11437</v>
      </c>
      <c r="M3660" t="s">
        <v>11438</v>
      </c>
      <c r="N3660" t="s">
        <v>213</v>
      </c>
      <c r="O3660" t="s">
        <v>28</v>
      </c>
      <c r="P3660" t="s">
        <v>29</v>
      </c>
      <c r="Q3660">
        <v>37</v>
      </c>
      <c r="R3660">
        <v>-99.999999000000003</v>
      </c>
    </row>
    <row r="3661" spans="1:18" x14ac:dyDescent="0.2">
      <c r="A3661" t="s">
        <v>663</v>
      </c>
      <c r="B3661" t="s">
        <v>664</v>
      </c>
      <c r="C3661">
        <v>1</v>
      </c>
      <c r="D3661" s="1">
        <v>44036.864155092589</v>
      </c>
      <c r="E3661" t="s">
        <v>11439</v>
      </c>
      <c r="F3661" t="s">
        <v>666</v>
      </c>
      <c r="G3661" t="s">
        <v>11402</v>
      </c>
      <c r="H3661" t="s">
        <v>667</v>
      </c>
      <c r="I3661" t="s">
        <v>29</v>
      </c>
      <c r="J3661">
        <v>1</v>
      </c>
      <c r="K3661">
        <f t="shared" si="22"/>
        <v>-2137</v>
      </c>
      <c r="L3661" t="s">
        <v>11440</v>
      </c>
      <c r="M3661" t="s">
        <v>11441</v>
      </c>
      <c r="N3661" t="s">
        <v>674</v>
      </c>
      <c r="O3661" t="s">
        <v>28</v>
      </c>
      <c r="P3661" t="s">
        <v>29</v>
      </c>
      <c r="Q3661">
        <v>37</v>
      </c>
      <c r="R3661">
        <v>-99.999999000000003</v>
      </c>
    </row>
    <row r="3662" spans="1:18" x14ac:dyDescent="0.2">
      <c r="A3662" t="s">
        <v>663</v>
      </c>
      <c r="B3662" t="s">
        <v>664</v>
      </c>
      <c r="C3662">
        <v>1</v>
      </c>
      <c r="D3662" s="1">
        <v>44036.862997685188</v>
      </c>
      <c r="E3662" t="s">
        <v>11442</v>
      </c>
      <c r="F3662" t="s">
        <v>666</v>
      </c>
      <c r="G3662" t="s">
        <v>11402</v>
      </c>
      <c r="H3662" t="s">
        <v>667</v>
      </c>
      <c r="I3662" t="s">
        <v>29</v>
      </c>
      <c r="J3662">
        <v>1</v>
      </c>
      <c r="K3662">
        <f t="shared" si="22"/>
        <v>-2137</v>
      </c>
      <c r="L3662" t="s">
        <v>11443</v>
      </c>
      <c r="M3662" t="s">
        <v>11444</v>
      </c>
      <c r="N3662" t="s">
        <v>674</v>
      </c>
      <c r="O3662" t="s">
        <v>28</v>
      </c>
      <c r="P3662" t="s">
        <v>29</v>
      </c>
      <c r="Q3662">
        <v>37</v>
      </c>
      <c r="R3662">
        <v>-99.999999000000003</v>
      </c>
    </row>
    <row r="3663" spans="1:18" x14ac:dyDescent="0.2">
      <c r="A3663" t="s">
        <v>663</v>
      </c>
      <c r="B3663" t="s">
        <v>664</v>
      </c>
      <c r="C3663">
        <v>1</v>
      </c>
      <c r="D3663" s="1">
        <v>44036.795231481483</v>
      </c>
      <c r="E3663" t="s">
        <v>11425</v>
      </c>
      <c r="F3663" t="s">
        <v>666</v>
      </c>
      <c r="G3663" t="s">
        <v>11402</v>
      </c>
      <c r="H3663" t="s">
        <v>667</v>
      </c>
      <c r="I3663" t="s">
        <v>29</v>
      </c>
      <c r="J3663">
        <v>1</v>
      </c>
      <c r="K3663">
        <f>1-844-420-1080</f>
        <v>-2343</v>
      </c>
      <c r="L3663" t="s">
        <v>11445</v>
      </c>
      <c r="M3663" t="s">
        <v>11446</v>
      </c>
      <c r="N3663" t="s">
        <v>447</v>
      </c>
      <c r="O3663" t="s">
        <v>28</v>
      </c>
      <c r="P3663" t="s">
        <v>29</v>
      </c>
      <c r="Q3663">
        <v>37</v>
      </c>
      <c r="R3663">
        <v>-99.999999000000003</v>
      </c>
    </row>
    <row r="3664" spans="1:18" x14ac:dyDescent="0.2">
      <c r="A3664" t="s">
        <v>439</v>
      </c>
      <c r="B3664" t="s">
        <v>3094</v>
      </c>
      <c r="C3664">
        <v>1</v>
      </c>
      <c r="D3664" s="1">
        <v>44036.802094907405</v>
      </c>
      <c r="E3664" t="s">
        <v>11447</v>
      </c>
      <c r="F3664" t="s">
        <v>442</v>
      </c>
      <c r="G3664" t="s">
        <v>11448</v>
      </c>
      <c r="H3664" t="s">
        <v>444</v>
      </c>
      <c r="I3664" t="s">
        <v>29</v>
      </c>
      <c r="J3664">
        <v>1</v>
      </c>
      <c r="K3664">
        <f>1-877-641-1182</f>
        <v>-2699</v>
      </c>
      <c r="L3664" t="s">
        <v>11449</v>
      </c>
      <c r="M3664" t="s">
        <v>11450</v>
      </c>
      <c r="N3664" t="s">
        <v>213</v>
      </c>
      <c r="O3664" t="s">
        <v>28</v>
      </c>
      <c r="P3664" t="s">
        <v>2268</v>
      </c>
      <c r="Q3664">
        <v>46</v>
      </c>
      <c r="R3664">
        <v>-73.567300000000003</v>
      </c>
    </row>
    <row r="3665" spans="1:18" x14ac:dyDescent="0.2">
      <c r="A3665" t="s">
        <v>439</v>
      </c>
      <c r="B3665" t="s">
        <v>3094</v>
      </c>
      <c r="C3665">
        <v>1</v>
      </c>
      <c r="D3665" s="1">
        <v>44036.811111111114</v>
      </c>
      <c r="E3665" t="s">
        <v>11451</v>
      </c>
      <c r="F3665" t="s">
        <v>442</v>
      </c>
      <c r="G3665" t="s">
        <v>11452</v>
      </c>
      <c r="H3665" t="s">
        <v>444</v>
      </c>
      <c r="I3665" t="s">
        <v>29</v>
      </c>
      <c r="J3665">
        <v>1</v>
      </c>
      <c r="K3665">
        <f>1-833-335-4038</f>
        <v>-5205</v>
      </c>
      <c r="L3665" t="s">
        <v>11453</v>
      </c>
      <c r="M3665" t="s">
        <v>11454</v>
      </c>
      <c r="N3665" t="s">
        <v>674</v>
      </c>
      <c r="O3665" t="s">
        <v>28</v>
      </c>
      <c r="P3665" t="s">
        <v>2268</v>
      </c>
      <c r="Q3665">
        <v>46</v>
      </c>
      <c r="R3665">
        <v>-73.567300000000003</v>
      </c>
    </row>
    <row r="3666" spans="1:18" x14ac:dyDescent="0.2">
      <c r="A3666" t="s">
        <v>439</v>
      </c>
      <c r="B3666" t="s">
        <v>440</v>
      </c>
      <c r="C3666">
        <v>1</v>
      </c>
      <c r="D3666" s="1">
        <v>44036.813125000001</v>
      </c>
      <c r="E3666" t="s">
        <v>11455</v>
      </c>
      <c r="F3666" t="s">
        <v>442</v>
      </c>
      <c r="G3666" t="s">
        <v>11456</v>
      </c>
      <c r="H3666" t="s">
        <v>444</v>
      </c>
      <c r="I3666" t="s">
        <v>29</v>
      </c>
      <c r="J3666">
        <v>1</v>
      </c>
      <c r="K3666">
        <f>1-844-900-923</f>
        <v>-2666</v>
      </c>
      <c r="L3666" t="s">
        <v>11457</v>
      </c>
      <c r="M3666" t="s">
        <v>11458</v>
      </c>
      <c r="N3666" t="s">
        <v>674</v>
      </c>
      <c r="O3666" t="s">
        <v>28</v>
      </c>
      <c r="P3666" t="s">
        <v>29</v>
      </c>
      <c r="Q3666">
        <v>39</v>
      </c>
      <c r="R3666">
        <v>-77.487399999999994</v>
      </c>
    </row>
    <row r="3667" spans="1:18" x14ac:dyDescent="0.2">
      <c r="A3667" t="s">
        <v>439</v>
      </c>
      <c r="B3667" t="s">
        <v>3094</v>
      </c>
      <c r="C3667">
        <v>855</v>
      </c>
      <c r="D3667" s="1">
        <v>44036.831354166665</v>
      </c>
      <c r="E3667" t="s">
        <v>11459</v>
      </c>
      <c r="F3667" t="s">
        <v>442</v>
      </c>
      <c r="G3667" t="s">
        <v>11460</v>
      </c>
      <c r="H3667" t="s">
        <v>444</v>
      </c>
      <c r="I3667" t="s">
        <v>11461</v>
      </c>
      <c r="J3667">
        <v>855</v>
      </c>
      <c r="K3667">
        <f>855-582-7048</f>
        <v>-6775</v>
      </c>
      <c r="L3667" t="s">
        <v>11462</v>
      </c>
      <c r="M3667" t="s">
        <v>11463</v>
      </c>
      <c r="N3667" t="s">
        <v>213</v>
      </c>
      <c r="O3667" t="s">
        <v>28</v>
      </c>
      <c r="P3667" t="s">
        <v>2268</v>
      </c>
      <c r="Q3667">
        <v>46</v>
      </c>
      <c r="R3667">
        <v>-73.567300000000003</v>
      </c>
    </row>
    <row r="3668" spans="1:18" x14ac:dyDescent="0.2">
      <c r="A3668" t="s">
        <v>439</v>
      </c>
      <c r="B3668" t="s">
        <v>1412</v>
      </c>
      <c r="C3668">
        <v>358</v>
      </c>
      <c r="D3668" s="1">
        <v>44036.871712962966</v>
      </c>
      <c r="E3668" t="s">
        <v>11464</v>
      </c>
      <c r="F3668" t="s">
        <v>442</v>
      </c>
      <c r="G3668" t="s">
        <v>11465</v>
      </c>
      <c r="H3668" t="s">
        <v>444</v>
      </c>
      <c r="I3668" t="s">
        <v>6238</v>
      </c>
      <c r="J3668">
        <v>358</v>
      </c>
      <c r="K3668">
        <f>358-800-102-133</f>
        <v>-677</v>
      </c>
      <c r="L3668" t="s">
        <v>11466</v>
      </c>
      <c r="M3668" t="s">
        <v>11467</v>
      </c>
      <c r="N3668" t="s">
        <v>213</v>
      </c>
      <c r="O3668" t="s">
        <v>28</v>
      </c>
      <c r="P3668" t="s">
        <v>29</v>
      </c>
      <c r="Q3668">
        <v>41</v>
      </c>
      <c r="R3668">
        <v>-74.172399999999996</v>
      </c>
    </row>
    <row r="3669" spans="1:18" x14ac:dyDescent="0.2">
      <c r="A3669" t="s">
        <v>439</v>
      </c>
      <c r="B3669" t="s">
        <v>3094</v>
      </c>
      <c r="C3669">
        <v>1</v>
      </c>
      <c r="D3669" s="1">
        <v>44036.91847222222</v>
      </c>
      <c r="E3669" t="s">
        <v>11468</v>
      </c>
      <c r="F3669" t="s">
        <v>442</v>
      </c>
      <c r="G3669" t="s">
        <v>11469</v>
      </c>
      <c r="H3669" t="s">
        <v>444</v>
      </c>
      <c r="I3669" t="s">
        <v>29</v>
      </c>
      <c r="J3669">
        <v>1</v>
      </c>
      <c r="K3669">
        <f>1-855-338-6072</f>
        <v>-7264</v>
      </c>
      <c r="L3669" t="s">
        <v>11470</v>
      </c>
      <c r="M3669" t="s">
        <v>11471</v>
      </c>
      <c r="N3669" t="s">
        <v>213</v>
      </c>
      <c r="O3669" t="s">
        <v>28</v>
      </c>
      <c r="P3669" t="s">
        <v>2268</v>
      </c>
      <c r="Q3669">
        <v>46</v>
      </c>
      <c r="R3669">
        <v>-73.567300000000003</v>
      </c>
    </row>
    <row r="3670" spans="1:18" x14ac:dyDescent="0.2">
      <c r="A3670" t="s">
        <v>663</v>
      </c>
      <c r="B3670" t="s">
        <v>664</v>
      </c>
      <c r="C3670">
        <v>1</v>
      </c>
      <c r="D3670" s="1">
        <v>44036.944467592592</v>
      </c>
      <c r="E3670" t="s">
        <v>11472</v>
      </c>
      <c r="F3670" t="s">
        <v>666</v>
      </c>
      <c r="G3670" t="s">
        <v>11473</v>
      </c>
      <c r="H3670" t="s">
        <v>667</v>
      </c>
      <c r="I3670" t="s">
        <v>29</v>
      </c>
      <c r="J3670">
        <v>1</v>
      </c>
      <c r="K3670">
        <f>1-888-530-8132</f>
        <v>-9549</v>
      </c>
      <c r="L3670" t="s">
        <v>11474</v>
      </c>
      <c r="M3670" t="s">
        <v>11475</v>
      </c>
      <c r="N3670" t="s">
        <v>5354</v>
      </c>
      <c r="O3670" t="s">
        <v>134</v>
      </c>
      <c r="P3670" t="s">
        <v>29</v>
      </c>
      <c r="Q3670">
        <v>37</v>
      </c>
      <c r="R3670">
        <v>-99.999999000000003</v>
      </c>
    </row>
    <row r="3671" spans="1:18" x14ac:dyDescent="0.2">
      <c r="A3671" t="s">
        <v>439</v>
      </c>
      <c r="B3671" t="s">
        <v>440</v>
      </c>
      <c r="C3671">
        <v>1</v>
      </c>
      <c r="D3671" s="1">
        <v>44036.971736111111</v>
      </c>
      <c r="E3671" t="s">
        <v>11476</v>
      </c>
      <c r="F3671" t="s">
        <v>442</v>
      </c>
      <c r="G3671" t="s">
        <v>11477</v>
      </c>
      <c r="H3671" t="s">
        <v>444</v>
      </c>
      <c r="I3671" t="s">
        <v>29</v>
      </c>
      <c r="J3671">
        <v>1</v>
      </c>
      <c r="K3671">
        <f>1-833-203-7376</f>
        <v>-8411</v>
      </c>
      <c r="L3671" t="s">
        <v>11478</v>
      </c>
      <c r="M3671" t="s">
        <v>11479</v>
      </c>
      <c r="N3671" t="s">
        <v>447</v>
      </c>
      <c r="O3671" t="s">
        <v>28</v>
      </c>
      <c r="P3671" t="s">
        <v>29</v>
      </c>
      <c r="Q3671">
        <v>39</v>
      </c>
      <c r="R3671">
        <v>-77.487399999999994</v>
      </c>
    </row>
    <row r="3672" spans="1:18" x14ac:dyDescent="0.2">
      <c r="A3672" t="s">
        <v>439</v>
      </c>
      <c r="B3672" t="s">
        <v>3094</v>
      </c>
      <c r="C3672">
        <v>1</v>
      </c>
      <c r="D3672" s="1">
        <v>44037.008738425924</v>
      </c>
      <c r="E3672" t="s">
        <v>11480</v>
      </c>
      <c r="F3672" t="s">
        <v>442</v>
      </c>
      <c r="G3672" t="s">
        <v>11481</v>
      </c>
      <c r="H3672" t="s">
        <v>444</v>
      </c>
      <c r="I3672" t="s">
        <v>29</v>
      </c>
      <c r="J3672">
        <v>1</v>
      </c>
      <c r="K3672">
        <f>1-888-425-704</f>
        <v>-2016</v>
      </c>
      <c r="L3672" t="s">
        <v>11482</v>
      </c>
      <c r="M3672" t="s">
        <v>11483</v>
      </c>
      <c r="N3672" t="s">
        <v>447</v>
      </c>
      <c r="O3672" t="s">
        <v>28</v>
      </c>
      <c r="P3672" t="s">
        <v>2268</v>
      </c>
      <c r="Q3672">
        <v>46</v>
      </c>
      <c r="R3672">
        <v>-73.567300000000003</v>
      </c>
    </row>
    <row r="3673" spans="1:18" x14ac:dyDescent="0.2">
      <c r="A3673" t="s">
        <v>270</v>
      </c>
      <c r="B3673" t="s">
        <v>10394</v>
      </c>
      <c r="C3673">
        <v>1</v>
      </c>
      <c r="D3673" s="1">
        <v>44103.839560185188</v>
      </c>
      <c r="E3673" t="s">
        <v>11484</v>
      </c>
      <c r="F3673" t="s">
        <v>273</v>
      </c>
      <c r="G3673" t="s">
        <v>11485</v>
      </c>
      <c r="H3673" t="s">
        <v>275</v>
      </c>
      <c r="I3673" t="s">
        <v>29</v>
      </c>
      <c r="J3673">
        <v>1</v>
      </c>
      <c r="K3673">
        <f>1-888-223-1452</f>
        <v>-2562</v>
      </c>
      <c r="L3673" t="s">
        <v>11486</v>
      </c>
      <c r="M3673" t="s">
        <v>11487</v>
      </c>
      <c r="N3673" t="s">
        <v>278</v>
      </c>
      <c r="O3673" t="s">
        <v>28</v>
      </c>
      <c r="P3673" t="s">
        <v>29</v>
      </c>
      <c r="Q3673">
        <v>29</v>
      </c>
      <c r="R3673">
        <v>-98.5</v>
      </c>
    </row>
    <row r="3674" spans="1:18" x14ac:dyDescent="0.2">
      <c r="A3674" t="s">
        <v>270</v>
      </c>
      <c r="B3674" t="s">
        <v>10394</v>
      </c>
      <c r="C3674">
        <v>1</v>
      </c>
      <c r="D3674" s="1">
        <v>44103.839328703703</v>
      </c>
      <c r="E3674" t="s">
        <v>11488</v>
      </c>
      <c r="F3674" t="s">
        <v>273</v>
      </c>
      <c r="G3674" t="s">
        <v>11485</v>
      </c>
      <c r="H3674" t="s">
        <v>275</v>
      </c>
      <c r="I3674" t="s">
        <v>29</v>
      </c>
      <c r="J3674">
        <v>1</v>
      </c>
      <c r="K3674">
        <f>1-888-211-8144</f>
        <v>-9242</v>
      </c>
      <c r="L3674" t="s">
        <v>11489</v>
      </c>
      <c r="M3674" t="s">
        <v>11490</v>
      </c>
      <c r="N3674" t="s">
        <v>278</v>
      </c>
      <c r="O3674" t="s">
        <v>28</v>
      </c>
      <c r="P3674" t="s">
        <v>29</v>
      </c>
      <c r="Q3674">
        <v>29</v>
      </c>
      <c r="R3674">
        <v>-98.5</v>
      </c>
    </row>
    <row r="3675" spans="1:18" x14ac:dyDescent="0.2">
      <c r="A3675" t="s">
        <v>270</v>
      </c>
      <c r="B3675" t="s">
        <v>10394</v>
      </c>
      <c r="C3675">
        <v>1</v>
      </c>
      <c r="D3675" s="1">
        <v>44103.751354166663</v>
      </c>
      <c r="E3675" t="s">
        <v>11491</v>
      </c>
      <c r="F3675" t="s">
        <v>273</v>
      </c>
      <c r="G3675" t="s">
        <v>11485</v>
      </c>
      <c r="H3675" t="s">
        <v>275</v>
      </c>
      <c r="I3675" t="s">
        <v>29</v>
      </c>
      <c r="J3675">
        <v>1</v>
      </c>
      <c r="K3675">
        <f>1-888-210-6654</f>
        <v>-7751</v>
      </c>
      <c r="L3675" t="s">
        <v>11492</v>
      </c>
      <c r="M3675" t="s">
        <v>11493</v>
      </c>
      <c r="N3675" t="s">
        <v>278</v>
      </c>
      <c r="O3675" t="s">
        <v>28</v>
      </c>
      <c r="P3675" t="s">
        <v>29</v>
      </c>
      <c r="Q3675">
        <v>29</v>
      </c>
      <c r="R3675">
        <v>-98.5</v>
      </c>
    </row>
    <row r="3676" spans="1:18" x14ac:dyDescent="0.2">
      <c r="A3676" t="s">
        <v>270</v>
      </c>
      <c r="B3676" t="s">
        <v>10394</v>
      </c>
      <c r="C3676">
        <v>1</v>
      </c>
      <c r="D3676" s="1">
        <v>44099.905231481483</v>
      </c>
      <c r="E3676" t="s">
        <v>11494</v>
      </c>
      <c r="F3676" t="s">
        <v>273</v>
      </c>
      <c r="G3676" t="s">
        <v>11485</v>
      </c>
      <c r="H3676" t="s">
        <v>275</v>
      </c>
      <c r="I3676" t="s">
        <v>29</v>
      </c>
      <c r="J3676">
        <v>1</v>
      </c>
      <c r="K3676">
        <f>1-888-252-1197</f>
        <v>-2336</v>
      </c>
      <c r="L3676" t="s">
        <v>11495</v>
      </c>
      <c r="M3676" t="s">
        <v>11496</v>
      </c>
      <c r="N3676" t="s">
        <v>278</v>
      </c>
      <c r="O3676" t="s">
        <v>28</v>
      </c>
      <c r="P3676" t="s">
        <v>29</v>
      </c>
      <c r="Q3676">
        <v>29</v>
      </c>
      <c r="R3676">
        <v>-98.5</v>
      </c>
    </row>
    <row r="3677" spans="1:18" x14ac:dyDescent="0.2">
      <c r="A3677" t="s">
        <v>270</v>
      </c>
      <c r="B3677" t="s">
        <v>10394</v>
      </c>
      <c r="C3677">
        <v>1</v>
      </c>
      <c r="D3677" s="1">
        <v>44099.358078703706</v>
      </c>
      <c r="E3677" t="s">
        <v>11497</v>
      </c>
      <c r="F3677" t="s">
        <v>273</v>
      </c>
      <c r="G3677" t="s">
        <v>11485</v>
      </c>
      <c r="H3677" t="s">
        <v>275</v>
      </c>
      <c r="I3677" t="s">
        <v>29</v>
      </c>
      <c r="J3677">
        <v>1</v>
      </c>
      <c r="K3677">
        <f>1-888-254-1267</f>
        <v>-2408</v>
      </c>
      <c r="L3677" t="s">
        <v>11498</v>
      </c>
      <c r="M3677" t="s">
        <v>11499</v>
      </c>
      <c r="N3677" t="s">
        <v>278</v>
      </c>
      <c r="O3677" t="s">
        <v>28</v>
      </c>
      <c r="P3677" t="s">
        <v>29</v>
      </c>
      <c r="Q3677">
        <v>29</v>
      </c>
      <c r="R3677">
        <v>-98.5</v>
      </c>
    </row>
    <row r="3678" spans="1:18" x14ac:dyDescent="0.2">
      <c r="A3678" t="s">
        <v>270</v>
      </c>
      <c r="B3678" t="s">
        <v>10394</v>
      </c>
      <c r="C3678">
        <v>1</v>
      </c>
      <c r="D3678" s="1">
        <v>44096.369120370371</v>
      </c>
      <c r="E3678" t="s">
        <v>11500</v>
      </c>
      <c r="F3678" t="s">
        <v>273</v>
      </c>
      <c r="G3678" t="s">
        <v>11485</v>
      </c>
      <c r="H3678" t="s">
        <v>275</v>
      </c>
      <c r="I3678" t="s">
        <v>29</v>
      </c>
      <c r="J3678">
        <v>1</v>
      </c>
      <c r="K3678">
        <f>1-844-312-611</f>
        <v>-1766</v>
      </c>
      <c r="L3678" t="s">
        <v>11501</v>
      </c>
      <c r="M3678" t="s">
        <v>11502</v>
      </c>
      <c r="N3678" t="s">
        <v>278</v>
      </c>
      <c r="O3678" t="s">
        <v>28</v>
      </c>
      <c r="P3678" t="s">
        <v>29</v>
      </c>
      <c r="Q3678">
        <v>29</v>
      </c>
      <c r="R3678">
        <v>-98.5</v>
      </c>
    </row>
    <row r="3679" spans="1:18" x14ac:dyDescent="0.2">
      <c r="A3679" t="s">
        <v>270</v>
      </c>
      <c r="B3679" t="s">
        <v>10394</v>
      </c>
      <c r="C3679">
        <v>1</v>
      </c>
      <c r="D3679" s="1">
        <v>44096.367905092593</v>
      </c>
      <c r="E3679" t="s">
        <v>11503</v>
      </c>
      <c r="F3679" t="s">
        <v>273</v>
      </c>
      <c r="G3679" t="s">
        <v>11485</v>
      </c>
      <c r="H3679" t="s">
        <v>275</v>
      </c>
      <c r="I3679" t="s">
        <v>29</v>
      </c>
      <c r="J3679">
        <v>1</v>
      </c>
      <c r="K3679">
        <f>1-844-305-9953</f>
        <v>-11101</v>
      </c>
      <c r="L3679" t="s">
        <v>11504</v>
      </c>
      <c r="M3679" t="s">
        <v>11505</v>
      </c>
      <c r="N3679" t="s">
        <v>278</v>
      </c>
      <c r="O3679" t="s">
        <v>28</v>
      </c>
      <c r="P3679" t="s">
        <v>29</v>
      </c>
      <c r="Q3679">
        <v>29</v>
      </c>
      <c r="R3679">
        <v>-98.5</v>
      </c>
    </row>
    <row r="3680" spans="1:18" x14ac:dyDescent="0.2">
      <c r="A3680" t="s">
        <v>270</v>
      </c>
      <c r="B3680" t="s">
        <v>10394</v>
      </c>
      <c r="C3680">
        <v>1</v>
      </c>
      <c r="D3680" s="1">
        <v>44096.366863425923</v>
      </c>
      <c r="E3680" t="s">
        <v>11506</v>
      </c>
      <c r="F3680" t="s">
        <v>273</v>
      </c>
      <c r="G3680" t="s">
        <v>11485</v>
      </c>
      <c r="H3680" t="s">
        <v>275</v>
      </c>
      <c r="I3680" t="s">
        <v>29</v>
      </c>
      <c r="J3680">
        <v>1</v>
      </c>
      <c r="K3680">
        <f>1-844-309-2655</f>
        <v>-3807</v>
      </c>
      <c r="L3680" t="s">
        <v>11507</v>
      </c>
      <c r="M3680" t="s">
        <v>11508</v>
      </c>
      <c r="N3680" t="s">
        <v>278</v>
      </c>
      <c r="O3680" t="s">
        <v>28</v>
      </c>
      <c r="P3680" t="s">
        <v>29</v>
      </c>
      <c r="Q3680">
        <v>29</v>
      </c>
      <c r="R3680">
        <v>-98.5</v>
      </c>
    </row>
    <row r="3681" spans="1:18" x14ac:dyDescent="0.2">
      <c r="A3681" t="s">
        <v>270</v>
      </c>
      <c r="B3681" t="s">
        <v>10394</v>
      </c>
      <c r="C3681">
        <v>1</v>
      </c>
      <c r="D3681" s="1">
        <v>44096.366377314815</v>
      </c>
      <c r="E3681" t="s">
        <v>11509</v>
      </c>
      <c r="F3681" t="s">
        <v>273</v>
      </c>
      <c r="G3681" t="s">
        <v>11485</v>
      </c>
      <c r="H3681" t="s">
        <v>275</v>
      </c>
      <c r="I3681" t="s">
        <v>29</v>
      </c>
      <c r="J3681">
        <v>1</v>
      </c>
      <c r="K3681">
        <f>1-844-309-2655</f>
        <v>-3807</v>
      </c>
      <c r="L3681" t="s">
        <v>11510</v>
      </c>
      <c r="M3681" t="s">
        <v>11511</v>
      </c>
      <c r="N3681" t="s">
        <v>278</v>
      </c>
      <c r="O3681" t="s">
        <v>28</v>
      </c>
      <c r="P3681" t="s">
        <v>29</v>
      </c>
      <c r="Q3681">
        <v>29</v>
      </c>
      <c r="R3681">
        <v>-98.5</v>
      </c>
    </row>
    <row r="3682" spans="1:18" x14ac:dyDescent="0.2">
      <c r="A3682" t="s">
        <v>270</v>
      </c>
      <c r="B3682" t="s">
        <v>10394</v>
      </c>
      <c r="C3682">
        <v>1</v>
      </c>
      <c r="D3682" s="1">
        <v>44096.366030092591</v>
      </c>
      <c r="E3682" t="s">
        <v>11512</v>
      </c>
      <c r="F3682" t="s">
        <v>273</v>
      </c>
      <c r="G3682" t="s">
        <v>11485</v>
      </c>
      <c r="H3682" t="s">
        <v>275</v>
      </c>
      <c r="I3682" t="s">
        <v>29</v>
      </c>
      <c r="J3682">
        <v>1</v>
      </c>
      <c r="K3682">
        <f>1-844-318-5957</f>
        <v>-7118</v>
      </c>
      <c r="L3682" t="s">
        <v>11513</v>
      </c>
      <c r="M3682" t="s">
        <v>11514</v>
      </c>
      <c r="N3682" t="s">
        <v>278</v>
      </c>
      <c r="O3682" t="s">
        <v>28</v>
      </c>
      <c r="P3682" t="s">
        <v>29</v>
      </c>
      <c r="Q3682">
        <v>29</v>
      </c>
      <c r="R3682">
        <v>-98.5</v>
      </c>
    </row>
    <row r="3683" spans="1:18" x14ac:dyDescent="0.2">
      <c r="A3683" t="s">
        <v>270</v>
      </c>
      <c r="B3683" t="s">
        <v>10394</v>
      </c>
      <c r="C3683">
        <v>1</v>
      </c>
      <c r="D3683" s="1">
        <v>44096.365972222222</v>
      </c>
      <c r="E3683" t="s">
        <v>11515</v>
      </c>
      <c r="F3683" t="s">
        <v>273</v>
      </c>
      <c r="G3683" t="s">
        <v>11485</v>
      </c>
      <c r="H3683" t="s">
        <v>275</v>
      </c>
      <c r="I3683" t="s">
        <v>29</v>
      </c>
      <c r="J3683">
        <v>1</v>
      </c>
      <c r="K3683">
        <f>1-844-290-1224</f>
        <v>-2357</v>
      </c>
      <c r="L3683" t="s">
        <v>11516</v>
      </c>
      <c r="M3683" t="s">
        <v>11517</v>
      </c>
      <c r="N3683" t="s">
        <v>278</v>
      </c>
      <c r="O3683" t="s">
        <v>28</v>
      </c>
      <c r="P3683" t="s">
        <v>29</v>
      </c>
      <c r="Q3683">
        <v>29</v>
      </c>
      <c r="R3683">
        <v>-98.5</v>
      </c>
    </row>
    <row r="3684" spans="1:18" x14ac:dyDescent="0.2">
      <c r="A3684" t="s">
        <v>270</v>
      </c>
      <c r="B3684" t="s">
        <v>10394</v>
      </c>
      <c r="C3684">
        <v>1</v>
      </c>
      <c r="D3684" s="1">
        <v>44089.838761574072</v>
      </c>
      <c r="E3684" t="s">
        <v>11518</v>
      </c>
      <c r="F3684" t="s">
        <v>273</v>
      </c>
      <c r="G3684" t="s">
        <v>11485</v>
      </c>
      <c r="H3684" t="s">
        <v>275</v>
      </c>
      <c r="I3684" t="s">
        <v>29</v>
      </c>
      <c r="J3684">
        <v>1</v>
      </c>
      <c r="K3684">
        <f>1-844-233-1380</f>
        <v>-2456</v>
      </c>
      <c r="L3684" t="s">
        <v>11519</v>
      </c>
      <c r="M3684" t="s">
        <v>11520</v>
      </c>
      <c r="N3684" t="s">
        <v>278</v>
      </c>
      <c r="O3684" t="s">
        <v>28</v>
      </c>
      <c r="P3684" t="s">
        <v>29</v>
      </c>
      <c r="Q3684">
        <v>29</v>
      </c>
      <c r="R3684">
        <v>-98.5</v>
      </c>
    </row>
    <row r="3685" spans="1:18" x14ac:dyDescent="0.2">
      <c r="A3685" t="s">
        <v>270</v>
      </c>
      <c r="B3685" t="s">
        <v>10394</v>
      </c>
      <c r="C3685">
        <v>1</v>
      </c>
      <c r="D3685" s="1">
        <v>44089.810555555552</v>
      </c>
      <c r="E3685" t="s">
        <v>11521</v>
      </c>
      <c r="F3685" t="s">
        <v>273</v>
      </c>
      <c r="G3685" t="s">
        <v>11485</v>
      </c>
      <c r="H3685" t="s">
        <v>275</v>
      </c>
      <c r="I3685" t="s">
        <v>29</v>
      </c>
      <c r="J3685">
        <v>1</v>
      </c>
      <c r="K3685">
        <f>1-844-233-1380</f>
        <v>-2456</v>
      </c>
      <c r="L3685" t="s">
        <v>11522</v>
      </c>
      <c r="M3685" t="s">
        <v>11523</v>
      </c>
      <c r="N3685" t="s">
        <v>278</v>
      </c>
      <c r="O3685" t="s">
        <v>28</v>
      </c>
      <c r="P3685" t="s">
        <v>29</v>
      </c>
      <c r="Q3685">
        <v>29</v>
      </c>
      <c r="R3685">
        <v>-98.5</v>
      </c>
    </row>
    <row r="3686" spans="1:18" x14ac:dyDescent="0.2">
      <c r="A3686" t="s">
        <v>270</v>
      </c>
      <c r="B3686" t="s">
        <v>10394</v>
      </c>
      <c r="C3686">
        <v>1</v>
      </c>
      <c r="D3686" s="1">
        <v>44089.432129629633</v>
      </c>
      <c r="E3686" t="s">
        <v>11524</v>
      </c>
      <c r="F3686" t="s">
        <v>273</v>
      </c>
      <c r="G3686" t="s">
        <v>11485</v>
      </c>
      <c r="H3686" t="s">
        <v>275</v>
      </c>
      <c r="I3686" t="s">
        <v>29</v>
      </c>
      <c r="J3686">
        <v>1</v>
      </c>
      <c r="K3686">
        <f>1-844-210-4337</f>
        <v>-5390</v>
      </c>
      <c r="L3686" t="s">
        <v>11525</v>
      </c>
      <c r="M3686" t="s">
        <v>11526</v>
      </c>
      <c r="N3686" t="s">
        <v>278</v>
      </c>
      <c r="O3686" t="s">
        <v>28</v>
      </c>
      <c r="P3686" t="s">
        <v>29</v>
      </c>
      <c r="Q3686">
        <v>29</v>
      </c>
      <c r="R3686">
        <v>-98.5</v>
      </c>
    </row>
    <row r="3687" spans="1:18" x14ac:dyDescent="0.2">
      <c r="A3687" t="s">
        <v>270</v>
      </c>
      <c r="B3687" t="s">
        <v>10394</v>
      </c>
      <c r="C3687">
        <v>1</v>
      </c>
      <c r="D3687" s="1">
        <v>44089.431585648148</v>
      </c>
      <c r="E3687" t="s">
        <v>11527</v>
      </c>
      <c r="F3687" t="s">
        <v>273</v>
      </c>
      <c r="G3687" t="s">
        <v>11485</v>
      </c>
      <c r="H3687" t="s">
        <v>275</v>
      </c>
      <c r="I3687" t="s">
        <v>29</v>
      </c>
      <c r="J3687">
        <v>1</v>
      </c>
      <c r="K3687">
        <f>1-844-210-4337</f>
        <v>-5390</v>
      </c>
      <c r="L3687" t="s">
        <v>11528</v>
      </c>
      <c r="M3687" t="s">
        <v>11529</v>
      </c>
      <c r="N3687" t="s">
        <v>278</v>
      </c>
      <c r="O3687" t="s">
        <v>28</v>
      </c>
      <c r="P3687" t="s">
        <v>29</v>
      </c>
      <c r="Q3687">
        <v>29</v>
      </c>
      <c r="R3687">
        <v>-98.5</v>
      </c>
    </row>
    <row r="3688" spans="1:18" x14ac:dyDescent="0.2">
      <c r="A3688" t="s">
        <v>270</v>
      </c>
      <c r="B3688" t="s">
        <v>10394</v>
      </c>
      <c r="C3688">
        <v>1</v>
      </c>
      <c r="D3688" s="1">
        <v>44089.431342592594</v>
      </c>
      <c r="E3688" t="s">
        <v>11530</v>
      </c>
      <c r="F3688" t="s">
        <v>273</v>
      </c>
      <c r="G3688" t="s">
        <v>11485</v>
      </c>
      <c r="H3688" t="s">
        <v>275</v>
      </c>
      <c r="I3688" t="s">
        <v>29</v>
      </c>
      <c r="J3688">
        <v>1</v>
      </c>
      <c r="K3688">
        <f>1-844-210-4337</f>
        <v>-5390</v>
      </c>
      <c r="L3688" t="s">
        <v>11531</v>
      </c>
      <c r="M3688" t="s">
        <v>11532</v>
      </c>
      <c r="N3688" t="s">
        <v>278</v>
      </c>
      <c r="O3688" t="s">
        <v>28</v>
      </c>
      <c r="P3688" t="s">
        <v>29</v>
      </c>
      <c r="Q3688">
        <v>29</v>
      </c>
      <c r="R3688">
        <v>-98.5</v>
      </c>
    </row>
    <row r="3689" spans="1:18" x14ac:dyDescent="0.2">
      <c r="A3689" t="s">
        <v>270</v>
      </c>
      <c r="B3689" t="s">
        <v>10394</v>
      </c>
      <c r="C3689">
        <v>1</v>
      </c>
      <c r="D3689" s="1">
        <v>44088.940578703703</v>
      </c>
      <c r="E3689" t="s">
        <v>11533</v>
      </c>
      <c r="F3689" t="s">
        <v>273</v>
      </c>
      <c r="G3689" t="s">
        <v>11485</v>
      </c>
      <c r="H3689" t="s">
        <v>275</v>
      </c>
      <c r="I3689" t="s">
        <v>29</v>
      </c>
      <c r="J3689">
        <v>1</v>
      </c>
      <c r="K3689">
        <f>1-844-210-4337</f>
        <v>-5390</v>
      </c>
      <c r="L3689" t="s">
        <v>11534</v>
      </c>
      <c r="M3689" t="s">
        <v>11535</v>
      </c>
      <c r="N3689" t="s">
        <v>278</v>
      </c>
      <c r="O3689" t="s">
        <v>28</v>
      </c>
      <c r="P3689" t="s">
        <v>29</v>
      </c>
      <c r="Q3689">
        <v>29</v>
      </c>
      <c r="R3689">
        <v>-98.5</v>
      </c>
    </row>
    <row r="3690" spans="1:18" x14ac:dyDescent="0.2">
      <c r="A3690" t="s">
        <v>270</v>
      </c>
      <c r="B3690" t="s">
        <v>10394</v>
      </c>
      <c r="C3690">
        <v>1</v>
      </c>
      <c r="D3690" s="1">
        <v>44088.771898148145</v>
      </c>
      <c r="E3690" t="s">
        <v>11536</v>
      </c>
      <c r="F3690" t="s">
        <v>273</v>
      </c>
      <c r="G3690" t="s">
        <v>11485</v>
      </c>
      <c r="H3690" t="s">
        <v>275</v>
      </c>
      <c r="I3690" t="s">
        <v>29</v>
      </c>
      <c r="J3690">
        <v>1</v>
      </c>
      <c r="K3690">
        <f>1-844-212-7353</f>
        <v>-8408</v>
      </c>
      <c r="L3690" t="s">
        <v>11537</v>
      </c>
      <c r="M3690" t="s">
        <v>11538</v>
      </c>
      <c r="N3690" t="s">
        <v>278</v>
      </c>
      <c r="O3690" t="s">
        <v>28</v>
      </c>
      <c r="P3690" t="s">
        <v>29</v>
      </c>
      <c r="Q3690">
        <v>29</v>
      </c>
      <c r="R3690">
        <v>-98.5</v>
      </c>
    </row>
    <row r="3691" spans="1:18" x14ac:dyDescent="0.2">
      <c r="A3691" t="s">
        <v>270</v>
      </c>
      <c r="B3691" t="s">
        <v>10394</v>
      </c>
      <c r="C3691">
        <v>1</v>
      </c>
      <c r="D3691" s="1">
        <v>44084.785000000003</v>
      </c>
      <c r="E3691" t="s">
        <v>11539</v>
      </c>
      <c r="F3691" t="s">
        <v>273</v>
      </c>
      <c r="G3691" t="s">
        <v>11485</v>
      </c>
      <c r="H3691" t="s">
        <v>275</v>
      </c>
      <c r="I3691" t="s">
        <v>29</v>
      </c>
      <c r="J3691">
        <v>1</v>
      </c>
      <c r="K3691">
        <f>1-844-318-7909</f>
        <v>-9070</v>
      </c>
      <c r="L3691" t="s">
        <v>11540</v>
      </c>
      <c r="M3691" t="s">
        <v>11541</v>
      </c>
      <c r="N3691" t="s">
        <v>278</v>
      </c>
      <c r="O3691" t="s">
        <v>28</v>
      </c>
      <c r="P3691" t="s">
        <v>29</v>
      </c>
      <c r="Q3691">
        <v>29</v>
      </c>
      <c r="R3691">
        <v>-98.5</v>
      </c>
    </row>
    <row r="3692" spans="1:18" x14ac:dyDescent="0.2">
      <c r="A3692" t="s">
        <v>270</v>
      </c>
      <c r="B3692" t="s">
        <v>10394</v>
      </c>
      <c r="C3692">
        <v>1</v>
      </c>
      <c r="D3692" s="1">
        <v>44084.782754629632</v>
      </c>
      <c r="E3692" t="s">
        <v>11542</v>
      </c>
      <c r="F3692" t="s">
        <v>273</v>
      </c>
      <c r="G3692" t="s">
        <v>11485</v>
      </c>
      <c r="H3692" t="s">
        <v>275</v>
      </c>
      <c r="I3692" t="s">
        <v>29</v>
      </c>
      <c r="J3692">
        <v>1</v>
      </c>
      <c r="K3692">
        <f>1-888-608-5109</f>
        <v>-6604</v>
      </c>
      <c r="L3692" t="s">
        <v>11543</v>
      </c>
      <c r="M3692" t="s">
        <v>11544</v>
      </c>
      <c r="N3692" t="s">
        <v>278</v>
      </c>
      <c r="O3692" t="s">
        <v>28</v>
      </c>
      <c r="P3692" t="s">
        <v>29</v>
      </c>
      <c r="Q3692">
        <v>29</v>
      </c>
      <c r="R3692">
        <v>-98.5</v>
      </c>
    </row>
    <row r="3693" spans="1:18" x14ac:dyDescent="0.2">
      <c r="A3693" t="s">
        <v>270</v>
      </c>
      <c r="B3693" t="s">
        <v>10394</v>
      </c>
      <c r="C3693">
        <v>1</v>
      </c>
      <c r="D3693" s="1">
        <v>44084.781215277777</v>
      </c>
      <c r="E3693" t="s">
        <v>11545</v>
      </c>
      <c r="F3693" t="s">
        <v>273</v>
      </c>
      <c r="G3693" t="s">
        <v>11485</v>
      </c>
      <c r="H3693" t="s">
        <v>275</v>
      </c>
      <c r="I3693" t="s">
        <v>29</v>
      </c>
      <c r="J3693">
        <v>1</v>
      </c>
      <c r="K3693">
        <f>1-888-608-5109</f>
        <v>-6604</v>
      </c>
      <c r="L3693" t="s">
        <v>11546</v>
      </c>
      <c r="M3693" t="s">
        <v>11547</v>
      </c>
      <c r="N3693" t="s">
        <v>278</v>
      </c>
      <c r="O3693" t="s">
        <v>28</v>
      </c>
      <c r="P3693" t="s">
        <v>29</v>
      </c>
      <c r="Q3693">
        <v>29</v>
      </c>
      <c r="R3693">
        <v>-98.5</v>
      </c>
    </row>
    <row r="3694" spans="1:18" x14ac:dyDescent="0.2">
      <c r="A3694" t="s">
        <v>270</v>
      </c>
      <c r="B3694" t="s">
        <v>10394</v>
      </c>
      <c r="C3694">
        <v>1</v>
      </c>
      <c r="D3694" s="1">
        <v>44083.915590277778</v>
      </c>
      <c r="E3694" t="s">
        <v>11548</v>
      </c>
      <c r="F3694" t="s">
        <v>273</v>
      </c>
      <c r="G3694" t="s">
        <v>11485</v>
      </c>
      <c r="H3694" t="s">
        <v>275</v>
      </c>
      <c r="I3694" t="s">
        <v>29</v>
      </c>
      <c r="J3694">
        <v>1</v>
      </c>
      <c r="K3694">
        <f>1-888-585-4129</f>
        <v>-5601</v>
      </c>
      <c r="L3694" t="s">
        <v>11549</v>
      </c>
      <c r="M3694" t="s">
        <v>11550</v>
      </c>
      <c r="N3694" t="s">
        <v>278</v>
      </c>
      <c r="O3694" t="s">
        <v>28</v>
      </c>
      <c r="P3694" t="s">
        <v>29</v>
      </c>
      <c r="Q3694">
        <v>29</v>
      </c>
      <c r="R3694">
        <v>-98.5</v>
      </c>
    </row>
    <row r="3695" spans="1:18" x14ac:dyDescent="0.2">
      <c r="A3695" t="s">
        <v>270</v>
      </c>
      <c r="B3695" t="s">
        <v>10394</v>
      </c>
      <c r="C3695">
        <v>1</v>
      </c>
      <c r="D3695" s="1">
        <v>44083.845266203702</v>
      </c>
      <c r="E3695" t="s">
        <v>11551</v>
      </c>
      <c r="F3695" t="s">
        <v>273</v>
      </c>
      <c r="G3695" t="s">
        <v>11485</v>
      </c>
      <c r="H3695" t="s">
        <v>275</v>
      </c>
      <c r="I3695" t="s">
        <v>29</v>
      </c>
      <c r="J3695">
        <v>1</v>
      </c>
      <c r="K3695">
        <f>1-888-599-4298</f>
        <v>-5784</v>
      </c>
      <c r="L3695" t="s">
        <v>11552</v>
      </c>
      <c r="M3695" t="s">
        <v>11553</v>
      </c>
      <c r="N3695" t="s">
        <v>278</v>
      </c>
      <c r="O3695" t="s">
        <v>28</v>
      </c>
      <c r="P3695" t="s">
        <v>29</v>
      </c>
      <c r="Q3695">
        <v>29</v>
      </c>
      <c r="R3695">
        <v>-98.5</v>
      </c>
    </row>
    <row r="3696" spans="1:18" x14ac:dyDescent="0.2">
      <c r="A3696" t="s">
        <v>270</v>
      </c>
      <c r="B3696" t="s">
        <v>10394</v>
      </c>
      <c r="C3696">
        <v>1</v>
      </c>
      <c r="D3696" s="1">
        <v>44083.830300925925</v>
      </c>
      <c r="E3696" t="s">
        <v>11554</v>
      </c>
      <c r="F3696" t="s">
        <v>273</v>
      </c>
      <c r="G3696" t="s">
        <v>11485</v>
      </c>
      <c r="H3696" t="s">
        <v>275</v>
      </c>
      <c r="I3696" t="s">
        <v>29</v>
      </c>
      <c r="J3696">
        <v>1</v>
      </c>
      <c r="K3696">
        <f>1-888-585-6916</f>
        <v>-8388</v>
      </c>
      <c r="L3696" t="s">
        <v>11555</v>
      </c>
      <c r="M3696" t="s">
        <v>11556</v>
      </c>
      <c r="N3696" t="s">
        <v>278</v>
      </c>
      <c r="O3696" t="s">
        <v>28</v>
      </c>
      <c r="P3696" t="s">
        <v>29</v>
      </c>
      <c r="Q3696">
        <v>29</v>
      </c>
      <c r="R3696">
        <v>-98.5</v>
      </c>
    </row>
    <row r="3697" spans="1:18" x14ac:dyDescent="0.2">
      <c r="A3697" t="s">
        <v>270</v>
      </c>
      <c r="B3697" t="s">
        <v>10394</v>
      </c>
      <c r="C3697">
        <v>1</v>
      </c>
      <c r="D3697" s="1">
        <v>44083.828912037039</v>
      </c>
      <c r="E3697" t="s">
        <v>11557</v>
      </c>
      <c r="F3697" t="s">
        <v>273</v>
      </c>
      <c r="G3697" t="s">
        <v>11485</v>
      </c>
      <c r="H3697" t="s">
        <v>275</v>
      </c>
      <c r="I3697" t="s">
        <v>29</v>
      </c>
      <c r="J3697">
        <v>1</v>
      </c>
      <c r="K3697">
        <f>1-888-585-7516</f>
        <v>-8988</v>
      </c>
      <c r="L3697" t="s">
        <v>11558</v>
      </c>
      <c r="M3697" t="s">
        <v>11559</v>
      </c>
      <c r="N3697" t="s">
        <v>278</v>
      </c>
      <c r="O3697" t="s">
        <v>28</v>
      </c>
      <c r="P3697" t="s">
        <v>29</v>
      </c>
      <c r="Q3697">
        <v>29</v>
      </c>
      <c r="R3697">
        <v>-98.5</v>
      </c>
    </row>
    <row r="3698" spans="1:18" x14ac:dyDescent="0.2">
      <c r="A3698" t="s">
        <v>270</v>
      </c>
      <c r="B3698" t="s">
        <v>10394</v>
      </c>
      <c r="C3698">
        <v>1</v>
      </c>
      <c r="D3698" s="1">
        <v>44083.805046296293</v>
      </c>
      <c r="E3698" t="s">
        <v>11560</v>
      </c>
      <c r="F3698" t="s">
        <v>273</v>
      </c>
      <c r="G3698" t="s">
        <v>11485</v>
      </c>
      <c r="H3698" t="s">
        <v>275</v>
      </c>
      <c r="I3698" t="s">
        <v>29</v>
      </c>
      <c r="J3698">
        <v>1</v>
      </c>
      <c r="K3698">
        <f>1-888-592-7014</f>
        <v>-8493</v>
      </c>
      <c r="L3698" t="s">
        <v>11561</v>
      </c>
      <c r="M3698" t="s">
        <v>11562</v>
      </c>
      <c r="N3698" t="s">
        <v>278</v>
      </c>
      <c r="O3698" t="s">
        <v>28</v>
      </c>
      <c r="P3698" t="s">
        <v>29</v>
      </c>
      <c r="Q3698">
        <v>29</v>
      </c>
      <c r="R3698">
        <v>-98.5</v>
      </c>
    </row>
    <row r="3699" spans="1:18" x14ac:dyDescent="0.2">
      <c r="A3699" t="s">
        <v>270</v>
      </c>
      <c r="B3699" t="s">
        <v>10394</v>
      </c>
      <c r="C3699">
        <v>1</v>
      </c>
      <c r="D3699" s="1">
        <v>44083.801736111112</v>
      </c>
      <c r="E3699" t="s">
        <v>11563</v>
      </c>
      <c r="F3699" t="s">
        <v>273</v>
      </c>
      <c r="G3699" t="s">
        <v>11485</v>
      </c>
      <c r="H3699" t="s">
        <v>275</v>
      </c>
      <c r="I3699" t="s">
        <v>29</v>
      </c>
      <c r="J3699">
        <v>1</v>
      </c>
      <c r="K3699">
        <f>1-888-585-7516</f>
        <v>-8988</v>
      </c>
      <c r="L3699" t="s">
        <v>11564</v>
      </c>
      <c r="M3699" t="s">
        <v>11565</v>
      </c>
      <c r="N3699" t="s">
        <v>278</v>
      </c>
      <c r="O3699" t="s">
        <v>28</v>
      </c>
      <c r="P3699" t="s">
        <v>29</v>
      </c>
      <c r="Q3699">
        <v>29</v>
      </c>
      <c r="R3699">
        <v>-98.5</v>
      </c>
    </row>
    <row r="3700" spans="1:18" x14ac:dyDescent="0.2">
      <c r="A3700" t="s">
        <v>270</v>
      </c>
      <c r="B3700" t="s">
        <v>10394</v>
      </c>
      <c r="C3700">
        <v>1</v>
      </c>
      <c r="D3700" s="1">
        <v>44083.800833333335</v>
      </c>
      <c r="E3700" t="s">
        <v>11566</v>
      </c>
      <c r="F3700" t="s">
        <v>273</v>
      </c>
      <c r="G3700" t="s">
        <v>11485</v>
      </c>
      <c r="H3700" t="s">
        <v>275</v>
      </c>
      <c r="I3700" t="s">
        <v>29</v>
      </c>
      <c r="J3700">
        <v>1</v>
      </c>
      <c r="K3700">
        <f>1-888-599-5036</f>
        <v>-6522</v>
      </c>
      <c r="L3700" t="s">
        <v>11567</v>
      </c>
      <c r="M3700" t="s">
        <v>11568</v>
      </c>
      <c r="N3700" t="s">
        <v>278</v>
      </c>
      <c r="O3700" t="s">
        <v>28</v>
      </c>
      <c r="P3700" t="s">
        <v>29</v>
      </c>
      <c r="Q3700">
        <v>29</v>
      </c>
      <c r="R3700">
        <v>-98.5</v>
      </c>
    </row>
    <row r="3701" spans="1:18" x14ac:dyDescent="0.2">
      <c r="A3701" t="s">
        <v>270</v>
      </c>
      <c r="B3701" t="s">
        <v>10394</v>
      </c>
      <c r="C3701">
        <v>1</v>
      </c>
      <c r="D3701" s="1">
        <v>44083.745520833334</v>
      </c>
      <c r="E3701" t="s">
        <v>11569</v>
      </c>
      <c r="F3701" t="s">
        <v>273</v>
      </c>
      <c r="G3701" t="s">
        <v>11485</v>
      </c>
      <c r="H3701" t="s">
        <v>275</v>
      </c>
      <c r="I3701" t="s">
        <v>29</v>
      </c>
      <c r="J3701">
        <v>1</v>
      </c>
      <c r="K3701">
        <f>1-888-599-5036</f>
        <v>-6522</v>
      </c>
      <c r="L3701" t="s">
        <v>11570</v>
      </c>
      <c r="M3701" t="s">
        <v>11571</v>
      </c>
      <c r="N3701" t="s">
        <v>278</v>
      </c>
      <c r="O3701" t="s">
        <v>28</v>
      </c>
      <c r="P3701" t="s">
        <v>29</v>
      </c>
      <c r="Q3701">
        <v>29</v>
      </c>
      <c r="R3701">
        <v>-98.5</v>
      </c>
    </row>
    <row r="3702" spans="1:18" x14ac:dyDescent="0.2">
      <c r="A3702" t="s">
        <v>270</v>
      </c>
      <c r="B3702" t="s">
        <v>10394</v>
      </c>
      <c r="C3702">
        <v>1</v>
      </c>
      <c r="D3702" s="1">
        <v>44082.947025462963</v>
      </c>
      <c r="E3702" t="s">
        <v>11572</v>
      </c>
      <c r="F3702" t="s">
        <v>273</v>
      </c>
      <c r="G3702" t="s">
        <v>11485</v>
      </c>
      <c r="H3702" t="s">
        <v>275</v>
      </c>
      <c r="I3702" t="s">
        <v>29</v>
      </c>
      <c r="J3702">
        <v>1</v>
      </c>
      <c r="K3702">
        <f>1-888-592-8059</f>
        <v>-9538</v>
      </c>
      <c r="L3702" t="s">
        <v>11573</v>
      </c>
      <c r="M3702" t="s">
        <v>11574</v>
      </c>
      <c r="N3702" t="s">
        <v>278</v>
      </c>
      <c r="O3702" t="s">
        <v>28</v>
      </c>
      <c r="P3702" t="s">
        <v>29</v>
      </c>
      <c r="Q3702">
        <v>29</v>
      </c>
      <c r="R3702">
        <v>-98.5</v>
      </c>
    </row>
    <row r="3703" spans="1:18" x14ac:dyDescent="0.2">
      <c r="A3703" t="s">
        <v>270</v>
      </c>
      <c r="B3703" t="s">
        <v>10394</v>
      </c>
      <c r="C3703">
        <v>1</v>
      </c>
      <c r="D3703" s="1">
        <v>44082.946550925924</v>
      </c>
      <c r="E3703" t="s">
        <v>11575</v>
      </c>
      <c r="F3703" t="s">
        <v>273</v>
      </c>
      <c r="G3703" t="s">
        <v>11485</v>
      </c>
      <c r="H3703" t="s">
        <v>275</v>
      </c>
      <c r="I3703" t="s">
        <v>29</v>
      </c>
      <c r="J3703">
        <v>1</v>
      </c>
      <c r="K3703">
        <f>1-888-585-7311</f>
        <v>-8783</v>
      </c>
      <c r="L3703" t="s">
        <v>11576</v>
      </c>
      <c r="M3703" t="s">
        <v>11577</v>
      </c>
      <c r="N3703" t="s">
        <v>278</v>
      </c>
      <c r="O3703" t="s">
        <v>28</v>
      </c>
      <c r="P3703" t="s">
        <v>29</v>
      </c>
      <c r="Q3703">
        <v>29</v>
      </c>
      <c r="R3703">
        <v>-98.5</v>
      </c>
    </row>
    <row r="3704" spans="1:18" x14ac:dyDescent="0.2">
      <c r="A3704" t="s">
        <v>270</v>
      </c>
      <c r="B3704" t="s">
        <v>10394</v>
      </c>
      <c r="C3704">
        <v>1</v>
      </c>
      <c r="D3704" s="1">
        <v>44074.929282407407</v>
      </c>
      <c r="E3704" t="s">
        <v>11578</v>
      </c>
      <c r="F3704" t="s">
        <v>273</v>
      </c>
      <c r="G3704" t="s">
        <v>11485</v>
      </c>
      <c r="H3704" t="s">
        <v>275</v>
      </c>
      <c r="I3704" t="s">
        <v>29</v>
      </c>
      <c r="J3704">
        <v>1</v>
      </c>
      <c r="K3704">
        <f>1-888-590-4165</f>
        <v>-5642</v>
      </c>
      <c r="L3704" t="s">
        <v>11579</v>
      </c>
      <c r="M3704" t="s">
        <v>11580</v>
      </c>
      <c r="N3704" t="s">
        <v>278</v>
      </c>
      <c r="O3704" t="s">
        <v>28</v>
      </c>
      <c r="P3704" t="s">
        <v>29</v>
      </c>
      <c r="Q3704">
        <v>29</v>
      </c>
      <c r="R3704">
        <v>-98.5</v>
      </c>
    </row>
    <row r="3705" spans="1:18" x14ac:dyDescent="0.2">
      <c r="A3705" t="s">
        <v>270</v>
      </c>
      <c r="B3705" t="s">
        <v>10394</v>
      </c>
      <c r="C3705">
        <v>1</v>
      </c>
      <c r="D3705" s="1">
        <v>44073.928206018521</v>
      </c>
      <c r="E3705" t="s">
        <v>11581</v>
      </c>
      <c r="F3705" t="s">
        <v>273</v>
      </c>
      <c r="G3705" t="s">
        <v>11485</v>
      </c>
      <c r="H3705" t="s">
        <v>275</v>
      </c>
      <c r="I3705" t="s">
        <v>29</v>
      </c>
      <c r="J3705">
        <v>1</v>
      </c>
      <c r="K3705">
        <f>1-888-531-9415</f>
        <v>-10833</v>
      </c>
      <c r="L3705" t="s">
        <v>11582</v>
      </c>
      <c r="M3705" t="s">
        <v>11583</v>
      </c>
      <c r="N3705" t="s">
        <v>278</v>
      </c>
      <c r="O3705" t="s">
        <v>134</v>
      </c>
      <c r="P3705" t="s">
        <v>29</v>
      </c>
      <c r="Q3705">
        <v>29</v>
      </c>
      <c r="R3705">
        <v>-98.5</v>
      </c>
    </row>
    <row r="3706" spans="1:18" x14ac:dyDescent="0.2">
      <c r="A3706" t="s">
        <v>270</v>
      </c>
      <c r="B3706" t="s">
        <v>10394</v>
      </c>
      <c r="C3706">
        <v>1</v>
      </c>
      <c r="D3706" s="1">
        <v>44073.927118055559</v>
      </c>
      <c r="E3706" t="s">
        <v>11584</v>
      </c>
      <c r="F3706" t="s">
        <v>273</v>
      </c>
      <c r="G3706" t="s">
        <v>11485</v>
      </c>
      <c r="H3706" t="s">
        <v>275</v>
      </c>
      <c r="I3706" t="s">
        <v>29</v>
      </c>
      <c r="J3706">
        <v>1</v>
      </c>
      <c r="K3706">
        <f>1-888-539-274</f>
        <v>-1700</v>
      </c>
      <c r="L3706" t="s">
        <v>11585</v>
      </c>
      <c r="M3706" t="s">
        <v>11586</v>
      </c>
      <c r="N3706" t="s">
        <v>278</v>
      </c>
      <c r="O3706" t="s">
        <v>134</v>
      </c>
      <c r="P3706" t="s">
        <v>29</v>
      </c>
      <c r="Q3706">
        <v>29</v>
      </c>
      <c r="R3706">
        <v>-98.5</v>
      </c>
    </row>
    <row r="3707" spans="1:18" x14ac:dyDescent="0.2">
      <c r="A3707" t="s">
        <v>270</v>
      </c>
      <c r="B3707" t="s">
        <v>10394</v>
      </c>
      <c r="C3707">
        <v>1</v>
      </c>
      <c r="D3707" s="1">
        <v>44073.028136574074</v>
      </c>
      <c r="E3707" t="s">
        <v>11587</v>
      </c>
      <c r="F3707" t="s">
        <v>273</v>
      </c>
      <c r="G3707" t="s">
        <v>11485</v>
      </c>
      <c r="H3707" t="s">
        <v>275</v>
      </c>
      <c r="I3707" t="s">
        <v>29</v>
      </c>
      <c r="J3707">
        <v>1</v>
      </c>
      <c r="K3707">
        <f>1-888-441-3235</f>
        <v>-4563</v>
      </c>
      <c r="L3707" t="s">
        <v>11588</v>
      </c>
      <c r="M3707" t="s">
        <v>11589</v>
      </c>
      <c r="N3707" t="s">
        <v>278</v>
      </c>
      <c r="O3707" t="s">
        <v>134</v>
      </c>
      <c r="P3707" t="s">
        <v>29</v>
      </c>
      <c r="Q3707">
        <v>29</v>
      </c>
      <c r="R3707">
        <v>-98.5</v>
      </c>
    </row>
    <row r="3708" spans="1:18" x14ac:dyDescent="0.2">
      <c r="A3708" t="s">
        <v>270</v>
      </c>
      <c r="B3708" t="s">
        <v>10394</v>
      </c>
      <c r="C3708">
        <v>1</v>
      </c>
      <c r="D3708" s="1">
        <v>44073.027280092596</v>
      </c>
      <c r="E3708" t="s">
        <v>11590</v>
      </c>
      <c r="F3708" t="s">
        <v>273</v>
      </c>
      <c r="G3708" t="s">
        <v>11485</v>
      </c>
      <c r="H3708" t="s">
        <v>275</v>
      </c>
      <c r="I3708" t="s">
        <v>29</v>
      </c>
      <c r="J3708">
        <v>1</v>
      </c>
      <c r="K3708">
        <f>1-888-909-1336</f>
        <v>-3132</v>
      </c>
      <c r="L3708" t="s">
        <v>11591</v>
      </c>
      <c r="M3708" t="s">
        <v>11592</v>
      </c>
      <c r="N3708" t="s">
        <v>278</v>
      </c>
      <c r="O3708" t="s">
        <v>134</v>
      </c>
      <c r="P3708" t="s">
        <v>29</v>
      </c>
      <c r="Q3708">
        <v>29</v>
      </c>
      <c r="R3708">
        <v>-98.5</v>
      </c>
    </row>
    <row r="3709" spans="1:18" x14ac:dyDescent="0.2">
      <c r="A3709" t="s">
        <v>270</v>
      </c>
      <c r="B3709" t="s">
        <v>10394</v>
      </c>
      <c r="C3709">
        <v>1</v>
      </c>
      <c r="D3709" s="1">
        <v>44073.026423611111</v>
      </c>
      <c r="E3709" t="s">
        <v>11593</v>
      </c>
      <c r="F3709" t="s">
        <v>273</v>
      </c>
      <c r="G3709" t="s">
        <v>11485</v>
      </c>
      <c r="H3709" t="s">
        <v>275</v>
      </c>
      <c r="I3709" t="s">
        <v>29</v>
      </c>
      <c r="J3709">
        <v>1</v>
      </c>
      <c r="K3709">
        <f>1-888-598-1511</f>
        <v>-2996</v>
      </c>
      <c r="L3709" t="s">
        <v>11594</v>
      </c>
      <c r="M3709" t="s">
        <v>11595</v>
      </c>
      <c r="N3709" t="s">
        <v>278</v>
      </c>
      <c r="O3709" t="s">
        <v>134</v>
      </c>
      <c r="P3709" t="s">
        <v>29</v>
      </c>
      <c r="Q3709">
        <v>29</v>
      </c>
      <c r="R3709">
        <v>-98.5</v>
      </c>
    </row>
    <row r="3710" spans="1:18" x14ac:dyDescent="0.2">
      <c r="A3710" t="s">
        <v>270</v>
      </c>
      <c r="B3710" t="s">
        <v>10394</v>
      </c>
      <c r="C3710">
        <v>1</v>
      </c>
      <c r="D3710" s="1">
        <v>44072.869525462964</v>
      </c>
      <c r="E3710" t="s">
        <v>11596</v>
      </c>
      <c r="F3710" t="s">
        <v>273</v>
      </c>
      <c r="G3710" t="s">
        <v>11485</v>
      </c>
      <c r="H3710" t="s">
        <v>275</v>
      </c>
      <c r="I3710" t="s">
        <v>29</v>
      </c>
      <c r="J3710">
        <v>1</v>
      </c>
      <c r="K3710">
        <f>1-888-650-5539</f>
        <v>-7076</v>
      </c>
      <c r="L3710" t="s">
        <v>11597</v>
      </c>
      <c r="M3710" t="s">
        <v>11598</v>
      </c>
      <c r="N3710" t="s">
        <v>278</v>
      </c>
      <c r="O3710" t="s">
        <v>134</v>
      </c>
      <c r="P3710" t="s">
        <v>29</v>
      </c>
      <c r="Q3710">
        <v>29</v>
      </c>
      <c r="R3710">
        <v>-98.5</v>
      </c>
    </row>
    <row r="3711" spans="1:18" x14ac:dyDescent="0.2">
      <c r="A3711" t="s">
        <v>270</v>
      </c>
      <c r="B3711" t="s">
        <v>10394</v>
      </c>
      <c r="C3711">
        <v>1</v>
      </c>
      <c r="D3711" s="1">
        <v>44072.868796296294</v>
      </c>
      <c r="E3711" t="s">
        <v>11599</v>
      </c>
      <c r="F3711" t="s">
        <v>273</v>
      </c>
      <c r="G3711" t="s">
        <v>11485</v>
      </c>
      <c r="H3711" t="s">
        <v>275</v>
      </c>
      <c r="I3711" t="s">
        <v>29</v>
      </c>
      <c r="J3711">
        <v>1</v>
      </c>
      <c r="K3711">
        <f>1-888-609-3819</f>
        <v>-5315</v>
      </c>
      <c r="L3711" t="s">
        <v>11600</v>
      </c>
      <c r="M3711" t="s">
        <v>11601</v>
      </c>
      <c r="N3711" t="s">
        <v>278</v>
      </c>
      <c r="O3711" t="s">
        <v>134</v>
      </c>
      <c r="P3711" t="s">
        <v>29</v>
      </c>
      <c r="Q3711">
        <v>29</v>
      </c>
      <c r="R3711">
        <v>-98.5</v>
      </c>
    </row>
    <row r="3712" spans="1:18" x14ac:dyDescent="0.2">
      <c r="A3712" t="s">
        <v>270</v>
      </c>
      <c r="B3712" t="s">
        <v>10394</v>
      </c>
      <c r="C3712">
        <v>1</v>
      </c>
      <c r="D3712" s="1">
        <v>44072.865347222221</v>
      </c>
      <c r="E3712" t="s">
        <v>11602</v>
      </c>
      <c r="F3712" t="s">
        <v>273</v>
      </c>
      <c r="G3712" t="s">
        <v>11485</v>
      </c>
      <c r="H3712" t="s">
        <v>275</v>
      </c>
      <c r="I3712" t="s">
        <v>29</v>
      </c>
      <c r="J3712">
        <v>1</v>
      </c>
      <c r="K3712">
        <f>1-888-650-4670</f>
        <v>-6207</v>
      </c>
      <c r="L3712" t="s">
        <v>11603</v>
      </c>
      <c r="M3712" t="s">
        <v>11604</v>
      </c>
      <c r="N3712" t="s">
        <v>278</v>
      </c>
      <c r="O3712" t="s">
        <v>134</v>
      </c>
      <c r="P3712" t="s">
        <v>29</v>
      </c>
      <c r="Q3712">
        <v>29</v>
      </c>
      <c r="R3712">
        <v>-98.5</v>
      </c>
    </row>
    <row r="3713" spans="1:18" x14ac:dyDescent="0.2">
      <c r="A3713" t="s">
        <v>270</v>
      </c>
      <c r="B3713" t="s">
        <v>10394</v>
      </c>
      <c r="C3713">
        <v>1</v>
      </c>
      <c r="D3713" s="1">
        <v>44072.863344907404</v>
      </c>
      <c r="E3713" t="s">
        <v>11605</v>
      </c>
      <c r="F3713" t="s">
        <v>273</v>
      </c>
      <c r="G3713" t="s">
        <v>11485</v>
      </c>
      <c r="H3713" t="s">
        <v>275</v>
      </c>
      <c r="I3713" t="s">
        <v>29</v>
      </c>
      <c r="J3713">
        <v>1</v>
      </c>
      <c r="K3713">
        <f>1-888-658-5805</f>
        <v>-7350</v>
      </c>
      <c r="L3713" t="s">
        <v>11606</v>
      </c>
      <c r="M3713" t="s">
        <v>11607</v>
      </c>
      <c r="N3713" t="s">
        <v>278</v>
      </c>
      <c r="O3713" t="s">
        <v>134</v>
      </c>
      <c r="P3713" t="s">
        <v>29</v>
      </c>
      <c r="Q3713">
        <v>29</v>
      </c>
      <c r="R3713">
        <v>-98.5</v>
      </c>
    </row>
    <row r="3714" spans="1:18" x14ac:dyDescent="0.2">
      <c r="A3714" t="s">
        <v>270</v>
      </c>
      <c r="B3714" t="s">
        <v>10394</v>
      </c>
      <c r="C3714">
        <v>1</v>
      </c>
      <c r="D3714" s="1">
        <v>44072.235567129632</v>
      </c>
      <c r="E3714" t="s">
        <v>11608</v>
      </c>
      <c r="F3714" t="s">
        <v>273</v>
      </c>
      <c r="G3714" t="s">
        <v>11485</v>
      </c>
      <c r="H3714" t="s">
        <v>275</v>
      </c>
      <c r="I3714" t="s">
        <v>29</v>
      </c>
      <c r="J3714">
        <v>1</v>
      </c>
      <c r="K3714">
        <f>1-888-658-5805</f>
        <v>-7350</v>
      </c>
      <c r="L3714" t="s">
        <v>11609</v>
      </c>
      <c r="M3714" t="s">
        <v>11610</v>
      </c>
      <c r="N3714" t="s">
        <v>278</v>
      </c>
      <c r="O3714" t="s">
        <v>134</v>
      </c>
      <c r="P3714" t="s">
        <v>29</v>
      </c>
      <c r="Q3714">
        <v>29</v>
      </c>
      <c r="R3714">
        <v>-98.5</v>
      </c>
    </row>
    <row r="3715" spans="1:18" x14ac:dyDescent="0.2">
      <c r="A3715" t="s">
        <v>270</v>
      </c>
      <c r="B3715" t="s">
        <v>10394</v>
      </c>
      <c r="C3715">
        <v>1</v>
      </c>
      <c r="D3715" s="1">
        <v>44071.836921296293</v>
      </c>
      <c r="E3715" t="s">
        <v>11611</v>
      </c>
      <c r="F3715" t="s">
        <v>273</v>
      </c>
      <c r="G3715" t="s">
        <v>11485</v>
      </c>
      <c r="H3715" t="s">
        <v>275</v>
      </c>
      <c r="I3715" t="s">
        <v>29</v>
      </c>
      <c r="J3715">
        <v>1</v>
      </c>
      <c r="K3715">
        <f>1-888-607-419</f>
        <v>-1913</v>
      </c>
      <c r="L3715" t="s">
        <v>11612</v>
      </c>
      <c r="M3715" t="s">
        <v>11613</v>
      </c>
      <c r="N3715" t="s">
        <v>278</v>
      </c>
      <c r="O3715" t="s">
        <v>28</v>
      </c>
      <c r="P3715" t="s">
        <v>29</v>
      </c>
      <c r="Q3715">
        <v>29</v>
      </c>
      <c r="R3715">
        <v>-98.5</v>
      </c>
    </row>
    <row r="3716" spans="1:18" x14ac:dyDescent="0.2">
      <c r="A3716" t="s">
        <v>270</v>
      </c>
      <c r="B3716" t="s">
        <v>10394</v>
      </c>
      <c r="C3716">
        <v>1</v>
      </c>
      <c r="D3716" s="1">
        <v>44070.869814814818</v>
      </c>
      <c r="E3716" t="s">
        <v>11614</v>
      </c>
      <c r="F3716" t="s">
        <v>273</v>
      </c>
      <c r="G3716" t="s">
        <v>11485</v>
      </c>
      <c r="H3716" t="s">
        <v>275</v>
      </c>
      <c r="I3716" t="s">
        <v>29</v>
      </c>
      <c r="J3716">
        <v>1</v>
      </c>
      <c r="K3716">
        <f>1-888-441-3235</f>
        <v>-4563</v>
      </c>
      <c r="L3716" t="s">
        <v>11615</v>
      </c>
      <c r="M3716" t="s">
        <v>11616</v>
      </c>
      <c r="N3716" t="s">
        <v>278</v>
      </c>
      <c r="O3716" t="s">
        <v>134</v>
      </c>
      <c r="P3716" t="s">
        <v>29</v>
      </c>
      <c r="Q3716">
        <v>29</v>
      </c>
      <c r="R3716">
        <v>-98.5</v>
      </c>
    </row>
    <row r="3717" spans="1:18" x14ac:dyDescent="0.2">
      <c r="A3717" t="s">
        <v>270</v>
      </c>
      <c r="B3717" t="s">
        <v>10394</v>
      </c>
      <c r="C3717">
        <v>1</v>
      </c>
      <c r="D3717" s="1">
        <v>44068.19427083333</v>
      </c>
      <c r="E3717" t="s">
        <v>11617</v>
      </c>
      <c r="F3717" t="s">
        <v>273</v>
      </c>
      <c r="G3717" t="s">
        <v>11485</v>
      </c>
      <c r="H3717" t="s">
        <v>275</v>
      </c>
      <c r="I3717" t="s">
        <v>29</v>
      </c>
      <c r="J3717">
        <v>1</v>
      </c>
      <c r="K3717">
        <f>1-888-530-6238</f>
        <v>-7655</v>
      </c>
      <c r="L3717" t="s">
        <v>11618</v>
      </c>
      <c r="M3717" t="s">
        <v>11619</v>
      </c>
      <c r="N3717" t="s">
        <v>278</v>
      </c>
      <c r="O3717" t="s">
        <v>134</v>
      </c>
      <c r="P3717" t="s">
        <v>29</v>
      </c>
      <c r="Q3717">
        <v>29</v>
      </c>
      <c r="R3717">
        <v>-98.5</v>
      </c>
    </row>
    <row r="3718" spans="1:18" x14ac:dyDescent="0.2">
      <c r="A3718" t="s">
        <v>270</v>
      </c>
      <c r="B3718" t="s">
        <v>10394</v>
      </c>
      <c r="C3718">
        <v>1</v>
      </c>
      <c r="D3718" s="1">
        <v>44068.026666666665</v>
      </c>
      <c r="E3718" t="s">
        <v>11620</v>
      </c>
      <c r="F3718" t="s">
        <v>273</v>
      </c>
      <c r="G3718" t="s">
        <v>11485</v>
      </c>
      <c r="H3718" t="s">
        <v>275</v>
      </c>
      <c r="I3718" t="s">
        <v>29</v>
      </c>
      <c r="J3718">
        <v>1</v>
      </c>
      <c r="K3718">
        <f>1-888-690-840</f>
        <v>-2417</v>
      </c>
      <c r="L3718" t="s">
        <v>11621</v>
      </c>
      <c r="M3718" t="s">
        <v>11622</v>
      </c>
      <c r="N3718" t="s">
        <v>278</v>
      </c>
      <c r="O3718" t="s">
        <v>28</v>
      </c>
      <c r="P3718" t="s">
        <v>29</v>
      </c>
      <c r="Q3718">
        <v>29</v>
      </c>
      <c r="R3718">
        <v>-98.5</v>
      </c>
    </row>
    <row r="3719" spans="1:18" x14ac:dyDescent="0.2">
      <c r="A3719" t="s">
        <v>270</v>
      </c>
      <c r="B3719" t="s">
        <v>10394</v>
      </c>
      <c r="C3719">
        <v>1</v>
      </c>
      <c r="D3719" s="1">
        <v>44068.02071759259</v>
      </c>
      <c r="E3719" t="s">
        <v>11623</v>
      </c>
      <c r="F3719" t="s">
        <v>273</v>
      </c>
      <c r="G3719" t="s">
        <v>11485</v>
      </c>
      <c r="H3719" t="s">
        <v>275</v>
      </c>
      <c r="I3719" t="s">
        <v>29</v>
      </c>
      <c r="J3719">
        <v>1</v>
      </c>
      <c r="K3719">
        <f>1-888-965-777</f>
        <v>-2629</v>
      </c>
      <c r="L3719" t="s">
        <v>11624</v>
      </c>
      <c r="M3719" t="s">
        <v>11625</v>
      </c>
      <c r="N3719" t="s">
        <v>278</v>
      </c>
      <c r="O3719" t="s">
        <v>28</v>
      </c>
      <c r="P3719" t="s">
        <v>29</v>
      </c>
      <c r="Q3719">
        <v>29</v>
      </c>
      <c r="R3719">
        <v>-98.5</v>
      </c>
    </row>
    <row r="3720" spans="1:18" x14ac:dyDescent="0.2">
      <c r="A3720" t="s">
        <v>270</v>
      </c>
      <c r="B3720" t="s">
        <v>10394</v>
      </c>
      <c r="C3720">
        <v>1</v>
      </c>
      <c r="D3720" s="1">
        <v>44062.689143518517</v>
      </c>
      <c r="E3720" t="s">
        <v>11626</v>
      </c>
      <c r="F3720" t="s">
        <v>273</v>
      </c>
      <c r="G3720" t="s">
        <v>11485</v>
      </c>
      <c r="H3720" t="s">
        <v>275</v>
      </c>
      <c r="I3720" t="s">
        <v>29</v>
      </c>
      <c r="J3720">
        <v>1</v>
      </c>
      <c r="K3720">
        <f>1-888-525-636</f>
        <v>-2048</v>
      </c>
      <c r="L3720" t="s">
        <v>11627</v>
      </c>
      <c r="M3720" t="s">
        <v>11628</v>
      </c>
      <c r="N3720" t="s">
        <v>278</v>
      </c>
      <c r="O3720" t="s">
        <v>134</v>
      </c>
      <c r="P3720" t="s">
        <v>29</v>
      </c>
      <c r="Q3720">
        <v>29</v>
      </c>
      <c r="R3720">
        <v>-98.5</v>
      </c>
    </row>
    <row r="3721" spans="1:18" x14ac:dyDescent="0.2">
      <c r="A3721" t="s">
        <v>270</v>
      </c>
      <c r="B3721" t="s">
        <v>10394</v>
      </c>
      <c r="C3721">
        <v>1</v>
      </c>
      <c r="D3721" s="1">
        <v>44062.504907407405</v>
      </c>
      <c r="E3721" t="s">
        <v>11629</v>
      </c>
      <c r="F3721" t="s">
        <v>273</v>
      </c>
      <c r="G3721" t="s">
        <v>11485</v>
      </c>
      <c r="H3721" t="s">
        <v>275</v>
      </c>
      <c r="I3721" t="s">
        <v>29</v>
      </c>
      <c r="J3721">
        <v>1</v>
      </c>
      <c r="K3721">
        <f>1-888-708-1143</f>
        <v>-2738</v>
      </c>
      <c r="L3721" t="s">
        <v>11630</v>
      </c>
      <c r="M3721" t="s">
        <v>11631</v>
      </c>
      <c r="N3721" t="s">
        <v>278</v>
      </c>
      <c r="O3721" t="s">
        <v>134</v>
      </c>
      <c r="P3721" t="s">
        <v>29</v>
      </c>
      <c r="Q3721">
        <v>29</v>
      </c>
      <c r="R3721">
        <v>-98.5</v>
      </c>
    </row>
    <row r="3722" spans="1:18" x14ac:dyDescent="0.2">
      <c r="A3722" t="s">
        <v>270</v>
      </c>
      <c r="B3722" t="s">
        <v>10394</v>
      </c>
      <c r="C3722">
        <v>1</v>
      </c>
      <c r="D3722" s="1">
        <v>44062.037199074075</v>
      </c>
      <c r="E3722" t="s">
        <v>11632</v>
      </c>
      <c r="F3722" t="s">
        <v>273</v>
      </c>
      <c r="G3722" t="s">
        <v>11485</v>
      </c>
      <c r="H3722" t="s">
        <v>275</v>
      </c>
      <c r="I3722" t="s">
        <v>29</v>
      </c>
      <c r="J3722">
        <v>1</v>
      </c>
      <c r="K3722">
        <f>1-888-530-6238</f>
        <v>-7655</v>
      </c>
      <c r="L3722" t="s">
        <v>11633</v>
      </c>
      <c r="M3722" t="s">
        <v>11634</v>
      </c>
      <c r="N3722" t="s">
        <v>278</v>
      </c>
      <c r="O3722" t="s">
        <v>134</v>
      </c>
      <c r="P3722" t="s">
        <v>29</v>
      </c>
      <c r="Q3722">
        <v>29</v>
      </c>
      <c r="R3722">
        <v>-98.5</v>
      </c>
    </row>
    <row r="3723" spans="1:18" x14ac:dyDescent="0.2">
      <c r="A3723" t="s">
        <v>270</v>
      </c>
      <c r="B3723" t="s">
        <v>10394</v>
      </c>
      <c r="C3723">
        <v>1</v>
      </c>
      <c r="D3723" s="1">
        <v>44062.036539351851</v>
      </c>
      <c r="E3723" t="s">
        <v>11635</v>
      </c>
      <c r="F3723" t="s">
        <v>273</v>
      </c>
      <c r="G3723" t="s">
        <v>11485</v>
      </c>
      <c r="H3723" t="s">
        <v>275</v>
      </c>
      <c r="I3723" t="s">
        <v>29</v>
      </c>
      <c r="J3723">
        <v>1</v>
      </c>
      <c r="K3723">
        <f>1-866-753-6098</f>
        <v>-7716</v>
      </c>
      <c r="L3723" t="s">
        <v>11636</v>
      </c>
      <c r="M3723" t="s">
        <v>11637</v>
      </c>
      <c r="N3723" t="s">
        <v>278</v>
      </c>
      <c r="O3723" t="s">
        <v>134</v>
      </c>
      <c r="P3723" t="s">
        <v>29</v>
      </c>
      <c r="Q3723">
        <v>29</v>
      </c>
      <c r="R3723">
        <v>-98.5</v>
      </c>
    </row>
    <row r="3724" spans="1:18" x14ac:dyDescent="0.2">
      <c r="A3724" t="s">
        <v>270</v>
      </c>
      <c r="B3724" t="s">
        <v>10394</v>
      </c>
      <c r="C3724">
        <v>1</v>
      </c>
      <c r="D3724" s="1">
        <v>44062.036226851851</v>
      </c>
      <c r="E3724" t="s">
        <v>11638</v>
      </c>
      <c r="F3724" t="s">
        <v>273</v>
      </c>
      <c r="G3724" t="s">
        <v>11485</v>
      </c>
      <c r="H3724" t="s">
        <v>275</v>
      </c>
      <c r="I3724" t="s">
        <v>29</v>
      </c>
      <c r="J3724">
        <v>1</v>
      </c>
      <c r="K3724">
        <f>1-888-526-3661</f>
        <v>-5074</v>
      </c>
      <c r="L3724" t="s">
        <v>11639</v>
      </c>
      <c r="M3724" t="s">
        <v>11640</v>
      </c>
      <c r="N3724" t="s">
        <v>278</v>
      </c>
      <c r="O3724" t="s">
        <v>134</v>
      </c>
      <c r="P3724" t="s">
        <v>29</v>
      </c>
      <c r="Q3724">
        <v>29</v>
      </c>
      <c r="R3724">
        <v>-98.5</v>
      </c>
    </row>
    <row r="3725" spans="1:18" x14ac:dyDescent="0.2">
      <c r="A3725" t="s">
        <v>270</v>
      </c>
      <c r="B3725" t="s">
        <v>10394</v>
      </c>
      <c r="C3725">
        <v>1</v>
      </c>
      <c r="D3725" s="1">
        <v>44062.035636574074</v>
      </c>
      <c r="E3725" t="s">
        <v>11641</v>
      </c>
      <c r="F3725" t="s">
        <v>273</v>
      </c>
      <c r="G3725" t="s">
        <v>11485</v>
      </c>
      <c r="H3725" t="s">
        <v>275</v>
      </c>
      <c r="I3725" t="s">
        <v>29</v>
      </c>
      <c r="J3725">
        <v>1</v>
      </c>
      <c r="K3725">
        <f>1-888-291-57</f>
        <v>-1235</v>
      </c>
      <c r="L3725" t="s">
        <v>11642</v>
      </c>
      <c r="M3725" t="s">
        <v>11643</v>
      </c>
      <c r="N3725" t="s">
        <v>278</v>
      </c>
      <c r="O3725" t="s">
        <v>134</v>
      </c>
      <c r="P3725" t="s">
        <v>29</v>
      </c>
      <c r="Q3725">
        <v>29</v>
      </c>
      <c r="R3725">
        <v>-98.5</v>
      </c>
    </row>
    <row r="3726" spans="1:18" x14ac:dyDescent="0.2">
      <c r="A3726" t="s">
        <v>270</v>
      </c>
      <c r="B3726" t="s">
        <v>10394</v>
      </c>
      <c r="C3726">
        <v>1</v>
      </c>
      <c r="D3726" s="1">
        <v>44062.035254629627</v>
      </c>
      <c r="E3726" t="s">
        <v>11644</v>
      </c>
      <c r="F3726" t="s">
        <v>273</v>
      </c>
      <c r="G3726" t="s">
        <v>11485</v>
      </c>
      <c r="H3726" t="s">
        <v>275</v>
      </c>
      <c r="I3726" t="s">
        <v>29</v>
      </c>
      <c r="J3726">
        <v>1</v>
      </c>
      <c r="K3726">
        <f>1-888-655-2376</f>
        <v>-3918</v>
      </c>
      <c r="L3726" t="s">
        <v>11645</v>
      </c>
      <c r="M3726" t="s">
        <v>11646</v>
      </c>
      <c r="N3726" t="s">
        <v>278</v>
      </c>
      <c r="O3726" t="s">
        <v>134</v>
      </c>
      <c r="P3726" t="s">
        <v>29</v>
      </c>
      <c r="Q3726">
        <v>29</v>
      </c>
      <c r="R3726">
        <v>-98.5</v>
      </c>
    </row>
    <row r="3727" spans="1:18" x14ac:dyDescent="0.2">
      <c r="A3727" t="s">
        <v>270</v>
      </c>
      <c r="B3727" t="s">
        <v>10394</v>
      </c>
      <c r="C3727">
        <v>1</v>
      </c>
      <c r="D3727" s="1">
        <v>44062.034409722219</v>
      </c>
      <c r="E3727" t="s">
        <v>11647</v>
      </c>
      <c r="F3727" t="s">
        <v>273</v>
      </c>
      <c r="G3727" t="s">
        <v>11485</v>
      </c>
      <c r="H3727" t="s">
        <v>275</v>
      </c>
      <c r="I3727" t="s">
        <v>29</v>
      </c>
      <c r="J3727">
        <v>1</v>
      </c>
      <c r="K3727">
        <f>1-888-803-850</f>
        <v>-2540</v>
      </c>
      <c r="L3727" t="s">
        <v>11648</v>
      </c>
      <c r="M3727" t="s">
        <v>11649</v>
      </c>
      <c r="N3727" t="s">
        <v>278</v>
      </c>
      <c r="O3727" t="s">
        <v>134</v>
      </c>
      <c r="P3727" t="s">
        <v>29</v>
      </c>
      <c r="Q3727">
        <v>29</v>
      </c>
      <c r="R3727">
        <v>-98.5</v>
      </c>
    </row>
    <row r="3728" spans="1:18" x14ac:dyDescent="0.2">
      <c r="A3728" t="s">
        <v>270</v>
      </c>
      <c r="B3728" t="s">
        <v>10394</v>
      </c>
      <c r="C3728">
        <v>1</v>
      </c>
      <c r="D3728" s="1">
        <v>44062.034305555557</v>
      </c>
      <c r="E3728" t="s">
        <v>11650</v>
      </c>
      <c r="F3728" t="s">
        <v>273</v>
      </c>
      <c r="G3728" t="s">
        <v>11485</v>
      </c>
      <c r="H3728" t="s">
        <v>275</v>
      </c>
      <c r="I3728" t="s">
        <v>29</v>
      </c>
      <c r="J3728">
        <v>1</v>
      </c>
      <c r="K3728">
        <f>1-888-417-4090</f>
        <v>-5394</v>
      </c>
      <c r="L3728" t="s">
        <v>11651</v>
      </c>
      <c r="M3728" t="s">
        <v>11652</v>
      </c>
      <c r="N3728" t="s">
        <v>278</v>
      </c>
      <c r="O3728" t="s">
        <v>134</v>
      </c>
      <c r="P3728" t="s">
        <v>29</v>
      </c>
      <c r="Q3728">
        <v>29</v>
      </c>
      <c r="R3728">
        <v>-98.5</v>
      </c>
    </row>
    <row r="3729" spans="1:18" x14ac:dyDescent="0.2">
      <c r="A3729" t="s">
        <v>270</v>
      </c>
      <c r="B3729" t="s">
        <v>10394</v>
      </c>
      <c r="C3729">
        <v>1</v>
      </c>
      <c r="D3729" s="1">
        <v>44061.721747685187</v>
      </c>
      <c r="E3729" t="s">
        <v>11653</v>
      </c>
      <c r="F3729" t="s">
        <v>273</v>
      </c>
      <c r="G3729" t="s">
        <v>11485</v>
      </c>
      <c r="H3729" t="s">
        <v>275</v>
      </c>
      <c r="I3729" t="s">
        <v>29</v>
      </c>
      <c r="J3729">
        <v>1</v>
      </c>
      <c r="K3729">
        <f>1-888-597-1530</f>
        <v>-3014</v>
      </c>
      <c r="L3729" t="s">
        <v>11654</v>
      </c>
      <c r="M3729" t="s">
        <v>11655</v>
      </c>
      <c r="N3729" t="s">
        <v>278</v>
      </c>
      <c r="O3729" t="s">
        <v>134</v>
      </c>
      <c r="P3729" t="s">
        <v>29</v>
      </c>
      <c r="Q3729">
        <v>29</v>
      </c>
      <c r="R3729">
        <v>-98.5</v>
      </c>
    </row>
    <row r="3730" spans="1:18" x14ac:dyDescent="0.2">
      <c r="A3730" t="s">
        <v>270</v>
      </c>
      <c r="B3730" t="s">
        <v>10394</v>
      </c>
      <c r="C3730">
        <v>1</v>
      </c>
      <c r="D3730" s="1">
        <v>44053.715567129628</v>
      </c>
      <c r="E3730" t="s">
        <v>11656</v>
      </c>
      <c r="F3730" t="s">
        <v>273</v>
      </c>
      <c r="G3730" t="s">
        <v>11485</v>
      </c>
      <c r="H3730" t="s">
        <v>275</v>
      </c>
      <c r="I3730" t="s">
        <v>29</v>
      </c>
      <c r="J3730">
        <v>1</v>
      </c>
      <c r="K3730">
        <f>1-888-538-1045</f>
        <v>-2470</v>
      </c>
      <c r="L3730" t="s">
        <v>11657</v>
      </c>
      <c r="M3730" t="s">
        <v>11658</v>
      </c>
      <c r="N3730" t="s">
        <v>278</v>
      </c>
      <c r="O3730" t="s">
        <v>134</v>
      </c>
      <c r="P3730" t="s">
        <v>29</v>
      </c>
      <c r="Q3730">
        <v>29</v>
      </c>
      <c r="R3730">
        <v>-98.5</v>
      </c>
    </row>
    <row r="3731" spans="1:18" x14ac:dyDescent="0.2">
      <c r="A3731" t="s">
        <v>270</v>
      </c>
      <c r="B3731" t="s">
        <v>10394</v>
      </c>
      <c r="C3731">
        <v>1</v>
      </c>
      <c r="D3731" s="1">
        <v>44053.300706018519</v>
      </c>
      <c r="E3731" t="s">
        <v>11659</v>
      </c>
      <c r="F3731" t="s">
        <v>273</v>
      </c>
      <c r="G3731" t="s">
        <v>11485</v>
      </c>
      <c r="H3731" t="s">
        <v>275</v>
      </c>
      <c r="I3731" t="s">
        <v>29</v>
      </c>
      <c r="J3731">
        <v>1</v>
      </c>
      <c r="K3731">
        <f>1-866-801-5549</f>
        <v>-7215</v>
      </c>
      <c r="L3731" t="s">
        <v>11660</v>
      </c>
      <c r="M3731" t="s">
        <v>11661</v>
      </c>
      <c r="N3731" t="s">
        <v>278</v>
      </c>
      <c r="O3731" t="s">
        <v>134</v>
      </c>
      <c r="P3731" t="s">
        <v>29</v>
      </c>
      <c r="Q3731">
        <v>29</v>
      </c>
      <c r="R3731">
        <v>-98.5</v>
      </c>
    </row>
    <row r="3732" spans="1:18" x14ac:dyDescent="0.2">
      <c r="A3732" t="s">
        <v>270</v>
      </c>
      <c r="B3732" t="s">
        <v>10394</v>
      </c>
      <c r="C3732">
        <v>1</v>
      </c>
      <c r="D3732" s="1">
        <v>44042.765682870369</v>
      </c>
      <c r="E3732" t="s">
        <v>11662</v>
      </c>
      <c r="F3732" t="s">
        <v>273</v>
      </c>
      <c r="G3732" t="s">
        <v>11485</v>
      </c>
      <c r="H3732" t="s">
        <v>275</v>
      </c>
      <c r="I3732" t="s">
        <v>29</v>
      </c>
      <c r="J3732">
        <v>1</v>
      </c>
      <c r="K3732">
        <f>1-888-530-8542</f>
        <v>-9959</v>
      </c>
      <c r="L3732" t="s">
        <v>11663</v>
      </c>
      <c r="M3732" t="s">
        <v>11664</v>
      </c>
      <c r="N3732" t="s">
        <v>278</v>
      </c>
      <c r="O3732" t="s">
        <v>134</v>
      </c>
      <c r="P3732" t="s">
        <v>29</v>
      </c>
      <c r="Q3732">
        <v>29</v>
      </c>
      <c r="R3732">
        <v>-98.5</v>
      </c>
    </row>
    <row r="3733" spans="1:18" x14ac:dyDescent="0.2">
      <c r="A3733" t="s">
        <v>270</v>
      </c>
      <c r="B3733" t="s">
        <v>10394</v>
      </c>
      <c r="C3733">
        <v>1</v>
      </c>
      <c r="D3733" s="1">
        <v>44037.415312500001</v>
      </c>
      <c r="E3733" t="s">
        <v>11665</v>
      </c>
      <c r="F3733" t="s">
        <v>273</v>
      </c>
      <c r="G3733" t="s">
        <v>11485</v>
      </c>
      <c r="H3733" t="s">
        <v>275</v>
      </c>
      <c r="I3733" t="s">
        <v>29</v>
      </c>
      <c r="J3733">
        <v>1</v>
      </c>
      <c r="K3733">
        <f>1-888-537-9622</f>
        <v>-11046</v>
      </c>
      <c r="L3733" t="s">
        <v>11666</v>
      </c>
      <c r="M3733" t="s">
        <v>11667</v>
      </c>
      <c r="N3733" t="s">
        <v>278</v>
      </c>
      <c r="O3733" t="s">
        <v>134</v>
      </c>
      <c r="P3733" t="s">
        <v>29</v>
      </c>
      <c r="Q3733">
        <v>29</v>
      </c>
      <c r="R3733">
        <v>-98.5</v>
      </c>
    </row>
    <row r="3734" spans="1:18" x14ac:dyDescent="0.2">
      <c r="A3734" t="s">
        <v>663</v>
      </c>
      <c r="B3734" t="s">
        <v>454</v>
      </c>
      <c r="C3734">
        <v>41</v>
      </c>
      <c r="D3734" s="1">
        <v>44037.522037037037</v>
      </c>
      <c r="E3734" t="s">
        <v>11668</v>
      </c>
      <c r="F3734" t="s">
        <v>666</v>
      </c>
      <c r="G3734" t="s">
        <v>11668</v>
      </c>
      <c r="H3734" t="s">
        <v>667</v>
      </c>
      <c r="I3734" t="s">
        <v>204</v>
      </c>
      <c r="J3734">
        <v>41</v>
      </c>
      <c r="K3734">
        <f>41-435082169</f>
        <v>-435082128</v>
      </c>
      <c r="L3734" t="s">
        <v>11669</v>
      </c>
      <c r="M3734" t="s">
        <v>11670</v>
      </c>
      <c r="N3734">
        <v>119</v>
      </c>
      <c r="O3734" t="s">
        <v>134</v>
      </c>
      <c r="P3734" t="s">
        <v>461</v>
      </c>
      <c r="Q3734">
        <v>52</v>
      </c>
      <c r="R3734">
        <v>4.9391999999999996</v>
      </c>
    </row>
    <row r="3735" spans="1:18" x14ac:dyDescent="0.2">
      <c r="A3735" t="s">
        <v>663</v>
      </c>
      <c r="B3735" t="s">
        <v>454</v>
      </c>
      <c r="C3735">
        <v>41</v>
      </c>
      <c r="D3735" s="1">
        <v>44037.498726851853</v>
      </c>
      <c r="E3735" t="s">
        <v>11671</v>
      </c>
      <c r="F3735" t="s">
        <v>666</v>
      </c>
      <c r="G3735" t="s">
        <v>11668</v>
      </c>
      <c r="H3735" t="s">
        <v>667</v>
      </c>
      <c r="I3735" t="s">
        <v>204</v>
      </c>
      <c r="J3735">
        <v>41</v>
      </c>
      <c r="K3735">
        <f>41-435082169</f>
        <v>-435082128</v>
      </c>
      <c r="L3735" t="s">
        <v>11672</v>
      </c>
      <c r="M3735" t="s">
        <v>11673</v>
      </c>
      <c r="N3735" t="s">
        <v>3441</v>
      </c>
      <c r="O3735" t="s">
        <v>28</v>
      </c>
      <c r="P3735" t="s">
        <v>461</v>
      </c>
      <c r="Q3735">
        <v>52</v>
      </c>
      <c r="R3735">
        <v>4.9391999999999996</v>
      </c>
    </row>
    <row r="3736" spans="1:18" x14ac:dyDescent="0.2">
      <c r="A3736" t="s">
        <v>439</v>
      </c>
      <c r="B3736" t="s">
        <v>440</v>
      </c>
      <c r="C3736">
        <v>1</v>
      </c>
      <c r="D3736" s="1">
        <v>44037.560949074075</v>
      </c>
      <c r="E3736" t="s">
        <v>11674</v>
      </c>
      <c r="F3736" t="s">
        <v>442</v>
      </c>
      <c r="G3736" t="s">
        <v>11675</v>
      </c>
      <c r="H3736" t="s">
        <v>444</v>
      </c>
      <c r="I3736" t="s">
        <v>29</v>
      </c>
      <c r="J3736">
        <v>1</v>
      </c>
      <c r="K3736">
        <f>1-844-900-923</f>
        <v>-2666</v>
      </c>
      <c r="L3736" t="s">
        <v>11676</v>
      </c>
      <c r="M3736" t="s">
        <v>11677</v>
      </c>
      <c r="N3736" t="s">
        <v>447</v>
      </c>
      <c r="O3736" t="s">
        <v>28</v>
      </c>
      <c r="P3736" t="s">
        <v>29</v>
      </c>
      <c r="Q3736">
        <v>39</v>
      </c>
      <c r="R3736">
        <v>-77.487399999999994</v>
      </c>
    </row>
    <row r="3737" spans="1:18" x14ac:dyDescent="0.2">
      <c r="A3737" t="s">
        <v>439</v>
      </c>
      <c r="B3737" t="s">
        <v>440</v>
      </c>
      <c r="C3737">
        <v>1</v>
      </c>
      <c r="D3737" s="1">
        <v>44037.561365740738</v>
      </c>
      <c r="E3737" t="s">
        <v>11678</v>
      </c>
      <c r="F3737" t="s">
        <v>442</v>
      </c>
      <c r="G3737" t="s">
        <v>11679</v>
      </c>
      <c r="H3737" t="s">
        <v>444</v>
      </c>
      <c r="I3737" t="s">
        <v>29</v>
      </c>
      <c r="J3737">
        <v>1</v>
      </c>
      <c r="K3737">
        <f>1-833-323-2324</f>
        <v>-3479</v>
      </c>
      <c r="L3737" t="s">
        <v>11680</v>
      </c>
      <c r="M3737" t="s">
        <v>11681</v>
      </c>
      <c r="N3737" t="s">
        <v>447</v>
      </c>
      <c r="O3737" t="s">
        <v>28</v>
      </c>
      <c r="P3737" t="s">
        <v>29</v>
      </c>
      <c r="Q3737">
        <v>39</v>
      </c>
      <c r="R3737">
        <v>-77.487399999999994</v>
      </c>
    </row>
    <row r="3738" spans="1:18" x14ac:dyDescent="0.2">
      <c r="A3738" t="s">
        <v>663</v>
      </c>
      <c r="B3738" t="s">
        <v>3385</v>
      </c>
      <c r="C3738">
        <v>44</v>
      </c>
      <c r="D3738" s="1">
        <v>44037.591006944444</v>
      </c>
      <c r="E3738" t="s">
        <v>11682</v>
      </c>
      <c r="F3738" t="s">
        <v>666</v>
      </c>
      <c r="G3738" t="s">
        <v>11682</v>
      </c>
      <c r="H3738" t="s">
        <v>667</v>
      </c>
      <c r="I3738" t="s">
        <v>618</v>
      </c>
      <c r="J3738">
        <v>44</v>
      </c>
      <c r="K3738">
        <f>44-800-51-3726</f>
        <v>-4533</v>
      </c>
      <c r="L3738" t="s">
        <v>11683</v>
      </c>
      <c r="M3738" t="s">
        <v>11684</v>
      </c>
      <c r="N3738">
        <v>70</v>
      </c>
      <c r="O3738" t="s">
        <v>134</v>
      </c>
      <c r="P3738" t="s">
        <v>29</v>
      </c>
      <c r="Q3738">
        <v>41</v>
      </c>
      <c r="R3738">
        <v>-73.996600000000001</v>
      </c>
    </row>
    <row r="3739" spans="1:18" x14ac:dyDescent="0.2">
      <c r="A3739" t="s">
        <v>663</v>
      </c>
      <c r="B3739" t="s">
        <v>3385</v>
      </c>
      <c r="C3739">
        <v>44</v>
      </c>
      <c r="D3739" s="1">
        <v>44037.586956018517</v>
      </c>
      <c r="E3739" t="s">
        <v>11685</v>
      </c>
      <c r="F3739" t="s">
        <v>666</v>
      </c>
      <c r="G3739" t="s">
        <v>11682</v>
      </c>
      <c r="H3739" t="s">
        <v>667</v>
      </c>
      <c r="I3739" t="s">
        <v>618</v>
      </c>
      <c r="J3739">
        <v>44</v>
      </c>
      <c r="K3739">
        <f>44-800-51-3726</f>
        <v>-4533</v>
      </c>
      <c r="L3739" t="s">
        <v>11686</v>
      </c>
      <c r="M3739" t="s">
        <v>11687</v>
      </c>
      <c r="N3739" t="s">
        <v>1645</v>
      </c>
      <c r="O3739" t="s">
        <v>28</v>
      </c>
      <c r="P3739" t="s">
        <v>29</v>
      </c>
      <c r="Q3739">
        <v>41</v>
      </c>
      <c r="R3739">
        <v>-73.996600000000001</v>
      </c>
    </row>
    <row r="3740" spans="1:18" x14ac:dyDescent="0.2">
      <c r="A3740" t="s">
        <v>439</v>
      </c>
      <c r="B3740" t="s">
        <v>1412</v>
      </c>
      <c r="C3740">
        <v>1</v>
      </c>
      <c r="D3740" s="1">
        <v>44037.775046296294</v>
      </c>
      <c r="E3740" t="s">
        <v>11688</v>
      </c>
      <c r="F3740" t="s">
        <v>442</v>
      </c>
      <c r="G3740" t="s">
        <v>11689</v>
      </c>
      <c r="H3740" t="s">
        <v>444</v>
      </c>
      <c r="I3740" t="s">
        <v>29</v>
      </c>
      <c r="J3740">
        <v>1</v>
      </c>
      <c r="K3740">
        <f>1-888-414-6199</f>
        <v>-7500</v>
      </c>
      <c r="L3740" t="s">
        <v>11690</v>
      </c>
      <c r="M3740" t="s">
        <v>11691</v>
      </c>
      <c r="N3740" t="s">
        <v>36</v>
      </c>
      <c r="O3740" t="s">
        <v>28</v>
      </c>
      <c r="P3740" t="s">
        <v>29</v>
      </c>
      <c r="Q3740">
        <v>41</v>
      </c>
      <c r="R3740">
        <v>-74.172399999999996</v>
      </c>
    </row>
    <row r="3741" spans="1:18" x14ac:dyDescent="0.2">
      <c r="A3741" t="s">
        <v>663</v>
      </c>
      <c r="B3741" t="s">
        <v>5337</v>
      </c>
      <c r="C3741">
        <v>1</v>
      </c>
      <c r="D3741" s="1">
        <v>44037.798819444448</v>
      </c>
      <c r="E3741" t="s">
        <v>11692</v>
      </c>
      <c r="F3741" t="s">
        <v>2495</v>
      </c>
      <c r="G3741" t="s">
        <v>11692</v>
      </c>
      <c r="H3741" t="s">
        <v>667</v>
      </c>
      <c r="I3741" t="s">
        <v>29</v>
      </c>
      <c r="J3741">
        <v>1</v>
      </c>
      <c r="K3741">
        <f>1-855-922-2990</f>
        <v>-4766</v>
      </c>
      <c r="L3741" t="s">
        <v>11693</v>
      </c>
      <c r="M3741" t="s">
        <v>11694</v>
      </c>
      <c r="N3741">
        <v>9</v>
      </c>
      <c r="O3741" t="s">
        <v>134</v>
      </c>
      <c r="P3741" t="s">
        <v>29</v>
      </c>
      <c r="Q3741">
        <v>38</v>
      </c>
      <c r="R3741">
        <v>-99.999999000000003</v>
      </c>
    </row>
    <row r="3742" spans="1:18" x14ac:dyDescent="0.2">
      <c r="A3742" t="s">
        <v>439</v>
      </c>
      <c r="B3742" t="s">
        <v>3094</v>
      </c>
      <c r="C3742">
        <v>1</v>
      </c>
      <c r="D3742" s="1">
        <v>44037.801805555559</v>
      </c>
      <c r="E3742" t="s">
        <v>11695</v>
      </c>
      <c r="F3742" t="s">
        <v>442</v>
      </c>
      <c r="G3742" t="s">
        <v>11696</v>
      </c>
      <c r="H3742" t="s">
        <v>444</v>
      </c>
      <c r="I3742" t="s">
        <v>29</v>
      </c>
      <c r="J3742">
        <v>1</v>
      </c>
      <c r="K3742">
        <f>1-855-930-4586</f>
        <v>-6370</v>
      </c>
      <c r="L3742" t="s">
        <v>11697</v>
      </c>
      <c r="M3742" t="s">
        <v>11698</v>
      </c>
      <c r="N3742" t="s">
        <v>213</v>
      </c>
      <c r="O3742" t="s">
        <v>28</v>
      </c>
      <c r="P3742" t="s">
        <v>2268</v>
      </c>
      <c r="Q3742">
        <v>46</v>
      </c>
      <c r="R3742">
        <v>-73.567300000000003</v>
      </c>
    </row>
    <row r="3743" spans="1:18" x14ac:dyDescent="0.2">
      <c r="A3743" t="s">
        <v>439</v>
      </c>
      <c r="B3743" t="s">
        <v>440</v>
      </c>
      <c r="C3743">
        <v>81</v>
      </c>
      <c r="D3743" s="1">
        <v>44038.262557870374</v>
      </c>
      <c r="E3743" t="s">
        <v>11699</v>
      </c>
      <c r="F3743" t="s">
        <v>442</v>
      </c>
      <c r="G3743" t="s">
        <v>11700</v>
      </c>
      <c r="H3743" t="s">
        <v>444</v>
      </c>
      <c r="I3743" t="s">
        <v>53</v>
      </c>
      <c r="J3743">
        <v>81</v>
      </c>
      <c r="K3743">
        <f>81-50-3196-5323</f>
        <v>-8488</v>
      </c>
      <c r="L3743" t="s">
        <v>11701</v>
      </c>
      <c r="M3743" t="s">
        <v>11702</v>
      </c>
      <c r="N3743" t="s">
        <v>213</v>
      </c>
      <c r="O3743" t="s">
        <v>28</v>
      </c>
      <c r="P3743" t="s">
        <v>29</v>
      </c>
      <c r="Q3743">
        <v>39</v>
      </c>
      <c r="R3743">
        <v>-77.487399999999994</v>
      </c>
    </row>
    <row r="3744" spans="1:18" x14ac:dyDescent="0.2">
      <c r="A3744" t="s">
        <v>3420</v>
      </c>
      <c r="B3744" t="s">
        <v>2500</v>
      </c>
      <c r="C3744">
        <v>81</v>
      </c>
      <c r="D3744" s="1">
        <v>44386.997303240743</v>
      </c>
      <c r="E3744" t="s">
        <v>11703</v>
      </c>
      <c r="F3744" t="s">
        <v>3422</v>
      </c>
      <c r="G3744" t="s">
        <v>11704</v>
      </c>
      <c r="H3744" t="s">
        <v>3423</v>
      </c>
      <c r="I3744" t="s">
        <v>53</v>
      </c>
      <c r="J3744">
        <v>81</v>
      </c>
      <c r="K3744">
        <f>81-50-5539-341</f>
        <v>-5849</v>
      </c>
      <c r="L3744" t="s">
        <v>11705</v>
      </c>
      <c r="M3744" t="s">
        <v>11706</v>
      </c>
      <c r="N3744" t="s">
        <v>36</v>
      </c>
      <c r="O3744" t="s">
        <v>28</v>
      </c>
      <c r="P3744" t="s">
        <v>2500</v>
      </c>
      <c r="Q3744">
        <v>1</v>
      </c>
      <c r="R3744">
        <v>99.999999000000003</v>
      </c>
    </row>
    <row r="3745" spans="1:18" x14ac:dyDescent="0.2">
      <c r="A3745" t="s">
        <v>3420</v>
      </c>
      <c r="B3745" t="s">
        <v>2500</v>
      </c>
      <c r="C3745">
        <v>81</v>
      </c>
      <c r="D3745" s="1">
        <v>44364.796238425923</v>
      </c>
      <c r="E3745" t="s">
        <v>11707</v>
      </c>
      <c r="F3745" t="s">
        <v>3422</v>
      </c>
      <c r="G3745" t="s">
        <v>11704</v>
      </c>
      <c r="H3745" t="s">
        <v>3423</v>
      </c>
      <c r="I3745" t="s">
        <v>53</v>
      </c>
      <c r="J3745">
        <v>81</v>
      </c>
      <c r="K3745">
        <f>81-50-5532-916</f>
        <v>-6417</v>
      </c>
      <c r="L3745" t="s">
        <v>11708</v>
      </c>
      <c r="M3745" t="s">
        <v>11709</v>
      </c>
      <c r="N3745" t="s">
        <v>36</v>
      </c>
      <c r="O3745" t="s">
        <v>28</v>
      </c>
      <c r="P3745" t="s">
        <v>2500</v>
      </c>
      <c r="Q3745">
        <v>1</v>
      </c>
      <c r="R3745">
        <v>99.999999000000003</v>
      </c>
    </row>
    <row r="3746" spans="1:18" x14ac:dyDescent="0.2">
      <c r="A3746" t="s">
        <v>3420</v>
      </c>
      <c r="B3746" t="s">
        <v>2500</v>
      </c>
      <c r="C3746">
        <v>81</v>
      </c>
      <c r="D3746" s="1">
        <v>44333.804606481484</v>
      </c>
      <c r="E3746" t="s">
        <v>11710</v>
      </c>
      <c r="F3746" t="s">
        <v>3422</v>
      </c>
      <c r="G3746" t="s">
        <v>11704</v>
      </c>
      <c r="H3746" t="s">
        <v>3423</v>
      </c>
      <c r="I3746" t="s">
        <v>53</v>
      </c>
      <c r="J3746">
        <v>81</v>
      </c>
      <c r="K3746">
        <f>81-50-5534-547</f>
        <v>-6050</v>
      </c>
      <c r="L3746" t="s">
        <v>11711</v>
      </c>
      <c r="M3746" t="s">
        <v>11712</v>
      </c>
      <c r="N3746" t="s">
        <v>36</v>
      </c>
      <c r="O3746" t="s">
        <v>28</v>
      </c>
      <c r="P3746" t="s">
        <v>2500</v>
      </c>
      <c r="Q3746">
        <v>1</v>
      </c>
      <c r="R3746">
        <v>99.999999000000003</v>
      </c>
    </row>
    <row r="3747" spans="1:18" x14ac:dyDescent="0.2">
      <c r="A3747" t="s">
        <v>11713</v>
      </c>
      <c r="B3747" t="s">
        <v>2500</v>
      </c>
      <c r="C3747">
        <v>81</v>
      </c>
      <c r="D3747" s="1">
        <v>44313.52553240741</v>
      </c>
      <c r="E3747" t="s">
        <v>11714</v>
      </c>
      <c r="F3747" t="s">
        <v>3422</v>
      </c>
      <c r="G3747" t="s">
        <v>11704</v>
      </c>
      <c r="H3747" t="s">
        <v>3423</v>
      </c>
      <c r="I3747" t="s">
        <v>53</v>
      </c>
      <c r="J3747">
        <v>81</v>
      </c>
      <c r="K3747">
        <f>81-50-5809-731</f>
        <v>-6509</v>
      </c>
      <c r="L3747" s="2" t="s">
        <v>11715</v>
      </c>
      <c r="M3747" t="s">
        <v>11716</v>
      </c>
      <c r="N3747" t="s">
        <v>36</v>
      </c>
      <c r="O3747" t="s">
        <v>134</v>
      </c>
      <c r="P3747" t="s">
        <v>2500</v>
      </c>
      <c r="Q3747">
        <v>1</v>
      </c>
      <c r="R3747">
        <v>99.999999000000003</v>
      </c>
    </row>
    <row r="3748" spans="1:18" x14ac:dyDescent="0.2">
      <c r="A3748" t="s">
        <v>11713</v>
      </c>
      <c r="B3748" t="s">
        <v>2500</v>
      </c>
      <c r="C3748">
        <v>81</v>
      </c>
      <c r="D3748" s="1">
        <v>44311.86310185185</v>
      </c>
      <c r="E3748" t="s">
        <v>11717</v>
      </c>
      <c r="F3748" t="s">
        <v>3422</v>
      </c>
      <c r="G3748" t="s">
        <v>11704</v>
      </c>
      <c r="H3748" t="s">
        <v>3423</v>
      </c>
      <c r="I3748" t="s">
        <v>53</v>
      </c>
      <c r="J3748">
        <v>81</v>
      </c>
      <c r="K3748">
        <f>81-50-5809-731</f>
        <v>-6509</v>
      </c>
      <c r="L3748" t="s">
        <v>11718</v>
      </c>
      <c r="M3748" t="s">
        <v>11719</v>
      </c>
      <c r="N3748" t="s">
        <v>36</v>
      </c>
      <c r="O3748" t="s">
        <v>28</v>
      </c>
      <c r="P3748" t="s">
        <v>2500</v>
      </c>
      <c r="Q3748">
        <v>1</v>
      </c>
      <c r="R3748">
        <v>99.999999000000003</v>
      </c>
    </row>
    <row r="3749" spans="1:18" x14ac:dyDescent="0.2">
      <c r="A3749" t="s">
        <v>11713</v>
      </c>
      <c r="B3749" t="s">
        <v>2500</v>
      </c>
      <c r="C3749">
        <v>81</v>
      </c>
      <c r="D3749" s="1">
        <v>44308.477280092593</v>
      </c>
      <c r="E3749" t="s">
        <v>11720</v>
      </c>
      <c r="F3749" t="s">
        <v>3422</v>
      </c>
      <c r="G3749" t="s">
        <v>11704</v>
      </c>
      <c r="H3749" t="s">
        <v>3423</v>
      </c>
      <c r="I3749" t="s">
        <v>53</v>
      </c>
      <c r="J3749">
        <v>81</v>
      </c>
      <c r="K3749">
        <f>81-50-5539-220</f>
        <v>-5728</v>
      </c>
      <c r="L3749" s="2" t="s">
        <v>11721</v>
      </c>
      <c r="M3749" t="s">
        <v>11722</v>
      </c>
      <c r="N3749" t="s">
        <v>36</v>
      </c>
      <c r="O3749" t="s">
        <v>134</v>
      </c>
      <c r="P3749" t="s">
        <v>2500</v>
      </c>
      <c r="Q3749">
        <v>1</v>
      </c>
      <c r="R3749">
        <v>99.999999000000003</v>
      </c>
    </row>
    <row r="3750" spans="1:18" x14ac:dyDescent="0.2">
      <c r="A3750" t="s">
        <v>11713</v>
      </c>
      <c r="B3750" t="s">
        <v>2500</v>
      </c>
      <c r="C3750">
        <v>81</v>
      </c>
      <c r="D3750" s="1">
        <v>44307.428518518522</v>
      </c>
      <c r="E3750" t="s">
        <v>11723</v>
      </c>
      <c r="F3750" t="s">
        <v>3422</v>
      </c>
      <c r="G3750" t="s">
        <v>11704</v>
      </c>
      <c r="H3750" t="s">
        <v>3423</v>
      </c>
      <c r="I3750" t="s">
        <v>53</v>
      </c>
      <c r="J3750">
        <v>81</v>
      </c>
      <c r="K3750">
        <f>81-50-5534-151</f>
        <v>-5654</v>
      </c>
      <c r="L3750" t="s">
        <v>11724</v>
      </c>
      <c r="M3750" t="s">
        <v>11725</v>
      </c>
      <c r="N3750" t="s">
        <v>36</v>
      </c>
      <c r="O3750" t="s">
        <v>134</v>
      </c>
      <c r="P3750" t="s">
        <v>2500</v>
      </c>
      <c r="Q3750">
        <v>1</v>
      </c>
      <c r="R3750">
        <v>99.999999000000003</v>
      </c>
    </row>
    <row r="3751" spans="1:18" x14ac:dyDescent="0.2">
      <c r="A3751" t="s">
        <v>11713</v>
      </c>
      <c r="B3751" t="s">
        <v>2500</v>
      </c>
      <c r="C3751">
        <v>81</v>
      </c>
      <c r="D3751" s="1">
        <v>44306.448125000003</v>
      </c>
      <c r="E3751" t="s">
        <v>11726</v>
      </c>
      <c r="F3751" t="s">
        <v>3422</v>
      </c>
      <c r="G3751" t="s">
        <v>11704</v>
      </c>
      <c r="H3751" t="s">
        <v>3423</v>
      </c>
      <c r="I3751" t="s">
        <v>53</v>
      </c>
      <c r="J3751">
        <v>81</v>
      </c>
      <c r="K3751">
        <f>81-50-5534-151</f>
        <v>-5654</v>
      </c>
      <c r="L3751" s="2" t="s">
        <v>11727</v>
      </c>
      <c r="M3751" t="s">
        <v>11728</v>
      </c>
      <c r="N3751" t="s">
        <v>36</v>
      </c>
      <c r="O3751" t="s">
        <v>134</v>
      </c>
      <c r="P3751" t="s">
        <v>2500</v>
      </c>
      <c r="Q3751">
        <v>1</v>
      </c>
      <c r="R3751">
        <v>99.999999000000003</v>
      </c>
    </row>
    <row r="3752" spans="1:18" x14ac:dyDescent="0.2">
      <c r="A3752" t="s">
        <v>3420</v>
      </c>
      <c r="B3752" t="s">
        <v>2500</v>
      </c>
      <c r="C3752">
        <v>81</v>
      </c>
      <c r="D3752" s="1">
        <v>44304.35087962963</v>
      </c>
      <c r="E3752" t="s">
        <v>11729</v>
      </c>
      <c r="F3752" t="s">
        <v>3422</v>
      </c>
      <c r="G3752" t="s">
        <v>11704</v>
      </c>
      <c r="H3752" t="s">
        <v>3423</v>
      </c>
      <c r="I3752" t="s">
        <v>53</v>
      </c>
      <c r="J3752">
        <v>81</v>
      </c>
      <c r="K3752">
        <f>81-50-5806-568</f>
        <v>-6343</v>
      </c>
      <c r="L3752" t="s">
        <v>11730</v>
      </c>
      <c r="M3752" t="s">
        <v>11731</v>
      </c>
      <c r="N3752" t="s">
        <v>36</v>
      </c>
      <c r="O3752" t="s">
        <v>134</v>
      </c>
      <c r="P3752" t="s">
        <v>2500</v>
      </c>
      <c r="Q3752">
        <v>1</v>
      </c>
      <c r="R3752">
        <v>99.999999000000003</v>
      </c>
    </row>
    <row r="3753" spans="1:18" x14ac:dyDescent="0.2">
      <c r="A3753" t="s">
        <v>3420</v>
      </c>
      <c r="B3753" t="s">
        <v>2500</v>
      </c>
      <c r="C3753">
        <v>81</v>
      </c>
      <c r="D3753" s="1">
        <v>44302.445949074077</v>
      </c>
      <c r="E3753" t="s">
        <v>11729</v>
      </c>
      <c r="F3753" t="s">
        <v>3422</v>
      </c>
      <c r="G3753" t="s">
        <v>11704</v>
      </c>
      <c r="H3753" t="s">
        <v>3423</v>
      </c>
      <c r="I3753" t="s">
        <v>53</v>
      </c>
      <c r="J3753">
        <v>81</v>
      </c>
      <c r="K3753">
        <f>81-50-5532-413</f>
        <v>-5914</v>
      </c>
      <c r="L3753" t="s">
        <v>11732</v>
      </c>
      <c r="M3753" t="s">
        <v>11733</v>
      </c>
      <c r="N3753" t="s">
        <v>36</v>
      </c>
      <c r="O3753" t="s">
        <v>134</v>
      </c>
      <c r="P3753" t="s">
        <v>2500</v>
      </c>
      <c r="Q3753">
        <v>1</v>
      </c>
      <c r="R3753">
        <v>99.999999000000003</v>
      </c>
    </row>
    <row r="3754" spans="1:18" x14ac:dyDescent="0.2">
      <c r="A3754" t="s">
        <v>3420</v>
      </c>
      <c r="B3754" t="s">
        <v>2500</v>
      </c>
      <c r="C3754">
        <v>81</v>
      </c>
      <c r="D3754" s="1">
        <v>44294.946574074071</v>
      </c>
      <c r="E3754" t="s">
        <v>11734</v>
      </c>
      <c r="F3754" t="s">
        <v>3422</v>
      </c>
      <c r="G3754" t="s">
        <v>11704</v>
      </c>
      <c r="H3754" t="s">
        <v>3423</v>
      </c>
      <c r="I3754" t="s">
        <v>53</v>
      </c>
      <c r="J3754">
        <v>81</v>
      </c>
      <c r="K3754">
        <f>81-50-5806-568</f>
        <v>-6343</v>
      </c>
      <c r="L3754" t="s">
        <v>11735</v>
      </c>
      <c r="M3754" t="s">
        <v>11736</v>
      </c>
      <c r="N3754" t="s">
        <v>36</v>
      </c>
      <c r="O3754" t="s">
        <v>28</v>
      </c>
      <c r="P3754" t="s">
        <v>2500</v>
      </c>
      <c r="Q3754">
        <v>1</v>
      </c>
      <c r="R3754">
        <v>99.999999000000003</v>
      </c>
    </row>
    <row r="3755" spans="1:18" x14ac:dyDescent="0.2">
      <c r="A3755" t="s">
        <v>3420</v>
      </c>
      <c r="B3755" t="s">
        <v>2500</v>
      </c>
      <c r="C3755">
        <v>81</v>
      </c>
      <c r="D3755" s="1">
        <v>44297.712881944448</v>
      </c>
      <c r="E3755" t="s">
        <v>11734</v>
      </c>
      <c r="F3755" t="s">
        <v>3422</v>
      </c>
      <c r="G3755" t="s">
        <v>11704</v>
      </c>
      <c r="H3755" t="s">
        <v>3423</v>
      </c>
      <c r="I3755" t="s">
        <v>53</v>
      </c>
      <c r="J3755">
        <v>81</v>
      </c>
      <c r="K3755">
        <f>81-50-5532-413</f>
        <v>-5914</v>
      </c>
      <c r="L3755" t="s">
        <v>11737</v>
      </c>
      <c r="M3755" t="s">
        <v>11738</v>
      </c>
      <c r="N3755" t="s">
        <v>36</v>
      </c>
      <c r="O3755" t="s">
        <v>28</v>
      </c>
      <c r="P3755" t="s">
        <v>2500</v>
      </c>
      <c r="Q3755">
        <v>1</v>
      </c>
      <c r="R3755">
        <v>99.999999000000003</v>
      </c>
    </row>
    <row r="3756" spans="1:18" x14ac:dyDescent="0.2">
      <c r="A3756" t="s">
        <v>3420</v>
      </c>
      <c r="B3756" t="s">
        <v>2500</v>
      </c>
      <c r="C3756">
        <v>81</v>
      </c>
      <c r="D3756" s="1">
        <v>44263.658831018518</v>
      </c>
      <c r="E3756" t="s">
        <v>11739</v>
      </c>
      <c r="F3756" t="s">
        <v>3422</v>
      </c>
      <c r="G3756" t="s">
        <v>11704</v>
      </c>
      <c r="H3756" t="s">
        <v>3423</v>
      </c>
      <c r="I3756" t="s">
        <v>53</v>
      </c>
      <c r="J3756">
        <v>81</v>
      </c>
      <c r="K3756">
        <f>81-50-5532-402</f>
        <v>-5903</v>
      </c>
      <c r="L3756">
        <v>6046394666817</v>
      </c>
      <c r="M3756" t="s">
        <v>11740</v>
      </c>
      <c r="N3756" t="s">
        <v>36</v>
      </c>
      <c r="O3756" t="s">
        <v>28</v>
      </c>
      <c r="P3756" t="s">
        <v>2500</v>
      </c>
      <c r="Q3756">
        <v>1</v>
      </c>
      <c r="R3756">
        <v>99.999999000000003</v>
      </c>
    </row>
    <row r="3757" spans="1:18" x14ac:dyDescent="0.2">
      <c r="A3757" t="s">
        <v>3420</v>
      </c>
      <c r="B3757" t="s">
        <v>2500</v>
      </c>
      <c r="C3757">
        <v>81</v>
      </c>
      <c r="D3757" s="1">
        <v>44261.897650462961</v>
      </c>
      <c r="E3757" t="s">
        <v>11739</v>
      </c>
      <c r="F3757" t="s">
        <v>3422</v>
      </c>
      <c r="G3757" t="s">
        <v>11704</v>
      </c>
      <c r="H3757" t="s">
        <v>3423</v>
      </c>
      <c r="I3757" t="s">
        <v>53</v>
      </c>
      <c r="J3757">
        <v>81</v>
      </c>
      <c r="K3757">
        <f>81-50-5534-351</f>
        <v>-5854</v>
      </c>
      <c r="L3757" t="s">
        <v>11741</v>
      </c>
      <c r="M3757" t="s">
        <v>11742</v>
      </c>
      <c r="N3757" t="s">
        <v>36</v>
      </c>
      <c r="O3757" t="s">
        <v>28</v>
      </c>
      <c r="P3757" t="s">
        <v>2500</v>
      </c>
      <c r="Q3757">
        <v>1</v>
      </c>
      <c r="R3757">
        <v>99.999999000000003</v>
      </c>
    </row>
    <row r="3758" spans="1:18" x14ac:dyDescent="0.2">
      <c r="A3758" t="s">
        <v>3420</v>
      </c>
      <c r="B3758" t="s">
        <v>2500</v>
      </c>
      <c r="C3758">
        <v>81</v>
      </c>
      <c r="D3758" s="1">
        <v>44234.834999999999</v>
      </c>
      <c r="E3758" t="s">
        <v>11743</v>
      </c>
      <c r="F3758" t="s">
        <v>3422</v>
      </c>
      <c r="G3758" t="s">
        <v>11704</v>
      </c>
      <c r="H3758" t="s">
        <v>3423</v>
      </c>
      <c r="I3758" t="s">
        <v>53</v>
      </c>
      <c r="J3758">
        <v>81</v>
      </c>
      <c r="K3758">
        <f>81-50-5532-646</f>
        <v>-6147</v>
      </c>
      <c r="L3758" t="s">
        <v>11744</v>
      </c>
      <c r="M3758" t="s">
        <v>11745</v>
      </c>
      <c r="N3758" t="s">
        <v>4620</v>
      </c>
      <c r="O3758" t="s">
        <v>28</v>
      </c>
      <c r="P3758" t="s">
        <v>2500</v>
      </c>
      <c r="Q3758">
        <v>1</v>
      </c>
      <c r="R3758">
        <v>99.999999000000003</v>
      </c>
    </row>
    <row r="3759" spans="1:18" x14ac:dyDescent="0.2">
      <c r="A3759" t="s">
        <v>3420</v>
      </c>
      <c r="B3759" t="s">
        <v>2500</v>
      </c>
      <c r="C3759">
        <v>81</v>
      </c>
      <c r="D3759" s="1">
        <v>44228.901412037034</v>
      </c>
      <c r="E3759" t="s">
        <v>11746</v>
      </c>
      <c r="F3759" t="s">
        <v>3422</v>
      </c>
      <c r="G3759" t="s">
        <v>11704</v>
      </c>
      <c r="H3759" t="s">
        <v>3423</v>
      </c>
      <c r="I3759" t="s">
        <v>53</v>
      </c>
      <c r="J3759">
        <v>81</v>
      </c>
      <c r="K3759">
        <f>81-50-5534-50</f>
        <v>-5553</v>
      </c>
      <c r="L3759" t="s">
        <v>11747</v>
      </c>
      <c r="M3759" t="s">
        <v>11748</v>
      </c>
      <c r="N3759" t="s">
        <v>36</v>
      </c>
      <c r="O3759" t="s">
        <v>28</v>
      </c>
      <c r="P3759" t="s">
        <v>2500</v>
      </c>
      <c r="Q3759">
        <v>1</v>
      </c>
      <c r="R3759">
        <v>99.999999000000003</v>
      </c>
    </row>
    <row r="3760" spans="1:18" x14ac:dyDescent="0.2">
      <c r="A3760" t="s">
        <v>3420</v>
      </c>
      <c r="B3760" t="s">
        <v>2500</v>
      </c>
      <c r="C3760">
        <v>81</v>
      </c>
      <c r="D3760" s="1">
        <v>44208.949618055558</v>
      </c>
      <c r="E3760" t="s">
        <v>11749</v>
      </c>
      <c r="F3760" t="s">
        <v>3422</v>
      </c>
      <c r="G3760" t="s">
        <v>11704</v>
      </c>
      <c r="H3760" t="s">
        <v>3423</v>
      </c>
      <c r="I3760" t="s">
        <v>53</v>
      </c>
      <c r="J3760">
        <v>81</v>
      </c>
      <c r="K3760">
        <f>81-50-3136-948</f>
        <v>-4053</v>
      </c>
      <c r="L3760" t="s">
        <v>11750</v>
      </c>
      <c r="M3760" t="s">
        <v>11751</v>
      </c>
      <c r="N3760" t="s">
        <v>4620</v>
      </c>
      <c r="O3760" t="s">
        <v>28</v>
      </c>
      <c r="P3760" t="s">
        <v>2500</v>
      </c>
      <c r="Q3760">
        <v>1</v>
      </c>
      <c r="R3760">
        <v>99.999999000000003</v>
      </c>
    </row>
    <row r="3761" spans="1:18" x14ac:dyDescent="0.2">
      <c r="A3761" t="s">
        <v>3420</v>
      </c>
      <c r="B3761" t="s">
        <v>2500</v>
      </c>
      <c r="C3761">
        <v>81</v>
      </c>
      <c r="D3761" s="1">
        <v>44194.798368055555</v>
      </c>
      <c r="E3761" t="s">
        <v>11752</v>
      </c>
      <c r="F3761" t="s">
        <v>3422</v>
      </c>
      <c r="G3761" t="s">
        <v>11704</v>
      </c>
      <c r="H3761" t="s">
        <v>3423</v>
      </c>
      <c r="I3761" t="s">
        <v>53</v>
      </c>
      <c r="J3761">
        <v>81</v>
      </c>
      <c r="K3761">
        <f>81-50-5532-356</f>
        <v>-5857</v>
      </c>
      <c r="L3761" t="s">
        <v>11753</v>
      </c>
      <c r="M3761" t="s">
        <v>11754</v>
      </c>
      <c r="N3761" t="s">
        <v>36</v>
      </c>
      <c r="O3761" t="s">
        <v>28</v>
      </c>
      <c r="P3761" t="s">
        <v>2500</v>
      </c>
      <c r="Q3761">
        <v>1</v>
      </c>
      <c r="R3761">
        <v>99.999999000000003</v>
      </c>
    </row>
    <row r="3762" spans="1:18" x14ac:dyDescent="0.2">
      <c r="A3762" t="s">
        <v>3420</v>
      </c>
      <c r="B3762" t="s">
        <v>2500</v>
      </c>
      <c r="C3762">
        <v>81</v>
      </c>
      <c r="D3762" s="1">
        <v>44192.783159722225</v>
      </c>
      <c r="E3762" t="s">
        <v>11755</v>
      </c>
      <c r="F3762" t="s">
        <v>3422</v>
      </c>
      <c r="G3762" t="s">
        <v>11704</v>
      </c>
      <c r="H3762" t="s">
        <v>3423</v>
      </c>
      <c r="I3762" t="s">
        <v>53</v>
      </c>
      <c r="J3762">
        <v>81</v>
      </c>
      <c r="K3762">
        <f>81-50-5532-394</f>
        <v>-5895</v>
      </c>
      <c r="L3762" t="s">
        <v>11756</v>
      </c>
      <c r="M3762" t="s">
        <v>11757</v>
      </c>
      <c r="N3762" t="s">
        <v>4620</v>
      </c>
      <c r="O3762" t="s">
        <v>134</v>
      </c>
      <c r="P3762" t="s">
        <v>2500</v>
      </c>
      <c r="Q3762">
        <v>1</v>
      </c>
      <c r="R3762">
        <v>99.999999000000003</v>
      </c>
    </row>
    <row r="3763" spans="1:18" x14ac:dyDescent="0.2">
      <c r="A3763" t="s">
        <v>3420</v>
      </c>
      <c r="B3763" t="s">
        <v>2500</v>
      </c>
      <c r="C3763">
        <v>81</v>
      </c>
      <c r="D3763" s="1">
        <v>44192.78261574074</v>
      </c>
      <c r="E3763" t="s">
        <v>11758</v>
      </c>
      <c r="F3763" t="s">
        <v>3422</v>
      </c>
      <c r="G3763" t="s">
        <v>11704</v>
      </c>
      <c r="H3763" t="s">
        <v>3423</v>
      </c>
      <c r="I3763" t="s">
        <v>53</v>
      </c>
      <c r="J3763">
        <v>81</v>
      </c>
      <c r="K3763">
        <f>81-50-3136-415</f>
        <v>-3520</v>
      </c>
      <c r="L3763" t="s">
        <v>11759</v>
      </c>
      <c r="M3763" t="s">
        <v>11760</v>
      </c>
      <c r="N3763" t="s">
        <v>4620</v>
      </c>
      <c r="O3763" t="s">
        <v>28</v>
      </c>
      <c r="P3763" t="s">
        <v>2500</v>
      </c>
      <c r="Q3763">
        <v>1</v>
      </c>
      <c r="R3763">
        <v>99.999999000000003</v>
      </c>
    </row>
    <row r="3764" spans="1:18" x14ac:dyDescent="0.2">
      <c r="A3764" t="s">
        <v>3420</v>
      </c>
      <c r="B3764" t="s">
        <v>2500</v>
      </c>
      <c r="C3764">
        <v>81</v>
      </c>
      <c r="D3764" s="1">
        <v>44192.780277777776</v>
      </c>
      <c r="E3764" t="s">
        <v>11761</v>
      </c>
      <c r="F3764" t="s">
        <v>3422</v>
      </c>
      <c r="G3764" t="s">
        <v>11704</v>
      </c>
      <c r="H3764" t="s">
        <v>3423</v>
      </c>
      <c r="I3764" t="s">
        <v>53</v>
      </c>
      <c r="J3764">
        <v>81</v>
      </c>
      <c r="K3764">
        <f>81-50-5532-914</f>
        <v>-6415</v>
      </c>
      <c r="L3764" t="s">
        <v>11762</v>
      </c>
      <c r="M3764" t="s">
        <v>11763</v>
      </c>
      <c r="N3764" t="s">
        <v>36</v>
      </c>
      <c r="O3764" t="s">
        <v>28</v>
      </c>
      <c r="P3764" t="s">
        <v>2500</v>
      </c>
      <c r="Q3764">
        <v>1</v>
      </c>
      <c r="R3764">
        <v>99.999999000000003</v>
      </c>
    </row>
    <row r="3765" spans="1:18" x14ac:dyDescent="0.2">
      <c r="A3765" t="s">
        <v>3420</v>
      </c>
      <c r="B3765" t="s">
        <v>2500</v>
      </c>
      <c r="C3765">
        <v>81</v>
      </c>
      <c r="D3765" s="1">
        <v>44192.733368055553</v>
      </c>
      <c r="E3765" t="s">
        <v>11764</v>
      </c>
      <c r="F3765" t="s">
        <v>3422</v>
      </c>
      <c r="G3765" t="s">
        <v>11704</v>
      </c>
      <c r="H3765" t="s">
        <v>3423</v>
      </c>
      <c r="I3765" t="s">
        <v>53</v>
      </c>
      <c r="J3765">
        <v>81</v>
      </c>
      <c r="K3765">
        <f>81-50-5532-394</f>
        <v>-5895</v>
      </c>
      <c r="L3765" t="s">
        <v>11765</v>
      </c>
      <c r="M3765" t="s">
        <v>11766</v>
      </c>
      <c r="N3765" t="s">
        <v>4620</v>
      </c>
      <c r="O3765" t="s">
        <v>134</v>
      </c>
      <c r="P3765" t="s">
        <v>2500</v>
      </c>
      <c r="Q3765">
        <v>1</v>
      </c>
      <c r="R3765">
        <v>99.999999000000003</v>
      </c>
    </row>
    <row r="3766" spans="1:18" x14ac:dyDescent="0.2">
      <c r="A3766" t="s">
        <v>3420</v>
      </c>
      <c r="B3766" t="s">
        <v>2500</v>
      </c>
      <c r="C3766">
        <v>81</v>
      </c>
      <c r="D3766" s="1">
        <v>44192.732916666668</v>
      </c>
      <c r="E3766" t="s">
        <v>11767</v>
      </c>
      <c r="F3766" t="s">
        <v>3422</v>
      </c>
      <c r="G3766" t="s">
        <v>11704</v>
      </c>
      <c r="H3766" t="s">
        <v>3423</v>
      </c>
      <c r="I3766" t="s">
        <v>53</v>
      </c>
      <c r="J3766">
        <v>81</v>
      </c>
      <c r="K3766">
        <f>81-50-3136-415</f>
        <v>-3520</v>
      </c>
      <c r="L3766" t="s">
        <v>11768</v>
      </c>
      <c r="M3766" t="s">
        <v>11769</v>
      </c>
      <c r="N3766" t="s">
        <v>4620</v>
      </c>
      <c r="O3766" t="s">
        <v>28</v>
      </c>
      <c r="P3766" t="s">
        <v>2500</v>
      </c>
      <c r="Q3766">
        <v>1</v>
      </c>
      <c r="R3766">
        <v>99.999999000000003</v>
      </c>
    </row>
    <row r="3767" spans="1:18" x14ac:dyDescent="0.2">
      <c r="A3767" t="s">
        <v>3420</v>
      </c>
      <c r="B3767" t="s">
        <v>2500</v>
      </c>
      <c r="C3767">
        <v>81</v>
      </c>
      <c r="D3767" s="1">
        <v>44192.732731481483</v>
      </c>
      <c r="E3767" t="s">
        <v>11770</v>
      </c>
      <c r="F3767" t="s">
        <v>3422</v>
      </c>
      <c r="G3767" t="s">
        <v>11704</v>
      </c>
      <c r="H3767" t="s">
        <v>3423</v>
      </c>
      <c r="I3767" t="s">
        <v>53</v>
      </c>
      <c r="J3767">
        <v>81</v>
      </c>
      <c r="K3767">
        <f>81-50-5532-914</f>
        <v>-6415</v>
      </c>
      <c r="L3767" t="s">
        <v>11771</v>
      </c>
      <c r="M3767" t="s">
        <v>11772</v>
      </c>
      <c r="N3767" t="s">
        <v>36</v>
      </c>
      <c r="O3767" t="s">
        <v>28</v>
      </c>
      <c r="P3767" t="s">
        <v>2500</v>
      </c>
      <c r="Q3767">
        <v>1</v>
      </c>
      <c r="R3767">
        <v>99.999999000000003</v>
      </c>
    </row>
    <row r="3768" spans="1:18" x14ac:dyDescent="0.2">
      <c r="A3768" t="s">
        <v>3420</v>
      </c>
      <c r="B3768" t="s">
        <v>2500</v>
      </c>
      <c r="C3768">
        <v>81</v>
      </c>
      <c r="D3768" s="1">
        <v>44176.771493055552</v>
      </c>
      <c r="E3768" t="s">
        <v>11773</v>
      </c>
      <c r="F3768" t="s">
        <v>3422</v>
      </c>
      <c r="G3768" t="s">
        <v>11704</v>
      </c>
      <c r="H3768" t="s">
        <v>3423</v>
      </c>
      <c r="I3768" t="s">
        <v>53</v>
      </c>
      <c r="J3768">
        <v>81</v>
      </c>
      <c r="K3768">
        <f>81-50-5532-3947</f>
        <v>-9448</v>
      </c>
      <c r="L3768" t="s">
        <v>11774</v>
      </c>
      <c r="M3768" t="s">
        <v>11775</v>
      </c>
      <c r="N3768" t="s">
        <v>36</v>
      </c>
      <c r="O3768" t="s">
        <v>28</v>
      </c>
      <c r="P3768" t="s">
        <v>2500</v>
      </c>
      <c r="Q3768">
        <v>1</v>
      </c>
      <c r="R3768">
        <v>99.999999000000003</v>
      </c>
    </row>
    <row r="3769" spans="1:18" x14ac:dyDescent="0.2">
      <c r="A3769" t="s">
        <v>3420</v>
      </c>
      <c r="B3769" t="s">
        <v>2500</v>
      </c>
      <c r="C3769">
        <v>81</v>
      </c>
      <c r="D3769" s="1">
        <v>44174.455312500002</v>
      </c>
      <c r="E3769" t="s">
        <v>11776</v>
      </c>
      <c r="F3769" t="s">
        <v>3422</v>
      </c>
      <c r="G3769" t="s">
        <v>11704</v>
      </c>
      <c r="H3769" t="s">
        <v>3423</v>
      </c>
      <c r="I3769" t="s">
        <v>53</v>
      </c>
      <c r="J3769">
        <v>81</v>
      </c>
      <c r="K3769">
        <f>81-50-3136-8993</f>
        <v>-12098</v>
      </c>
      <c r="L3769" t="s">
        <v>11777</v>
      </c>
      <c r="M3769" t="s">
        <v>11778</v>
      </c>
      <c r="N3769" t="s">
        <v>36</v>
      </c>
      <c r="O3769" t="s">
        <v>28</v>
      </c>
      <c r="P3769" t="s">
        <v>2500</v>
      </c>
      <c r="Q3769">
        <v>1</v>
      </c>
      <c r="R3769">
        <v>99.999999000000003</v>
      </c>
    </row>
    <row r="3770" spans="1:18" x14ac:dyDescent="0.2">
      <c r="A3770" t="s">
        <v>3420</v>
      </c>
      <c r="B3770" t="s">
        <v>2500</v>
      </c>
      <c r="C3770">
        <v>81</v>
      </c>
      <c r="D3770" s="1">
        <v>44169.839803240742</v>
      </c>
      <c r="E3770" t="s">
        <v>11779</v>
      </c>
      <c r="F3770" t="s">
        <v>3422</v>
      </c>
      <c r="G3770" t="s">
        <v>11704</v>
      </c>
      <c r="H3770" t="s">
        <v>3423</v>
      </c>
      <c r="I3770" t="s">
        <v>53</v>
      </c>
      <c r="J3770">
        <v>81</v>
      </c>
      <c r="K3770">
        <f>81-50-5809-686</f>
        <v>-6464</v>
      </c>
      <c r="L3770" t="s">
        <v>11780</v>
      </c>
      <c r="M3770" t="s">
        <v>11781</v>
      </c>
      <c r="N3770" t="s">
        <v>36</v>
      </c>
      <c r="O3770" t="s">
        <v>134</v>
      </c>
      <c r="P3770" t="s">
        <v>2500</v>
      </c>
      <c r="Q3770">
        <v>1</v>
      </c>
      <c r="R3770">
        <v>99.999999000000003</v>
      </c>
    </row>
    <row r="3771" spans="1:18" x14ac:dyDescent="0.2">
      <c r="A3771" t="s">
        <v>3420</v>
      </c>
      <c r="B3771" t="s">
        <v>2500</v>
      </c>
      <c r="C3771">
        <v>81</v>
      </c>
      <c r="D3771" s="1">
        <v>44169.565150462964</v>
      </c>
      <c r="E3771" t="s">
        <v>11782</v>
      </c>
      <c r="F3771" t="s">
        <v>3422</v>
      </c>
      <c r="G3771" t="s">
        <v>11704</v>
      </c>
      <c r="H3771" t="s">
        <v>3423</v>
      </c>
      <c r="I3771" t="s">
        <v>53</v>
      </c>
      <c r="J3771">
        <v>81</v>
      </c>
      <c r="K3771">
        <f>81-50-5534-2573</f>
        <v>-8076</v>
      </c>
      <c r="L3771" t="s">
        <v>11783</v>
      </c>
      <c r="M3771" t="s">
        <v>11784</v>
      </c>
      <c r="N3771" t="s">
        <v>36</v>
      </c>
      <c r="O3771" t="s">
        <v>134</v>
      </c>
      <c r="P3771" t="s">
        <v>2500</v>
      </c>
      <c r="Q3771">
        <v>1</v>
      </c>
      <c r="R3771">
        <v>99.999999000000003</v>
      </c>
    </row>
    <row r="3772" spans="1:18" x14ac:dyDescent="0.2">
      <c r="A3772" t="s">
        <v>3420</v>
      </c>
      <c r="B3772" t="s">
        <v>2500</v>
      </c>
      <c r="C3772">
        <v>81</v>
      </c>
      <c r="D3772" s="1">
        <v>44169.563819444447</v>
      </c>
      <c r="E3772" t="s">
        <v>11785</v>
      </c>
      <c r="F3772" t="s">
        <v>3422</v>
      </c>
      <c r="G3772" t="s">
        <v>11704</v>
      </c>
      <c r="H3772" t="s">
        <v>3423</v>
      </c>
      <c r="I3772" t="s">
        <v>53</v>
      </c>
      <c r="J3772">
        <v>81</v>
      </c>
      <c r="K3772">
        <f>81-50-5534-257</f>
        <v>-5760</v>
      </c>
      <c r="L3772" t="s">
        <v>11786</v>
      </c>
      <c r="M3772" t="s">
        <v>11787</v>
      </c>
      <c r="N3772" t="s">
        <v>36</v>
      </c>
      <c r="O3772" t="s">
        <v>134</v>
      </c>
      <c r="P3772" t="s">
        <v>2500</v>
      </c>
      <c r="Q3772">
        <v>1</v>
      </c>
      <c r="R3772">
        <v>99.999999000000003</v>
      </c>
    </row>
    <row r="3773" spans="1:18" x14ac:dyDescent="0.2">
      <c r="A3773" t="s">
        <v>3420</v>
      </c>
      <c r="B3773" t="s">
        <v>2500</v>
      </c>
      <c r="C3773">
        <v>81</v>
      </c>
      <c r="D3773" s="1">
        <v>44149.004814814813</v>
      </c>
      <c r="E3773" t="s">
        <v>11788</v>
      </c>
      <c r="F3773" t="s">
        <v>3422</v>
      </c>
      <c r="G3773" t="s">
        <v>11704</v>
      </c>
      <c r="H3773" t="s">
        <v>3423</v>
      </c>
      <c r="I3773" t="s">
        <v>53</v>
      </c>
      <c r="J3773">
        <v>81</v>
      </c>
      <c r="K3773">
        <f>81-50-3136-971</f>
        <v>-4076</v>
      </c>
      <c r="L3773" t="s">
        <v>11789</v>
      </c>
      <c r="M3773" t="s">
        <v>11790</v>
      </c>
      <c r="N3773" t="s">
        <v>36</v>
      </c>
      <c r="O3773" t="s">
        <v>28</v>
      </c>
      <c r="P3773" t="s">
        <v>2500</v>
      </c>
      <c r="Q3773">
        <v>1</v>
      </c>
      <c r="R3773">
        <v>99.999999000000003</v>
      </c>
    </row>
    <row r="3774" spans="1:18" x14ac:dyDescent="0.2">
      <c r="A3774" t="s">
        <v>3420</v>
      </c>
      <c r="B3774" t="s">
        <v>2500</v>
      </c>
      <c r="C3774">
        <v>81</v>
      </c>
      <c r="D3774" s="1">
        <v>44066.845983796295</v>
      </c>
      <c r="E3774" t="s">
        <v>11791</v>
      </c>
      <c r="F3774" t="s">
        <v>3422</v>
      </c>
      <c r="G3774" t="s">
        <v>11704</v>
      </c>
      <c r="H3774" t="s">
        <v>3423</v>
      </c>
      <c r="I3774" t="s">
        <v>53</v>
      </c>
      <c r="J3774">
        <v>81</v>
      </c>
      <c r="K3774">
        <f>81-50-3136-18</f>
        <v>-3123</v>
      </c>
      <c r="L3774" t="s">
        <v>11792</v>
      </c>
      <c r="M3774" t="s">
        <v>11793</v>
      </c>
      <c r="N3774" t="s">
        <v>36</v>
      </c>
      <c r="O3774" t="s">
        <v>28</v>
      </c>
      <c r="P3774" t="s">
        <v>2500</v>
      </c>
      <c r="Q3774">
        <v>1</v>
      </c>
      <c r="R3774">
        <v>99.999999000000003</v>
      </c>
    </row>
    <row r="3775" spans="1:18" x14ac:dyDescent="0.2">
      <c r="A3775" t="s">
        <v>3420</v>
      </c>
      <c r="B3775" t="s">
        <v>2500</v>
      </c>
      <c r="C3775">
        <v>81</v>
      </c>
      <c r="D3775" s="1">
        <v>44040.441053240742</v>
      </c>
      <c r="E3775" t="s">
        <v>11794</v>
      </c>
      <c r="F3775" t="s">
        <v>3422</v>
      </c>
      <c r="G3775" t="s">
        <v>11704</v>
      </c>
      <c r="H3775" t="s">
        <v>3423</v>
      </c>
      <c r="I3775" t="s">
        <v>53</v>
      </c>
      <c r="J3775">
        <v>81</v>
      </c>
      <c r="K3775">
        <f>81-50-3136-739</f>
        <v>-3844</v>
      </c>
      <c r="L3775" t="s">
        <v>11795</v>
      </c>
      <c r="M3775" t="s">
        <v>11796</v>
      </c>
      <c r="N3775" t="s">
        <v>452</v>
      </c>
      <c r="O3775" t="s">
        <v>28</v>
      </c>
      <c r="P3775" t="s">
        <v>2500</v>
      </c>
      <c r="Q3775">
        <v>1</v>
      </c>
      <c r="R3775">
        <v>99.999999000000003</v>
      </c>
    </row>
    <row r="3776" spans="1:18" x14ac:dyDescent="0.2">
      <c r="A3776" t="s">
        <v>3420</v>
      </c>
      <c r="B3776" t="s">
        <v>2500</v>
      </c>
      <c r="C3776">
        <v>81</v>
      </c>
      <c r="D3776" s="1">
        <v>44038.405810185184</v>
      </c>
      <c r="E3776" t="s">
        <v>11797</v>
      </c>
      <c r="F3776" t="s">
        <v>3422</v>
      </c>
      <c r="G3776" t="s">
        <v>11704</v>
      </c>
      <c r="H3776" t="s">
        <v>3423</v>
      </c>
      <c r="I3776" t="s">
        <v>53</v>
      </c>
      <c r="J3776">
        <v>81</v>
      </c>
      <c r="K3776">
        <f>81-50-5534-231</f>
        <v>-5734</v>
      </c>
      <c r="L3776" t="s">
        <v>11798</v>
      </c>
      <c r="M3776" t="s">
        <v>11799</v>
      </c>
      <c r="N3776" t="s">
        <v>36</v>
      </c>
      <c r="O3776" t="s">
        <v>28</v>
      </c>
      <c r="P3776" t="s">
        <v>2500</v>
      </c>
      <c r="Q3776">
        <v>1</v>
      </c>
      <c r="R3776">
        <v>99.999999000000003</v>
      </c>
    </row>
    <row r="3777" spans="1:18" x14ac:dyDescent="0.2">
      <c r="A3777" t="s">
        <v>3420</v>
      </c>
      <c r="B3777" t="s">
        <v>2500</v>
      </c>
      <c r="C3777">
        <v>81</v>
      </c>
      <c r="D3777" s="1">
        <v>44038.403055555558</v>
      </c>
      <c r="E3777" t="s">
        <v>11800</v>
      </c>
      <c r="F3777" t="s">
        <v>3422</v>
      </c>
      <c r="G3777" t="s">
        <v>11704</v>
      </c>
      <c r="H3777" t="s">
        <v>3423</v>
      </c>
      <c r="I3777" t="s">
        <v>53</v>
      </c>
      <c r="J3777">
        <v>81</v>
      </c>
      <c r="K3777">
        <f>81-50-3136-739</f>
        <v>-3844</v>
      </c>
      <c r="L3777" t="s">
        <v>11801</v>
      </c>
      <c r="M3777" t="s">
        <v>11802</v>
      </c>
      <c r="N3777" t="s">
        <v>452</v>
      </c>
      <c r="O3777" t="s">
        <v>28</v>
      </c>
      <c r="P3777" t="s">
        <v>2500</v>
      </c>
      <c r="Q3777">
        <v>1</v>
      </c>
      <c r="R3777">
        <v>99.999999000000003</v>
      </c>
    </row>
    <row r="3778" spans="1:18" x14ac:dyDescent="0.2">
      <c r="A3778" t="s">
        <v>3420</v>
      </c>
      <c r="B3778" t="s">
        <v>2500</v>
      </c>
      <c r="C3778">
        <v>81</v>
      </c>
      <c r="D3778" s="1">
        <v>44038.262673611112</v>
      </c>
      <c r="E3778" t="s">
        <v>11803</v>
      </c>
      <c r="F3778" t="s">
        <v>3422</v>
      </c>
      <c r="G3778" t="s">
        <v>11704</v>
      </c>
      <c r="H3778" t="s">
        <v>3423</v>
      </c>
      <c r="I3778" t="s">
        <v>53</v>
      </c>
      <c r="J3778">
        <v>81</v>
      </c>
      <c r="K3778">
        <f>81-50-5534-231</f>
        <v>-5734</v>
      </c>
      <c r="L3778" t="s">
        <v>11804</v>
      </c>
      <c r="M3778" t="s">
        <v>11805</v>
      </c>
      <c r="N3778" t="s">
        <v>36</v>
      </c>
      <c r="O3778" t="s">
        <v>28</v>
      </c>
      <c r="P3778" t="s">
        <v>2500</v>
      </c>
      <c r="Q3778">
        <v>1</v>
      </c>
      <c r="R3778">
        <v>99.999999000000003</v>
      </c>
    </row>
    <row r="3779" spans="1:18" x14ac:dyDescent="0.2">
      <c r="A3779" t="s">
        <v>663</v>
      </c>
      <c r="B3779" t="s">
        <v>3385</v>
      </c>
      <c r="C3779">
        <v>1</v>
      </c>
      <c r="D3779" s="1">
        <v>44038.662662037037</v>
      </c>
      <c r="E3779" t="s">
        <v>11806</v>
      </c>
      <c r="F3779" t="s">
        <v>666</v>
      </c>
      <c r="G3779" t="s">
        <v>11807</v>
      </c>
      <c r="H3779" t="s">
        <v>667</v>
      </c>
      <c r="I3779" t="s">
        <v>29</v>
      </c>
      <c r="J3779">
        <v>1</v>
      </c>
      <c r="K3779">
        <f>1-800-51-3726</f>
        <v>-4576</v>
      </c>
      <c r="L3779" t="s">
        <v>11808</v>
      </c>
      <c r="M3779" t="s">
        <v>11809</v>
      </c>
      <c r="N3779" t="s">
        <v>1645</v>
      </c>
      <c r="O3779" t="s">
        <v>28</v>
      </c>
      <c r="P3779" t="s">
        <v>29</v>
      </c>
      <c r="Q3779">
        <v>41</v>
      </c>
      <c r="R3779">
        <v>-74.006600000000006</v>
      </c>
    </row>
    <row r="3780" spans="1:18" x14ac:dyDescent="0.2">
      <c r="A3780" t="s">
        <v>439</v>
      </c>
      <c r="B3780" t="s">
        <v>3094</v>
      </c>
      <c r="C3780">
        <v>1</v>
      </c>
      <c r="D3780" s="1">
        <v>44038.664131944446</v>
      </c>
      <c r="E3780" t="s">
        <v>11810</v>
      </c>
      <c r="F3780" t="s">
        <v>442</v>
      </c>
      <c r="G3780" t="s">
        <v>11811</v>
      </c>
      <c r="H3780" t="s">
        <v>444</v>
      </c>
      <c r="I3780" t="s">
        <v>29</v>
      </c>
      <c r="J3780">
        <v>1</v>
      </c>
      <c r="K3780">
        <f>1-866-303-3729</f>
        <v>-4897</v>
      </c>
      <c r="L3780" t="s">
        <v>11812</v>
      </c>
      <c r="M3780" t="s">
        <v>11813</v>
      </c>
      <c r="N3780" t="s">
        <v>447</v>
      </c>
      <c r="O3780" t="s">
        <v>28</v>
      </c>
      <c r="P3780" t="s">
        <v>2268</v>
      </c>
      <c r="Q3780">
        <v>46</v>
      </c>
      <c r="R3780">
        <v>-73.567300000000003</v>
      </c>
    </row>
    <row r="3781" spans="1:18" x14ac:dyDescent="0.2">
      <c r="A3781" t="s">
        <v>663</v>
      </c>
      <c r="B3781" t="s">
        <v>5337</v>
      </c>
      <c r="C3781">
        <v>61</v>
      </c>
      <c r="D3781" s="1">
        <v>44039.45416666667</v>
      </c>
      <c r="E3781" t="s">
        <v>11814</v>
      </c>
      <c r="F3781" t="s">
        <v>666</v>
      </c>
      <c r="G3781" t="s">
        <v>11814</v>
      </c>
      <c r="H3781" t="s">
        <v>667</v>
      </c>
      <c r="I3781" t="s">
        <v>782</v>
      </c>
      <c r="J3781">
        <v>61</v>
      </c>
      <c r="K3781">
        <f>61-1800-572-283</f>
        <v>-2594</v>
      </c>
      <c r="L3781" t="s">
        <v>11815</v>
      </c>
      <c r="M3781" t="s">
        <v>11816</v>
      </c>
      <c r="N3781">
        <v>60</v>
      </c>
      <c r="O3781" t="s">
        <v>134</v>
      </c>
      <c r="P3781" t="s">
        <v>29</v>
      </c>
      <c r="Q3781">
        <v>38</v>
      </c>
      <c r="R3781">
        <v>-99.999999000000003</v>
      </c>
    </row>
    <row r="3782" spans="1:18" x14ac:dyDescent="0.2">
      <c r="A3782" t="s">
        <v>663</v>
      </c>
      <c r="B3782" t="s">
        <v>5337</v>
      </c>
      <c r="C3782">
        <v>61</v>
      </c>
      <c r="D3782" s="1">
        <v>44039.156759259262</v>
      </c>
      <c r="E3782" t="s">
        <v>11817</v>
      </c>
      <c r="F3782" t="s">
        <v>666</v>
      </c>
      <c r="G3782" t="s">
        <v>11814</v>
      </c>
      <c r="H3782" t="s">
        <v>667</v>
      </c>
      <c r="I3782" t="s">
        <v>782</v>
      </c>
      <c r="J3782">
        <v>61</v>
      </c>
      <c r="K3782">
        <f>61-1800-572-283</f>
        <v>-2594</v>
      </c>
      <c r="L3782" t="s">
        <v>11818</v>
      </c>
      <c r="M3782" t="s">
        <v>11819</v>
      </c>
      <c r="N3782" t="s">
        <v>1645</v>
      </c>
      <c r="O3782" t="s">
        <v>28</v>
      </c>
      <c r="P3782" t="s">
        <v>29</v>
      </c>
      <c r="Q3782">
        <v>38</v>
      </c>
      <c r="R3782">
        <v>-99.999999000000003</v>
      </c>
    </row>
    <row r="3783" spans="1:18" x14ac:dyDescent="0.2">
      <c r="A3783" t="s">
        <v>439</v>
      </c>
      <c r="B3783" t="s">
        <v>3094</v>
      </c>
      <c r="C3783">
        <v>81</v>
      </c>
      <c r="D3783" s="1">
        <v>44039.163576388892</v>
      </c>
      <c r="E3783" t="s">
        <v>11820</v>
      </c>
      <c r="F3783" t="s">
        <v>442</v>
      </c>
      <c r="G3783" t="s">
        <v>11821</v>
      </c>
      <c r="H3783" t="s">
        <v>444</v>
      </c>
      <c r="I3783" t="s">
        <v>53</v>
      </c>
      <c r="J3783">
        <v>81</v>
      </c>
      <c r="K3783">
        <f>81-50-5809-3115</f>
        <v>-8893</v>
      </c>
      <c r="L3783" t="s">
        <v>11822</v>
      </c>
      <c r="M3783" t="s">
        <v>11823</v>
      </c>
      <c r="N3783" t="s">
        <v>674</v>
      </c>
      <c r="O3783" t="s">
        <v>28</v>
      </c>
      <c r="P3783" t="s">
        <v>2268</v>
      </c>
      <c r="Q3783">
        <v>46</v>
      </c>
      <c r="R3783">
        <v>-73.567300000000003</v>
      </c>
    </row>
    <row r="3784" spans="1:18" x14ac:dyDescent="0.2">
      <c r="A3784" t="s">
        <v>439</v>
      </c>
      <c r="B3784" t="s">
        <v>440</v>
      </c>
      <c r="C3784">
        <v>1</v>
      </c>
      <c r="D3784" s="1">
        <v>44038.905462962961</v>
      </c>
      <c r="E3784" t="s">
        <v>11824</v>
      </c>
      <c r="F3784" t="s">
        <v>442</v>
      </c>
      <c r="G3784" t="s">
        <v>11825</v>
      </c>
      <c r="H3784" t="s">
        <v>444</v>
      </c>
      <c r="I3784" t="s">
        <v>29</v>
      </c>
      <c r="J3784">
        <v>1</v>
      </c>
      <c r="K3784">
        <f>1-800-261-4703</f>
        <v>-5763</v>
      </c>
      <c r="L3784" t="s">
        <v>11826</v>
      </c>
      <c r="M3784" t="s">
        <v>11827</v>
      </c>
      <c r="N3784" t="s">
        <v>674</v>
      </c>
      <c r="O3784" t="s">
        <v>28</v>
      </c>
      <c r="P3784" t="s">
        <v>29</v>
      </c>
      <c r="Q3784">
        <v>39</v>
      </c>
      <c r="R3784">
        <v>-77.487399999999994</v>
      </c>
    </row>
    <row r="3785" spans="1:18" x14ac:dyDescent="0.2">
      <c r="A3785" t="s">
        <v>439</v>
      </c>
      <c r="B3785" t="s">
        <v>440</v>
      </c>
      <c r="C3785">
        <v>81</v>
      </c>
      <c r="D3785" s="1">
        <v>44039.169895833336</v>
      </c>
      <c r="E3785" t="s">
        <v>11828</v>
      </c>
      <c r="F3785" t="s">
        <v>442</v>
      </c>
      <c r="G3785" t="s">
        <v>11829</v>
      </c>
      <c r="H3785" t="s">
        <v>444</v>
      </c>
      <c r="I3785" t="s">
        <v>53</v>
      </c>
      <c r="J3785">
        <v>81</v>
      </c>
      <c r="K3785">
        <f>81-50-5532-2180</f>
        <v>-7681</v>
      </c>
      <c r="L3785" t="s">
        <v>11830</v>
      </c>
      <c r="M3785" t="s">
        <v>11831</v>
      </c>
      <c r="N3785" t="s">
        <v>447</v>
      </c>
      <c r="O3785" t="s">
        <v>28</v>
      </c>
      <c r="P3785" t="s">
        <v>29</v>
      </c>
      <c r="Q3785">
        <v>39</v>
      </c>
      <c r="R3785">
        <v>-77.487399999999994</v>
      </c>
    </row>
    <row r="3786" spans="1:18" x14ac:dyDescent="0.2">
      <c r="A3786" t="s">
        <v>663</v>
      </c>
      <c r="B3786" t="s">
        <v>2500</v>
      </c>
      <c r="C3786">
        <v>81</v>
      </c>
      <c r="D3786" s="1">
        <v>44039.17114583333</v>
      </c>
      <c r="E3786" t="s">
        <v>11832</v>
      </c>
      <c r="F3786" t="s">
        <v>666</v>
      </c>
      <c r="G3786" t="s">
        <v>11833</v>
      </c>
      <c r="H3786" t="s">
        <v>667</v>
      </c>
      <c r="I3786" t="s">
        <v>53</v>
      </c>
      <c r="J3786">
        <v>81</v>
      </c>
      <c r="K3786">
        <f>81-50-3160-6906</f>
        <v>-10035</v>
      </c>
      <c r="L3786" t="s">
        <v>11834</v>
      </c>
      <c r="M3786" t="s">
        <v>11835</v>
      </c>
      <c r="N3786" t="s">
        <v>213</v>
      </c>
      <c r="O3786" t="s">
        <v>134</v>
      </c>
      <c r="P3786" t="s">
        <v>2500</v>
      </c>
      <c r="Q3786">
        <v>1</v>
      </c>
      <c r="R3786">
        <v>99.999999000000003</v>
      </c>
    </row>
    <row r="3787" spans="1:18" x14ac:dyDescent="0.2">
      <c r="A3787" t="s">
        <v>663</v>
      </c>
      <c r="B3787" t="s">
        <v>2500</v>
      </c>
      <c r="C3787">
        <v>81</v>
      </c>
      <c r="D3787" s="1">
        <v>44039.169976851852</v>
      </c>
      <c r="E3787" t="s">
        <v>11836</v>
      </c>
      <c r="F3787" t="s">
        <v>666</v>
      </c>
      <c r="G3787" t="s">
        <v>11833</v>
      </c>
      <c r="H3787" t="s">
        <v>667</v>
      </c>
      <c r="I3787" t="s">
        <v>53</v>
      </c>
      <c r="J3787">
        <v>81</v>
      </c>
      <c r="K3787">
        <f>81-50-3133-3384</f>
        <v>-6486</v>
      </c>
      <c r="L3787" t="s">
        <v>11837</v>
      </c>
      <c r="M3787" t="s">
        <v>11838</v>
      </c>
      <c r="N3787" t="s">
        <v>213</v>
      </c>
      <c r="O3787" t="s">
        <v>134</v>
      </c>
      <c r="P3787" t="s">
        <v>2500</v>
      </c>
      <c r="Q3787">
        <v>1</v>
      </c>
      <c r="R3787">
        <v>99.999999000000003</v>
      </c>
    </row>
    <row r="3788" spans="1:18" x14ac:dyDescent="0.2">
      <c r="A3788" t="s">
        <v>2225</v>
      </c>
      <c r="B3788" t="s">
        <v>2226</v>
      </c>
      <c r="C3788">
        <v>44</v>
      </c>
      <c r="D3788" s="1">
        <v>44049.648043981484</v>
      </c>
      <c r="E3788" t="s">
        <v>11839</v>
      </c>
      <c r="F3788" t="s">
        <v>2228</v>
      </c>
      <c r="G3788" t="s">
        <v>11840</v>
      </c>
      <c r="H3788" t="s">
        <v>2230</v>
      </c>
      <c r="I3788" t="s">
        <v>618</v>
      </c>
      <c r="J3788">
        <v>44</v>
      </c>
      <c r="K3788">
        <f>44-808-143-3684</f>
        <v>-4591</v>
      </c>
      <c r="L3788" t="s">
        <v>11841</v>
      </c>
      <c r="M3788" t="s">
        <v>11842</v>
      </c>
      <c r="N3788" t="s">
        <v>2475</v>
      </c>
      <c r="O3788" t="s">
        <v>28</v>
      </c>
      <c r="P3788" t="s">
        <v>24</v>
      </c>
      <c r="Q3788">
        <v>50</v>
      </c>
      <c r="R3788">
        <v>12.365</v>
      </c>
    </row>
    <row r="3789" spans="1:18" x14ac:dyDescent="0.2">
      <c r="A3789" t="s">
        <v>2225</v>
      </c>
      <c r="B3789" t="s">
        <v>2226</v>
      </c>
      <c r="C3789">
        <v>44</v>
      </c>
      <c r="D3789" s="1">
        <v>44049.419351851851</v>
      </c>
      <c r="E3789" t="s">
        <v>11843</v>
      </c>
      <c r="F3789" t="s">
        <v>2228</v>
      </c>
      <c r="G3789" t="s">
        <v>11840</v>
      </c>
      <c r="H3789" t="s">
        <v>2230</v>
      </c>
      <c r="I3789" t="s">
        <v>618</v>
      </c>
      <c r="J3789">
        <v>44</v>
      </c>
      <c r="K3789">
        <f>44-808-143-3684</f>
        <v>-4591</v>
      </c>
      <c r="L3789" t="s">
        <v>11844</v>
      </c>
      <c r="M3789" t="s">
        <v>11845</v>
      </c>
      <c r="N3789" t="s">
        <v>2475</v>
      </c>
      <c r="O3789" t="s">
        <v>28</v>
      </c>
      <c r="P3789" t="s">
        <v>24</v>
      </c>
      <c r="Q3789">
        <v>50</v>
      </c>
      <c r="R3789">
        <v>12.365</v>
      </c>
    </row>
    <row r="3790" spans="1:18" x14ac:dyDescent="0.2">
      <c r="A3790" t="s">
        <v>2225</v>
      </c>
      <c r="B3790" t="s">
        <v>2226</v>
      </c>
      <c r="C3790">
        <v>44</v>
      </c>
      <c r="D3790" s="1">
        <v>44048.567152777781</v>
      </c>
      <c r="E3790" t="s">
        <v>11846</v>
      </c>
      <c r="F3790" t="s">
        <v>2228</v>
      </c>
      <c r="G3790" t="s">
        <v>11840</v>
      </c>
      <c r="H3790" t="s">
        <v>2230</v>
      </c>
      <c r="I3790" t="s">
        <v>618</v>
      </c>
      <c r="J3790">
        <v>44</v>
      </c>
      <c r="K3790">
        <f>44-808-143-3684</f>
        <v>-4591</v>
      </c>
      <c r="L3790" t="s">
        <v>11847</v>
      </c>
      <c r="M3790" t="s">
        <v>11848</v>
      </c>
      <c r="N3790" t="s">
        <v>2475</v>
      </c>
      <c r="O3790" t="s">
        <v>28</v>
      </c>
      <c r="P3790" t="s">
        <v>24</v>
      </c>
      <c r="Q3790">
        <v>50</v>
      </c>
      <c r="R3790">
        <v>12.365</v>
      </c>
    </row>
    <row r="3791" spans="1:18" x14ac:dyDescent="0.2">
      <c r="A3791" t="s">
        <v>2225</v>
      </c>
      <c r="B3791" t="s">
        <v>2226</v>
      </c>
      <c r="C3791">
        <v>44</v>
      </c>
      <c r="D3791" s="1">
        <v>44047.679189814815</v>
      </c>
      <c r="E3791" t="s">
        <v>11849</v>
      </c>
      <c r="F3791" t="s">
        <v>2228</v>
      </c>
      <c r="G3791" t="s">
        <v>11840</v>
      </c>
      <c r="H3791" t="s">
        <v>2230</v>
      </c>
      <c r="I3791" t="s">
        <v>618</v>
      </c>
      <c r="J3791">
        <v>44</v>
      </c>
      <c r="K3791">
        <f>44-808-143-3686</f>
        <v>-4593</v>
      </c>
      <c r="L3791" t="s">
        <v>11850</v>
      </c>
      <c r="M3791" t="s">
        <v>11851</v>
      </c>
      <c r="N3791" t="s">
        <v>2475</v>
      </c>
      <c r="O3791" t="s">
        <v>28</v>
      </c>
      <c r="P3791" t="s">
        <v>24</v>
      </c>
      <c r="Q3791">
        <v>50</v>
      </c>
      <c r="R3791">
        <v>12.365</v>
      </c>
    </row>
    <row r="3792" spans="1:18" x14ac:dyDescent="0.2">
      <c r="A3792" t="s">
        <v>2225</v>
      </c>
      <c r="B3792" t="s">
        <v>2226</v>
      </c>
      <c r="C3792">
        <v>44</v>
      </c>
      <c r="D3792" s="1">
        <v>44047.554398148146</v>
      </c>
      <c r="E3792" t="s">
        <v>11852</v>
      </c>
      <c r="F3792" t="s">
        <v>2228</v>
      </c>
      <c r="G3792" t="s">
        <v>11840</v>
      </c>
      <c r="H3792" t="s">
        <v>2230</v>
      </c>
      <c r="I3792" t="s">
        <v>618</v>
      </c>
      <c r="J3792">
        <v>44</v>
      </c>
      <c r="K3792">
        <f>44-808-143-3686</f>
        <v>-4593</v>
      </c>
      <c r="L3792" t="s">
        <v>11853</v>
      </c>
      <c r="M3792" t="s">
        <v>11854</v>
      </c>
      <c r="N3792" t="s">
        <v>2475</v>
      </c>
      <c r="O3792" t="s">
        <v>28</v>
      </c>
      <c r="P3792" t="s">
        <v>24</v>
      </c>
      <c r="Q3792">
        <v>50</v>
      </c>
      <c r="R3792">
        <v>12.365</v>
      </c>
    </row>
    <row r="3793" spans="1:18" x14ac:dyDescent="0.2">
      <c r="A3793" t="s">
        <v>2225</v>
      </c>
      <c r="B3793" t="s">
        <v>2226</v>
      </c>
      <c r="C3793">
        <v>44</v>
      </c>
      <c r="D3793" s="1">
        <v>44046.647013888891</v>
      </c>
      <c r="E3793" t="s">
        <v>11855</v>
      </c>
      <c r="F3793" t="s">
        <v>2228</v>
      </c>
      <c r="G3793" t="s">
        <v>11840</v>
      </c>
      <c r="H3793" t="s">
        <v>2230</v>
      </c>
      <c r="I3793" t="s">
        <v>618</v>
      </c>
      <c r="J3793">
        <v>44</v>
      </c>
      <c r="K3793">
        <f>44-808-143-3686</f>
        <v>-4593</v>
      </c>
      <c r="L3793" t="s">
        <v>11856</v>
      </c>
      <c r="M3793" t="s">
        <v>11857</v>
      </c>
      <c r="N3793" t="s">
        <v>2475</v>
      </c>
      <c r="O3793" t="s">
        <v>28</v>
      </c>
      <c r="P3793" t="s">
        <v>24</v>
      </c>
      <c r="Q3793">
        <v>50</v>
      </c>
      <c r="R3793">
        <v>12.365</v>
      </c>
    </row>
    <row r="3794" spans="1:18" x14ac:dyDescent="0.2">
      <c r="A3794" t="s">
        <v>2225</v>
      </c>
      <c r="B3794" t="s">
        <v>2226</v>
      </c>
      <c r="C3794">
        <v>44</v>
      </c>
      <c r="D3794" s="1">
        <v>44046.438750000001</v>
      </c>
      <c r="E3794" t="s">
        <v>11858</v>
      </c>
      <c r="F3794" t="s">
        <v>2228</v>
      </c>
      <c r="G3794" t="s">
        <v>11840</v>
      </c>
      <c r="H3794" t="s">
        <v>2230</v>
      </c>
      <c r="I3794" t="s">
        <v>618</v>
      </c>
      <c r="J3794">
        <v>44</v>
      </c>
      <c r="K3794">
        <f>44-808-143-3684</f>
        <v>-4591</v>
      </c>
      <c r="L3794" t="s">
        <v>11859</v>
      </c>
      <c r="M3794" t="s">
        <v>11860</v>
      </c>
      <c r="N3794" t="s">
        <v>2475</v>
      </c>
      <c r="O3794" t="s">
        <v>28</v>
      </c>
      <c r="P3794" t="s">
        <v>24</v>
      </c>
      <c r="Q3794">
        <v>50</v>
      </c>
      <c r="R3794">
        <v>12.365</v>
      </c>
    </row>
    <row r="3795" spans="1:18" x14ac:dyDescent="0.2">
      <c r="A3795" t="s">
        <v>2225</v>
      </c>
      <c r="B3795" t="s">
        <v>2226</v>
      </c>
      <c r="C3795">
        <v>44</v>
      </c>
      <c r="D3795" s="1">
        <v>44043.586689814816</v>
      </c>
      <c r="E3795" t="s">
        <v>11861</v>
      </c>
      <c r="F3795" t="s">
        <v>2228</v>
      </c>
      <c r="G3795" t="s">
        <v>11840</v>
      </c>
      <c r="H3795" t="s">
        <v>2230</v>
      </c>
      <c r="I3795" t="s">
        <v>618</v>
      </c>
      <c r="J3795">
        <v>44</v>
      </c>
      <c r="K3795">
        <f>44-808-143-3684</f>
        <v>-4591</v>
      </c>
      <c r="L3795" t="s">
        <v>11862</v>
      </c>
      <c r="M3795" t="s">
        <v>11863</v>
      </c>
      <c r="N3795" t="s">
        <v>2475</v>
      </c>
      <c r="O3795" t="s">
        <v>28</v>
      </c>
      <c r="P3795" t="s">
        <v>24</v>
      </c>
      <c r="Q3795">
        <v>50</v>
      </c>
      <c r="R3795">
        <v>12.365</v>
      </c>
    </row>
    <row r="3796" spans="1:18" x14ac:dyDescent="0.2">
      <c r="A3796" t="s">
        <v>2225</v>
      </c>
      <c r="B3796" t="s">
        <v>2226</v>
      </c>
      <c r="C3796">
        <v>44</v>
      </c>
      <c r="D3796" s="1">
        <v>44039.663819444446</v>
      </c>
      <c r="E3796" t="s">
        <v>11864</v>
      </c>
      <c r="F3796" t="s">
        <v>2228</v>
      </c>
      <c r="G3796" t="s">
        <v>11840</v>
      </c>
      <c r="H3796" t="s">
        <v>2230</v>
      </c>
      <c r="I3796" t="s">
        <v>618</v>
      </c>
      <c r="J3796">
        <v>44</v>
      </c>
      <c r="K3796">
        <f>44-808-143-3684</f>
        <v>-4591</v>
      </c>
      <c r="L3796" t="s">
        <v>11865</v>
      </c>
      <c r="M3796" t="s">
        <v>11866</v>
      </c>
      <c r="N3796" t="s">
        <v>2475</v>
      </c>
      <c r="O3796" t="s">
        <v>28</v>
      </c>
      <c r="P3796" t="s">
        <v>24</v>
      </c>
      <c r="Q3796">
        <v>50</v>
      </c>
      <c r="R3796">
        <v>12.365</v>
      </c>
    </row>
    <row r="3797" spans="1:18" x14ac:dyDescent="0.2">
      <c r="A3797" t="s">
        <v>2225</v>
      </c>
      <c r="B3797" t="s">
        <v>2226</v>
      </c>
      <c r="C3797">
        <v>44</v>
      </c>
      <c r="D3797" s="1">
        <v>44039.491435185184</v>
      </c>
      <c r="E3797" t="s">
        <v>11867</v>
      </c>
      <c r="F3797" t="s">
        <v>2228</v>
      </c>
      <c r="G3797" t="s">
        <v>11840</v>
      </c>
      <c r="H3797" t="s">
        <v>2230</v>
      </c>
      <c r="I3797" t="s">
        <v>618</v>
      </c>
      <c r="J3797">
        <v>44</v>
      </c>
      <c r="K3797">
        <f>44-808-143-3684</f>
        <v>-4591</v>
      </c>
      <c r="L3797" t="s">
        <v>11868</v>
      </c>
      <c r="M3797" t="s">
        <v>11869</v>
      </c>
      <c r="N3797" t="s">
        <v>2475</v>
      </c>
      <c r="O3797" t="s">
        <v>28</v>
      </c>
      <c r="P3797" t="s">
        <v>24</v>
      </c>
      <c r="Q3797">
        <v>50</v>
      </c>
      <c r="R3797">
        <v>12.365</v>
      </c>
    </row>
    <row r="3798" spans="1:18" x14ac:dyDescent="0.2">
      <c r="A3798" t="s">
        <v>439</v>
      </c>
      <c r="B3798" t="s">
        <v>3094</v>
      </c>
      <c r="C3798">
        <v>1</v>
      </c>
      <c r="D3798" s="1">
        <v>44039.61855324074</v>
      </c>
      <c r="E3798" t="s">
        <v>11870</v>
      </c>
      <c r="F3798" t="s">
        <v>442</v>
      </c>
      <c r="G3798" t="s">
        <v>11871</v>
      </c>
      <c r="H3798" t="s">
        <v>444</v>
      </c>
      <c r="I3798" t="s">
        <v>29</v>
      </c>
      <c r="J3798">
        <v>1</v>
      </c>
      <c r="K3798">
        <f>1-47-800-62-665</f>
        <v>-1573</v>
      </c>
      <c r="L3798" t="s">
        <v>11872</v>
      </c>
      <c r="M3798" t="s">
        <v>11873</v>
      </c>
      <c r="N3798" t="s">
        <v>213</v>
      </c>
      <c r="O3798" t="s">
        <v>28</v>
      </c>
      <c r="P3798" t="s">
        <v>2268</v>
      </c>
      <c r="Q3798">
        <v>46</v>
      </c>
      <c r="R3798">
        <v>-73.567300000000003</v>
      </c>
    </row>
    <row r="3799" spans="1:18" x14ac:dyDescent="0.2">
      <c r="A3799" t="s">
        <v>663</v>
      </c>
      <c r="B3799" t="s">
        <v>1212</v>
      </c>
      <c r="C3799">
        <v>44</v>
      </c>
      <c r="D3799" s="1">
        <v>44039.618981481479</v>
      </c>
      <c r="E3799" t="s">
        <v>11874</v>
      </c>
      <c r="F3799" t="s">
        <v>666</v>
      </c>
      <c r="G3799" t="s">
        <v>11875</v>
      </c>
      <c r="H3799" t="s">
        <v>667</v>
      </c>
      <c r="I3799" t="s">
        <v>618</v>
      </c>
      <c r="J3799">
        <v>44</v>
      </c>
      <c r="K3799">
        <f>44-800-51-3726</f>
        <v>-4533</v>
      </c>
      <c r="L3799" t="s">
        <v>11876</v>
      </c>
      <c r="M3799" t="s">
        <v>11877</v>
      </c>
      <c r="N3799" t="s">
        <v>1645</v>
      </c>
      <c r="O3799" t="s">
        <v>28</v>
      </c>
      <c r="P3799" t="s">
        <v>618</v>
      </c>
      <c r="Q3799">
        <v>52</v>
      </c>
      <c r="R3799">
        <v>-0.62150000000000005</v>
      </c>
    </row>
    <row r="3800" spans="1:18" x14ac:dyDescent="0.2">
      <c r="A3800" t="s">
        <v>675</v>
      </c>
      <c r="B3800" t="s">
        <v>1412</v>
      </c>
      <c r="C3800">
        <v>61</v>
      </c>
      <c r="D3800" s="1">
        <v>44044.225729166668</v>
      </c>
      <c r="E3800" t="s">
        <v>11878</v>
      </c>
      <c r="F3800" t="s">
        <v>678</v>
      </c>
      <c r="G3800" t="s">
        <v>11879</v>
      </c>
      <c r="H3800" t="s">
        <v>680</v>
      </c>
      <c r="I3800" t="s">
        <v>782</v>
      </c>
      <c r="J3800">
        <v>61</v>
      </c>
      <c r="K3800">
        <f>61-1800-557-863</f>
        <v>-3159</v>
      </c>
      <c r="L3800" t="s">
        <v>11880</v>
      </c>
      <c r="M3800" t="s">
        <v>11881</v>
      </c>
      <c r="N3800" t="s">
        <v>1645</v>
      </c>
      <c r="O3800" t="s">
        <v>28</v>
      </c>
      <c r="P3800" t="s">
        <v>29</v>
      </c>
      <c r="Q3800">
        <v>41</v>
      </c>
      <c r="R3800">
        <v>-74.172399999999996</v>
      </c>
    </row>
    <row r="3801" spans="1:18" x14ac:dyDescent="0.2">
      <c r="A3801" t="s">
        <v>675</v>
      </c>
      <c r="B3801" t="s">
        <v>1412</v>
      </c>
      <c r="C3801">
        <v>61</v>
      </c>
      <c r="D3801" s="1">
        <v>44043.380601851852</v>
      </c>
      <c r="E3801" t="s">
        <v>11882</v>
      </c>
      <c r="F3801" t="s">
        <v>678</v>
      </c>
      <c r="G3801" t="s">
        <v>11879</v>
      </c>
      <c r="H3801" t="s">
        <v>680</v>
      </c>
      <c r="I3801" t="s">
        <v>782</v>
      </c>
      <c r="J3801">
        <v>61</v>
      </c>
      <c r="K3801">
        <f>61-1800-557-863</f>
        <v>-3159</v>
      </c>
      <c r="L3801" t="s">
        <v>11883</v>
      </c>
      <c r="M3801" t="s">
        <v>11884</v>
      </c>
      <c r="N3801" t="s">
        <v>1645</v>
      </c>
      <c r="O3801" t="s">
        <v>28</v>
      </c>
      <c r="P3801" t="s">
        <v>29</v>
      </c>
      <c r="Q3801">
        <v>41</v>
      </c>
      <c r="R3801">
        <v>-74.172399999999996</v>
      </c>
    </row>
    <row r="3802" spans="1:18" x14ac:dyDescent="0.2">
      <c r="A3802" t="s">
        <v>675</v>
      </c>
      <c r="B3802" t="s">
        <v>1412</v>
      </c>
      <c r="C3802">
        <v>61</v>
      </c>
      <c r="D3802" s="1">
        <v>44042.799791666665</v>
      </c>
      <c r="E3802" t="s">
        <v>11885</v>
      </c>
      <c r="F3802" t="s">
        <v>678</v>
      </c>
      <c r="G3802" t="s">
        <v>11879</v>
      </c>
      <c r="H3802" t="s">
        <v>680</v>
      </c>
      <c r="I3802" t="s">
        <v>782</v>
      </c>
      <c r="J3802">
        <v>61</v>
      </c>
      <c r="K3802">
        <f>61-1800-557-863</f>
        <v>-3159</v>
      </c>
      <c r="L3802" t="s">
        <v>11886</v>
      </c>
      <c r="M3802" t="s">
        <v>11887</v>
      </c>
      <c r="N3802" t="s">
        <v>1645</v>
      </c>
      <c r="O3802" t="s">
        <v>28</v>
      </c>
      <c r="P3802" t="s">
        <v>29</v>
      </c>
      <c r="Q3802">
        <v>41</v>
      </c>
      <c r="R3802">
        <v>-74.172399999999996</v>
      </c>
    </row>
    <row r="3803" spans="1:18" x14ac:dyDescent="0.2">
      <c r="A3803" t="s">
        <v>675</v>
      </c>
      <c r="B3803" t="s">
        <v>1412</v>
      </c>
      <c r="C3803">
        <v>61</v>
      </c>
      <c r="D3803" s="1">
        <v>44042.799641203703</v>
      </c>
      <c r="E3803" t="s">
        <v>11888</v>
      </c>
      <c r="F3803" t="s">
        <v>678</v>
      </c>
      <c r="G3803" t="s">
        <v>11879</v>
      </c>
      <c r="H3803" t="s">
        <v>680</v>
      </c>
      <c r="I3803" t="s">
        <v>782</v>
      </c>
      <c r="J3803">
        <v>61</v>
      </c>
      <c r="K3803">
        <f>61-1800-557-863</f>
        <v>-3159</v>
      </c>
      <c r="L3803" t="s">
        <v>11889</v>
      </c>
      <c r="M3803" t="s">
        <v>11890</v>
      </c>
      <c r="N3803" t="s">
        <v>1645</v>
      </c>
      <c r="O3803" t="s">
        <v>28</v>
      </c>
      <c r="P3803" t="s">
        <v>29</v>
      </c>
      <c r="Q3803">
        <v>41</v>
      </c>
      <c r="R3803">
        <v>-74.172399999999996</v>
      </c>
    </row>
    <row r="3804" spans="1:18" x14ac:dyDescent="0.2">
      <c r="A3804" t="s">
        <v>675</v>
      </c>
      <c r="B3804" t="s">
        <v>1412</v>
      </c>
      <c r="C3804">
        <v>61</v>
      </c>
      <c r="D3804" s="1">
        <v>44042.799189814818</v>
      </c>
      <c r="E3804" t="s">
        <v>11891</v>
      </c>
      <c r="F3804" t="s">
        <v>678</v>
      </c>
      <c r="G3804" t="s">
        <v>11879</v>
      </c>
      <c r="H3804" t="s">
        <v>680</v>
      </c>
      <c r="I3804" t="s">
        <v>782</v>
      </c>
      <c r="J3804">
        <v>61</v>
      </c>
      <c r="K3804">
        <f>61-1800-557-863</f>
        <v>-3159</v>
      </c>
      <c r="L3804" t="s">
        <v>11892</v>
      </c>
      <c r="M3804" t="s">
        <v>11893</v>
      </c>
      <c r="N3804" t="s">
        <v>1645</v>
      </c>
      <c r="O3804" t="s">
        <v>28</v>
      </c>
      <c r="P3804" t="s">
        <v>29</v>
      </c>
      <c r="Q3804">
        <v>41</v>
      </c>
      <c r="R3804">
        <v>-74.172399999999996</v>
      </c>
    </row>
    <row r="3805" spans="1:18" x14ac:dyDescent="0.2">
      <c r="A3805" t="s">
        <v>675</v>
      </c>
      <c r="B3805" t="s">
        <v>1412</v>
      </c>
      <c r="C3805">
        <v>1</v>
      </c>
      <c r="D3805" s="1">
        <v>44040.735023148147</v>
      </c>
      <c r="E3805" t="s">
        <v>11894</v>
      </c>
      <c r="F3805" t="s">
        <v>678</v>
      </c>
      <c r="G3805" t="s">
        <v>11879</v>
      </c>
      <c r="H3805" t="s">
        <v>680</v>
      </c>
      <c r="I3805" t="s">
        <v>29</v>
      </c>
      <c r="J3805">
        <v>1</v>
      </c>
      <c r="K3805">
        <f>1-888-473-8987</f>
        <v>-10347</v>
      </c>
      <c r="L3805" t="s">
        <v>11895</v>
      </c>
      <c r="M3805" t="s">
        <v>11896</v>
      </c>
      <c r="N3805" t="s">
        <v>1645</v>
      </c>
      <c r="O3805" t="s">
        <v>28</v>
      </c>
      <c r="P3805" t="s">
        <v>29</v>
      </c>
      <c r="Q3805">
        <v>41</v>
      </c>
      <c r="R3805">
        <v>-74.172399999999996</v>
      </c>
    </row>
    <row r="3806" spans="1:18" x14ac:dyDescent="0.2">
      <c r="A3806" t="s">
        <v>675</v>
      </c>
      <c r="B3806" t="s">
        <v>1412</v>
      </c>
      <c r="C3806">
        <v>61</v>
      </c>
      <c r="D3806" s="1">
        <v>44040.734756944446</v>
      </c>
      <c r="E3806" t="s">
        <v>11897</v>
      </c>
      <c r="F3806" t="s">
        <v>678</v>
      </c>
      <c r="G3806" t="s">
        <v>11879</v>
      </c>
      <c r="H3806" t="s">
        <v>680</v>
      </c>
      <c r="I3806" t="s">
        <v>782</v>
      </c>
      <c r="J3806">
        <v>61</v>
      </c>
      <c r="K3806">
        <f>61-1800-557-863</f>
        <v>-3159</v>
      </c>
      <c r="L3806" t="s">
        <v>11898</v>
      </c>
      <c r="M3806" t="s">
        <v>11899</v>
      </c>
      <c r="N3806" t="s">
        <v>1645</v>
      </c>
      <c r="O3806" t="s">
        <v>28</v>
      </c>
      <c r="P3806" t="s">
        <v>29</v>
      </c>
      <c r="Q3806">
        <v>41</v>
      </c>
      <c r="R3806">
        <v>-74.172399999999996</v>
      </c>
    </row>
    <row r="3807" spans="1:18" x14ac:dyDescent="0.2">
      <c r="A3807" t="s">
        <v>675</v>
      </c>
      <c r="B3807" t="s">
        <v>1412</v>
      </c>
      <c r="C3807">
        <v>61</v>
      </c>
      <c r="D3807" s="1">
        <v>44040.58871527778</v>
      </c>
      <c r="E3807" t="s">
        <v>11900</v>
      </c>
      <c r="F3807" t="s">
        <v>678</v>
      </c>
      <c r="G3807" t="s">
        <v>11879</v>
      </c>
      <c r="H3807" t="s">
        <v>680</v>
      </c>
      <c r="I3807" t="s">
        <v>782</v>
      </c>
      <c r="J3807">
        <v>61</v>
      </c>
      <c r="K3807">
        <f>61-1800-557-863</f>
        <v>-3159</v>
      </c>
      <c r="L3807" t="s">
        <v>11901</v>
      </c>
      <c r="M3807" t="s">
        <v>11902</v>
      </c>
      <c r="N3807" t="s">
        <v>1645</v>
      </c>
      <c r="O3807" t="s">
        <v>28</v>
      </c>
      <c r="P3807" t="s">
        <v>29</v>
      </c>
      <c r="Q3807">
        <v>41</v>
      </c>
      <c r="R3807">
        <v>-74.172399999999996</v>
      </c>
    </row>
    <row r="3808" spans="1:18" x14ac:dyDescent="0.2">
      <c r="A3808" t="s">
        <v>675</v>
      </c>
      <c r="B3808" t="s">
        <v>1412</v>
      </c>
      <c r="C3808">
        <v>61</v>
      </c>
      <c r="D3808" s="1">
        <v>44039.62222222222</v>
      </c>
      <c r="E3808" t="s">
        <v>11903</v>
      </c>
      <c r="F3808" t="s">
        <v>678</v>
      </c>
      <c r="G3808" t="s">
        <v>11879</v>
      </c>
      <c r="H3808" t="s">
        <v>680</v>
      </c>
      <c r="I3808" t="s">
        <v>782</v>
      </c>
      <c r="J3808">
        <v>61</v>
      </c>
      <c r="K3808">
        <f>61-1800-557-863</f>
        <v>-3159</v>
      </c>
      <c r="L3808" t="s">
        <v>11904</v>
      </c>
      <c r="M3808" t="s">
        <v>11905</v>
      </c>
      <c r="N3808" t="s">
        <v>1645</v>
      </c>
      <c r="O3808" t="s">
        <v>28</v>
      </c>
      <c r="P3808" t="s">
        <v>29</v>
      </c>
      <c r="Q3808">
        <v>41</v>
      </c>
      <c r="R3808">
        <v>-74.172399999999996</v>
      </c>
    </row>
    <row r="3809" spans="1:18" x14ac:dyDescent="0.2">
      <c r="A3809" t="s">
        <v>675</v>
      </c>
      <c r="B3809" t="s">
        <v>1412</v>
      </c>
      <c r="C3809">
        <v>61</v>
      </c>
      <c r="D3809" s="1">
        <v>44039.619791666664</v>
      </c>
      <c r="E3809" t="s">
        <v>11906</v>
      </c>
      <c r="F3809" t="s">
        <v>678</v>
      </c>
      <c r="G3809" t="s">
        <v>11879</v>
      </c>
      <c r="H3809" t="s">
        <v>680</v>
      </c>
      <c r="I3809" t="s">
        <v>782</v>
      </c>
      <c r="J3809">
        <v>61</v>
      </c>
      <c r="K3809">
        <f>61-1800-557-863</f>
        <v>-3159</v>
      </c>
      <c r="L3809" t="s">
        <v>11907</v>
      </c>
      <c r="M3809" t="s">
        <v>11908</v>
      </c>
      <c r="N3809" t="s">
        <v>683</v>
      </c>
      <c r="O3809" t="s">
        <v>28</v>
      </c>
      <c r="P3809" t="s">
        <v>29</v>
      </c>
      <c r="Q3809">
        <v>41</v>
      </c>
      <c r="R3809">
        <v>-74.172399999999996</v>
      </c>
    </row>
    <row r="3810" spans="1:18" x14ac:dyDescent="0.2">
      <c r="A3810" t="s">
        <v>439</v>
      </c>
      <c r="B3810" t="s">
        <v>1412</v>
      </c>
      <c r="C3810">
        <v>1</v>
      </c>
      <c r="D3810" s="1">
        <v>44039.620752314811</v>
      </c>
      <c r="E3810" t="s">
        <v>11909</v>
      </c>
      <c r="F3810" t="s">
        <v>442</v>
      </c>
      <c r="G3810" t="s">
        <v>11910</v>
      </c>
      <c r="H3810" t="s">
        <v>444</v>
      </c>
      <c r="I3810" t="s">
        <v>29</v>
      </c>
      <c r="J3810">
        <v>1</v>
      </c>
      <c r="K3810">
        <f>1-888-424-2471</f>
        <v>-3782</v>
      </c>
      <c r="L3810" t="s">
        <v>11911</v>
      </c>
      <c r="M3810" t="s">
        <v>11912</v>
      </c>
      <c r="N3810" t="s">
        <v>447</v>
      </c>
      <c r="O3810" t="s">
        <v>28</v>
      </c>
      <c r="P3810" t="s">
        <v>29</v>
      </c>
      <c r="Q3810">
        <v>41</v>
      </c>
      <c r="R3810">
        <v>-74.172399999999996</v>
      </c>
    </row>
    <row r="3811" spans="1:18" x14ac:dyDescent="0.2">
      <c r="A3811" t="s">
        <v>2349</v>
      </c>
      <c r="B3811" t="s">
        <v>10634</v>
      </c>
      <c r="C3811">
        <v>41</v>
      </c>
      <c r="D3811" s="1">
        <v>44039.649178240739</v>
      </c>
      <c r="E3811" t="s">
        <v>11913</v>
      </c>
      <c r="F3811" t="s">
        <v>2352</v>
      </c>
      <c r="G3811" t="s">
        <v>11914</v>
      </c>
      <c r="H3811" t="s">
        <v>2353</v>
      </c>
      <c r="I3811" t="s">
        <v>204</v>
      </c>
      <c r="J3811">
        <v>41</v>
      </c>
      <c r="K3811">
        <f>41-800-101-202</f>
        <v>-1062</v>
      </c>
      <c r="L3811" t="s">
        <v>11915</v>
      </c>
      <c r="M3811" t="s">
        <v>11916</v>
      </c>
      <c r="N3811" t="s">
        <v>452</v>
      </c>
      <c r="O3811" t="s">
        <v>134</v>
      </c>
      <c r="P3811" t="s">
        <v>292</v>
      </c>
      <c r="Q3811">
        <v>49</v>
      </c>
      <c r="R3811">
        <v>2.3693900000000001</v>
      </c>
    </row>
    <row r="3812" spans="1:18" x14ac:dyDescent="0.2">
      <c r="A3812" t="s">
        <v>2349</v>
      </c>
      <c r="B3812" t="s">
        <v>10634</v>
      </c>
      <c r="C3812">
        <v>41</v>
      </c>
      <c r="D3812" s="1">
        <v>44039.643912037034</v>
      </c>
      <c r="E3812" t="s">
        <v>11914</v>
      </c>
      <c r="F3812" t="s">
        <v>2352</v>
      </c>
      <c r="G3812" t="s">
        <v>11914</v>
      </c>
      <c r="H3812" t="s">
        <v>2353</v>
      </c>
      <c r="I3812" t="s">
        <v>204</v>
      </c>
      <c r="J3812">
        <v>41</v>
      </c>
      <c r="K3812">
        <f>41-800-101-202</f>
        <v>-1062</v>
      </c>
      <c r="L3812" t="s">
        <v>11917</v>
      </c>
      <c r="M3812" t="s">
        <v>11918</v>
      </c>
      <c r="N3812">
        <v>165</v>
      </c>
      <c r="O3812" t="s">
        <v>134</v>
      </c>
      <c r="P3812" t="s">
        <v>292</v>
      </c>
      <c r="Q3812">
        <v>49</v>
      </c>
      <c r="R3812">
        <v>2.3693900000000001</v>
      </c>
    </row>
    <row r="3813" spans="1:18" x14ac:dyDescent="0.2">
      <c r="A3813" t="s">
        <v>2233</v>
      </c>
      <c r="B3813" t="s">
        <v>2234</v>
      </c>
      <c r="C3813">
        <v>41</v>
      </c>
      <c r="D3813" s="1">
        <v>44039.655590277776</v>
      </c>
      <c r="E3813" t="s">
        <v>11919</v>
      </c>
      <c r="F3813" t="s">
        <v>7023</v>
      </c>
      <c r="G3813" t="s">
        <v>11919</v>
      </c>
      <c r="H3813" t="s">
        <v>2237</v>
      </c>
      <c r="I3813" t="s">
        <v>204</v>
      </c>
      <c r="J3813">
        <v>41</v>
      </c>
      <c r="K3813">
        <f>41-33-534-91-94</f>
        <v>-711</v>
      </c>
      <c r="L3813" t="s">
        <v>11920</v>
      </c>
      <c r="M3813" t="s">
        <v>11921</v>
      </c>
      <c r="N3813">
        <v>54</v>
      </c>
      <c r="O3813" t="s">
        <v>134</v>
      </c>
      <c r="P3813" t="s">
        <v>6188</v>
      </c>
      <c r="Q3813">
        <v>53</v>
      </c>
      <c r="R3813">
        <v>-6.2603099999999996</v>
      </c>
    </row>
    <row r="3814" spans="1:18" x14ac:dyDescent="0.2">
      <c r="A3814" t="s">
        <v>453</v>
      </c>
      <c r="B3814" t="s">
        <v>454</v>
      </c>
      <c r="C3814">
        <v>31</v>
      </c>
      <c r="D3814" s="1">
        <v>44046.592627314814</v>
      </c>
      <c r="E3814" t="s">
        <v>11922</v>
      </c>
      <c r="F3814" t="s">
        <v>456</v>
      </c>
      <c r="G3814" t="s">
        <v>11923</v>
      </c>
      <c r="H3814" t="s">
        <v>458</v>
      </c>
      <c r="I3814" t="s">
        <v>461</v>
      </c>
      <c r="J3814">
        <v>31</v>
      </c>
      <c r="K3814">
        <f>31-76-220-7006</f>
        <v>-7271</v>
      </c>
      <c r="L3814" t="s">
        <v>11924</v>
      </c>
      <c r="M3814" t="s">
        <v>11925</v>
      </c>
      <c r="N3814" t="s">
        <v>36</v>
      </c>
      <c r="O3814" t="s">
        <v>134</v>
      </c>
      <c r="P3814" t="s">
        <v>461</v>
      </c>
      <c r="Q3814">
        <v>52</v>
      </c>
      <c r="R3814">
        <v>4.9391999999999996</v>
      </c>
    </row>
    <row r="3815" spans="1:18" x14ac:dyDescent="0.2">
      <c r="A3815" t="s">
        <v>453</v>
      </c>
      <c r="B3815" t="s">
        <v>454</v>
      </c>
      <c r="C3815">
        <v>32</v>
      </c>
      <c r="D3815" s="1">
        <v>44046.567361111112</v>
      </c>
      <c r="E3815" t="s">
        <v>11922</v>
      </c>
      <c r="F3815" t="s">
        <v>456</v>
      </c>
      <c r="G3815" t="s">
        <v>11923</v>
      </c>
      <c r="H3815" t="s">
        <v>458</v>
      </c>
      <c r="I3815" t="s">
        <v>4288</v>
      </c>
      <c r="J3815">
        <v>32</v>
      </c>
      <c r="K3815">
        <f>32-78-25-11-40</f>
        <v>-122</v>
      </c>
      <c r="L3815" t="s">
        <v>11926</v>
      </c>
      <c r="M3815" t="s">
        <v>11927</v>
      </c>
      <c r="N3815" t="s">
        <v>36</v>
      </c>
      <c r="O3815" t="s">
        <v>134</v>
      </c>
      <c r="P3815" t="s">
        <v>461</v>
      </c>
      <c r="Q3815">
        <v>52</v>
      </c>
      <c r="R3815">
        <v>4.9391999999999996</v>
      </c>
    </row>
    <row r="3816" spans="1:18" x14ac:dyDescent="0.2">
      <c r="A3816" t="s">
        <v>453</v>
      </c>
      <c r="B3816" t="s">
        <v>454</v>
      </c>
      <c r="C3816">
        <v>46</v>
      </c>
      <c r="D3816" s="1">
        <v>44045.714791666665</v>
      </c>
      <c r="E3816" t="s">
        <v>11928</v>
      </c>
      <c r="F3816" t="s">
        <v>456</v>
      </c>
      <c r="G3816" t="s">
        <v>11923</v>
      </c>
      <c r="H3816" t="s">
        <v>458</v>
      </c>
      <c r="I3816" t="s">
        <v>7680</v>
      </c>
      <c r="J3816">
        <v>46</v>
      </c>
      <c r="K3816">
        <f>46-10-138-93-96</f>
        <v>-291</v>
      </c>
      <c r="L3816" t="s">
        <v>11929</v>
      </c>
      <c r="M3816" t="s">
        <v>11930</v>
      </c>
      <c r="N3816" t="s">
        <v>36</v>
      </c>
      <c r="O3816" t="s">
        <v>134</v>
      </c>
      <c r="P3816" t="s">
        <v>461</v>
      </c>
      <c r="Q3816">
        <v>52</v>
      </c>
      <c r="R3816">
        <v>4.9391999999999996</v>
      </c>
    </row>
    <row r="3817" spans="1:18" x14ac:dyDescent="0.2">
      <c r="A3817" t="s">
        <v>453</v>
      </c>
      <c r="B3817" t="s">
        <v>454</v>
      </c>
      <c r="C3817">
        <v>31</v>
      </c>
      <c r="D3817" s="1">
        <v>44045.706388888888</v>
      </c>
      <c r="E3817" t="s">
        <v>11931</v>
      </c>
      <c r="F3817" t="s">
        <v>456</v>
      </c>
      <c r="G3817" t="s">
        <v>11923</v>
      </c>
      <c r="H3817" t="s">
        <v>458</v>
      </c>
      <c r="I3817" t="s">
        <v>461</v>
      </c>
      <c r="J3817">
        <v>31</v>
      </c>
      <c r="K3817">
        <f>31-76-220-7006</f>
        <v>-7271</v>
      </c>
      <c r="L3817" t="s">
        <v>11932</v>
      </c>
      <c r="M3817" t="s">
        <v>11933</v>
      </c>
      <c r="N3817" t="s">
        <v>36</v>
      </c>
      <c r="O3817" t="s">
        <v>134</v>
      </c>
      <c r="P3817" t="s">
        <v>461</v>
      </c>
      <c r="Q3817">
        <v>52</v>
      </c>
      <c r="R3817">
        <v>4.9391999999999996</v>
      </c>
    </row>
    <row r="3818" spans="1:18" x14ac:dyDescent="0.2">
      <c r="A3818" t="s">
        <v>453</v>
      </c>
      <c r="B3818" t="s">
        <v>454</v>
      </c>
      <c r="C3818">
        <v>358</v>
      </c>
      <c r="D3818" s="1">
        <v>44045.649699074071</v>
      </c>
      <c r="E3818" t="s">
        <v>11934</v>
      </c>
      <c r="F3818" t="s">
        <v>456</v>
      </c>
      <c r="G3818" t="s">
        <v>11923</v>
      </c>
      <c r="H3818" t="s">
        <v>458</v>
      </c>
      <c r="I3818" t="s">
        <v>6238</v>
      </c>
      <c r="J3818">
        <v>358</v>
      </c>
      <c r="K3818">
        <f>358-3-41091639</f>
        <v>-41091284</v>
      </c>
      <c r="L3818" t="s">
        <v>11935</v>
      </c>
      <c r="M3818" t="s">
        <v>11936</v>
      </c>
      <c r="N3818" t="s">
        <v>36</v>
      </c>
      <c r="O3818" t="s">
        <v>134</v>
      </c>
      <c r="P3818" t="s">
        <v>461</v>
      </c>
      <c r="Q3818">
        <v>52</v>
      </c>
      <c r="R3818">
        <v>4.9391999999999996</v>
      </c>
    </row>
    <row r="3819" spans="1:18" x14ac:dyDescent="0.2">
      <c r="A3819" t="s">
        <v>453</v>
      </c>
      <c r="B3819" t="s">
        <v>454</v>
      </c>
      <c r="C3819">
        <v>49</v>
      </c>
      <c r="D3819" s="1">
        <v>44043.814259259256</v>
      </c>
      <c r="E3819" t="s">
        <v>11937</v>
      </c>
      <c r="F3819" t="s">
        <v>456</v>
      </c>
      <c r="G3819" t="s">
        <v>11923</v>
      </c>
      <c r="H3819" t="s">
        <v>458</v>
      </c>
      <c r="I3819" t="s">
        <v>24</v>
      </c>
      <c r="J3819">
        <v>49</v>
      </c>
      <c r="K3819">
        <f>49-32-78-25-11-40</f>
        <v>-137</v>
      </c>
      <c r="L3819" t="s">
        <v>11938</v>
      </c>
      <c r="M3819" t="s">
        <v>11939</v>
      </c>
      <c r="N3819" t="s">
        <v>36</v>
      </c>
      <c r="O3819" t="s">
        <v>134</v>
      </c>
      <c r="P3819" t="s">
        <v>461</v>
      </c>
      <c r="Q3819">
        <v>52</v>
      </c>
      <c r="R3819">
        <v>4.9391999999999996</v>
      </c>
    </row>
    <row r="3820" spans="1:18" x14ac:dyDescent="0.2">
      <c r="A3820" t="s">
        <v>453</v>
      </c>
      <c r="B3820" t="s">
        <v>454</v>
      </c>
      <c r="C3820">
        <v>31</v>
      </c>
      <c r="D3820" s="1">
        <v>44043.813680555555</v>
      </c>
      <c r="E3820" t="s">
        <v>11940</v>
      </c>
      <c r="F3820" t="s">
        <v>456</v>
      </c>
      <c r="G3820" t="s">
        <v>11923</v>
      </c>
      <c r="H3820" t="s">
        <v>458</v>
      </c>
      <c r="I3820" t="s">
        <v>461</v>
      </c>
      <c r="J3820">
        <v>31</v>
      </c>
      <c r="K3820">
        <f>31-76-220-7006</f>
        <v>-7271</v>
      </c>
      <c r="L3820" t="s">
        <v>11941</v>
      </c>
      <c r="M3820" t="s">
        <v>11942</v>
      </c>
      <c r="N3820" t="s">
        <v>36</v>
      </c>
      <c r="O3820" t="s">
        <v>134</v>
      </c>
      <c r="P3820" t="s">
        <v>461</v>
      </c>
      <c r="Q3820">
        <v>52</v>
      </c>
      <c r="R3820">
        <v>4.9391999999999996</v>
      </c>
    </row>
    <row r="3821" spans="1:18" x14ac:dyDescent="0.2">
      <c r="A3821" t="s">
        <v>453</v>
      </c>
      <c r="B3821" t="s">
        <v>454</v>
      </c>
      <c r="C3821">
        <v>31</v>
      </c>
      <c r="D3821" s="1">
        <v>44043.569976851853</v>
      </c>
      <c r="E3821" t="s">
        <v>11943</v>
      </c>
      <c r="F3821" t="s">
        <v>456</v>
      </c>
      <c r="G3821" t="s">
        <v>11923</v>
      </c>
      <c r="H3821" t="s">
        <v>458</v>
      </c>
      <c r="I3821" t="s">
        <v>461</v>
      </c>
      <c r="J3821">
        <v>31</v>
      </c>
      <c r="K3821">
        <f>31-76-220-7006</f>
        <v>-7271</v>
      </c>
      <c r="L3821" t="s">
        <v>11944</v>
      </c>
      <c r="M3821" t="s">
        <v>11945</v>
      </c>
      <c r="N3821" t="s">
        <v>36</v>
      </c>
      <c r="O3821" t="s">
        <v>134</v>
      </c>
      <c r="P3821" t="s">
        <v>461</v>
      </c>
      <c r="Q3821">
        <v>52</v>
      </c>
      <c r="R3821">
        <v>4.9391999999999996</v>
      </c>
    </row>
    <row r="3822" spans="1:18" x14ac:dyDescent="0.2">
      <c r="A3822" t="s">
        <v>453</v>
      </c>
      <c r="B3822" t="s">
        <v>454</v>
      </c>
      <c r="C3822">
        <v>32</v>
      </c>
      <c r="D3822" s="1">
        <v>44043.529675925929</v>
      </c>
      <c r="E3822" t="s">
        <v>11943</v>
      </c>
      <c r="F3822" t="s">
        <v>456</v>
      </c>
      <c r="G3822" t="s">
        <v>11923</v>
      </c>
      <c r="H3822" t="s">
        <v>458</v>
      </c>
      <c r="I3822" t="s">
        <v>4288</v>
      </c>
      <c r="J3822">
        <v>32</v>
      </c>
      <c r="K3822">
        <f>32-78-25-11-40</f>
        <v>-122</v>
      </c>
      <c r="L3822" t="s">
        <v>11946</v>
      </c>
      <c r="M3822" t="s">
        <v>11947</v>
      </c>
      <c r="N3822" t="s">
        <v>36</v>
      </c>
      <c r="O3822" t="s">
        <v>134</v>
      </c>
      <c r="P3822" t="s">
        <v>461</v>
      </c>
      <c r="Q3822">
        <v>52</v>
      </c>
      <c r="R3822">
        <v>4.9391999999999996</v>
      </c>
    </row>
    <row r="3823" spans="1:18" x14ac:dyDescent="0.2">
      <c r="A3823" t="s">
        <v>453</v>
      </c>
      <c r="B3823" t="s">
        <v>454</v>
      </c>
      <c r="C3823">
        <v>32</v>
      </c>
      <c r="D3823" s="1">
        <v>44039.674895833334</v>
      </c>
      <c r="E3823" t="s">
        <v>11948</v>
      </c>
      <c r="F3823" t="s">
        <v>456</v>
      </c>
      <c r="G3823" t="s">
        <v>11923</v>
      </c>
      <c r="H3823" t="s">
        <v>458</v>
      </c>
      <c r="I3823" t="s">
        <v>4288</v>
      </c>
      <c r="J3823">
        <v>32</v>
      </c>
      <c r="K3823">
        <f>32-32-78-25-11-40</f>
        <v>-154</v>
      </c>
      <c r="L3823" t="s">
        <v>11949</v>
      </c>
      <c r="M3823" t="s">
        <v>11950</v>
      </c>
      <c r="N3823" t="s">
        <v>36</v>
      </c>
      <c r="O3823" t="s">
        <v>134</v>
      </c>
      <c r="P3823" t="s">
        <v>461</v>
      </c>
      <c r="Q3823">
        <v>52</v>
      </c>
      <c r="R3823">
        <v>4.9391999999999996</v>
      </c>
    </row>
    <row r="3824" spans="1:18" x14ac:dyDescent="0.2">
      <c r="A3824" t="s">
        <v>453</v>
      </c>
      <c r="B3824" t="s">
        <v>454</v>
      </c>
      <c r="C3824">
        <v>32</v>
      </c>
      <c r="D3824" s="1">
        <v>44039.656041666669</v>
      </c>
      <c r="E3824" t="s">
        <v>11951</v>
      </c>
      <c r="F3824" t="s">
        <v>456</v>
      </c>
      <c r="G3824" t="s">
        <v>11923</v>
      </c>
      <c r="H3824" t="s">
        <v>458</v>
      </c>
      <c r="I3824" t="s">
        <v>4288</v>
      </c>
      <c r="J3824">
        <v>32</v>
      </c>
      <c r="K3824">
        <f>32-78-25-11-40</f>
        <v>-122</v>
      </c>
      <c r="L3824" t="s">
        <v>11952</v>
      </c>
      <c r="M3824" t="s">
        <v>11953</v>
      </c>
      <c r="N3824" t="s">
        <v>36</v>
      </c>
      <c r="O3824" t="s">
        <v>134</v>
      </c>
      <c r="P3824" t="s">
        <v>461</v>
      </c>
      <c r="Q3824">
        <v>52</v>
      </c>
      <c r="R3824">
        <v>4.9391999999999996</v>
      </c>
    </row>
    <row r="3825" spans="1:18" x14ac:dyDescent="0.2">
      <c r="A3825" t="s">
        <v>675</v>
      </c>
      <c r="B3825" t="s">
        <v>1412</v>
      </c>
      <c r="C3825">
        <v>33</v>
      </c>
      <c r="D3825" s="1">
        <v>44039.705046296294</v>
      </c>
      <c r="E3825" t="s">
        <v>11954</v>
      </c>
      <c r="F3825" t="s">
        <v>678</v>
      </c>
      <c r="G3825" t="s">
        <v>11955</v>
      </c>
      <c r="H3825" t="s">
        <v>680</v>
      </c>
      <c r="I3825" t="s">
        <v>292</v>
      </c>
      <c r="J3825">
        <v>33</v>
      </c>
      <c r="K3825">
        <f>33-6-36-81-455</f>
        <v>-545</v>
      </c>
      <c r="L3825" t="s">
        <v>11956</v>
      </c>
      <c r="M3825" t="s">
        <v>11957</v>
      </c>
      <c r="N3825" t="s">
        <v>11958</v>
      </c>
      <c r="O3825" t="s">
        <v>134</v>
      </c>
      <c r="P3825" t="s">
        <v>29</v>
      </c>
      <c r="Q3825">
        <v>41</v>
      </c>
      <c r="R3825">
        <v>-74.172399999999996</v>
      </c>
    </row>
    <row r="3826" spans="1:18" x14ac:dyDescent="0.2">
      <c r="A3826" t="s">
        <v>10660</v>
      </c>
      <c r="B3826" t="s">
        <v>1638</v>
      </c>
      <c r="C3826">
        <v>32</v>
      </c>
      <c r="D3826" s="1">
        <v>44039.656805555554</v>
      </c>
      <c r="E3826" t="s">
        <v>11959</v>
      </c>
      <c r="F3826" t="s">
        <v>11960</v>
      </c>
      <c r="G3826" t="s">
        <v>11961</v>
      </c>
      <c r="H3826" t="s">
        <v>10664</v>
      </c>
      <c r="I3826" t="s">
        <v>4288</v>
      </c>
      <c r="J3826">
        <v>32</v>
      </c>
      <c r="K3826">
        <f>32-6-36-81-455</f>
        <v>-546</v>
      </c>
      <c r="L3826" t="s">
        <v>11962</v>
      </c>
      <c r="M3826" t="s">
        <v>11963</v>
      </c>
      <c r="N3826" t="s">
        <v>278</v>
      </c>
      <c r="O3826" t="s">
        <v>28</v>
      </c>
      <c r="P3826" t="s">
        <v>292</v>
      </c>
      <c r="Q3826">
        <v>49</v>
      </c>
      <c r="R3826">
        <v>2.3660999999999999</v>
      </c>
    </row>
    <row r="3827" spans="1:18" x14ac:dyDescent="0.2">
      <c r="A3827" t="s">
        <v>2349</v>
      </c>
      <c r="B3827" t="s">
        <v>1651</v>
      </c>
      <c r="C3827">
        <v>44</v>
      </c>
      <c r="D3827" s="1">
        <v>44039.664201388892</v>
      </c>
      <c r="E3827" t="s">
        <v>11964</v>
      </c>
      <c r="F3827" t="s">
        <v>2352</v>
      </c>
      <c r="G3827" t="s">
        <v>11964</v>
      </c>
      <c r="H3827" t="s">
        <v>2353</v>
      </c>
      <c r="I3827" t="s">
        <v>618</v>
      </c>
      <c r="J3827">
        <v>44</v>
      </c>
      <c r="K3827">
        <f>44-800-66-4119</f>
        <v>-4941</v>
      </c>
      <c r="L3827" t="s">
        <v>11965</v>
      </c>
      <c r="M3827" t="s">
        <v>11966</v>
      </c>
      <c r="N3827">
        <v>128</v>
      </c>
      <c r="O3827" t="s">
        <v>134</v>
      </c>
      <c r="P3827" t="s">
        <v>29</v>
      </c>
      <c r="Q3827">
        <v>48</v>
      </c>
      <c r="R3827">
        <v>-99.999999000000003</v>
      </c>
    </row>
    <row r="3828" spans="1:18" x14ac:dyDescent="0.2">
      <c r="A3828" t="s">
        <v>663</v>
      </c>
      <c r="B3828" t="s">
        <v>3385</v>
      </c>
      <c r="C3828">
        <v>1</v>
      </c>
      <c r="D3828" s="1">
        <v>44039.666226851848</v>
      </c>
      <c r="E3828" t="s">
        <v>11967</v>
      </c>
      <c r="F3828" t="s">
        <v>666</v>
      </c>
      <c r="G3828" t="s">
        <v>11967</v>
      </c>
      <c r="H3828" t="s">
        <v>667</v>
      </c>
      <c r="I3828" t="s">
        <v>29</v>
      </c>
      <c r="J3828">
        <v>1</v>
      </c>
      <c r="K3828">
        <f>1-833-919-1990</f>
        <v>-3741</v>
      </c>
      <c r="L3828" t="s">
        <v>11968</v>
      </c>
      <c r="M3828" t="s">
        <v>11969</v>
      </c>
      <c r="N3828">
        <v>253</v>
      </c>
      <c r="O3828" t="s">
        <v>134</v>
      </c>
      <c r="P3828" t="s">
        <v>29</v>
      </c>
      <c r="Q3828">
        <v>41</v>
      </c>
      <c r="R3828">
        <v>-74.006600000000006</v>
      </c>
    </row>
    <row r="3829" spans="1:18" x14ac:dyDescent="0.2">
      <c r="A3829" t="s">
        <v>7162</v>
      </c>
      <c r="B3829" t="s">
        <v>454</v>
      </c>
      <c r="C3829">
        <v>32</v>
      </c>
      <c r="D3829" s="1">
        <v>44087.703043981484</v>
      </c>
      <c r="E3829" t="s">
        <v>11970</v>
      </c>
      <c r="F3829" t="s">
        <v>7164</v>
      </c>
      <c r="G3829" t="s">
        <v>11971</v>
      </c>
      <c r="H3829" t="s">
        <v>7166</v>
      </c>
      <c r="I3829" t="s">
        <v>4288</v>
      </c>
      <c r="J3829">
        <v>32</v>
      </c>
      <c r="K3829">
        <f>32-78-25-90-29</f>
        <v>-190</v>
      </c>
      <c r="L3829" t="s">
        <v>11972</v>
      </c>
      <c r="M3829" t="s">
        <v>11973</v>
      </c>
      <c r="N3829" t="s">
        <v>5354</v>
      </c>
      <c r="O3829" t="s">
        <v>134</v>
      </c>
      <c r="P3829" t="s">
        <v>461</v>
      </c>
      <c r="Q3829">
        <v>52</v>
      </c>
      <c r="R3829">
        <v>4.8999800000000002</v>
      </c>
    </row>
    <row r="3830" spans="1:18" x14ac:dyDescent="0.2">
      <c r="A3830" t="s">
        <v>7162</v>
      </c>
      <c r="B3830" t="s">
        <v>454</v>
      </c>
      <c r="C3830">
        <v>358</v>
      </c>
      <c r="D3830" s="1">
        <v>44087.69672453704</v>
      </c>
      <c r="E3830" t="s">
        <v>11974</v>
      </c>
      <c r="F3830" t="s">
        <v>7164</v>
      </c>
      <c r="G3830" t="s">
        <v>11971</v>
      </c>
      <c r="H3830" t="s">
        <v>7166</v>
      </c>
      <c r="I3830" t="s">
        <v>6238</v>
      </c>
      <c r="J3830">
        <v>358</v>
      </c>
      <c r="K3830">
        <f>358-9-42551165</f>
        <v>-42550816</v>
      </c>
      <c r="L3830" t="s">
        <v>11975</v>
      </c>
      <c r="M3830" t="s">
        <v>11976</v>
      </c>
      <c r="N3830" t="s">
        <v>5354</v>
      </c>
      <c r="O3830" t="s">
        <v>134</v>
      </c>
      <c r="P3830" t="s">
        <v>461</v>
      </c>
      <c r="Q3830">
        <v>52</v>
      </c>
      <c r="R3830">
        <v>4.8999800000000002</v>
      </c>
    </row>
    <row r="3831" spans="1:18" x14ac:dyDescent="0.2">
      <c r="A3831" t="s">
        <v>7162</v>
      </c>
      <c r="B3831" t="s">
        <v>454</v>
      </c>
      <c r="C3831">
        <v>358</v>
      </c>
      <c r="D3831" s="1">
        <v>44087.696273148147</v>
      </c>
      <c r="E3831" t="s">
        <v>11977</v>
      </c>
      <c r="F3831" t="s">
        <v>7164</v>
      </c>
      <c r="G3831" t="s">
        <v>11971</v>
      </c>
      <c r="H3831" t="s">
        <v>7166</v>
      </c>
      <c r="I3831" t="s">
        <v>6238</v>
      </c>
      <c r="J3831">
        <v>358</v>
      </c>
      <c r="K3831">
        <f>358-9-42551165</f>
        <v>-42550816</v>
      </c>
      <c r="L3831" t="s">
        <v>11978</v>
      </c>
      <c r="M3831" t="s">
        <v>11979</v>
      </c>
      <c r="N3831" t="s">
        <v>36</v>
      </c>
      <c r="O3831" t="s">
        <v>134</v>
      </c>
      <c r="P3831" t="s">
        <v>461</v>
      </c>
      <c r="Q3831">
        <v>52</v>
      </c>
      <c r="R3831">
        <v>4.8999800000000002</v>
      </c>
    </row>
    <row r="3832" spans="1:18" x14ac:dyDescent="0.2">
      <c r="A3832" t="s">
        <v>7162</v>
      </c>
      <c r="B3832" t="s">
        <v>454</v>
      </c>
      <c r="C3832">
        <v>32</v>
      </c>
      <c r="D3832" s="1">
        <v>44087.680717592593</v>
      </c>
      <c r="E3832" t="s">
        <v>11980</v>
      </c>
      <c r="F3832" t="s">
        <v>7164</v>
      </c>
      <c r="G3832" t="s">
        <v>11971</v>
      </c>
      <c r="H3832" t="s">
        <v>7166</v>
      </c>
      <c r="I3832" t="s">
        <v>4288</v>
      </c>
      <c r="J3832">
        <v>32</v>
      </c>
      <c r="K3832">
        <f>32-78-25-90-29</f>
        <v>-190</v>
      </c>
      <c r="L3832" t="s">
        <v>11981</v>
      </c>
      <c r="M3832" t="s">
        <v>11982</v>
      </c>
      <c r="N3832" t="s">
        <v>36</v>
      </c>
      <c r="O3832" t="s">
        <v>134</v>
      </c>
      <c r="P3832" t="s">
        <v>461</v>
      </c>
      <c r="Q3832">
        <v>52</v>
      </c>
      <c r="R3832">
        <v>4.8999800000000002</v>
      </c>
    </row>
    <row r="3833" spans="1:18" x14ac:dyDescent="0.2">
      <c r="A3833" t="s">
        <v>7162</v>
      </c>
      <c r="B3833" t="s">
        <v>454</v>
      </c>
      <c r="C3833">
        <v>46</v>
      </c>
      <c r="D3833" s="1">
        <v>44087.679837962962</v>
      </c>
      <c r="E3833" t="s">
        <v>11983</v>
      </c>
      <c r="F3833" t="s">
        <v>7164</v>
      </c>
      <c r="G3833" t="s">
        <v>11971</v>
      </c>
      <c r="H3833" t="s">
        <v>7166</v>
      </c>
      <c r="I3833" t="s">
        <v>7680</v>
      </c>
      <c r="J3833">
        <v>46</v>
      </c>
      <c r="K3833">
        <f>46-10-551-65-37</f>
        <v>-617</v>
      </c>
      <c r="L3833" t="s">
        <v>11984</v>
      </c>
      <c r="M3833" t="s">
        <v>11985</v>
      </c>
      <c r="N3833" t="s">
        <v>36</v>
      </c>
      <c r="O3833" t="s">
        <v>134</v>
      </c>
      <c r="P3833" t="s">
        <v>461</v>
      </c>
      <c r="Q3833">
        <v>52</v>
      </c>
      <c r="R3833">
        <v>4.8999800000000002</v>
      </c>
    </row>
    <row r="3834" spans="1:18" x14ac:dyDescent="0.2">
      <c r="A3834" t="s">
        <v>7162</v>
      </c>
      <c r="B3834" t="s">
        <v>454</v>
      </c>
      <c r="C3834">
        <v>32</v>
      </c>
      <c r="D3834" s="1">
        <v>44087.679467592592</v>
      </c>
      <c r="E3834" t="s">
        <v>11980</v>
      </c>
      <c r="F3834" t="s">
        <v>7164</v>
      </c>
      <c r="G3834" t="s">
        <v>11971</v>
      </c>
      <c r="H3834" t="s">
        <v>7166</v>
      </c>
      <c r="I3834" t="s">
        <v>4288</v>
      </c>
      <c r="J3834">
        <v>32</v>
      </c>
      <c r="K3834">
        <f>32-78-25-90-29</f>
        <v>-190</v>
      </c>
      <c r="L3834" t="s">
        <v>11986</v>
      </c>
      <c r="M3834" t="s">
        <v>11987</v>
      </c>
      <c r="N3834" t="s">
        <v>36</v>
      </c>
      <c r="O3834" t="s">
        <v>134</v>
      </c>
      <c r="P3834" t="s">
        <v>461</v>
      </c>
      <c r="Q3834">
        <v>52</v>
      </c>
      <c r="R3834">
        <v>4.8999800000000002</v>
      </c>
    </row>
    <row r="3835" spans="1:18" x14ac:dyDescent="0.2">
      <c r="A3835" t="s">
        <v>7162</v>
      </c>
      <c r="B3835" t="s">
        <v>454</v>
      </c>
      <c r="C3835">
        <v>32</v>
      </c>
      <c r="D3835" s="1">
        <v>44087.679259259261</v>
      </c>
      <c r="E3835" t="s">
        <v>11988</v>
      </c>
      <c r="F3835" t="s">
        <v>7164</v>
      </c>
      <c r="G3835" t="s">
        <v>11971</v>
      </c>
      <c r="H3835" t="s">
        <v>7166</v>
      </c>
      <c r="I3835" t="s">
        <v>4288</v>
      </c>
      <c r="J3835">
        <v>32</v>
      </c>
      <c r="K3835">
        <f>32-78-25-90-29</f>
        <v>-190</v>
      </c>
      <c r="L3835" t="s">
        <v>11989</v>
      </c>
      <c r="M3835" t="s">
        <v>11990</v>
      </c>
      <c r="N3835" t="s">
        <v>36</v>
      </c>
      <c r="O3835" t="s">
        <v>134</v>
      </c>
      <c r="P3835" t="s">
        <v>461</v>
      </c>
      <c r="Q3835">
        <v>52</v>
      </c>
      <c r="R3835">
        <v>4.8999800000000002</v>
      </c>
    </row>
    <row r="3836" spans="1:18" x14ac:dyDescent="0.2">
      <c r="A3836" t="s">
        <v>7162</v>
      </c>
      <c r="B3836" t="s">
        <v>454</v>
      </c>
      <c r="C3836">
        <v>32</v>
      </c>
      <c r="D3836" s="1">
        <v>44087.679189814815</v>
      </c>
      <c r="E3836" t="s">
        <v>11991</v>
      </c>
      <c r="F3836" t="s">
        <v>7164</v>
      </c>
      <c r="G3836" t="s">
        <v>11971</v>
      </c>
      <c r="H3836" t="s">
        <v>7166</v>
      </c>
      <c r="I3836" t="s">
        <v>4288</v>
      </c>
      <c r="J3836">
        <v>32</v>
      </c>
      <c r="K3836">
        <f>32-78-25-90-29</f>
        <v>-190</v>
      </c>
      <c r="L3836" t="s">
        <v>11992</v>
      </c>
      <c r="M3836" t="s">
        <v>11993</v>
      </c>
      <c r="N3836" t="s">
        <v>36</v>
      </c>
      <c r="O3836" t="s">
        <v>134</v>
      </c>
      <c r="P3836" t="s">
        <v>461</v>
      </c>
      <c r="Q3836">
        <v>52</v>
      </c>
      <c r="R3836">
        <v>4.8999800000000002</v>
      </c>
    </row>
    <row r="3837" spans="1:18" x14ac:dyDescent="0.2">
      <c r="A3837" t="s">
        <v>7162</v>
      </c>
      <c r="B3837" t="s">
        <v>454</v>
      </c>
      <c r="C3837">
        <v>1</v>
      </c>
      <c r="D3837" s="1">
        <v>44080.800717592596</v>
      </c>
      <c r="E3837" t="s">
        <v>11991</v>
      </c>
      <c r="F3837" t="s">
        <v>7164</v>
      </c>
      <c r="G3837" t="s">
        <v>11971</v>
      </c>
      <c r="H3837" t="s">
        <v>7166</v>
      </c>
      <c r="I3837" t="s">
        <v>29</v>
      </c>
      <c r="J3837">
        <v>1</v>
      </c>
      <c r="K3837">
        <f>1-32-78-25-90-29</f>
        <v>-253</v>
      </c>
      <c r="L3837" t="s">
        <v>11994</v>
      </c>
      <c r="M3837" t="s">
        <v>11995</v>
      </c>
      <c r="N3837" t="s">
        <v>36</v>
      </c>
      <c r="O3837" t="s">
        <v>134</v>
      </c>
      <c r="P3837" t="s">
        <v>461</v>
      </c>
      <c r="Q3837">
        <v>52</v>
      </c>
      <c r="R3837">
        <v>4.8999800000000002</v>
      </c>
    </row>
    <row r="3838" spans="1:18" x14ac:dyDescent="0.2">
      <c r="A3838" t="s">
        <v>7162</v>
      </c>
      <c r="B3838" t="s">
        <v>454</v>
      </c>
      <c r="C3838">
        <v>32</v>
      </c>
      <c r="D3838" s="1">
        <v>44080.799687500003</v>
      </c>
      <c r="E3838" t="s">
        <v>11988</v>
      </c>
      <c r="F3838" t="s">
        <v>7164</v>
      </c>
      <c r="G3838" t="s">
        <v>11971</v>
      </c>
      <c r="H3838" t="s">
        <v>7166</v>
      </c>
      <c r="I3838" t="s">
        <v>4288</v>
      </c>
      <c r="J3838">
        <v>32</v>
      </c>
      <c r="K3838">
        <f>32-78-25-90-29</f>
        <v>-190</v>
      </c>
      <c r="L3838" t="s">
        <v>11996</v>
      </c>
      <c r="M3838" t="s">
        <v>11997</v>
      </c>
      <c r="N3838" t="s">
        <v>36</v>
      </c>
      <c r="O3838" t="s">
        <v>134</v>
      </c>
      <c r="P3838" t="s">
        <v>461</v>
      </c>
      <c r="Q3838">
        <v>52</v>
      </c>
      <c r="R3838">
        <v>4.8999800000000002</v>
      </c>
    </row>
    <row r="3839" spans="1:18" x14ac:dyDescent="0.2">
      <c r="A3839" t="s">
        <v>7162</v>
      </c>
      <c r="B3839" t="s">
        <v>454</v>
      </c>
      <c r="C3839">
        <v>1</v>
      </c>
      <c r="D3839" s="1">
        <v>44080.788807870369</v>
      </c>
      <c r="E3839" t="s">
        <v>11988</v>
      </c>
      <c r="F3839" t="s">
        <v>7164</v>
      </c>
      <c r="G3839" t="s">
        <v>11971</v>
      </c>
      <c r="H3839" t="s">
        <v>7166</v>
      </c>
      <c r="I3839" t="s">
        <v>29</v>
      </c>
      <c r="J3839">
        <v>1</v>
      </c>
      <c r="K3839">
        <f>1-32-78-25-90-29</f>
        <v>-253</v>
      </c>
      <c r="L3839" t="s">
        <v>11998</v>
      </c>
      <c r="M3839" t="s">
        <v>11999</v>
      </c>
      <c r="N3839" t="s">
        <v>36</v>
      </c>
      <c r="O3839" t="s">
        <v>134</v>
      </c>
      <c r="P3839" t="s">
        <v>461</v>
      </c>
      <c r="Q3839">
        <v>52</v>
      </c>
      <c r="R3839">
        <v>4.8999800000000002</v>
      </c>
    </row>
    <row r="3840" spans="1:18" x14ac:dyDescent="0.2">
      <c r="A3840" t="s">
        <v>7162</v>
      </c>
      <c r="B3840" t="s">
        <v>454</v>
      </c>
      <c r="C3840">
        <v>32</v>
      </c>
      <c r="D3840" s="1">
        <v>44066.548043981478</v>
      </c>
      <c r="E3840" t="s">
        <v>12000</v>
      </c>
      <c r="F3840" t="s">
        <v>7164</v>
      </c>
      <c r="G3840" t="s">
        <v>11971</v>
      </c>
      <c r="H3840" t="s">
        <v>7166</v>
      </c>
      <c r="I3840" t="s">
        <v>4288</v>
      </c>
      <c r="J3840">
        <v>32</v>
      </c>
      <c r="K3840">
        <f>32-78-25-11-40</f>
        <v>-122</v>
      </c>
      <c r="L3840" t="s">
        <v>12001</v>
      </c>
      <c r="M3840" t="s">
        <v>12002</v>
      </c>
      <c r="N3840" t="s">
        <v>5354</v>
      </c>
      <c r="O3840" t="s">
        <v>134</v>
      </c>
      <c r="P3840" t="s">
        <v>461</v>
      </c>
      <c r="Q3840">
        <v>52</v>
      </c>
      <c r="R3840">
        <v>4.8999800000000002</v>
      </c>
    </row>
    <row r="3841" spans="1:18" x14ac:dyDescent="0.2">
      <c r="A3841" t="s">
        <v>7162</v>
      </c>
      <c r="B3841" t="s">
        <v>454</v>
      </c>
      <c r="C3841">
        <v>358</v>
      </c>
      <c r="D3841" s="1">
        <v>44065.886458333334</v>
      </c>
      <c r="E3841" t="s">
        <v>12003</v>
      </c>
      <c r="F3841" t="s">
        <v>7164</v>
      </c>
      <c r="G3841" t="s">
        <v>11971</v>
      </c>
      <c r="H3841" t="s">
        <v>7166</v>
      </c>
      <c r="I3841" t="s">
        <v>6238</v>
      </c>
      <c r="J3841">
        <v>358</v>
      </c>
      <c r="K3841">
        <f>358-3-41091639</f>
        <v>-41091284</v>
      </c>
      <c r="L3841" t="s">
        <v>12004</v>
      </c>
      <c r="M3841" t="s">
        <v>12005</v>
      </c>
      <c r="N3841" t="s">
        <v>5354</v>
      </c>
      <c r="O3841" t="s">
        <v>134</v>
      </c>
      <c r="P3841" t="s">
        <v>461</v>
      </c>
      <c r="Q3841">
        <v>52</v>
      </c>
      <c r="R3841">
        <v>4.8999800000000002</v>
      </c>
    </row>
    <row r="3842" spans="1:18" x14ac:dyDescent="0.2">
      <c r="A3842" t="s">
        <v>7162</v>
      </c>
      <c r="B3842" t="s">
        <v>454</v>
      </c>
      <c r="C3842">
        <v>46</v>
      </c>
      <c r="D3842" s="1">
        <v>44065.885995370372</v>
      </c>
      <c r="E3842" t="s">
        <v>12006</v>
      </c>
      <c r="F3842" t="s">
        <v>7164</v>
      </c>
      <c r="G3842" t="s">
        <v>11971</v>
      </c>
      <c r="H3842" t="s">
        <v>7166</v>
      </c>
      <c r="I3842" t="s">
        <v>7680</v>
      </c>
      <c r="J3842">
        <v>46</v>
      </c>
      <c r="K3842">
        <f>46-10-138-93-96</f>
        <v>-291</v>
      </c>
      <c r="L3842" t="s">
        <v>12007</v>
      </c>
      <c r="M3842" t="s">
        <v>12008</v>
      </c>
      <c r="N3842" t="s">
        <v>36</v>
      </c>
      <c r="O3842" t="s">
        <v>134</v>
      </c>
      <c r="P3842" t="s">
        <v>461</v>
      </c>
      <c r="Q3842">
        <v>52</v>
      </c>
      <c r="R3842">
        <v>4.8999800000000002</v>
      </c>
    </row>
    <row r="3843" spans="1:18" x14ac:dyDescent="0.2">
      <c r="A3843" t="s">
        <v>7162</v>
      </c>
      <c r="B3843" t="s">
        <v>454</v>
      </c>
      <c r="C3843">
        <v>32</v>
      </c>
      <c r="D3843" s="1">
        <v>44065.884976851848</v>
      </c>
      <c r="E3843" t="s">
        <v>12009</v>
      </c>
      <c r="F3843" t="s">
        <v>7164</v>
      </c>
      <c r="G3843" t="s">
        <v>11971</v>
      </c>
      <c r="H3843" t="s">
        <v>7166</v>
      </c>
      <c r="I3843" t="s">
        <v>4288</v>
      </c>
      <c r="J3843">
        <v>32</v>
      </c>
      <c r="K3843">
        <f>32-32-78-25-11-40</f>
        <v>-154</v>
      </c>
      <c r="L3843" t="s">
        <v>12010</v>
      </c>
      <c r="M3843" t="s">
        <v>12011</v>
      </c>
      <c r="N3843" t="s">
        <v>36</v>
      </c>
      <c r="O3843" t="s">
        <v>134</v>
      </c>
      <c r="P3843" t="s">
        <v>461</v>
      </c>
      <c r="Q3843">
        <v>52</v>
      </c>
      <c r="R3843">
        <v>4.8999800000000002</v>
      </c>
    </row>
    <row r="3844" spans="1:18" x14ac:dyDescent="0.2">
      <c r="A3844" t="s">
        <v>7162</v>
      </c>
      <c r="B3844" t="s">
        <v>454</v>
      </c>
      <c r="C3844">
        <v>31</v>
      </c>
      <c r="D3844" s="1">
        <v>44065.884884259256</v>
      </c>
      <c r="E3844" t="s">
        <v>12012</v>
      </c>
      <c r="F3844" t="s">
        <v>7164</v>
      </c>
      <c r="G3844" t="s">
        <v>11971</v>
      </c>
      <c r="H3844" t="s">
        <v>7166</v>
      </c>
      <c r="I3844" t="s">
        <v>461</v>
      </c>
      <c r="J3844">
        <v>31</v>
      </c>
      <c r="K3844">
        <f>31-76-220-7006</f>
        <v>-7271</v>
      </c>
      <c r="L3844" t="s">
        <v>12013</v>
      </c>
      <c r="M3844" t="s">
        <v>12014</v>
      </c>
      <c r="N3844" t="s">
        <v>5354</v>
      </c>
      <c r="O3844" t="s">
        <v>134</v>
      </c>
      <c r="P3844" t="s">
        <v>461</v>
      </c>
      <c r="Q3844">
        <v>52</v>
      </c>
      <c r="R3844">
        <v>4.8999800000000002</v>
      </c>
    </row>
    <row r="3845" spans="1:18" x14ac:dyDescent="0.2">
      <c r="A3845" t="s">
        <v>7162</v>
      </c>
      <c r="B3845" t="s">
        <v>454</v>
      </c>
      <c r="C3845">
        <v>32</v>
      </c>
      <c r="D3845" s="1">
        <v>44065.884722222225</v>
      </c>
      <c r="E3845" t="s">
        <v>12015</v>
      </c>
      <c r="F3845" t="s">
        <v>7164</v>
      </c>
      <c r="G3845" t="s">
        <v>11971</v>
      </c>
      <c r="H3845" t="s">
        <v>7166</v>
      </c>
      <c r="I3845" t="s">
        <v>4288</v>
      </c>
      <c r="J3845">
        <v>32</v>
      </c>
      <c r="K3845">
        <f>32-78-25-11-40</f>
        <v>-122</v>
      </c>
      <c r="L3845" t="s">
        <v>12016</v>
      </c>
      <c r="M3845" t="s">
        <v>12017</v>
      </c>
      <c r="N3845" t="s">
        <v>36</v>
      </c>
      <c r="O3845" t="s">
        <v>134</v>
      </c>
      <c r="P3845" t="s">
        <v>461</v>
      </c>
      <c r="Q3845">
        <v>52</v>
      </c>
      <c r="R3845">
        <v>4.8999800000000002</v>
      </c>
    </row>
    <row r="3846" spans="1:18" x14ac:dyDescent="0.2">
      <c r="A3846" t="s">
        <v>7162</v>
      </c>
      <c r="B3846" t="s">
        <v>454</v>
      </c>
      <c r="C3846">
        <v>31</v>
      </c>
      <c r="D3846" s="1">
        <v>44065.884652777779</v>
      </c>
      <c r="E3846" t="s">
        <v>12018</v>
      </c>
      <c r="F3846" t="s">
        <v>7164</v>
      </c>
      <c r="G3846" t="s">
        <v>11971</v>
      </c>
      <c r="H3846" t="s">
        <v>7166</v>
      </c>
      <c r="I3846" t="s">
        <v>461</v>
      </c>
      <c r="J3846">
        <v>31</v>
      </c>
      <c r="K3846">
        <f>31-76-220-7006</f>
        <v>-7271</v>
      </c>
      <c r="L3846" t="s">
        <v>12019</v>
      </c>
      <c r="M3846" t="s">
        <v>12020</v>
      </c>
      <c r="N3846" t="s">
        <v>5354</v>
      </c>
      <c r="O3846" t="s">
        <v>134</v>
      </c>
      <c r="P3846" t="s">
        <v>461</v>
      </c>
      <c r="Q3846">
        <v>52</v>
      </c>
      <c r="R3846">
        <v>4.8999800000000002</v>
      </c>
    </row>
    <row r="3847" spans="1:18" x14ac:dyDescent="0.2">
      <c r="A3847" t="s">
        <v>7162</v>
      </c>
      <c r="B3847" t="s">
        <v>454</v>
      </c>
      <c r="C3847">
        <v>31</v>
      </c>
      <c r="D3847" s="1">
        <v>44065.884456018517</v>
      </c>
      <c r="E3847" t="s">
        <v>12021</v>
      </c>
      <c r="F3847" t="s">
        <v>7164</v>
      </c>
      <c r="G3847" t="s">
        <v>11971</v>
      </c>
      <c r="H3847" t="s">
        <v>7166</v>
      </c>
      <c r="I3847" t="s">
        <v>461</v>
      </c>
      <c r="J3847">
        <v>31</v>
      </c>
      <c r="K3847">
        <f>31-76-220-7006</f>
        <v>-7271</v>
      </c>
      <c r="L3847" t="s">
        <v>12022</v>
      </c>
      <c r="M3847" t="s">
        <v>12023</v>
      </c>
      <c r="N3847" t="s">
        <v>5354</v>
      </c>
      <c r="O3847" t="s">
        <v>134</v>
      </c>
      <c r="P3847" t="s">
        <v>461</v>
      </c>
      <c r="Q3847">
        <v>52</v>
      </c>
      <c r="R3847">
        <v>4.8999800000000002</v>
      </c>
    </row>
    <row r="3848" spans="1:18" x14ac:dyDescent="0.2">
      <c r="A3848" t="s">
        <v>7162</v>
      </c>
      <c r="B3848" t="s">
        <v>454</v>
      </c>
      <c r="C3848">
        <v>32</v>
      </c>
      <c r="D3848" s="1">
        <v>44065.882268518515</v>
      </c>
      <c r="E3848" t="s">
        <v>12024</v>
      </c>
      <c r="F3848" t="s">
        <v>7164</v>
      </c>
      <c r="G3848" t="s">
        <v>11971</v>
      </c>
      <c r="H3848" t="s">
        <v>7166</v>
      </c>
      <c r="I3848" t="s">
        <v>4288</v>
      </c>
      <c r="J3848">
        <v>32</v>
      </c>
      <c r="K3848">
        <f>32-78-25-11-40</f>
        <v>-122</v>
      </c>
      <c r="L3848" t="s">
        <v>12025</v>
      </c>
      <c r="M3848" t="s">
        <v>12026</v>
      </c>
      <c r="N3848" t="s">
        <v>5354</v>
      </c>
      <c r="O3848" t="s">
        <v>134</v>
      </c>
      <c r="P3848" t="s">
        <v>461</v>
      </c>
      <c r="Q3848">
        <v>52</v>
      </c>
      <c r="R3848">
        <v>4.8999800000000002</v>
      </c>
    </row>
    <row r="3849" spans="1:18" x14ac:dyDescent="0.2">
      <c r="A3849" t="s">
        <v>7162</v>
      </c>
      <c r="B3849" t="s">
        <v>454</v>
      </c>
      <c r="C3849">
        <v>32</v>
      </c>
      <c r="D3849" s="1">
        <v>44065.881979166668</v>
      </c>
      <c r="E3849" t="s">
        <v>12024</v>
      </c>
      <c r="F3849" t="s">
        <v>7164</v>
      </c>
      <c r="G3849" t="s">
        <v>11971</v>
      </c>
      <c r="H3849" t="s">
        <v>7166</v>
      </c>
      <c r="I3849" t="s">
        <v>4288</v>
      </c>
      <c r="J3849">
        <v>32</v>
      </c>
      <c r="K3849">
        <f>32-78-25-11-40</f>
        <v>-122</v>
      </c>
      <c r="L3849" t="s">
        <v>12027</v>
      </c>
      <c r="M3849" t="s">
        <v>12028</v>
      </c>
      <c r="N3849" t="s">
        <v>5354</v>
      </c>
      <c r="O3849" t="s">
        <v>134</v>
      </c>
      <c r="P3849" t="s">
        <v>461</v>
      </c>
      <c r="Q3849">
        <v>52</v>
      </c>
      <c r="R3849">
        <v>4.8999800000000002</v>
      </c>
    </row>
    <row r="3850" spans="1:18" x14ac:dyDescent="0.2">
      <c r="A3850" t="s">
        <v>7162</v>
      </c>
      <c r="B3850" t="s">
        <v>454</v>
      </c>
      <c r="C3850">
        <v>358</v>
      </c>
      <c r="D3850" s="1">
        <v>44065.881562499999</v>
      </c>
      <c r="E3850" t="s">
        <v>12029</v>
      </c>
      <c r="F3850" t="s">
        <v>7164</v>
      </c>
      <c r="G3850" t="s">
        <v>11971</v>
      </c>
      <c r="H3850" t="s">
        <v>7166</v>
      </c>
      <c r="I3850" t="s">
        <v>6238</v>
      </c>
      <c r="J3850">
        <v>358</v>
      </c>
      <c r="K3850">
        <f>358-3-41091639</f>
        <v>-41091284</v>
      </c>
      <c r="L3850" t="s">
        <v>12030</v>
      </c>
      <c r="M3850" t="s">
        <v>12031</v>
      </c>
      <c r="N3850" t="s">
        <v>5354</v>
      </c>
      <c r="O3850" t="s">
        <v>134</v>
      </c>
      <c r="P3850" t="s">
        <v>461</v>
      </c>
      <c r="Q3850">
        <v>52</v>
      </c>
      <c r="R3850">
        <v>4.8999800000000002</v>
      </c>
    </row>
    <row r="3851" spans="1:18" x14ac:dyDescent="0.2">
      <c r="A3851" t="s">
        <v>7162</v>
      </c>
      <c r="B3851" t="s">
        <v>454</v>
      </c>
      <c r="C3851">
        <v>358</v>
      </c>
      <c r="D3851" s="1">
        <v>44065.881504629629</v>
      </c>
      <c r="E3851" t="s">
        <v>12029</v>
      </c>
      <c r="F3851" t="s">
        <v>7164</v>
      </c>
      <c r="G3851" t="s">
        <v>11971</v>
      </c>
      <c r="H3851" t="s">
        <v>7166</v>
      </c>
      <c r="I3851" t="s">
        <v>6238</v>
      </c>
      <c r="J3851">
        <v>358</v>
      </c>
      <c r="K3851">
        <f>358-3-41091639</f>
        <v>-41091284</v>
      </c>
      <c r="L3851" t="s">
        <v>12032</v>
      </c>
      <c r="M3851" t="s">
        <v>12033</v>
      </c>
      <c r="N3851" t="s">
        <v>5354</v>
      </c>
      <c r="O3851" t="s">
        <v>134</v>
      </c>
      <c r="P3851" t="s">
        <v>461</v>
      </c>
      <c r="Q3851">
        <v>52</v>
      </c>
      <c r="R3851">
        <v>4.8999800000000002</v>
      </c>
    </row>
    <row r="3852" spans="1:18" x14ac:dyDescent="0.2">
      <c r="A3852" t="s">
        <v>7162</v>
      </c>
      <c r="B3852" t="s">
        <v>454</v>
      </c>
      <c r="C3852">
        <v>32</v>
      </c>
      <c r="D3852" s="1">
        <v>44065.879976851851</v>
      </c>
      <c r="E3852" t="s">
        <v>11980</v>
      </c>
      <c r="F3852" t="s">
        <v>7164</v>
      </c>
      <c r="G3852" t="s">
        <v>11971</v>
      </c>
      <c r="H3852" t="s">
        <v>7166</v>
      </c>
      <c r="I3852" t="s">
        <v>4288</v>
      </c>
      <c r="J3852">
        <v>32</v>
      </c>
      <c r="K3852">
        <f>32-78-25-11-40</f>
        <v>-122</v>
      </c>
      <c r="L3852" t="s">
        <v>12034</v>
      </c>
      <c r="M3852" t="s">
        <v>12035</v>
      </c>
      <c r="N3852" t="s">
        <v>36</v>
      </c>
      <c r="O3852" t="s">
        <v>134</v>
      </c>
      <c r="P3852" t="s">
        <v>461</v>
      </c>
      <c r="Q3852">
        <v>52</v>
      </c>
      <c r="R3852">
        <v>4.8999800000000002</v>
      </c>
    </row>
    <row r="3853" spans="1:18" x14ac:dyDescent="0.2">
      <c r="A3853" t="s">
        <v>7162</v>
      </c>
      <c r="B3853" t="s">
        <v>454</v>
      </c>
      <c r="C3853">
        <v>32</v>
      </c>
      <c r="D3853" s="1">
        <v>44065.875578703701</v>
      </c>
      <c r="E3853" t="s">
        <v>12036</v>
      </c>
      <c r="F3853" t="s">
        <v>7164</v>
      </c>
      <c r="G3853" t="s">
        <v>11971</v>
      </c>
      <c r="H3853" t="s">
        <v>7166</v>
      </c>
      <c r="I3853" t="s">
        <v>4288</v>
      </c>
      <c r="J3853">
        <v>32</v>
      </c>
      <c r="K3853">
        <f>32-78-25-11-40</f>
        <v>-122</v>
      </c>
      <c r="L3853" t="s">
        <v>12037</v>
      </c>
      <c r="M3853" t="s">
        <v>12038</v>
      </c>
      <c r="N3853" t="s">
        <v>5354</v>
      </c>
      <c r="O3853" t="s">
        <v>134</v>
      </c>
      <c r="P3853" t="s">
        <v>461</v>
      </c>
      <c r="Q3853">
        <v>52</v>
      </c>
      <c r="R3853">
        <v>4.8999800000000002</v>
      </c>
    </row>
    <row r="3854" spans="1:18" x14ac:dyDescent="0.2">
      <c r="A3854" t="s">
        <v>7162</v>
      </c>
      <c r="B3854" t="s">
        <v>454</v>
      </c>
      <c r="C3854">
        <v>32</v>
      </c>
      <c r="D3854" s="1">
        <v>44065.873368055552</v>
      </c>
      <c r="E3854" t="s">
        <v>12039</v>
      </c>
      <c r="F3854" t="s">
        <v>7164</v>
      </c>
      <c r="G3854" t="s">
        <v>11971</v>
      </c>
      <c r="H3854" t="s">
        <v>7166</v>
      </c>
      <c r="I3854" t="s">
        <v>4288</v>
      </c>
      <c r="J3854">
        <v>32</v>
      </c>
      <c r="K3854">
        <f>32-78-25-11-40</f>
        <v>-122</v>
      </c>
      <c r="L3854" t="s">
        <v>12040</v>
      </c>
      <c r="M3854" t="s">
        <v>12041</v>
      </c>
      <c r="N3854" t="s">
        <v>5354</v>
      </c>
      <c r="O3854" t="s">
        <v>134</v>
      </c>
      <c r="P3854" t="s">
        <v>461</v>
      </c>
      <c r="Q3854">
        <v>52</v>
      </c>
      <c r="R3854">
        <v>4.8999800000000002</v>
      </c>
    </row>
    <row r="3855" spans="1:18" x14ac:dyDescent="0.2">
      <c r="A3855" t="s">
        <v>7162</v>
      </c>
      <c r="B3855" t="s">
        <v>454</v>
      </c>
      <c r="C3855">
        <v>32</v>
      </c>
      <c r="D3855" s="1">
        <v>44065.868425925924</v>
      </c>
      <c r="E3855" t="s">
        <v>11983</v>
      </c>
      <c r="F3855" t="s">
        <v>7164</v>
      </c>
      <c r="G3855" t="s">
        <v>11971</v>
      </c>
      <c r="H3855" t="s">
        <v>7166</v>
      </c>
      <c r="I3855" t="s">
        <v>4288</v>
      </c>
      <c r="J3855">
        <v>32</v>
      </c>
      <c r="K3855">
        <f>32-32-78-25-11-40</f>
        <v>-154</v>
      </c>
      <c r="L3855" t="s">
        <v>12042</v>
      </c>
      <c r="M3855" t="s">
        <v>12043</v>
      </c>
      <c r="N3855" t="s">
        <v>36</v>
      </c>
      <c r="O3855" t="s">
        <v>134</v>
      </c>
      <c r="P3855" t="s">
        <v>461</v>
      </c>
      <c r="Q3855">
        <v>52</v>
      </c>
      <c r="R3855">
        <v>4.8999800000000002</v>
      </c>
    </row>
    <row r="3856" spans="1:18" x14ac:dyDescent="0.2">
      <c r="A3856" t="s">
        <v>7162</v>
      </c>
      <c r="B3856" t="s">
        <v>454</v>
      </c>
      <c r="C3856">
        <v>358</v>
      </c>
      <c r="D3856" s="1">
        <v>44065.868101851855</v>
      </c>
      <c r="E3856" t="s">
        <v>12044</v>
      </c>
      <c r="F3856" t="s">
        <v>7164</v>
      </c>
      <c r="G3856" t="s">
        <v>11971</v>
      </c>
      <c r="H3856" t="s">
        <v>7166</v>
      </c>
      <c r="I3856" t="s">
        <v>6238</v>
      </c>
      <c r="J3856">
        <v>358</v>
      </c>
      <c r="K3856">
        <f>358-3-41091639</f>
        <v>-41091284</v>
      </c>
      <c r="L3856" t="s">
        <v>12045</v>
      </c>
      <c r="M3856" t="s">
        <v>12046</v>
      </c>
      <c r="N3856" t="s">
        <v>5354</v>
      </c>
      <c r="O3856" t="s">
        <v>134</v>
      </c>
      <c r="P3856" t="s">
        <v>461</v>
      </c>
      <c r="Q3856">
        <v>52</v>
      </c>
      <c r="R3856">
        <v>4.8999800000000002</v>
      </c>
    </row>
    <row r="3857" spans="1:18" x14ac:dyDescent="0.2">
      <c r="A3857" t="s">
        <v>7162</v>
      </c>
      <c r="B3857" t="s">
        <v>454</v>
      </c>
      <c r="C3857">
        <v>32</v>
      </c>
      <c r="D3857" s="1">
        <v>44065.868067129632</v>
      </c>
      <c r="E3857" t="s">
        <v>12000</v>
      </c>
      <c r="F3857" t="s">
        <v>7164</v>
      </c>
      <c r="G3857" t="s">
        <v>11971</v>
      </c>
      <c r="H3857" t="s">
        <v>7166</v>
      </c>
      <c r="I3857" t="s">
        <v>4288</v>
      </c>
      <c r="J3857">
        <v>32</v>
      </c>
      <c r="K3857">
        <f>32-32-78-25-11-40</f>
        <v>-154</v>
      </c>
      <c r="L3857" t="s">
        <v>12047</v>
      </c>
      <c r="M3857" t="s">
        <v>12048</v>
      </c>
      <c r="N3857" t="s">
        <v>5354</v>
      </c>
      <c r="O3857" t="s">
        <v>134</v>
      </c>
      <c r="P3857" t="s">
        <v>461</v>
      </c>
      <c r="Q3857">
        <v>52</v>
      </c>
      <c r="R3857">
        <v>4.8999800000000002</v>
      </c>
    </row>
    <row r="3858" spans="1:18" x14ac:dyDescent="0.2">
      <c r="A3858" t="s">
        <v>7162</v>
      </c>
      <c r="B3858" t="s">
        <v>454</v>
      </c>
      <c r="C3858">
        <v>358</v>
      </c>
      <c r="D3858" s="1">
        <v>44065.867881944447</v>
      </c>
      <c r="E3858" t="s">
        <v>12044</v>
      </c>
      <c r="F3858" t="s">
        <v>7164</v>
      </c>
      <c r="G3858" t="s">
        <v>11971</v>
      </c>
      <c r="H3858" t="s">
        <v>7166</v>
      </c>
      <c r="I3858" t="s">
        <v>6238</v>
      </c>
      <c r="J3858">
        <v>358</v>
      </c>
      <c r="K3858">
        <f>358-3-41091639</f>
        <v>-41091284</v>
      </c>
      <c r="L3858" t="s">
        <v>12049</v>
      </c>
      <c r="M3858" t="s">
        <v>12050</v>
      </c>
      <c r="N3858" t="s">
        <v>5354</v>
      </c>
      <c r="O3858" t="s">
        <v>134</v>
      </c>
      <c r="P3858" t="s">
        <v>461</v>
      </c>
      <c r="Q3858">
        <v>52</v>
      </c>
      <c r="R3858">
        <v>4.8999800000000002</v>
      </c>
    </row>
    <row r="3859" spans="1:18" x14ac:dyDescent="0.2">
      <c r="A3859" t="s">
        <v>7162</v>
      </c>
      <c r="B3859" t="s">
        <v>454</v>
      </c>
      <c r="C3859">
        <v>32</v>
      </c>
      <c r="D3859" s="1">
        <v>44065.867638888885</v>
      </c>
      <c r="E3859" t="s">
        <v>12051</v>
      </c>
      <c r="F3859" t="s">
        <v>7164</v>
      </c>
      <c r="G3859" t="s">
        <v>11971</v>
      </c>
      <c r="H3859" t="s">
        <v>7166</v>
      </c>
      <c r="I3859" t="s">
        <v>4288</v>
      </c>
      <c r="J3859">
        <v>32</v>
      </c>
      <c r="K3859">
        <f>32-78-25-11-40</f>
        <v>-122</v>
      </c>
      <c r="L3859" t="s">
        <v>12052</v>
      </c>
      <c r="M3859" t="s">
        <v>12053</v>
      </c>
      <c r="N3859" t="s">
        <v>5354</v>
      </c>
      <c r="O3859" t="s">
        <v>134</v>
      </c>
      <c r="P3859" t="s">
        <v>461</v>
      </c>
      <c r="Q3859">
        <v>52</v>
      </c>
      <c r="R3859">
        <v>4.8999800000000002</v>
      </c>
    </row>
    <row r="3860" spans="1:18" x14ac:dyDescent="0.2">
      <c r="A3860" t="s">
        <v>7162</v>
      </c>
      <c r="B3860" t="s">
        <v>454</v>
      </c>
      <c r="C3860">
        <v>32</v>
      </c>
      <c r="D3860" s="1">
        <v>44065.867488425924</v>
      </c>
      <c r="E3860" t="s">
        <v>12044</v>
      </c>
      <c r="F3860" t="s">
        <v>7164</v>
      </c>
      <c r="G3860" t="s">
        <v>11971</v>
      </c>
      <c r="H3860" t="s">
        <v>7166</v>
      </c>
      <c r="I3860" t="s">
        <v>4288</v>
      </c>
      <c r="J3860">
        <v>32</v>
      </c>
      <c r="K3860">
        <f>32-78-25-11-40</f>
        <v>-122</v>
      </c>
      <c r="L3860" t="s">
        <v>12054</v>
      </c>
      <c r="M3860" t="s">
        <v>12055</v>
      </c>
      <c r="N3860" t="s">
        <v>5354</v>
      </c>
      <c r="O3860" t="s">
        <v>134</v>
      </c>
      <c r="P3860" t="s">
        <v>461</v>
      </c>
      <c r="Q3860">
        <v>52</v>
      </c>
      <c r="R3860">
        <v>4.8999800000000002</v>
      </c>
    </row>
    <row r="3861" spans="1:18" x14ac:dyDescent="0.2">
      <c r="A3861" t="s">
        <v>7162</v>
      </c>
      <c r="B3861" t="s">
        <v>454</v>
      </c>
      <c r="C3861">
        <v>32</v>
      </c>
      <c r="D3861" s="1">
        <v>44065.866643518515</v>
      </c>
      <c r="E3861" t="s">
        <v>12056</v>
      </c>
      <c r="F3861" t="s">
        <v>7164</v>
      </c>
      <c r="G3861" t="s">
        <v>11971</v>
      </c>
      <c r="H3861" t="s">
        <v>7166</v>
      </c>
      <c r="I3861" t="s">
        <v>4288</v>
      </c>
      <c r="J3861">
        <v>32</v>
      </c>
      <c r="K3861">
        <f>32-78-25-11-40</f>
        <v>-122</v>
      </c>
      <c r="L3861" t="s">
        <v>12057</v>
      </c>
      <c r="M3861" t="s">
        <v>12058</v>
      </c>
      <c r="N3861" t="s">
        <v>5354</v>
      </c>
      <c r="O3861" t="s">
        <v>134</v>
      </c>
      <c r="P3861" t="s">
        <v>461</v>
      </c>
      <c r="Q3861">
        <v>52</v>
      </c>
      <c r="R3861">
        <v>4.8999800000000002</v>
      </c>
    </row>
    <row r="3862" spans="1:18" x14ac:dyDescent="0.2">
      <c r="A3862" t="s">
        <v>7162</v>
      </c>
      <c r="B3862" t="s">
        <v>454</v>
      </c>
      <c r="C3862">
        <v>358</v>
      </c>
      <c r="D3862" s="1">
        <v>44065.866203703707</v>
      </c>
      <c r="E3862" t="s">
        <v>12056</v>
      </c>
      <c r="F3862" t="s">
        <v>7164</v>
      </c>
      <c r="G3862" t="s">
        <v>11971</v>
      </c>
      <c r="H3862" t="s">
        <v>7166</v>
      </c>
      <c r="I3862" t="s">
        <v>6238</v>
      </c>
      <c r="J3862">
        <v>358</v>
      </c>
      <c r="K3862">
        <f>358-3-41091639</f>
        <v>-41091284</v>
      </c>
      <c r="L3862" t="s">
        <v>12059</v>
      </c>
      <c r="M3862" t="s">
        <v>12060</v>
      </c>
      <c r="N3862" t="s">
        <v>5354</v>
      </c>
      <c r="O3862" t="s">
        <v>134</v>
      </c>
      <c r="P3862" t="s">
        <v>461</v>
      </c>
      <c r="Q3862">
        <v>52</v>
      </c>
      <c r="R3862">
        <v>4.8999800000000002</v>
      </c>
    </row>
    <row r="3863" spans="1:18" x14ac:dyDescent="0.2">
      <c r="A3863" t="s">
        <v>7162</v>
      </c>
      <c r="B3863" t="s">
        <v>454</v>
      </c>
      <c r="C3863">
        <v>46</v>
      </c>
      <c r="D3863" s="1">
        <v>44065.866053240738</v>
      </c>
      <c r="E3863" t="s">
        <v>12061</v>
      </c>
      <c r="F3863" t="s">
        <v>7164</v>
      </c>
      <c r="G3863" t="s">
        <v>11971</v>
      </c>
      <c r="H3863" t="s">
        <v>7166</v>
      </c>
      <c r="I3863" t="s">
        <v>7680</v>
      </c>
      <c r="J3863">
        <v>46</v>
      </c>
      <c r="K3863">
        <f>46-10-138-93-96</f>
        <v>-291</v>
      </c>
      <c r="L3863" t="s">
        <v>12062</v>
      </c>
      <c r="M3863" t="s">
        <v>12063</v>
      </c>
      <c r="N3863" t="s">
        <v>36</v>
      </c>
      <c r="O3863" t="s">
        <v>134</v>
      </c>
      <c r="P3863" t="s">
        <v>461</v>
      </c>
      <c r="Q3863">
        <v>52</v>
      </c>
      <c r="R3863">
        <v>4.8999800000000002</v>
      </c>
    </row>
    <row r="3864" spans="1:18" x14ac:dyDescent="0.2">
      <c r="A3864" t="s">
        <v>7162</v>
      </c>
      <c r="B3864" t="s">
        <v>454</v>
      </c>
      <c r="C3864">
        <v>46</v>
      </c>
      <c r="D3864" s="1">
        <v>44065.865925925929</v>
      </c>
      <c r="E3864" t="s">
        <v>12051</v>
      </c>
      <c r="F3864" t="s">
        <v>7164</v>
      </c>
      <c r="G3864" t="s">
        <v>11971</v>
      </c>
      <c r="H3864" t="s">
        <v>7166</v>
      </c>
      <c r="I3864" t="s">
        <v>7680</v>
      </c>
      <c r="J3864">
        <v>46</v>
      </c>
      <c r="K3864">
        <f>46-10-138-93-96</f>
        <v>-291</v>
      </c>
      <c r="L3864" t="s">
        <v>12064</v>
      </c>
      <c r="M3864" t="s">
        <v>12065</v>
      </c>
      <c r="N3864" t="s">
        <v>5354</v>
      </c>
      <c r="O3864" t="s">
        <v>134</v>
      </c>
      <c r="P3864" t="s">
        <v>461</v>
      </c>
      <c r="Q3864">
        <v>52</v>
      </c>
      <c r="R3864">
        <v>4.8999800000000002</v>
      </c>
    </row>
    <row r="3865" spans="1:18" x14ac:dyDescent="0.2">
      <c r="A3865" t="s">
        <v>7162</v>
      </c>
      <c r="B3865" t="s">
        <v>454</v>
      </c>
      <c r="C3865">
        <v>46</v>
      </c>
      <c r="D3865" s="1">
        <v>44065.865277777775</v>
      </c>
      <c r="E3865" t="s">
        <v>12056</v>
      </c>
      <c r="F3865" t="s">
        <v>7164</v>
      </c>
      <c r="G3865" t="s">
        <v>11971</v>
      </c>
      <c r="H3865" t="s">
        <v>7166</v>
      </c>
      <c r="I3865" t="s">
        <v>7680</v>
      </c>
      <c r="J3865">
        <v>46</v>
      </c>
      <c r="K3865">
        <f>46-10-138-93-96</f>
        <v>-291</v>
      </c>
      <c r="L3865" t="s">
        <v>12066</v>
      </c>
      <c r="M3865" t="s">
        <v>12067</v>
      </c>
      <c r="N3865" t="s">
        <v>5354</v>
      </c>
      <c r="O3865" t="s">
        <v>134</v>
      </c>
      <c r="P3865" t="s">
        <v>461</v>
      </c>
      <c r="Q3865">
        <v>52</v>
      </c>
      <c r="R3865">
        <v>4.8999800000000002</v>
      </c>
    </row>
    <row r="3866" spans="1:18" x14ac:dyDescent="0.2">
      <c r="A3866" t="s">
        <v>7162</v>
      </c>
      <c r="B3866" t="s">
        <v>454</v>
      </c>
      <c r="C3866">
        <v>31</v>
      </c>
      <c r="D3866" s="1">
        <v>44065.864537037036</v>
      </c>
      <c r="E3866" t="s">
        <v>12056</v>
      </c>
      <c r="F3866" t="s">
        <v>7164</v>
      </c>
      <c r="G3866" t="s">
        <v>11971</v>
      </c>
      <c r="H3866" t="s">
        <v>7166</v>
      </c>
      <c r="I3866" t="s">
        <v>461</v>
      </c>
      <c r="J3866">
        <v>31</v>
      </c>
      <c r="K3866">
        <f>31-76-220-7006</f>
        <v>-7271</v>
      </c>
      <c r="L3866" t="s">
        <v>12068</v>
      </c>
      <c r="M3866" t="s">
        <v>12069</v>
      </c>
      <c r="N3866" t="s">
        <v>5354</v>
      </c>
      <c r="O3866" t="s">
        <v>134</v>
      </c>
      <c r="P3866" t="s">
        <v>461</v>
      </c>
      <c r="Q3866">
        <v>52</v>
      </c>
      <c r="R3866">
        <v>4.8999800000000002</v>
      </c>
    </row>
    <row r="3867" spans="1:18" x14ac:dyDescent="0.2">
      <c r="A3867" t="s">
        <v>7162</v>
      </c>
      <c r="B3867" t="s">
        <v>454</v>
      </c>
      <c r="C3867">
        <v>31</v>
      </c>
      <c r="D3867" s="1">
        <v>44065.863842592589</v>
      </c>
      <c r="E3867" t="s">
        <v>12056</v>
      </c>
      <c r="F3867" t="s">
        <v>7164</v>
      </c>
      <c r="G3867" t="s">
        <v>11971</v>
      </c>
      <c r="H3867" t="s">
        <v>7166</v>
      </c>
      <c r="I3867" t="s">
        <v>461</v>
      </c>
      <c r="J3867">
        <v>31</v>
      </c>
      <c r="K3867">
        <f>31-76-220-7006</f>
        <v>-7271</v>
      </c>
      <c r="L3867" t="s">
        <v>12070</v>
      </c>
      <c r="M3867" t="s">
        <v>12071</v>
      </c>
      <c r="N3867" t="s">
        <v>5354</v>
      </c>
      <c r="O3867" t="s">
        <v>134</v>
      </c>
      <c r="P3867" t="s">
        <v>461</v>
      </c>
      <c r="Q3867">
        <v>52</v>
      </c>
      <c r="R3867">
        <v>4.8999800000000002</v>
      </c>
    </row>
    <row r="3868" spans="1:18" x14ac:dyDescent="0.2">
      <c r="A3868" t="s">
        <v>7162</v>
      </c>
      <c r="B3868" t="s">
        <v>454</v>
      </c>
      <c r="C3868">
        <v>358</v>
      </c>
      <c r="D3868" s="1">
        <v>44065.863622685189</v>
      </c>
      <c r="E3868" t="s">
        <v>12056</v>
      </c>
      <c r="F3868" t="s">
        <v>7164</v>
      </c>
      <c r="G3868" t="s">
        <v>11971</v>
      </c>
      <c r="H3868" t="s">
        <v>7166</v>
      </c>
      <c r="I3868" t="s">
        <v>6238</v>
      </c>
      <c r="J3868">
        <v>358</v>
      </c>
      <c r="K3868">
        <f>358-3-41091639</f>
        <v>-41091284</v>
      </c>
      <c r="L3868" t="s">
        <v>12072</v>
      </c>
      <c r="M3868" t="s">
        <v>12073</v>
      </c>
      <c r="N3868" t="s">
        <v>5354</v>
      </c>
      <c r="O3868" t="s">
        <v>134</v>
      </c>
      <c r="P3868" t="s">
        <v>461</v>
      </c>
      <c r="Q3868">
        <v>52</v>
      </c>
      <c r="R3868">
        <v>4.8999800000000002</v>
      </c>
    </row>
    <row r="3869" spans="1:18" x14ac:dyDescent="0.2">
      <c r="A3869" t="s">
        <v>7162</v>
      </c>
      <c r="B3869" t="s">
        <v>454</v>
      </c>
      <c r="C3869">
        <v>46</v>
      </c>
      <c r="D3869" s="1">
        <v>44065.862326388888</v>
      </c>
      <c r="E3869" t="s">
        <v>12074</v>
      </c>
      <c r="F3869" t="s">
        <v>7164</v>
      </c>
      <c r="G3869" t="s">
        <v>11971</v>
      </c>
      <c r="H3869" t="s">
        <v>7166</v>
      </c>
      <c r="I3869" t="s">
        <v>7680</v>
      </c>
      <c r="J3869">
        <v>46</v>
      </c>
      <c r="K3869">
        <f>46-10-138-93-96</f>
        <v>-291</v>
      </c>
      <c r="L3869" t="s">
        <v>12075</v>
      </c>
      <c r="M3869" t="s">
        <v>12076</v>
      </c>
      <c r="N3869" t="s">
        <v>36</v>
      </c>
      <c r="O3869" t="s">
        <v>134</v>
      </c>
      <c r="P3869" t="s">
        <v>461</v>
      </c>
      <c r="Q3869">
        <v>52</v>
      </c>
      <c r="R3869">
        <v>4.8999800000000002</v>
      </c>
    </row>
    <row r="3870" spans="1:18" x14ac:dyDescent="0.2">
      <c r="A3870" t="s">
        <v>7162</v>
      </c>
      <c r="B3870" t="s">
        <v>454</v>
      </c>
      <c r="C3870">
        <v>32</v>
      </c>
      <c r="D3870" s="1">
        <v>44065.862037037034</v>
      </c>
      <c r="E3870" t="s">
        <v>12056</v>
      </c>
      <c r="F3870" t="s">
        <v>7164</v>
      </c>
      <c r="G3870" t="s">
        <v>11971</v>
      </c>
      <c r="H3870" t="s">
        <v>7166</v>
      </c>
      <c r="I3870" t="s">
        <v>4288</v>
      </c>
      <c r="J3870">
        <v>32</v>
      </c>
      <c r="K3870">
        <f>32-78-25-11-40</f>
        <v>-122</v>
      </c>
      <c r="L3870" t="s">
        <v>12077</v>
      </c>
      <c r="M3870" t="s">
        <v>12078</v>
      </c>
      <c r="N3870" t="s">
        <v>5354</v>
      </c>
      <c r="O3870" t="s">
        <v>134</v>
      </c>
      <c r="P3870" t="s">
        <v>461</v>
      </c>
      <c r="Q3870">
        <v>52</v>
      </c>
      <c r="R3870">
        <v>4.8999800000000002</v>
      </c>
    </row>
    <row r="3871" spans="1:18" x14ac:dyDescent="0.2">
      <c r="A3871" t="s">
        <v>7162</v>
      </c>
      <c r="B3871" t="s">
        <v>454</v>
      </c>
      <c r="C3871">
        <v>46</v>
      </c>
      <c r="D3871" s="1">
        <v>44065.861932870372</v>
      </c>
      <c r="E3871" t="s">
        <v>12061</v>
      </c>
      <c r="F3871" t="s">
        <v>7164</v>
      </c>
      <c r="G3871" t="s">
        <v>11971</v>
      </c>
      <c r="H3871" t="s">
        <v>7166</v>
      </c>
      <c r="I3871" t="s">
        <v>7680</v>
      </c>
      <c r="J3871">
        <v>46</v>
      </c>
      <c r="K3871">
        <f>46-10-138-93-96</f>
        <v>-291</v>
      </c>
      <c r="L3871" t="s">
        <v>12079</v>
      </c>
      <c r="M3871" t="s">
        <v>12080</v>
      </c>
      <c r="N3871" t="s">
        <v>36</v>
      </c>
      <c r="O3871" t="s">
        <v>134</v>
      </c>
      <c r="P3871" t="s">
        <v>461</v>
      </c>
      <c r="Q3871">
        <v>52</v>
      </c>
      <c r="R3871">
        <v>4.8999800000000002</v>
      </c>
    </row>
    <row r="3872" spans="1:18" x14ac:dyDescent="0.2">
      <c r="A3872" t="s">
        <v>7162</v>
      </c>
      <c r="B3872" t="s">
        <v>454</v>
      </c>
      <c r="C3872">
        <v>41</v>
      </c>
      <c r="D3872" s="1">
        <v>44065.861458333333</v>
      </c>
      <c r="E3872" t="s">
        <v>12061</v>
      </c>
      <c r="F3872" t="s">
        <v>7164</v>
      </c>
      <c r="G3872" t="s">
        <v>11971</v>
      </c>
      <c r="H3872" t="s">
        <v>7166</v>
      </c>
      <c r="I3872" t="s">
        <v>204</v>
      </c>
      <c r="J3872">
        <v>41</v>
      </c>
      <c r="K3872">
        <f>41-43-505-10-95</f>
        <v>-612</v>
      </c>
      <c r="L3872" t="s">
        <v>12081</v>
      </c>
      <c r="M3872" t="s">
        <v>12082</v>
      </c>
      <c r="N3872" t="s">
        <v>36</v>
      </c>
      <c r="O3872" t="s">
        <v>134</v>
      </c>
      <c r="P3872" t="s">
        <v>461</v>
      </c>
      <c r="Q3872">
        <v>52</v>
      </c>
      <c r="R3872">
        <v>4.8999800000000002</v>
      </c>
    </row>
    <row r="3873" spans="1:18" x14ac:dyDescent="0.2">
      <c r="A3873" t="s">
        <v>7162</v>
      </c>
      <c r="B3873" t="s">
        <v>454</v>
      </c>
      <c r="C3873">
        <v>46</v>
      </c>
      <c r="D3873" s="1">
        <v>44065.861203703702</v>
      </c>
      <c r="E3873" t="s">
        <v>12061</v>
      </c>
      <c r="F3873" t="s">
        <v>7164</v>
      </c>
      <c r="G3873" t="s">
        <v>11971</v>
      </c>
      <c r="H3873" t="s">
        <v>7166</v>
      </c>
      <c r="I3873" t="s">
        <v>7680</v>
      </c>
      <c r="J3873">
        <v>46</v>
      </c>
      <c r="K3873">
        <f>46-10-138-93-96</f>
        <v>-291</v>
      </c>
      <c r="L3873" t="s">
        <v>12083</v>
      </c>
      <c r="M3873" t="s">
        <v>12084</v>
      </c>
      <c r="N3873" t="s">
        <v>36</v>
      </c>
      <c r="O3873" t="s">
        <v>134</v>
      </c>
      <c r="P3873" t="s">
        <v>461</v>
      </c>
      <c r="Q3873">
        <v>52</v>
      </c>
      <c r="R3873">
        <v>4.8999800000000002</v>
      </c>
    </row>
    <row r="3874" spans="1:18" x14ac:dyDescent="0.2">
      <c r="A3874" t="s">
        <v>7162</v>
      </c>
      <c r="B3874" t="s">
        <v>454</v>
      </c>
      <c r="C3874">
        <v>31</v>
      </c>
      <c r="D3874" s="1">
        <v>44065.860300925924</v>
      </c>
      <c r="E3874" t="s">
        <v>12061</v>
      </c>
      <c r="F3874" t="s">
        <v>7164</v>
      </c>
      <c r="G3874" t="s">
        <v>11971</v>
      </c>
      <c r="H3874" t="s">
        <v>7166</v>
      </c>
      <c r="I3874" t="s">
        <v>461</v>
      </c>
      <c r="J3874">
        <v>31</v>
      </c>
      <c r="K3874">
        <f>31-76-220-7006</f>
        <v>-7271</v>
      </c>
      <c r="L3874" t="s">
        <v>12085</v>
      </c>
      <c r="M3874" t="s">
        <v>12086</v>
      </c>
      <c r="N3874" t="s">
        <v>36</v>
      </c>
      <c r="O3874" t="s">
        <v>134</v>
      </c>
      <c r="P3874" t="s">
        <v>461</v>
      </c>
      <c r="Q3874">
        <v>52</v>
      </c>
      <c r="R3874">
        <v>4.8999800000000002</v>
      </c>
    </row>
    <row r="3875" spans="1:18" x14ac:dyDescent="0.2">
      <c r="A3875" t="s">
        <v>7162</v>
      </c>
      <c r="B3875" t="s">
        <v>454</v>
      </c>
      <c r="C3875">
        <v>358</v>
      </c>
      <c r="D3875" s="1">
        <v>44065.860138888886</v>
      </c>
      <c r="E3875" t="s">
        <v>12061</v>
      </c>
      <c r="F3875" t="s">
        <v>7164</v>
      </c>
      <c r="G3875" t="s">
        <v>11971</v>
      </c>
      <c r="H3875" t="s">
        <v>7166</v>
      </c>
      <c r="I3875" t="s">
        <v>6238</v>
      </c>
      <c r="J3875">
        <v>358</v>
      </c>
      <c r="K3875">
        <f>358-3-41091639</f>
        <v>-41091284</v>
      </c>
      <c r="L3875" t="s">
        <v>12087</v>
      </c>
      <c r="M3875" t="s">
        <v>12088</v>
      </c>
      <c r="N3875" t="s">
        <v>36</v>
      </c>
      <c r="O3875" t="s">
        <v>134</v>
      </c>
      <c r="P3875" t="s">
        <v>461</v>
      </c>
      <c r="Q3875">
        <v>52</v>
      </c>
      <c r="R3875">
        <v>4.8999800000000002</v>
      </c>
    </row>
    <row r="3876" spans="1:18" x14ac:dyDescent="0.2">
      <c r="A3876" t="s">
        <v>7162</v>
      </c>
      <c r="B3876" t="s">
        <v>454</v>
      </c>
      <c r="C3876">
        <v>32</v>
      </c>
      <c r="D3876" s="1">
        <v>44065.859861111108</v>
      </c>
      <c r="E3876" t="s">
        <v>12061</v>
      </c>
      <c r="F3876" t="s">
        <v>7164</v>
      </c>
      <c r="G3876" t="s">
        <v>11971</v>
      </c>
      <c r="H3876" t="s">
        <v>7166</v>
      </c>
      <c r="I3876" t="s">
        <v>4288</v>
      </c>
      <c r="J3876">
        <v>32</v>
      </c>
      <c r="K3876">
        <f>32-78-25-11-40</f>
        <v>-122</v>
      </c>
      <c r="L3876" t="s">
        <v>12089</v>
      </c>
      <c r="M3876" t="s">
        <v>12090</v>
      </c>
      <c r="N3876" t="s">
        <v>36</v>
      </c>
      <c r="O3876" t="s">
        <v>134</v>
      </c>
      <c r="P3876" t="s">
        <v>461</v>
      </c>
      <c r="Q3876">
        <v>52</v>
      </c>
      <c r="R3876">
        <v>4.8999800000000002</v>
      </c>
    </row>
    <row r="3877" spans="1:18" x14ac:dyDescent="0.2">
      <c r="A3877" t="s">
        <v>7162</v>
      </c>
      <c r="B3877" t="s">
        <v>454</v>
      </c>
      <c r="C3877">
        <v>41</v>
      </c>
      <c r="D3877" s="1">
        <v>44065.859155092592</v>
      </c>
      <c r="E3877" t="s">
        <v>11980</v>
      </c>
      <c r="F3877" t="s">
        <v>7164</v>
      </c>
      <c r="G3877" t="s">
        <v>11971</v>
      </c>
      <c r="H3877" t="s">
        <v>7166</v>
      </c>
      <c r="I3877" t="s">
        <v>204</v>
      </c>
      <c r="J3877">
        <v>41</v>
      </c>
      <c r="K3877">
        <f>41-43-505-10-95</f>
        <v>-612</v>
      </c>
      <c r="L3877" t="s">
        <v>12091</v>
      </c>
      <c r="M3877" t="s">
        <v>12092</v>
      </c>
      <c r="N3877" t="s">
        <v>36</v>
      </c>
      <c r="O3877" t="s">
        <v>134</v>
      </c>
      <c r="P3877" t="s">
        <v>461</v>
      </c>
      <c r="Q3877">
        <v>52</v>
      </c>
      <c r="R3877">
        <v>4.8999800000000002</v>
      </c>
    </row>
    <row r="3878" spans="1:18" x14ac:dyDescent="0.2">
      <c r="A3878" t="s">
        <v>7162</v>
      </c>
      <c r="B3878" t="s">
        <v>454</v>
      </c>
      <c r="C3878">
        <v>46</v>
      </c>
      <c r="D3878" s="1">
        <v>44065.858888888892</v>
      </c>
      <c r="E3878" t="s">
        <v>11980</v>
      </c>
      <c r="F3878" t="s">
        <v>7164</v>
      </c>
      <c r="G3878" t="s">
        <v>11971</v>
      </c>
      <c r="H3878" t="s">
        <v>7166</v>
      </c>
      <c r="I3878" t="s">
        <v>7680</v>
      </c>
      <c r="J3878">
        <v>46</v>
      </c>
      <c r="K3878">
        <f>46-10-138-93-96</f>
        <v>-291</v>
      </c>
      <c r="L3878" t="s">
        <v>12093</v>
      </c>
      <c r="M3878" t="s">
        <v>12094</v>
      </c>
      <c r="N3878" t="s">
        <v>36</v>
      </c>
      <c r="O3878" t="s">
        <v>134</v>
      </c>
      <c r="P3878" t="s">
        <v>461</v>
      </c>
      <c r="Q3878">
        <v>52</v>
      </c>
      <c r="R3878">
        <v>4.8999800000000002</v>
      </c>
    </row>
    <row r="3879" spans="1:18" x14ac:dyDescent="0.2">
      <c r="A3879" t="s">
        <v>7162</v>
      </c>
      <c r="B3879" t="s">
        <v>454</v>
      </c>
      <c r="C3879">
        <v>31</v>
      </c>
      <c r="D3879" s="1">
        <v>44065.858657407407</v>
      </c>
      <c r="E3879" t="s">
        <v>11980</v>
      </c>
      <c r="F3879" t="s">
        <v>7164</v>
      </c>
      <c r="G3879" t="s">
        <v>11971</v>
      </c>
      <c r="H3879" t="s">
        <v>7166</v>
      </c>
      <c r="I3879" t="s">
        <v>461</v>
      </c>
      <c r="J3879">
        <v>31</v>
      </c>
      <c r="K3879">
        <f>31-76-220-7006</f>
        <v>-7271</v>
      </c>
      <c r="L3879" t="s">
        <v>12095</v>
      </c>
      <c r="M3879" t="s">
        <v>12096</v>
      </c>
      <c r="N3879" t="s">
        <v>36</v>
      </c>
      <c r="O3879" t="s">
        <v>134</v>
      </c>
      <c r="P3879" t="s">
        <v>461</v>
      </c>
      <c r="Q3879">
        <v>52</v>
      </c>
      <c r="R3879">
        <v>4.8999800000000002</v>
      </c>
    </row>
    <row r="3880" spans="1:18" x14ac:dyDescent="0.2">
      <c r="A3880" t="s">
        <v>7162</v>
      </c>
      <c r="B3880" t="s">
        <v>454</v>
      </c>
      <c r="C3880">
        <v>32</v>
      </c>
      <c r="D3880" s="1">
        <v>44065.857951388891</v>
      </c>
      <c r="E3880" t="s">
        <v>12097</v>
      </c>
      <c r="F3880" t="s">
        <v>7164</v>
      </c>
      <c r="G3880" t="s">
        <v>11971</v>
      </c>
      <c r="H3880" t="s">
        <v>7166</v>
      </c>
      <c r="I3880" t="s">
        <v>4288</v>
      </c>
      <c r="J3880">
        <v>32</v>
      </c>
      <c r="K3880">
        <f>32-78-25-11-40</f>
        <v>-122</v>
      </c>
      <c r="L3880" t="s">
        <v>12098</v>
      </c>
      <c r="M3880" t="s">
        <v>12099</v>
      </c>
      <c r="N3880" t="s">
        <v>36</v>
      </c>
      <c r="O3880" t="s">
        <v>134</v>
      </c>
      <c r="P3880" t="s">
        <v>461</v>
      </c>
      <c r="Q3880">
        <v>52</v>
      </c>
      <c r="R3880">
        <v>4.8999800000000002</v>
      </c>
    </row>
    <row r="3881" spans="1:18" x14ac:dyDescent="0.2">
      <c r="A3881" t="s">
        <v>7162</v>
      </c>
      <c r="B3881" t="s">
        <v>454</v>
      </c>
      <c r="C3881">
        <v>358</v>
      </c>
      <c r="D3881" s="1">
        <v>44065.85732638889</v>
      </c>
      <c r="E3881" t="s">
        <v>11980</v>
      </c>
      <c r="F3881" t="s">
        <v>7164</v>
      </c>
      <c r="G3881" t="s">
        <v>11971</v>
      </c>
      <c r="H3881" t="s">
        <v>7166</v>
      </c>
      <c r="I3881" t="s">
        <v>6238</v>
      </c>
      <c r="J3881">
        <v>358</v>
      </c>
      <c r="K3881">
        <f>358-3-41091639</f>
        <v>-41091284</v>
      </c>
      <c r="L3881" t="s">
        <v>12100</v>
      </c>
      <c r="M3881" t="s">
        <v>12101</v>
      </c>
      <c r="N3881" t="s">
        <v>36</v>
      </c>
      <c r="O3881" t="s">
        <v>134</v>
      </c>
      <c r="P3881" t="s">
        <v>461</v>
      </c>
      <c r="Q3881">
        <v>52</v>
      </c>
      <c r="R3881">
        <v>4.8999800000000002</v>
      </c>
    </row>
    <row r="3882" spans="1:18" x14ac:dyDescent="0.2">
      <c r="A3882" t="s">
        <v>7162</v>
      </c>
      <c r="B3882" t="s">
        <v>454</v>
      </c>
      <c r="C3882">
        <v>32</v>
      </c>
      <c r="D3882" s="1">
        <v>44065.856562499997</v>
      </c>
      <c r="E3882" t="s">
        <v>11980</v>
      </c>
      <c r="F3882" t="s">
        <v>7164</v>
      </c>
      <c r="G3882" t="s">
        <v>11971</v>
      </c>
      <c r="H3882" t="s">
        <v>7166</v>
      </c>
      <c r="I3882" t="s">
        <v>4288</v>
      </c>
      <c r="J3882">
        <v>32</v>
      </c>
      <c r="K3882">
        <f>32-78-25-11-40</f>
        <v>-122</v>
      </c>
      <c r="L3882" t="s">
        <v>12102</v>
      </c>
      <c r="M3882" t="s">
        <v>12103</v>
      </c>
      <c r="N3882" t="s">
        <v>36</v>
      </c>
      <c r="O3882" t="s">
        <v>134</v>
      </c>
      <c r="P3882" t="s">
        <v>461</v>
      </c>
      <c r="Q3882">
        <v>52</v>
      </c>
      <c r="R3882">
        <v>4.8999800000000002</v>
      </c>
    </row>
    <row r="3883" spans="1:18" x14ac:dyDescent="0.2">
      <c r="A3883" t="s">
        <v>7162</v>
      </c>
      <c r="B3883" t="s">
        <v>454</v>
      </c>
      <c r="C3883">
        <v>32</v>
      </c>
      <c r="D3883" s="1">
        <v>44065.855937499997</v>
      </c>
      <c r="E3883" t="s">
        <v>12104</v>
      </c>
      <c r="F3883" t="s">
        <v>7164</v>
      </c>
      <c r="G3883" t="s">
        <v>11971</v>
      </c>
      <c r="H3883" t="s">
        <v>7166</v>
      </c>
      <c r="I3883" t="s">
        <v>4288</v>
      </c>
      <c r="J3883">
        <v>32</v>
      </c>
      <c r="K3883">
        <f>32-78-25-11-40</f>
        <v>-122</v>
      </c>
      <c r="L3883" t="s">
        <v>12105</v>
      </c>
      <c r="M3883" t="s">
        <v>12106</v>
      </c>
      <c r="N3883" t="s">
        <v>5354</v>
      </c>
      <c r="O3883" t="s">
        <v>134</v>
      </c>
      <c r="P3883" t="s">
        <v>461</v>
      </c>
      <c r="Q3883">
        <v>52</v>
      </c>
      <c r="R3883">
        <v>4.8999800000000002</v>
      </c>
    </row>
    <row r="3884" spans="1:18" x14ac:dyDescent="0.2">
      <c r="A3884" t="s">
        <v>7162</v>
      </c>
      <c r="B3884" t="s">
        <v>454</v>
      </c>
      <c r="C3884">
        <v>358</v>
      </c>
      <c r="D3884" s="1">
        <v>44065.854097222225</v>
      </c>
      <c r="E3884" t="s">
        <v>12036</v>
      </c>
      <c r="F3884" t="s">
        <v>7164</v>
      </c>
      <c r="G3884" t="s">
        <v>11971</v>
      </c>
      <c r="H3884" t="s">
        <v>7166</v>
      </c>
      <c r="I3884" t="s">
        <v>6238</v>
      </c>
      <c r="J3884">
        <v>358</v>
      </c>
      <c r="K3884">
        <f>358-3-41091639</f>
        <v>-41091284</v>
      </c>
      <c r="L3884" t="s">
        <v>12107</v>
      </c>
      <c r="M3884" t="s">
        <v>12108</v>
      </c>
      <c r="N3884" t="s">
        <v>5354</v>
      </c>
      <c r="O3884" t="s">
        <v>134</v>
      </c>
      <c r="P3884" t="s">
        <v>461</v>
      </c>
      <c r="Q3884">
        <v>52</v>
      </c>
      <c r="R3884">
        <v>4.8999800000000002</v>
      </c>
    </row>
    <row r="3885" spans="1:18" x14ac:dyDescent="0.2">
      <c r="A3885" t="s">
        <v>7162</v>
      </c>
      <c r="B3885" t="s">
        <v>454</v>
      </c>
      <c r="C3885">
        <v>31</v>
      </c>
      <c r="D3885" s="1">
        <v>44065.853900462964</v>
      </c>
      <c r="E3885" t="s">
        <v>12036</v>
      </c>
      <c r="F3885" t="s">
        <v>7164</v>
      </c>
      <c r="G3885" t="s">
        <v>11971</v>
      </c>
      <c r="H3885" t="s">
        <v>7166</v>
      </c>
      <c r="I3885" t="s">
        <v>461</v>
      </c>
      <c r="J3885">
        <v>31</v>
      </c>
      <c r="K3885">
        <f>31-76-220-7006</f>
        <v>-7271</v>
      </c>
      <c r="L3885" t="s">
        <v>12109</v>
      </c>
      <c r="M3885" t="s">
        <v>12110</v>
      </c>
      <c r="N3885" t="s">
        <v>5354</v>
      </c>
      <c r="O3885" t="s">
        <v>134</v>
      </c>
      <c r="P3885" t="s">
        <v>461</v>
      </c>
      <c r="Q3885">
        <v>52</v>
      </c>
      <c r="R3885">
        <v>4.8999800000000002</v>
      </c>
    </row>
    <row r="3886" spans="1:18" x14ac:dyDescent="0.2">
      <c r="A3886" t="s">
        <v>7162</v>
      </c>
      <c r="B3886" t="s">
        <v>454</v>
      </c>
      <c r="C3886">
        <v>46</v>
      </c>
      <c r="D3886" s="1">
        <v>44065.853645833333</v>
      </c>
      <c r="E3886" t="s">
        <v>12036</v>
      </c>
      <c r="F3886" t="s">
        <v>7164</v>
      </c>
      <c r="G3886" t="s">
        <v>11971</v>
      </c>
      <c r="H3886" t="s">
        <v>7166</v>
      </c>
      <c r="I3886" t="s">
        <v>7680</v>
      </c>
      <c r="J3886">
        <v>46</v>
      </c>
      <c r="K3886">
        <f>46-10-138-93-96</f>
        <v>-291</v>
      </c>
      <c r="L3886" t="s">
        <v>12111</v>
      </c>
      <c r="M3886" t="s">
        <v>12112</v>
      </c>
      <c r="N3886" t="s">
        <v>5354</v>
      </c>
      <c r="O3886" t="s">
        <v>134</v>
      </c>
      <c r="P3886" t="s">
        <v>461</v>
      </c>
      <c r="Q3886">
        <v>52</v>
      </c>
      <c r="R3886">
        <v>4.8999800000000002</v>
      </c>
    </row>
    <row r="3887" spans="1:18" x14ac:dyDescent="0.2">
      <c r="A3887" t="s">
        <v>7162</v>
      </c>
      <c r="B3887" t="s">
        <v>454</v>
      </c>
      <c r="C3887">
        <v>32</v>
      </c>
      <c r="D3887" s="1">
        <v>44065.853020833332</v>
      </c>
      <c r="E3887" t="s">
        <v>12036</v>
      </c>
      <c r="F3887" t="s">
        <v>7164</v>
      </c>
      <c r="G3887" t="s">
        <v>11971</v>
      </c>
      <c r="H3887" t="s">
        <v>7166</v>
      </c>
      <c r="I3887" t="s">
        <v>4288</v>
      </c>
      <c r="J3887">
        <v>32</v>
      </c>
      <c r="K3887">
        <f>32-78-25-11-40</f>
        <v>-122</v>
      </c>
      <c r="L3887" t="s">
        <v>12113</v>
      </c>
      <c r="M3887" t="s">
        <v>12114</v>
      </c>
      <c r="N3887" t="s">
        <v>5354</v>
      </c>
      <c r="O3887" t="s">
        <v>134</v>
      </c>
      <c r="P3887" t="s">
        <v>461</v>
      </c>
      <c r="Q3887">
        <v>52</v>
      </c>
      <c r="R3887">
        <v>4.8999800000000002</v>
      </c>
    </row>
    <row r="3888" spans="1:18" x14ac:dyDescent="0.2">
      <c r="A3888" t="s">
        <v>7162</v>
      </c>
      <c r="B3888" t="s">
        <v>454</v>
      </c>
      <c r="C3888">
        <v>31</v>
      </c>
      <c r="D3888" s="1">
        <v>44065.848796296297</v>
      </c>
      <c r="E3888" t="s">
        <v>12115</v>
      </c>
      <c r="F3888" t="s">
        <v>7164</v>
      </c>
      <c r="G3888" t="s">
        <v>11971</v>
      </c>
      <c r="H3888" t="s">
        <v>7166</v>
      </c>
      <c r="I3888" t="s">
        <v>461</v>
      </c>
      <c r="J3888">
        <v>31</v>
      </c>
      <c r="K3888">
        <f>31-76-220-7006</f>
        <v>-7271</v>
      </c>
      <c r="L3888" t="s">
        <v>12116</v>
      </c>
      <c r="M3888" t="s">
        <v>12117</v>
      </c>
      <c r="N3888" t="s">
        <v>36</v>
      </c>
      <c r="O3888" t="s">
        <v>134</v>
      </c>
      <c r="P3888" t="s">
        <v>461</v>
      </c>
      <c r="Q3888">
        <v>52</v>
      </c>
      <c r="R3888">
        <v>4.8999800000000002</v>
      </c>
    </row>
    <row r="3889" spans="1:18" x14ac:dyDescent="0.2">
      <c r="A3889" t="s">
        <v>7162</v>
      </c>
      <c r="B3889" t="s">
        <v>454</v>
      </c>
      <c r="C3889">
        <v>46</v>
      </c>
      <c r="D3889" s="1">
        <v>44065.84715277778</v>
      </c>
      <c r="E3889" t="s">
        <v>12118</v>
      </c>
      <c r="F3889" t="s">
        <v>7164</v>
      </c>
      <c r="G3889" t="s">
        <v>11971</v>
      </c>
      <c r="H3889" t="s">
        <v>7166</v>
      </c>
      <c r="I3889" t="s">
        <v>7680</v>
      </c>
      <c r="J3889">
        <v>46</v>
      </c>
      <c r="K3889">
        <f>46-10-138-93-96</f>
        <v>-291</v>
      </c>
      <c r="L3889" t="s">
        <v>12119</v>
      </c>
      <c r="M3889" t="s">
        <v>12120</v>
      </c>
      <c r="N3889" t="s">
        <v>36</v>
      </c>
      <c r="O3889" t="s">
        <v>134</v>
      </c>
      <c r="P3889" t="s">
        <v>461</v>
      </c>
      <c r="Q3889">
        <v>52</v>
      </c>
      <c r="R3889">
        <v>4.8999800000000002</v>
      </c>
    </row>
    <row r="3890" spans="1:18" x14ac:dyDescent="0.2">
      <c r="A3890" t="s">
        <v>7162</v>
      </c>
      <c r="B3890" t="s">
        <v>454</v>
      </c>
      <c r="C3890">
        <v>46</v>
      </c>
      <c r="D3890" s="1">
        <v>44064.920648148145</v>
      </c>
      <c r="E3890" t="s">
        <v>12121</v>
      </c>
      <c r="F3890" t="s">
        <v>7164</v>
      </c>
      <c r="G3890" t="s">
        <v>11971</v>
      </c>
      <c r="H3890" t="s">
        <v>7166</v>
      </c>
      <c r="I3890" t="s">
        <v>7680</v>
      </c>
      <c r="J3890">
        <v>46</v>
      </c>
      <c r="K3890">
        <f>46-10-138-93-96</f>
        <v>-291</v>
      </c>
      <c r="L3890" t="s">
        <v>12122</v>
      </c>
      <c r="M3890" t="s">
        <v>12123</v>
      </c>
      <c r="N3890" t="s">
        <v>5354</v>
      </c>
      <c r="O3890" t="s">
        <v>134</v>
      </c>
      <c r="P3890" t="s">
        <v>461</v>
      </c>
      <c r="Q3890">
        <v>52</v>
      </c>
      <c r="R3890">
        <v>4.8999800000000002</v>
      </c>
    </row>
    <row r="3891" spans="1:18" x14ac:dyDescent="0.2">
      <c r="A3891" t="s">
        <v>7162</v>
      </c>
      <c r="B3891" t="s">
        <v>454</v>
      </c>
      <c r="C3891">
        <v>358</v>
      </c>
      <c r="D3891" s="1">
        <v>44064.920347222222</v>
      </c>
      <c r="E3891" t="s">
        <v>12118</v>
      </c>
      <c r="F3891" t="s">
        <v>7164</v>
      </c>
      <c r="G3891" t="s">
        <v>11971</v>
      </c>
      <c r="H3891" t="s">
        <v>7166</v>
      </c>
      <c r="I3891" t="s">
        <v>6238</v>
      </c>
      <c r="J3891">
        <v>358</v>
      </c>
      <c r="K3891">
        <f>358-3-41091639</f>
        <v>-41091284</v>
      </c>
      <c r="L3891" t="s">
        <v>12124</v>
      </c>
      <c r="M3891" t="s">
        <v>12125</v>
      </c>
      <c r="N3891" t="s">
        <v>36</v>
      </c>
      <c r="O3891" t="s">
        <v>134</v>
      </c>
      <c r="P3891" t="s">
        <v>461</v>
      </c>
      <c r="Q3891">
        <v>52</v>
      </c>
      <c r="R3891">
        <v>4.8999800000000002</v>
      </c>
    </row>
    <row r="3892" spans="1:18" x14ac:dyDescent="0.2">
      <c r="A3892" t="s">
        <v>7162</v>
      </c>
      <c r="B3892" t="s">
        <v>454</v>
      </c>
      <c r="C3892">
        <v>46</v>
      </c>
      <c r="D3892" s="1">
        <v>44064.920115740744</v>
      </c>
      <c r="E3892" t="s">
        <v>12126</v>
      </c>
      <c r="F3892" t="s">
        <v>7164</v>
      </c>
      <c r="G3892" t="s">
        <v>11971</v>
      </c>
      <c r="H3892" t="s">
        <v>7166</v>
      </c>
      <c r="I3892" t="s">
        <v>7680</v>
      </c>
      <c r="J3892">
        <v>46</v>
      </c>
      <c r="K3892">
        <f>46-10-138-93-96</f>
        <v>-291</v>
      </c>
      <c r="L3892" t="s">
        <v>12127</v>
      </c>
      <c r="M3892" t="s">
        <v>12128</v>
      </c>
      <c r="N3892" t="s">
        <v>5354</v>
      </c>
      <c r="O3892" t="s">
        <v>134</v>
      </c>
      <c r="P3892" t="s">
        <v>461</v>
      </c>
      <c r="Q3892">
        <v>52</v>
      </c>
      <c r="R3892">
        <v>4.8999800000000002</v>
      </c>
    </row>
    <row r="3893" spans="1:18" x14ac:dyDescent="0.2">
      <c r="A3893" t="s">
        <v>7162</v>
      </c>
      <c r="B3893" t="s">
        <v>454</v>
      </c>
      <c r="C3893">
        <v>46</v>
      </c>
      <c r="D3893" s="1">
        <v>44064.919907407406</v>
      </c>
      <c r="E3893" t="s">
        <v>11983</v>
      </c>
      <c r="F3893" t="s">
        <v>7164</v>
      </c>
      <c r="G3893" t="s">
        <v>11971</v>
      </c>
      <c r="H3893" t="s">
        <v>7166</v>
      </c>
      <c r="I3893" t="s">
        <v>7680</v>
      </c>
      <c r="J3893">
        <v>46</v>
      </c>
      <c r="K3893">
        <f>46-10-138-93-96</f>
        <v>-291</v>
      </c>
      <c r="L3893" t="s">
        <v>12129</v>
      </c>
      <c r="M3893" t="s">
        <v>12130</v>
      </c>
      <c r="N3893" t="s">
        <v>36</v>
      </c>
      <c r="O3893" t="s">
        <v>134</v>
      </c>
      <c r="P3893" t="s">
        <v>461</v>
      </c>
      <c r="Q3893">
        <v>52</v>
      </c>
      <c r="R3893">
        <v>4.8999800000000002</v>
      </c>
    </row>
    <row r="3894" spans="1:18" x14ac:dyDescent="0.2">
      <c r="A3894" t="s">
        <v>7162</v>
      </c>
      <c r="B3894" t="s">
        <v>454</v>
      </c>
      <c r="C3894">
        <v>31</v>
      </c>
      <c r="D3894" s="1">
        <v>44063.750115740739</v>
      </c>
      <c r="E3894" t="s">
        <v>12131</v>
      </c>
      <c r="F3894" t="s">
        <v>7164</v>
      </c>
      <c r="G3894" t="s">
        <v>11971</v>
      </c>
      <c r="H3894" t="s">
        <v>7166</v>
      </c>
      <c r="I3894" t="s">
        <v>461</v>
      </c>
      <c r="J3894">
        <v>31</v>
      </c>
      <c r="K3894">
        <f>31-76-220-7006</f>
        <v>-7271</v>
      </c>
      <c r="L3894" t="s">
        <v>12132</v>
      </c>
      <c r="M3894" t="s">
        <v>12133</v>
      </c>
      <c r="N3894" t="s">
        <v>36</v>
      </c>
      <c r="O3894" t="s">
        <v>134</v>
      </c>
      <c r="P3894" t="s">
        <v>461</v>
      </c>
      <c r="Q3894">
        <v>52</v>
      </c>
      <c r="R3894">
        <v>4.8999800000000002</v>
      </c>
    </row>
    <row r="3895" spans="1:18" x14ac:dyDescent="0.2">
      <c r="A3895" t="s">
        <v>7162</v>
      </c>
      <c r="B3895" t="s">
        <v>454</v>
      </c>
      <c r="C3895">
        <v>46</v>
      </c>
      <c r="D3895" s="1">
        <v>44063.711168981485</v>
      </c>
      <c r="E3895" t="s">
        <v>11980</v>
      </c>
      <c r="F3895" t="s">
        <v>7164</v>
      </c>
      <c r="G3895" t="s">
        <v>11971</v>
      </c>
      <c r="H3895" t="s">
        <v>7166</v>
      </c>
      <c r="I3895" t="s">
        <v>7680</v>
      </c>
      <c r="J3895">
        <v>46</v>
      </c>
      <c r="K3895">
        <f>46-10-138-93-96</f>
        <v>-291</v>
      </c>
      <c r="L3895" t="s">
        <v>12134</v>
      </c>
      <c r="M3895" t="s">
        <v>12135</v>
      </c>
      <c r="N3895" t="s">
        <v>36</v>
      </c>
      <c r="O3895" t="s">
        <v>134</v>
      </c>
      <c r="P3895" t="s">
        <v>461</v>
      </c>
      <c r="Q3895">
        <v>52</v>
      </c>
      <c r="R3895">
        <v>4.8999800000000002</v>
      </c>
    </row>
    <row r="3896" spans="1:18" x14ac:dyDescent="0.2">
      <c r="A3896" t="s">
        <v>7162</v>
      </c>
      <c r="B3896" t="s">
        <v>454</v>
      </c>
      <c r="C3896">
        <v>358</v>
      </c>
      <c r="D3896" s="1">
        <v>44063.710879629631</v>
      </c>
      <c r="E3896" t="s">
        <v>12136</v>
      </c>
      <c r="F3896" t="s">
        <v>7164</v>
      </c>
      <c r="G3896" t="s">
        <v>11971</v>
      </c>
      <c r="H3896" t="s">
        <v>7166</v>
      </c>
      <c r="I3896" t="s">
        <v>6238</v>
      </c>
      <c r="J3896">
        <v>358</v>
      </c>
      <c r="K3896">
        <f>358-3-41091639</f>
        <v>-41091284</v>
      </c>
      <c r="L3896" t="s">
        <v>12137</v>
      </c>
      <c r="M3896" t="s">
        <v>12138</v>
      </c>
      <c r="N3896" t="s">
        <v>36</v>
      </c>
      <c r="O3896" t="s">
        <v>134</v>
      </c>
      <c r="P3896" t="s">
        <v>461</v>
      </c>
      <c r="Q3896">
        <v>52</v>
      </c>
      <c r="R3896">
        <v>4.8999800000000002</v>
      </c>
    </row>
    <row r="3897" spans="1:18" x14ac:dyDescent="0.2">
      <c r="A3897" t="s">
        <v>7162</v>
      </c>
      <c r="B3897" t="s">
        <v>454</v>
      </c>
      <c r="C3897">
        <v>32</v>
      </c>
      <c r="D3897" s="1">
        <v>44063.710740740738</v>
      </c>
      <c r="E3897" t="s">
        <v>12074</v>
      </c>
      <c r="F3897" t="s">
        <v>7164</v>
      </c>
      <c r="G3897" t="s">
        <v>11971</v>
      </c>
      <c r="H3897" t="s">
        <v>7166</v>
      </c>
      <c r="I3897" t="s">
        <v>4288</v>
      </c>
      <c r="J3897">
        <v>32</v>
      </c>
      <c r="K3897">
        <f>32-32-78-25-11-40</f>
        <v>-154</v>
      </c>
      <c r="L3897" t="s">
        <v>12139</v>
      </c>
      <c r="M3897" t="s">
        <v>12140</v>
      </c>
      <c r="N3897" t="s">
        <v>36</v>
      </c>
      <c r="O3897" t="s">
        <v>134</v>
      </c>
      <c r="P3897" t="s">
        <v>461</v>
      </c>
      <c r="Q3897">
        <v>52</v>
      </c>
      <c r="R3897">
        <v>4.8999800000000002</v>
      </c>
    </row>
    <row r="3898" spans="1:18" x14ac:dyDescent="0.2">
      <c r="A3898" t="s">
        <v>7162</v>
      </c>
      <c r="B3898" t="s">
        <v>454</v>
      </c>
      <c r="C3898">
        <v>31</v>
      </c>
      <c r="D3898" s="1">
        <v>44063.710416666669</v>
      </c>
      <c r="E3898" t="s">
        <v>12126</v>
      </c>
      <c r="F3898" t="s">
        <v>7164</v>
      </c>
      <c r="G3898" t="s">
        <v>11971</v>
      </c>
      <c r="H3898" t="s">
        <v>7166</v>
      </c>
      <c r="I3898" t="s">
        <v>461</v>
      </c>
      <c r="J3898">
        <v>31</v>
      </c>
      <c r="K3898">
        <f>31-76-220-7006</f>
        <v>-7271</v>
      </c>
      <c r="L3898" t="s">
        <v>12141</v>
      </c>
      <c r="M3898" t="s">
        <v>12142</v>
      </c>
      <c r="N3898" t="s">
        <v>5354</v>
      </c>
      <c r="O3898" t="s">
        <v>134</v>
      </c>
      <c r="P3898" t="s">
        <v>461</v>
      </c>
      <c r="Q3898">
        <v>52</v>
      </c>
      <c r="R3898">
        <v>4.8999800000000002</v>
      </c>
    </row>
    <row r="3899" spans="1:18" x14ac:dyDescent="0.2">
      <c r="A3899" t="s">
        <v>7162</v>
      </c>
      <c r="B3899" t="s">
        <v>454</v>
      </c>
      <c r="C3899">
        <v>32</v>
      </c>
      <c r="D3899" s="1">
        <v>44062.696562500001</v>
      </c>
      <c r="E3899" t="s">
        <v>12029</v>
      </c>
      <c r="F3899" t="s">
        <v>7164</v>
      </c>
      <c r="G3899" t="s">
        <v>11971</v>
      </c>
      <c r="H3899" t="s">
        <v>7166</v>
      </c>
      <c r="I3899" t="s">
        <v>4288</v>
      </c>
      <c r="J3899">
        <v>32</v>
      </c>
      <c r="K3899">
        <f>32-78-25-11-40</f>
        <v>-122</v>
      </c>
      <c r="L3899" t="s">
        <v>12143</v>
      </c>
      <c r="M3899" t="s">
        <v>12144</v>
      </c>
      <c r="N3899" t="s">
        <v>5354</v>
      </c>
      <c r="O3899" t="s">
        <v>134</v>
      </c>
      <c r="P3899" t="s">
        <v>461</v>
      </c>
      <c r="Q3899">
        <v>52</v>
      </c>
      <c r="R3899">
        <v>4.8999800000000002</v>
      </c>
    </row>
    <row r="3900" spans="1:18" x14ac:dyDescent="0.2">
      <c r="A3900" t="s">
        <v>7162</v>
      </c>
      <c r="B3900" t="s">
        <v>454</v>
      </c>
      <c r="C3900">
        <v>46</v>
      </c>
      <c r="D3900" s="1">
        <v>44062.696423611109</v>
      </c>
      <c r="E3900" t="s">
        <v>12145</v>
      </c>
      <c r="F3900" t="s">
        <v>7164</v>
      </c>
      <c r="G3900" t="s">
        <v>11971</v>
      </c>
      <c r="H3900" t="s">
        <v>7166</v>
      </c>
      <c r="I3900" t="s">
        <v>7680</v>
      </c>
      <c r="J3900">
        <v>46</v>
      </c>
      <c r="K3900">
        <f>46-10-138-93-96</f>
        <v>-291</v>
      </c>
      <c r="L3900" t="s">
        <v>12146</v>
      </c>
      <c r="M3900" t="s">
        <v>12147</v>
      </c>
      <c r="N3900" t="s">
        <v>36</v>
      </c>
      <c r="O3900" t="s">
        <v>134</v>
      </c>
      <c r="P3900" t="s">
        <v>461</v>
      </c>
      <c r="Q3900">
        <v>52</v>
      </c>
      <c r="R3900">
        <v>4.8999800000000002</v>
      </c>
    </row>
    <row r="3901" spans="1:18" x14ac:dyDescent="0.2">
      <c r="A3901" t="s">
        <v>7162</v>
      </c>
      <c r="B3901" t="s">
        <v>454</v>
      </c>
      <c r="C3901">
        <v>32</v>
      </c>
      <c r="D3901" s="1">
        <v>44062.697256944448</v>
      </c>
      <c r="E3901" t="s">
        <v>12145</v>
      </c>
      <c r="F3901" t="s">
        <v>7164</v>
      </c>
      <c r="G3901" t="s">
        <v>11971</v>
      </c>
      <c r="H3901" t="s">
        <v>7166</v>
      </c>
      <c r="I3901" t="s">
        <v>4288</v>
      </c>
      <c r="J3901">
        <v>32</v>
      </c>
      <c r="K3901">
        <f>32-78-25-11-40</f>
        <v>-122</v>
      </c>
      <c r="L3901" t="s">
        <v>12148</v>
      </c>
      <c r="M3901" t="s">
        <v>12149</v>
      </c>
      <c r="N3901" t="s">
        <v>36</v>
      </c>
      <c r="O3901" t="s">
        <v>134</v>
      </c>
      <c r="P3901" t="s">
        <v>461</v>
      </c>
      <c r="Q3901">
        <v>52</v>
      </c>
      <c r="R3901">
        <v>4.8999800000000002</v>
      </c>
    </row>
    <row r="3902" spans="1:18" x14ac:dyDescent="0.2">
      <c r="A3902" t="s">
        <v>7162</v>
      </c>
      <c r="B3902" t="s">
        <v>454</v>
      </c>
      <c r="C3902">
        <v>41</v>
      </c>
      <c r="D3902" s="1">
        <v>44062.695636574077</v>
      </c>
      <c r="E3902" t="s">
        <v>12150</v>
      </c>
      <c r="F3902" t="s">
        <v>7164</v>
      </c>
      <c r="G3902" t="s">
        <v>11971</v>
      </c>
      <c r="H3902" t="s">
        <v>7166</v>
      </c>
      <c r="I3902" t="s">
        <v>204</v>
      </c>
      <c r="J3902">
        <v>41</v>
      </c>
      <c r="K3902">
        <f>41-43-505-10-95</f>
        <v>-612</v>
      </c>
      <c r="L3902" t="s">
        <v>12151</v>
      </c>
      <c r="M3902" t="s">
        <v>12152</v>
      </c>
      <c r="N3902" t="s">
        <v>36</v>
      </c>
      <c r="O3902" t="s">
        <v>134</v>
      </c>
      <c r="P3902" t="s">
        <v>461</v>
      </c>
      <c r="Q3902">
        <v>52</v>
      </c>
      <c r="R3902">
        <v>4.8999800000000002</v>
      </c>
    </row>
    <row r="3903" spans="1:18" x14ac:dyDescent="0.2">
      <c r="A3903" t="s">
        <v>7162</v>
      </c>
      <c r="B3903" t="s">
        <v>454</v>
      </c>
      <c r="C3903">
        <v>32</v>
      </c>
      <c r="D3903" s="1">
        <v>44062.695497685185</v>
      </c>
      <c r="E3903" t="s">
        <v>12153</v>
      </c>
      <c r="F3903" t="s">
        <v>7164</v>
      </c>
      <c r="G3903" t="s">
        <v>11971</v>
      </c>
      <c r="H3903" t="s">
        <v>7166</v>
      </c>
      <c r="I3903" t="s">
        <v>4288</v>
      </c>
      <c r="J3903">
        <v>32</v>
      </c>
      <c r="K3903">
        <f>32-78-25-11-40</f>
        <v>-122</v>
      </c>
      <c r="L3903" t="s">
        <v>12154</v>
      </c>
      <c r="M3903" t="s">
        <v>12155</v>
      </c>
      <c r="N3903" t="s">
        <v>36</v>
      </c>
      <c r="O3903" t="s">
        <v>134</v>
      </c>
      <c r="P3903" t="s">
        <v>461</v>
      </c>
      <c r="Q3903">
        <v>52</v>
      </c>
      <c r="R3903">
        <v>4.8999800000000002</v>
      </c>
    </row>
    <row r="3904" spans="1:18" x14ac:dyDescent="0.2">
      <c r="A3904" t="s">
        <v>7162</v>
      </c>
      <c r="B3904" t="s">
        <v>454</v>
      </c>
      <c r="C3904">
        <v>31</v>
      </c>
      <c r="D3904" s="1">
        <v>44062.695983796293</v>
      </c>
      <c r="E3904" t="s">
        <v>12156</v>
      </c>
      <c r="F3904" t="s">
        <v>7164</v>
      </c>
      <c r="G3904" t="s">
        <v>11971</v>
      </c>
      <c r="H3904" t="s">
        <v>7166</v>
      </c>
      <c r="I3904" t="s">
        <v>461</v>
      </c>
      <c r="J3904">
        <v>31</v>
      </c>
      <c r="K3904">
        <f>31-76-220-7006</f>
        <v>-7271</v>
      </c>
      <c r="L3904" t="s">
        <v>12157</v>
      </c>
      <c r="M3904" t="s">
        <v>12158</v>
      </c>
      <c r="N3904" t="s">
        <v>5354</v>
      </c>
      <c r="O3904" t="s">
        <v>134</v>
      </c>
      <c r="P3904" t="s">
        <v>461</v>
      </c>
      <c r="Q3904">
        <v>52</v>
      </c>
      <c r="R3904">
        <v>4.8999800000000002</v>
      </c>
    </row>
    <row r="3905" spans="1:18" x14ac:dyDescent="0.2">
      <c r="A3905" t="s">
        <v>7162</v>
      </c>
      <c r="B3905" t="s">
        <v>454</v>
      </c>
      <c r="C3905">
        <v>32</v>
      </c>
      <c r="D3905" s="1">
        <v>44062.6953125</v>
      </c>
      <c r="E3905" t="s">
        <v>12136</v>
      </c>
      <c r="F3905" t="s">
        <v>7164</v>
      </c>
      <c r="G3905" t="s">
        <v>11971</v>
      </c>
      <c r="H3905" t="s">
        <v>7166</v>
      </c>
      <c r="I3905" t="s">
        <v>4288</v>
      </c>
      <c r="J3905">
        <v>32</v>
      </c>
      <c r="K3905">
        <f>32-78-25-11-40</f>
        <v>-122</v>
      </c>
      <c r="L3905" t="s">
        <v>12159</v>
      </c>
      <c r="M3905" t="s">
        <v>12160</v>
      </c>
      <c r="N3905" t="s">
        <v>36</v>
      </c>
      <c r="O3905" t="s">
        <v>134</v>
      </c>
      <c r="P3905" t="s">
        <v>461</v>
      </c>
      <c r="Q3905">
        <v>52</v>
      </c>
      <c r="R3905">
        <v>4.8999800000000002</v>
      </c>
    </row>
    <row r="3906" spans="1:18" x14ac:dyDescent="0.2">
      <c r="A3906" t="s">
        <v>7162</v>
      </c>
      <c r="B3906" t="s">
        <v>454</v>
      </c>
      <c r="C3906">
        <v>31</v>
      </c>
      <c r="D3906" s="1">
        <v>44061.869583333333</v>
      </c>
      <c r="E3906" t="s">
        <v>12145</v>
      </c>
      <c r="F3906" t="s">
        <v>7164</v>
      </c>
      <c r="G3906" t="s">
        <v>11971</v>
      </c>
      <c r="H3906" t="s">
        <v>7166</v>
      </c>
      <c r="I3906" t="s">
        <v>461</v>
      </c>
      <c r="J3906">
        <v>31</v>
      </c>
      <c r="K3906">
        <f>31-76-220-7006</f>
        <v>-7271</v>
      </c>
      <c r="L3906" t="s">
        <v>12161</v>
      </c>
      <c r="M3906" t="s">
        <v>12162</v>
      </c>
      <c r="N3906" t="s">
        <v>36</v>
      </c>
      <c r="O3906" t="s">
        <v>134</v>
      </c>
      <c r="P3906" t="s">
        <v>461</v>
      </c>
      <c r="Q3906">
        <v>52</v>
      </c>
      <c r="R3906">
        <v>4.8999800000000002</v>
      </c>
    </row>
    <row r="3907" spans="1:18" x14ac:dyDescent="0.2">
      <c r="A3907" t="s">
        <v>7162</v>
      </c>
      <c r="B3907" t="s">
        <v>454</v>
      </c>
      <c r="C3907">
        <v>31</v>
      </c>
      <c r="D3907" s="1">
        <v>44061.866400462961</v>
      </c>
      <c r="E3907" t="s">
        <v>12145</v>
      </c>
      <c r="F3907" t="s">
        <v>7164</v>
      </c>
      <c r="G3907" t="s">
        <v>11971</v>
      </c>
      <c r="H3907" t="s">
        <v>7166</v>
      </c>
      <c r="I3907" t="s">
        <v>461</v>
      </c>
      <c r="J3907">
        <v>31</v>
      </c>
      <c r="K3907">
        <f>31-76-220-7006</f>
        <v>-7271</v>
      </c>
      <c r="L3907" t="s">
        <v>12163</v>
      </c>
      <c r="M3907" t="s">
        <v>12164</v>
      </c>
      <c r="N3907" t="s">
        <v>36</v>
      </c>
      <c r="O3907" t="s">
        <v>134</v>
      </c>
      <c r="P3907" t="s">
        <v>461</v>
      </c>
      <c r="Q3907">
        <v>52</v>
      </c>
      <c r="R3907">
        <v>4.8999800000000002</v>
      </c>
    </row>
    <row r="3908" spans="1:18" x14ac:dyDescent="0.2">
      <c r="A3908" t="s">
        <v>7162</v>
      </c>
      <c r="B3908" t="s">
        <v>454</v>
      </c>
      <c r="C3908">
        <v>46</v>
      </c>
      <c r="D3908" s="1">
        <v>44061.863993055558</v>
      </c>
      <c r="E3908" t="s">
        <v>12131</v>
      </c>
      <c r="F3908" t="s">
        <v>7164</v>
      </c>
      <c r="G3908" t="s">
        <v>11971</v>
      </c>
      <c r="H3908" t="s">
        <v>7166</v>
      </c>
      <c r="I3908" t="s">
        <v>7680</v>
      </c>
      <c r="J3908">
        <v>46</v>
      </c>
      <c r="K3908">
        <f>46-10-138-93-96</f>
        <v>-291</v>
      </c>
      <c r="L3908" t="s">
        <v>12165</v>
      </c>
      <c r="M3908" t="s">
        <v>12166</v>
      </c>
      <c r="N3908" t="s">
        <v>36</v>
      </c>
      <c r="O3908" t="s">
        <v>134</v>
      </c>
      <c r="P3908" t="s">
        <v>461</v>
      </c>
      <c r="Q3908">
        <v>52</v>
      </c>
      <c r="R3908">
        <v>4.8999800000000002</v>
      </c>
    </row>
    <row r="3909" spans="1:18" x14ac:dyDescent="0.2">
      <c r="A3909" t="s">
        <v>7162</v>
      </c>
      <c r="B3909" t="s">
        <v>454</v>
      </c>
      <c r="C3909">
        <v>46</v>
      </c>
      <c r="D3909" s="1">
        <v>44061.818449074075</v>
      </c>
      <c r="E3909" t="s">
        <v>12131</v>
      </c>
      <c r="F3909" t="s">
        <v>7164</v>
      </c>
      <c r="G3909" t="s">
        <v>11971</v>
      </c>
      <c r="H3909" t="s">
        <v>7166</v>
      </c>
      <c r="I3909" t="s">
        <v>7680</v>
      </c>
      <c r="J3909">
        <v>46</v>
      </c>
      <c r="K3909">
        <f>46-10-138-93-96</f>
        <v>-291</v>
      </c>
      <c r="L3909" t="s">
        <v>12167</v>
      </c>
      <c r="M3909" t="s">
        <v>12168</v>
      </c>
      <c r="N3909" t="s">
        <v>36</v>
      </c>
      <c r="O3909" t="s">
        <v>134</v>
      </c>
      <c r="P3909" t="s">
        <v>461</v>
      </c>
      <c r="Q3909">
        <v>52</v>
      </c>
      <c r="R3909">
        <v>4.8999800000000002</v>
      </c>
    </row>
    <row r="3910" spans="1:18" x14ac:dyDescent="0.2">
      <c r="A3910" t="s">
        <v>7162</v>
      </c>
      <c r="B3910" t="s">
        <v>454</v>
      </c>
      <c r="C3910">
        <v>46</v>
      </c>
      <c r="D3910" s="1">
        <v>44061.818124999998</v>
      </c>
      <c r="E3910" t="s">
        <v>12169</v>
      </c>
      <c r="F3910" t="s">
        <v>7164</v>
      </c>
      <c r="G3910" t="s">
        <v>11971</v>
      </c>
      <c r="H3910" t="s">
        <v>7166</v>
      </c>
      <c r="I3910" t="s">
        <v>7680</v>
      </c>
      <c r="J3910">
        <v>46</v>
      </c>
      <c r="K3910">
        <f>46-10-138-93-96</f>
        <v>-291</v>
      </c>
      <c r="L3910" t="s">
        <v>12170</v>
      </c>
      <c r="M3910" t="s">
        <v>12171</v>
      </c>
      <c r="N3910" t="s">
        <v>36</v>
      </c>
      <c r="O3910" t="s">
        <v>134</v>
      </c>
      <c r="P3910" t="s">
        <v>461</v>
      </c>
      <c r="Q3910">
        <v>52</v>
      </c>
      <c r="R3910">
        <v>4.8999800000000002</v>
      </c>
    </row>
    <row r="3911" spans="1:18" x14ac:dyDescent="0.2">
      <c r="A3911" t="s">
        <v>7162</v>
      </c>
      <c r="B3911" t="s">
        <v>454</v>
      </c>
      <c r="C3911">
        <v>46</v>
      </c>
      <c r="D3911" s="1">
        <v>44061.818078703705</v>
      </c>
      <c r="E3911" t="s">
        <v>12172</v>
      </c>
      <c r="F3911" t="s">
        <v>7164</v>
      </c>
      <c r="G3911" t="s">
        <v>11971</v>
      </c>
      <c r="H3911" t="s">
        <v>7166</v>
      </c>
      <c r="I3911" t="s">
        <v>7680</v>
      </c>
      <c r="J3911">
        <v>46</v>
      </c>
      <c r="K3911">
        <f>46-10-138-93-96</f>
        <v>-291</v>
      </c>
      <c r="L3911" t="s">
        <v>12173</v>
      </c>
      <c r="M3911" t="s">
        <v>12174</v>
      </c>
      <c r="N3911" t="s">
        <v>36</v>
      </c>
      <c r="O3911" t="s">
        <v>134</v>
      </c>
      <c r="P3911" t="s">
        <v>461</v>
      </c>
      <c r="Q3911">
        <v>52</v>
      </c>
      <c r="R3911">
        <v>4.8999800000000002</v>
      </c>
    </row>
    <row r="3912" spans="1:18" x14ac:dyDescent="0.2">
      <c r="A3912" t="s">
        <v>7162</v>
      </c>
      <c r="B3912" t="s">
        <v>454</v>
      </c>
      <c r="C3912">
        <v>46</v>
      </c>
      <c r="D3912" s="1">
        <v>44061.817777777775</v>
      </c>
      <c r="E3912" t="s">
        <v>12175</v>
      </c>
      <c r="F3912" t="s">
        <v>7164</v>
      </c>
      <c r="G3912" t="s">
        <v>11971</v>
      </c>
      <c r="H3912" t="s">
        <v>7166</v>
      </c>
      <c r="I3912" t="s">
        <v>7680</v>
      </c>
      <c r="J3912">
        <v>46</v>
      </c>
      <c r="K3912">
        <f>46-10-138-93-96</f>
        <v>-291</v>
      </c>
      <c r="L3912" t="s">
        <v>12176</v>
      </c>
      <c r="M3912" t="s">
        <v>12177</v>
      </c>
      <c r="N3912" t="s">
        <v>36</v>
      </c>
      <c r="O3912" t="s">
        <v>134</v>
      </c>
      <c r="P3912" t="s">
        <v>461</v>
      </c>
      <c r="Q3912">
        <v>52</v>
      </c>
      <c r="R3912">
        <v>4.8999800000000002</v>
      </c>
    </row>
    <row r="3913" spans="1:18" x14ac:dyDescent="0.2">
      <c r="A3913" t="s">
        <v>7162</v>
      </c>
      <c r="B3913" t="s">
        <v>454</v>
      </c>
      <c r="C3913">
        <v>32</v>
      </c>
      <c r="D3913" s="1">
        <v>44061.817002314812</v>
      </c>
      <c r="E3913" t="s">
        <v>12178</v>
      </c>
      <c r="F3913" t="s">
        <v>7164</v>
      </c>
      <c r="G3913" t="s">
        <v>11971</v>
      </c>
      <c r="H3913" t="s">
        <v>7166</v>
      </c>
      <c r="I3913" t="s">
        <v>4288</v>
      </c>
      <c r="J3913">
        <v>32</v>
      </c>
      <c r="K3913">
        <f>32-78-25-11-40</f>
        <v>-122</v>
      </c>
      <c r="L3913" t="s">
        <v>12179</v>
      </c>
      <c r="M3913" t="s">
        <v>12180</v>
      </c>
      <c r="N3913" t="s">
        <v>36</v>
      </c>
      <c r="O3913" t="s">
        <v>134</v>
      </c>
      <c r="P3913" t="s">
        <v>461</v>
      </c>
      <c r="Q3913">
        <v>52</v>
      </c>
      <c r="R3913">
        <v>4.8999800000000002</v>
      </c>
    </row>
    <row r="3914" spans="1:18" x14ac:dyDescent="0.2">
      <c r="A3914" t="s">
        <v>7162</v>
      </c>
      <c r="B3914" t="s">
        <v>454</v>
      </c>
      <c r="C3914">
        <v>46</v>
      </c>
      <c r="D3914" s="1">
        <v>44061.81658564815</v>
      </c>
      <c r="E3914" t="s">
        <v>12181</v>
      </c>
      <c r="F3914" t="s">
        <v>7164</v>
      </c>
      <c r="G3914" t="s">
        <v>11971</v>
      </c>
      <c r="H3914" t="s">
        <v>7166</v>
      </c>
      <c r="I3914" t="s">
        <v>7680</v>
      </c>
      <c r="J3914">
        <v>46</v>
      </c>
      <c r="K3914">
        <f>46-10-138-93-96</f>
        <v>-291</v>
      </c>
      <c r="L3914" t="s">
        <v>12182</v>
      </c>
      <c r="M3914" t="s">
        <v>12183</v>
      </c>
      <c r="N3914" t="s">
        <v>36</v>
      </c>
      <c r="O3914" t="s">
        <v>134</v>
      </c>
      <c r="P3914" t="s">
        <v>461</v>
      </c>
      <c r="Q3914">
        <v>52</v>
      </c>
      <c r="R3914">
        <v>4.8999800000000002</v>
      </c>
    </row>
    <row r="3915" spans="1:18" x14ac:dyDescent="0.2">
      <c r="A3915" t="s">
        <v>7162</v>
      </c>
      <c r="B3915" t="s">
        <v>454</v>
      </c>
      <c r="C3915">
        <v>31</v>
      </c>
      <c r="D3915" s="1">
        <v>44061.816238425927</v>
      </c>
      <c r="E3915" t="s">
        <v>12145</v>
      </c>
      <c r="F3915" t="s">
        <v>7164</v>
      </c>
      <c r="G3915" t="s">
        <v>11971</v>
      </c>
      <c r="H3915" t="s">
        <v>7166</v>
      </c>
      <c r="I3915" t="s">
        <v>461</v>
      </c>
      <c r="J3915">
        <v>31</v>
      </c>
      <c r="K3915">
        <f>31-76-220-7006</f>
        <v>-7271</v>
      </c>
      <c r="L3915" t="s">
        <v>12184</v>
      </c>
      <c r="M3915" t="s">
        <v>12185</v>
      </c>
      <c r="N3915" t="s">
        <v>36</v>
      </c>
      <c r="O3915" t="s">
        <v>134</v>
      </c>
      <c r="P3915" t="s">
        <v>461</v>
      </c>
      <c r="Q3915">
        <v>52</v>
      </c>
      <c r="R3915">
        <v>4.8999800000000002</v>
      </c>
    </row>
    <row r="3916" spans="1:18" x14ac:dyDescent="0.2">
      <c r="A3916" t="s">
        <v>7162</v>
      </c>
      <c r="B3916" t="s">
        <v>454</v>
      </c>
      <c r="C3916">
        <v>31</v>
      </c>
      <c r="D3916" s="1">
        <v>44061.815578703703</v>
      </c>
      <c r="E3916" t="s">
        <v>12039</v>
      </c>
      <c r="F3916" t="s">
        <v>7164</v>
      </c>
      <c r="G3916" t="s">
        <v>11971</v>
      </c>
      <c r="H3916" t="s">
        <v>7166</v>
      </c>
      <c r="I3916" t="s">
        <v>461</v>
      </c>
      <c r="J3916">
        <v>31</v>
      </c>
      <c r="K3916">
        <f>31-76-220-7006</f>
        <v>-7271</v>
      </c>
      <c r="L3916" t="s">
        <v>12186</v>
      </c>
      <c r="M3916" t="s">
        <v>12187</v>
      </c>
      <c r="N3916" t="s">
        <v>5354</v>
      </c>
      <c r="O3916" t="s">
        <v>134</v>
      </c>
      <c r="P3916" t="s">
        <v>461</v>
      </c>
      <c r="Q3916">
        <v>52</v>
      </c>
      <c r="R3916">
        <v>4.8999800000000002</v>
      </c>
    </row>
    <row r="3917" spans="1:18" x14ac:dyDescent="0.2">
      <c r="A3917" t="s">
        <v>7162</v>
      </c>
      <c r="B3917" t="s">
        <v>454</v>
      </c>
      <c r="C3917">
        <v>31</v>
      </c>
      <c r="D3917" s="1">
        <v>44061.814745370371</v>
      </c>
      <c r="E3917" t="s">
        <v>11980</v>
      </c>
      <c r="F3917" t="s">
        <v>7164</v>
      </c>
      <c r="G3917" t="s">
        <v>11971</v>
      </c>
      <c r="H3917" t="s">
        <v>7166</v>
      </c>
      <c r="I3917" t="s">
        <v>461</v>
      </c>
      <c r="J3917">
        <v>31</v>
      </c>
      <c r="K3917">
        <f>31-76-220-7006</f>
        <v>-7271</v>
      </c>
      <c r="L3917" t="s">
        <v>12188</v>
      </c>
      <c r="M3917" t="s">
        <v>12189</v>
      </c>
      <c r="N3917" t="s">
        <v>36</v>
      </c>
      <c r="O3917" t="s">
        <v>134</v>
      </c>
      <c r="P3917" t="s">
        <v>461</v>
      </c>
      <c r="Q3917">
        <v>52</v>
      </c>
      <c r="R3917">
        <v>4.8999800000000002</v>
      </c>
    </row>
    <row r="3918" spans="1:18" x14ac:dyDescent="0.2">
      <c r="A3918" t="s">
        <v>7162</v>
      </c>
      <c r="B3918" t="s">
        <v>454</v>
      </c>
      <c r="C3918">
        <v>1</v>
      </c>
      <c r="D3918" s="1">
        <v>44056.15388888889</v>
      </c>
      <c r="E3918" t="s">
        <v>12175</v>
      </c>
      <c r="F3918" t="s">
        <v>7164</v>
      </c>
      <c r="G3918" t="s">
        <v>11971</v>
      </c>
      <c r="H3918" t="s">
        <v>7166</v>
      </c>
      <c r="I3918" t="s">
        <v>29</v>
      </c>
      <c r="J3918">
        <v>1</v>
      </c>
      <c r="K3918">
        <f>1-32-78-25-11-40</f>
        <v>-185</v>
      </c>
      <c r="L3918" t="s">
        <v>12190</v>
      </c>
      <c r="M3918" t="s">
        <v>12191</v>
      </c>
      <c r="N3918" t="s">
        <v>36</v>
      </c>
      <c r="O3918" t="s">
        <v>134</v>
      </c>
      <c r="P3918" t="s">
        <v>461</v>
      </c>
      <c r="Q3918">
        <v>52</v>
      </c>
      <c r="R3918">
        <v>4.8999800000000002</v>
      </c>
    </row>
    <row r="3919" spans="1:18" x14ac:dyDescent="0.2">
      <c r="A3919" t="s">
        <v>7162</v>
      </c>
      <c r="B3919" t="s">
        <v>454</v>
      </c>
      <c r="C3919">
        <v>1</v>
      </c>
      <c r="D3919" s="1">
        <v>44056.153564814813</v>
      </c>
      <c r="E3919" t="s">
        <v>12192</v>
      </c>
      <c r="F3919" t="s">
        <v>7164</v>
      </c>
      <c r="G3919" t="s">
        <v>11971</v>
      </c>
      <c r="H3919" t="s">
        <v>7166</v>
      </c>
      <c r="I3919" t="s">
        <v>29</v>
      </c>
      <c r="J3919">
        <v>1</v>
      </c>
      <c r="K3919">
        <f>1-32-78-25-11-40</f>
        <v>-185</v>
      </c>
      <c r="L3919" t="s">
        <v>12193</v>
      </c>
      <c r="M3919" t="s">
        <v>12194</v>
      </c>
      <c r="N3919" t="s">
        <v>36</v>
      </c>
      <c r="O3919" t="s">
        <v>134</v>
      </c>
      <c r="P3919" t="s">
        <v>461</v>
      </c>
      <c r="Q3919">
        <v>52</v>
      </c>
      <c r="R3919">
        <v>4.8999800000000002</v>
      </c>
    </row>
    <row r="3920" spans="1:18" x14ac:dyDescent="0.2">
      <c r="A3920" t="s">
        <v>7162</v>
      </c>
      <c r="B3920" t="s">
        <v>454</v>
      </c>
      <c r="C3920">
        <v>358</v>
      </c>
      <c r="D3920" s="1">
        <v>44056.153460648151</v>
      </c>
      <c r="E3920" t="s">
        <v>12195</v>
      </c>
      <c r="F3920" t="s">
        <v>7164</v>
      </c>
      <c r="G3920" t="s">
        <v>11971</v>
      </c>
      <c r="H3920" t="s">
        <v>7166</v>
      </c>
      <c r="I3920" t="s">
        <v>6238</v>
      </c>
      <c r="J3920">
        <v>358</v>
      </c>
      <c r="K3920">
        <f>358-3-41091639</f>
        <v>-41091284</v>
      </c>
      <c r="L3920" t="s">
        <v>12196</v>
      </c>
      <c r="M3920" t="s">
        <v>12197</v>
      </c>
      <c r="N3920" t="s">
        <v>36</v>
      </c>
      <c r="O3920" t="s">
        <v>134</v>
      </c>
      <c r="P3920" t="s">
        <v>461</v>
      </c>
      <c r="Q3920">
        <v>52</v>
      </c>
      <c r="R3920">
        <v>4.8999800000000002</v>
      </c>
    </row>
    <row r="3921" spans="1:18" x14ac:dyDescent="0.2">
      <c r="A3921" t="s">
        <v>7162</v>
      </c>
      <c r="B3921" t="s">
        <v>454</v>
      </c>
      <c r="C3921">
        <v>46</v>
      </c>
      <c r="D3921" s="1">
        <v>44056.153287037036</v>
      </c>
      <c r="E3921" t="s">
        <v>12198</v>
      </c>
      <c r="F3921" t="s">
        <v>7164</v>
      </c>
      <c r="G3921" t="s">
        <v>11971</v>
      </c>
      <c r="H3921" t="s">
        <v>7166</v>
      </c>
      <c r="I3921" t="s">
        <v>7680</v>
      </c>
      <c r="J3921">
        <v>46</v>
      </c>
      <c r="K3921">
        <f>46-10-138-93-96</f>
        <v>-291</v>
      </c>
      <c r="L3921" t="s">
        <v>12199</v>
      </c>
      <c r="M3921" t="s">
        <v>12200</v>
      </c>
      <c r="N3921" t="s">
        <v>36</v>
      </c>
      <c r="O3921" t="s">
        <v>134</v>
      </c>
      <c r="P3921" t="s">
        <v>461</v>
      </c>
      <c r="Q3921">
        <v>52</v>
      </c>
      <c r="R3921">
        <v>4.8999800000000002</v>
      </c>
    </row>
    <row r="3922" spans="1:18" x14ac:dyDescent="0.2">
      <c r="A3922" t="s">
        <v>7162</v>
      </c>
      <c r="B3922" t="s">
        <v>454</v>
      </c>
      <c r="C3922">
        <v>46</v>
      </c>
      <c r="D3922" s="1">
        <v>44053.773460648146</v>
      </c>
      <c r="E3922" t="s">
        <v>12201</v>
      </c>
      <c r="F3922" t="s">
        <v>7164</v>
      </c>
      <c r="G3922" t="s">
        <v>11971</v>
      </c>
      <c r="H3922" t="s">
        <v>7166</v>
      </c>
      <c r="I3922" t="s">
        <v>7680</v>
      </c>
      <c r="J3922">
        <v>46</v>
      </c>
      <c r="K3922">
        <f>46-10-138-93-96</f>
        <v>-291</v>
      </c>
      <c r="L3922" t="s">
        <v>12202</v>
      </c>
      <c r="M3922" t="s">
        <v>12203</v>
      </c>
      <c r="N3922" t="s">
        <v>5354</v>
      </c>
      <c r="O3922" t="s">
        <v>134</v>
      </c>
      <c r="P3922" t="s">
        <v>461</v>
      </c>
      <c r="Q3922">
        <v>52</v>
      </c>
      <c r="R3922">
        <v>4.8999800000000002</v>
      </c>
    </row>
    <row r="3923" spans="1:18" x14ac:dyDescent="0.2">
      <c r="A3923" t="s">
        <v>7162</v>
      </c>
      <c r="B3923" t="s">
        <v>454</v>
      </c>
      <c r="C3923">
        <v>32</v>
      </c>
      <c r="D3923" s="1">
        <v>44053.773206018515</v>
      </c>
      <c r="E3923" t="s">
        <v>12204</v>
      </c>
      <c r="F3923" t="s">
        <v>7164</v>
      </c>
      <c r="G3923" t="s">
        <v>11971</v>
      </c>
      <c r="H3923" t="s">
        <v>7166</v>
      </c>
      <c r="I3923" t="s">
        <v>4288</v>
      </c>
      <c r="J3923">
        <v>32</v>
      </c>
      <c r="K3923">
        <f>32-78-25-11-40</f>
        <v>-122</v>
      </c>
      <c r="L3923" t="s">
        <v>12205</v>
      </c>
      <c r="M3923" t="s">
        <v>12206</v>
      </c>
      <c r="N3923" t="s">
        <v>36</v>
      </c>
      <c r="O3923" t="s">
        <v>134</v>
      </c>
      <c r="P3923" t="s">
        <v>461</v>
      </c>
      <c r="Q3923">
        <v>52</v>
      </c>
      <c r="R3923">
        <v>4.8999800000000002</v>
      </c>
    </row>
    <row r="3924" spans="1:18" x14ac:dyDescent="0.2">
      <c r="A3924" t="s">
        <v>7162</v>
      </c>
      <c r="B3924" t="s">
        <v>454</v>
      </c>
      <c r="C3924">
        <v>46</v>
      </c>
      <c r="D3924" s="1">
        <v>44053.772418981483</v>
      </c>
      <c r="E3924" t="s">
        <v>12207</v>
      </c>
      <c r="F3924" t="s">
        <v>7164</v>
      </c>
      <c r="G3924" t="s">
        <v>11971</v>
      </c>
      <c r="H3924" t="s">
        <v>7166</v>
      </c>
      <c r="I3924" t="s">
        <v>7680</v>
      </c>
      <c r="J3924">
        <v>46</v>
      </c>
      <c r="K3924">
        <f>46-10-138-93-96</f>
        <v>-291</v>
      </c>
      <c r="L3924" t="s">
        <v>12208</v>
      </c>
      <c r="M3924" t="s">
        <v>12209</v>
      </c>
      <c r="N3924" t="s">
        <v>36</v>
      </c>
      <c r="O3924" t="s">
        <v>134</v>
      </c>
      <c r="P3924" t="s">
        <v>461</v>
      </c>
      <c r="Q3924">
        <v>52</v>
      </c>
      <c r="R3924">
        <v>4.8999800000000002</v>
      </c>
    </row>
    <row r="3925" spans="1:18" x14ac:dyDescent="0.2">
      <c r="A3925" t="s">
        <v>7162</v>
      </c>
      <c r="B3925" t="s">
        <v>454</v>
      </c>
      <c r="C3925">
        <v>1</v>
      </c>
      <c r="D3925" s="1">
        <v>44053.143842592595</v>
      </c>
      <c r="E3925" t="s">
        <v>12009</v>
      </c>
      <c r="F3925" t="s">
        <v>7164</v>
      </c>
      <c r="G3925" t="s">
        <v>11971</v>
      </c>
      <c r="H3925" t="s">
        <v>7166</v>
      </c>
      <c r="I3925" t="s">
        <v>29</v>
      </c>
      <c r="J3925">
        <v>1</v>
      </c>
      <c r="K3925">
        <f>1-32-78-25-11-40</f>
        <v>-185</v>
      </c>
      <c r="L3925" t="s">
        <v>12210</v>
      </c>
      <c r="M3925" t="s">
        <v>12211</v>
      </c>
      <c r="N3925" t="s">
        <v>36</v>
      </c>
      <c r="O3925" t="s">
        <v>134</v>
      </c>
      <c r="P3925" t="s">
        <v>461</v>
      </c>
      <c r="Q3925">
        <v>52</v>
      </c>
      <c r="R3925">
        <v>4.8999800000000002</v>
      </c>
    </row>
    <row r="3926" spans="1:18" x14ac:dyDescent="0.2">
      <c r="A3926" t="s">
        <v>7162</v>
      </c>
      <c r="B3926" t="s">
        <v>454</v>
      </c>
      <c r="C3926">
        <v>31</v>
      </c>
      <c r="D3926" s="1">
        <v>44051.942708333336</v>
      </c>
      <c r="E3926" t="s">
        <v>12212</v>
      </c>
      <c r="F3926" t="s">
        <v>7164</v>
      </c>
      <c r="G3926" t="s">
        <v>11971</v>
      </c>
      <c r="H3926" t="s">
        <v>7166</v>
      </c>
      <c r="I3926" t="s">
        <v>461</v>
      </c>
      <c r="J3926">
        <v>31</v>
      </c>
      <c r="K3926">
        <f>31-76-220-7006</f>
        <v>-7271</v>
      </c>
      <c r="L3926" t="s">
        <v>12213</v>
      </c>
      <c r="M3926" t="s">
        <v>12214</v>
      </c>
      <c r="N3926" t="s">
        <v>36</v>
      </c>
      <c r="O3926" t="s">
        <v>134</v>
      </c>
      <c r="P3926" t="s">
        <v>461</v>
      </c>
      <c r="Q3926">
        <v>52</v>
      </c>
      <c r="R3926">
        <v>4.8999800000000002</v>
      </c>
    </row>
    <row r="3927" spans="1:18" x14ac:dyDescent="0.2">
      <c r="A3927" t="s">
        <v>7162</v>
      </c>
      <c r="B3927" t="s">
        <v>454</v>
      </c>
      <c r="C3927">
        <v>41</v>
      </c>
      <c r="D3927" s="1">
        <v>44049.91978009259</v>
      </c>
      <c r="E3927" t="s">
        <v>12212</v>
      </c>
      <c r="F3927" t="s">
        <v>7164</v>
      </c>
      <c r="G3927" t="s">
        <v>11971</v>
      </c>
      <c r="H3927" t="s">
        <v>7166</v>
      </c>
      <c r="I3927" t="s">
        <v>204</v>
      </c>
      <c r="J3927">
        <v>41</v>
      </c>
      <c r="K3927">
        <f>41-43-505-10-95</f>
        <v>-612</v>
      </c>
      <c r="L3927" t="s">
        <v>12215</v>
      </c>
      <c r="M3927" t="s">
        <v>12216</v>
      </c>
      <c r="N3927" t="s">
        <v>36</v>
      </c>
      <c r="O3927" t="s">
        <v>134</v>
      </c>
      <c r="P3927" t="s">
        <v>461</v>
      </c>
      <c r="Q3927">
        <v>52</v>
      </c>
      <c r="R3927">
        <v>4.8999800000000002</v>
      </c>
    </row>
    <row r="3928" spans="1:18" x14ac:dyDescent="0.2">
      <c r="A3928" t="s">
        <v>7162</v>
      </c>
      <c r="B3928" t="s">
        <v>454</v>
      </c>
      <c r="C3928">
        <v>46</v>
      </c>
      <c r="D3928" s="1">
        <v>44049.88890046296</v>
      </c>
      <c r="E3928" t="s">
        <v>12217</v>
      </c>
      <c r="F3928" t="s">
        <v>7164</v>
      </c>
      <c r="G3928" t="s">
        <v>11971</v>
      </c>
      <c r="H3928" t="s">
        <v>7166</v>
      </c>
      <c r="I3928" t="s">
        <v>7680</v>
      </c>
      <c r="J3928">
        <v>46</v>
      </c>
      <c r="K3928">
        <f>46-10-138-93-96</f>
        <v>-291</v>
      </c>
      <c r="L3928" t="s">
        <v>12218</v>
      </c>
      <c r="M3928" t="s">
        <v>12219</v>
      </c>
      <c r="N3928" t="s">
        <v>36</v>
      </c>
      <c r="O3928" t="s">
        <v>134</v>
      </c>
      <c r="P3928" t="s">
        <v>461</v>
      </c>
      <c r="Q3928">
        <v>52</v>
      </c>
      <c r="R3928">
        <v>4.8999800000000002</v>
      </c>
    </row>
    <row r="3929" spans="1:18" x14ac:dyDescent="0.2">
      <c r="A3929" t="s">
        <v>7162</v>
      </c>
      <c r="B3929" t="s">
        <v>454</v>
      </c>
      <c r="C3929">
        <v>358</v>
      </c>
      <c r="D3929" s="1">
        <v>44049.58556712963</v>
      </c>
      <c r="E3929" t="s">
        <v>12212</v>
      </c>
      <c r="F3929" t="s">
        <v>7164</v>
      </c>
      <c r="G3929" t="s">
        <v>11971</v>
      </c>
      <c r="H3929" t="s">
        <v>7166</v>
      </c>
      <c r="I3929" t="s">
        <v>6238</v>
      </c>
      <c r="J3929">
        <v>358</v>
      </c>
      <c r="K3929">
        <f>358-3-41091639</f>
        <v>-41091284</v>
      </c>
      <c r="L3929" t="s">
        <v>12220</v>
      </c>
      <c r="M3929" t="s">
        <v>12221</v>
      </c>
      <c r="N3929" t="s">
        <v>36</v>
      </c>
      <c r="O3929" t="s">
        <v>134</v>
      </c>
      <c r="P3929" t="s">
        <v>461</v>
      </c>
      <c r="Q3929">
        <v>52</v>
      </c>
      <c r="R3929">
        <v>4.8999800000000002</v>
      </c>
    </row>
    <row r="3930" spans="1:18" x14ac:dyDescent="0.2">
      <c r="A3930" t="s">
        <v>7162</v>
      </c>
      <c r="B3930" t="s">
        <v>454</v>
      </c>
      <c r="C3930">
        <v>31</v>
      </c>
      <c r="D3930" s="1">
        <v>44049.557905092595</v>
      </c>
      <c r="E3930" t="s">
        <v>12212</v>
      </c>
      <c r="F3930" t="s">
        <v>7164</v>
      </c>
      <c r="G3930" t="s">
        <v>11971</v>
      </c>
      <c r="H3930" t="s">
        <v>7166</v>
      </c>
      <c r="I3930" t="s">
        <v>461</v>
      </c>
      <c r="J3930">
        <v>31</v>
      </c>
      <c r="K3930">
        <f>31-76-220-7006</f>
        <v>-7271</v>
      </c>
      <c r="L3930" t="s">
        <v>12222</v>
      </c>
      <c r="M3930" t="s">
        <v>12223</v>
      </c>
      <c r="N3930" t="s">
        <v>36</v>
      </c>
      <c r="O3930" t="s">
        <v>134</v>
      </c>
      <c r="P3930" t="s">
        <v>461</v>
      </c>
      <c r="Q3930">
        <v>52</v>
      </c>
      <c r="R3930">
        <v>4.8999800000000002</v>
      </c>
    </row>
    <row r="3931" spans="1:18" x14ac:dyDescent="0.2">
      <c r="A3931" t="s">
        <v>7162</v>
      </c>
      <c r="B3931" t="s">
        <v>454</v>
      </c>
      <c r="C3931">
        <v>46</v>
      </c>
      <c r="D3931" s="1">
        <v>44049.557835648149</v>
      </c>
      <c r="E3931" t="s">
        <v>12212</v>
      </c>
      <c r="F3931" t="s">
        <v>7164</v>
      </c>
      <c r="G3931" t="s">
        <v>11971</v>
      </c>
      <c r="H3931" t="s">
        <v>7166</v>
      </c>
      <c r="I3931" t="s">
        <v>7680</v>
      </c>
      <c r="J3931">
        <v>46</v>
      </c>
      <c r="K3931">
        <f>46-10-138-93-96</f>
        <v>-291</v>
      </c>
      <c r="L3931" t="s">
        <v>12224</v>
      </c>
      <c r="M3931" t="s">
        <v>12225</v>
      </c>
      <c r="N3931" t="s">
        <v>36</v>
      </c>
      <c r="O3931" t="s">
        <v>134</v>
      </c>
      <c r="P3931" t="s">
        <v>461</v>
      </c>
      <c r="Q3931">
        <v>52</v>
      </c>
      <c r="R3931">
        <v>4.8999800000000002</v>
      </c>
    </row>
    <row r="3932" spans="1:18" x14ac:dyDescent="0.2">
      <c r="A3932" t="s">
        <v>7162</v>
      </c>
      <c r="B3932" t="s">
        <v>454</v>
      </c>
      <c r="C3932">
        <v>41</v>
      </c>
      <c r="D3932" s="1">
        <v>44049.535543981481</v>
      </c>
      <c r="E3932" t="s">
        <v>12212</v>
      </c>
      <c r="F3932" t="s">
        <v>7164</v>
      </c>
      <c r="G3932" t="s">
        <v>11971</v>
      </c>
      <c r="H3932" t="s">
        <v>7166</v>
      </c>
      <c r="I3932" t="s">
        <v>204</v>
      </c>
      <c r="J3932">
        <v>41</v>
      </c>
      <c r="K3932">
        <f>41-43-505-10-95</f>
        <v>-612</v>
      </c>
      <c r="L3932" t="s">
        <v>12226</v>
      </c>
      <c r="M3932" t="s">
        <v>12227</v>
      </c>
      <c r="N3932" t="s">
        <v>36</v>
      </c>
      <c r="O3932" t="s">
        <v>134</v>
      </c>
      <c r="P3932" t="s">
        <v>461</v>
      </c>
      <c r="Q3932">
        <v>52</v>
      </c>
      <c r="R3932">
        <v>4.8999800000000002</v>
      </c>
    </row>
    <row r="3933" spans="1:18" x14ac:dyDescent="0.2">
      <c r="A3933" t="s">
        <v>7162</v>
      </c>
      <c r="B3933" t="s">
        <v>454</v>
      </c>
      <c r="C3933">
        <v>358</v>
      </c>
      <c r="D3933" s="1">
        <v>44049.557766203703</v>
      </c>
      <c r="E3933" t="s">
        <v>12212</v>
      </c>
      <c r="F3933" t="s">
        <v>7164</v>
      </c>
      <c r="G3933" t="s">
        <v>11971</v>
      </c>
      <c r="H3933" t="s">
        <v>7166</v>
      </c>
      <c r="I3933" t="s">
        <v>6238</v>
      </c>
      <c r="J3933">
        <v>358</v>
      </c>
      <c r="K3933">
        <f>358-3-41091639</f>
        <v>-41091284</v>
      </c>
      <c r="L3933" t="s">
        <v>12228</v>
      </c>
      <c r="M3933" t="s">
        <v>12229</v>
      </c>
      <c r="N3933" t="s">
        <v>36</v>
      </c>
      <c r="O3933" t="s">
        <v>134</v>
      </c>
      <c r="P3933" t="s">
        <v>461</v>
      </c>
      <c r="Q3933">
        <v>52</v>
      </c>
      <c r="R3933">
        <v>4.8999800000000002</v>
      </c>
    </row>
    <row r="3934" spans="1:18" x14ac:dyDescent="0.2">
      <c r="A3934" t="s">
        <v>7162</v>
      </c>
      <c r="B3934" t="s">
        <v>454</v>
      </c>
      <c r="C3934">
        <v>32</v>
      </c>
      <c r="D3934" s="1">
        <v>44049.557650462964</v>
      </c>
      <c r="E3934" t="s">
        <v>12212</v>
      </c>
      <c r="F3934" t="s">
        <v>7164</v>
      </c>
      <c r="G3934" t="s">
        <v>11971</v>
      </c>
      <c r="H3934" t="s">
        <v>7166</v>
      </c>
      <c r="I3934" t="s">
        <v>4288</v>
      </c>
      <c r="J3934">
        <v>32</v>
      </c>
      <c r="K3934">
        <f>32-78-25-11-40</f>
        <v>-122</v>
      </c>
      <c r="L3934" t="s">
        <v>12230</v>
      </c>
      <c r="M3934" t="s">
        <v>12231</v>
      </c>
      <c r="N3934" t="s">
        <v>36</v>
      </c>
      <c r="O3934" t="s">
        <v>134</v>
      </c>
      <c r="P3934" t="s">
        <v>461</v>
      </c>
      <c r="Q3934">
        <v>52</v>
      </c>
      <c r="R3934">
        <v>4.8999800000000002</v>
      </c>
    </row>
    <row r="3935" spans="1:18" x14ac:dyDescent="0.2">
      <c r="A3935" t="s">
        <v>7162</v>
      </c>
      <c r="B3935" t="s">
        <v>454</v>
      </c>
      <c r="C3935">
        <v>358</v>
      </c>
      <c r="D3935" s="1">
        <v>44048.597384259258</v>
      </c>
      <c r="E3935" t="s">
        <v>12232</v>
      </c>
      <c r="F3935" t="s">
        <v>7164</v>
      </c>
      <c r="G3935" t="s">
        <v>11971</v>
      </c>
      <c r="H3935" t="s">
        <v>7166</v>
      </c>
      <c r="I3935" t="s">
        <v>6238</v>
      </c>
      <c r="J3935">
        <v>358</v>
      </c>
      <c r="K3935">
        <f>358-3-41091639</f>
        <v>-41091284</v>
      </c>
      <c r="L3935" t="s">
        <v>12233</v>
      </c>
      <c r="M3935" t="s">
        <v>12234</v>
      </c>
      <c r="N3935" t="s">
        <v>5354</v>
      </c>
      <c r="O3935" t="s">
        <v>134</v>
      </c>
      <c r="P3935" t="s">
        <v>461</v>
      </c>
      <c r="Q3935">
        <v>52</v>
      </c>
      <c r="R3935">
        <v>4.8999800000000002</v>
      </c>
    </row>
    <row r="3936" spans="1:18" x14ac:dyDescent="0.2">
      <c r="A3936" t="s">
        <v>7162</v>
      </c>
      <c r="B3936" t="s">
        <v>454</v>
      </c>
      <c r="C3936">
        <v>31</v>
      </c>
      <c r="D3936" s="1">
        <v>44048.537928240738</v>
      </c>
      <c r="E3936" t="s">
        <v>12235</v>
      </c>
      <c r="F3936" t="s">
        <v>7164</v>
      </c>
      <c r="G3936" t="s">
        <v>11971</v>
      </c>
      <c r="H3936" t="s">
        <v>7166</v>
      </c>
      <c r="I3936" t="s">
        <v>461</v>
      </c>
      <c r="J3936">
        <v>31</v>
      </c>
      <c r="K3936">
        <f>31-76-220-7006</f>
        <v>-7271</v>
      </c>
      <c r="L3936" t="s">
        <v>12236</v>
      </c>
      <c r="M3936" t="s">
        <v>12237</v>
      </c>
      <c r="N3936" t="s">
        <v>36</v>
      </c>
      <c r="O3936" t="s">
        <v>134</v>
      </c>
      <c r="P3936" t="s">
        <v>461</v>
      </c>
      <c r="Q3936">
        <v>52</v>
      </c>
      <c r="R3936">
        <v>4.8999800000000002</v>
      </c>
    </row>
    <row r="3937" spans="1:18" x14ac:dyDescent="0.2">
      <c r="A3937" t="s">
        <v>7162</v>
      </c>
      <c r="B3937" t="s">
        <v>454</v>
      </c>
      <c r="C3937">
        <v>41</v>
      </c>
      <c r="D3937" s="1">
        <v>44048.597210648149</v>
      </c>
      <c r="E3937" t="s">
        <v>12238</v>
      </c>
      <c r="F3937" t="s">
        <v>7164</v>
      </c>
      <c r="G3937" t="s">
        <v>11971</v>
      </c>
      <c r="H3937" t="s">
        <v>7166</v>
      </c>
      <c r="I3937" t="s">
        <v>204</v>
      </c>
      <c r="J3937">
        <v>41</v>
      </c>
      <c r="K3937">
        <f>41-43-505-10-95</f>
        <v>-612</v>
      </c>
      <c r="L3937" t="s">
        <v>12239</v>
      </c>
      <c r="M3937" t="s">
        <v>12240</v>
      </c>
      <c r="N3937" t="s">
        <v>5354</v>
      </c>
      <c r="O3937" t="s">
        <v>134</v>
      </c>
      <c r="P3937" t="s">
        <v>461</v>
      </c>
      <c r="Q3937">
        <v>52</v>
      </c>
      <c r="R3937">
        <v>4.8999800000000002</v>
      </c>
    </row>
    <row r="3938" spans="1:18" x14ac:dyDescent="0.2">
      <c r="A3938" t="s">
        <v>7162</v>
      </c>
      <c r="B3938" t="s">
        <v>454</v>
      </c>
      <c r="C3938">
        <v>41</v>
      </c>
      <c r="D3938" s="1">
        <v>44048.504004629627</v>
      </c>
      <c r="E3938" t="s">
        <v>12241</v>
      </c>
      <c r="F3938" t="s">
        <v>7164</v>
      </c>
      <c r="G3938" t="s">
        <v>11971</v>
      </c>
      <c r="H3938" t="s">
        <v>7166</v>
      </c>
      <c r="I3938" t="s">
        <v>204</v>
      </c>
      <c r="J3938">
        <v>41</v>
      </c>
      <c r="K3938">
        <f>41-43-505-10-95</f>
        <v>-612</v>
      </c>
      <c r="L3938" t="s">
        <v>12242</v>
      </c>
      <c r="M3938" t="s">
        <v>12243</v>
      </c>
      <c r="N3938" t="s">
        <v>36</v>
      </c>
      <c r="O3938" t="s">
        <v>134</v>
      </c>
      <c r="P3938" t="s">
        <v>461</v>
      </c>
      <c r="Q3938">
        <v>52</v>
      </c>
      <c r="R3938">
        <v>4.8999800000000002</v>
      </c>
    </row>
    <row r="3939" spans="1:18" x14ac:dyDescent="0.2">
      <c r="A3939" t="s">
        <v>7162</v>
      </c>
      <c r="B3939" t="s">
        <v>454</v>
      </c>
      <c r="C3939">
        <v>31</v>
      </c>
      <c r="D3939" s="1">
        <v>44040.426921296297</v>
      </c>
      <c r="E3939" t="s">
        <v>12244</v>
      </c>
      <c r="F3939" t="s">
        <v>7164</v>
      </c>
      <c r="G3939" t="s">
        <v>11971</v>
      </c>
      <c r="H3939" t="s">
        <v>7166</v>
      </c>
      <c r="I3939" t="s">
        <v>461</v>
      </c>
      <c r="J3939">
        <v>31</v>
      </c>
      <c r="K3939">
        <f>31-20-262-2417</f>
        <v>-2668</v>
      </c>
      <c r="L3939" t="s">
        <v>12245</v>
      </c>
      <c r="M3939" t="s">
        <v>12246</v>
      </c>
      <c r="N3939" t="s">
        <v>5354</v>
      </c>
      <c r="O3939" t="s">
        <v>134</v>
      </c>
      <c r="P3939" t="s">
        <v>461</v>
      </c>
      <c r="Q3939">
        <v>52</v>
      </c>
      <c r="R3939">
        <v>4.8999800000000002</v>
      </c>
    </row>
    <row r="3940" spans="1:18" x14ac:dyDescent="0.2">
      <c r="A3940" t="s">
        <v>7162</v>
      </c>
      <c r="B3940" t="s">
        <v>454</v>
      </c>
      <c r="C3940">
        <v>31</v>
      </c>
      <c r="D3940" s="1">
        <v>44040.426412037035</v>
      </c>
      <c r="E3940" t="s">
        <v>12247</v>
      </c>
      <c r="F3940" t="s">
        <v>7164</v>
      </c>
      <c r="G3940" t="s">
        <v>11971</v>
      </c>
      <c r="H3940" t="s">
        <v>7166</v>
      </c>
      <c r="I3940" t="s">
        <v>461</v>
      </c>
      <c r="J3940">
        <v>31</v>
      </c>
      <c r="K3940">
        <f>31-20-262-2417</f>
        <v>-2668</v>
      </c>
      <c r="L3940" t="s">
        <v>12248</v>
      </c>
      <c r="M3940" t="s">
        <v>12249</v>
      </c>
      <c r="N3940" t="s">
        <v>36</v>
      </c>
      <c r="O3940" t="s">
        <v>134</v>
      </c>
      <c r="P3940" t="s">
        <v>461</v>
      </c>
      <c r="Q3940">
        <v>52</v>
      </c>
      <c r="R3940">
        <v>4.8999800000000002</v>
      </c>
    </row>
    <row r="3941" spans="1:18" x14ac:dyDescent="0.2">
      <c r="A3941" t="s">
        <v>7162</v>
      </c>
      <c r="B3941" t="s">
        <v>454</v>
      </c>
      <c r="C3941">
        <v>32</v>
      </c>
      <c r="D3941" s="1">
        <v>44039.666620370372</v>
      </c>
      <c r="E3941" t="s">
        <v>12250</v>
      </c>
      <c r="F3941" t="s">
        <v>7164</v>
      </c>
      <c r="G3941" t="s">
        <v>11971</v>
      </c>
      <c r="H3941" t="s">
        <v>7166</v>
      </c>
      <c r="I3941" t="s">
        <v>4288</v>
      </c>
      <c r="J3941">
        <v>32</v>
      </c>
      <c r="K3941">
        <f>32-78-25-90-29</f>
        <v>-190</v>
      </c>
      <c r="L3941" t="s">
        <v>12251</v>
      </c>
      <c r="M3941" t="s">
        <v>12252</v>
      </c>
      <c r="N3941" t="s">
        <v>36</v>
      </c>
      <c r="O3941" t="s">
        <v>134</v>
      </c>
      <c r="P3941" t="s">
        <v>461</v>
      </c>
      <c r="Q3941">
        <v>52</v>
      </c>
      <c r="R3941">
        <v>4.8999800000000002</v>
      </c>
    </row>
    <row r="3942" spans="1:18" x14ac:dyDescent="0.2">
      <c r="A3942" t="s">
        <v>439</v>
      </c>
      <c r="B3942" t="s">
        <v>3094</v>
      </c>
      <c r="C3942">
        <v>1</v>
      </c>
      <c r="D3942" s="1">
        <v>44040.037233796298</v>
      </c>
      <c r="E3942" t="s">
        <v>12253</v>
      </c>
      <c r="F3942" t="s">
        <v>442</v>
      </c>
      <c r="G3942" t="s">
        <v>12254</v>
      </c>
      <c r="H3942" t="s">
        <v>444</v>
      </c>
      <c r="I3942" t="s">
        <v>29</v>
      </c>
      <c r="J3942">
        <v>1</v>
      </c>
      <c r="K3942">
        <f>1-888-523-9651</f>
        <v>-11061</v>
      </c>
      <c r="L3942" t="s">
        <v>12255</v>
      </c>
      <c r="M3942" t="s">
        <v>12256</v>
      </c>
      <c r="N3942" t="s">
        <v>5354</v>
      </c>
      <c r="O3942" t="s">
        <v>28</v>
      </c>
      <c r="P3942" t="s">
        <v>2268</v>
      </c>
      <c r="Q3942">
        <v>46</v>
      </c>
      <c r="R3942">
        <v>-73.567300000000003</v>
      </c>
    </row>
    <row r="3943" spans="1:18" x14ac:dyDescent="0.2">
      <c r="A3943" t="s">
        <v>663</v>
      </c>
      <c r="B3943" t="s">
        <v>5337</v>
      </c>
      <c r="C3943">
        <v>61</v>
      </c>
      <c r="D3943" s="1">
        <v>44040.414131944446</v>
      </c>
      <c r="E3943" t="s">
        <v>12257</v>
      </c>
      <c r="F3943" t="s">
        <v>666</v>
      </c>
      <c r="G3943" t="s">
        <v>12258</v>
      </c>
      <c r="H3943" t="s">
        <v>667</v>
      </c>
      <c r="I3943" t="s">
        <v>782</v>
      </c>
      <c r="J3943">
        <v>61</v>
      </c>
      <c r="K3943">
        <f>61-1800-572-283</f>
        <v>-2594</v>
      </c>
      <c r="L3943" t="s">
        <v>12259</v>
      </c>
      <c r="M3943" t="s">
        <v>12260</v>
      </c>
      <c r="N3943" t="s">
        <v>1645</v>
      </c>
      <c r="O3943" t="s">
        <v>28</v>
      </c>
      <c r="P3943" t="s">
        <v>29</v>
      </c>
      <c r="Q3943">
        <v>38</v>
      </c>
      <c r="R3943">
        <v>-99.999999000000003</v>
      </c>
    </row>
    <row r="3944" spans="1:18" x14ac:dyDescent="0.2">
      <c r="A3944" t="s">
        <v>663</v>
      </c>
      <c r="B3944" t="s">
        <v>5337</v>
      </c>
      <c r="C3944">
        <v>61</v>
      </c>
      <c r="D3944" s="1">
        <v>44040.413807870369</v>
      </c>
      <c r="E3944" t="s">
        <v>12258</v>
      </c>
      <c r="F3944" t="s">
        <v>666</v>
      </c>
      <c r="G3944" t="s">
        <v>12258</v>
      </c>
      <c r="H3944" t="s">
        <v>667</v>
      </c>
      <c r="I3944" t="s">
        <v>782</v>
      </c>
      <c r="J3944">
        <v>61</v>
      </c>
      <c r="K3944">
        <f>61-1800-572-283</f>
        <v>-2594</v>
      </c>
      <c r="L3944" t="s">
        <v>12261</v>
      </c>
      <c r="M3944" t="s">
        <v>12262</v>
      </c>
      <c r="N3944">
        <v>23</v>
      </c>
      <c r="O3944" t="s">
        <v>134</v>
      </c>
      <c r="P3944" t="s">
        <v>29</v>
      </c>
      <c r="Q3944">
        <v>38</v>
      </c>
      <c r="R3944">
        <v>-99.999999000000003</v>
      </c>
    </row>
    <row r="3945" spans="1:18" x14ac:dyDescent="0.2">
      <c r="A3945" t="s">
        <v>663</v>
      </c>
      <c r="B3945" t="s">
        <v>5337</v>
      </c>
      <c r="C3945">
        <v>61</v>
      </c>
      <c r="D3945" s="1">
        <v>44040.098854166667</v>
      </c>
      <c r="E3945" t="s">
        <v>12263</v>
      </c>
      <c r="F3945" t="s">
        <v>666</v>
      </c>
      <c r="G3945" t="s">
        <v>12258</v>
      </c>
      <c r="H3945" t="s">
        <v>667</v>
      </c>
      <c r="I3945" t="s">
        <v>782</v>
      </c>
      <c r="J3945">
        <v>61</v>
      </c>
      <c r="K3945">
        <f>61-1800-572-283</f>
        <v>-2594</v>
      </c>
      <c r="L3945" t="s">
        <v>12264</v>
      </c>
      <c r="M3945" t="s">
        <v>12265</v>
      </c>
      <c r="N3945" t="s">
        <v>1645</v>
      </c>
      <c r="O3945" t="s">
        <v>28</v>
      </c>
      <c r="P3945" t="s">
        <v>29</v>
      </c>
      <c r="Q3945">
        <v>38</v>
      </c>
      <c r="R3945">
        <v>-99.999999000000003</v>
      </c>
    </row>
    <row r="3946" spans="1:18" x14ac:dyDescent="0.2">
      <c r="A3946" t="s">
        <v>439</v>
      </c>
      <c r="B3946" t="s">
        <v>3094</v>
      </c>
      <c r="C3946">
        <v>81</v>
      </c>
      <c r="D3946" s="1">
        <v>44040.181250000001</v>
      </c>
      <c r="E3946" t="s">
        <v>12266</v>
      </c>
      <c r="F3946" t="s">
        <v>442</v>
      </c>
      <c r="G3946" t="s">
        <v>12267</v>
      </c>
      <c r="H3946" t="s">
        <v>444</v>
      </c>
      <c r="I3946" t="s">
        <v>53</v>
      </c>
      <c r="J3946">
        <v>81</v>
      </c>
      <c r="K3946">
        <f>81-50-5809-3115</f>
        <v>-8893</v>
      </c>
      <c r="L3946" t="s">
        <v>12268</v>
      </c>
      <c r="M3946" t="s">
        <v>12269</v>
      </c>
      <c r="N3946" t="s">
        <v>447</v>
      </c>
      <c r="O3946" t="s">
        <v>28</v>
      </c>
      <c r="P3946" t="s">
        <v>2268</v>
      </c>
      <c r="Q3946">
        <v>46</v>
      </c>
      <c r="R3946">
        <v>-73.567300000000003</v>
      </c>
    </row>
    <row r="3947" spans="1:18" x14ac:dyDescent="0.2">
      <c r="A3947" t="s">
        <v>663</v>
      </c>
      <c r="B3947" t="s">
        <v>5337</v>
      </c>
      <c r="C3947">
        <v>1</v>
      </c>
      <c r="D3947" s="1">
        <v>44041.041516203702</v>
      </c>
      <c r="E3947" t="s">
        <v>12270</v>
      </c>
      <c r="F3947" t="s">
        <v>2495</v>
      </c>
      <c r="G3947" t="s">
        <v>12270</v>
      </c>
      <c r="H3947" t="s">
        <v>667</v>
      </c>
      <c r="I3947" t="s">
        <v>29</v>
      </c>
      <c r="J3947">
        <v>1</v>
      </c>
      <c r="K3947">
        <f>1-844-471-4944</f>
        <v>-6258</v>
      </c>
      <c r="L3947" t="s">
        <v>12271</v>
      </c>
      <c r="M3947" t="s">
        <v>12272</v>
      </c>
      <c r="N3947">
        <v>56</v>
      </c>
      <c r="O3947" t="s">
        <v>134</v>
      </c>
      <c r="P3947" t="s">
        <v>29</v>
      </c>
      <c r="Q3947">
        <v>38</v>
      </c>
      <c r="R3947">
        <v>-99.999999000000003</v>
      </c>
    </row>
    <row r="3948" spans="1:18" x14ac:dyDescent="0.2">
      <c r="A3948" t="s">
        <v>439</v>
      </c>
      <c r="B3948" t="s">
        <v>1412</v>
      </c>
      <c r="C3948">
        <v>33</v>
      </c>
      <c r="D3948" s="1">
        <v>44040.560763888891</v>
      </c>
      <c r="E3948" t="s">
        <v>12273</v>
      </c>
      <c r="F3948" t="s">
        <v>442</v>
      </c>
      <c r="G3948" t="s">
        <v>12274</v>
      </c>
      <c r="H3948" t="s">
        <v>444</v>
      </c>
      <c r="I3948" t="s">
        <v>292</v>
      </c>
      <c r="J3948">
        <v>33</v>
      </c>
      <c r="K3948">
        <f>33-9-70-58-3-53</f>
        <v>-160</v>
      </c>
      <c r="L3948" t="s">
        <v>12275</v>
      </c>
      <c r="M3948" t="s">
        <v>12276</v>
      </c>
      <c r="N3948" t="s">
        <v>3454</v>
      </c>
      <c r="O3948" t="s">
        <v>134</v>
      </c>
      <c r="P3948" t="s">
        <v>29</v>
      </c>
      <c r="Q3948">
        <v>41</v>
      </c>
      <c r="R3948">
        <v>-74.172399999999996</v>
      </c>
    </row>
    <row r="3949" spans="1:18" x14ac:dyDescent="0.2">
      <c r="A3949" t="s">
        <v>663</v>
      </c>
      <c r="B3949" t="s">
        <v>664</v>
      </c>
      <c r="C3949">
        <v>1</v>
      </c>
      <c r="D3949" s="1">
        <v>44040.560914351852</v>
      </c>
      <c r="E3949" t="s">
        <v>12277</v>
      </c>
      <c r="F3949" t="s">
        <v>2495</v>
      </c>
      <c r="G3949" t="s">
        <v>12277</v>
      </c>
      <c r="H3949" t="s">
        <v>667</v>
      </c>
      <c r="I3949" t="s">
        <v>29</v>
      </c>
      <c r="J3949">
        <v>1</v>
      </c>
      <c r="K3949">
        <f>1-888-465-2906</f>
        <v>-4258</v>
      </c>
      <c r="L3949" t="s">
        <v>12278</v>
      </c>
      <c r="M3949" t="s">
        <v>12279</v>
      </c>
      <c r="N3949">
        <v>119</v>
      </c>
      <c r="O3949" t="s">
        <v>134</v>
      </c>
      <c r="P3949" t="s">
        <v>29</v>
      </c>
      <c r="Q3949">
        <v>37</v>
      </c>
      <c r="R3949">
        <v>-99.999999000000003</v>
      </c>
    </row>
    <row r="3950" spans="1:18" x14ac:dyDescent="0.2">
      <c r="A3950" t="s">
        <v>663</v>
      </c>
      <c r="B3950" t="s">
        <v>5337</v>
      </c>
      <c r="C3950">
        <v>1</v>
      </c>
      <c r="D3950" s="1">
        <v>44040.561030092591</v>
      </c>
      <c r="E3950" t="s">
        <v>12280</v>
      </c>
      <c r="F3950" t="s">
        <v>2495</v>
      </c>
      <c r="G3950" t="s">
        <v>12280</v>
      </c>
      <c r="H3950" t="s">
        <v>667</v>
      </c>
      <c r="I3950" t="s">
        <v>29</v>
      </c>
      <c r="J3950">
        <v>1</v>
      </c>
      <c r="K3950">
        <f>1-888-465-2906</f>
        <v>-4258</v>
      </c>
      <c r="L3950" t="s">
        <v>12281</v>
      </c>
      <c r="M3950" t="s">
        <v>12282</v>
      </c>
      <c r="N3950">
        <v>171</v>
      </c>
      <c r="O3950" t="s">
        <v>134</v>
      </c>
      <c r="P3950" t="s">
        <v>29</v>
      </c>
      <c r="Q3950">
        <v>38</v>
      </c>
      <c r="R3950">
        <v>-99.999999000000003</v>
      </c>
    </row>
    <row r="3951" spans="1:18" x14ac:dyDescent="0.2">
      <c r="A3951" t="s">
        <v>439</v>
      </c>
      <c r="B3951" t="s">
        <v>1412</v>
      </c>
      <c r="C3951">
        <v>33</v>
      </c>
      <c r="D3951" s="1">
        <v>44040.56355324074</v>
      </c>
      <c r="E3951" t="s">
        <v>12283</v>
      </c>
      <c r="F3951" t="s">
        <v>442</v>
      </c>
      <c r="G3951" t="s">
        <v>12284</v>
      </c>
      <c r="H3951" t="s">
        <v>444</v>
      </c>
      <c r="I3951" t="s">
        <v>292</v>
      </c>
      <c r="J3951">
        <v>33</v>
      </c>
      <c r="K3951">
        <f>33-9-70-58-3-53</f>
        <v>-160</v>
      </c>
      <c r="L3951" t="s">
        <v>12285</v>
      </c>
      <c r="M3951" t="s">
        <v>12286</v>
      </c>
      <c r="N3951" t="s">
        <v>447</v>
      </c>
      <c r="O3951" t="s">
        <v>134</v>
      </c>
      <c r="P3951" t="s">
        <v>29</v>
      </c>
      <c r="Q3951">
        <v>41</v>
      </c>
      <c r="R3951">
        <v>-74.172399999999996</v>
      </c>
    </row>
    <row r="3952" spans="1:18" x14ac:dyDescent="0.2">
      <c r="A3952" t="s">
        <v>439</v>
      </c>
      <c r="B3952" t="s">
        <v>440</v>
      </c>
      <c r="C3952">
        <v>33</v>
      </c>
      <c r="D3952" s="1">
        <v>44040.565717592595</v>
      </c>
      <c r="E3952" t="s">
        <v>12287</v>
      </c>
      <c r="F3952" t="s">
        <v>442</v>
      </c>
      <c r="G3952" t="s">
        <v>12288</v>
      </c>
      <c r="H3952" t="s">
        <v>444</v>
      </c>
      <c r="I3952" t="s">
        <v>292</v>
      </c>
      <c r="J3952">
        <v>33</v>
      </c>
      <c r="K3952">
        <f>33-9-70-58-3-53</f>
        <v>-160</v>
      </c>
      <c r="L3952" t="s">
        <v>12289</v>
      </c>
      <c r="M3952" t="s">
        <v>12290</v>
      </c>
      <c r="N3952" t="s">
        <v>447</v>
      </c>
      <c r="O3952" t="s">
        <v>134</v>
      </c>
      <c r="P3952" t="s">
        <v>29</v>
      </c>
      <c r="Q3952">
        <v>39</v>
      </c>
      <c r="R3952">
        <v>-77.487399999999994</v>
      </c>
    </row>
    <row r="3953" spans="1:18" x14ac:dyDescent="0.2">
      <c r="A3953" t="s">
        <v>6912</v>
      </c>
      <c r="B3953" t="s">
        <v>6913</v>
      </c>
      <c r="C3953">
        <v>33</v>
      </c>
      <c r="D3953" s="1">
        <v>44040.566041666665</v>
      </c>
      <c r="E3953" t="s">
        <v>12291</v>
      </c>
      <c r="F3953" t="s">
        <v>6663</v>
      </c>
      <c r="G3953" t="s">
        <v>12292</v>
      </c>
      <c r="H3953" t="s">
        <v>6665</v>
      </c>
      <c r="I3953" t="s">
        <v>292</v>
      </c>
      <c r="J3953">
        <v>33</v>
      </c>
      <c r="K3953">
        <f>33-359-4-824</f>
        <v>-1154</v>
      </c>
      <c r="L3953" t="s">
        <v>12293</v>
      </c>
      <c r="M3953" t="s">
        <v>12294</v>
      </c>
      <c r="N3953" t="s">
        <v>5354</v>
      </c>
      <c r="O3953" t="s">
        <v>28</v>
      </c>
      <c r="P3953" t="s">
        <v>29</v>
      </c>
      <c r="Q3953">
        <v>35</v>
      </c>
      <c r="R3953">
        <v>-80.843100000000007</v>
      </c>
    </row>
    <row r="3954" spans="1:18" x14ac:dyDescent="0.2">
      <c r="A3954" t="s">
        <v>439</v>
      </c>
      <c r="B3954" t="s">
        <v>440</v>
      </c>
      <c r="C3954">
        <v>33</v>
      </c>
      <c r="D3954" s="1">
        <v>44040.566388888888</v>
      </c>
      <c r="E3954" t="s">
        <v>12295</v>
      </c>
      <c r="F3954" t="s">
        <v>442</v>
      </c>
      <c r="G3954" t="s">
        <v>12296</v>
      </c>
      <c r="H3954" t="s">
        <v>444</v>
      </c>
      <c r="I3954" t="s">
        <v>292</v>
      </c>
      <c r="J3954">
        <v>33</v>
      </c>
      <c r="K3954">
        <f>33-9-70-58-3-53</f>
        <v>-160</v>
      </c>
      <c r="L3954" t="s">
        <v>12297</v>
      </c>
      <c r="M3954" t="s">
        <v>12298</v>
      </c>
      <c r="N3954" t="s">
        <v>3454</v>
      </c>
      <c r="O3954" t="s">
        <v>134</v>
      </c>
      <c r="P3954" t="s">
        <v>29</v>
      </c>
      <c r="Q3954">
        <v>39</v>
      </c>
      <c r="R3954">
        <v>-77.487399999999994</v>
      </c>
    </row>
    <row r="3955" spans="1:18" x14ac:dyDescent="0.2">
      <c r="A3955" t="s">
        <v>439</v>
      </c>
      <c r="B3955" t="s">
        <v>440</v>
      </c>
      <c r="C3955">
        <v>33</v>
      </c>
      <c r="D3955" s="1">
        <v>44040.566516203704</v>
      </c>
      <c r="E3955" t="s">
        <v>12299</v>
      </c>
      <c r="F3955" t="s">
        <v>442</v>
      </c>
      <c r="G3955" t="s">
        <v>12300</v>
      </c>
      <c r="H3955" t="s">
        <v>444</v>
      </c>
      <c r="I3955" t="s">
        <v>292</v>
      </c>
      <c r="J3955">
        <v>33</v>
      </c>
      <c r="K3955">
        <f>33-9-70-58-3-53</f>
        <v>-160</v>
      </c>
      <c r="L3955" t="s">
        <v>12301</v>
      </c>
      <c r="M3955" t="s">
        <v>12302</v>
      </c>
      <c r="N3955" t="s">
        <v>3441</v>
      </c>
      <c r="O3955" t="s">
        <v>134</v>
      </c>
      <c r="P3955" t="s">
        <v>29</v>
      </c>
      <c r="Q3955">
        <v>39</v>
      </c>
      <c r="R3955">
        <v>-77.487399999999994</v>
      </c>
    </row>
    <row r="3956" spans="1:18" x14ac:dyDescent="0.2">
      <c r="A3956" t="s">
        <v>439</v>
      </c>
      <c r="B3956" t="s">
        <v>3094</v>
      </c>
      <c r="C3956">
        <v>33</v>
      </c>
      <c r="D3956" s="1">
        <v>44060.196006944447</v>
      </c>
      <c r="E3956" t="s">
        <v>12303</v>
      </c>
      <c r="F3956" t="s">
        <v>442</v>
      </c>
      <c r="G3956" t="s">
        <v>12304</v>
      </c>
      <c r="H3956" t="s">
        <v>444</v>
      </c>
      <c r="I3956" t="s">
        <v>292</v>
      </c>
      <c r="J3956">
        <v>33</v>
      </c>
      <c r="K3956">
        <f>33-9-71-7-79-72</f>
        <v>-205</v>
      </c>
      <c r="L3956" t="s">
        <v>12305</v>
      </c>
      <c r="M3956" t="s">
        <v>12306</v>
      </c>
      <c r="N3956" t="s">
        <v>213</v>
      </c>
      <c r="O3956" t="s">
        <v>134</v>
      </c>
      <c r="P3956" t="s">
        <v>2268</v>
      </c>
      <c r="Q3956">
        <v>46</v>
      </c>
      <c r="R3956">
        <v>-73.567300000000003</v>
      </c>
    </row>
    <row r="3957" spans="1:18" x14ac:dyDescent="0.2">
      <c r="A3957" t="s">
        <v>439</v>
      </c>
      <c r="B3957" t="s">
        <v>3094</v>
      </c>
      <c r="C3957">
        <v>33</v>
      </c>
      <c r="D3957" s="1">
        <v>44040.568680555552</v>
      </c>
      <c r="E3957" t="s">
        <v>12303</v>
      </c>
      <c r="F3957" t="s">
        <v>442</v>
      </c>
      <c r="G3957" t="s">
        <v>12304</v>
      </c>
      <c r="H3957" t="s">
        <v>444</v>
      </c>
      <c r="I3957" t="s">
        <v>292</v>
      </c>
      <c r="J3957">
        <v>33</v>
      </c>
      <c r="K3957">
        <f>33-9-70-58-3-53</f>
        <v>-160</v>
      </c>
      <c r="L3957" t="s">
        <v>12307</v>
      </c>
      <c r="M3957" t="s">
        <v>12308</v>
      </c>
      <c r="N3957" t="s">
        <v>213</v>
      </c>
      <c r="O3957" t="s">
        <v>134</v>
      </c>
      <c r="P3957" t="s">
        <v>2268</v>
      </c>
      <c r="Q3957">
        <v>46</v>
      </c>
      <c r="R3957">
        <v>-73.567300000000003</v>
      </c>
    </row>
    <row r="3958" spans="1:18" x14ac:dyDescent="0.2">
      <c r="A3958" t="s">
        <v>439</v>
      </c>
      <c r="B3958" t="s">
        <v>440</v>
      </c>
      <c r="C3958">
        <v>33</v>
      </c>
      <c r="D3958" s="1">
        <v>44040.569305555553</v>
      </c>
      <c r="E3958" t="s">
        <v>12309</v>
      </c>
      <c r="F3958" t="s">
        <v>442</v>
      </c>
      <c r="G3958" t="s">
        <v>12310</v>
      </c>
      <c r="H3958" t="s">
        <v>444</v>
      </c>
      <c r="I3958" t="s">
        <v>292</v>
      </c>
      <c r="J3958">
        <v>33</v>
      </c>
      <c r="K3958">
        <f>33-9-70-58-3-53</f>
        <v>-160</v>
      </c>
      <c r="L3958" t="s">
        <v>12311</v>
      </c>
      <c r="M3958" t="s">
        <v>12312</v>
      </c>
      <c r="N3958" t="s">
        <v>3454</v>
      </c>
      <c r="O3958" t="s">
        <v>134</v>
      </c>
      <c r="P3958" t="s">
        <v>29</v>
      </c>
      <c r="Q3958">
        <v>39</v>
      </c>
      <c r="R3958">
        <v>-77.487399999999994</v>
      </c>
    </row>
    <row r="3959" spans="1:18" x14ac:dyDescent="0.2">
      <c r="A3959" t="s">
        <v>439</v>
      </c>
      <c r="B3959" t="s">
        <v>3094</v>
      </c>
      <c r="C3959">
        <v>33</v>
      </c>
      <c r="D3959" s="1">
        <v>44060.194953703707</v>
      </c>
      <c r="E3959" t="s">
        <v>12313</v>
      </c>
      <c r="F3959" t="s">
        <v>442</v>
      </c>
      <c r="G3959" t="s">
        <v>12314</v>
      </c>
      <c r="H3959" t="s">
        <v>444</v>
      </c>
      <c r="I3959" t="s">
        <v>292</v>
      </c>
      <c r="J3959">
        <v>33</v>
      </c>
      <c r="K3959">
        <f>33-9-71-7-79-72</f>
        <v>-205</v>
      </c>
      <c r="L3959" t="s">
        <v>12315</v>
      </c>
      <c r="M3959" t="s">
        <v>12316</v>
      </c>
      <c r="N3959" t="s">
        <v>213</v>
      </c>
      <c r="O3959" t="s">
        <v>134</v>
      </c>
      <c r="P3959" t="s">
        <v>2268</v>
      </c>
      <c r="Q3959">
        <v>46</v>
      </c>
      <c r="R3959">
        <v>-73.567300000000003</v>
      </c>
    </row>
    <row r="3960" spans="1:18" x14ac:dyDescent="0.2">
      <c r="A3960" t="s">
        <v>439</v>
      </c>
      <c r="B3960" t="s">
        <v>440</v>
      </c>
      <c r="C3960">
        <v>33</v>
      </c>
      <c r="D3960" s="1">
        <v>44040.570057870369</v>
      </c>
      <c r="E3960" t="s">
        <v>12313</v>
      </c>
      <c r="F3960" t="s">
        <v>442</v>
      </c>
      <c r="G3960" t="s">
        <v>12314</v>
      </c>
      <c r="H3960" t="s">
        <v>444</v>
      </c>
      <c r="I3960" t="s">
        <v>292</v>
      </c>
      <c r="J3960">
        <v>33</v>
      </c>
      <c r="K3960">
        <f>33-9-70-58-3-53</f>
        <v>-160</v>
      </c>
      <c r="L3960" t="s">
        <v>12317</v>
      </c>
      <c r="M3960" t="s">
        <v>12318</v>
      </c>
      <c r="N3960" t="s">
        <v>213</v>
      </c>
      <c r="O3960" t="s">
        <v>134</v>
      </c>
      <c r="P3960" t="s">
        <v>29</v>
      </c>
      <c r="Q3960">
        <v>39</v>
      </c>
      <c r="R3960">
        <v>-77.487399999999994</v>
      </c>
    </row>
    <row r="3961" spans="1:18" x14ac:dyDescent="0.2">
      <c r="A3961" t="s">
        <v>663</v>
      </c>
      <c r="B3961" t="s">
        <v>2500</v>
      </c>
      <c r="C3961">
        <v>81</v>
      </c>
      <c r="D3961" s="1">
        <v>44053.14671296296</v>
      </c>
      <c r="E3961" t="s">
        <v>12319</v>
      </c>
      <c r="F3961" t="s">
        <v>666</v>
      </c>
      <c r="G3961" t="s">
        <v>12320</v>
      </c>
      <c r="H3961" t="s">
        <v>667</v>
      </c>
      <c r="I3961" t="s">
        <v>53</v>
      </c>
      <c r="J3961">
        <v>81</v>
      </c>
      <c r="K3961">
        <f>81-50-3032-2520</f>
        <v>-5521</v>
      </c>
      <c r="L3961" t="s">
        <v>12321</v>
      </c>
      <c r="M3961" t="s">
        <v>12322</v>
      </c>
      <c r="N3961" t="s">
        <v>674</v>
      </c>
      <c r="O3961" t="s">
        <v>134</v>
      </c>
      <c r="P3961" t="s">
        <v>2500</v>
      </c>
      <c r="Q3961">
        <v>1</v>
      </c>
      <c r="R3961">
        <v>99.999999000000003</v>
      </c>
    </row>
    <row r="3962" spans="1:18" x14ac:dyDescent="0.2">
      <c r="A3962" t="s">
        <v>663</v>
      </c>
      <c r="B3962" t="s">
        <v>2500</v>
      </c>
      <c r="C3962">
        <v>81</v>
      </c>
      <c r="D3962" s="1">
        <v>44053.146666666667</v>
      </c>
      <c r="E3962" t="s">
        <v>12323</v>
      </c>
      <c r="F3962" t="s">
        <v>666</v>
      </c>
      <c r="G3962" t="s">
        <v>12320</v>
      </c>
      <c r="H3962" t="s">
        <v>667</v>
      </c>
      <c r="I3962" t="s">
        <v>53</v>
      </c>
      <c r="J3962">
        <v>81</v>
      </c>
      <c r="K3962">
        <f>81-50-5539-3733</f>
        <v>-9241</v>
      </c>
      <c r="L3962" t="s">
        <v>12324</v>
      </c>
      <c r="M3962" t="s">
        <v>12325</v>
      </c>
      <c r="N3962" t="s">
        <v>213</v>
      </c>
      <c r="O3962" t="s">
        <v>134</v>
      </c>
      <c r="P3962" t="s">
        <v>2500</v>
      </c>
      <c r="Q3962">
        <v>1</v>
      </c>
      <c r="R3962">
        <v>99.999999000000003</v>
      </c>
    </row>
    <row r="3963" spans="1:18" x14ac:dyDescent="0.2">
      <c r="A3963" t="s">
        <v>663</v>
      </c>
      <c r="B3963" t="s">
        <v>2500</v>
      </c>
      <c r="C3963">
        <v>81</v>
      </c>
      <c r="D3963" s="1">
        <v>44053.146493055552</v>
      </c>
      <c r="E3963" t="s">
        <v>12326</v>
      </c>
      <c r="F3963" t="s">
        <v>666</v>
      </c>
      <c r="G3963" t="s">
        <v>12320</v>
      </c>
      <c r="H3963" t="s">
        <v>667</v>
      </c>
      <c r="I3963" t="s">
        <v>53</v>
      </c>
      <c r="J3963">
        <v>81</v>
      </c>
      <c r="K3963">
        <f>81-1-800-861-186</f>
        <v>-1767</v>
      </c>
      <c r="L3963" t="s">
        <v>12327</v>
      </c>
      <c r="M3963" t="s">
        <v>12328</v>
      </c>
      <c r="N3963" t="s">
        <v>213</v>
      </c>
      <c r="O3963" t="s">
        <v>134</v>
      </c>
      <c r="P3963" t="s">
        <v>2500</v>
      </c>
      <c r="Q3963">
        <v>1</v>
      </c>
      <c r="R3963">
        <v>99.999999000000003</v>
      </c>
    </row>
    <row r="3964" spans="1:18" x14ac:dyDescent="0.2">
      <c r="A3964" t="s">
        <v>663</v>
      </c>
      <c r="B3964" t="s">
        <v>2500</v>
      </c>
      <c r="C3964">
        <v>44</v>
      </c>
      <c r="D3964" s="1">
        <v>44053.146134259259</v>
      </c>
      <c r="E3964" t="s">
        <v>12329</v>
      </c>
      <c r="F3964" t="s">
        <v>666</v>
      </c>
      <c r="G3964" t="s">
        <v>12320</v>
      </c>
      <c r="H3964" t="s">
        <v>667</v>
      </c>
      <c r="I3964" t="s">
        <v>618</v>
      </c>
      <c r="J3964">
        <v>44</v>
      </c>
      <c r="K3964">
        <f>44-20-8133-106</f>
        <v>-8215</v>
      </c>
      <c r="L3964" t="s">
        <v>12330</v>
      </c>
      <c r="M3964" t="s">
        <v>12331</v>
      </c>
      <c r="N3964" t="s">
        <v>447</v>
      </c>
      <c r="O3964" t="s">
        <v>134</v>
      </c>
      <c r="P3964" t="s">
        <v>2500</v>
      </c>
      <c r="Q3964">
        <v>1</v>
      </c>
      <c r="R3964">
        <v>99.999999000000003</v>
      </c>
    </row>
    <row r="3965" spans="1:18" x14ac:dyDescent="0.2">
      <c r="A3965" t="s">
        <v>663</v>
      </c>
      <c r="B3965" t="s">
        <v>2500</v>
      </c>
      <c r="C3965">
        <v>81</v>
      </c>
      <c r="D3965" s="1">
        <v>44053.145729166667</v>
      </c>
      <c r="E3965" t="s">
        <v>12332</v>
      </c>
      <c r="F3965" t="s">
        <v>666</v>
      </c>
      <c r="G3965" t="s">
        <v>12320</v>
      </c>
      <c r="H3965" t="s">
        <v>667</v>
      </c>
      <c r="I3965" t="s">
        <v>53</v>
      </c>
      <c r="J3965">
        <v>81</v>
      </c>
      <c r="K3965">
        <f>81-50-5806-9080</f>
        <v>-14855</v>
      </c>
      <c r="L3965" t="s">
        <v>12333</v>
      </c>
      <c r="M3965" t="s">
        <v>12334</v>
      </c>
      <c r="N3965" t="s">
        <v>447</v>
      </c>
      <c r="O3965" t="s">
        <v>134</v>
      </c>
      <c r="P3965" t="s">
        <v>2500</v>
      </c>
      <c r="Q3965">
        <v>1</v>
      </c>
      <c r="R3965">
        <v>99.999999000000003</v>
      </c>
    </row>
    <row r="3966" spans="1:18" x14ac:dyDescent="0.2">
      <c r="A3966" t="s">
        <v>663</v>
      </c>
      <c r="B3966" t="s">
        <v>2500</v>
      </c>
      <c r="C3966">
        <v>41</v>
      </c>
      <c r="D3966" s="1">
        <v>44053.145891203705</v>
      </c>
      <c r="E3966" t="s">
        <v>12335</v>
      </c>
      <c r="F3966" t="s">
        <v>666</v>
      </c>
      <c r="G3966" t="s">
        <v>12320</v>
      </c>
      <c r="H3966" t="s">
        <v>667</v>
      </c>
      <c r="I3966" t="s">
        <v>204</v>
      </c>
      <c r="J3966">
        <v>41</v>
      </c>
      <c r="K3966">
        <f>41-22-575-2882</f>
        <v>-3438</v>
      </c>
      <c r="L3966" t="s">
        <v>12336</v>
      </c>
      <c r="M3966" t="s">
        <v>12337</v>
      </c>
      <c r="N3966" t="s">
        <v>213</v>
      </c>
      <c r="O3966" t="s">
        <v>134</v>
      </c>
      <c r="P3966" t="s">
        <v>2500</v>
      </c>
      <c r="Q3966">
        <v>1</v>
      </c>
      <c r="R3966">
        <v>99.999999000000003</v>
      </c>
    </row>
    <row r="3967" spans="1:18" x14ac:dyDescent="0.2">
      <c r="A3967" t="s">
        <v>663</v>
      </c>
      <c r="B3967" t="s">
        <v>2500</v>
      </c>
      <c r="C3967">
        <v>33</v>
      </c>
      <c r="D3967" s="1">
        <v>44040.574074074073</v>
      </c>
      <c r="E3967" t="s">
        <v>12338</v>
      </c>
      <c r="F3967" t="s">
        <v>666</v>
      </c>
      <c r="G3967" t="s">
        <v>12320</v>
      </c>
      <c r="H3967" t="s">
        <v>667</v>
      </c>
      <c r="I3967" t="s">
        <v>292</v>
      </c>
      <c r="J3967">
        <v>33</v>
      </c>
      <c r="K3967">
        <f>33-50-5806-9080</f>
        <v>-14903</v>
      </c>
      <c r="L3967" t="s">
        <v>12339</v>
      </c>
      <c r="M3967" t="s">
        <v>12340</v>
      </c>
      <c r="N3967" t="s">
        <v>213</v>
      </c>
      <c r="O3967" t="s">
        <v>134</v>
      </c>
      <c r="P3967" t="s">
        <v>2500</v>
      </c>
      <c r="Q3967">
        <v>1</v>
      </c>
      <c r="R3967">
        <v>99.999999000000003</v>
      </c>
    </row>
    <row r="3968" spans="1:18" x14ac:dyDescent="0.2">
      <c r="A3968" t="s">
        <v>439</v>
      </c>
      <c r="B3968" t="s">
        <v>3094</v>
      </c>
      <c r="C3968">
        <v>1</v>
      </c>
      <c r="D3968" s="1">
        <v>44040.586782407408</v>
      </c>
      <c r="E3968" t="s">
        <v>12341</v>
      </c>
      <c r="F3968" t="s">
        <v>442</v>
      </c>
      <c r="G3968" t="s">
        <v>12342</v>
      </c>
      <c r="H3968" t="s">
        <v>444</v>
      </c>
      <c r="I3968" t="s">
        <v>29</v>
      </c>
      <c r="J3968">
        <v>1</v>
      </c>
      <c r="K3968">
        <f>1-833-714-1484</f>
        <v>-3030</v>
      </c>
      <c r="L3968" t="s">
        <v>12343</v>
      </c>
      <c r="M3968" t="s">
        <v>12344</v>
      </c>
      <c r="N3968" t="s">
        <v>674</v>
      </c>
      <c r="O3968" t="s">
        <v>28</v>
      </c>
      <c r="P3968" t="s">
        <v>2268</v>
      </c>
      <c r="Q3968">
        <v>46</v>
      </c>
      <c r="R3968">
        <v>-73.567300000000003</v>
      </c>
    </row>
    <row r="3969" spans="1:18" x14ac:dyDescent="0.2">
      <c r="A3969" t="s">
        <v>439</v>
      </c>
      <c r="B3969" t="s">
        <v>3094</v>
      </c>
      <c r="C3969">
        <v>1</v>
      </c>
      <c r="D3969" s="1">
        <v>44040.587141203701</v>
      </c>
      <c r="E3969" t="s">
        <v>12345</v>
      </c>
      <c r="F3969" t="s">
        <v>442</v>
      </c>
      <c r="G3969" t="s">
        <v>12346</v>
      </c>
      <c r="H3969" t="s">
        <v>444</v>
      </c>
      <c r="I3969" t="s">
        <v>29</v>
      </c>
      <c r="J3969">
        <v>1</v>
      </c>
      <c r="K3969">
        <f>1-855-509-138</f>
        <v>-1501</v>
      </c>
      <c r="L3969" t="s">
        <v>12347</v>
      </c>
      <c r="M3969" t="s">
        <v>12348</v>
      </c>
      <c r="N3969" t="s">
        <v>213</v>
      </c>
      <c r="O3969" t="s">
        <v>28</v>
      </c>
      <c r="P3969" t="s">
        <v>2268</v>
      </c>
      <c r="Q3969">
        <v>46</v>
      </c>
      <c r="R3969">
        <v>-73.567300000000003</v>
      </c>
    </row>
    <row r="3970" spans="1:18" x14ac:dyDescent="0.2">
      <c r="A3970" t="s">
        <v>675</v>
      </c>
      <c r="B3970" t="s">
        <v>676</v>
      </c>
      <c r="C3970">
        <v>1</v>
      </c>
      <c r="D3970" s="1">
        <v>44040.587210648147</v>
      </c>
      <c r="E3970" t="s">
        <v>12349</v>
      </c>
      <c r="F3970" t="s">
        <v>678</v>
      </c>
      <c r="G3970" t="s">
        <v>12350</v>
      </c>
      <c r="H3970" t="s">
        <v>680</v>
      </c>
      <c r="I3970" t="s">
        <v>29</v>
      </c>
      <c r="J3970">
        <v>1</v>
      </c>
      <c r="K3970">
        <f>1-888-521-2008</f>
        <v>-3416</v>
      </c>
      <c r="L3970" t="s">
        <v>12351</v>
      </c>
      <c r="M3970" t="s">
        <v>12352</v>
      </c>
      <c r="N3970" t="s">
        <v>5354</v>
      </c>
      <c r="O3970" t="s">
        <v>134</v>
      </c>
      <c r="P3970" t="s">
        <v>29</v>
      </c>
      <c r="Q3970">
        <v>33</v>
      </c>
      <c r="R3970">
        <v>-99.999999000000003</v>
      </c>
    </row>
    <row r="3971" spans="1:18" x14ac:dyDescent="0.2">
      <c r="A3971" t="s">
        <v>12353</v>
      </c>
      <c r="B3971" t="s">
        <v>676</v>
      </c>
      <c r="C3971">
        <v>1</v>
      </c>
      <c r="D3971" s="1">
        <v>44040.587534722225</v>
      </c>
      <c r="E3971" t="s">
        <v>12354</v>
      </c>
      <c r="F3971" t="s">
        <v>12355</v>
      </c>
      <c r="G3971" t="s">
        <v>12356</v>
      </c>
      <c r="H3971" t="s">
        <v>12357</v>
      </c>
      <c r="I3971" t="s">
        <v>29</v>
      </c>
      <c r="J3971">
        <v>1</v>
      </c>
      <c r="K3971">
        <f>1-888-521-2008</f>
        <v>-3416</v>
      </c>
      <c r="L3971" t="s">
        <v>12358</v>
      </c>
      <c r="M3971" t="s">
        <v>12359</v>
      </c>
      <c r="N3971" t="s">
        <v>5354</v>
      </c>
      <c r="O3971" t="s">
        <v>28</v>
      </c>
      <c r="P3971" t="s">
        <v>29</v>
      </c>
      <c r="Q3971">
        <v>33</v>
      </c>
      <c r="R3971">
        <v>-99.999999000000003</v>
      </c>
    </row>
    <row r="3972" spans="1:18" x14ac:dyDescent="0.2">
      <c r="A3972" t="s">
        <v>663</v>
      </c>
      <c r="B3972" t="s">
        <v>454</v>
      </c>
      <c r="C3972">
        <v>1</v>
      </c>
      <c r="D3972" s="1">
        <v>44040.587650462963</v>
      </c>
      <c r="E3972" t="s">
        <v>12360</v>
      </c>
      <c r="F3972" t="s">
        <v>666</v>
      </c>
      <c r="G3972" t="s">
        <v>12361</v>
      </c>
      <c r="H3972" t="s">
        <v>667</v>
      </c>
      <c r="I3972" t="s">
        <v>29</v>
      </c>
      <c r="J3972">
        <v>1</v>
      </c>
      <c r="K3972">
        <f>1-47-800-62-628</f>
        <v>-1536</v>
      </c>
      <c r="L3972" t="s">
        <v>12362</v>
      </c>
      <c r="M3972" t="s">
        <v>12363</v>
      </c>
      <c r="N3972" t="s">
        <v>2475</v>
      </c>
      <c r="O3972" t="s">
        <v>28</v>
      </c>
      <c r="P3972" t="s">
        <v>461</v>
      </c>
      <c r="Q3972">
        <v>52</v>
      </c>
      <c r="R3972">
        <v>4.9391999999999996</v>
      </c>
    </row>
    <row r="3973" spans="1:18" x14ac:dyDescent="0.2">
      <c r="A3973" t="s">
        <v>663</v>
      </c>
      <c r="B3973" t="s">
        <v>5337</v>
      </c>
      <c r="C3973">
        <v>44</v>
      </c>
      <c r="D3973" s="1">
        <v>44040.588009259256</v>
      </c>
      <c r="E3973" t="s">
        <v>12364</v>
      </c>
      <c r="F3973" t="s">
        <v>666</v>
      </c>
      <c r="G3973" t="s">
        <v>12365</v>
      </c>
      <c r="H3973" t="s">
        <v>667</v>
      </c>
      <c r="I3973" t="s">
        <v>618</v>
      </c>
      <c r="J3973">
        <v>44</v>
      </c>
      <c r="K3973">
        <f>44-800-51-3726</f>
        <v>-4533</v>
      </c>
      <c r="L3973" t="s">
        <v>12366</v>
      </c>
      <c r="M3973" t="s">
        <v>12367</v>
      </c>
      <c r="N3973" t="s">
        <v>1645</v>
      </c>
      <c r="O3973" t="s">
        <v>28</v>
      </c>
      <c r="P3973" t="s">
        <v>29</v>
      </c>
      <c r="Q3973">
        <v>38</v>
      </c>
      <c r="R3973">
        <v>-99.999999000000003</v>
      </c>
    </row>
    <row r="3974" spans="1:18" x14ac:dyDescent="0.2">
      <c r="A3974" t="s">
        <v>663</v>
      </c>
      <c r="B3974" t="s">
        <v>5337</v>
      </c>
      <c r="C3974">
        <v>1</v>
      </c>
      <c r="D3974" s="1">
        <v>44040.797164351854</v>
      </c>
      <c r="E3974" t="s">
        <v>12368</v>
      </c>
      <c r="F3974" t="s">
        <v>666</v>
      </c>
      <c r="G3974" t="s">
        <v>12368</v>
      </c>
      <c r="H3974" t="s">
        <v>667</v>
      </c>
      <c r="I3974" t="s">
        <v>29</v>
      </c>
      <c r="J3974">
        <v>1</v>
      </c>
      <c r="K3974">
        <f>1-844-472-2358</f>
        <v>-3673</v>
      </c>
      <c r="L3974" t="s">
        <v>12369</v>
      </c>
      <c r="M3974" t="s">
        <v>12370</v>
      </c>
      <c r="N3974">
        <v>143</v>
      </c>
      <c r="O3974" t="s">
        <v>134</v>
      </c>
      <c r="P3974" t="s">
        <v>29</v>
      </c>
      <c r="Q3974">
        <v>38</v>
      </c>
      <c r="R3974">
        <v>-99.999999000000003</v>
      </c>
    </row>
    <row r="3975" spans="1:18" x14ac:dyDescent="0.2">
      <c r="A3975" t="s">
        <v>1200</v>
      </c>
      <c r="B3975" t="s">
        <v>1201</v>
      </c>
      <c r="C3975">
        <v>1</v>
      </c>
      <c r="D3975" s="1">
        <v>44173.681979166664</v>
      </c>
      <c r="E3975" t="s">
        <v>12371</v>
      </c>
      <c r="F3975" t="s">
        <v>1203</v>
      </c>
      <c r="G3975" t="s">
        <v>12372</v>
      </c>
      <c r="H3975" t="s">
        <v>1205</v>
      </c>
      <c r="I3975" t="s">
        <v>29</v>
      </c>
      <c r="J3975">
        <v>1</v>
      </c>
      <c r="K3975">
        <f>1-831-498-2611</f>
        <v>-3939</v>
      </c>
      <c r="L3975" t="s">
        <v>12373</v>
      </c>
      <c r="M3975" t="s">
        <v>12374</v>
      </c>
      <c r="N3975" t="s">
        <v>12375</v>
      </c>
      <c r="O3975" t="s">
        <v>134</v>
      </c>
      <c r="P3975" t="s">
        <v>29</v>
      </c>
      <c r="Q3975">
        <v>34</v>
      </c>
      <c r="R3975">
        <v>-99.999999000000003</v>
      </c>
    </row>
    <row r="3976" spans="1:18" x14ac:dyDescent="0.2">
      <c r="A3976" t="s">
        <v>1200</v>
      </c>
      <c r="B3976" t="s">
        <v>1201</v>
      </c>
      <c r="C3976">
        <v>1</v>
      </c>
      <c r="D3976" s="1">
        <v>44169.669652777775</v>
      </c>
      <c r="E3976" t="s">
        <v>12376</v>
      </c>
      <c r="F3976" t="s">
        <v>1203</v>
      </c>
      <c r="G3976" t="s">
        <v>12372</v>
      </c>
      <c r="H3976" t="s">
        <v>1205</v>
      </c>
      <c r="I3976" t="s">
        <v>29</v>
      </c>
      <c r="J3976">
        <v>1</v>
      </c>
      <c r="K3976">
        <f>1-831-498-2611</f>
        <v>-3939</v>
      </c>
      <c r="L3976" t="s">
        <v>12377</v>
      </c>
      <c r="M3976" t="s">
        <v>12378</v>
      </c>
      <c r="N3976" t="s">
        <v>12375</v>
      </c>
      <c r="O3976" t="s">
        <v>134</v>
      </c>
      <c r="P3976" t="s">
        <v>29</v>
      </c>
      <c r="Q3976">
        <v>34</v>
      </c>
      <c r="R3976">
        <v>-99.999999000000003</v>
      </c>
    </row>
    <row r="3977" spans="1:18" x14ac:dyDescent="0.2">
      <c r="A3977" t="s">
        <v>1200</v>
      </c>
      <c r="B3977" t="s">
        <v>1201</v>
      </c>
      <c r="C3977">
        <v>1</v>
      </c>
      <c r="D3977" s="1">
        <v>44169.668657407405</v>
      </c>
      <c r="E3977" t="s">
        <v>12379</v>
      </c>
      <c r="F3977" t="s">
        <v>1203</v>
      </c>
      <c r="G3977" t="s">
        <v>12372</v>
      </c>
      <c r="H3977" t="s">
        <v>1205</v>
      </c>
      <c r="I3977" t="s">
        <v>29</v>
      </c>
      <c r="J3977">
        <v>1</v>
      </c>
      <c r="K3977">
        <f>1-831-498-2611</f>
        <v>-3939</v>
      </c>
      <c r="L3977" t="s">
        <v>12380</v>
      </c>
      <c r="M3977" t="s">
        <v>12381</v>
      </c>
      <c r="N3977" t="s">
        <v>12375</v>
      </c>
      <c r="O3977" t="s">
        <v>134</v>
      </c>
      <c r="P3977" t="s">
        <v>29</v>
      </c>
      <c r="Q3977">
        <v>34</v>
      </c>
      <c r="R3977">
        <v>-99.999999000000003</v>
      </c>
    </row>
    <row r="3978" spans="1:18" x14ac:dyDescent="0.2">
      <c r="A3978" t="s">
        <v>1200</v>
      </c>
      <c r="B3978" t="s">
        <v>1201</v>
      </c>
      <c r="C3978">
        <v>1</v>
      </c>
      <c r="D3978" s="1">
        <v>44169.667939814812</v>
      </c>
      <c r="E3978" t="s">
        <v>12382</v>
      </c>
      <c r="F3978" t="s">
        <v>1203</v>
      </c>
      <c r="G3978" t="s">
        <v>12372</v>
      </c>
      <c r="H3978" t="s">
        <v>1205</v>
      </c>
      <c r="I3978" t="s">
        <v>29</v>
      </c>
      <c r="J3978">
        <v>1</v>
      </c>
      <c r="K3978">
        <f>1-850-848-5113</f>
        <v>-6810</v>
      </c>
      <c r="L3978" t="s">
        <v>12383</v>
      </c>
      <c r="M3978" t="s">
        <v>12384</v>
      </c>
      <c r="N3978" t="s">
        <v>12375</v>
      </c>
      <c r="O3978" t="s">
        <v>134</v>
      </c>
      <c r="P3978" t="s">
        <v>29</v>
      </c>
      <c r="Q3978">
        <v>34</v>
      </c>
      <c r="R3978">
        <v>-99.999999000000003</v>
      </c>
    </row>
    <row r="3979" spans="1:18" x14ac:dyDescent="0.2">
      <c r="A3979" t="s">
        <v>1200</v>
      </c>
      <c r="B3979" t="s">
        <v>1201</v>
      </c>
      <c r="C3979">
        <v>1</v>
      </c>
      <c r="D3979" s="1">
        <v>44104.378148148149</v>
      </c>
      <c r="E3979" t="s">
        <v>12385</v>
      </c>
      <c r="F3979" t="s">
        <v>1203</v>
      </c>
      <c r="G3979" t="s">
        <v>12372</v>
      </c>
      <c r="H3979" t="s">
        <v>1205</v>
      </c>
      <c r="I3979" t="s">
        <v>29</v>
      </c>
      <c r="J3979">
        <v>1</v>
      </c>
      <c r="K3979">
        <f>1-800-674-3482</f>
        <v>-4955</v>
      </c>
      <c r="L3979" t="s">
        <v>12386</v>
      </c>
      <c r="M3979" t="s">
        <v>12387</v>
      </c>
      <c r="N3979" t="s">
        <v>12375</v>
      </c>
      <c r="O3979" t="s">
        <v>134</v>
      </c>
      <c r="P3979" t="s">
        <v>29</v>
      </c>
      <c r="Q3979">
        <v>34</v>
      </c>
      <c r="R3979">
        <v>-99.999999000000003</v>
      </c>
    </row>
    <row r="3980" spans="1:18" x14ac:dyDescent="0.2">
      <c r="A3980" t="s">
        <v>1200</v>
      </c>
      <c r="B3980" t="s">
        <v>1201</v>
      </c>
      <c r="C3980">
        <v>1</v>
      </c>
      <c r="D3980" s="1">
        <v>44104.374224537038</v>
      </c>
      <c r="E3980" t="s">
        <v>12388</v>
      </c>
      <c r="F3980" t="s">
        <v>1203</v>
      </c>
      <c r="G3980" t="s">
        <v>12372</v>
      </c>
      <c r="H3980" t="s">
        <v>1205</v>
      </c>
      <c r="I3980" t="s">
        <v>29</v>
      </c>
      <c r="J3980">
        <v>1</v>
      </c>
      <c r="K3980">
        <f>1-833-994-385</f>
        <v>-2211</v>
      </c>
      <c r="L3980" t="s">
        <v>12389</v>
      </c>
      <c r="M3980" t="s">
        <v>12390</v>
      </c>
      <c r="N3980" t="s">
        <v>12375</v>
      </c>
      <c r="O3980" t="s">
        <v>134</v>
      </c>
      <c r="P3980" t="s">
        <v>29</v>
      </c>
      <c r="Q3980">
        <v>34</v>
      </c>
      <c r="R3980">
        <v>-99.999999000000003</v>
      </c>
    </row>
    <row r="3981" spans="1:18" x14ac:dyDescent="0.2">
      <c r="A3981" t="s">
        <v>1200</v>
      </c>
      <c r="B3981" t="s">
        <v>1201</v>
      </c>
      <c r="C3981">
        <v>1</v>
      </c>
      <c r="D3981" s="1">
        <v>44104.372349537036</v>
      </c>
      <c r="E3981" t="s">
        <v>12391</v>
      </c>
      <c r="F3981" t="s">
        <v>1203</v>
      </c>
      <c r="G3981" t="s">
        <v>12372</v>
      </c>
      <c r="H3981" t="s">
        <v>1205</v>
      </c>
      <c r="I3981" t="s">
        <v>29</v>
      </c>
      <c r="J3981">
        <v>1</v>
      </c>
      <c r="K3981">
        <f>1-850-738-9027</f>
        <v>-10614</v>
      </c>
      <c r="L3981" t="s">
        <v>12392</v>
      </c>
      <c r="M3981" t="s">
        <v>12393</v>
      </c>
      <c r="N3981" t="s">
        <v>12375</v>
      </c>
      <c r="O3981" t="s">
        <v>134</v>
      </c>
      <c r="P3981" t="s">
        <v>29</v>
      </c>
      <c r="Q3981">
        <v>34</v>
      </c>
      <c r="R3981">
        <v>-99.999999000000003</v>
      </c>
    </row>
    <row r="3982" spans="1:18" x14ac:dyDescent="0.2">
      <c r="A3982" t="s">
        <v>1200</v>
      </c>
      <c r="B3982" t="s">
        <v>1201</v>
      </c>
      <c r="C3982">
        <v>1</v>
      </c>
      <c r="D3982" s="1">
        <v>44104.372152777774</v>
      </c>
      <c r="E3982" t="s">
        <v>12394</v>
      </c>
      <c r="F3982" t="s">
        <v>1203</v>
      </c>
      <c r="G3982" t="s">
        <v>12372</v>
      </c>
      <c r="H3982" t="s">
        <v>1205</v>
      </c>
      <c r="I3982" t="s">
        <v>29</v>
      </c>
      <c r="J3982">
        <v>1</v>
      </c>
      <c r="K3982">
        <f>1-800-674-3482</f>
        <v>-4955</v>
      </c>
      <c r="L3982" t="s">
        <v>12395</v>
      </c>
      <c r="M3982" t="s">
        <v>12396</v>
      </c>
      <c r="N3982" t="s">
        <v>12375</v>
      </c>
      <c r="O3982" t="s">
        <v>134</v>
      </c>
      <c r="P3982" t="s">
        <v>29</v>
      </c>
      <c r="Q3982">
        <v>34</v>
      </c>
      <c r="R3982">
        <v>-99.999999000000003</v>
      </c>
    </row>
    <row r="3983" spans="1:18" x14ac:dyDescent="0.2">
      <c r="A3983" t="s">
        <v>1200</v>
      </c>
      <c r="B3983" t="s">
        <v>1201</v>
      </c>
      <c r="C3983">
        <v>1</v>
      </c>
      <c r="D3983" s="1">
        <v>44071.854837962965</v>
      </c>
      <c r="E3983" t="s">
        <v>12397</v>
      </c>
      <c r="F3983" t="s">
        <v>1203</v>
      </c>
      <c r="G3983" t="s">
        <v>12372</v>
      </c>
      <c r="H3983" t="s">
        <v>1205</v>
      </c>
      <c r="I3983" t="s">
        <v>29</v>
      </c>
      <c r="J3983">
        <v>1</v>
      </c>
      <c r="K3983">
        <f>1-800-923-9683</f>
        <v>-11405</v>
      </c>
      <c r="L3983" t="s">
        <v>12398</v>
      </c>
      <c r="M3983" t="s">
        <v>12399</v>
      </c>
      <c r="N3983" t="s">
        <v>12375</v>
      </c>
      <c r="O3983" t="s">
        <v>134</v>
      </c>
      <c r="P3983" t="s">
        <v>29</v>
      </c>
      <c r="Q3983">
        <v>34</v>
      </c>
      <c r="R3983">
        <v>-99.999999000000003</v>
      </c>
    </row>
    <row r="3984" spans="1:18" x14ac:dyDescent="0.2">
      <c r="A3984" t="s">
        <v>1200</v>
      </c>
      <c r="B3984" t="s">
        <v>1201</v>
      </c>
      <c r="C3984">
        <v>1</v>
      </c>
      <c r="D3984" s="1">
        <v>44071.85465277778</v>
      </c>
      <c r="E3984" t="s">
        <v>12400</v>
      </c>
      <c r="F3984" t="s">
        <v>1203</v>
      </c>
      <c r="G3984" t="s">
        <v>12372</v>
      </c>
      <c r="H3984" t="s">
        <v>1205</v>
      </c>
      <c r="I3984" t="s">
        <v>29</v>
      </c>
      <c r="J3984">
        <v>1</v>
      </c>
      <c r="K3984">
        <f>1-800-923-9683</f>
        <v>-11405</v>
      </c>
      <c r="L3984" t="s">
        <v>12401</v>
      </c>
      <c r="M3984" t="s">
        <v>12402</v>
      </c>
      <c r="N3984" t="s">
        <v>12375</v>
      </c>
      <c r="O3984" t="s">
        <v>134</v>
      </c>
      <c r="P3984" t="s">
        <v>29</v>
      </c>
      <c r="Q3984">
        <v>34</v>
      </c>
      <c r="R3984">
        <v>-99.999999000000003</v>
      </c>
    </row>
    <row r="3985" spans="1:18" x14ac:dyDescent="0.2">
      <c r="A3985" t="s">
        <v>1200</v>
      </c>
      <c r="B3985" t="s">
        <v>1201</v>
      </c>
      <c r="C3985">
        <v>1</v>
      </c>
      <c r="D3985" s="1">
        <v>44071.849560185183</v>
      </c>
      <c r="E3985" t="s">
        <v>12403</v>
      </c>
      <c r="F3985" t="s">
        <v>1203</v>
      </c>
      <c r="G3985" t="s">
        <v>12372</v>
      </c>
      <c r="H3985" t="s">
        <v>1205</v>
      </c>
      <c r="I3985" t="s">
        <v>29</v>
      </c>
      <c r="J3985">
        <v>1</v>
      </c>
      <c r="K3985">
        <f>1-800-283-7126</f>
        <v>-8208</v>
      </c>
      <c r="L3985" t="s">
        <v>12404</v>
      </c>
      <c r="M3985" t="s">
        <v>12405</v>
      </c>
      <c r="N3985" t="s">
        <v>12375</v>
      </c>
      <c r="O3985" t="s">
        <v>134</v>
      </c>
      <c r="P3985" t="s">
        <v>29</v>
      </c>
      <c r="Q3985">
        <v>34</v>
      </c>
      <c r="R3985">
        <v>-99.999999000000003</v>
      </c>
    </row>
    <row r="3986" spans="1:18" x14ac:dyDescent="0.2">
      <c r="A3986" t="s">
        <v>1200</v>
      </c>
      <c r="B3986" t="s">
        <v>1201</v>
      </c>
      <c r="C3986">
        <v>1</v>
      </c>
      <c r="D3986" s="1">
        <v>44071.849166666667</v>
      </c>
      <c r="E3986" t="s">
        <v>12406</v>
      </c>
      <c r="F3986" t="s">
        <v>1203</v>
      </c>
      <c r="G3986" t="s">
        <v>12372</v>
      </c>
      <c r="H3986" t="s">
        <v>1205</v>
      </c>
      <c r="I3986" t="s">
        <v>29</v>
      </c>
      <c r="J3986">
        <v>1</v>
      </c>
      <c r="K3986">
        <f>1-800-965-9951</f>
        <v>-11715</v>
      </c>
      <c r="L3986" t="s">
        <v>12407</v>
      </c>
      <c r="M3986" t="s">
        <v>12408</v>
      </c>
      <c r="N3986" t="s">
        <v>12375</v>
      </c>
      <c r="O3986" t="s">
        <v>134</v>
      </c>
      <c r="P3986" t="s">
        <v>29</v>
      </c>
      <c r="Q3986">
        <v>34</v>
      </c>
      <c r="R3986">
        <v>-99.999999000000003</v>
      </c>
    </row>
    <row r="3987" spans="1:18" x14ac:dyDescent="0.2">
      <c r="A3987" t="s">
        <v>1200</v>
      </c>
      <c r="B3987" t="s">
        <v>1201</v>
      </c>
      <c r="C3987">
        <v>1</v>
      </c>
      <c r="D3987" s="1">
        <v>44071.850405092591</v>
      </c>
      <c r="E3987" t="s">
        <v>12409</v>
      </c>
      <c r="F3987" t="s">
        <v>1203</v>
      </c>
      <c r="G3987" t="s">
        <v>12372</v>
      </c>
      <c r="H3987" t="s">
        <v>1205</v>
      </c>
      <c r="I3987" t="s">
        <v>29</v>
      </c>
      <c r="J3987">
        <v>1</v>
      </c>
      <c r="K3987">
        <f>1-800-283-7126</f>
        <v>-8208</v>
      </c>
      <c r="L3987" t="s">
        <v>12410</v>
      </c>
      <c r="M3987" t="s">
        <v>12411</v>
      </c>
      <c r="N3987" t="s">
        <v>12375</v>
      </c>
      <c r="O3987" t="s">
        <v>134</v>
      </c>
      <c r="P3987" t="s">
        <v>29</v>
      </c>
      <c r="Q3987">
        <v>34</v>
      </c>
      <c r="R3987">
        <v>-99.999999000000003</v>
      </c>
    </row>
    <row r="3988" spans="1:18" x14ac:dyDescent="0.2">
      <c r="A3988" t="s">
        <v>1200</v>
      </c>
      <c r="B3988" t="s">
        <v>1201</v>
      </c>
      <c r="C3988">
        <v>1</v>
      </c>
      <c r="D3988" s="1">
        <v>44071.844780092593</v>
      </c>
      <c r="E3988" t="s">
        <v>12412</v>
      </c>
      <c r="F3988" t="s">
        <v>1203</v>
      </c>
      <c r="G3988" t="s">
        <v>12372</v>
      </c>
      <c r="H3988" t="s">
        <v>1205</v>
      </c>
      <c r="I3988" t="s">
        <v>29</v>
      </c>
      <c r="J3988">
        <v>1</v>
      </c>
      <c r="K3988">
        <f>1-877-558-7176</f>
        <v>-8610</v>
      </c>
      <c r="L3988" t="s">
        <v>12413</v>
      </c>
      <c r="M3988" t="s">
        <v>12414</v>
      </c>
      <c r="N3988" t="s">
        <v>452</v>
      </c>
      <c r="O3988" t="s">
        <v>134</v>
      </c>
      <c r="P3988" t="s">
        <v>29</v>
      </c>
      <c r="Q3988">
        <v>34</v>
      </c>
      <c r="R3988">
        <v>-99.999999000000003</v>
      </c>
    </row>
    <row r="3989" spans="1:18" x14ac:dyDescent="0.2">
      <c r="A3989" t="s">
        <v>1200</v>
      </c>
      <c r="B3989" t="s">
        <v>1201</v>
      </c>
      <c r="C3989">
        <v>1</v>
      </c>
      <c r="D3989" s="1">
        <v>44071.844259259262</v>
      </c>
      <c r="E3989" t="s">
        <v>12415</v>
      </c>
      <c r="F3989" t="s">
        <v>1203</v>
      </c>
      <c r="G3989" t="s">
        <v>12372</v>
      </c>
      <c r="H3989" t="s">
        <v>1205</v>
      </c>
      <c r="I3989" t="s">
        <v>29</v>
      </c>
      <c r="J3989">
        <v>1</v>
      </c>
      <c r="K3989">
        <f>1-850-738-9027</f>
        <v>-10614</v>
      </c>
      <c r="L3989" t="s">
        <v>12416</v>
      </c>
      <c r="M3989" t="s">
        <v>12417</v>
      </c>
      <c r="N3989" t="s">
        <v>12375</v>
      </c>
      <c r="O3989" t="s">
        <v>134</v>
      </c>
      <c r="P3989" t="s">
        <v>29</v>
      </c>
      <c r="Q3989">
        <v>34</v>
      </c>
      <c r="R3989">
        <v>-99.999999000000003</v>
      </c>
    </row>
    <row r="3990" spans="1:18" x14ac:dyDescent="0.2">
      <c r="A3990" t="s">
        <v>1200</v>
      </c>
      <c r="B3990" t="s">
        <v>1201</v>
      </c>
      <c r="C3990">
        <v>1</v>
      </c>
      <c r="D3990" s="1">
        <v>44071.843969907408</v>
      </c>
      <c r="E3990" t="s">
        <v>12418</v>
      </c>
      <c r="F3990" t="s">
        <v>1203</v>
      </c>
      <c r="G3990" t="s">
        <v>12372</v>
      </c>
      <c r="H3990" t="s">
        <v>1205</v>
      </c>
      <c r="I3990" t="s">
        <v>29</v>
      </c>
      <c r="J3990">
        <v>1</v>
      </c>
      <c r="K3990">
        <f>1-850-738-9027</f>
        <v>-10614</v>
      </c>
      <c r="L3990" t="s">
        <v>12419</v>
      </c>
      <c r="M3990" t="s">
        <v>12420</v>
      </c>
      <c r="N3990" t="s">
        <v>12375</v>
      </c>
      <c r="O3990" t="s">
        <v>134</v>
      </c>
      <c r="P3990" t="s">
        <v>29</v>
      </c>
      <c r="Q3990">
        <v>34</v>
      </c>
      <c r="R3990">
        <v>-99.999999000000003</v>
      </c>
    </row>
    <row r="3991" spans="1:18" x14ac:dyDescent="0.2">
      <c r="A3991" t="s">
        <v>439</v>
      </c>
      <c r="B3991" t="s">
        <v>1412</v>
      </c>
      <c r="C3991">
        <v>1</v>
      </c>
      <c r="D3991" s="1">
        <v>44040.590439814812</v>
      </c>
      <c r="E3991" t="s">
        <v>12421</v>
      </c>
      <c r="F3991" t="s">
        <v>442</v>
      </c>
      <c r="G3991" t="s">
        <v>12422</v>
      </c>
      <c r="H3991" t="s">
        <v>444</v>
      </c>
      <c r="I3991" t="s">
        <v>29</v>
      </c>
      <c r="J3991">
        <v>1</v>
      </c>
      <c r="K3991">
        <f>1-888-585-694</f>
        <v>-2166</v>
      </c>
      <c r="L3991" t="s">
        <v>12423</v>
      </c>
      <c r="M3991" t="s">
        <v>12424</v>
      </c>
      <c r="N3991" t="s">
        <v>447</v>
      </c>
      <c r="O3991" t="s">
        <v>28</v>
      </c>
      <c r="P3991" t="s">
        <v>29</v>
      </c>
      <c r="Q3991">
        <v>41</v>
      </c>
      <c r="R3991">
        <v>-74.172399999999996</v>
      </c>
    </row>
    <row r="3992" spans="1:18" x14ac:dyDescent="0.2">
      <c r="A3992" t="s">
        <v>270</v>
      </c>
      <c r="B3992" t="s">
        <v>271</v>
      </c>
      <c r="C3992">
        <v>1</v>
      </c>
      <c r="D3992" s="1">
        <v>44040.59065972222</v>
      </c>
      <c r="E3992" t="s">
        <v>12425</v>
      </c>
      <c r="F3992" t="s">
        <v>273</v>
      </c>
      <c r="G3992" t="s">
        <v>12426</v>
      </c>
      <c r="H3992" t="s">
        <v>275</v>
      </c>
      <c r="I3992" t="s">
        <v>29</v>
      </c>
      <c r="J3992">
        <v>1</v>
      </c>
      <c r="K3992">
        <f>1-844-486-4369</f>
        <v>-5698</v>
      </c>
      <c r="L3992" t="s">
        <v>12427</v>
      </c>
      <c r="M3992" t="s">
        <v>12428</v>
      </c>
      <c r="N3992" t="s">
        <v>278</v>
      </c>
      <c r="O3992" t="s">
        <v>134</v>
      </c>
      <c r="P3992" t="s">
        <v>29</v>
      </c>
      <c r="Q3992">
        <v>42</v>
      </c>
      <c r="R3992">
        <v>-93.620800000000003</v>
      </c>
    </row>
    <row r="3993" spans="1:18" x14ac:dyDescent="0.2">
      <c r="A3993" t="s">
        <v>439</v>
      </c>
      <c r="B3993" t="s">
        <v>1412</v>
      </c>
      <c r="C3993">
        <v>1</v>
      </c>
      <c r="D3993" s="1">
        <v>44040.591296296298</v>
      </c>
      <c r="E3993" t="s">
        <v>12429</v>
      </c>
      <c r="F3993" t="s">
        <v>442</v>
      </c>
      <c r="G3993" t="s">
        <v>12430</v>
      </c>
      <c r="H3993" t="s">
        <v>444</v>
      </c>
      <c r="I3993" t="s">
        <v>29</v>
      </c>
      <c r="J3993">
        <v>1</v>
      </c>
      <c r="K3993">
        <f>1-888-585-694</f>
        <v>-2166</v>
      </c>
      <c r="L3993" t="s">
        <v>12431</v>
      </c>
      <c r="M3993" t="s">
        <v>12432</v>
      </c>
      <c r="N3993" t="s">
        <v>447</v>
      </c>
      <c r="O3993" t="s">
        <v>28</v>
      </c>
      <c r="P3993" t="s">
        <v>29</v>
      </c>
      <c r="Q3993">
        <v>41</v>
      </c>
      <c r="R3993">
        <v>-74.172399999999996</v>
      </c>
    </row>
    <row r="3994" spans="1:18" x14ac:dyDescent="0.2">
      <c r="A3994" t="s">
        <v>12433</v>
      </c>
      <c r="B3994" t="s">
        <v>12434</v>
      </c>
      <c r="C3994">
        <v>1</v>
      </c>
      <c r="D3994" s="1">
        <v>44058.787858796299</v>
      </c>
      <c r="E3994" t="s">
        <v>12435</v>
      </c>
      <c r="F3994" t="s">
        <v>12436</v>
      </c>
      <c r="G3994" t="s">
        <v>12437</v>
      </c>
      <c r="H3994" t="s">
        <v>12438</v>
      </c>
      <c r="I3994" t="s">
        <v>29</v>
      </c>
      <c r="J3994">
        <v>1</v>
      </c>
      <c r="K3994">
        <f>1-888-985-6762</f>
        <v>-8634</v>
      </c>
      <c r="L3994" t="s">
        <v>12439</v>
      </c>
      <c r="M3994" t="s">
        <v>12440</v>
      </c>
      <c r="N3994" t="s">
        <v>5354</v>
      </c>
      <c r="O3994" t="s">
        <v>134</v>
      </c>
      <c r="P3994" t="s">
        <v>29</v>
      </c>
      <c r="Q3994">
        <v>27</v>
      </c>
      <c r="R3994">
        <v>-82.540800000000004</v>
      </c>
    </row>
    <row r="3995" spans="1:18" x14ac:dyDescent="0.2">
      <c r="A3995" t="s">
        <v>12433</v>
      </c>
      <c r="B3995" t="s">
        <v>12434</v>
      </c>
      <c r="C3995">
        <v>1</v>
      </c>
      <c r="D3995" s="1">
        <v>44045.632638888892</v>
      </c>
      <c r="E3995" t="s">
        <v>12441</v>
      </c>
      <c r="F3995" t="s">
        <v>12436</v>
      </c>
      <c r="G3995" t="s">
        <v>12437</v>
      </c>
      <c r="H3995" t="s">
        <v>12438</v>
      </c>
      <c r="I3995" t="s">
        <v>29</v>
      </c>
      <c r="J3995">
        <v>1</v>
      </c>
      <c r="K3995">
        <f>1-888-985-6762</f>
        <v>-8634</v>
      </c>
      <c r="L3995" t="s">
        <v>12442</v>
      </c>
      <c r="M3995" t="s">
        <v>12443</v>
      </c>
      <c r="N3995" t="s">
        <v>5354</v>
      </c>
      <c r="O3995" t="s">
        <v>134</v>
      </c>
      <c r="P3995" t="s">
        <v>29</v>
      </c>
      <c r="Q3995">
        <v>27</v>
      </c>
      <c r="R3995">
        <v>-82.540800000000004</v>
      </c>
    </row>
    <row r="3996" spans="1:18" x14ac:dyDescent="0.2">
      <c r="A3996" t="s">
        <v>12433</v>
      </c>
      <c r="B3996" t="s">
        <v>12434</v>
      </c>
      <c r="C3996">
        <v>1</v>
      </c>
      <c r="D3996" s="1">
        <v>44045.55667824074</v>
      </c>
      <c r="E3996" t="s">
        <v>12444</v>
      </c>
      <c r="F3996" t="s">
        <v>12436</v>
      </c>
      <c r="G3996" t="s">
        <v>12437</v>
      </c>
      <c r="H3996" t="s">
        <v>12438</v>
      </c>
      <c r="I3996" t="s">
        <v>29</v>
      </c>
      <c r="J3996">
        <v>1</v>
      </c>
      <c r="K3996">
        <f>1-888-452-4129</f>
        <v>-5468</v>
      </c>
      <c r="L3996" t="s">
        <v>12445</v>
      </c>
      <c r="M3996" t="s">
        <v>12446</v>
      </c>
      <c r="N3996" t="s">
        <v>12447</v>
      </c>
      <c r="O3996" t="s">
        <v>134</v>
      </c>
      <c r="P3996" t="s">
        <v>29</v>
      </c>
      <c r="Q3996">
        <v>27</v>
      </c>
      <c r="R3996">
        <v>-82.540800000000004</v>
      </c>
    </row>
    <row r="3997" spans="1:18" x14ac:dyDescent="0.2">
      <c r="A3997" t="s">
        <v>12433</v>
      </c>
      <c r="B3997" t="s">
        <v>12434</v>
      </c>
      <c r="C3997">
        <v>1</v>
      </c>
      <c r="D3997" s="1">
        <v>44045.415081018517</v>
      </c>
      <c r="E3997" t="s">
        <v>12448</v>
      </c>
      <c r="F3997" t="s">
        <v>12436</v>
      </c>
      <c r="G3997" t="s">
        <v>12437</v>
      </c>
      <c r="H3997" t="s">
        <v>12438</v>
      </c>
      <c r="I3997" t="s">
        <v>29</v>
      </c>
      <c r="J3997">
        <v>1</v>
      </c>
      <c r="K3997">
        <f>1-888-452-4129</f>
        <v>-5468</v>
      </c>
      <c r="L3997" t="s">
        <v>12449</v>
      </c>
      <c r="M3997" t="s">
        <v>12450</v>
      </c>
      <c r="N3997" t="s">
        <v>5354</v>
      </c>
      <c r="O3997" t="s">
        <v>28</v>
      </c>
      <c r="P3997" t="s">
        <v>29</v>
      </c>
      <c r="Q3997">
        <v>27</v>
      </c>
      <c r="R3997">
        <v>-82.540800000000004</v>
      </c>
    </row>
    <row r="3998" spans="1:18" x14ac:dyDescent="0.2">
      <c r="A3998" t="s">
        <v>12433</v>
      </c>
      <c r="B3998" t="s">
        <v>12434</v>
      </c>
      <c r="C3998">
        <v>1</v>
      </c>
      <c r="D3998" s="1">
        <v>44045.414525462962</v>
      </c>
      <c r="E3998" t="s">
        <v>12451</v>
      </c>
      <c r="F3998" t="s">
        <v>12436</v>
      </c>
      <c r="G3998" t="s">
        <v>12437</v>
      </c>
      <c r="H3998" t="s">
        <v>12438</v>
      </c>
      <c r="I3998" t="s">
        <v>29</v>
      </c>
      <c r="J3998">
        <v>1</v>
      </c>
      <c r="K3998">
        <f>1-888-985-6762</f>
        <v>-8634</v>
      </c>
      <c r="L3998" t="s">
        <v>12452</v>
      </c>
      <c r="M3998" t="s">
        <v>12453</v>
      </c>
      <c r="N3998" t="s">
        <v>5354</v>
      </c>
      <c r="O3998" t="s">
        <v>28</v>
      </c>
      <c r="P3998" t="s">
        <v>29</v>
      </c>
      <c r="Q3998">
        <v>27</v>
      </c>
      <c r="R3998">
        <v>-82.540800000000004</v>
      </c>
    </row>
    <row r="3999" spans="1:18" x14ac:dyDescent="0.2">
      <c r="A3999" t="s">
        <v>12433</v>
      </c>
      <c r="B3999" t="s">
        <v>12434</v>
      </c>
      <c r="C3999">
        <v>1</v>
      </c>
      <c r="D3999" s="1">
        <v>44043.799444444441</v>
      </c>
      <c r="E3999" t="s">
        <v>12454</v>
      </c>
      <c r="F3999" t="s">
        <v>12436</v>
      </c>
      <c r="G3999" t="s">
        <v>12437</v>
      </c>
      <c r="H3999" t="s">
        <v>12438</v>
      </c>
      <c r="I3999" t="s">
        <v>29</v>
      </c>
      <c r="J3999">
        <v>1</v>
      </c>
      <c r="K3999">
        <f>1-888-452-4129</f>
        <v>-5468</v>
      </c>
      <c r="L3999" t="s">
        <v>12455</v>
      </c>
      <c r="M3999" t="s">
        <v>12456</v>
      </c>
      <c r="N3999" t="s">
        <v>12447</v>
      </c>
      <c r="O3999" t="s">
        <v>28</v>
      </c>
      <c r="P3999" t="s">
        <v>29</v>
      </c>
      <c r="Q3999">
        <v>27</v>
      </c>
      <c r="R3999">
        <v>-82.540800000000004</v>
      </c>
    </row>
    <row r="4000" spans="1:18" x14ac:dyDescent="0.2">
      <c r="A4000" t="s">
        <v>12433</v>
      </c>
      <c r="B4000" t="s">
        <v>12434</v>
      </c>
      <c r="C4000">
        <v>1</v>
      </c>
      <c r="D4000" s="1">
        <v>44040.650555555556</v>
      </c>
      <c r="E4000" t="s">
        <v>12457</v>
      </c>
      <c r="F4000" t="s">
        <v>12436</v>
      </c>
      <c r="G4000" t="s">
        <v>12437</v>
      </c>
      <c r="H4000" t="s">
        <v>12438</v>
      </c>
      <c r="I4000" t="s">
        <v>29</v>
      </c>
      <c r="J4000">
        <v>1</v>
      </c>
      <c r="K4000">
        <f>1-888-984-6488</f>
        <v>-8359</v>
      </c>
      <c r="L4000" t="s">
        <v>12458</v>
      </c>
      <c r="M4000" t="s">
        <v>12459</v>
      </c>
      <c r="N4000" t="s">
        <v>5354</v>
      </c>
      <c r="O4000" t="s">
        <v>134</v>
      </c>
      <c r="P4000" t="s">
        <v>29</v>
      </c>
      <c r="Q4000">
        <v>27</v>
      </c>
      <c r="R4000">
        <v>-82.540800000000004</v>
      </c>
    </row>
    <row r="4001" spans="1:18" x14ac:dyDescent="0.2">
      <c r="A4001" t="s">
        <v>12433</v>
      </c>
      <c r="B4001" t="s">
        <v>12434</v>
      </c>
      <c r="C4001">
        <v>1</v>
      </c>
      <c r="D4001" s="1">
        <v>44040.649456018517</v>
      </c>
      <c r="E4001" t="s">
        <v>12460</v>
      </c>
      <c r="F4001" t="s">
        <v>12436</v>
      </c>
      <c r="G4001" t="s">
        <v>12437</v>
      </c>
      <c r="H4001" t="s">
        <v>12438</v>
      </c>
      <c r="I4001" t="s">
        <v>29</v>
      </c>
      <c r="J4001">
        <v>1</v>
      </c>
      <c r="K4001">
        <f>1-888-985-6762</f>
        <v>-8634</v>
      </c>
      <c r="L4001" t="s">
        <v>12461</v>
      </c>
      <c r="M4001" t="s">
        <v>12462</v>
      </c>
      <c r="N4001" t="s">
        <v>5354</v>
      </c>
      <c r="O4001" t="s">
        <v>28</v>
      </c>
      <c r="P4001" t="s">
        <v>29</v>
      </c>
      <c r="Q4001">
        <v>27</v>
      </c>
      <c r="R4001">
        <v>-82.540800000000004</v>
      </c>
    </row>
    <row r="4002" spans="1:18" x14ac:dyDescent="0.2">
      <c r="A4002" t="s">
        <v>12433</v>
      </c>
      <c r="B4002" t="s">
        <v>12434</v>
      </c>
      <c r="C4002">
        <v>1</v>
      </c>
      <c r="D4002" s="1">
        <v>44040.600451388891</v>
      </c>
      <c r="E4002" t="s">
        <v>12463</v>
      </c>
      <c r="F4002" t="s">
        <v>12436</v>
      </c>
      <c r="G4002" t="s">
        <v>12437</v>
      </c>
      <c r="H4002" t="s">
        <v>12438</v>
      </c>
      <c r="I4002" t="s">
        <v>29</v>
      </c>
      <c r="J4002">
        <v>1</v>
      </c>
      <c r="K4002">
        <f>1-888-984-6488</f>
        <v>-8359</v>
      </c>
      <c r="L4002" t="s">
        <v>12464</v>
      </c>
      <c r="M4002" t="s">
        <v>12465</v>
      </c>
      <c r="N4002" t="s">
        <v>5354</v>
      </c>
      <c r="O4002" t="s">
        <v>134</v>
      </c>
      <c r="P4002" t="s">
        <v>29</v>
      </c>
      <c r="Q4002">
        <v>27</v>
      </c>
      <c r="R4002">
        <v>-82.540800000000004</v>
      </c>
    </row>
    <row r="4003" spans="1:18" x14ac:dyDescent="0.2">
      <c r="A4003" t="s">
        <v>12433</v>
      </c>
      <c r="B4003" t="s">
        <v>12434</v>
      </c>
      <c r="C4003">
        <v>1</v>
      </c>
      <c r="D4003" s="1">
        <v>44040.594155092593</v>
      </c>
      <c r="E4003" t="s">
        <v>12451</v>
      </c>
      <c r="F4003" t="s">
        <v>12436</v>
      </c>
      <c r="G4003" t="s">
        <v>12437</v>
      </c>
      <c r="H4003" t="s">
        <v>12438</v>
      </c>
      <c r="I4003" t="s">
        <v>29</v>
      </c>
      <c r="J4003">
        <v>1</v>
      </c>
      <c r="K4003">
        <f>1-888-984-6488</f>
        <v>-8359</v>
      </c>
      <c r="L4003" t="s">
        <v>12466</v>
      </c>
      <c r="M4003" t="s">
        <v>12467</v>
      </c>
      <c r="N4003" t="s">
        <v>5354</v>
      </c>
      <c r="O4003" t="s">
        <v>134</v>
      </c>
      <c r="P4003" t="s">
        <v>29</v>
      </c>
      <c r="Q4003">
        <v>27</v>
      </c>
      <c r="R4003">
        <v>-82.540800000000004</v>
      </c>
    </row>
    <row r="4004" spans="1:18" x14ac:dyDescent="0.2">
      <c r="A4004" t="s">
        <v>439</v>
      </c>
      <c r="B4004" t="s">
        <v>440</v>
      </c>
      <c r="C4004">
        <v>33</v>
      </c>
      <c r="D4004" s="1">
        <v>44040.604120370372</v>
      </c>
      <c r="E4004" t="s">
        <v>12468</v>
      </c>
      <c r="F4004" t="s">
        <v>442</v>
      </c>
      <c r="G4004" t="s">
        <v>12469</v>
      </c>
      <c r="H4004" t="s">
        <v>444</v>
      </c>
      <c r="I4004" t="s">
        <v>292</v>
      </c>
      <c r="J4004">
        <v>33</v>
      </c>
      <c r="K4004">
        <f>33-1-85-15-83-2</f>
        <v>-153</v>
      </c>
      <c r="L4004" t="s">
        <v>12470</v>
      </c>
      <c r="M4004" t="s">
        <v>12471</v>
      </c>
      <c r="N4004" t="s">
        <v>7016</v>
      </c>
      <c r="O4004" t="s">
        <v>134</v>
      </c>
      <c r="P4004" t="s">
        <v>29</v>
      </c>
      <c r="Q4004">
        <v>39</v>
      </c>
      <c r="R4004">
        <v>-77.487399999999994</v>
      </c>
    </row>
    <row r="4005" spans="1:18" x14ac:dyDescent="0.2">
      <c r="A4005" t="s">
        <v>439</v>
      </c>
      <c r="B4005" t="s">
        <v>3094</v>
      </c>
      <c r="C4005">
        <v>33</v>
      </c>
      <c r="D4005" s="1">
        <v>44040.604571759257</v>
      </c>
      <c r="E4005" t="s">
        <v>12472</v>
      </c>
      <c r="F4005" t="s">
        <v>442</v>
      </c>
      <c r="G4005" t="s">
        <v>12473</v>
      </c>
      <c r="H4005" t="s">
        <v>444</v>
      </c>
      <c r="I4005" t="s">
        <v>292</v>
      </c>
      <c r="J4005">
        <v>33</v>
      </c>
      <c r="K4005">
        <f>33-1-85-15-83-2</f>
        <v>-153</v>
      </c>
      <c r="L4005" t="s">
        <v>12474</v>
      </c>
      <c r="M4005" t="s">
        <v>12475</v>
      </c>
      <c r="N4005" t="s">
        <v>7016</v>
      </c>
      <c r="O4005" t="s">
        <v>134</v>
      </c>
      <c r="P4005" t="s">
        <v>2268</v>
      </c>
      <c r="Q4005">
        <v>46</v>
      </c>
      <c r="R4005">
        <v>-73.567300000000003</v>
      </c>
    </row>
    <row r="4006" spans="1:18" x14ac:dyDescent="0.2">
      <c r="A4006" t="s">
        <v>6586</v>
      </c>
      <c r="B4006" t="s">
        <v>6134</v>
      </c>
      <c r="C4006">
        <v>1</v>
      </c>
      <c r="D4006" s="1">
        <v>44040.619016203702</v>
      </c>
      <c r="E4006" t="s">
        <v>12476</v>
      </c>
      <c r="F4006" t="s">
        <v>6588</v>
      </c>
      <c r="G4006" t="s">
        <v>12477</v>
      </c>
      <c r="H4006" t="s">
        <v>6590</v>
      </c>
      <c r="I4006" t="s">
        <v>29</v>
      </c>
      <c r="J4006">
        <v>1</v>
      </c>
      <c r="K4006">
        <f>1-844-468-549</f>
        <v>-1860</v>
      </c>
      <c r="L4006" t="s">
        <v>12478</v>
      </c>
      <c r="M4006" t="s">
        <v>12479</v>
      </c>
      <c r="N4006" t="s">
        <v>452</v>
      </c>
      <c r="O4006" t="s">
        <v>134</v>
      </c>
      <c r="P4006" t="s">
        <v>29</v>
      </c>
      <c r="Q4006">
        <v>33</v>
      </c>
      <c r="R4006">
        <v>-96.821700000000007</v>
      </c>
    </row>
    <row r="4007" spans="1:18" x14ac:dyDescent="0.2">
      <c r="A4007" t="s">
        <v>12480</v>
      </c>
      <c r="B4007" t="s">
        <v>12481</v>
      </c>
      <c r="C4007">
        <v>1</v>
      </c>
      <c r="D4007" s="1">
        <v>44040.620787037034</v>
      </c>
      <c r="E4007" t="s">
        <v>12482</v>
      </c>
      <c r="F4007" t="s">
        <v>12483</v>
      </c>
      <c r="G4007" t="s">
        <v>12484</v>
      </c>
      <c r="H4007" t="s">
        <v>12485</v>
      </c>
      <c r="I4007" t="s">
        <v>29</v>
      </c>
      <c r="J4007">
        <v>1</v>
      </c>
      <c r="K4007">
        <f>1-888-985-6762</f>
        <v>-8634</v>
      </c>
      <c r="L4007" t="s">
        <v>12486</v>
      </c>
      <c r="M4007" t="s">
        <v>12487</v>
      </c>
      <c r="N4007" t="s">
        <v>7822</v>
      </c>
      <c r="O4007" t="s">
        <v>28</v>
      </c>
      <c r="P4007" t="s">
        <v>29</v>
      </c>
      <c r="Q4007">
        <v>34</v>
      </c>
      <c r="R4007">
        <v>-99.999999000000003</v>
      </c>
    </row>
    <row r="4008" spans="1:18" x14ac:dyDescent="0.2">
      <c r="A4008" t="s">
        <v>439</v>
      </c>
      <c r="B4008" t="s">
        <v>1412</v>
      </c>
      <c r="C4008">
        <v>1</v>
      </c>
      <c r="D4008" s="1">
        <v>44040.631655092591</v>
      </c>
      <c r="E4008" t="s">
        <v>12421</v>
      </c>
      <c r="F4008" t="s">
        <v>442</v>
      </c>
      <c r="G4008" t="s">
        <v>12488</v>
      </c>
      <c r="H4008" t="s">
        <v>444</v>
      </c>
      <c r="I4008" t="s">
        <v>29</v>
      </c>
      <c r="J4008">
        <v>1</v>
      </c>
      <c r="K4008">
        <f>1-888-888-8888</f>
        <v>-10663</v>
      </c>
      <c r="L4008" t="s">
        <v>12489</v>
      </c>
      <c r="M4008" t="s">
        <v>12490</v>
      </c>
      <c r="N4008" t="s">
        <v>447</v>
      </c>
      <c r="O4008" t="s">
        <v>28</v>
      </c>
      <c r="P4008" t="s">
        <v>29</v>
      </c>
      <c r="Q4008">
        <v>41</v>
      </c>
      <c r="R4008">
        <v>-74.172399999999996</v>
      </c>
    </row>
    <row r="4009" spans="1:18" x14ac:dyDescent="0.2">
      <c r="A4009" t="s">
        <v>439</v>
      </c>
      <c r="B4009" t="s">
        <v>440</v>
      </c>
      <c r="C4009">
        <v>1</v>
      </c>
      <c r="D4009" s="1">
        <v>44040.629467592589</v>
      </c>
      <c r="E4009" t="s">
        <v>12429</v>
      </c>
      <c r="F4009" t="s">
        <v>442</v>
      </c>
      <c r="G4009" t="s">
        <v>12491</v>
      </c>
      <c r="H4009" t="s">
        <v>444</v>
      </c>
      <c r="I4009" t="s">
        <v>29</v>
      </c>
      <c r="J4009">
        <v>1</v>
      </c>
      <c r="K4009">
        <f>1-888-888-8888</f>
        <v>-10663</v>
      </c>
      <c r="L4009" t="s">
        <v>12492</v>
      </c>
      <c r="M4009" t="s">
        <v>12493</v>
      </c>
      <c r="N4009" t="s">
        <v>447</v>
      </c>
      <c r="O4009" t="s">
        <v>28</v>
      </c>
      <c r="P4009" t="s">
        <v>29</v>
      </c>
      <c r="Q4009">
        <v>39</v>
      </c>
      <c r="R4009">
        <v>-77.487399999999994</v>
      </c>
    </row>
    <row r="4010" spans="1:18" x14ac:dyDescent="0.2">
      <c r="A4010" t="s">
        <v>1200</v>
      </c>
      <c r="B4010" t="s">
        <v>2500</v>
      </c>
      <c r="C4010">
        <v>1</v>
      </c>
      <c r="D4010" s="1">
        <v>44045.707106481481</v>
      </c>
      <c r="E4010" t="s">
        <v>12494</v>
      </c>
      <c r="F4010" t="s">
        <v>1203</v>
      </c>
      <c r="G4010" t="s">
        <v>12495</v>
      </c>
      <c r="H4010" t="s">
        <v>1205</v>
      </c>
      <c r="I4010" t="s">
        <v>29</v>
      </c>
      <c r="J4010">
        <v>1</v>
      </c>
      <c r="K4010">
        <f>1-800-360-6043</f>
        <v>-7202</v>
      </c>
      <c r="L4010" t="s">
        <v>12496</v>
      </c>
      <c r="M4010" t="s">
        <v>12497</v>
      </c>
      <c r="N4010" t="s">
        <v>452</v>
      </c>
      <c r="O4010" t="s">
        <v>134</v>
      </c>
      <c r="P4010" t="s">
        <v>2500</v>
      </c>
      <c r="Q4010">
        <v>1</v>
      </c>
      <c r="R4010">
        <v>99.999999000000003</v>
      </c>
    </row>
    <row r="4011" spans="1:18" x14ac:dyDescent="0.2">
      <c r="A4011" t="s">
        <v>1200</v>
      </c>
      <c r="B4011" t="s">
        <v>2500</v>
      </c>
      <c r="C4011">
        <v>1</v>
      </c>
      <c r="D4011" s="1">
        <v>44040.630601851852</v>
      </c>
      <c r="E4011" t="s">
        <v>12498</v>
      </c>
      <c r="F4011" t="s">
        <v>1203</v>
      </c>
      <c r="G4011" t="s">
        <v>12495</v>
      </c>
      <c r="H4011" t="s">
        <v>1205</v>
      </c>
      <c r="I4011" t="s">
        <v>29</v>
      </c>
      <c r="J4011">
        <v>1</v>
      </c>
      <c r="K4011">
        <f>1-800-360-6043</f>
        <v>-7202</v>
      </c>
      <c r="L4011" t="s">
        <v>12499</v>
      </c>
      <c r="M4011" t="s">
        <v>12500</v>
      </c>
      <c r="N4011" t="s">
        <v>452</v>
      </c>
      <c r="O4011" t="s">
        <v>134</v>
      </c>
      <c r="P4011" t="s">
        <v>2500</v>
      </c>
      <c r="Q4011">
        <v>1</v>
      </c>
      <c r="R4011">
        <v>99.999999000000003</v>
      </c>
    </row>
    <row r="4012" spans="1:18" x14ac:dyDescent="0.2">
      <c r="A4012" t="s">
        <v>439</v>
      </c>
      <c r="B4012" t="s">
        <v>1412</v>
      </c>
      <c r="C4012">
        <v>33</v>
      </c>
      <c r="D4012" s="1">
        <v>44040.745046296295</v>
      </c>
      <c r="E4012" t="s">
        <v>12501</v>
      </c>
      <c r="F4012" t="s">
        <v>442</v>
      </c>
      <c r="G4012" t="s">
        <v>12502</v>
      </c>
      <c r="H4012" t="s">
        <v>444</v>
      </c>
      <c r="I4012" t="s">
        <v>292</v>
      </c>
      <c r="J4012">
        <v>33</v>
      </c>
      <c r="K4012">
        <f>33-1-851-49-603</f>
        <v>-1471</v>
      </c>
      <c r="L4012" t="s">
        <v>12503</v>
      </c>
      <c r="M4012" t="s">
        <v>12504</v>
      </c>
      <c r="N4012" t="s">
        <v>452</v>
      </c>
      <c r="O4012" t="s">
        <v>134</v>
      </c>
      <c r="P4012" t="s">
        <v>29</v>
      </c>
      <c r="Q4012">
        <v>41</v>
      </c>
      <c r="R4012">
        <v>-74.172399999999996</v>
      </c>
    </row>
    <row r="4013" spans="1:18" x14ac:dyDescent="0.2">
      <c r="A4013" t="s">
        <v>270</v>
      </c>
      <c r="B4013" t="s">
        <v>440</v>
      </c>
      <c r="C4013">
        <v>1</v>
      </c>
      <c r="D4013" s="1">
        <v>44149.134398148148</v>
      </c>
      <c r="E4013" t="s">
        <v>12505</v>
      </c>
      <c r="F4013" t="s">
        <v>273</v>
      </c>
      <c r="G4013" t="s">
        <v>12506</v>
      </c>
      <c r="H4013" t="s">
        <v>275</v>
      </c>
      <c r="I4013" t="s">
        <v>29</v>
      </c>
      <c r="J4013">
        <v>1</v>
      </c>
      <c r="K4013">
        <f>1-844-295-6539</f>
        <v>-7677</v>
      </c>
      <c r="L4013" t="s">
        <v>12507</v>
      </c>
      <c r="M4013" t="s">
        <v>12508</v>
      </c>
      <c r="N4013" t="s">
        <v>278</v>
      </c>
      <c r="O4013" t="s">
        <v>134</v>
      </c>
      <c r="P4013" t="s">
        <v>29</v>
      </c>
      <c r="Q4013">
        <v>39</v>
      </c>
      <c r="R4013">
        <v>-77.487399999999994</v>
      </c>
    </row>
    <row r="4014" spans="1:18" x14ac:dyDescent="0.2">
      <c r="A4014" t="s">
        <v>270</v>
      </c>
      <c r="B4014" t="s">
        <v>440</v>
      </c>
      <c r="C4014">
        <v>1</v>
      </c>
      <c r="D4014" s="1">
        <v>44149.123923611114</v>
      </c>
      <c r="E4014" t="s">
        <v>12509</v>
      </c>
      <c r="F4014" t="s">
        <v>273</v>
      </c>
      <c r="G4014" t="s">
        <v>12506</v>
      </c>
      <c r="H4014" t="s">
        <v>275</v>
      </c>
      <c r="I4014" t="s">
        <v>29</v>
      </c>
      <c r="J4014">
        <v>1</v>
      </c>
      <c r="K4014">
        <f>1-844-295-5840</f>
        <v>-6978</v>
      </c>
      <c r="L4014" t="s">
        <v>12510</v>
      </c>
      <c r="M4014" t="s">
        <v>12511</v>
      </c>
      <c r="N4014" t="s">
        <v>278</v>
      </c>
      <c r="O4014" t="s">
        <v>134</v>
      </c>
      <c r="P4014" t="s">
        <v>29</v>
      </c>
      <c r="Q4014">
        <v>39</v>
      </c>
      <c r="R4014">
        <v>-77.487399999999994</v>
      </c>
    </row>
    <row r="4015" spans="1:18" x14ac:dyDescent="0.2">
      <c r="A4015" t="s">
        <v>270</v>
      </c>
      <c r="B4015" t="s">
        <v>440</v>
      </c>
      <c r="C4015">
        <v>1</v>
      </c>
      <c r="D4015" s="1">
        <v>44149.121863425928</v>
      </c>
      <c r="E4015" t="s">
        <v>12512</v>
      </c>
      <c r="F4015" t="s">
        <v>273</v>
      </c>
      <c r="G4015" t="s">
        <v>12506</v>
      </c>
      <c r="H4015" t="s">
        <v>275</v>
      </c>
      <c r="I4015" t="s">
        <v>29</v>
      </c>
      <c r="J4015">
        <v>1</v>
      </c>
      <c r="K4015">
        <f>1-844-295-7564</f>
        <v>-8702</v>
      </c>
      <c r="L4015" t="s">
        <v>12513</v>
      </c>
      <c r="M4015" t="s">
        <v>12514</v>
      </c>
      <c r="N4015" t="s">
        <v>278</v>
      </c>
      <c r="O4015" t="s">
        <v>134</v>
      </c>
      <c r="P4015" t="s">
        <v>29</v>
      </c>
      <c r="Q4015">
        <v>39</v>
      </c>
      <c r="R4015">
        <v>-77.487399999999994</v>
      </c>
    </row>
    <row r="4016" spans="1:18" x14ac:dyDescent="0.2">
      <c r="A4016" t="s">
        <v>270</v>
      </c>
      <c r="B4016" t="s">
        <v>440</v>
      </c>
      <c r="C4016">
        <v>1</v>
      </c>
      <c r="D4016" s="1">
        <v>44140.780659722222</v>
      </c>
      <c r="E4016" t="s">
        <v>12515</v>
      </c>
      <c r="F4016" t="s">
        <v>273</v>
      </c>
      <c r="G4016" t="s">
        <v>12506</v>
      </c>
      <c r="H4016" t="s">
        <v>275</v>
      </c>
      <c r="I4016" t="s">
        <v>29</v>
      </c>
      <c r="J4016">
        <v>1</v>
      </c>
      <c r="K4016">
        <f>1-888-397-7606</f>
        <v>-8890</v>
      </c>
      <c r="L4016" t="s">
        <v>12516</v>
      </c>
      <c r="M4016" t="s">
        <v>12517</v>
      </c>
      <c r="N4016" t="s">
        <v>278</v>
      </c>
      <c r="O4016" t="s">
        <v>28</v>
      </c>
      <c r="P4016" t="s">
        <v>29</v>
      </c>
      <c r="Q4016">
        <v>39</v>
      </c>
      <c r="R4016">
        <v>-77.487399999999994</v>
      </c>
    </row>
    <row r="4017" spans="1:18" x14ac:dyDescent="0.2">
      <c r="A4017" t="s">
        <v>270</v>
      </c>
      <c r="B4017" t="s">
        <v>440</v>
      </c>
      <c r="C4017">
        <v>1</v>
      </c>
      <c r="D4017" s="1">
        <v>44140.779479166667</v>
      </c>
      <c r="E4017" t="s">
        <v>12518</v>
      </c>
      <c r="F4017" t="s">
        <v>273</v>
      </c>
      <c r="G4017" t="s">
        <v>12506</v>
      </c>
      <c r="H4017" t="s">
        <v>275</v>
      </c>
      <c r="I4017" t="s">
        <v>29</v>
      </c>
      <c r="J4017">
        <v>1</v>
      </c>
      <c r="K4017">
        <f>1-888-397-7606</f>
        <v>-8890</v>
      </c>
      <c r="L4017" t="s">
        <v>12519</v>
      </c>
      <c r="M4017" t="s">
        <v>12520</v>
      </c>
      <c r="N4017" t="s">
        <v>278</v>
      </c>
      <c r="O4017" t="s">
        <v>28</v>
      </c>
      <c r="P4017" t="s">
        <v>29</v>
      </c>
      <c r="Q4017">
        <v>39</v>
      </c>
      <c r="R4017">
        <v>-77.487399999999994</v>
      </c>
    </row>
    <row r="4018" spans="1:18" x14ac:dyDescent="0.2">
      <c r="A4018" t="s">
        <v>270</v>
      </c>
      <c r="B4018" t="s">
        <v>440</v>
      </c>
      <c r="C4018">
        <v>1</v>
      </c>
      <c r="D4018" s="1">
        <v>44139.802465277775</v>
      </c>
      <c r="E4018" t="s">
        <v>12521</v>
      </c>
      <c r="F4018" t="s">
        <v>273</v>
      </c>
      <c r="G4018" t="s">
        <v>12506</v>
      </c>
      <c r="H4018" t="s">
        <v>275</v>
      </c>
      <c r="I4018" t="s">
        <v>29</v>
      </c>
      <c r="J4018">
        <v>1</v>
      </c>
      <c r="K4018">
        <f>1-888-352-1908</f>
        <v>-3147</v>
      </c>
      <c r="L4018" t="s">
        <v>12522</v>
      </c>
      <c r="M4018" t="s">
        <v>12523</v>
      </c>
      <c r="N4018" t="s">
        <v>278</v>
      </c>
      <c r="O4018" t="s">
        <v>28</v>
      </c>
      <c r="P4018" t="s">
        <v>29</v>
      </c>
      <c r="Q4018">
        <v>39</v>
      </c>
      <c r="R4018">
        <v>-77.487399999999994</v>
      </c>
    </row>
    <row r="4019" spans="1:18" x14ac:dyDescent="0.2">
      <c r="A4019" t="s">
        <v>270</v>
      </c>
      <c r="B4019" t="s">
        <v>440</v>
      </c>
      <c r="C4019">
        <v>1</v>
      </c>
      <c r="D4019" s="1">
        <v>44130.787939814814</v>
      </c>
      <c r="E4019" t="s">
        <v>12524</v>
      </c>
      <c r="F4019" t="s">
        <v>273</v>
      </c>
      <c r="G4019" t="s">
        <v>12506</v>
      </c>
      <c r="H4019" t="s">
        <v>275</v>
      </c>
      <c r="I4019" t="s">
        <v>29</v>
      </c>
      <c r="J4019">
        <v>1</v>
      </c>
      <c r="K4019">
        <f>1-888-283-3493</f>
        <v>-4663</v>
      </c>
      <c r="L4019" t="s">
        <v>12525</v>
      </c>
      <c r="M4019" t="s">
        <v>12526</v>
      </c>
      <c r="N4019" t="s">
        <v>278</v>
      </c>
      <c r="O4019" t="s">
        <v>28</v>
      </c>
      <c r="P4019" t="s">
        <v>29</v>
      </c>
      <c r="Q4019">
        <v>39</v>
      </c>
      <c r="R4019">
        <v>-77.487399999999994</v>
      </c>
    </row>
    <row r="4020" spans="1:18" x14ac:dyDescent="0.2">
      <c r="A4020" t="s">
        <v>270</v>
      </c>
      <c r="B4020" t="s">
        <v>440</v>
      </c>
      <c r="C4020">
        <v>1</v>
      </c>
      <c r="D4020" s="1">
        <v>44109.911620370367</v>
      </c>
      <c r="E4020" t="s">
        <v>12527</v>
      </c>
      <c r="F4020" t="s">
        <v>273</v>
      </c>
      <c r="G4020" t="s">
        <v>12506</v>
      </c>
      <c r="H4020" t="s">
        <v>275</v>
      </c>
      <c r="I4020" t="s">
        <v>29</v>
      </c>
      <c r="J4020">
        <v>1</v>
      </c>
      <c r="K4020">
        <f>1-888-298-6326</f>
        <v>-7511</v>
      </c>
      <c r="L4020" t="s">
        <v>12528</v>
      </c>
      <c r="M4020" t="s">
        <v>12529</v>
      </c>
      <c r="N4020" t="s">
        <v>278</v>
      </c>
      <c r="O4020" t="s">
        <v>28</v>
      </c>
      <c r="P4020" t="s">
        <v>29</v>
      </c>
      <c r="Q4020">
        <v>39</v>
      </c>
      <c r="R4020">
        <v>-77.487399999999994</v>
      </c>
    </row>
    <row r="4021" spans="1:18" x14ac:dyDescent="0.2">
      <c r="A4021" t="s">
        <v>270</v>
      </c>
      <c r="B4021" t="s">
        <v>440</v>
      </c>
      <c r="C4021">
        <v>1</v>
      </c>
      <c r="D4021" s="1">
        <v>44104.93340277778</v>
      </c>
      <c r="E4021" t="s">
        <v>12530</v>
      </c>
      <c r="F4021" t="s">
        <v>273</v>
      </c>
      <c r="G4021" t="s">
        <v>12506</v>
      </c>
      <c r="H4021" t="s">
        <v>275</v>
      </c>
      <c r="I4021" t="s">
        <v>29</v>
      </c>
      <c r="J4021">
        <v>1</v>
      </c>
      <c r="K4021">
        <f>1-888-210-3270</f>
        <v>-4367</v>
      </c>
      <c r="L4021" t="s">
        <v>12531</v>
      </c>
      <c r="M4021" t="s">
        <v>12532</v>
      </c>
      <c r="N4021" t="s">
        <v>278</v>
      </c>
      <c r="O4021" t="s">
        <v>134</v>
      </c>
      <c r="P4021" t="s">
        <v>29</v>
      </c>
      <c r="Q4021">
        <v>39</v>
      </c>
      <c r="R4021">
        <v>-77.487399999999994</v>
      </c>
    </row>
    <row r="4022" spans="1:18" x14ac:dyDescent="0.2">
      <c r="A4022" t="s">
        <v>270</v>
      </c>
      <c r="B4022" t="s">
        <v>440</v>
      </c>
      <c r="C4022">
        <v>1</v>
      </c>
      <c r="D4022" s="1">
        <v>44104.893888888888</v>
      </c>
      <c r="E4022" t="s">
        <v>12533</v>
      </c>
      <c r="F4022" t="s">
        <v>273</v>
      </c>
      <c r="G4022" t="s">
        <v>12506</v>
      </c>
      <c r="H4022" t="s">
        <v>275</v>
      </c>
      <c r="I4022" t="s">
        <v>29</v>
      </c>
      <c r="J4022">
        <v>1</v>
      </c>
      <c r="K4022">
        <f>1-888-210-6084</f>
        <v>-7181</v>
      </c>
      <c r="L4022" t="s">
        <v>12534</v>
      </c>
      <c r="M4022" t="s">
        <v>12535</v>
      </c>
      <c r="N4022" t="s">
        <v>278</v>
      </c>
      <c r="O4022" t="s">
        <v>28</v>
      </c>
      <c r="P4022" t="s">
        <v>29</v>
      </c>
      <c r="Q4022">
        <v>39</v>
      </c>
      <c r="R4022">
        <v>-77.487399999999994</v>
      </c>
    </row>
    <row r="4023" spans="1:18" x14ac:dyDescent="0.2">
      <c r="A4023" t="s">
        <v>270</v>
      </c>
      <c r="B4023" t="s">
        <v>440</v>
      </c>
      <c r="C4023">
        <v>1</v>
      </c>
      <c r="D4023" s="1">
        <v>44103.839398148149</v>
      </c>
      <c r="E4023" t="s">
        <v>12536</v>
      </c>
      <c r="F4023" t="s">
        <v>273</v>
      </c>
      <c r="G4023" t="s">
        <v>12506</v>
      </c>
      <c r="H4023" t="s">
        <v>275</v>
      </c>
      <c r="I4023" t="s">
        <v>29</v>
      </c>
      <c r="J4023">
        <v>1</v>
      </c>
      <c r="K4023">
        <f>1-888-223-1452</f>
        <v>-2562</v>
      </c>
      <c r="L4023" t="s">
        <v>12537</v>
      </c>
      <c r="M4023" t="s">
        <v>12538</v>
      </c>
      <c r="N4023" t="s">
        <v>278</v>
      </c>
      <c r="O4023" t="s">
        <v>28</v>
      </c>
      <c r="P4023" t="s">
        <v>29</v>
      </c>
      <c r="Q4023">
        <v>39</v>
      </c>
      <c r="R4023">
        <v>-77.487399999999994</v>
      </c>
    </row>
    <row r="4024" spans="1:18" x14ac:dyDescent="0.2">
      <c r="A4024" t="s">
        <v>270</v>
      </c>
      <c r="B4024" t="s">
        <v>440</v>
      </c>
      <c r="C4024">
        <v>1</v>
      </c>
      <c r="D4024" s="1">
        <v>44097.884456018517</v>
      </c>
      <c r="E4024" t="s">
        <v>12539</v>
      </c>
      <c r="F4024" t="s">
        <v>273</v>
      </c>
      <c r="G4024" t="s">
        <v>12506</v>
      </c>
      <c r="H4024" t="s">
        <v>275</v>
      </c>
      <c r="I4024" t="s">
        <v>29</v>
      </c>
      <c r="J4024">
        <v>1</v>
      </c>
      <c r="K4024">
        <f>1-888-210-3744</f>
        <v>-4841</v>
      </c>
      <c r="L4024" t="s">
        <v>12540</v>
      </c>
      <c r="M4024" t="s">
        <v>12541</v>
      </c>
      <c r="N4024" t="s">
        <v>278</v>
      </c>
      <c r="O4024" t="s">
        <v>28</v>
      </c>
      <c r="P4024" t="s">
        <v>29</v>
      </c>
      <c r="Q4024">
        <v>39</v>
      </c>
      <c r="R4024">
        <v>-77.487399999999994</v>
      </c>
    </row>
    <row r="4025" spans="1:18" x14ac:dyDescent="0.2">
      <c r="A4025" t="s">
        <v>270</v>
      </c>
      <c r="B4025" t="s">
        <v>440</v>
      </c>
      <c r="C4025">
        <v>1</v>
      </c>
      <c r="D4025" s="1">
        <v>44096.367696759262</v>
      </c>
      <c r="E4025" t="s">
        <v>12542</v>
      </c>
      <c r="F4025" t="s">
        <v>273</v>
      </c>
      <c r="G4025" t="s">
        <v>12506</v>
      </c>
      <c r="H4025" t="s">
        <v>275</v>
      </c>
      <c r="I4025" t="s">
        <v>29</v>
      </c>
      <c r="J4025">
        <v>1</v>
      </c>
      <c r="K4025">
        <f>1-844-305-9953</f>
        <v>-11101</v>
      </c>
      <c r="L4025" t="s">
        <v>12543</v>
      </c>
      <c r="M4025" t="s">
        <v>12544</v>
      </c>
      <c r="N4025" t="s">
        <v>278</v>
      </c>
      <c r="O4025" t="s">
        <v>28</v>
      </c>
      <c r="P4025" t="s">
        <v>29</v>
      </c>
      <c r="Q4025">
        <v>39</v>
      </c>
      <c r="R4025">
        <v>-77.487399999999994</v>
      </c>
    </row>
    <row r="4026" spans="1:18" x14ac:dyDescent="0.2">
      <c r="A4026" t="s">
        <v>270</v>
      </c>
      <c r="B4026" t="s">
        <v>440</v>
      </c>
      <c r="C4026">
        <v>1</v>
      </c>
      <c r="D4026" s="1">
        <v>44096.366122685184</v>
      </c>
      <c r="E4026" t="s">
        <v>12545</v>
      </c>
      <c r="F4026" t="s">
        <v>273</v>
      </c>
      <c r="G4026" t="s">
        <v>12506</v>
      </c>
      <c r="H4026" t="s">
        <v>275</v>
      </c>
      <c r="I4026" t="s">
        <v>29</v>
      </c>
      <c r="J4026">
        <v>1</v>
      </c>
      <c r="K4026">
        <f>1-844-318-5957</f>
        <v>-7118</v>
      </c>
      <c r="L4026" t="s">
        <v>12546</v>
      </c>
      <c r="M4026" t="s">
        <v>12547</v>
      </c>
      <c r="N4026" t="s">
        <v>278</v>
      </c>
      <c r="O4026" t="s">
        <v>28</v>
      </c>
      <c r="P4026" t="s">
        <v>29</v>
      </c>
      <c r="Q4026">
        <v>39</v>
      </c>
      <c r="R4026">
        <v>-77.487399999999994</v>
      </c>
    </row>
    <row r="4027" spans="1:18" x14ac:dyDescent="0.2">
      <c r="A4027" t="s">
        <v>270</v>
      </c>
      <c r="B4027" t="s">
        <v>440</v>
      </c>
      <c r="C4027">
        <v>1</v>
      </c>
      <c r="D4027" s="1">
        <v>44095.785474537035</v>
      </c>
      <c r="E4027" t="s">
        <v>12548</v>
      </c>
      <c r="F4027" t="s">
        <v>273</v>
      </c>
      <c r="G4027" t="s">
        <v>12506</v>
      </c>
      <c r="H4027" t="s">
        <v>275</v>
      </c>
      <c r="I4027" t="s">
        <v>29</v>
      </c>
      <c r="J4027">
        <v>1</v>
      </c>
      <c r="K4027">
        <f>1-844-316-9077</f>
        <v>-10236</v>
      </c>
      <c r="L4027" t="s">
        <v>12549</v>
      </c>
      <c r="M4027" t="s">
        <v>12550</v>
      </c>
      <c r="N4027" t="s">
        <v>278</v>
      </c>
      <c r="O4027" t="s">
        <v>28</v>
      </c>
      <c r="P4027" t="s">
        <v>29</v>
      </c>
      <c r="Q4027">
        <v>39</v>
      </c>
      <c r="R4027">
        <v>-77.487399999999994</v>
      </c>
    </row>
    <row r="4028" spans="1:18" x14ac:dyDescent="0.2">
      <c r="A4028" t="s">
        <v>270</v>
      </c>
      <c r="B4028" t="s">
        <v>440</v>
      </c>
      <c r="C4028">
        <v>1</v>
      </c>
      <c r="D4028" s="1">
        <v>44091.51457175926</v>
      </c>
      <c r="E4028" t="s">
        <v>5509</v>
      </c>
      <c r="F4028" t="s">
        <v>273</v>
      </c>
      <c r="G4028" t="s">
        <v>12506</v>
      </c>
      <c r="H4028" t="s">
        <v>275</v>
      </c>
      <c r="I4028" t="s">
        <v>29</v>
      </c>
      <c r="J4028">
        <v>1</v>
      </c>
      <c r="K4028">
        <f>1-844-242-3148</f>
        <v>-4233</v>
      </c>
      <c r="L4028" t="s">
        <v>12551</v>
      </c>
      <c r="M4028" t="s">
        <v>12552</v>
      </c>
      <c r="N4028" t="s">
        <v>278</v>
      </c>
      <c r="O4028" t="s">
        <v>28</v>
      </c>
      <c r="P4028" t="s">
        <v>29</v>
      </c>
      <c r="Q4028">
        <v>39</v>
      </c>
      <c r="R4028">
        <v>-77.487399999999994</v>
      </c>
    </row>
    <row r="4029" spans="1:18" x14ac:dyDescent="0.2">
      <c r="A4029" t="s">
        <v>270</v>
      </c>
      <c r="B4029" t="s">
        <v>440</v>
      </c>
      <c r="C4029">
        <v>1</v>
      </c>
      <c r="D4029" s="1">
        <v>44090.992268518516</v>
      </c>
      <c r="E4029" t="s">
        <v>12553</v>
      </c>
      <c r="F4029" t="s">
        <v>273</v>
      </c>
      <c r="G4029" t="s">
        <v>12506</v>
      </c>
      <c r="H4029" t="s">
        <v>275</v>
      </c>
      <c r="I4029" t="s">
        <v>29</v>
      </c>
      <c r="J4029">
        <v>1</v>
      </c>
      <c r="K4029">
        <f>1-844-242-3148</f>
        <v>-4233</v>
      </c>
      <c r="L4029" t="s">
        <v>12554</v>
      </c>
      <c r="M4029" t="s">
        <v>12555</v>
      </c>
      <c r="N4029" t="s">
        <v>278</v>
      </c>
      <c r="O4029" t="s">
        <v>28</v>
      </c>
      <c r="P4029" t="s">
        <v>29</v>
      </c>
      <c r="Q4029">
        <v>39</v>
      </c>
      <c r="R4029">
        <v>-77.487399999999994</v>
      </c>
    </row>
    <row r="4030" spans="1:18" x14ac:dyDescent="0.2">
      <c r="A4030" t="s">
        <v>270</v>
      </c>
      <c r="B4030" t="s">
        <v>440</v>
      </c>
      <c r="C4030">
        <v>1</v>
      </c>
      <c r="D4030" s="1">
        <v>44090.416944444441</v>
      </c>
      <c r="E4030" t="s">
        <v>12556</v>
      </c>
      <c r="F4030" t="s">
        <v>273</v>
      </c>
      <c r="G4030" t="s">
        <v>12506</v>
      </c>
      <c r="H4030" t="s">
        <v>275</v>
      </c>
      <c r="I4030" t="s">
        <v>29</v>
      </c>
      <c r="J4030">
        <v>1</v>
      </c>
      <c r="K4030">
        <f>1-844-318-8589</f>
        <v>-9750</v>
      </c>
      <c r="L4030" t="s">
        <v>12557</v>
      </c>
      <c r="M4030" t="s">
        <v>12558</v>
      </c>
      <c r="N4030" t="s">
        <v>278</v>
      </c>
      <c r="O4030" t="s">
        <v>28</v>
      </c>
      <c r="P4030" t="s">
        <v>29</v>
      </c>
      <c r="Q4030">
        <v>39</v>
      </c>
      <c r="R4030">
        <v>-77.487399999999994</v>
      </c>
    </row>
    <row r="4031" spans="1:18" x14ac:dyDescent="0.2">
      <c r="A4031" t="s">
        <v>270</v>
      </c>
      <c r="B4031" t="s">
        <v>440</v>
      </c>
      <c r="C4031">
        <v>1</v>
      </c>
      <c r="D4031" s="1">
        <v>44090.415706018517</v>
      </c>
      <c r="E4031" t="s">
        <v>12559</v>
      </c>
      <c r="F4031" t="s">
        <v>273</v>
      </c>
      <c r="G4031" t="s">
        <v>12506</v>
      </c>
      <c r="H4031" t="s">
        <v>275</v>
      </c>
      <c r="I4031" t="s">
        <v>29</v>
      </c>
      <c r="J4031">
        <v>1</v>
      </c>
      <c r="K4031">
        <f>1-844-293-8713</f>
        <v>-9849</v>
      </c>
      <c r="L4031" t="s">
        <v>12560</v>
      </c>
      <c r="M4031" t="s">
        <v>12561</v>
      </c>
      <c r="N4031" t="s">
        <v>278</v>
      </c>
      <c r="O4031" t="s">
        <v>28</v>
      </c>
      <c r="P4031" t="s">
        <v>29</v>
      </c>
      <c r="Q4031">
        <v>39</v>
      </c>
      <c r="R4031">
        <v>-77.487399999999994</v>
      </c>
    </row>
    <row r="4032" spans="1:18" x14ac:dyDescent="0.2">
      <c r="A4032" t="s">
        <v>270</v>
      </c>
      <c r="B4032" t="s">
        <v>440</v>
      </c>
      <c r="C4032">
        <v>1</v>
      </c>
      <c r="D4032" s="1">
        <v>44090.415358796294</v>
      </c>
      <c r="E4032" t="s">
        <v>12562</v>
      </c>
      <c r="F4032" t="s">
        <v>273</v>
      </c>
      <c r="G4032" t="s">
        <v>12506</v>
      </c>
      <c r="H4032" t="s">
        <v>275</v>
      </c>
      <c r="I4032" t="s">
        <v>29</v>
      </c>
      <c r="J4032">
        <v>1</v>
      </c>
      <c r="K4032">
        <f>1-844-293-8713</f>
        <v>-9849</v>
      </c>
      <c r="L4032" t="s">
        <v>12563</v>
      </c>
      <c r="M4032" t="s">
        <v>12564</v>
      </c>
      <c r="N4032" t="s">
        <v>278</v>
      </c>
      <c r="O4032" t="s">
        <v>28</v>
      </c>
      <c r="P4032" t="s">
        <v>29</v>
      </c>
      <c r="Q4032">
        <v>39</v>
      </c>
      <c r="R4032">
        <v>-77.487399999999994</v>
      </c>
    </row>
    <row r="4033" spans="1:18" x14ac:dyDescent="0.2">
      <c r="A4033" t="s">
        <v>270</v>
      </c>
      <c r="B4033" t="s">
        <v>440</v>
      </c>
      <c r="C4033">
        <v>1</v>
      </c>
      <c r="D4033" s="1">
        <v>44090.133321759262</v>
      </c>
      <c r="E4033" t="s">
        <v>10195</v>
      </c>
      <c r="F4033" t="s">
        <v>273</v>
      </c>
      <c r="G4033" t="s">
        <v>12506</v>
      </c>
      <c r="H4033" t="s">
        <v>275</v>
      </c>
      <c r="I4033" t="s">
        <v>29</v>
      </c>
      <c r="J4033">
        <v>1</v>
      </c>
      <c r="K4033">
        <f>1-844-311-7591</f>
        <v>-8745</v>
      </c>
      <c r="L4033" t="s">
        <v>12565</v>
      </c>
      <c r="M4033" t="s">
        <v>12566</v>
      </c>
      <c r="N4033" t="s">
        <v>278</v>
      </c>
      <c r="O4033" t="s">
        <v>28</v>
      </c>
      <c r="P4033" t="s">
        <v>29</v>
      </c>
      <c r="Q4033">
        <v>39</v>
      </c>
      <c r="R4033">
        <v>-77.487399999999994</v>
      </c>
    </row>
    <row r="4034" spans="1:18" x14ac:dyDescent="0.2">
      <c r="A4034" t="s">
        <v>270</v>
      </c>
      <c r="B4034" t="s">
        <v>440</v>
      </c>
      <c r="C4034">
        <v>1</v>
      </c>
      <c r="D4034" s="1">
        <v>44089.810497685183</v>
      </c>
      <c r="E4034" t="s">
        <v>12567</v>
      </c>
      <c r="F4034" t="s">
        <v>273</v>
      </c>
      <c r="G4034" t="s">
        <v>12506</v>
      </c>
      <c r="H4034" t="s">
        <v>275</v>
      </c>
      <c r="I4034" t="s">
        <v>29</v>
      </c>
      <c r="J4034">
        <v>1</v>
      </c>
      <c r="K4034">
        <f>1-844-233-1380</f>
        <v>-2456</v>
      </c>
      <c r="L4034" t="s">
        <v>12568</v>
      </c>
      <c r="M4034" t="s">
        <v>12569</v>
      </c>
      <c r="N4034" t="s">
        <v>278</v>
      </c>
      <c r="O4034" t="s">
        <v>28</v>
      </c>
      <c r="P4034" t="s">
        <v>29</v>
      </c>
      <c r="Q4034">
        <v>39</v>
      </c>
      <c r="R4034">
        <v>-77.487399999999994</v>
      </c>
    </row>
    <row r="4035" spans="1:18" x14ac:dyDescent="0.2">
      <c r="A4035" t="s">
        <v>270</v>
      </c>
      <c r="B4035" t="s">
        <v>440</v>
      </c>
      <c r="C4035">
        <v>1</v>
      </c>
      <c r="D4035" s="1">
        <v>44089.756354166668</v>
      </c>
      <c r="E4035" t="s">
        <v>12570</v>
      </c>
      <c r="F4035" t="s">
        <v>273</v>
      </c>
      <c r="G4035" t="s">
        <v>12506</v>
      </c>
      <c r="H4035" t="s">
        <v>275</v>
      </c>
      <c r="I4035" t="s">
        <v>29</v>
      </c>
      <c r="J4035">
        <v>1</v>
      </c>
      <c r="K4035">
        <f>1-844-218-3888</f>
        <v>-4949</v>
      </c>
      <c r="L4035" t="s">
        <v>12571</v>
      </c>
      <c r="M4035" t="s">
        <v>12572</v>
      </c>
      <c r="N4035" t="s">
        <v>278</v>
      </c>
      <c r="O4035" t="s">
        <v>28</v>
      </c>
      <c r="P4035" t="s">
        <v>29</v>
      </c>
      <c r="Q4035">
        <v>39</v>
      </c>
      <c r="R4035">
        <v>-77.487399999999994</v>
      </c>
    </row>
    <row r="4036" spans="1:18" x14ac:dyDescent="0.2">
      <c r="A4036" t="s">
        <v>270</v>
      </c>
      <c r="B4036" t="s">
        <v>440</v>
      </c>
      <c r="C4036">
        <v>1</v>
      </c>
      <c r="D4036" s="1">
        <v>44089.755277777775</v>
      </c>
      <c r="E4036" t="s">
        <v>12573</v>
      </c>
      <c r="F4036" t="s">
        <v>273</v>
      </c>
      <c r="G4036" t="s">
        <v>12506</v>
      </c>
      <c r="H4036" t="s">
        <v>275</v>
      </c>
      <c r="I4036" t="s">
        <v>29</v>
      </c>
      <c r="J4036">
        <v>1</v>
      </c>
      <c r="K4036">
        <f>1-844-218-3888</f>
        <v>-4949</v>
      </c>
      <c r="L4036" t="s">
        <v>12574</v>
      </c>
      <c r="M4036" t="s">
        <v>12575</v>
      </c>
      <c r="N4036" t="s">
        <v>278</v>
      </c>
      <c r="O4036" t="s">
        <v>28</v>
      </c>
      <c r="P4036" t="s">
        <v>29</v>
      </c>
      <c r="Q4036">
        <v>39</v>
      </c>
      <c r="R4036">
        <v>-77.487399999999994</v>
      </c>
    </row>
    <row r="4037" spans="1:18" x14ac:dyDescent="0.2">
      <c r="A4037" t="s">
        <v>270</v>
      </c>
      <c r="B4037" t="s">
        <v>440</v>
      </c>
      <c r="C4037">
        <v>1</v>
      </c>
      <c r="D4037" s="1">
        <v>44089.431435185186</v>
      </c>
      <c r="E4037" t="s">
        <v>12576</v>
      </c>
      <c r="F4037" t="s">
        <v>273</v>
      </c>
      <c r="G4037" t="s">
        <v>12506</v>
      </c>
      <c r="H4037" t="s">
        <v>275</v>
      </c>
      <c r="I4037" t="s">
        <v>29</v>
      </c>
      <c r="J4037">
        <v>1</v>
      </c>
      <c r="K4037">
        <f>1-844-210-4337</f>
        <v>-5390</v>
      </c>
      <c r="L4037" t="s">
        <v>12577</v>
      </c>
      <c r="M4037" t="s">
        <v>12578</v>
      </c>
      <c r="N4037" t="s">
        <v>278</v>
      </c>
      <c r="O4037" t="s">
        <v>28</v>
      </c>
      <c r="P4037" t="s">
        <v>29</v>
      </c>
      <c r="Q4037">
        <v>39</v>
      </c>
      <c r="R4037">
        <v>-77.487399999999994</v>
      </c>
    </row>
    <row r="4038" spans="1:18" x14ac:dyDescent="0.2">
      <c r="A4038" t="s">
        <v>270</v>
      </c>
      <c r="B4038" t="s">
        <v>440</v>
      </c>
      <c r="C4038">
        <v>1</v>
      </c>
      <c r="D4038" s="1">
        <v>44089.430381944447</v>
      </c>
      <c r="E4038" t="s">
        <v>12579</v>
      </c>
      <c r="F4038" t="s">
        <v>273</v>
      </c>
      <c r="G4038" t="s">
        <v>12506</v>
      </c>
      <c r="H4038" t="s">
        <v>275</v>
      </c>
      <c r="I4038" t="s">
        <v>29</v>
      </c>
      <c r="J4038">
        <v>1</v>
      </c>
      <c r="K4038">
        <f>1-844-210-4337</f>
        <v>-5390</v>
      </c>
      <c r="L4038" t="s">
        <v>12580</v>
      </c>
      <c r="M4038" t="s">
        <v>12581</v>
      </c>
      <c r="N4038" t="s">
        <v>278</v>
      </c>
      <c r="O4038" t="s">
        <v>28</v>
      </c>
      <c r="P4038" t="s">
        <v>29</v>
      </c>
      <c r="Q4038">
        <v>39</v>
      </c>
      <c r="R4038">
        <v>-77.487399999999994</v>
      </c>
    </row>
    <row r="4039" spans="1:18" x14ac:dyDescent="0.2">
      <c r="A4039" t="s">
        <v>270</v>
      </c>
      <c r="B4039" t="s">
        <v>440</v>
      </c>
      <c r="C4039">
        <v>1</v>
      </c>
      <c r="D4039" s="1">
        <v>44088.940601851849</v>
      </c>
      <c r="E4039" t="s">
        <v>12582</v>
      </c>
      <c r="F4039" t="s">
        <v>273</v>
      </c>
      <c r="G4039" t="s">
        <v>12506</v>
      </c>
      <c r="H4039" t="s">
        <v>275</v>
      </c>
      <c r="I4039" t="s">
        <v>29</v>
      </c>
      <c r="J4039">
        <v>1</v>
      </c>
      <c r="K4039">
        <f>1-844-210-4337</f>
        <v>-5390</v>
      </c>
      <c r="L4039" t="s">
        <v>12583</v>
      </c>
      <c r="M4039" t="s">
        <v>12584</v>
      </c>
      <c r="N4039" t="s">
        <v>278</v>
      </c>
      <c r="O4039" t="s">
        <v>28</v>
      </c>
      <c r="P4039" t="s">
        <v>29</v>
      </c>
      <c r="Q4039">
        <v>39</v>
      </c>
      <c r="R4039">
        <v>-77.487399999999994</v>
      </c>
    </row>
    <row r="4040" spans="1:18" x14ac:dyDescent="0.2">
      <c r="A4040" t="s">
        <v>270</v>
      </c>
      <c r="B4040" t="s">
        <v>440</v>
      </c>
      <c r="C4040">
        <v>1</v>
      </c>
      <c r="D4040" s="1">
        <v>44088.781261574077</v>
      </c>
      <c r="E4040" t="s">
        <v>12585</v>
      </c>
      <c r="F4040" t="s">
        <v>273</v>
      </c>
      <c r="G4040" t="s">
        <v>12506</v>
      </c>
      <c r="H4040" t="s">
        <v>275</v>
      </c>
      <c r="I4040" t="s">
        <v>29</v>
      </c>
      <c r="J4040">
        <v>1</v>
      </c>
      <c r="K4040">
        <f>1-844-212-1446</f>
        <v>-2501</v>
      </c>
      <c r="L4040" t="s">
        <v>12586</v>
      </c>
      <c r="M4040" t="s">
        <v>12587</v>
      </c>
      <c r="N4040" t="s">
        <v>278</v>
      </c>
      <c r="O4040" t="s">
        <v>28</v>
      </c>
      <c r="P4040" t="s">
        <v>29</v>
      </c>
      <c r="Q4040">
        <v>39</v>
      </c>
      <c r="R4040">
        <v>-77.487399999999994</v>
      </c>
    </row>
    <row r="4041" spans="1:18" x14ac:dyDescent="0.2">
      <c r="A4041" t="s">
        <v>270</v>
      </c>
      <c r="B4041" t="s">
        <v>440</v>
      </c>
      <c r="C4041">
        <v>1</v>
      </c>
      <c r="D4041" s="1">
        <v>44088.775092592594</v>
      </c>
      <c r="E4041" t="s">
        <v>12588</v>
      </c>
      <c r="F4041" t="s">
        <v>273</v>
      </c>
      <c r="G4041" t="s">
        <v>12506</v>
      </c>
      <c r="H4041" t="s">
        <v>275</v>
      </c>
      <c r="I4041" t="s">
        <v>29</v>
      </c>
      <c r="J4041">
        <v>1</v>
      </c>
      <c r="K4041">
        <f>1-844-212-7353</f>
        <v>-8408</v>
      </c>
      <c r="L4041" t="s">
        <v>12589</v>
      </c>
      <c r="M4041" t="s">
        <v>12590</v>
      </c>
      <c r="N4041" t="s">
        <v>278</v>
      </c>
      <c r="O4041" t="s">
        <v>28</v>
      </c>
      <c r="P4041" t="s">
        <v>29</v>
      </c>
      <c r="Q4041">
        <v>39</v>
      </c>
      <c r="R4041">
        <v>-77.487399999999994</v>
      </c>
    </row>
    <row r="4042" spans="1:18" x14ac:dyDescent="0.2">
      <c r="A4042" t="s">
        <v>270</v>
      </c>
      <c r="B4042" t="s">
        <v>440</v>
      </c>
      <c r="C4042">
        <v>1</v>
      </c>
      <c r="D4042" s="1">
        <v>44084.784351851849</v>
      </c>
      <c r="E4042" t="s">
        <v>12591</v>
      </c>
      <c r="F4042" t="s">
        <v>273</v>
      </c>
      <c r="G4042" t="s">
        <v>12506</v>
      </c>
      <c r="H4042" t="s">
        <v>275</v>
      </c>
      <c r="I4042" t="s">
        <v>29</v>
      </c>
      <c r="J4042">
        <v>1</v>
      </c>
      <c r="K4042">
        <f>1-844-318-7909</f>
        <v>-9070</v>
      </c>
      <c r="L4042" t="s">
        <v>12592</v>
      </c>
      <c r="M4042" t="s">
        <v>12593</v>
      </c>
      <c r="N4042" t="s">
        <v>278</v>
      </c>
      <c r="O4042" t="s">
        <v>28</v>
      </c>
      <c r="P4042" t="s">
        <v>29</v>
      </c>
      <c r="Q4042">
        <v>39</v>
      </c>
      <c r="R4042">
        <v>-77.487399999999994</v>
      </c>
    </row>
    <row r="4043" spans="1:18" x14ac:dyDescent="0.2">
      <c r="A4043" t="s">
        <v>270</v>
      </c>
      <c r="B4043" t="s">
        <v>440</v>
      </c>
      <c r="C4043">
        <v>1</v>
      </c>
      <c r="D4043" s="1">
        <v>44084.78365740741</v>
      </c>
      <c r="E4043" t="s">
        <v>12594</v>
      </c>
      <c r="F4043" t="s">
        <v>273</v>
      </c>
      <c r="G4043" t="s">
        <v>12506</v>
      </c>
      <c r="H4043" t="s">
        <v>275</v>
      </c>
      <c r="I4043" t="s">
        <v>29</v>
      </c>
      <c r="J4043">
        <v>1</v>
      </c>
      <c r="K4043">
        <f>1-844-318-7909</f>
        <v>-9070</v>
      </c>
      <c r="L4043" t="s">
        <v>12595</v>
      </c>
      <c r="M4043" t="s">
        <v>12596</v>
      </c>
      <c r="N4043" t="s">
        <v>278</v>
      </c>
      <c r="O4043" t="s">
        <v>28</v>
      </c>
      <c r="P4043" t="s">
        <v>29</v>
      </c>
      <c r="Q4043">
        <v>39</v>
      </c>
      <c r="R4043">
        <v>-77.487399999999994</v>
      </c>
    </row>
    <row r="4044" spans="1:18" x14ac:dyDescent="0.2">
      <c r="A4044" t="s">
        <v>270</v>
      </c>
      <c r="B4044" t="s">
        <v>440</v>
      </c>
      <c r="C4044">
        <v>1</v>
      </c>
      <c r="D4044" s="1">
        <v>44083.918055555558</v>
      </c>
      <c r="E4044" t="s">
        <v>12597</v>
      </c>
      <c r="F4044" t="s">
        <v>273</v>
      </c>
      <c r="G4044" t="s">
        <v>12506</v>
      </c>
      <c r="H4044" t="s">
        <v>275</v>
      </c>
      <c r="I4044" t="s">
        <v>29</v>
      </c>
      <c r="J4044">
        <v>1</v>
      </c>
      <c r="K4044">
        <f>1-888-585-4129</f>
        <v>-5601</v>
      </c>
      <c r="L4044" t="s">
        <v>12598</v>
      </c>
      <c r="M4044" t="s">
        <v>12599</v>
      </c>
      <c r="N4044" t="s">
        <v>278</v>
      </c>
      <c r="O4044" t="s">
        <v>28</v>
      </c>
      <c r="P4044" t="s">
        <v>29</v>
      </c>
      <c r="Q4044">
        <v>39</v>
      </c>
      <c r="R4044">
        <v>-77.487399999999994</v>
      </c>
    </row>
    <row r="4045" spans="1:18" x14ac:dyDescent="0.2">
      <c r="A4045" t="s">
        <v>270</v>
      </c>
      <c r="B4045" t="s">
        <v>440</v>
      </c>
      <c r="C4045">
        <v>1</v>
      </c>
      <c r="D4045" s="1">
        <v>44083.828993055555</v>
      </c>
      <c r="E4045" t="s">
        <v>12600</v>
      </c>
      <c r="F4045" t="s">
        <v>273</v>
      </c>
      <c r="G4045" t="s">
        <v>12506</v>
      </c>
      <c r="H4045" t="s">
        <v>275</v>
      </c>
      <c r="I4045" t="s">
        <v>29</v>
      </c>
      <c r="J4045">
        <v>1</v>
      </c>
      <c r="K4045">
        <f>1-888-585-7516</f>
        <v>-8988</v>
      </c>
      <c r="L4045" t="s">
        <v>12601</v>
      </c>
      <c r="M4045" t="s">
        <v>12602</v>
      </c>
      <c r="N4045" t="s">
        <v>278</v>
      </c>
      <c r="O4045" t="s">
        <v>28</v>
      </c>
      <c r="P4045" t="s">
        <v>29</v>
      </c>
      <c r="Q4045">
        <v>39</v>
      </c>
      <c r="R4045">
        <v>-77.487399999999994</v>
      </c>
    </row>
    <row r="4046" spans="1:18" x14ac:dyDescent="0.2">
      <c r="A4046" t="s">
        <v>270</v>
      </c>
      <c r="B4046" t="s">
        <v>440</v>
      </c>
      <c r="C4046">
        <v>1</v>
      </c>
      <c r="D4046" s="1">
        <v>44082.945648148147</v>
      </c>
      <c r="E4046" t="s">
        <v>12603</v>
      </c>
      <c r="F4046" t="s">
        <v>273</v>
      </c>
      <c r="G4046" t="s">
        <v>12506</v>
      </c>
      <c r="H4046" t="s">
        <v>275</v>
      </c>
      <c r="I4046" t="s">
        <v>29</v>
      </c>
      <c r="J4046">
        <v>1</v>
      </c>
      <c r="K4046">
        <f>1-888-599-8076</f>
        <v>-9562</v>
      </c>
      <c r="L4046" t="s">
        <v>12604</v>
      </c>
      <c r="M4046" t="s">
        <v>12605</v>
      </c>
      <c r="N4046" t="s">
        <v>278</v>
      </c>
      <c r="O4046" t="s">
        <v>28</v>
      </c>
      <c r="P4046" t="s">
        <v>29</v>
      </c>
      <c r="Q4046">
        <v>39</v>
      </c>
      <c r="R4046">
        <v>-77.487399999999994</v>
      </c>
    </row>
    <row r="4047" spans="1:18" x14ac:dyDescent="0.2">
      <c r="A4047" t="s">
        <v>270</v>
      </c>
      <c r="B4047" t="s">
        <v>440</v>
      </c>
      <c r="C4047">
        <v>1</v>
      </c>
      <c r="D4047" s="1">
        <v>44078.852650462963</v>
      </c>
      <c r="E4047" t="s">
        <v>12606</v>
      </c>
      <c r="F4047" t="s">
        <v>273</v>
      </c>
      <c r="G4047" t="s">
        <v>12506</v>
      </c>
      <c r="H4047" t="s">
        <v>275</v>
      </c>
      <c r="I4047" t="s">
        <v>29</v>
      </c>
      <c r="J4047">
        <v>1</v>
      </c>
      <c r="K4047">
        <f>1-866-591-3044</f>
        <v>-4500</v>
      </c>
      <c r="L4047" t="s">
        <v>12607</v>
      </c>
      <c r="M4047" t="s">
        <v>12608</v>
      </c>
      <c r="N4047" t="s">
        <v>278</v>
      </c>
      <c r="O4047" t="s">
        <v>134</v>
      </c>
      <c r="P4047" t="s">
        <v>29</v>
      </c>
      <c r="Q4047">
        <v>39</v>
      </c>
      <c r="R4047">
        <v>-77.487399999999994</v>
      </c>
    </row>
    <row r="4048" spans="1:18" x14ac:dyDescent="0.2">
      <c r="A4048" t="s">
        <v>270</v>
      </c>
      <c r="B4048" t="s">
        <v>440</v>
      </c>
      <c r="C4048">
        <v>1</v>
      </c>
      <c r="D4048" s="1">
        <v>44078.850995370369</v>
      </c>
      <c r="E4048" t="s">
        <v>12609</v>
      </c>
      <c r="F4048" t="s">
        <v>273</v>
      </c>
      <c r="G4048" t="s">
        <v>12506</v>
      </c>
      <c r="H4048" t="s">
        <v>275</v>
      </c>
      <c r="I4048" t="s">
        <v>29</v>
      </c>
      <c r="J4048">
        <v>1</v>
      </c>
      <c r="K4048">
        <f>1-866-508-4958</f>
        <v>-6331</v>
      </c>
      <c r="L4048" t="s">
        <v>12610</v>
      </c>
      <c r="M4048" t="s">
        <v>12611</v>
      </c>
      <c r="N4048" t="s">
        <v>278</v>
      </c>
      <c r="O4048" t="s">
        <v>134</v>
      </c>
      <c r="P4048" t="s">
        <v>29</v>
      </c>
      <c r="Q4048">
        <v>39</v>
      </c>
      <c r="R4048">
        <v>-77.487399999999994</v>
      </c>
    </row>
    <row r="4049" spans="1:18" x14ac:dyDescent="0.2">
      <c r="A4049" t="s">
        <v>270</v>
      </c>
      <c r="B4049" t="s">
        <v>440</v>
      </c>
      <c r="C4049">
        <v>1</v>
      </c>
      <c r="D4049" s="1">
        <v>44078.849861111114</v>
      </c>
      <c r="E4049" t="s">
        <v>12612</v>
      </c>
      <c r="F4049" t="s">
        <v>273</v>
      </c>
      <c r="G4049" t="s">
        <v>12506</v>
      </c>
      <c r="H4049" t="s">
        <v>275</v>
      </c>
      <c r="I4049" t="s">
        <v>29</v>
      </c>
      <c r="J4049">
        <v>1</v>
      </c>
      <c r="K4049">
        <f>1-866-640-3439</f>
        <v>-4944</v>
      </c>
      <c r="L4049" t="s">
        <v>12613</v>
      </c>
      <c r="M4049" t="s">
        <v>12614</v>
      </c>
      <c r="N4049" t="s">
        <v>278</v>
      </c>
      <c r="O4049" t="s">
        <v>134</v>
      </c>
      <c r="P4049" t="s">
        <v>29</v>
      </c>
      <c r="Q4049">
        <v>39</v>
      </c>
      <c r="R4049">
        <v>-77.487399999999994</v>
      </c>
    </row>
    <row r="4050" spans="1:18" x14ac:dyDescent="0.2">
      <c r="A4050" t="s">
        <v>270</v>
      </c>
      <c r="B4050" t="s">
        <v>440</v>
      </c>
      <c r="C4050">
        <v>1</v>
      </c>
      <c r="D4050" s="1">
        <v>44075.760798611111</v>
      </c>
      <c r="E4050" t="s">
        <v>12615</v>
      </c>
      <c r="F4050" t="s">
        <v>273</v>
      </c>
      <c r="G4050" t="s">
        <v>12506</v>
      </c>
      <c r="H4050" t="s">
        <v>275</v>
      </c>
      <c r="I4050" t="s">
        <v>29</v>
      </c>
      <c r="J4050">
        <v>1</v>
      </c>
      <c r="K4050">
        <f>1-888-705-928</f>
        <v>-2520</v>
      </c>
      <c r="L4050" t="s">
        <v>12616</v>
      </c>
      <c r="M4050" t="s">
        <v>12617</v>
      </c>
      <c r="N4050" t="s">
        <v>278</v>
      </c>
      <c r="O4050" t="s">
        <v>134</v>
      </c>
      <c r="P4050" t="s">
        <v>29</v>
      </c>
      <c r="Q4050">
        <v>39</v>
      </c>
      <c r="R4050">
        <v>-77.487399999999994</v>
      </c>
    </row>
    <row r="4051" spans="1:18" x14ac:dyDescent="0.2">
      <c r="A4051" t="s">
        <v>270</v>
      </c>
      <c r="B4051" t="s">
        <v>440</v>
      </c>
      <c r="C4051">
        <v>1</v>
      </c>
      <c r="D4051" s="1">
        <v>44074.931018518517</v>
      </c>
      <c r="E4051" t="s">
        <v>12618</v>
      </c>
      <c r="F4051" t="s">
        <v>273</v>
      </c>
      <c r="G4051" t="s">
        <v>12506</v>
      </c>
      <c r="H4051" t="s">
        <v>275</v>
      </c>
      <c r="I4051" t="s">
        <v>29</v>
      </c>
      <c r="J4051">
        <v>1</v>
      </c>
      <c r="K4051">
        <f>1-888-658-268</f>
        <v>-1813</v>
      </c>
      <c r="L4051" t="s">
        <v>12619</v>
      </c>
      <c r="M4051" t="s">
        <v>12620</v>
      </c>
      <c r="N4051" t="s">
        <v>278</v>
      </c>
      <c r="O4051" t="s">
        <v>28</v>
      </c>
      <c r="P4051" t="s">
        <v>29</v>
      </c>
      <c r="Q4051">
        <v>39</v>
      </c>
      <c r="R4051">
        <v>-77.487399999999994</v>
      </c>
    </row>
    <row r="4052" spans="1:18" x14ac:dyDescent="0.2">
      <c r="A4052" t="s">
        <v>270</v>
      </c>
      <c r="B4052" t="s">
        <v>440</v>
      </c>
      <c r="C4052">
        <v>1</v>
      </c>
      <c r="D4052" s="1">
        <v>44074.931006944447</v>
      </c>
      <c r="E4052" t="s">
        <v>12618</v>
      </c>
      <c r="F4052" t="s">
        <v>273</v>
      </c>
      <c r="G4052" t="s">
        <v>12506</v>
      </c>
      <c r="H4052" t="s">
        <v>275</v>
      </c>
      <c r="I4052" t="s">
        <v>29</v>
      </c>
      <c r="J4052">
        <v>1</v>
      </c>
      <c r="K4052">
        <f>1-888-658-268</f>
        <v>-1813</v>
      </c>
      <c r="L4052" t="s">
        <v>12621</v>
      </c>
      <c r="M4052" t="s">
        <v>12620</v>
      </c>
      <c r="N4052" t="s">
        <v>278</v>
      </c>
      <c r="O4052" t="s">
        <v>28</v>
      </c>
      <c r="P4052" t="s">
        <v>29</v>
      </c>
      <c r="Q4052">
        <v>39</v>
      </c>
      <c r="R4052">
        <v>-77.487399999999994</v>
      </c>
    </row>
    <row r="4053" spans="1:18" x14ac:dyDescent="0.2">
      <c r="A4053" t="s">
        <v>270</v>
      </c>
      <c r="B4053" t="s">
        <v>440</v>
      </c>
      <c r="C4053">
        <v>1</v>
      </c>
      <c r="D4053" s="1">
        <v>44074.929965277777</v>
      </c>
      <c r="E4053" t="s">
        <v>12622</v>
      </c>
      <c r="F4053" t="s">
        <v>273</v>
      </c>
      <c r="G4053" t="s">
        <v>12506</v>
      </c>
      <c r="H4053" t="s">
        <v>275</v>
      </c>
      <c r="I4053" t="s">
        <v>29</v>
      </c>
      <c r="J4053">
        <v>1</v>
      </c>
      <c r="K4053">
        <f>1-888-654-8048</f>
        <v>-9589</v>
      </c>
      <c r="L4053" t="s">
        <v>12623</v>
      </c>
      <c r="M4053" t="s">
        <v>12624</v>
      </c>
      <c r="N4053" t="s">
        <v>278</v>
      </c>
      <c r="O4053" t="s">
        <v>28</v>
      </c>
      <c r="P4053" t="s">
        <v>29</v>
      </c>
      <c r="Q4053">
        <v>39</v>
      </c>
      <c r="R4053">
        <v>-77.487399999999994</v>
      </c>
    </row>
    <row r="4054" spans="1:18" x14ac:dyDescent="0.2">
      <c r="A4054" t="s">
        <v>270</v>
      </c>
      <c r="B4054" t="s">
        <v>440</v>
      </c>
      <c r="C4054">
        <v>1</v>
      </c>
      <c r="D4054" s="1">
        <v>44074.929791666669</v>
      </c>
      <c r="E4054" t="s">
        <v>12625</v>
      </c>
      <c r="F4054" t="s">
        <v>273</v>
      </c>
      <c r="G4054" t="s">
        <v>12506</v>
      </c>
      <c r="H4054" t="s">
        <v>275</v>
      </c>
      <c r="I4054" t="s">
        <v>29</v>
      </c>
      <c r="J4054">
        <v>1</v>
      </c>
      <c r="K4054">
        <f>1-888-654-8048</f>
        <v>-9589</v>
      </c>
      <c r="L4054" t="s">
        <v>12626</v>
      </c>
      <c r="M4054" t="s">
        <v>12627</v>
      </c>
      <c r="N4054" t="s">
        <v>278</v>
      </c>
      <c r="O4054" t="s">
        <v>28</v>
      </c>
      <c r="P4054" t="s">
        <v>29</v>
      </c>
      <c r="Q4054">
        <v>39</v>
      </c>
      <c r="R4054">
        <v>-77.487399999999994</v>
      </c>
    </row>
    <row r="4055" spans="1:18" x14ac:dyDescent="0.2">
      <c r="A4055" t="s">
        <v>270</v>
      </c>
      <c r="B4055" t="s">
        <v>440</v>
      </c>
      <c r="C4055">
        <v>1</v>
      </c>
      <c r="D4055" s="1">
        <v>44074.929560185185</v>
      </c>
      <c r="E4055" t="s">
        <v>12628</v>
      </c>
      <c r="F4055" t="s">
        <v>273</v>
      </c>
      <c r="G4055" t="s">
        <v>12506</v>
      </c>
      <c r="H4055" t="s">
        <v>275</v>
      </c>
      <c r="I4055" t="s">
        <v>29</v>
      </c>
      <c r="J4055">
        <v>1</v>
      </c>
      <c r="K4055">
        <f>1-888-635-4501</f>
        <v>-6023</v>
      </c>
      <c r="L4055" t="s">
        <v>12629</v>
      </c>
      <c r="M4055" t="s">
        <v>12630</v>
      </c>
      <c r="N4055" t="s">
        <v>278</v>
      </c>
      <c r="O4055" t="s">
        <v>28</v>
      </c>
      <c r="P4055" t="s">
        <v>29</v>
      </c>
      <c r="Q4055">
        <v>39</v>
      </c>
      <c r="R4055">
        <v>-77.487399999999994</v>
      </c>
    </row>
    <row r="4056" spans="1:18" x14ac:dyDescent="0.2">
      <c r="A4056" t="s">
        <v>270</v>
      </c>
      <c r="B4056" t="s">
        <v>440</v>
      </c>
      <c r="C4056">
        <v>1</v>
      </c>
      <c r="D4056" s="1">
        <v>44073.940393518518</v>
      </c>
      <c r="E4056" t="s">
        <v>12631</v>
      </c>
      <c r="F4056" t="s">
        <v>273</v>
      </c>
      <c r="G4056" t="s">
        <v>12506</v>
      </c>
      <c r="H4056" t="s">
        <v>275</v>
      </c>
      <c r="I4056" t="s">
        <v>29</v>
      </c>
      <c r="J4056">
        <v>1</v>
      </c>
      <c r="K4056">
        <f>1-888-851-688</f>
        <v>-2426</v>
      </c>
      <c r="L4056" t="s">
        <v>12632</v>
      </c>
      <c r="M4056" t="s">
        <v>12633</v>
      </c>
      <c r="N4056" t="s">
        <v>278</v>
      </c>
      <c r="O4056" t="s">
        <v>134</v>
      </c>
      <c r="P4056" t="s">
        <v>29</v>
      </c>
      <c r="Q4056">
        <v>39</v>
      </c>
      <c r="R4056">
        <v>-77.487399999999994</v>
      </c>
    </row>
    <row r="4057" spans="1:18" x14ac:dyDescent="0.2">
      <c r="A4057" t="s">
        <v>270</v>
      </c>
      <c r="B4057" t="s">
        <v>440</v>
      </c>
      <c r="C4057">
        <v>1</v>
      </c>
      <c r="D4057" s="1">
        <v>44073.928368055553</v>
      </c>
      <c r="E4057" t="s">
        <v>12634</v>
      </c>
      <c r="F4057" t="s">
        <v>273</v>
      </c>
      <c r="G4057" t="s">
        <v>12506</v>
      </c>
      <c r="H4057" t="s">
        <v>275</v>
      </c>
      <c r="I4057" t="s">
        <v>29</v>
      </c>
      <c r="J4057">
        <v>1</v>
      </c>
      <c r="K4057">
        <f>1-888-531-9415</f>
        <v>-10833</v>
      </c>
      <c r="L4057" t="s">
        <v>12635</v>
      </c>
      <c r="M4057" t="s">
        <v>12636</v>
      </c>
      <c r="N4057" t="s">
        <v>278</v>
      </c>
      <c r="O4057" t="s">
        <v>134</v>
      </c>
      <c r="P4057" t="s">
        <v>29</v>
      </c>
      <c r="Q4057">
        <v>39</v>
      </c>
      <c r="R4057">
        <v>-77.487399999999994</v>
      </c>
    </row>
    <row r="4058" spans="1:18" x14ac:dyDescent="0.2">
      <c r="A4058" t="s">
        <v>270</v>
      </c>
      <c r="B4058" t="s">
        <v>440</v>
      </c>
      <c r="C4058">
        <v>1</v>
      </c>
      <c r="D4058" s="1">
        <v>44073.026759259257</v>
      </c>
      <c r="E4058" t="s">
        <v>12637</v>
      </c>
      <c r="F4058" t="s">
        <v>273</v>
      </c>
      <c r="G4058" t="s">
        <v>12506</v>
      </c>
      <c r="H4058" t="s">
        <v>275</v>
      </c>
      <c r="I4058" t="s">
        <v>29</v>
      </c>
      <c r="J4058">
        <v>1</v>
      </c>
      <c r="K4058">
        <f>1-888-909-1336</f>
        <v>-3132</v>
      </c>
      <c r="L4058" t="s">
        <v>12638</v>
      </c>
      <c r="M4058" t="s">
        <v>12639</v>
      </c>
      <c r="N4058" t="s">
        <v>278</v>
      </c>
      <c r="O4058" t="s">
        <v>134</v>
      </c>
      <c r="P4058" t="s">
        <v>29</v>
      </c>
      <c r="Q4058">
        <v>39</v>
      </c>
      <c r="R4058">
        <v>-77.487399999999994</v>
      </c>
    </row>
    <row r="4059" spans="1:18" x14ac:dyDescent="0.2">
      <c r="A4059" t="s">
        <v>270</v>
      </c>
      <c r="B4059" t="s">
        <v>440</v>
      </c>
      <c r="C4059">
        <v>1</v>
      </c>
      <c r="D4059" s="1">
        <v>44072.86996527778</v>
      </c>
      <c r="E4059" t="s">
        <v>12640</v>
      </c>
      <c r="F4059" t="s">
        <v>273</v>
      </c>
      <c r="G4059" t="s">
        <v>12506</v>
      </c>
      <c r="H4059" t="s">
        <v>275</v>
      </c>
      <c r="I4059" t="s">
        <v>29</v>
      </c>
      <c r="J4059">
        <v>1</v>
      </c>
      <c r="K4059">
        <f>1-888-662-8133</f>
        <v>-9682</v>
      </c>
      <c r="L4059" t="s">
        <v>12641</v>
      </c>
      <c r="M4059" t="s">
        <v>12642</v>
      </c>
      <c r="N4059" t="s">
        <v>278</v>
      </c>
      <c r="O4059" t="s">
        <v>134</v>
      </c>
      <c r="P4059" t="s">
        <v>29</v>
      </c>
      <c r="Q4059">
        <v>39</v>
      </c>
      <c r="R4059">
        <v>-77.487399999999994</v>
      </c>
    </row>
    <row r="4060" spans="1:18" x14ac:dyDescent="0.2">
      <c r="A4060" t="s">
        <v>270</v>
      </c>
      <c r="B4060" t="s">
        <v>440</v>
      </c>
      <c r="C4060">
        <v>1</v>
      </c>
      <c r="D4060" s="1">
        <v>44072.867719907408</v>
      </c>
      <c r="E4060" t="s">
        <v>12643</v>
      </c>
      <c r="F4060" t="s">
        <v>273</v>
      </c>
      <c r="G4060" t="s">
        <v>12506</v>
      </c>
      <c r="H4060" t="s">
        <v>275</v>
      </c>
      <c r="I4060" t="s">
        <v>29</v>
      </c>
      <c r="J4060">
        <v>1</v>
      </c>
      <c r="K4060">
        <f>1-888-594-3468</f>
        <v>-4949</v>
      </c>
      <c r="L4060" t="s">
        <v>12644</v>
      </c>
      <c r="M4060" t="s">
        <v>12645</v>
      </c>
      <c r="N4060" t="s">
        <v>278</v>
      </c>
      <c r="O4060" t="s">
        <v>134</v>
      </c>
      <c r="P4060" t="s">
        <v>29</v>
      </c>
      <c r="Q4060">
        <v>39</v>
      </c>
      <c r="R4060">
        <v>-77.487399999999994</v>
      </c>
    </row>
    <row r="4061" spans="1:18" x14ac:dyDescent="0.2">
      <c r="A4061" t="s">
        <v>270</v>
      </c>
      <c r="B4061" t="s">
        <v>440</v>
      </c>
      <c r="C4061">
        <v>1</v>
      </c>
      <c r="D4061" s="1">
        <v>44072.865023148152</v>
      </c>
      <c r="E4061" t="s">
        <v>12646</v>
      </c>
      <c r="F4061" t="s">
        <v>273</v>
      </c>
      <c r="G4061" t="s">
        <v>12506</v>
      </c>
      <c r="H4061" t="s">
        <v>275</v>
      </c>
      <c r="I4061" t="s">
        <v>29</v>
      </c>
      <c r="J4061">
        <v>1</v>
      </c>
      <c r="K4061">
        <f>1-888-650-4670</f>
        <v>-6207</v>
      </c>
      <c r="L4061" t="s">
        <v>12647</v>
      </c>
      <c r="M4061" t="s">
        <v>12648</v>
      </c>
      <c r="N4061" t="s">
        <v>278</v>
      </c>
      <c r="O4061" t="s">
        <v>134</v>
      </c>
      <c r="P4061" t="s">
        <v>29</v>
      </c>
      <c r="Q4061">
        <v>39</v>
      </c>
      <c r="R4061">
        <v>-77.487399999999994</v>
      </c>
    </row>
    <row r="4062" spans="1:18" x14ac:dyDescent="0.2">
      <c r="A4062" t="s">
        <v>270</v>
      </c>
      <c r="B4062" t="s">
        <v>440</v>
      </c>
      <c r="C4062">
        <v>1</v>
      </c>
      <c r="D4062" s="1">
        <v>44071.974826388891</v>
      </c>
      <c r="E4062" t="s">
        <v>12649</v>
      </c>
      <c r="F4062" t="s">
        <v>273</v>
      </c>
      <c r="G4062" t="s">
        <v>12506</v>
      </c>
      <c r="H4062" t="s">
        <v>275</v>
      </c>
      <c r="I4062" t="s">
        <v>29</v>
      </c>
      <c r="J4062">
        <v>1</v>
      </c>
      <c r="K4062">
        <f>1-888-690-842</f>
        <v>-2419</v>
      </c>
      <c r="L4062" t="s">
        <v>12650</v>
      </c>
      <c r="M4062" t="s">
        <v>12651</v>
      </c>
      <c r="N4062" t="s">
        <v>278</v>
      </c>
      <c r="O4062" t="s">
        <v>134</v>
      </c>
      <c r="P4062" t="s">
        <v>29</v>
      </c>
      <c r="Q4062">
        <v>39</v>
      </c>
      <c r="R4062">
        <v>-77.487399999999994</v>
      </c>
    </row>
    <row r="4063" spans="1:18" x14ac:dyDescent="0.2">
      <c r="A4063" t="s">
        <v>270</v>
      </c>
      <c r="B4063" t="s">
        <v>440</v>
      </c>
      <c r="C4063">
        <v>1</v>
      </c>
      <c r="D4063" s="1">
        <v>44071.904537037037</v>
      </c>
      <c r="E4063" t="s">
        <v>12652</v>
      </c>
      <c r="F4063" t="s">
        <v>273</v>
      </c>
      <c r="G4063" t="s">
        <v>12506</v>
      </c>
      <c r="H4063" t="s">
        <v>275</v>
      </c>
      <c r="I4063" t="s">
        <v>29</v>
      </c>
      <c r="J4063">
        <v>1</v>
      </c>
      <c r="K4063">
        <f>1-888-304-1408</f>
        <v>-2599</v>
      </c>
      <c r="L4063" t="s">
        <v>12653</v>
      </c>
      <c r="M4063" t="s">
        <v>12654</v>
      </c>
      <c r="N4063" t="s">
        <v>278</v>
      </c>
      <c r="O4063" t="s">
        <v>134</v>
      </c>
      <c r="P4063" t="s">
        <v>29</v>
      </c>
      <c r="Q4063">
        <v>39</v>
      </c>
      <c r="R4063">
        <v>-77.487399999999994</v>
      </c>
    </row>
    <row r="4064" spans="1:18" x14ac:dyDescent="0.2">
      <c r="A4064" t="s">
        <v>270</v>
      </c>
      <c r="B4064" t="s">
        <v>440</v>
      </c>
      <c r="C4064">
        <v>1</v>
      </c>
      <c r="D4064" s="1">
        <v>44071.83699074074</v>
      </c>
      <c r="E4064" t="s">
        <v>12655</v>
      </c>
      <c r="F4064" t="s">
        <v>273</v>
      </c>
      <c r="G4064" t="s">
        <v>12506</v>
      </c>
      <c r="H4064" t="s">
        <v>275</v>
      </c>
      <c r="I4064" t="s">
        <v>29</v>
      </c>
      <c r="J4064">
        <v>1</v>
      </c>
      <c r="K4064">
        <f>1-888-607-419</f>
        <v>-1913</v>
      </c>
      <c r="L4064" t="s">
        <v>12656</v>
      </c>
      <c r="M4064" t="s">
        <v>12657</v>
      </c>
      <c r="N4064" t="s">
        <v>278</v>
      </c>
      <c r="O4064" t="s">
        <v>28</v>
      </c>
      <c r="P4064" t="s">
        <v>29</v>
      </c>
      <c r="Q4064">
        <v>39</v>
      </c>
      <c r="R4064">
        <v>-77.487399999999994</v>
      </c>
    </row>
    <row r="4065" spans="1:18" x14ac:dyDescent="0.2">
      <c r="A4065" t="s">
        <v>270</v>
      </c>
      <c r="B4065" t="s">
        <v>440</v>
      </c>
      <c r="C4065">
        <v>1</v>
      </c>
      <c r="D4065" s="1">
        <v>44070.870717592596</v>
      </c>
      <c r="E4065" t="s">
        <v>12658</v>
      </c>
      <c r="F4065" t="s">
        <v>273</v>
      </c>
      <c r="G4065" t="s">
        <v>12506</v>
      </c>
      <c r="H4065" t="s">
        <v>275</v>
      </c>
      <c r="I4065" t="s">
        <v>29</v>
      </c>
      <c r="J4065">
        <v>1</v>
      </c>
      <c r="K4065">
        <f>1-888-597-1445</f>
        <v>-2929</v>
      </c>
      <c r="L4065" t="s">
        <v>12659</v>
      </c>
      <c r="M4065" t="s">
        <v>12660</v>
      </c>
      <c r="N4065" t="s">
        <v>278</v>
      </c>
      <c r="O4065" t="s">
        <v>134</v>
      </c>
      <c r="P4065" t="s">
        <v>29</v>
      </c>
      <c r="Q4065">
        <v>39</v>
      </c>
      <c r="R4065">
        <v>-77.487399999999994</v>
      </c>
    </row>
    <row r="4066" spans="1:18" x14ac:dyDescent="0.2">
      <c r="A4066" t="s">
        <v>270</v>
      </c>
      <c r="B4066" t="s">
        <v>440</v>
      </c>
      <c r="C4066">
        <v>1</v>
      </c>
      <c r="D4066" s="1">
        <v>44070.869490740741</v>
      </c>
      <c r="E4066" t="s">
        <v>12661</v>
      </c>
      <c r="F4066" t="s">
        <v>273</v>
      </c>
      <c r="G4066" t="s">
        <v>12506</v>
      </c>
      <c r="H4066" t="s">
        <v>275</v>
      </c>
      <c r="I4066" t="s">
        <v>29</v>
      </c>
      <c r="J4066">
        <v>1</v>
      </c>
      <c r="K4066">
        <f>1-888-441-3235</f>
        <v>-4563</v>
      </c>
      <c r="L4066" t="s">
        <v>12662</v>
      </c>
      <c r="M4066" t="s">
        <v>12663</v>
      </c>
      <c r="N4066" t="s">
        <v>278</v>
      </c>
      <c r="O4066" t="s">
        <v>134</v>
      </c>
      <c r="P4066" t="s">
        <v>29</v>
      </c>
      <c r="Q4066">
        <v>39</v>
      </c>
      <c r="R4066">
        <v>-77.487399999999994</v>
      </c>
    </row>
    <row r="4067" spans="1:18" x14ac:dyDescent="0.2">
      <c r="A4067" t="s">
        <v>270</v>
      </c>
      <c r="B4067" t="s">
        <v>440</v>
      </c>
      <c r="C4067">
        <v>1</v>
      </c>
      <c r="D4067" s="1">
        <v>44068.186145833337</v>
      </c>
      <c r="E4067" t="s">
        <v>12664</v>
      </c>
      <c r="F4067" t="s">
        <v>273</v>
      </c>
      <c r="G4067" t="s">
        <v>12506</v>
      </c>
      <c r="H4067" t="s">
        <v>275</v>
      </c>
      <c r="I4067" t="s">
        <v>29</v>
      </c>
      <c r="J4067">
        <v>1</v>
      </c>
      <c r="K4067">
        <f>1-888-523-5728</f>
        <v>-7138</v>
      </c>
      <c r="L4067" t="s">
        <v>12665</v>
      </c>
      <c r="M4067" t="s">
        <v>12666</v>
      </c>
      <c r="N4067" t="s">
        <v>278</v>
      </c>
      <c r="O4067" t="s">
        <v>134</v>
      </c>
      <c r="P4067" t="s">
        <v>29</v>
      </c>
      <c r="Q4067">
        <v>39</v>
      </c>
      <c r="R4067">
        <v>-77.487399999999994</v>
      </c>
    </row>
    <row r="4068" spans="1:18" x14ac:dyDescent="0.2">
      <c r="A4068" t="s">
        <v>270</v>
      </c>
      <c r="B4068" t="s">
        <v>440</v>
      </c>
      <c r="C4068">
        <v>1</v>
      </c>
      <c r="D4068" s="1">
        <v>44068.072476851848</v>
      </c>
      <c r="E4068" t="s">
        <v>12667</v>
      </c>
      <c r="F4068" t="s">
        <v>273</v>
      </c>
      <c r="G4068" t="s">
        <v>12506</v>
      </c>
      <c r="H4068" t="s">
        <v>275</v>
      </c>
      <c r="I4068" t="s">
        <v>29</v>
      </c>
      <c r="J4068">
        <v>1</v>
      </c>
      <c r="K4068">
        <f>1-888-851-676</f>
        <v>-2414</v>
      </c>
      <c r="L4068" t="s">
        <v>12668</v>
      </c>
      <c r="M4068" t="s">
        <v>12669</v>
      </c>
      <c r="N4068" t="s">
        <v>278</v>
      </c>
      <c r="O4068" t="s">
        <v>28</v>
      </c>
      <c r="P4068" t="s">
        <v>29</v>
      </c>
      <c r="Q4068">
        <v>39</v>
      </c>
      <c r="R4068">
        <v>-77.487399999999994</v>
      </c>
    </row>
    <row r="4069" spans="1:18" x14ac:dyDescent="0.2">
      <c r="A4069" t="s">
        <v>270</v>
      </c>
      <c r="B4069" t="s">
        <v>440</v>
      </c>
      <c r="C4069">
        <v>1</v>
      </c>
      <c r="D4069" s="1">
        <v>44068.029803240737</v>
      </c>
      <c r="E4069" t="s">
        <v>12670</v>
      </c>
      <c r="F4069" t="s">
        <v>273</v>
      </c>
      <c r="G4069" t="s">
        <v>12506</v>
      </c>
      <c r="H4069" t="s">
        <v>275</v>
      </c>
      <c r="I4069" t="s">
        <v>29</v>
      </c>
      <c r="J4069">
        <v>1</v>
      </c>
      <c r="K4069">
        <f>1-888-291-197</f>
        <v>-1375</v>
      </c>
      <c r="L4069" t="s">
        <v>12671</v>
      </c>
      <c r="M4069" t="s">
        <v>12672</v>
      </c>
      <c r="N4069" t="s">
        <v>278</v>
      </c>
      <c r="O4069" t="s">
        <v>28</v>
      </c>
      <c r="P4069" t="s">
        <v>29</v>
      </c>
      <c r="Q4069">
        <v>39</v>
      </c>
      <c r="R4069">
        <v>-77.487399999999994</v>
      </c>
    </row>
    <row r="4070" spans="1:18" x14ac:dyDescent="0.2">
      <c r="A4070" t="s">
        <v>270</v>
      </c>
      <c r="B4070" t="s">
        <v>440</v>
      </c>
      <c r="C4070">
        <v>1</v>
      </c>
      <c r="D4070" s="1">
        <v>44065.560335648152</v>
      </c>
      <c r="E4070" t="s">
        <v>12673</v>
      </c>
      <c r="F4070" t="s">
        <v>273</v>
      </c>
      <c r="G4070" t="s">
        <v>12506</v>
      </c>
      <c r="H4070" t="s">
        <v>275</v>
      </c>
      <c r="I4070" t="s">
        <v>29</v>
      </c>
      <c r="J4070">
        <v>1</v>
      </c>
      <c r="K4070">
        <f>1-888-965-711</f>
        <v>-2563</v>
      </c>
      <c r="L4070" t="s">
        <v>12674</v>
      </c>
      <c r="M4070" t="s">
        <v>12675</v>
      </c>
      <c r="N4070" t="s">
        <v>278</v>
      </c>
      <c r="O4070" t="s">
        <v>134</v>
      </c>
      <c r="P4070" t="s">
        <v>29</v>
      </c>
      <c r="Q4070">
        <v>39</v>
      </c>
      <c r="R4070">
        <v>-77.487399999999994</v>
      </c>
    </row>
    <row r="4071" spans="1:18" x14ac:dyDescent="0.2">
      <c r="A4071" t="s">
        <v>270</v>
      </c>
      <c r="B4071" t="s">
        <v>440</v>
      </c>
      <c r="C4071">
        <v>1</v>
      </c>
      <c r="D4071" s="1">
        <v>44064.922164351854</v>
      </c>
      <c r="E4071" t="s">
        <v>12676</v>
      </c>
      <c r="F4071" t="s">
        <v>273</v>
      </c>
      <c r="G4071" t="s">
        <v>12506</v>
      </c>
      <c r="H4071" t="s">
        <v>275</v>
      </c>
      <c r="I4071" t="s">
        <v>29</v>
      </c>
      <c r="J4071">
        <v>1</v>
      </c>
      <c r="K4071">
        <f>1-888-909-1208</f>
        <v>-3004</v>
      </c>
      <c r="L4071" t="s">
        <v>12677</v>
      </c>
      <c r="M4071" t="s">
        <v>12678</v>
      </c>
      <c r="N4071" t="s">
        <v>278</v>
      </c>
      <c r="O4071" t="s">
        <v>134</v>
      </c>
      <c r="P4071" t="s">
        <v>29</v>
      </c>
      <c r="Q4071">
        <v>39</v>
      </c>
      <c r="R4071">
        <v>-77.487399999999994</v>
      </c>
    </row>
    <row r="4072" spans="1:18" x14ac:dyDescent="0.2">
      <c r="A4072" t="s">
        <v>270</v>
      </c>
      <c r="B4072" t="s">
        <v>440</v>
      </c>
      <c r="C4072">
        <v>1</v>
      </c>
      <c r="D4072" s="1">
        <v>44064.922013888892</v>
      </c>
      <c r="E4072" t="s">
        <v>12679</v>
      </c>
      <c r="F4072" t="s">
        <v>273</v>
      </c>
      <c r="G4072" t="s">
        <v>12506</v>
      </c>
      <c r="H4072" t="s">
        <v>275</v>
      </c>
      <c r="I4072" t="s">
        <v>29</v>
      </c>
      <c r="J4072">
        <v>1</v>
      </c>
      <c r="K4072">
        <f>1-888-965-790</f>
        <v>-2642</v>
      </c>
      <c r="L4072" t="s">
        <v>12680</v>
      </c>
      <c r="M4072" t="s">
        <v>12681</v>
      </c>
      <c r="N4072" t="s">
        <v>278</v>
      </c>
      <c r="O4072" t="s">
        <v>134</v>
      </c>
      <c r="P4072" t="s">
        <v>29</v>
      </c>
      <c r="Q4072">
        <v>39</v>
      </c>
      <c r="R4072">
        <v>-77.487399999999994</v>
      </c>
    </row>
    <row r="4073" spans="1:18" x14ac:dyDescent="0.2">
      <c r="A4073" t="s">
        <v>270</v>
      </c>
      <c r="B4073" t="s">
        <v>440</v>
      </c>
      <c r="C4073">
        <v>1</v>
      </c>
      <c r="D4073" s="1">
        <v>44064.921990740739</v>
      </c>
      <c r="E4073" t="s">
        <v>12682</v>
      </c>
      <c r="F4073" t="s">
        <v>273</v>
      </c>
      <c r="G4073" t="s">
        <v>12506</v>
      </c>
      <c r="H4073" t="s">
        <v>275</v>
      </c>
      <c r="I4073" t="s">
        <v>29</v>
      </c>
      <c r="J4073">
        <v>1</v>
      </c>
      <c r="K4073">
        <f>1-888-965-790</f>
        <v>-2642</v>
      </c>
      <c r="L4073" t="s">
        <v>12683</v>
      </c>
      <c r="M4073" t="s">
        <v>12684</v>
      </c>
      <c r="N4073" t="s">
        <v>278</v>
      </c>
      <c r="O4073" t="s">
        <v>134</v>
      </c>
      <c r="P4073" t="s">
        <v>29</v>
      </c>
      <c r="Q4073">
        <v>39</v>
      </c>
      <c r="R4073">
        <v>-77.487399999999994</v>
      </c>
    </row>
    <row r="4074" spans="1:18" x14ac:dyDescent="0.2">
      <c r="A4074" t="s">
        <v>270</v>
      </c>
      <c r="B4074" t="s">
        <v>440</v>
      </c>
      <c r="C4074">
        <v>1</v>
      </c>
      <c r="D4074" s="1">
        <v>44064.921840277777</v>
      </c>
      <c r="E4074" t="s">
        <v>12685</v>
      </c>
      <c r="F4074" t="s">
        <v>273</v>
      </c>
      <c r="G4074" t="s">
        <v>12506</v>
      </c>
      <c r="H4074" t="s">
        <v>275</v>
      </c>
      <c r="I4074" t="s">
        <v>29</v>
      </c>
      <c r="J4074">
        <v>1</v>
      </c>
      <c r="K4074">
        <f>1-888-291-265</f>
        <v>-1443</v>
      </c>
      <c r="L4074" t="s">
        <v>12686</v>
      </c>
      <c r="M4074" t="s">
        <v>12687</v>
      </c>
      <c r="N4074" t="s">
        <v>278</v>
      </c>
      <c r="O4074" t="s">
        <v>134</v>
      </c>
      <c r="P4074" t="s">
        <v>29</v>
      </c>
      <c r="Q4074">
        <v>39</v>
      </c>
      <c r="R4074">
        <v>-77.487399999999994</v>
      </c>
    </row>
    <row r="4075" spans="1:18" x14ac:dyDescent="0.2">
      <c r="A4075" t="s">
        <v>270</v>
      </c>
      <c r="B4075" t="s">
        <v>440</v>
      </c>
      <c r="C4075">
        <v>1</v>
      </c>
      <c r="D4075" s="1">
        <v>44064.921597222223</v>
      </c>
      <c r="E4075" t="s">
        <v>12688</v>
      </c>
      <c r="F4075" t="s">
        <v>273</v>
      </c>
      <c r="G4075" t="s">
        <v>12506</v>
      </c>
      <c r="H4075" t="s">
        <v>275</v>
      </c>
      <c r="I4075" t="s">
        <v>29</v>
      </c>
      <c r="J4075">
        <v>1</v>
      </c>
      <c r="K4075">
        <f>1-888-686-446</f>
        <v>-2019</v>
      </c>
      <c r="L4075" t="s">
        <v>12689</v>
      </c>
      <c r="M4075" t="s">
        <v>12690</v>
      </c>
      <c r="N4075" t="s">
        <v>278</v>
      </c>
      <c r="O4075" t="s">
        <v>134</v>
      </c>
      <c r="P4075" t="s">
        <v>29</v>
      </c>
      <c r="Q4075">
        <v>39</v>
      </c>
      <c r="R4075">
        <v>-77.487399999999994</v>
      </c>
    </row>
    <row r="4076" spans="1:18" x14ac:dyDescent="0.2">
      <c r="A4076" t="s">
        <v>270</v>
      </c>
      <c r="B4076" t="s">
        <v>440</v>
      </c>
      <c r="C4076">
        <v>1</v>
      </c>
      <c r="D4076" s="1">
        <v>44064.921550925923</v>
      </c>
      <c r="E4076" t="s">
        <v>12691</v>
      </c>
      <c r="F4076" t="s">
        <v>273</v>
      </c>
      <c r="G4076" t="s">
        <v>12506</v>
      </c>
      <c r="H4076" t="s">
        <v>275</v>
      </c>
      <c r="I4076" t="s">
        <v>29</v>
      </c>
      <c r="J4076">
        <v>1</v>
      </c>
      <c r="K4076">
        <f>1-888-441-3234</f>
        <v>-4562</v>
      </c>
      <c r="L4076" t="s">
        <v>12692</v>
      </c>
      <c r="M4076" t="s">
        <v>12693</v>
      </c>
      <c r="N4076" t="s">
        <v>278</v>
      </c>
      <c r="O4076" t="s">
        <v>134</v>
      </c>
      <c r="P4076" t="s">
        <v>29</v>
      </c>
      <c r="Q4076">
        <v>39</v>
      </c>
      <c r="R4076">
        <v>-77.487399999999994</v>
      </c>
    </row>
    <row r="4077" spans="1:18" x14ac:dyDescent="0.2">
      <c r="A4077" t="s">
        <v>270</v>
      </c>
      <c r="B4077" t="s">
        <v>440</v>
      </c>
      <c r="C4077">
        <v>1</v>
      </c>
      <c r="D4077" s="1">
        <v>44064.92150462963</v>
      </c>
      <c r="E4077" t="s">
        <v>12694</v>
      </c>
      <c r="F4077" t="s">
        <v>273</v>
      </c>
      <c r="G4077" t="s">
        <v>12506</v>
      </c>
      <c r="H4077" t="s">
        <v>275</v>
      </c>
      <c r="I4077" t="s">
        <v>29</v>
      </c>
      <c r="J4077">
        <v>1</v>
      </c>
      <c r="K4077">
        <f>1-888-965-706</f>
        <v>-2558</v>
      </c>
      <c r="L4077" t="s">
        <v>12695</v>
      </c>
      <c r="M4077" t="s">
        <v>12696</v>
      </c>
      <c r="N4077" t="s">
        <v>278</v>
      </c>
      <c r="O4077" t="s">
        <v>134</v>
      </c>
      <c r="P4077" t="s">
        <v>29</v>
      </c>
      <c r="Q4077">
        <v>39</v>
      </c>
      <c r="R4077">
        <v>-77.487399999999994</v>
      </c>
    </row>
    <row r="4078" spans="1:18" x14ac:dyDescent="0.2">
      <c r="A4078" t="s">
        <v>270</v>
      </c>
      <c r="B4078" t="s">
        <v>440</v>
      </c>
      <c r="C4078">
        <v>1</v>
      </c>
      <c r="D4078" s="1">
        <v>44064.921261574076</v>
      </c>
      <c r="E4078" t="s">
        <v>12697</v>
      </c>
      <c r="F4078" t="s">
        <v>273</v>
      </c>
      <c r="G4078" t="s">
        <v>12506</v>
      </c>
      <c r="H4078" t="s">
        <v>275</v>
      </c>
      <c r="I4078" t="s">
        <v>29</v>
      </c>
      <c r="J4078">
        <v>1</v>
      </c>
      <c r="K4078">
        <f>1-888-965-711</f>
        <v>-2563</v>
      </c>
      <c r="L4078" t="s">
        <v>12698</v>
      </c>
      <c r="M4078" t="s">
        <v>12699</v>
      </c>
      <c r="N4078" t="s">
        <v>278</v>
      </c>
      <c r="O4078" t="s">
        <v>134</v>
      </c>
      <c r="P4078" t="s">
        <v>29</v>
      </c>
      <c r="Q4078">
        <v>39</v>
      </c>
      <c r="R4078">
        <v>-77.487399999999994</v>
      </c>
    </row>
    <row r="4079" spans="1:18" x14ac:dyDescent="0.2">
      <c r="A4079" t="s">
        <v>270</v>
      </c>
      <c r="B4079" t="s">
        <v>440</v>
      </c>
      <c r="C4079">
        <v>1</v>
      </c>
      <c r="D4079" s="1">
        <v>44064.382291666669</v>
      </c>
      <c r="E4079" t="s">
        <v>12700</v>
      </c>
      <c r="F4079" t="s">
        <v>273</v>
      </c>
      <c r="G4079" t="s">
        <v>12506</v>
      </c>
      <c r="H4079" t="s">
        <v>275</v>
      </c>
      <c r="I4079" t="s">
        <v>29</v>
      </c>
      <c r="J4079">
        <v>1</v>
      </c>
      <c r="K4079">
        <f>1-888-521-2495</f>
        <v>-3903</v>
      </c>
      <c r="L4079" t="s">
        <v>12701</v>
      </c>
      <c r="M4079" t="s">
        <v>12702</v>
      </c>
      <c r="N4079" t="s">
        <v>278</v>
      </c>
      <c r="O4079" t="s">
        <v>134</v>
      </c>
      <c r="P4079" t="s">
        <v>29</v>
      </c>
      <c r="Q4079">
        <v>39</v>
      </c>
      <c r="R4079">
        <v>-77.487399999999994</v>
      </c>
    </row>
    <row r="4080" spans="1:18" x14ac:dyDescent="0.2">
      <c r="A4080" t="s">
        <v>270</v>
      </c>
      <c r="B4080" t="s">
        <v>440</v>
      </c>
      <c r="C4080">
        <v>1</v>
      </c>
      <c r="D4080" s="1">
        <v>44064.381909722222</v>
      </c>
      <c r="E4080" t="s">
        <v>12703</v>
      </c>
      <c r="F4080" t="s">
        <v>273</v>
      </c>
      <c r="G4080" t="s">
        <v>12506</v>
      </c>
      <c r="H4080" t="s">
        <v>275</v>
      </c>
      <c r="I4080" t="s">
        <v>29</v>
      </c>
      <c r="J4080">
        <v>1</v>
      </c>
      <c r="K4080">
        <f>1-888-705-949</f>
        <v>-2541</v>
      </c>
      <c r="L4080" t="s">
        <v>12704</v>
      </c>
      <c r="M4080" t="s">
        <v>12705</v>
      </c>
      <c r="N4080" t="s">
        <v>278</v>
      </c>
      <c r="O4080" t="s">
        <v>134</v>
      </c>
      <c r="P4080" t="s">
        <v>29</v>
      </c>
      <c r="Q4080">
        <v>39</v>
      </c>
      <c r="R4080">
        <v>-77.487399999999994</v>
      </c>
    </row>
    <row r="4081" spans="1:18" x14ac:dyDescent="0.2">
      <c r="A4081" t="s">
        <v>270</v>
      </c>
      <c r="B4081" t="s">
        <v>440</v>
      </c>
      <c r="C4081">
        <v>1</v>
      </c>
      <c r="D4081" s="1">
        <v>44061.695254629631</v>
      </c>
      <c r="E4081" t="s">
        <v>12706</v>
      </c>
      <c r="F4081" t="s">
        <v>273</v>
      </c>
      <c r="G4081" t="s">
        <v>12506</v>
      </c>
      <c r="H4081" t="s">
        <v>275</v>
      </c>
      <c r="I4081" t="s">
        <v>29</v>
      </c>
      <c r="J4081">
        <v>1</v>
      </c>
      <c r="K4081">
        <f>1-888-530-6238</f>
        <v>-7655</v>
      </c>
      <c r="L4081" t="s">
        <v>12707</v>
      </c>
      <c r="M4081" t="s">
        <v>12708</v>
      </c>
      <c r="N4081" t="s">
        <v>278</v>
      </c>
      <c r="O4081" t="s">
        <v>134</v>
      </c>
      <c r="P4081" t="s">
        <v>29</v>
      </c>
      <c r="Q4081">
        <v>39</v>
      </c>
      <c r="R4081">
        <v>-77.487399999999994</v>
      </c>
    </row>
    <row r="4082" spans="1:18" x14ac:dyDescent="0.2">
      <c r="A4082" t="s">
        <v>270</v>
      </c>
      <c r="B4082" t="s">
        <v>440</v>
      </c>
      <c r="C4082">
        <v>1</v>
      </c>
      <c r="D4082" s="1">
        <v>44056.185069444444</v>
      </c>
      <c r="E4082" t="s">
        <v>12709</v>
      </c>
      <c r="F4082" t="s">
        <v>273</v>
      </c>
      <c r="G4082" t="s">
        <v>12506</v>
      </c>
      <c r="H4082" t="s">
        <v>275</v>
      </c>
      <c r="I4082" t="s">
        <v>29</v>
      </c>
      <c r="J4082">
        <v>1</v>
      </c>
      <c r="K4082">
        <f>1-888-690-842</f>
        <v>-2419</v>
      </c>
      <c r="L4082" t="s">
        <v>12710</v>
      </c>
      <c r="M4082" t="s">
        <v>12711</v>
      </c>
      <c r="N4082" t="s">
        <v>278</v>
      </c>
      <c r="O4082" t="s">
        <v>134</v>
      </c>
      <c r="P4082" t="s">
        <v>29</v>
      </c>
      <c r="Q4082">
        <v>39</v>
      </c>
      <c r="R4082">
        <v>-77.487399999999994</v>
      </c>
    </row>
    <row r="4083" spans="1:18" x14ac:dyDescent="0.2">
      <c r="A4083" t="s">
        <v>270</v>
      </c>
      <c r="B4083" t="s">
        <v>440</v>
      </c>
      <c r="C4083">
        <v>1</v>
      </c>
      <c r="D4083" s="1">
        <v>44053.302141203705</v>
      </c>
      <c r="E4083" t="s">
        <v>12712</v>
      </c>
      <c r="F4083" t="s">
        <v>273</v>
      </c>
      <c r="G4083" t="s">
        <v>12506</v>
      </c>
      <c r="H4083" t="s">
        <v>275</v>
      </c>
      <c r="I4083" t="s">
        <v>29</v>
      </c>
      <c r="J4083">
        <v>1</v>
      </c>
      <c r="K4083">
        <f>1-866-801-5549</f>
        <v>-7215</v>
      </c>
      <c r="L4083" t="s">
        <v>12713</v>
      </c>
      <c r="M4083" t="s">
        <v>12714</v>
      </c>
      <c r="N4083" t="s">
        <v>278</v>
      </c>
      <c r="O4083" t="s">
        <v>134</v>
      </c>
      <c r="P4083" t="s">
        <v>29</v>
      </c>
      <c r="Q4083">
        <v>39</v>
      </c>
      <c r="R4083">
        <v>-77.487399999999994</v>
      </c>
    </row>
    <row r="4084" spans="1:18" x14ac:dyDescent="0.2">
      <c r="A4084" t="s">
        <v>270</v>
      </c>
      <c r="B4084" t="s">
        <v>440</v>
      </c>
      <c r="C4084">
        <v>1</v>
      </c>
      <c r="D4084" s="1">
        <v>44040.737557870372</v>
      </c>
      <c r="E4084" t="s">
        <v>12715</v>
      </c>
      <c r="F4084" t="s">
        <v>273</v>
      </c>
      <c r="G4084" t="s">
        <v>12506</v>
      </c>
      <c r="H4084" t="s">
        <v>275</v>
      </c>
      <c r="I4084" t="s">
        <v>29</v>
      </c>
      <c r="J4084">
        <v>1</v>
      </c>
      <c r="K4084">
        <f>1-800-46-5295</f>
        <v>-6140</v>
      </c>
      <c r="L4084" t="s">
        <v>12716</v>
      </c>
      <c r="M4084" t="s">
        <v>12717</v>
      </c>
      <c r="N4084" t="s">
        <v>278</v>
      </c>
      <c r="O4084" t="s">
        <v>134</v>
      </c>
      <c r="P4084" t="s">
        <v>29</v>
      </c>
      <c r="Q4084">
        <v>39</v>
      </c>
      <c r="R4084">
        <v>-77.487399999999994</v>
      </c>
    </row>
    <row r="4085" spans="1:18" x14ac:dyDescent="0.2">
      <c r="A4085" t="s">
        <v>439</v>
      </c>
      <c r="B4085" t="s">
        <v>440</v>
      </c>
      <c r="C4085">
        <v>33</v>
      </c>
      <c r="D4085" s="1">
        <v>44040.745694444442</v>
      </c>
      <c r="E4085" t="s">
        <v>12718</v>
      </c>
      <c r="F4085" t="s">
        <v>442</v>
      </c>
      <c r="G4085" t="s">
        <v>12719</v>
      </c>
      <c r="H4085" t="s">
        <v>444</v>
      </c>
      <c r="I4085" t="s">
        <v>292</v>
      </c>
      <c r="J4085">
        <v>33</v>
      </c>
      <c r="K4085">
        <f>33-9-70-58-3-53</f>
        <v>-160</v>
      </c>
      <c r="L4085" t="s">
        <v>12720</v>
      </c>
      <c r="M4085" t="s">
        <v>12721</v>
      </c>
      <c r="N4085" t="s">
        <v>3454</v>
      </c>
      <c r="O4085" t="s">
        <v>134</v>
      </c>
      <c r="P4085" t="s">
        <v>29</v>
      </c>
      <c r="Q4085">
        <v>39</v>
      </c>
      <c r="R4085">
        <v>-77.487399999999994</v>
      </c>
    </row>
    <row r="4086" spans="1:18" x14ac:dyDescent="0.2">
      <c r="A4086" t="s">
        <v>663</v>
      </c>
      <c r="B4086" t="s">
        <v>3385</v>
      </c>
      <c r="C4086">
        <v>1</v>
      </c>
      <c r="D4086" s="1">
        <v>44040.782141203701</v>
      </c>
      <c r="E4086" t="s">
        <v>12722</v>
      </c>
      <c r="F4086" t="s">
        <v>666</v>
      </c>
      <c r="G4086" t="s">
        <v>12723</v>
      </c>
      <c r="H4086" t="s">
        <v>667</v>
      </c>
      <c r="I4086" t="s">
        <v>29</v>
      </c>
      <c r="J4086">
        <v>1</v>
      </c>
      <c r="K4086">
        <f>1-800-31-4241</f>
        <v>-5071</v>
      </c>
      <c r="L4086" t="s">
        <v>12724</v>
      </c>
      <c r="M4086" t="s">
        <v>12725</v>
      </c>
      <c r="N4086" t="s">
        <v>1645</v>
      </c>
      <c r="O4086" t="s">
        <v>28</v>
      </c>
      <c r="P4086" t="s">
        <v>29</v>
      </c>
      <c r="Q4086">
        <v>41</v>
      </c>
      <c r="R4086">
        <v>-73.996600000000001</v>
      </c>
    </row>
    <row r="4087" spans="1:18" x14ac:dyDescent="0.2">
      <c r="A4087" t="s">
        <v>2233</v>
      </c>
      <c r="B4087" t="s">
        <v>2234</v>
      </c>
      <c r="C4087">
        <v>1</v>
      </c>
      <c r="D4087" s="1">
        <v>44040.915011574078</v>
      </c>
      <c r="E4087" t="s">
        <v>12726</v>
      </c>
      <c r="F4087" t="s">
        <v>2236</v>
      </c>
      <c r="G4087" t="s">
        <v>12727</v>
      </c>
      <c r="H4087" t="s">
        <v>2237</v>
      </c>
      <c r="I4087" t="s">
        <v>29</v>
      </c>
      <c r="J4087">
        <v>1</v>
      </c>
      <c r="K4087">
        <f>1-855-970-252</f>
        <v>-2076</v>
      </c>
      <c r="L4087" t="s">
        <v>12728</v>
      </c>
      <c r="M4087" t="s">
        <v>12729</v>
      </c>
      <c r="N4087" t="s">
        <v>6761</v>
      </c>
      <c r="O4087" t="s">
        <v>28</v>
      </c>
      <c r="P4087" t="s">
        <v>29</v>
      </c>
      <c r="Q4087">
        <v>40</v>
      </c>
      <c r="R4087">
        <v>-83.114099999999993</v>
      </c>
    </row>
    <row r="4088" spans="1:18" x14ac:dyDescent="0.2">
      <c r="A4088" t="s">
        <v>675</v>
      </c>
      <c r="B4088" t="s">
        <v>1412</v>
      </c>
      <c r="C4088">
        <v>1</v>
      </c>
      <c r="D4088" s="1">
        <v>44040.842291666668</v>
      </c>
      <c r="E4088" t="s">
        <v>12730</v>
      </c>
      <c r="F4088" t="s">
        <v>678</v>
      </c>
      <c r="G4088" t="s">
        <v>12731</v>
      </c>
      <c r="H4088" t="s">
        <v>680</v>
      </c>
      <c r="I4088" t="s">
        <v>29</v>
      </c>
      <c r="J4088">
        <v>1</v>
      </c>
      <c r="K4088">
        <f>1-845-402-6161</f>
        <v>-7407</v>
      </c>
      <c r="L4088" t="s">
        <v>12732</v>
      </c>
      <c r="M4088" t="s">
        <v>12733</v>
      </c>
      <c r="N4088" t="s">
        <v>683</v>
      </c>
      <c r="O4088" t="s">
        <v>28</v>
      </c>
      <c r="P4088" t="s">
        <v>29</v>
      </c>
      <c r="Q4088">
        <v>41</v>
      </c>
      <c r="R4088">
        <v>-74.172399999999996</v>
      </c>
    </row>
    <row r="4089" spans="1:18" x14ac:dyDescent="0.2">
      <c r="A4089" t="s">
        <v>439</v>
      </c>
      <c r="B4089" t="s">
        <v>440</v>
      </c>
      <c r="C4089">
        <v>1</v>
      </c>
      <c r="D4089" s="1">
        <v>44040.902465277781</v>
      </c>
      <c r="E4089" t="s">
        <v>12734</v>
      </c>
      <c r="F4089" t="s">
        <v>442</v>
      </c>
      <c r="G4089" t="s">
        <v>12735</v>
      </c>
      <c r="H4089" t="s">
        <v>444</v>
      </c>
      <c r="I4089" t="s">
        <v>29</v>
      </c>
      <c r="J4089">
        <v>1</v>
      </c>
      <c r="K4089">
        <f>1-844-945-2944</f>
        <v>-4732</v>
      </c>
      <c r="L4089" t="s">
        <v>12736</v>
      </c>
      <c r="M4089" t="s">
        <v>12737</v>
      </c>
      <c r="N4089" t="s">
        <v>213</v>
      </c>
      <c r="O4089" t="s">
        <v>28</v>
      </c>
      <c r="P4089" t="s">
        <v>29</v>
      </c>
      <c r="Q4089">
        <v>39</v>
      </c>
      <c r="R4089">
        <v>-77.487399999999994</v>
      </c>
    </row>
    <row r="4090" spans="1:18" x14ac:dyDescent="0.2">
      <c r="A4090" t="s">
        <v>439</v>
      </c>
      <c r="B4090" t="s">
        <v>440</v>
      </c>
      <c r="C4090">
        <v>1</v>
      </c>
      <c r="D4090" s="1">
        <v>44040.927766203706</v>
      </c>
      <c r="E4090" t="s">
        <v>12738</v>
      </c>
      <c r="F4090" t="s">
        <v>442</v>
      </c>
      <c r="G4090" t="s">
        <v>12739</v>
      </c>
      <c r="H4090" t="s">
        <v>444</v>
      </c>
      <c r="I4090" t="s">
        <v>29</v>
      </c>
      <c r="J4090">
        <v>1</v>
      </c>
      <c r="K4090">
        <f>1-866-751-9434</f>
        <v>-11050</v>
      </c>
      <c r="L4090" t="s">
        <v>12740</v>
      </c>
      <c r="M4090" t="s">
        <v>12741</v>
      </c>
      <c r="N4090" t="s">
        <v>213</v>
      </c>
      <c r="O4090" t="s">
        <v>28</v>
      </c>
      <c r="P4090" t="s">
        <v>29</v>
      </c>
      <c r="Q4090">
        <v>39</v>
      </c>
      <c r="R4090">
        <v>-77.487399999999994</v>
      </c>
    </row>
    <row r="4091" spans="1:18" x14ac:dyDescent="0.2">
      <c r="A4091" t="s">
        <v>439</v>
      </c>
      <c r="B4091" t="s">
        <v>3094</v>
      </c>
      <c r="C4091">
        <v>1</v>
      </c>
      <c r="D4091" s="1">
        <v>44040.931041666663</v>
      </c>
      <c r="E4091" t="s">
        <v>12742</v>
      </c>
      <c r="F4091" t="s">
        <v>442</v>
      </c>
      <c r="G4091" t="s">
        <v>12743</v>
      </c>
      <c r="H4091" t="s">
        <v>444</v>
      </c>
      <c r="I4091" t="s">
        <v>29</v>
      </c>
      <c r="J4091">
        <v>1</v>
      </c>
      <c r="K4091">
        <f>1-844-447-5519</f>
        <v>-6809</v>
      </c>
      <c r="L4091" t="s">
        <v>12744</v>
      </c>
      <c r="M4091" t="s">
        <v>12745</v>
      </c>
      <c r="N4091" t="s">
        <v>674</v>
      </c>
      <c r="O4091" t="s">
        <v>28</v>
      </c>
      <c r="P4091" t="s">
        <v>2268</v>
      </c>
      <c r="Q4091">
        <v>46</v>
      </c>
      <c r="R4091">
        <v>-73.567300000000003</v>
      </c>
    </row>
    <row r="4092" spans="1:18" x14ac:dyDescent="0.2">
      <c r="A4092" t="s">
        <v>663</v>
      </c>
      <c r="B4092" t="s">
        <v>3385</v>
      </c>
      <c r="C4092">
        <v>61</v>
      </c>
      <c r="D4092" s="1">
        <v>44041.433263888888</v>
      </c>
      <c r="E4092" t="s">
        <v>12746</v>
      </c>
      <c r="F4092" t="s">
        <v>666</v>
      </c>
      <c r="G4092" t="s">
        <v>12746</v>
      </c>
      <c r="H4092" t="s">
        <v>667</v>
      </c>
      <c r="I4092" t="s">
        <v>782</v>
      </c>
      <c r="J4092">
        <v>61</v>
      </c>
      <c r="K4092">
        <f>61-1800-572-283</f>
        <v>-2594</v>
      </c>
      <c r="L4092" t="s">
        <v>12747</v>
      </c>
      <c r="M4092" t="s">
        <v>12748</v>
      </c>
      <c r="N4092">
        <v>70</v>
      </c>
      <c r="O4092" t="s">
        <v>134</v>
      </c>
      <c r="P4092" t="s">
        <v>29</v>
      </c>
      <c r="Q4092">
        <v>41</v>
      </c>
      <c r="R4092">
        <v>-73.996600000000001</v>
      </c>
    </row>
    <row r="4093" spans="1:18" x14ac:dyDescent="0.2">
      <c r="A4093" t="s">
        <v>663</v>
      </c>
      <c r="B4093" t="s">
        <v>3385</v>
      </c>
      <c r="C4093">
        <v>61</v>
      </c>
      <c r="D4093" s="1">
        <v>44041.015729166669</v>
      </c>
      <c r="E4093" t="s">
        <v>12749</v>
      </c>
      <c r="F4093" t="s">
        <v>666</v>
      </c>
      <c r="G4093" t="s">
        <v>12746</v>
      </c>
      <c r="H4093" t="s">
        <v>667</v>
      </c>
      <c r="I4093" t="s">
        <v>782</v>
      </c>
      <c r="J4093">
        <v>61</v>
      </c>
      <c r="K4093">
        <f>61-1800-572-283</f>
        <v>-2594</v>
      </c>
      <c r="L4093" t="s">
        <v>12750</v>
      </c>
      <c r="M4093" t="s">
        <v>12751</v>
      </c>
      <c r="N4093" t="s">
        <v>1645</v>
      </c>
      <c r="O4093" t="s">
        <v>28</v>
      </c>
      <c r="P4093" t="s">
        <v>29</v>
      </c>
      <c r="Q4093">
        <v>41</v>
      </c>
      <c r="R4093">
        <v>-73.996600000000001</v>
      </c>
    </row>
    <row r="4094" spans="1:18" x14ac:dyDescent="0.2">
      <c r="A4094" t="s">
        <v>439</v>
      </c>
      <c r="B4094" t="s">
        <v>3094</v>
      </c>
      <c r="C4094">
        <v>1</v>
      </c>
      <c r="D4094" s="1">
        <v>44041.033032407409</v>
      </c>
      <c r="E4094" t="s">
        <v>12752</v>
      </c>
      <c r="F4094" t="s">
        <v>442</v>
      </c>
      <c r="G4094" t="s">
        <v>12753</v>
      </c>
      <c r="H4094" t="s">
        <v>444</v>
      </c>
      <c r="I4094" t="s">
        <v>29</v>
      </c>
      <c r="J4094">
        <v>1</v>
      </c>
      <c r="K4094">
        <f>1-855-914-3454</f>
        <v>-5222</v>
      </c>
      <c r="L4094" t="s">
        <v>12754</v>
      </c>
      <c r="M4094" t="s">
        <v>12755</v>
      </c>
      <c r="N4094" t="s">
        <v>447</v>
      </c>
      <c r="O4094" t="s">
        <v>28</v>
      </c>
      <c r="P4094" t="s">
        <v>2268</v>
      </c>
      <c r="Q4094">
        <v>46</v>
      </c>
      <c r="R4094">
        <v>-73.567300000000003</v>
      </c>
    </row>
    <row r="4095" spans="1:18" x14ac:dyDescent="0.2">
      <c r="A4095" t="s">
        <v>439</v>
      </c>
      <c r="B4095" t="s">
        <v>440</v>
      </c>
      <c r="C4095">
        <v>81</v>
      </c>
      <c r="D4095" s="1">
        <v>44041.158437500002</v>
      </c>
      <c r="E4095" t="s">
        <v>12756</v>
      </c>
      <c r="F4095" t="s">
        <v>442</v>
      </c>
      <c r="G4095" t="s">
        <v>12757</v>
      </c>
      <c r="H4095" t="s">
        <v>444</v>
      </c>
      <c r="I4095" t="s">
        <v>53</v>
      </c>
      <c r="J4095">
        <v>81</v>
      </c>
      <c r="K4095">
        <f>81-50-5809-3115</f>
        <v>-8893</v>
      </c>
      <c r="L4095" t="s">
        <v>12758</v>
      </c>
      <c r="M4095" t="s">
        <v>12759</v>
      </c>
      <c r="N4095" t="s">
        <v>447</v>
      </c>
      <c r="O4095" t="s">
        <v>28</v>
      </c>
      <c r="P4095" t="s">
        <v>29</v>
      </c>
      <c r="Q4095">
        <v>39</v>
      </c>
      <c r="R4095">
        <v>-77.487399999999994</v>
      </c>
    </row>
    <row r="4096" spans="1:18" x14ac:dyDescent="0.2">
      <c r="A4096" t="s">
        <v>439</v>
      </c>
      <c r="B4096" t="s">
        <v>1412</v>
      </c>
      <c r="C4096">
        <v>33</v>
      </c>
      <c r="D4096" s="1">
        <v>44041.176365740743</v>
      </c>
      <c r="E4096" t="s">
        <v>12760</v>
      </c>
      <c r="F4096" t="s">
        <v>442</v>
      </c>
      <c r="G4096" t="s">
        <v>12761</v>
      </c>
      <c r="H4096" t="s">
        <v>444</v>
      </c>
      <c r="I4096" t="s">
        <v>292</v>
      </c>
      <c r="J4096">
        <v>33</v>
      </c>
      <c r="K4096">
        <f>33-9-70-58-3-53</f>
        <v>-160</v>
      </c>
      <c r="L4096" t="s">
        <v>12762</v>
      </c>
      <c r="M4096" t="s">
        <v>12763</v>
      </c>
      <c r="N4096" t="s">
        <v>447</v>
      </c>
      <c r="O4096" t="s">
        <v>134</v>
      </c>
      <c r="P4096" t="s">
        <v>29</v>
      </c>
      <c r="Q4096">
        <v>41</v>
      </c>
      <c r="R4096">
        <v>-74.172399999999996</v>
      </c>
    </row>
    <row r="4097" spans="1:18" x14ac:dyDescent="0.2">
      <c r="A4097" t="s">
        <v>439</v>
      </c>
      <c r="B4097" t="s">
        <v>440</v>
      </c>
      <c r="C4097">
        <v>33</v>
      </c>
      <c r="D4097" s="1">
        <v>44041.176712962966</v>
      </c>
      <c r="E4097" t="s">
        <v>12764</v>
      </c>
      <c r="F4097" t="s">
        <v>442</v>
      </c>
      <c r="G4097" t="s">
        <v>12765</v>
      </c>
      <c r="H4097" t="s">
        <v>444</v>
      </c>
      <c r="I4097" t="s">
        <v>292</v>
      </c>
      <c r="J4097">
        <v>33</v>
      </c>
      <c r="K4097">
        <f>33-9-70-58-3-53</f>
        <v>-160</v>
      </c>
      <c r="L4097" t="s">
        <v>12766</v>
      </c>
      <c r="M4097" t="s">
        <v>12767</v>
      </c>
      <c r="N4097" t="s">
        <v>447</v>
      </c>
      <c r="O4097" t="s">
        <v>134</v>
      </c>
      <c r="P4097" t="s">
        <v>29</v>
      </c>
      <c r="Q4097">
        <v>39</v>
      </c>
      <c r="R4097">
        <v>-77.487399999999994</v>
      </c>
    </row>
    <row r="4098" spans="1:18" x14ac:dyDescent="0.2">
      <c r="A4098" t="s">
        <v>270</v>
      </c>
      <c r="B4098" t="s">
        <v>271</v>
      </c>
      <c r="C4098">
        <v>1</v>
      </c>
      <c r="D4098" s="1">
        <v>44043.354097222225</v>
      </c>
      <c r="E4098" t="s">
        <v>12768</v>
      </c>
      <c r="F4098" t="s">
        <v>273</v>
      </c>
      <c r="G4098" t="s">
        <v>12769</v>
      </c>
      <c r="H4098" t="s">
        <v>275</v>
      </c>
      <c r="I4098" t="s">
        <v>29</v>
      </c>
      <c r="J4098">
        <v>1</v>
      </c>
      <c r="K4098">
        <f t="shared" ref="K4098:K4104" si="23">1-888-381-9206</f>
        <v>-10474</v>
      </c>
      <c r="L4098" t="s">
        <v>12770</v>
      </c>
      <c r="M4098" t="s">
        <v>12771</v>
      </c>
      <c r="N4098" t="s">
        <v>278</v>
      </c>
      <c r="O4098" t="s">
        <v>134</v>
      </c>
      <c r="P4098" t="s">
        <v>29</v>
      </c>
      <c r="Q4098">
        <v>42</v>
      </c>
      <c r="R4098">
        <v>-93.620800000000003</v>
      </c>
    </row>
    <row r="4099" spans="1:18" x14ac:dyDescent="0.2">
      <c r="A4099" t="s">
        <v>270</v>
      </c>
      <c r="B4099" t="s">
        <v>271</v>
      </c>
      <c r="C4099">
        <v>1</v>
      </c>
      <c r="D4099" s="1">
        <v>44041.674212962964</v>
      </c>
      <c r="E4099" t="s">
        <v>12772</v>
      </c>
      <c r="F4099" t="s">
        <v>273</v>
      </c>
      <c r="G4099" t="s">
        <v>12769</v>
      </c>
      <c r="H4099" t="s">
        <v>275</v>
      </c>
      <c r="I4099" t="s">
        <v>29</v>
      </c>
      <c r="J4099">
        <v>1</v>
      </c>
      <c r="K4099">
        <f t="shared" si="23"/>
        <v>-10474</v>
      </c>
      <c r="L4099" t="s">
        <v>12773</v>
      </c>
      <c r="M4099" t="s">
        <v>12774</v>
      </c>
      <c r="N4099" t="s">
        <v>278</v>
      </c>
      <c r="O4099" t="s">
        <v>134</v>
      </c>
      <c r="P4099" t="s">
        <v>29</v>
      </c>
      <c r="Q4099">
        <v>42</v>
      </c>
      <c r="R4099">
        <v>-93.620800000000003</v>
      </c>
    </row>
    <row r="4100" spans="1:18" x14ac:dyDescent="0.2">
      <c r="A4100" t="s">
        <v>270</v>
      </c>
      <c r="B4100" t="s">
        <v>271</v>
      </c>
      <c r="C4100">
        <v>1</v>
      </c>
      <c r="D4100" s="1">
        <v>44041.67391203704</v>
      </c>
      <c r="E4100" t="s">
        <v>12775</v>
      </c>
      <c r="F4100" t="s">
        <v>273</v>
      </c>
      <c r="G4100" t="s">
        <v>12769</v>
      </c>
      <c r="H4100" t="s">
        <v>275</v>
      </c>
      <c r="I4100" t="s">
        <v>29</v>
      </c>
      <c r="J4100">
        <v>1</v>
      </c>
      <c r="K4100">
        <f t="shared" si="23"/>
        <v>-10474</v>
      </c>
      <c r="L4100" t="s">
        <v>12776</v>
      </c>
      <c r="M4100" t="s">
        <v>12777</v>
      </c>
      <c r="N4100" t="s">
        <v>278</v>
      </c>
      <c r="O4100" t="s">
        <v>134</v>
      </c>
      <c r="P4100" t="s">
        <v>29</v>
      </c>
      <c r="Q4100">
        <v>42</v>
      </c>
      <c r="R4100">
        <v>-93.620800000000003</v>
      </c>
    </row>
    <row r="4101" spans="1:18" x14ac:dyDescent="0.2">
      <c r="A4101" t="s">
        <v>270</v>
      </c>
      <c r="B4101" t="s">
        <v>271</v>
      </c>
      <c r="C4101">
        <v>1</v>
      </c>
      <c r="D4101" s="1">
        <v>44041.673761574071</v>
      </c>
      <c r="E4101" t="s">
        <v>12778</v>
      </c>
      <c r="F4101" t="s">
        <v>273</v>
      </c>
      <c r="G4101" t="s">
        <v>12769</v>
      </c>
      <c r="H4101" t="s">
        <v>275</v>
      </c>
      <c r="I4101" t="s">
        <v>29</v>
      </c>
      <c r="J4101">
        <v>1</v>
      </c>
      <c r="K4101">
        <f t="shared" si="23"/>
        <v>-10474</v>
      </c>
      <c r="L4101" t="s">
        <v>12779</v>
      </c>
      <c r="M4101" t="s">
        <v>12780</v>
      </c>
      <c r="N4101" t="s">
        <v>278</v>
      </c>
      <c r="O4101" t="s">
        <v>134</v>
      </c>
      <c r="P4101" t="s">
        <v>29</v>
      </c>
      <c r="Q4101">
        <v>42</v>
      </c>
      <c r="R4101">
        <v>-93.620800000000003</v>
      </c>
    </row>
    <row r="4102" spans="1:18" x14ac:dyDescent="0.2">
      <c r="A4102" t="s">
        <v>270</v>
      </c>
      <c r="B4102" t="s">
        <v>271</v>
      </c>
      <c r="C4102">
        <v>1</v>
      </c>
      <c r="D4102" s="1">
        <v>44041.673518518517</v>
      </c>
      <c r="E4102" t="s">
        <v>12781</v>
      </c>
      <c r="F4102" t="s">
        <v>273</v>
      </c>
      <c r="G4102" t="s">
        <v>12769</v>
      </c>
      <c r="H4102" t="s">
        <v>275</v>
      </c>
      <c r="I4102" t="s">
        <v>29</v>
      </c>
      <c r="J4102">
        <v>1</v>
      </c>
      <c r="K4102">
        <f t="shared" si="23"/>
        <v>-10474</v>
      </c>
      <c r="L4102" t="s">
        <v>12782</v>
      </c>
      <c r="M4102" t="s">
        <v>12783</v>
      </c>
      <c r="N4102" t="s">
        <v>278</v>
      </c>
      <c r="O4102" t="s">
        <v>134</v>
      </c>
      <c r="P4102" t="s">
        <v>29</v>
      </c>
      <c r="Q4102">
        <v>42</v>
      </c>
      <c r="R4102">
        <v>-93.620800000000003</v>
      </c>
    </row>
    <row r="4103" spans="1:18" x14ac:dyDescent="0.2">
      <c r="A4103" t="s">
        <v>270</v>
      </c>
      <c r="B4103" t="s">
        <v>271</v>
      </c>
      <c r="C4103">
        <v>1</v>
      </c>
      <c r="D4103" s="1">
        <v>44041.52584490741</v>
      </c>
      <c r="E4103" t="s">
        <v>12784</v>
      </c>
      <c r="F4103" t="s">
        <v>273</v>
      </c>
      <c r="G4103" t="s">
        <v>12769</v>
      </c>
      <c r="H4103" t="s">
        <v>275</v>
      </c>
      <c r="I4103" t="s">
        <v>29</v>
      </c>
      <c r="J4103">
        <v>1</v>
      </c>
      <c r="K4103">
        <f t="shared" si="23"/>
        <v>-10474</v>
      </c>
      <c r="L4103" t="s">
        <v>12785</v>
      </c>
      <c r="M4103" t="s">
        <v>12786</v>
      </c>
      <c r="N4103" t="s">
        <v>278</v>
      </c>
      <c r="O4103" t="s">
        <v>134</v>
      </c>
      <c r="P4103" t="s">
        <v>29</v>
      </c>
      <c r="Q4103">
        <v>42</v>
      </c>
      <c r="R4103">
        <v>-93.620800000000003</v>
      </c>
    </row>
    <row r="4104" spans="1:18" x14ac:dyDescent="0.2">
      <c r="A4104" t="s">
        <v>270</v>
      </c>
      <c r="B4104" t="s">
        <v>271</v>
      </c>
      <c r="C4104">
        <v>1</v>
      </c>
      <c r="D4104" s="1">
        <v>44041.525208333333</v>
      </c>
      <c r="E4104" t="s">
        <v>12787</v>
      </c>
      <c r="F4104" t="s">
        <v>273</v>
      </c>
      <c r="G4104" t="s">
        <v>12769</v>
      </c>
      <c r="H4104" t="s">
        <v>275</v>
      </c>
      <c r="I4104" t="s">
        <v>29</v>
      </c>
      <c r="J4104">
        <v>1</v>
      </c>
      <c r="K4104">
        <f t="shared" si="23"/>
        <v>-10474</v>
      </c>
      <c r="L4104" t="s">
        <v>12788</v>
      </c>
      <c r="M4104" t="s">
        <v>12789</v>
      </c>
      <c r="N4104" t="s">
        <v>278</v>
      </c>
      <c r="O4104" t="s">
        <v>134</v>
      </c>
      <c r="P4104" t="s">
        <v>29</v>
      </c>
      <c r="Q4104">
        <v>42</v>
      </c>
      <c r="R4104">
        <v>-93.620800000000003</v>
      </c>
    </row>
    <row r="4105" spans="1:18" x14ac:dyDescent="0.2">
      <c r="A4105" t="s">
        <v>663</v>
      </c>
      <c r="B4105" t="s">
        <v>3385</v>
      </c>
      <c r="C4105">
        <v>44</v>
      </c>
      <c r="D4105" s="1">
        <v>44041.534756944442</v>
      </c>
      <c r="E4105" t="s">
        <v>12790</v>
      </c>
      <c r="F4105" t="s">
        <v>666</v>
      </c>
      <c r="G4105" t="s">
        <v>12791</v>
      </c>
      <c r="H4105" t="s">
        <v>667</v>
      </c>
      <c r="I4105" t="s">
        <v>618</v>
      </c>
      <c r="J4105">
        <v>44</v>
      </c>
      <c r="K4105">
        <f>44-800-51-3726</f>
        <v>-4533</v>
      </c>
      <c r="L4105" t="s">
        <v>12792</v>
      </c>
      <c r="M4105" t="s">
        <v>12793</v>
      </c>
      <c r="N4105" t="s">
        <v>1645</v>
      </c>
      <c r="O4105" t="s">
        <v>28</v>
      </c>
      <c r="P4105" t="s">
        <v>29</v>
      </c>
      <c r="Q4105">
        <v>41</v>
      </c>
      <c r="R4105">
        <v>-73.996600000000001</v>
      </c>
    </row>
    <row r="4106" spans="1:18" x14ac:dyDescent="0.2">
      <c r="A4106" t="s">
        <v>663</v>
      </c>
      <c r="B4106" t="s">
        <v>5337</v>
      </c>
      <c r="C4106">
        <v>1</v>
      </c>
      <c r="D4106" s="1">
        <v>44041.783912037034</v>
      </c>
      <c r="E4106" t="s">
        <v>12794</v>
      </c>
      <c r="F4106" t="s">
        <v>2495</v>
      </c>
      <c r="G4106" t="s">
        <v>12794</v>
      </c>
      <c r="H4106" t="s">
        <v>667</v>
      </c>
      <c r="I4106" t="s">
        <v>29</v>
      </c>
      <c r="J4106">
        <v>1</v>
      </c>
      <c r="K4106">
        <f>1-844-488-3626</f>
        <v>-4957</v>
      </c>
      <c r="L4106" t="s">
        <v>12795</v>
      </c>
      <c r="M4106" t="s">
        <v>12796</v>
      </c>
      <c r="N4106">
        <v>152</v>
      </c>
      <c r="O4106" t="s">
        <v>134</v>
      </c>
      <c r="P4106" t="s">
        <v>29</v>
      </c>
      <c r="Q4106">
        <v>38</v>
      </c>
      <c r="R4106">
        <v>-99.999999000000003</v>
      </c>
    </row>
    <row r="4107" spans="1:18" x14ac:dyDescent="0.2">
      <c r="A4107" t="s">
        <v>270</v>
      </c>
      <c r="B4107" t="s">
        <v>271</v>
      </c>
      <c r="C4107">
        <v>34</v>
      </c>
      <c r="D4107" s="1">
        <v>44056.879386574074</v>
      </c>
      <c r="E4107" t="s">
        <v>12797</v>
      </c>
      <c r="F4107" t="s">
        <v>273</v>
      </c>
      <c r="G4107" t="s">
        <v>12798</v>
      </c>
      <c r="H4107" t="s">
        <v>275</v>
      </c>
      <c r="I4107" t="s">
        <v>700</v>
      </c>
      <c r="J4107">
        <v>34</v>
      </c>
      <c r="K4107">
        <f t="shared" ref="K4107:K4151" si="24">34-900-670-25</f>
        <v>-1561</v>
      </c>
      <c r="L4107" t="s">
        <v>12799</v>
      </c>
      <c r="M4107" t="s">
        <v>12800</v>
      </c>
      <c r="N4107" t="s">
        <v>278</v>
      </c>
      <c r="O4107" t="s">
        <v>134</v>
      </c>
      <c r="P4107" t="s">
        <v>29</v>
      </c>
      <c r="Q4107">
        <v>42</v>
      </c>
      <c r="R4107">
        <v>-93.620800000000003</v>
      </c>
    </row>
    <row r="4108" spans="1:18" x14ac:dyDescent="0.2">
      <c r="A4108" t="s">
        <v>270</v>
      </c>
      <c r="B4108" t="s">
        <v>271</v>
      </c>
      <c r="C4108">
        <v>34</v>
      </c>
      <c r="D4108" s="1">
        <v>44054.845081018517</v>
      </c>
      <c r="E4108" t="s">
        <v>12797</v>
      </c>
      <c r="F4108" t="s">
        <v>273</v>
      </c>
      <c r="G4108" t="s">
        <v>12798</v>
      </c>
      <c r="H4108" t="s">
        <v>275</v>
      </c>
      <c r="I4108" t="s">
        <v>700</v>
      </c>
      <c r="J4108">
        <v>34</v>
      </c>
      <c r="K4108">
        <f t="shared" si="24"/>
        <v>-1561</v>
      </c>
      <c r="L4108" t="s">
        <v>12801</v>
      </c>
      <c r="M4108" t="s">
        <v>12802</v>
      </c>
      <c r="N4108" t="s">
        <v>278</v>
      </c>
      <c r="O4108" t="s">
        <v>134</v>
      </c>
      <c r="P4108" t="s">
        <v>29</v>
      </c>
      <c r="Q4108">
        <v>42</v>
      </c>
      <c r="R4108">
        <v>-93.620800000000003</v>
      </c>
    </row>
    <row r="4109" spans="1:18" x14ac:dyDescent="0.2">
      <c r="A4109" t="s">
        <v>270</v>
      </c>
      <c r="B4109" t="s">
        <v>271</v>
      </c>
      <c r="C4109">
        <v>34</v>
      </c>
      <c r="D4109" s="1">
        <v>44054.844456018516</v>
      </c>
      <c r="E4109" t="s">
        <v>12803</v>
      </c>
      <c r="F4109" t="s">
        <v>273</v>
      </c>
      <c r="G4109" t="s">
        <v>12798</v>
      </c>
      <c r="H4109" t="s">
        <v>275</v>
      </c>
      <c r="I4109" t="s">
        <v>700</v>
      </c>
      <c r="J4109">
        <v>34</v>
      </c>
      <c r="K4109">
        <f t="shared" si="24"/>
        <v>-1561</v>
      </c>
      <c r="L4109" t="s">
        <v>12804</v>
      </c>
      <c r="M4109" t="s">
        <v>12805</v>
      </c>
      <c r="N4109" t="s">
        <v>278</v>
      </c>
      <c r="O4109" t="s">
        <v>134</v>
      </c>
      <c r="P4109" t="s">
        <v>29</v>
      </c>
      <c r="Q4109">
        <v>42</v>
      </c>
      <c r="R4109">
        <v>-93.620800000000003</v>
      </c>
    </row>
    <row r="4110" spans="1:18" x14ac:dyDescent="0.2">
      <c r="A4110" t="s">
        <v>270</v>
      </c>
      <c r="B4110" t="s">
        <v>271</v>
      </c>
      <c r="C4110">
        <v>34</v>
      </c>
      <c r="D4110" s="1">
        <v>44054.496793981481</v>
      </c>
      <c r="E4110" t="s">
        <v>12806</v>
      </c>
      <c r="F4110" t="s">
        <v>273</v>
      </c>
      <c r="G4110" t="s">
        <v>12798</v>
      </c>
      <c r="H4110" t="s">
        <v>275</v>
      </c>
      <c r="I4110" t="s">
        <v>700</v>
      </c>
      <c r="J4110">
        <v>34</v>
      </c>
      <c r="K4110">
        <f t="shared" si="24"/>
        <v>-1561</v>
      </c>
      <c r="L4110" t="s">
        <v>12807</v>
      </c>
      <c r="M4110" t="s">
        <v>12808</v>
      </c>
      <c r="N4110" t="s">
        <v>278</v>
      </c>
      <c r="O4110" t="s">
        <v>134</v>
      </c>
      <c r="P4110" t="s">
        <v>29</v>
      </c>
      <c r="Q4110">
        <v>42</v>
      </c>
      <c r="R4110">
        <v>-93.620800000000003</v>
      </c>
    </row>
    <row r="4111" spans="1:18" x14ac:dyDescent="0.2">
      <c r="A4111" t="s">
        <v>270</v>
      </c>
      <c r="B4111" t="s">
        <v>271</v>
      </c>
      <c r="C4111">
        <v>34</v>
      </c>
      <c r="D4111" s="1">
        <v>44053.805439814816</v>
      </c>
      <c r="E4111" t="s">
        <v>12809</v>
      </c>
      <c r="F4111" t="s">
        <v>273</v>
      </c>
      <c r="G4111" t="s">
        <v>12798</v>
      </c>
      <c r="H4111" t="s">
        <v>275</v>
      </c>
      <c r="I4111" t="s">
        <v>700</v>
      </c>
      <c r="J4111">
        <v>34</v>
      </c>
      <c r="K4111">
        <f t="shared" si="24"/>
        <v>-1561</v>
      </c>
      <c r="L4111" t="s">
        <v>12810</v>
      </c>
      <c r="M4111" t="s">
        <v>12811</v>
      </c>
      <c r="N4111" t="s">
        <v>278</v>
      </c>
      <c r="O4111" t="s">
        <v>134</v>
      </c>
      <c r="P4111" t="s">
        <v>29</v>
      </c>
      <c r="Q4111">
        <v>42</v>
      </c>
      <c r="R4111">
        <v>-93.620800000000003</v>
      </c>
    </row>
    <row r="4112" spans="1:18" x14ac:dyDescent="0.2">
      <c r="A4112" t="s">
        <v>270</v>
      </c>
      <c r="B4112" t="s">
        <v>271</v>
      </c>
      <c r="C4112">
        <v>34</v>
      </c>
      <c r="D4112" s="1">
        <v>44053.770983796298</v>
      </c>
      <c r="E4112" t="s">
        <v>12812</v>
      </c>
      <c r="F4112" t="s">
        <v>273</v>
      </c>
      <c r="G4112" t="s">
        <v>12798</v>
      </c>
      <c r="H4112" t="s">
        <v>275</v>
      </c>
      <c r="I4112" t="s">
        <v>700</v>
      </c>
      <c r="J4112">
        <v>34</v>
      </c>
      <c r="K4112">
        <f t="shared" si="24"/>
        <v>-1561</v>
      </c>
      <c r="L4112" t="s">
        <v>12813</v>
      </c>
      <c r="M4112" t="s">
        <v>12814</v>
      </c>
      <c r="N4112" t="s">
        <v>278</v>
      </c>
      <c r="O4112" t="s">
        <v>134</v>
      </c>
      <c r="P4112" t="s">
        <v>29</v>
      </c>
      <c r="Q4112">
        <v>42</v>
      </c>
      <c r="R4112">
        <v>-93.620800000000003</v>
      </c>
    </row>
    <row r="4113" spans="1:18" x14ac:dyDescent="0.2">
      <c r="A4113" t="s">
        <v>270</v>
      </c>
      <c r="B4113" t="s">
        <v>271</v>
      </c>
      <c r="C4113">
        <v>34</v>
      </c>
      <c r="D4113" s="1">
        <v>44053.770532407405</v>
      </c>
      <c r="E4113" t="s">
        <v>12815</v>
      </c>
      <c r="F4113" t="s">
        <v>273</v>
      </c>
      <c r="G4113" t="s">
        <v>12798</v>
      </c>
      <c r="H4113" t="s">
        <v>275</v>
      </c>
      <c r="I4113" t="s">
        <v>700</v>
      </c>
      <c r="J4113">
        <v>34</v>
      </c>
      <c r="K4113">
        <f t="shared" si="24"/>
        <v>-1561</v>
      </c>
      <c r="L4113" t="s">
        <v>12816</v>
      </c>
      <c r="M4113" t="s">
        <v>12817</v>
      </c>
      <c r="N4113" t="s">
        <v>278</v>
      </c>
      <c r="O4113" t="s">
        <v>134</v>
      </c>
      <c r="P4113" t="s">
        <v>29</v>
      </c>
      <c r="Q4113">
        <v>42</v>
      </c>
      <c r="R4113">
        <v>-93.620800000000003</v>
      </c>
    </row>
    <row r="4114" spans="1:18" x14ac:dyDescent="0.2">
      <c r="A4114" t="s">
        <v>270</v>
      </c>
      <c r="B4114" t="s">
        <v>271</v>
      </c>
      <c r="C4114">
        <v>34</v>
      </c>
      <c r="D4114" s="1">
        <v>44053.719687500001</v>
      </c>
      <c r="E4114" t="s">
        <v>12815</v>
      </c>
      <c r="F4114" t="s">
        <v>273</v>
      </c>
      <c r="G4114" t="s">
        <v>12798</v>
      </c>
      <c r="H4114" t="s">
        <v>275</v>
      </c>
      <c r="I4114" t="s">
        <v>700</v>
      </c>
      <c r="J4114">
        <v>34</v>
      </c>
      <c r="K4114">
        <f t="shared" si="24"/>
        <v>-1561</v>
      </c>
      <c r="L4114" t="s">
        <v>12818</v>
      </c>
      <c r="M4114" t="s">
        <v>12819</v>
      </c>
      <c r="N4114" t="s">
        <v>278</v>
      </c>
      <c r="O4114" t="s">
        <v>134</v>
      </c>
      <c r="P4114" t="s">
        <v>29</v>
      </c>
      <c r="Q4114">
        <v>42</v>
      </c>
      <c r="R4114">
        <v>-93.620800000000003</v>
      </c>
    </row>
    <row r="4115" spans="1:18" x14ac:dyDescent="0.2">
      <c r="A4115" t="s">
        <v>270</v>
      </c>
      <c r="B4115" t="s">
        <v>271</v>
      </c>
      <c r="C4115">
        <v>34</v>
      </c>
      <c r="D4115" s="1">
        <v>44053.142187500001</v>
      </c>
      <c r="E4115" t="s">
        <v>12820</v>
      </c>
      <c r="F4115" t="s">
        <v>273</v>
      </c>
      <c r="G4115" t="s">
        <v>12798</v>
      </c>
      <c r="H4115" t="s">
        <v>275</v>
      </c>
      <c r="I4115" t="s">
        <v>700</v>
      </c>
      <c r="J4115">
        <v>34</v>
      </c>
      <c r="K4115">
        <f t="shared" si="24"/>
        <v>-1561</v>
      </c>
      <c r="L4115" t="s">
        <v>12821</v>
      </c>
      <c r="M4115" t="s">
        <v>12822</v>
      </c>
      <c r="N4115" t="s">
        <v>278</v>
      </c>
      <c r="O4115" t="s">
        <v>134</v>
      </c>
      <c r="P4115" t="s">
        <v>29</v>
      </c>
      <c r="Q4115">
        <v>42</v>
      </c>
      <c r="R4115">
        <v>-93.620800000000003</v>
      </c>
    </row>
    <row r="4116" spans="1:18" x14ac:dyDescent="0.2">
      <c r="A4116" t="s">
        <v>270</v>
      </c>
      <c r="B4116" t="s">
        <v>271</v>
      </c>
      <c r="C4116">
        <v>34</v>
      </c>
      <c r="D4116" s="1">
        <v>44053.142094907409</v>
      </c>
      <c r="E4116" t="s">
        <v>12823</v>
      </c>
      <c r="F4116" t="s">
        <v>273</v>
      </c>
      <c r="G4116" t="s">
        <v>12798</v>
      </c>
      <c r="H4116" t="s">
        <v>275</v>
      </c>
      <c r="I4116" t="s">
        <v>700</v>
      </c>
      <c r="J4116">
        <v>34</v>
      </c>
      <c r="K4116">
        <f t="shared" si="24"/>
        <v>-1561</v>
      </c>
      <c r="L4116" t="s">
        <v>12824</v>
      </c>
      <c r="M4116" t="s">
        <v>12825</v>
      </c>
      <c r="N4116" t="s">
        <v>278</v>
      </c>
      <c r="O4116" t="s">
        <v>134</v>
      </c>
      <c r="P4116" t="s">
        <v>29</v>
      </c>
      <c r="Q4116">
        <v>42</v>
      </c>
      <c r="R4116">
        <v>-93.620800000000003</v>
      </c>
    </row>
    <row r="4117" spans="1:18" x14ac:dyDescent="0.2">
      <c r="A4117" t="s">
        <v>270</v>
      </c>
      <c r="B4117" t="s">
        <v>271</v>
      </c>
      <c r="C4117">
        <v>34</v>
      </c>
      <c r="D4117" s="1">
        <v>44053.141979166663</v>
      </c>
      <c r="E4117" t="s">
        <v>12826</v>
      </c>
      <c r="F4117" t="s">
        <v>273</v>
      </c>
      <c r="G4117" t="s">
        <v>12798</v>
      </c>
      <c r="H4117" t="s">
        <v>275</v>
      </c>
      <c r="I4117" t="s">
        <v>700</v>
      </c>
      <c r="J4117">
        <v>34</v>
      </c>
      <c r="K4117">
        <f t="shared" si="24"/>
        <v>-1561</v>
      </c>
      <c r="L4117" t="s">
        <v>12827</v>
      </c>
      <c r="M4117" t="s">
        <v>12828</v>
      </c>
      <c r="N4117" t="s">
        <v>278</v>
      </c>
      <c r="O4117" t="s">
        <v>134</v>
      </c>
      <c r="P4117" t="s">
        <v>29</v>
      </c>
      <c r="Q4117">
        <v>42</v>
      </c>
      <c r="R4117">
        <v>-93.620800000000003</v>
      </c>
    </row>
    <row r="4118" spans="1:18" x14ac:dyDescent="0.2">
      <c r="A4118" t="s">
        <v>270</v>
      </c>
      <c r="B4118" t="s">
        <v>271</v>
      </c>
      <c r="C4118">
        <v>34</v>
      </c>
      <c r="D4118" s="1">
        <v>44053.141875000001</v>
      </c>
      <c r="E4118" t="s">
        <v>12829</v>
      </c>
      <c r="F4118" t="s">
        <v>273</v>
      </c>
      <c r="G4118" t="s">
        <v>12798</v>
      </c>
      <c r="H4118" t="s">
        <v>275</v>
      </c>
      <c r="I4118" t="s">
        <v>700</v>
      </c>
      <c r="J4118">
        <v>34</v>
      </c>
      <c r="K4118">
        <f t="shared" si="24"/>
        <v>-1561</v>
      </c>
      <c r="L4118" t="s">
        <v>12830</v>
      </c>
      <c r="M4118" t="s">
        <v>12831</v>
      </c>
      <c r="N4118" t="s">
        <v>278</v>
      </c>
      <c r="O4118" t="s">
        <v>134</v>
      </c>
      <c r="P4118" t="s">
        <v>29</v>
      </c>
      <c r="Q4118">
        <v>42</v>
      </c>
      <c r="R4118">
        <v>-93.620800000000003</v>
      </c>
    </row>
    <row r="4119" spans="1:18" x14ac:dyDescent="0.2">
      <c r="A4119" t="s">
        <v>270</v>
      </c>
      <c r="B4119" t="s">
        <v>271</v>
      </c>
      <c r="C4119">
        <v>34</v>
      </c>
      <c r="D4119" s="1">
        <v>44053.141793981478</v>
      </c>
      <c r="E4119" t="s">
        <v>12832</v>
      </c>
      <c r="F4119" t="s">
        <v>273</v>
      </c>
      <c r="G4119" t="s">
        <v>12798</v>
      </c>
      <c r="H4119" t="s">
        <v>275</v>
      </c>
      <c r="I4119" t="s">
        <v>700</v>
      </c>
      <c r="J4119">
        <v>34</v>
      </c>
      <c r="K4119">
        <f t="shared" si="24"/>
        <v>-1561</v>
      </c>
      <c r="L4119" t="s">
        <v>12833</v>
      </c>
      <c r="M4119" t="s">
        <v>12834</v>
      </c>
      <c r="N4119" t="s">
        <v>278</v>
      </c>
      <c r="O4119" t="s">
        <v>134</v>
      </c>
      <c r="P4119" t="s">
        <v>29</v>
      </c>
      <c r="Q4119">
        <v>42</v>
      </c>
      <c r="R4119">
        <v>-93.620800000000003</v>
      </c>
    </row>
    <row r="4120" spans="1:18" x14ac:dyDescent="0.2">
      <c r="A4120" t="s">
        <v>270</v>
      </c>
      <c r="B4120" t="s">
        <v>271</v>
      </c>
      <c r="C4120">
        <v>34</v>
      </c>
      <c r="D4120" s="1">
        <v>44053.141574074078</v>
      </c>
      <c r="E4120" t="s">
        <v>12835</v>
      </c>
      <c r="F4120" t="s">
        <v>273</v>
      </c>
      <c r="G4120" t="s">
        <v>12798</v>
      </c>
      <c r="H4120" t="s">
        <v>275</v>
      </c>
      <c r="I4120" t="s">
        <v>700</v>
      </c>
      <c r="J4120">
        <v>34</v>
      </c>
      <c r="K4120">
        <f t="shared" si="24"/>
        <v>-1561</v>
      </c>
      <c r="L4120" t="s">
        <v>12836</v>
      </c>
      <c r="M4120" t="s">
        <v>12837</v>
      </c>
      <c r="N4120" t="s">
        <v>278</v>
      </c>
      <c r="O4120" t="s">
        <v>134</v>
      </c>
      <c r="P4120" t="s">
        <v>29</v>
      </c>
      <c r="Q4120">
        <v>42</v>
      </c>
      <c r="R4120">
        <v>-93.620800000000003</v>
      </c>
    </row>
    <row r="4121" spans="1:18" x14ac:dyDescent="0.2">
      <c r="A4121" t="s">
        <v>270</v>
      </c>
      <c r="B4121" t="s">
        <v>271</v>
      </c>
      <c r="C4121">
        <v>34</v>
      </c>
      <c r="D4121" s="1">
        <v>44052.772928240738</v>
      </c>
      <c r="E4121" t="s">
        <v>12812</v>
      </c>
      <c r="F4121" t="s">
        <v>273</v>
      </c>
      <c r="G4121" t="s">
        <v>12798</v>
      </c>
      <c r="H4121" t="s">
        <v>275</v>
      </c>
      <c r="I4121" t="s">
        <v>700</v>
      </c>
      <c r="J4121">
        <v>34</v>
      </c>
      <c r="K4121">
        <f t="shared" si="24"/>
        <v>-1561</v>
      </c>
      <c r="L4121" t="s">
        <v>12838</v>
      </c>
      <c r="M4121" t="s">
        <v>12839</v>
      </c>
      <c r="N4121" t="s">
        <v>278</v>
      </c>
      <c r="O4121" t="s">
        <v>134</v>
      </c>
      <c r="P4121" t="s">
        <v>29</v>
      </c>
      <c r="Q4121">
        <v>42</v>
      </c>
      <c r="R4121">
        <v>-93.620800000000003</v>
      </c>
    </row>
    <row r="4122" spans="1:18" x14ac:dyDescent="0.2">
      <c r="A4122" t="s">
        <v>270</v>
      </c>
      <c r="B4122" t="s">
        <v>271</v>
      </c>
      <c r="C4122">
        <v>34</v>
      </c>
      <c r="D4122" s="1">
        <v>44052.772766203707</v>
      </c>
      <c r="E4122" t="s">
        <v>12840</v>
      </c>
      <c r="F4122" t="s">
        <v>273</v>
      </c>
      <c r="G4122" t="s">
        <v>12798</v>
      </c>
      <c r="H4122" t="s">
        <v>275</v>
      </c>
      <c r="I4122" t="s">
        <v>700</v>
      </c>
      <c r="J4122">
        <v>34</v>
      </c>
      <c r="K4122">
        <f t="shared" si="24"/>
        <v>-1561</v>
      </c>
      <c r="L4122" t="s">
        <v>12841</v>
      </c>
      <c r="M4122" t="s">
        <v>12842</v>
      </c>
      <c r="N4122" t="s">
        <v>278</v>
      </c>
      <c r="O4122" t="s">
        <v>134</v>
      </c>
      <c r="P4122" t="s">
        <v>29</v>
      </c>
      <c r="Q4122">
        <v>42</v>
      </c>
      <c r="R4122">
        <v>-93.620800000000003</v>
      </c>
    </row>
    <row r="4123" spans="1:18" x14ac:dyDescent="0.2">
      <c r="A4123" t="s">
        <v>270</v>
      </c>
      <c r="B4123" t="s">
        <v>271</v>
      </c>
      <c r="C4123">
        <v>34</v>
      </c>
      <c r="D4123" s="1">
        <v>44051.935648148145</v>
      </c>
      <c r="E4123" t="s">
        <v>12843</v>
      </c>
      <c r="F4123" t="s">
        <v>273</v>
      </c>
      <c r="G4123" t="s">
        <v>12798</v>
      </c>
      <c r="H4123" t="s">
        <v>275</v>
      </c>
      <c r="I4123" t="s">
        <v>700</v>
      </c>
      <c r="J4123">
        <v>34</v>
      </c>
      <c r="K4123">
        <f t="shared" si="24"/>
        <v>-1561</v>
      </c>
      <c r="L4123" t="s">
        <v>12844</v>
      </c>
      <c r="M4123" t="s">
        <v>12845</v>
      </c>
      <c r="N4123" t="s">
        <v>278</v>
      </c>
      <c r="O4123" t="s">
        <v>134</v>
      </c>
      <c r="P4123" t="s">
        <v>29</v>
      </c>
      <c r="Q4123">
        <v>42</v>
      </c>
      <c r="R4123">
        <v>-93.620800000000003</v>
      </c>
    </row>
    <row r="4124" spans="1:18" x14ac:dyDescent="0.2">
      <c r="A4124" t="s">
        <v>270</v>
      </c>
      <c r="B4124" t="s">
        <v>271</v>
      </c>
      <c r="C4124">
        <v>34</v>
      </c>
      <c r="D4124" s="1">
        <v>44051.93513888889</v>
      </c>
      <c r="E4124" t="s">
        <v>12846</v>
      </c>
      <c r="F4124" t="s">
        <v>273</v>
      </c>
      <c r="G4124" t="s">
        <v>12798</v>
      </c>
      <c r="H4124" t="s">
        <v>275</v>
      </c>
      <c r="I4124" t="s">
        <v>700</v>
      </c>
      <c r="J4124">
        <v>34</v>
      </c>
      <c r="K4124">
        <f t="shared" si="24"/>
        <v>-1561</v>
      </c>
      <c r="L4124" t="s">
        <v>12847</v>
      </c>
      <c r="M4124" t="s">
        <v>12848</v>
      </c>
      <c r="N4124" t="s">
        <v>278</v>
      </c>
      <c r="O4124" t="s">
        <v>134</v>
      </c>
      <c r="P4124" t="s">
        <v>29</v>
      </c>
      <c r="Q4124">
        <v>42</v>
      </c>
      <c r="R4124">
        <v>-93.620800000000003</v>
      </c>
    </row>
    <row r="4125" spans="1:18" x14ac:dyDescent="0.2">
      <c r="A4125" t="s">
        <v>270</v>
      </c>
      <c r="B4125" t="s">
        <v>271</v>
      </c>
      <c r="C4125">
        <v>34</v>
      </c>
      <c r="D4125" s="1">
        <v>44051.935069444444</v>
      </c>
      <c r="E4125" t="s">
        <v>12849</v>
      </c>
      <c r="F4125" t="s">
        <v>273</v>
      </c>
      <c r="G4125" t="s">
        <v>12798</v>
      </c>
      <c r="H4125" t="s">
        <v>275</v>
      </c>
      <c r="I4125" t="s">
        <v>700</v>
      </c>
      <c r="J4125">
        <v>34</v>
      </c>
      <c r="K4125">
        <f t="shared" si="24"/>
        <v>-1561</v>
      </c>
      <c r="L4125" t="s">
        <v>12850</v>
      </c>
      <c r="M4125" t="s">
        <v>12851</v>
      </c>
      <c r="N4125" t="s">
        <v>278</v>
      </c>
      <c r="O4125" t="s">
        <v>134</v>
      </c>
      <c r="P4125" t="s">
        <v>29</v>
      </c>
      <c r="Q4125">
        <v>42</v>
      </c>
      <c r="R4125">
        <v>-93.620800000000003</v>
      </c>
    </row>
    <row r="4126" spans="1:18" x14ac:dyDescent="0.2">
      <c r="A4126" t="s">
        <v>270</v>
      </c>
      <c r="B4126" t="s">
        <v>271</v>
      </c>
      <c r="C4126">
        <v>34</v>
      </c>
      <c r="D4126" s="1">
        <v>44051.934999999998</v>
      </c>
      <c r="E4126" t="s">
        <v>12852</v>
      </c>
      <c r="F4126" t="s">
        <v>273</v>
      </c>
      <c r="G4126" t="s">
        <v>12798</v>
      </c>
      <c r="H4126" t="s">
        <v>275</v>
      </c>
      <c r="I4126" t="s">
        <v>700</v>
      </c>
      <c r="J4126">
        <v>34</v>
      </c>
      <c r="K4126">
        <f t="shared" si="24"/>
        <v>-1561</v>
      </c>
      <c r="L4126" t="s">
        <v>12853</v>
      </c>
      <c r="M4126" t="s">
        <v>12854</v>
      </c>
      <c r="N4126" t="s">
        <v>278</v>
      </c>
      <c r="O4126" t="s">
        <v>134</v>
      </c>
      <c r="P4126" t="s">
        <v>29</v>
      </c>
      <c r="Q4126">
        <v>42</v>
      </c>
      <c r="R4126">
        <v>-93.620800000000003</v>
      </c>
    </row>
    <row r="4127" spans="1:18" x14ac:dyDescent="0.2">
      <c r="A4127" t="s">
        <v>270</v>
      </c>
      <c r="B4127" t="s">
        <v>271</v>
      </c>
      <c r="C4127">
        <v>34</v>
      </c>
      <c r="D4127" s="1">
        <v>44051.934942129628</v>
      </c>
      <c r="E4127" t="s">
        <v>12855</v>
      </c>
      <c r="F4127" t="s">
        <v>273</v>
      </c>
      <c r="G4127" t="s">
        <v>12798</v>
      </c>
      <c r="H4127" t="s">
        <v>275</v>
      </c>
      <c r="I4127" t="s">
        <v>700</v>
      </c>
      <c r="J4127">
        <v>34</v>
      </c>
      <c r="K4127">
        <f t="shared" si="24"/>
        <v>-1561</v>
      </c>
      <c r="L4127" t="s">
        <v>12856</v>
      </c>
      <c r="M4127" t="s">
        <v>12857</v>
      </c>
      <c r="N4127" t="s">
        <v>278</v>
      </c>
      <c r="O4127" t="s">
        <v>134</v>
      </c>
      <c r="P4127" t="s">
        <v>29</v>
      </c>
      <c r="Q4127">
        <v>42</v>
      </c>
      <c r="R4127">
        <v>-93.620800000000003</v>
      </c>
    </row>
    <row r="4128" spans="1:18" x14ac:dyDescent="0.2">
      <c r="A4128" t="s">
        <v>270</v>
      </c>
      <c r="B4128" t="s">
        <v>271</v>
      </c>
      <c r="C4128">
        <v>34</v>
      </c>
      <c r="D4128" s="1">
        <v>44051.934861111113</v>
      </c>
      <c r="E4128" t="s">
        <v>12858</v>
      </c>
      <c r="F4128" t="s">
        <v>273</v>
      </c>
      <c r="G4128" t="s">
        <v>12798</v>
      </c>
      <c r="H4128" t="s">
        <v>275</v>
      </c>
      <c r="I4128" t="s">
        <v>700</v>
      </c>
      <c r="J4128">
        <v>34</v>
      </c>
      <c r="K4128">
        <f t="shared" si="24"/>
        <v>-1561</v>
      </c>
      <c r="L4128" t="s">
        <v>12859</v>
      </c>
      <c r="M4128" t="s">
        <v>12860</v>
      </c>
      <c r="N4128" t="s">
        <v>278</v>
      </c>
      <c r="O4128" t="s">
        <v>134</v>
      </c>
      <c r="P4128" t="s">
        <v>29</v>
      </c>
      <c r="Q4128">
        <v>42</v>
      </c>
      <c r="R4128">
        <v>-93.620800000000003</v>
      </c>
    </row>
    <row r="4129" spans="1:18" x14ac:dyDescent="0.2">
      <c r="A4129" t="s">
        <v>270</v>
      </c>
      <c r="B4129" t="s">
        <v>271</v>
      </c>
      <c r="C4129">
        <v>34</v>
      </c>
      <c r="D4129" s="1">
        <v>44051.934791666667</v>
      </c>
      <c r="E4129" t="s">
        <v>12861</v>
      </c>
      <c r="F4129" t="s">
        <v>273</v>
      </c>
      <c r="G4129" t="s">
        <v>12798</v>
      </c>
      <c r="H4129" t="s">
        <v>275</v>
      </c>
      <c r="I4129" t="s">
        <v>700</v>
      </c>
      <c r="J4129">
        <v>34</v>
      </c>
      <c r="K4129">
        <f t="shared" si="24"/>
        <v>-1561</v>
      </c>
      <c r="L4129" t="s">
        <v>12862</v>
      </c>
      <c r="M4129" t="s">
        <v>12863</v>
      </c>
      <c r="N4129" t="s">
        <v>278</v>
      </c>
      <c r="O4129" t="s">
        <v>134</v>
      </c>
      <c r="P4129" t="s">
        <v>29</v>
      </c>
      <c r="Q4129">
        <v>42</v>
      </c>
      <c r="R4129">
        <v>-93.620800000000003</v>
      </c>
    </row>
    <row r="4130" spans="1:18" x14ac:dyDescent="0.2">
      <c r="A4130" t="s">
        <v>270</v>
      </c>
      <c r="B4130" t="s">
        <v>271</v>
      </c>
      <c r="C4130">
        <v>34</v>
      </c>
      <c r="D4130" s="1">
        <v>44051.934675925928</v>
      </c>
      <c r="E4130" t="s">
        <v>12864</v>
      </c>
      <c r="F4130" t="s">
        <v>273</v>
      </c>
      <c r="G4130" t="s">
        <v>12798</v>
      </c>
      <c r="H4130" t="s">
        <v>275</v>
      </c>
      <c r="I4130" t="s">
        <v>700</v>
      </c>
      <c r="J4130">
        <v>34</v>
      </c>
      <c r="K4130">
        <f t="shared" si="24"/>
        <v>-1561</v>
      </c>
      <c r="L4130" t="s">
        <v>12865</v>
      </c>
      <c r="M4130" t="s">
        <v>12866</v>
      </c>
      <c r="N4130" t="s">
        <v>278</v>
      </c>
      <c r="O4130" t="s">
        <v>134</v>
      </c>
      <c r="P4130" t="s">
        <v>29</v>
      </c>
      <c r="Q4130">
        <v>42</v>
      </c>
      <c r="R4130">
        <v>-93.620800000000003</v>
      </c>
    </row>
    <row r="4131" spans="1:18" x14ac:dyDescent="0.2">
      <c r="A4131" t="s">
        <v>270</v>
      </c>
      <c r="B4131" t="s">
        <v>271</v>
      </c>
      <c r="C4131">
        <v>34</v>
      </c>
      <c r="D4131" s="1">
        <v>44051.934548611112</v>
      </c>
      <c r="E4131" t="s">
        <v>12867</v>
      </c>
      <c r="F4131" t="s">
        <v>273</v>
      </c>
      <c r="G4131" t="s">
        <v>12798</v>
      </c>
      <c r="H4131" t="s">
        <v>275</v>
      </c>
      <c r="I4131" t="s">
        <v>700</v>
      </c>
      <c r="J4131">
        <v>34</v>
      </c>
      <c r="K4131">
        <f t="shared" si="24"/>
        <v>-1561</v>
      </c>
      <c r="L4131" t="s">
        <v>12868</v>
      </c>
      <c r="M4131" t="s">
        <v>12869</v>
      </c>
      <c r="N4131" t="s">
        <v>278</v>
      </c>
      <c r="O4131" t="s">
        <v>134</v>
      </c>
      <c r="P4131" t="s">
        <v>29</v>
      </c>
      <c r="Q4131">
        <v>42</v>
      </c>
      <c r="R4131">
        <v>-93.620800000000003</v>
      </c>
    </row>
    <row r="4132" spans="1:18" x14ac:dyDescent="0.2">
      <c r="A4132" t="s">
        <v>270</v>
      </c>
      <c r="B4132" t="s">
        <v>271</v>
      </c>
      <c r="C4132">
        <v>34</v>
      </c>
      <c r="D4132" s="1">
        <v>44051.934479166666</v>
      </c>
      <c r="E4132" t="s">
        <v>12870</v>
      </c>
      <c r="F4132" t="s">
        <v>273</v>
      </c>
      <c r="G4132" t="s">
        <v>12798</v>
      </c>
      <c r="H4132" t="s">
        <v>275</v>
      </c>
      <c r="I4132" t="s">
        <v>700</v>
      </c>
      <c r="J4132">
        <v>34</v>
      </c>
      <c r="K4132">
        <f t="shared" si="24"/>
        <v>-1561</v>
      </c>
      <c r="L4132" t="s">
        <v>12871</v>
      </c>
      <c r="M4132" t="s">
        <v>12872</v>
      </c>
      <c r="N4132" t="s">
        <v>278</v>
      </c>
      <c r="O4132" t="s">
        <v>134</v>
      </c>
      <c r="P4132" t="s">
        <v>29</v>
      </c>
      <c r="Q4132">
        <v>42</v>
      </c>
      <c r="R4132">
        <v>-93.620800000000003</v>
      </c>
    </row>
    <row r="4133" spans="1:18" x14ac:dyDescent="0.2">
      <c r="A4133" t="s">
        <v>270</v>
      </c>
      <c r="B4133" t="s">
        <v>271</v>
      </c>
      <c r="C4133">
        <v>34</v>
      </c>
      <c r="D4133" s="1">
        <v>44051.779988425929</v>
      </c>
      <c r="E4133" t="s">
        <v>12873</v>
      </c>
      <c r="F4133" t="s">
        <v>273</v>
      </c>
      <c r="G4133" t="s">
        <v>12798</v>
      </c>
      <c r="H4133" t="s">
        <v>275</v>
      </c>
      <c r="I4133" t="s">
        <v>700</v>
      </c>
      <c r="J4133">
        <v>34</v>
      </c>
      <c r="K4133">
        <f t="shared" si="24"/>
        <v>-1561</v>
      </c>
      <c r="L4133" t="s">
        <v>12874</v>
      </c>
      <c r="M4133" t="s">
        <v>12875</v>
      </c>
      <c r="N4133" t="s">
        <v>278</v>
      </c>
      <c r="O4133" t="s">
        <v>134</v>
      </c>
      <c r="P4133" t="s">
        <v>29</v>
      </c>
      <c r="Q4133">
        <v>42</v>
      </c>
      <c r="R4133">
        <v>-93.620800000000003</v>
      </c>
    </row>
    <row r="4134" spans="1:18" x14ac:dyDescent="0.2">
      <c r="A4134" t="s">
        <v>270</v>
      </c>
      <c r="B4134" t="s">
        <v>271</v>
      </c>
      <c r="C4134">
        <v>34</v>
      </c>
      <c r="D4134" s="1">
        <v>44051.771319444444</v>
      </c>
      <c r="E4134" t="s">
        <v>12876</v>
      </c>
      <c r="F4134" t="s">
        <v>273</v>
      </c>
      <c r="G4134" t="s">
        <v>12798</v>
      </c>
      <c r="H4134" t="s">
        <v>275</v>
      </c>
      <c r="I4134" t="s">
        <v>700</v>
      </c>
      <c r="J4134">
        <v>34</v>
      </c>
      <c r="K4134">
        <f t="shared" si="24"/>
        <v>-1561</v>
      </c>
      <c r="L4134" t="s">
        <v>12877</v>
      </c>
      <c r="M4134" t="s">
        <v>12878</v>
      </c>
      <c r="N4134" t="s">
        <v>278</v>
      </c>
      <c r="O4134" t="s">
        <v>134</v>
      </c>
      <c r="P4134" t="s">
        <v>29</v>
      </c>
      <c r="Q4134">
        <v>42</v>
      </c>
      <c r="R4134">
        <v>-93.620800000000003</v>
      </c>
    </row>
    <row r="4135" spans="1:18" x14ac:dyDescent="0.2">
      <c r="A4135" t="s">
        <v>270</v>
      </c>
      <c r="B4135" t="s">
        <v>271</v>
      </c>
      <c r="C4135">
        <v>34</v>
      </c>
      <c r="D4135" s="1">
        <v>44051.743009259262</v>
      </c>
      <c r="E4135" t="s">
        <v>12867</v>
      </c>
      <c r="F4135" t="s">
        <v>273</v>
      </c>
      <c r="G4135" t="s">
        <v>12798</v>
      </c>
      <c r="H4135" t="s">
        <v>275</v>
      </c>
      <c r="I4135" t="s">
        <v>700</v>
      </c>
      <c r="J4135">
        <v>34</v>
      </c>
      <c r="K4135">
        <f t="shared" si="24"/>
        <v>-1561</v>
      </c>
      <c r="L4135" t="s">
        <v>12879</v>
      </c>
      <c r="M4135" t="s">
        <v>12880</v>
      </c>
      <c r="N4135" t="s">
        <v>278</v>
      </c>
      <c r="O4135" t="s">
        <v>134</v>
      </c>
      <c r="P4135" t="s">
        <v>29</v>
      </c>
      <c r="Q4135">
        <v>42</v>
      </c>
      <c r="R4135">
        <v>-93.620800000000003</v>
      </c>
    </row>
    <row r="4136" spans="1:18" x14ac:dyDescent="0.2">
      <c r="A4136" t="s">
        <v>270</v>
      </c>
      <c r="B4136" t="s">
        <v>271</v>
      </c>
      <c r="C4136">
        <v>34</v>
      </c>
      <c r="D4136" s="1">
        <v>44050.408888888887</v>
      </c>
      <c r="E4136" t="s">
        <v>12852</v>
      </c>
      <c r="F4136" t="s">
        <v>273</v>
      </c>
      <c r="G4136" t="s">
        <v>12798</v>
      </c>
      <c r="H4136" t="s">
        <v>275</v>
      </c>
      <c r="I4136" t="s">
        <v>700</v>
      </c>
      <c r="J4136">
        <v>34</v>
      </c>
      <c r="K4136">
        <f t="shared" si="24"/>
        <v>-1561</v>
      </c>
      <c r="L4136" t="s">
        <v>12881</v>
      </c>
      <c r="M4136" t="s">
        <v>12882</v>
      </c>
      <c r="N4136" t="s">
        <v>278</v>
      </c>
      <c r="O4136" t="s">
        <v>134</v>
      </c>
      <c r="P4136" t="s">
        <v>29</v>
      </c>
      <c r="Q4136">
        <v>42</v>
      </c>
      <c r="R4136">
        <v>-93.620800000000003</v>
      </c>
    </row>
    <row r="4137" spans="1:18" x14ac:dyDescent="0.2">
      <c r="A4137" t="s">
        <v>270</v>
      </c>
      <c r="B4137" t="s">
        <v>271</v>
      </c>
      <c r="C4137">
        <v>34</v>
      </c>
      <c r="D4137" s="1">
        <v>44049.692743055559</v>
      </c>
      <c r="E4137" t="s">
        <v>12883</v>
      </c>
      <c r="F4137" t="s">
        <v>273</v>
      </c>
      <c r="G4137" t="s">
        <v>12798</v>
      </c>
      <c r="H4137" t="s">
        <v>275</v>
      </c>
      <c r="I4137" t="s">
        <v>700</v>
      </c>
      <c r="J4137">
        <v>34</v>
      </c>
      <c r="K4137">
        <f t="shared" si="24"/>
        <v>-1561</v>
      </c>
      <c r="L4137" t="s">
        <v>12884</v>
      </c>
      <c r="M4137" t="s">
        <v>12885</v>
      </c>
      <c r="N4137" t="s">
        <v>278</v>
      </c>
      <c r="O4137" t="s">
        <v>134</v>
      </c>
      <c r="P4137" t="s">
        <v>29</v>
      </c>
      <c r="Q4137">
        <v>42</v>
      </c>
      <c r="R4137">
        <v>-93.620800000000003</v>
      </c>
    </row>
    <row r="4138" spans="1:18" x14ac:dyDescent="0.2">
      <c r="A4138" t="s">
        <v>270</v>
      </c>
      <c r="B4138" t="s">
        <v>271</v>
      </c>
      <c r="C4138">
        <v>34</v>
      </c>
      <c r="D4138" s="1">
        <v>44049.692013888889</v>
      </c>
      <c r="E4138" t="s">
        <v>12873</v>
      </c>
      <c r="F4138" t="s">
        <v>273</v>
      </c>
      <c r="G4138" t="s">
        <v>12798</v>
      </c>
      <c r="H4138" t="s">
        <v>275</v>
      </c>
      <c r="I4138" t="s">
        <v>700</v>
      </c>
      <c r="J4138">
        <v>34</v>
      </c>
      <c r="K4138">
        <f t="shared" si="24"/>
        <v>-1561</v>
      </c>
      <c r="L4138" t="s">
        <v>12886</v>
      </c>
      <c r="M4138" t="s">
        <v>12887</v>
      </c>
      <c r="N4138" t="s">
        <v>278</v>
      </c>
      <c r="O4138" t="s">
        <v>134</v>
      </c>
      <c r="P4138" t="s">
        <v>29</v>
      </c>
      <c r="Q4138">
        <v>42</v>
      </c>
      <c r="R4138">
        <v>-93.620800000000003</v>
      </c>
    </row>
    <row r="4139" spans="1:18" x14ac:dyDescent="0.2">
      <c r="A4139" t="s">
        <v>270</v>
      </c>
      <c r="B4139" t="s">
        <v>271</v>
      </c>
      <c r="C4139">
        <v>34</v>
      </c>
      <c r="D4139" s="1">
        <v>44049.691828703704</v>
      </c>
      <c r="E4139" t="s">
        <v>12876</v>
      </c>
      <c r="F4139" t="s">
        <v>273</v>
      </c>
      <c r="G4139" t="s">
        <v>12798</v>
      </c>
      <c r="H4139" t="s">
        <v>275</v>
      </c>
      <c r="I4139" t="s">
        <v>700</v>
      </c>
      <c r="J4139">
        <v>34</v>
      </c>
      <c r="K4139">
        <f t="shared" si="24"/>
        <v>-1561</v>
      </c>
      <c r="L4139" t="s">
        <v>12888</v>
      </c>
      <c r="M4139" t="s">
        <v>12889</v>
      </c>
      <c r="N4139" t="s">
        <v>278</v>
      </c>
      <c r="O4139" t="s">
        <v>134</v>
      </c>
      <c r="P4139" t="s">
        <v>29</v>
      </c>
      <c r="Q4139">
        <v>42</v>
      </c>
      <c r="R4139">
        <v>-93.620800000000003</v>
      </c>
    </row>
    <row r="4140" spans="1:18" x14ac:dyDescent="0.2">
      <c r="A4140" t="s">
        <v>270</v>
      </c>
      <c r="B4140" t="s">
        <v>271</v>
      </c>
      <c r="C4140">
        <v>34</v>
      </c>
      <c r="D4140" s="1">
        <v>44049.691666666666</v>
      </c>
      <c r="E4140" t="s">
        <v>12890</v>
      </c>
      <c r="F4140" t="s">
        <v>273</v>
      </c>
      <c r="G4140" t="s">
        <v>12798</v>
      </c>
      <c r="H4140" t="s">
        <v>275</v>
      </c>
      <c r="I4140" t="s">
        <v>700</v>
      </c>
      <c r="J4140">
        <v>34</v>
      </c>
      <c r="K4140">
        <f t="shared" si="24"/>
        <v>-1561</v>
      </c>
      <c r="L4140" t="s">
        <v>12891</v>
      </c>
      <c r="M4140" t="s">
        <v>12892</v>
      </c>
      <c r="N4140" t="s">
        <v>278</v>
      </c>
      <c r="O4140" t="s">
        <v>134</v>
      </c>
      <c r="P4140" t="s">
        <v>29</v>
      </c>
      <c r="Q4140">
        <v>42</v>
      </c>
      <c r="R4140">
        <v>-93.620800000000003</v>
      </c>
    </row>
    <row r="4141" spans="1:18" x14ac:dyDescent="0.2">
      <c r="A4141" t="s">
        <v>270</v>
      </c>
      <c r="B4141" t="s">
        <v>271</v>
      </c>
      <c r="C4141">
        <v>34</v>
      </c>
      <c r="D4141" s="1">
        <v>44049.688935185186</v>
      </c>
      <c r="E4141" t="s">
        <v>12893</v>
      </c>
      <c r="F4141" t="s">
        <v>273</v>
      </c>
      <c r="G4141" t="s">
        <v>12798</v>
      </c>
      <c r="H4141" t="s">
        <v>275</v>
      </c>
      <c r="I4141" t="s">
        <v>700</v>
      </c>
      <c r="J4141">
        <v>34</v>
      </c>
      <c r="K4141">
        <f t="shared" si="24"/>
        <v>-1561</v>
      </c>
      <c r="L4141" t="s">
        <v>12894</v>
      </c>
      <c r="M4141" t="s">
        <v>12895</v>
      </c>
      <c r="N4141" t="s">
        <v>278</v>
      </c>
      <c r="O4141" t="s">
        <v>28</v>
      </c>
      <c r="P4141" t="s">
        <v>29</v>
      </c>
      <c r="Q4141">
        <v>42</v>
      </c>
      <c r="R4141">
        <v>-93.620800000000003</v>
      </c>
    </row>
    <row r="4142" spans="1:18" x14ac:dyDescent="0.2">
      <c r="A4142" t="s">
        <v>270</v>
      </c>
      <c r="B4142" t="s">
        <v>271</v>
      </c>
      <c r="C4142">
        <v>34</v>
      </c>
      <c r="D4142" s="1">
        <v>44049.64916666667</v>
      </c>
      <c r="E4142" t="s">
        <v>12896</v>
      </c>
      <c r="F4142" t="s">
        <v>273</v>
      </c>
      <c r="G4142" t="s">
        <v>12798</v>
      </c>
      <c r="H4142" t="s">
        <v>275</v>
      </c>
      <c r="I4142" t="s">
        <v>700</v>
      </c>
      <c r="J4142">
        <v>34</v>
      </c>
      <c r="K4142">
        <f t="shared" si="24"/>
        <v>-1561</v>
      </c>
      <c r="L4142" t="s">
        <v>12897</v>
      </c>
      <c r="M4142" t="s">
        <v>12898</v>
      </c>
      <c r="N4142" t="s">
        <v>278</v>
      </c>
      <c r="O4142" t="s">
        <v>28</v>
      </c>
      <c r="P4142" t="s">
        <v>29</v>
      </c>
      <c r="Q4142">
        <v>42</v>
      </c>
      <c r="R4142">
        <v>-93.620800000000003</v>
      </c>
    </row>
    <row r="4143" spans="1:18" x14ac:dyDescent="0.2">
      <c r="A4143" t="s">
        <v>270</v>
      </c>
      <c r="B4143" t="s">
        <v>271</v>
      </c>
      <c r="C4143">
        <v>34</v>
      </c>
      <c r="D4143" s="1">
        <v>44048.61</v>
      </c>
      <c r="E4143" t="s">
        <v>12899</v>
      </c>
      <c r="F4143" t="s">
        <v>273</v>
      </c>
      <c r="G4143" t="s">
        <v>12798</v>
      </c>
      <c r="H4143" t="s">
        <v>275</v>
      </c>
      <c r="I4143" t="s">
        <v>700</v>
      </c>
      <c r="J4143">
        <v>34</v>
      </c>
      <c r="K4143">
        <f t="shared" si="24"/>
        <v>-1561</v>
      </c>
      <c r="L4143" t="s">
        <v>12900</v>
      </c>
      <c r="M4143" t="s">
        <v>12901</v>
      </c>
      <c r="N4143" t="s">
        <v>278</v>
      </c>
      <c r="O4143" t="s">
        <v>134</v>
      </c>
      <c r="P4143" t="s">
        <v>29</v>
      </c>
      <c r="Q4143">
        <v>42</v>
      </c>
      <c r="R4143">
        <v>-93.620800000000003</v>
      </c>
    </row>
    <row r="4144" spans="1:18" x14ac:dyDescent="0.2">
      <c r="A4144" t="s">
        <v>270</v>
      </c>
      <c r="B4144" t="s">
        <v>271</v>
      </c>
      <c r="C4144">
        <v>34</v>
      </c>
      <c r="D4144" s="1">
        <v>44045.584548611114</v>
      </c>
      <c r="E4144" t="s">
        <v>12902</v>
      </c>
      <c r="F4144" t="s">
        <v>273</v>
      </c>
      <c r="G4144" t="s">
        <v>12798</v>
      </c>
      <c r="H4144" t="s">
        <v>275</v>
      </c>
      <c r="I4144" t="s">
        <v>700</v>
      </c>
      <c r="J4144">
        <v>34</v>
      </c>
      <c r="K4144">
        <f t="shared" si="24"/>
        <v>-1561</v>
      </c>
      <c r="L4144" t="s">
        <v>12903</v>
      </c>
      <c r="M4144" t="s">
        <v>12904</v>
      </c>
      <c r="N4144" t="s">
        <v>278</v>
      </c>
      <c r="O4144" t="s">
        <v>134</v>
      </c>
      <c r="P4144" t="s">
        <v>29</v>
      </c>
      <c r="Q4144">
        <v>42</v>
      </c>
      <c r="R4144">
        <v>-93.620800000000003</v>
      </c>
    </row>
    <row r="4145" spans="1:18" x14ac:dyDescent="0.2">
      <c r="A4145" t="s">
        <v>270</v>
      </c>
      <c r="B4145" t="s">
        <v>271</v>
      </c>
      <c r="C4145">
        <v>34</v>
      </c>
      <c r="D4145" s="1">
        <v>44045.583969907406</v>
      </c>
      <c r="E4145" t="s">
        <v>12905</v>
      </c>
      <c r="F4145" t="s">
        <v>273</v>
      </c>
      <c r="G4145" t="s">
        <v>12798</v>
      </c>
      <c r="H4145" t="s">
        <v>275</v>
      </c>
      <c r="I4145" t="s">
        <v>700</v>
      </c>
      <c r="J4145">
        <v>34</v>
      </c>
      <c r="K4145">
        <f t="shared" si="24"/>
        <v>-1561</v>
      </c>
      <c r="L4145" t="s">
        <v>12906</v>
      </c>
      <c r="M4145" t="s">
        <v>12907</v>
      </c>
      <c r="N4145" t="s">
        <v>278</v>
      </c>
      <c r="O4145" t="s">
        <v>134</v>
      </c>
      <c r="P4145" t="s">
        <v>29</v>
      </c>
      <c r="Q4145">
        <v>42</v>
      </c>
      <c r="R4145">
        <v>-93.620800000000003</v>
      </c>
    </row>
    <row r="4146" spans="1:18" x14ac:dyDescent="0.2">
      <c r="A4146" t="s">
        <v>270</v>
      </c>
      <c r="B4146" t="s">
        <v>271</v>
      </c>
      <c r="C4146">
        <v>34</v>
      </c>
      <c r="D4146" s="1">
        <v>44045.401250000003</v>
      </c>
      <c r="E4146" t="s">
        <v>12908</v>
      </c>
      <c r="F4146" t="s">
        <v>273</v>
      </c>
      <c r="G4146" t="s">
        <v>12798</v>
      </c>
      <c r="H4146" t="s">
        <v>275</v>
      </c>
      <c r="I4146" t="s">
        <v>700</v>
      </c>
      <c r="J4146">
        <v>34</v>
      </c>
      <c r="K4146">
        <f t="shared" si="24"/>
        <v>-1561</v>
      </c>
      <c r="L4146" t="s">
        <v>12909</v>
      </c>
      <c r="M4146" t="s">
        <v>12910</v>
      </c>
      <c r="N4146" t="s">
        <v>278</v>
      </c>
      <c r="O4146" t="s">
        <v>134</v>
      </c>
      <c r="P4146" t="s">
        <v>29</v>
      </c>
      <c r="Q4146">
        <v>42</v>
      </c>
      <c r="R4146">
        <v>-93.620800000000003</v>
      </c>
    </row>
    <row r="4147" spans="1:18" x14ac:dyDescent="0.2">
      <c r="A4147" t="s">
        <v>270</v>
      </c>
      <c r="B4147" t="s">
        <v>271</v>
      </c>
      <c r="C4147">
        <v>34</v>
      </c>
      <c r="D4147" s="1">
        <v>44043.345000000001</v>
      </c>
      <c r="E4147" t="s">
        <v>12911</v>
      </c>
      <c r="F4147" t="s">
        <v>273</v>
      </c>
      <c r="G4147" t="s">
        <v>12798</v>
      </c>
      <c r="H4147" t="s">
        <v>275</v>
      </c>
      <c r="I4147" t="s">
        <v>700</v>
      </c>
      <c r="J4147">
        <v>34</v>
      </c>
      <c r="K4147">
        <f t="shared" si="24"/>
        <v>-1561</v>
      </c>
      <c r="L4147" t="s">
        <v>12912</v>
      </c>
      <c r="M4147" t="s">
        <v>12913</v>
      </c>
      <c r="N4147" t="s">
        <v>278</v>
      </c>
      <c r="O4147" t="s">
        <v>134</v>
      </c>
      <c r="P4147" t="s">
        <v>29</v>
      </c>
      <c r="Q4147">
        <v>42</v>
      </c>
      <c r="R4147">
        <v>-93.620800000000003</v>
      </c>
    </row>
    <row r="4148" spans="1:18" x14ac:dyDescent="0.2">
      <c r="A4148" t="s">
        <v>270</v>
      </c>
      <c r="B4148" t="s">
        <v>271</v>
      </c>
      <c r="C4148">
        <v>34</v>
      </c>
      <c r="D4148" s="1">
        <v>44042.386979166666</v>
      </c>
      <c r="E4148" t="s">
        <v>12914</v>
      </c>
      <c r="F4148" t="s">
        <v>273</v>
      </c>
      <c r="G4148" t="s">
        <v>12798</v>
      </c>
      <c r="H4148" t="s">
        <v>275</v>
      </c>
      <c r="I4148" t="s">
        <v>700</v>
      </c>
      <c r="J4148">
        <v>34</v>
      </c>
      <c r="K4148">
        <f t="shared" si="24"/>
        <v>-1561</v>
      </c>
      <c r="L4148" t="s">
        <v>12915</v>
      </c>
      <c r="M4148" t="s">
        <v>12916</v>
      </c>
      <c r="N4148" t="s">
        <v>278</v>
      </c>
      <c r="O4148" t="s">
        <v>134</v>
      </c>
      <c r="P4148" t="s">
        <v>29</v>
      </c>
      <c r="Q4148">
        <v>42</v>
      </c>
      <c r="R4148">
        <v>-93.620800000000003</v>
      </c>
    </row>
    <row r="4149" spans="1:18" x14ac:dyDescent="0.2">
      <c r="A4149" t="s">
        <v>270</v>
      </c>
      <c r="B4149" t="s">
        <v>271</v>
      </c>
      <c r="C4149">
        <v>34</v>
      </c>
      <c r="D4149" s="1">
        <v>44042.381828703707</v>
      </c>
      <c r="E4149" t="s">
        <v>12917</v>
      </c>
      <c r="F4149" t="s">
        <v>273</v>
      </c>
      <c r="G4149" t="s">
        <v>12798</v>
      </c>
      <c r="H4149" t="s">
        <v>275</v>
      </c>
      <c r="I4149" t="s">
        <v>700</v>
      </c>
      <c r="J4149">
        <v>34</v>
      </c>
      <c r="K4149">
        <f t="shared" si="24"/>
        <v>-1561</v>
      </c>
      <c r="L4149" t="s">
        <v>12918</v>
      </c>
      <c r="M4149" t="s">
        <v>12919</v>
      </c>
      <c r="N4149" t="s">
        <v>278</v>
      </c>
      <c r="O4149" t="s">
        <v>134</v>
      </c>
      <c r="P4149" t="s">
        <v>29</v>
      </c>
      <c r="Q4149">
        <v>42</v>
      </c>
      <c r="R4149">
        <v>-93.620800000000003</v>
      </c>
    </row>
    <row r="4150" spans="1:18" x14ac:dyDescent="0.2">
      <c r="A4150" t="s">
        <v>270</v>
      </c>
      <c r="B4150" t="s">
        <v>271</v>
      </c>
      <c r="C4150">
        <v>34</v>
      </c>
      <c r="D4150" s="1">
        <v>44042.383935185186</v>
      </c>
      <c r="E4150" t="s">
        <v>12920</v>
      </c>
      <c r="F4150" t="s">
        <v>273</v>
      </c>
      <c r="G4150" t="s">
        <v>12798</v>
      </c>
      <c r="H4150" t="s">
        <v>275</v>
      </c>
      <c r="I4150" t="s">
        <v>700</v>
      </c>
      <c r="J4150">
        <v>34</v>
      </c>
      <c r="K4150">
        <f t="shared" si="24"/>
        <v>-1561</v>
      </c>
      <c r="L4150" t="s">
        <v>12921</v>
      </c>
      <c r="M4150" t="s">
        <v>12922</v>
      </c>
      <c r="N4150" t="s">
        <v>278</v>
      </c>
      <c r="O4150" t="s">
        <v>134</v>
      </c>
      <c r="P4150" t="s">
        <v>29</v>
      </c>
      <c r="Q4150">
        <v>42</v>
      </c>
      <c r="R4150">
        <v>-93.620800000000003</v>
      </c>
    </row>
    <row r="4151" spans="1:18" x14ac:dyDescent="0.2">
      <c r="A4151" t="s">
        <v>270</v>
      </c>
      <c r="B4151" t="s">
        <v>271</v>
      </c>
      <c r="C4151">
        <v>34</v>
      </c>
      <c r="D4151" s="1">
        <v>44042.382627314815</v>
      </c>
      <c r="E4151" t="s">
        <v>12923</v>
      </c>
      <c r="F4151" t="s">
        <v>273</v>
      </c>
      <c r="G4151" t="s">
        <v>12798</v>
      </c>
      <c r="H4151" t="s">
        <v>275</v>
      </c>
      <c r="I4151" t="s">
        <v>700</v>
      </c>
      <c r="J4151">
        <v>34</v>
      </c>
      <c r="K4151">
        <f t="shared" si="24"/>
        <v>-1561</v>
      </c>
      <c r="L4151" t="s">
        <v>12924</v>
      </c>
      <c r="M4151" t="s">
        <v>12925</v>
      </c>
      <c r="N4151" t="s">
        <v>278</v>
      </c>
      <c r="O4151" t="s">
        <v>134</v>
      </c>
      <c r="P4151" t="s">
        <v>29</v>
      </c>
      <c r="Q4151">
        <v>42</v>
      </c>
      <c r="R4151">
        <v>-93.620800000000003</v>
      </c>
    </row>
    <row r="4152" spans="1:18" x14ac:dyDescent="0.2">
      <c r="A4152" t="s">
        <v>270</v>
      </c>
      <c r="B4152" t="s">
        <v>271</v>
      </c>
      <c r="C4152">
        <v>49</v>
      </c>
      <c r="D4152" s="1">
        <v>44041.691643518519</v>
      </c>
      <c r="E4152" t="s">
        <v>12926</v>
      </c>
      <c r="F4152" t="s">
        <v>273</v>
      </c>
      <c r="G4152" t="s">
        <v>12798</v>
      </c>
      <c r="H4152" t="s">
        <v>275</v>
      </c>
      <c r="I4152" t="s">
        <v>24</v>
      </c>
      <c r="J4152">
        <v>49</v>
      </c>
      <c r="K4152">
        <f>49-900-670-25</f>
        <v>-1546</v>
      </c>
      <c r="L4152" t="s">
        <v>12927</v>
      </c>
      <c r="M4152" t="s">
        <v>12928</v>
      </c>
      <c r="N4152" t="s">
        <v>278</v>
      </c>
      <c r="O4152" t="s">
        <v>134</v>
      </c>
      <c r="P4152" t="s">
        <v>29</v>
      </c>
      <c r="Q4152">
        <v>42</v>
      </c>
      <c r="R4152">
        <v>-93.620800000000003</v>
      </c>
    </row>
    <row r="4153" spans="1:18" x14ac:dyDescent="0.2">
      <c r="A4153" t="s">
        <v>270</v>
      </c>
      <c r="B4153" t="s">
        <v>271</v>
      </c>
      <c r="C4153">
        <v>1</v>
      </c>
      <c r="D4153" s="1">
        <v>44149.123506944445</v>
      </c>
      <c r="E4153" t="s">
        <v>12929</v>
      </c>
      <c r="F4153" t="s">
        <v>273</v>
      </c>
      <c r="G4153" t="s">
        <v>12930</v>
      </c>
      <c r="H4153" t="s">
        <v>275</v>
      </c>
      <c r="I4153" t="s">
        <v>29</v>
      </c>
      <c r="J4153">
        <v>1</v>
      </c>
      <c r="K4153">
        <f>1-844-291-4316</f>
        <v>-5450</v>
      </c>
      <c r="L4153" t="s">
        <v>12931</v>
      </c>
      <c r="M4153" t="s">
        <v>12932</v>
      </c>
      <c r="N4153" t="s">
        <v>278</v>
      </c>
      <c r="O4153" t="s">
        <v>134</v>
      </c>
      <c r="P4153" t="s">
        <v>29</v>
      </c>
      <c r="Q4153">
        <v>42</v>
      </c>
      <c r="R4153">
        <v>-93.620800000000003</v>
      </c>
    </row>
    <row r="4154" spans="1:18" x14ac:dyDescent="0.2">
      <c r="A4154" t="s">
        <v>270</v>
      </c>
      <c r="B4154" t="s">
        <v>271</v>
      </c>
      <c r="C4154">
        <v>1</v>
      </c>
      <c r="D4154" s="1">
        <v>44139.853622685187</v>
      </c>
      <c r="E4154" t="s">
        <v>12933</v>
      </c>
      <c r="F4154" t="s">
        <v>273</v>
      </c>
      <c r="G4154" t="s">
        <v>12930</v>
      </c>
      <c r="H4154" t="s">
        <v>275</v>
      </c>
      <c r="I4154" t="s">
        <v>29</v>
      </c>
      <c r="J4154">
        <v>1</v>
      </c>
      <c r="K4154">
        <f>1-888-385-1746</f>
        <v>-3018</v>
      </c>
      <c r="L4154" t="s">
        <v>12934</v>
      </c>
      <c r="M4154" t="s">
        <v>12935</v>
      </c>
      <c r="N4154" t="s">
        <v>278</v>
      </c>
      <c r="O4154" t="s">
        <v>28</v>
      </c>
      <c r="P4154" t="s">
        <v>29</v>
      </c>
      <c r="Q4154">
        <v>42</v>
      </c>
      <c r="R4154">
        <v>-93.620800000000003</v>
      </c>
    </row>
    <row r="4155" spans="1:18" x14ac:dyDescent="0.2">
      <c r="A4155" t="s">
        <v>270</v>
      </c>
      <c r="B4155" t="s">
        <v>271</v>
      </c>
      <c r="C4155">
        <v>1</v>
      </c>
      <c r="D4155" s="1">
        <v>44096.368888888886</v>
      </c>
      <c r="E4155" t="s">
        <v>12936</v>
      </c>
      <c r="F4155" t="s">
        <v>273</v>
      </c>
      <c r="G4155" t="s">
        <v>12930</v>
      </c>
      <c r="H4155" t="s">
        <v>275</v>
      </c>
      <c r="I4155" t="s">
        <v>29</v>
      </c>
      <c r="J4155">
        <v>1</v>
      </c>
      <c r="K4155">
        <f>1-844-318-5957</f>
        <v>-7118</v>
      </c>
      <c r="L4155" t="s">
        <v>12937</v>
      </c>
      <c r="M4155" t="s">
        <v>12938</v>
      </c>
      <c r="N4155" t="s">
        <v>278</v>
      </c>
      <c r="O4155" t="s">
        <v>28</v>
      </c>
      <c r="P4155" t="s">
        <v>29</v>
      </c>
      <c r="Q4155">
        <v>42</v>
      </c>
      <c r="R4155">
        <v>-93.620800000000003</v>
      </c>
    </row>
    <row r="4156" spans="1:18" x14ac:dyDescent="0.2">
      <c r="A4156" t="s">
        <v>270</v>
      </c>
      <c r="B4156" t="s">
        <v>271</v>
      </c>
      <c r="C4156">
        <v>1</v>
      </c>
      <c r="D4156" s="1">
        <v>44096.3671412037</v>
      </c>
      <c r="E4156" t="s">
        <v>12939</v>
      </c>
      <c r="F4156" t="s">
        <v>273</v>
      </c>
      <c r="G4156" t="s">
        <v>12930</v>
      </c>
      <c r="H4156" t="s">
        <v>275</v>
      </c>
      <c r="I4156" t="s">
        <v>29</v>
      </c>
      <c r="J4156">
        <v>1</v>
      </c>
      <c r="K4156">
        <f>1-844-309-2423</f>
        <v>-3575</v>
      </c>
      <c r="L4156" t="s">
        <v>12940</v>
      </c>
      <c r="M4156" t="s">
        <v>12941</v>
      </c>
      <c r="N4156" t="s">
        <v>278</v>
      </c>
      <c r="O4156" t="s">
        <v>28</v>
      </c>
      <c r="P4156" t="s">
        <v>29</v>
      </c>
      <c r="Q4156">
        <v>42</v>
      </c>
      <c r="R4156">
        <v>-93.620800000000003</v>
      </c>
    </row>
    <row r="4157" spans="1:18" x14ac:dyDescent="0.2">
      <c r="A4157" t="s">
        <v>270</v>
      </c>
      <c r="B4157" t="s">
        <v>271</v>
      </c>
      <c r="C4157">
        <v>1</v>
      </c>
      <c r="D4157" s="1">
        <v>44095.784479166665</v>
      </c>
      <c r="E4157" t="s">
        <v>12942</v>
      </c>
      <c r="F4157" t="s">
        <v>273</v>
      </c>
      <c r="G4157" t="s">
        <v>12930</v>
      </c>
      <c r="H4157" t="s">
        <v>275</v>
      </c>
      <c r="I4157" t="s">
        <v>29</v>
      </c>
      <c r="J4157">
        <v>1</v>
      </c>
      <c r="K4157">
        <f>1-844-301-8222</f>
        <v>-9366</v>
      </c>
      <c r="L4157" t="s">
        <v>12943</v>
      </c>
      <c r="M4157" t="s">
        <v>12944</v>
      </c>
      <c r="N4157" t="s">
        <v>278</v>
      </c>
      <c r="O4157" t="s">
        <v>28</v>
      </c>
      <c r="P4157" t="s">
        <v>29</v>
      </c>
      <c r="Q4157">
        <v>42</v>
      </c>
      <c r="R4157">
        <v>-93.620800000000003</v>
      </c>
    </row>
    <row r="4158" spans="1:18" x14ac:dyDescent="0.2">
      <c r="A4158" t="s">
        <v>270</v>
      </c>
      <c r="B4158" t="s">
        <v>271</v>
      </c>
      <c r="C4158">
        <v>1</v>
      </c>
      <c r="D4158" s="1">
        <v>44090.416030092594</v>
      </c>
      <c r="E4158" t="s">
        <v>12945</v>
      </c>
      <c r="F4158" t="s">
        <v>273</v>
      </c>
      <c r="G4158" t="s">
        <v>12930</v>
      </c>
      <c r="H4158" t="s">
        <v>275</v>
      </c>
      <c r="I4158" t="s">
        <v>29</v>
      </c>
      <c r="J4158">
        <v>1</v>
      </c>
      <c r="K4158">
        <f>1-844-287-1059</f>
        <v>-2189</v>
      </c>
      <c r="L4158" t="s">
        <v>12946</v>
      </c>
      <c r="M4158" t="s">
        <v>12947</v>
      </c>
      <c r="N4158" t="s">
        <v>278</v>
      </c>
      <c r="O4158" t="s">
        <v>28</v>
      </c>
      <c r="P4158" t="s">
        <v>29</v>
      </c>
      <c r="Q4158">
        <v>42</v>
      </c>
      <c r="R4158">
        <v>-93.620800000000003</v>
      </c>
    </row>
    <row r="4159" spans="1:18" x14ac:dyDescent="0.2">
      <c r="A4159" t="s">
        <v>270</v>
      </c>
      <c r="B4159" t="s">
        <v>271</v>
      </c>
      <c r="C4159">
        <v>1</v>
      </c>
      <c r="D4159" s="1">
        <v>44072.868472222224</v>
      </c>
      <c r="E4159" t="s">
        <v>12948</v>
      </c>
      <c r="F4159" t="s">
        <v>273</v>
      </c>
      <c r="G4159" t="s">
        <v>12930</v>
      </c>
      <c r="H4159" t="s">
        <v>275</v>
      </c>
      <c r="I4159" t="s">
        <v>29</v>
      </c>
      <c r="J4159">
        <v>1</v>
      </c>
      <c r="K4159">
        <f>1-888-609-3819</f>
        <v>-5315</v>
      </c>
      <c r="L4159" t="s">
        <v>12949</v>
      </c>
      <c r="M4159" t="s">
        <v>12950</v>
      </c>
      <c r="N4159" t="s">
        <v>278</v>
      </c>
      <c r="O4159" t="s">
        <v>134</v>
      </c>
      <c r="P4159" t="s">
        <v>29</v>
      </c>
      <c r="Q4159">
        <v>42</v>
      </c>
      <c r="R4159">
        <v>-93.620800000000003</v>
      </c>
    </row>
    <row r="4160" spans="1:18" x14ac:dyDescent="0.2">
      <c r="A4160" t="s">
        <v>270</v>
      </c>
      <c r="B4160" t="s">
        <v>271</v>
      </c>
      <c r="C4160">
        <v>1</v>
      </c>
      <c r="D4160" s="1">
        <v>44056.797233796293</v>
      </c>
      <c r="E4160" t="s">
        <v>12951</v>
      </c>
      <c r="F4160" t="s">
        <v>273</v>
      </c>
      <c r="G4160" t="s">
        <v>12930</v>
      </c>
      <c r="H4160" t="s">
        <v>275</v>
      </c>
      <c r="I4160" t="s">
        <v>29</v>
      </c>
      <c r="J4160">
        <v>1</v>
      </c>
      <c r="K4160">
        <f>1-888-597-1369</f>
        <v>-2853</v>
      </c>
      <c r="L4160" t="s">
        <v>12952</v>
      </c>
      <c r="M4160" t="s">
        <v>12953</v>
      </c>
      <c r="N4160" t="s">
        <v>278</v>
      </c>
      <c r="O4160" t="s">
        <v>28</v>
      </c>
      <c r="P4160" t="s">
        <v>29</v>
      </c>
      <c r="Q4160">
        <v>42</v>
      </c>
      <c r="R4160">
        <v>-93.620800000000003</v>
      </c>
    </row>
    <row r="4161" spans="1:18" x14ac:dyDescent="0.2">
      <c r="A4161" t="s">
        <v>270</v>
      </c>
      <c r="B4161" t="s">
        <v>271</v>
      </c>
      <c r="C4161">
        <v>1</v>
      </c>
      <c r="D4161" s="1">
        <v>44055.87027777778</v>
      </c>
      <c r="E4161" t="s">
        <v>12954</v>
      </c>
      <c r="F4161" t="s">
        <v>273</v>
      </c>
      <c r="G4161" t="s">
        <v>12930</v>
      </c>
      <c r="H4161" t="s">
        <v>275</v>
      </c>
      <c r="I4161" t="s">
        <v>29</v>
      </c>
      <c r="J4161">
        <v>1</v>
      </c>
      <c r="K4161">
        <f>1-888-851-651</f>
        <v>-2389</v>
      </c>
      <c r="L4161" t="s">
        <v>12955</v>
      </c>
      <c r="M4161" t="s">
        <v>12956</v>
      </c>
      <c r="N4161" t="s">
        <v>278</v>
      </c>
      <c r="O4161" t="s">
        <v>28</v>
      </c>
      <c r="P4161" t="s">
        <v>29</v>
      </c>
      <c r="Q4161">
        <v>42</v>
      </c>
      <c r="R4161">
        <v>-93.620800000000003</v>
      </c>
    </row>
    <row r="4162" spans="1:18" x14ac:dyDescent="0.2">
      <c r="A4162" t="s">
        <v>270</v>
      </c>
      <c r="B4162" t="s">
        <v>271</v>
      </c>
      <c r="C4162">
        <v>1</v>
      </c>
      <c r="D4162" s="1">
        <v>44054.874803240738</v>
      </c>
      <c r="E4162" t="s">
        <v>12957</v>
      </c>
      <c r="F4162" t="s">
        <v>273</v>
      </c>
      <c r="G4162" t="s">
        <v>12930</v>
      </c>
      <c r="H4162" t="s">
        <v>275</v>
      </c>
      <c r="I4162" t="s">
        <v>29</v>
      </c>
      <c r="J4162">
        <v>1</v>
      </c>
      <c r="K4162">
        <f>1-888-803-799</f>
        <v>-2489</v>
      </c>
      <c r="L4162" t="s">
        <v>12958</v>
      </c>
      <c r="M4162" t="s">
        <v>12959</v>
      </c>
      <c r="N4162" t="s">
        <v>278</v>
      </c>
      <c r="O4162" t="s">
        <v>28</v>
      </c>
      <c r="P4162" t="s">
        <v>29</v>
      </c>
      <c r="Q4162">
        <v>42</v>
      </c>
      <c r="R4162">
        <v>-93.620800000000003</v>
      </c>
    </row>
    <row r="4163" spans="1:18" x14ac:dyDescent="0.2">
      <c r="A4163" t="s">
        <v>270</v>
      </c>
      <c r="B4163" t="s">
        <v>271</v>
      </c>
      <c r="C4163">
        <v>1</v>
      </c>
      <c r="D4163" s="1">
        <v>44054.836898148147</v>
      </c>
      <c r="E4163" t="s">
        <v>12960</v>
      </c>
      <c r="F4163" t="s">
        <v>273</v>
      </c>
      <c r="G4163" t="s">
        <v>12930</v>
      </c>
      <c r="H4163" t="s">
        <v>275</v>
      </c>
      <c r="I4163" t="s">
        <v>29</v>
      </c>
      <c r="J4163">
        <v>1</v>
      </c>
      <c r="K4163">
        <f>1-888-304-1175</f>
        <v>-2366</v>
      </c>
      <c r="L4163" t="s">
        <v>12961</v>
      </c>
      <c r="M4163" t="s">
        <v>12962</v>
      </c>
      <c r="N4163" t="s">
        <v>278</v>
      </c>
      <c r="O4163" t="s">
        <v>28</v>
      </c>
      <c r="P4163" t="s">
        <v>29</v>
      </c>
      <c r="Q4163">
        <v>42</v>
      </c>
      <c r="R4163">
        <v>-93.620800000000003</v>
      </c>
    </row>
    <row r="4164" spans="1:18" x14ac:dyDescent="0.2">
      <c r="A4164" t="s">
        <v>270</v>
      </c>
      <c r="B4164" t="s">
        <v>271</v>
      </c>
      <c r="C4164">
        <v>1</v>
      </c>
      <c r="D4164" s="1">
        <v>44054.758321759262</v>
      </c>
      <c r="E4164" t="s">
        <v>12963</v>
      </c>
      <c r="F4164" t="s">
        <v>273</v>
      </c>
      <c r="G4164" t="s">
        <v>12930</v>
      </c>
      <c r="H4164" t="s">
        <v>275</v>
      </c>
      <c r="I4164" t="s">
        <v>29</v>
      </c>
      <c r="J4164">
        <v>1</v>
      </c>
      <c r="K4164">
        <f>1-888-417-4068</f>
        <v>-5372</v>
      </c>
      <c r="L4164" t="s">
        <v>12964</v>
      </c>
      <c r="M4164" t="s">
        <v>12965</v>
      </c>
      <c r="N4164" t="s">
        <v>278</v>
      </c>
      <c r="O4164" t="s">
        <v>28</v>
      </c>
      <c r="P4164" t="s">
        <v>29</v>
      </c>
      <c r="Q4164">
        <v>42</v>
      </c>
      <c r="R4164">
        <v>-93.620800000000003</v>
      </c>
    </row>
    <row r="4165" spans="1:18" x14ac:dyDescent="0.2">
      <c r="A4165" t="s">
        <v>270</v>
      </c>
      <c r="B4165" t="s">
        <v>271</v>
      </c>
      <c r="C4165">
        <v>1</v>
      </c>
      <c r="D4165" s="1">
        <v>44053.420034722221</v>
      </c>
      <c r="E4165" t="s">
        <v>12966</v>
      </c>
      <c r="F4165" t="s">
        <v>273</v>
      </c>
      <c r="G4165" t="s">
        <v>12930</v>
      </c>
      <c r="H4165" t="s">
        <v>275</v>
      </c>
      <c r="I4165" t="s">
        <v>29</v>
      </c>
      <c r="J4165">
        <v>1</v>
      </c>
      <c r="K4165">
        <f>1-866-643-8199</f>
        <v>-9707</v>
      </c>
      <c r="L4165" t="s">
        <v>12967</v>
      </c>
      <c r="M4165" t="s">
        <v>12968</v>
      </c>
      <c r="N4165" t="s">
        <v>278</v>
      </c>
      <c r="O4165" t="s">
        <v>134</v>
      </c>
      <c r="P4165" t="s">
        <v>29</v>
      </c>
      <c r="Q4165">
        <v>42</v>
      </c>
      <c r="R4165">
        <v>-93.620800000000003</v>
      </c>
    </row>
    <row r="4166" spans="1:18" x14ac:dyDescent="0.2">
      <c r="A4166" t="s">
        <v>270</v>
      </c>
      <c r="B4166" t="s">
        <v>271</v>
      </c>
      <c r="C4166">
        <v>1</v>
      </c>
      <c r="D4166" s="1">
        <v>44050.724166666667</v>
      </c>
      <c r="E4166" t="s">
        <v>12969</v>
      </c>
      <c r="F4166" t="s">
        <v>273</v>
      </c>
      <c r="G4166" t="s">
        <v>12930</v>
      </c>
      <c r="H4166" t="s">
        <v>275</v>
      </c>
      <c r="I4166" t="s">
        <v>29</v>
      </c>
      <c r="J4166">
        <v>1</v>
      </c>
      <c r="K4166">
        <f>1-866-751-1670</f>
        <v>-3286</v>
      </c>
      <c r="L4166" t="s">
        <v>12970</v>
      </c>
      <c r="M4166" t="s">
        <v>12971</v>
      </c>
      <c r="N4166" t="s">
        <v>278</v>
      </c>
      <c r="O4166" t="s">
        <v>28</v>
      </c>
      <c r="P4166" t="s">
        <v>29</v>
      </c>
      <c r="Q4166">
        <v>42</v>
      </c>
      <c r="R4166">
        <v>-93.620800000000003</v>
      </c>
    </row>
    <row r="4167" spans="1:18" x14ac:dyDescent="0.2">
      <c r="A4167" t="s">
        <v>270</v>
      </c>
      <c r="B4167" t="s">
        <v>271</v>
      </c>
      <c r="C4167">
        <v>1</v>
      </c>
      <c r="D4167" s="1">
        <v>44050.718240740738</v>
      </c>
      <c r="E4167" t="s">
        <v>12969</v>
      </c>
      <c r="F4167" t="s">
        <v>273</v>
      </c>
      <c r="G4167" t="s">
        <v>12930</v>
      </c>
      <c r="H4167" t="s">
        <v>275</v>
      </c>
      <c r="I4167" t="s">
        <v>29</v>
      </c>
      <c r="J4167">
        <v>1</v>
      </c>
      <c r="K4167">
        <f>1-866-790-4674</f>
        <v>-6329</v>
      </c>
      <c r="L4167" t="s">
        <v>12972</v>
      </c>
      <c r="M4167" t="s">
        <v>12973</v>
      </c>
      <c r="N4167" t="s">
        <v>278</v>
      </c>
      <c r="O4167" t="s">
        <v>28</v>
      </c>
      <c r="P4167" t="s">
        <v>29</v>
      </c>
      <c r="Q4167">
        <v>42</v>
      </c>
      <c r="R4167">
        <v>-93.620800000000003</v>
      </c>
    </row>
    <row r="4168" spans="1:18" x14ac:dyDescent="0.2">
      <c r="A4168" t="s">
        <v>270</v>
      </c>
      <c r="B4168" t="s">
        <v>271</v>
      </c>
      <c r="C4168">
        <v>1</v>
      </c>
      <c r="D4168" s="1">
        <v>44050.667604166665</v>
      </c>
      <c r="E4168" t="s">
        <v>12974</v>
      </c>
      <c r="F4168" t="s">
        <v>273</v>
      </c>
      <c r="G4168" t="s">
        <v>12930</v>
      </c>
      <c r="H4168" t="s">
        <v>275</v>
      </c>
      <c r="I4168" t="s">
        <v>29</v>
      </c>
      <c r="J4168">
        <v>1</v>
      </c>
      <c r="K4168">
        <f>1-866-646-180</f>
        <v>-1691</v>
      </c>
      <c r="L4168" t="s">
        <v>12975</v>
      </c>
      <c r="M4168" t="s">
        <v>12976</v>
      </c>
      <c r="N4168" t="s">
        <v>278</v>
      </c>
      <c r="O4168" t="s">
        <v>28</v>
      </c>
      <c r="P4168" t="s">
        <v>29</v>
      </c>
      <c r="Q4168">
        <v>42</v>
      </c>
      <c r="R4168">
        <v>-93.620800000000003</v>
      </c>
    </row>
    <row r="4169" spans="1:18" x14ac:dyDescent="0.2">
      <c r="A4169" t="s">
        <v>270</v>
      </c>
      <c r="B4169" t="s">
        <v>271</v>
      </c>
      <c r="C4169">
        <v>1</v>
      </c>
      <c r="D4169" s="1">
        <v>44049.936435185184</v>
      </c>
      <c r="E4169" t="s">
        <v>12977</v>
      </c>
      <c r="F4169" t="s">
        <v>273</v>
      </c>
      <c r="G4169" t="s">
        <v>12930</v>
      </c>
      <c r="H4169" t="s">
        <v>275</v>
      </c>
      <c r="I4169" t="s">
        <v>29</v>
      </c>
      <c r="J4169">
        <v>1</v>
      </c>
      <c r="K4169">
        <f>1-866-643-8199</f>
        <v>-9707</v>
      </c>
      <c r="L4169" t="s">
        <v>12978</v>
      </c>
      <c r="M4169" t="s">
        <v>12979</v>
      </c>
      <c r="N4169" t="s">
        <v>278</v>
      </c>
      <c r="O4169" t="s">
        <v>134</v>
      </c>
      <c r="P4169" t="s">
        <v>29</v>
      </c>
      <c r="Q4169">
        <v>42</v>
      </c>
      <c r="R4169">
        <v>-93.620800000000003</v>
      </c>
    </row>
    <row r="4170" spans="1:18" x14ac:dyDescent="0.2">
      <c r="A4170" t="s">
        <v>270</v>
      </c>
      <c r="B4170" t="s">
        <v>271</v>
      </c>
      <c r="C4170">
        <v>1</v>
      </c>
      <c r="D4170" s="1">
        <v>44049.822129629632</v>
      </c>
      <c r="E4170" t="s">
        <v>12977</v>
      </c>
      <c r="F4170" t="s">
        <v>273</v>
      </c>
      <c r="G4170" t="s">
        <v>12930</v>
      </c>
      <c r="H4170" t="s">
        <v>275</v>
      </c>
      <c r="I4170" t="s">
        <v>29</v>
      </c>
      <c r="J4170">
        <v>1</v>
      </c>
      <c r="K4170">
        <f>1-866-646-180</f>
        <v>-1691</v>
      </c>
      <c r="L4170" t="s">
        <v>12980</v>
      </c>
      <c r="M4170" t="s">
        <v>12981</v>
      </c>
      <c r="N4170" t="s">
        <v>278</v>
      </c>
      <c r="O4170" t="s">
        <v>28</v>
      </c>
      <c r="P4170" t="s">
        <v>29</v>
      </c>
      <c r="Q4170">
        <v>42</v>
      </c>
      <c r="R4170">
        <v>-93.620800000000003</v>
      </c>
    </row>
    <row r="4171" spans="1:18" x14ac:dyDescent="0.2">
      <c r="A4171" t="s">
        <v>270</v>
      </c>
      <c r="B4171" t="s">
        <v>271</v>
      </c>
      <c r="C4171">
        <v>1</v>
      </c>
      <c r="D4171" s="1">
        <v>44048.781805555554</v>
      </c>
      <c r="E4171" t="s">
        <v>12982</v>
      </c>
      <c r="F4171" t="s">
        <v>273</v>
      </c>
      <c r="G4171" t="s">
        <v>12930</v>
      </c>
      <c r="H4171" t="s">
        <v>275</v>
      </c>
      <c r="I4171" t="s">
        <v>29</v>
      </c>
      <c r="J4171">
        <v>1</v>
      </c>
      <c r="K4171">
        <f>1-866-781-5889</f>
        <v>-7535</v>
      </c>
      <c r="L4171" t="s">
        <v>12983</v>
      </c>
      <c r="M4171" t="s">
        <v>12984</v>
      </c>
      <c r="N4171" t="s">
        <v>278</v>
      </c>
      <c r="O4171" t="s">
        <v>28</v>
      </c>
      <c r="P4171" t="s">
        <v>29</v>
      </c>
      <c r="Q4171">
        <v>42</v>
      </c>
      <c r="R4171">
        <v>-93.620800000000003</v>
      </c>
    </row>
    <row r="4172" spans="1:18" x14ac:dyDescent="0.2">
      <c r="A4172" t="s">
        <v>270</v>
      </c>
      <c r="B4172" t="s">
        <v>271</v>
      </c>
      <c r="C4172">
        <v>1</v>
      </c>
      <c r="D4172" s="1">
        <v>44048.682615740741</v>
      </c>
      <c r="E4172" t="s">
        <v>12985</v>
      </c>
      <c r="F4172" t="s">
        <v>273</v>
      </c>
      <c r="G4172" t="s">
        <v>12930</v>
      </c>
      <c r="H4172" t="s">
        <v>275</v>
      </c>
      <c r="I4172" t="s">
        <v>29</v>
      </c>
      <c r="J4172">
        <v>1</v>
      </c>
      <c r="K4172">
        <f>1-866-693-9512</f>
        <v>-11070</v>
      </c>
      <c r="L4172" t="s">
        <v>12986</v>
      </c>
      <c r="M4172" t="s">
        <v>12987</v>
      </c>
      <c r="N4172" t="s">
        <v>278</v>
      </c>
      <c r="O4172" t="s">
        <v>28</v>
      </c>
      <c r="P4172" t="s">
        <v>29</v>
      </c>
      <c r="Q4172">
        <v>42</v>
      </c>
      <c r="R4172">
        <v>-93.620800000000003</v>
      </c>
    </row>
    <row r="4173" spans="1:18" x14ac:dyDescent="0.2">
      <c r="A4173" t="s">
        <v>270</v>
      </c>
      <c r="B4173" t="s">
        <v>271</v>
      </c>
      <c r="C4173">
        <v>1</v>
      </c>
      <c r="D4173" s="1">
        <v>44048.671099537038</v>
      </c>
      <c r="E4173" t="s">
        <v>12988</v>
      </c>
      <c r="F4173" t="s">
        <v>273</v>
      </c>
      <c r="G4173" t="s">
        <v>12930</v>
      </c>
      <c r="H4173" t="s">
        <v>275</v>
      </c>
      <c r="I4173" t="s">
        <v>29</v>
      </c>
      <c r="J4173">
        <v>1</v>
      </c>
      <c r="K4173">
        <f>1-888-535-9409</f>
        <v>-10831</v>
      </c>
      <c r="L4173" t="s">
        <v>12989</v>
      </c>
      <c r="M4173" t="s">
        <v>12990</v>
      </c>
      <c r="N4173" t="s">
        <v>278</v>
      </c>
      <c r="O4173" t="s">
        <v>28</v>
      </c>
      <c r="P4173" t="s">
        <v>29</v>
      </c>
      <c r="Q4173">
        <v>42</v>
      </c>
      <c r="R4173">
        <v>-93.620800000000003</v>
      </c>
    </row>
    <row r="4174" spans="1:18" x14ac:dyDescent="0.2">
      <c r="A4174" t="s">
        <v>270</v>
      </c>
      <c r="B4174" t="s">
        <v>271</v>
      </c>
      <c r="C4174">
        <v>1</v>
      </c>
      <c r="D4174" s="1">
        <v>44045.789004629631</v>
      </c>
      <c r="E4174" t="s">
        <v>12991</v>
      </c>
      <c r="F4174" t="s">
        <v>273</v>
      </c>
      <c r="G4174" t="s">
        <v>12930</v>
      </c>
      <c r="H4174" t="s">
        <v>275</v>
      </c>
      <c r="I4174" t="s">
        <v>29</v>
      </c>
      <c r="J4174">
        <v>1</v>
      </c>
      <c r="K4174">
        <f>1-844-468-367</f>
        <v>-1678</v>
      </c>
      <c r="L4174" t="s">
        <v>12992</v>
      </c>
      <c r="M4174" t="s">
        <v>12993</v>
      </c>
      <c r="N4174" t="s">
        <v>278</v>
      </c>
      <c r="O4174" t="s">
        <v>28</v>
      </c>
      <c r="P4174" t="s">
        <v>29</v>
      </c>
      <c r="Q4174">
        <v>42</v>
      </c>
      <c r="R4174">
        <v>-93.620800000000003</v>
      </c>
    </row>
    <row r="4175" spans="1:18" x14ac:dyDescent="0.2">
      <c r="A4175" t="s">
        <v>270</v>
      </c>
      <c r="B4175" t="s">
        <v>271</v>
      </c>
      <c r="C4175">
        <v>1</v>
      </c>
      <c r="D4175" s="1">
        <v>44045.717349537037</v>
      </c>
      <c r="E4175" t="s">
        <v>12994</v>
      </c>
      <c r="F4175" t="s">
        <v>273</v>
      </c>
      <c r="G4175" t="s">
        <v>12930</v>
      </c>
      <c r="H4175" t="s">
        <v>275</v>
      </c>
      <c r="I4175" t="s">
        <v>29</v>
      </c>
      <c r="J4175">
        <v>1</v>
      </c>
      <c r="K4175">
        <f>1-844-475-7260</f>
        <v>-8578</v>
      </c>
      <c r="L4175" t="s">
        <v>12995</v>
      </c>
      <c r="M4175" t="s">
        <v>12996</v>
      </c>
      <c r="N4175" t="s">
        <v>278</v>
      </c>
      <c r="O4175" t="s">
        <v>134</v>
      </c>
      <c r="P4175" t="s">
        <v>29</v>
      </c>
      <c r="Q4175">
        <v>42</v>
      </c>
      <c r="R4175">
        <v>-93.620800000000003</v>
      </c>
    </row>
    <row r="4176" spans="1:18" x14ac:dyDescent="0.2">
      <c r="A4176" t="s">
        <v>270</v>
      </c>
      <c r="B4176" t="s">
        <v>271</v>
      </c>
      <c r="C4176">
        <v>1</v>
      </c>
      <c r="D4176" s="1">
        <v>44045.714907407404</v>
      </c>
      <c r="E4176" t="s">
        <v>12997</v>
      </c>
      <c r="F4176" t="s">
        <v>273</v>
      </c>
      <c r="G4176" t="s">
        <v>12930</v>
      </c>
      <c r="H4176" t="s">
        <v>275</v>
      </c>
      <c r="I4176" t="s">
        <v>29</v>
      </c>
      <c r="J4176">
        <v>1</v>
      </c>
      <c r="K4176">
        <f>1-844-472-3094</f>
        <v>-4409</v>
      </c>
      <c r="L4176" t="s">
        <v>12998</v>
      </c>
      <c r="M4176" t="s">
        <v>12999</v>
      </c>
      <c r="N4176" t="s">
        <v>278</v>
      </c>
      <c r="O4176" t="s">
        <v>28</v>
      </c>
      <c r="P4176" t="s">
        <v>29</v>
      </c>
      <c r="Q4176">
        <v>42</v>
      </c>
      <c r="R4176">
        <v>-93.620800000000003</v>
      </c>
    </row>
    <row r="4177" spans="1:18" x14ac:dyDescent="0.2">
      <c r="A4177" t="s">
        <v>270</v>
      </c>
      <c r="B4177" t="s">
        <v>271</v>
      </c>
      <c r="C4177">
        <v>1</v>
      </c>
      <c r="D4177" s="1">
        <v>44044.736608796295</v>
      </c>
      <c r="E4177" t="s">
        <v>13000</v>
      </c>
      <c r="F4177" t="s">
        <v>273</v>
      </c>
      <c r="G4177" t="s">
        <v>12930</v>
      </c>
      <c r="H4177" t="s">
        <v>275</v>
      </c>
      <c r="I4177" t="s">
        <v>29</v>
      </c>
      <c r="J4177">
        <v>1</v>
      </c>
      <c r="K4177">
        <f>1-844-476-124</f>
        <v>-1443</v>
      </c>
      <c r="L4177" t="s">
        <v>13001</v>
      </c>
      <c r="M4177" t="s">
        <v>13002</v>
      </c>
      <c r="N4177" t="s">
        <v>278</v>
      </c>
      <c r="O4177" t="s">
        <v>28</v>
      </c>
      <c r="P4177" t="s">
        <v>29</v>
      </c>
      <c r="Q4177">
        <v>42</v>
      </c>
      <c r="R4177">
        <v>-93.620800000000003</v>
      </c>
    </row>
    <row r="4178" spans="1:18" x14ac:dyDescent="0.2">
      <c r="A4178" t="s">
        <v>270</v>
      </c>
      <c r="B4178" t="s">
        <v>271</v>
      </c>
      <c r="C4178">
        <v>1</v>
      </c>
      <c r="D4178" s="1">
        <v>44041.716666666667</v>
      </c>
      <c r="E4178" t="s">
        <v>13003</v>
      </c>
      <c r="F4178" t="s">
        <v>273</v>
      </c>
      <c r="G4178" t="s">
        <v>12930</v>
      </c>
      <c r="H4178" t="s">
        <v>275</v>
      </c>
      <c r="I4178" t="s">
        <v>29</v>
      </c>
      <c r="J4178">
        <v>1</v>
      </c>
      <c r="K4178">
        <f>1-844-467-9931</f>
        <v>-11241</v>
      </c>
      <c r="L4178" t="s">
        <v>13004</v>
      </c>
      <c r="M4178" t="s">
        <v>13005</v>
      </c>
      <c r="N4178" t="s">
        <v>278</v>
      </c>
      <c r="O4178" t="s">
        <v>28</v>
      </c>
      <c r="P4178" t="s">
        <v>29</v>
      </c>
      <c r="Q4178">
        <v>42</v>
      </c>
      <c r="R4178">
        <v>-93.620800000000003</v>
      </c>
    </row>
    <row r="4179" spans="1:18" x14ac:dyDescent="0.2">
      <c r="A4179" t="s">
        <v>663</v>
      </c>
      <c r="B4179" t="s">
        <v>2493</v>
      </c>
      <c r="C4179">
        <v>1</v>
      </c>
      <c r="D4179" s="1">
        <v>44041.726469907408</v>
      </c>
      <c r="E4179" t="s">
        <v>13006</v>
      </c>
      <c r="F4179" t="s">
        <v>666</v>
      </c>
      <c r="G4179" t="s">
        <v>13006</v>
      </c>
      <c r="H4179" t="s">
        <v>667</v>
      </c>
      <c r="I4179" t="s">
        <v>29</v>
      </c>
      <c r="J4179">
        <v>1</v>
      </c>
      <c r="K4179">
        <f>1-833-994-404</f>
        <v>-2230</v>
      </c>
      <c r="L4179" t="s">
        <v>13007</v>
      </c>
      <c r="M4179" t="s">
        <v>13008</v>
      </c>
      <c r="N4179">
        <v>231</v>
      </c>
      <c r="O4179" t="s">
        <v>134</v>
      </c>
      <c r="P4179" t="s">
        <v>29</v>
      </c>
      <c r="Q4179">
        <v>41</v>
      </c>
      <c r="R4179">
        <v>-74.024699999999996</v>
      </c>
    </row>
    <row r="4180" spans="1:18" x14ac:dyDescent="0.2">
      <c r="A4180" t="s">
        <v>439</v>
      </c>
      <c r="B4180" t="s">
        <v>1412</v>
      </c>
      <c r="C4180">
        <v>1</v>
      </c>
      <c r="D4180" s="1">
        <v>44041.750891203701</v>
      </c>
      <c r="E4180" t="s">
        <v>13009</v>
      </c>
      <c r="F4180" t="s">
        <v>442</v>
      </c>
      <c r="G4180" t="s">
        <v>13010</v>
      </c>
      <c r="H4180" t="s">
        <v>444</v>
      </c>
      <c r="I4180" t="s">
        <v>29</v>
      </c>
      <c r="J4180">
        <v>1</v>
      </c>
      <c r="K4180">
        <f>1-888-829-9530</f>
        <v>-11246</v>
      </c>
      <c r="L4180" t="s">
        <v>13011</v>
      </c>
      <c r="M4180" t="s">
        <v>13012</v>
      </c>
      <c r="N4180" t="s">
        <v>674</v>
      </c>
      <c r="O4180" t="s">
        <v>28</v>
      </c>
      <c r="P4180" t="s">
        <v>29</v>
      </c>
      <c r="Q4180">
        <v>41</v>
      </c>
      <c r="R4180">
        <v>-74.172399999999996</v>
      </c>
    </row>
    <row r="4181" spans="1:18" x14ac:dyDescent="0.2">
      <c r="A4181" t="s">
        <v>663</v>
      </c>
      <c r="B4181" t="s">
        <v>5337</v>
      </c>
      <c r="C4181">
        <v>1</v>
      </c>
      <c r="D4181" s="1">
        <v>44041.765023148146</v>
      </c>
      <c r="E4181" t="s">
        <v>13013</v>
      </c>
      <c r="F4181" t="s">
        <v>666</v>
      </c>
      <c r="G4181" t="s">
        <v>13013</v>
      </c>
      <c r="H4181" t="s">
        <v>667</v>
      </c>
      <c r="I4181" t="s">
        <v>29</v>
      </c>
      <c r="J4181">
        <v>1</v>
      </c>
      <c r="K4181">
        <f>1-844-471-4944</f>
        <v>-6258</v>
      </c>
      <c r="L4181" t="s">
        <v>13014</v>
      </c>
      <c r="M4181" t="s">
        <v>13015</v>
      </c>
      <c r="N4181">
        <v>149</v>
      </c>
      <c r="O4181" t="s">
        <v>134</v>
      </c>
      <c r="P4181" t="s">
        <v>29</v>
      </c>
      <c r="Q4181">
        <v>38</v>
      </c>
      <c r="R4181">
        <v>-99.999999000000003</v>
      </c>
    </row>
    <row r="4182" spans="1:18" x14ac:dyDescent="0.2">
      <c r="A4182" t="s">
        <v>2233</v>
      </c>
      <c r="B4182" t="s">
        <v>1638</v>
      </c>
      <c r="C4182">
        <v>1</v>
      </c>
      <c r="D4182" s="1">
        <v>44041.803356481483</v>
      </c>
      <c r="E4182" t="s">
        <v>13016</v>
      </c>
      <c r="F4182" t="s">
        <v>6618</v>
      </c>
      <c r="G4182" t="s">
        <v>13017</v>
      </c>
      <c r="H4182" t="s">
        <v>2237</v>
      </c>
      <c r="I4182" t="s">
        <v>29</v>
      </c>
      <c r="J4182">
        <v>1</v>
      </c>
      <c r="K4182">
        <f>1-888-432-6501</f>
        <v>-7820</v>
      </c>
      <c r="L4182" t="s">
        <v>13018</v>
      </c>
      <c r="M4182" t="s">
        <v>13019</v>
      </c>
      <c r="N4182" t="s">
        <v>278</v>
      </c>
      <c r="O4182" t="s">
        <v>28</v>
      </c>
      <c r="P4182" t="s">
        <v>292</v>
      </c>
      <c r="Q4182">
        <v>49</v>
      </c>
      <c r="R4182">
        <v>2.35222</v>
      </c>
    </row>
    <row r="4183" spans="1:18" x14ac:dyDescent="0.2">
      <c r="A4183" t="s">
        <v>663</v>
      </c>
      <c r="B4183" t="s">
        <v>3385</v>
      </c>
      <c r="C4183">
        <v>1</v>
      </c>
      <c r="D4183" s="1">
        <v>44041.803437499999</v>
      </c>
      <c r="E4183" t="s">
        <v>13020</v>
      </c>
      <c r="F4183" t="s">
        <v>666</v>
      </c>
      <c r="G4183" t="s">
        <v>13021</v>
      </c>
      <c r="H4183" t="s">
        <v>667</v>
      </c>
      <c r="I4183" t="s">
        <v>29</v>
      </c>
      <c r="J4183">
        <v>1</v>
      </c>
      <c r="K4183">
        <f>1-855-503-428</f>
        <v>-1785</v>
      </c>
      <c r="L4183" t="s">
        <v>13022</v>
      </c>
      <c r="M4183" t="s">
        <v>13023</v>
      </c>
      <c r="N4183" t="s">
        <v>1645</v>
      </c>
      <c r="O4183" t="s">
        <v>28</v>
      </c>
      <c r="P4183" t="s">
        <v>29</v>
      </c>
      <c r="Q4183">
        <v>41</v>
      </c>
      <c r="R4183">
        <v>-73.996600000000001</v>
      </c>
    </row>
    <row r="4184" spans="1:18" x14ac:dyDescent="0.2">
      <c r="A4184" t="s">
        <v>675</v>
      </c>
      <c r="B4184" t="s">
        <v>1412</v>
      </c>
      <c r="C4184">
        <v>81</v>
      </c>
      <c r="D4184" s="1">
        <v>44212.045474537037</v>
      </c>
      <c r="E4184" t="s">
        <v>13024</v>
      </c>
      <c r="F4184" t="s">
        <v>678</v>
      </c>
      <c r="G4184" t="s">
        <v>13025</v>
      </c>
      <c r="H4184" t="s">
        <v>680</v>
      </c>
      <c r="I4184" t="s">
        <v>53</v>
      </c>
      <c r="J4184">
        <v>81</v>
      </c>
      <c r="K4184">
        <f>81-50-3136-6093</f>
        <v>-9198</v>
      </c>
      <c r="L4184" t="s">
        <v>13026</v>
      </c>
      <c r="M4184" t="s">
        <v>13027</v>
      </c>
      <c r="N4184" t="s">
        <v>2475</v>
      </c>
      <c r="O4184" t="s">
        <v>28</v>
      </c>
      <c r="P4184" t="s">
        <v>29</v>
      </c>
      <c r="Q4184">
        <v>41</v>
      </c>
      <c r="R4184">
        <v>-74.172399999999996</v>
      </c>
    </row>
    <row r="4185" spans="1:18" x14ac:dyDescent="0.2">
      <c r="A4185" t="s">
        <v>675</v>
      </c>
      <c r="B4185" t="s">
        <v>1412</v>
      </c>
      <c r="C4185">
        <v>81</v>
      </c>
      <c r="D4185" s="1">
        <v>44208.155833333331</v>
      </c>
      <c r="E4185" t="s">
        <v>13028</v>
      </c>
      <c r="F4185" t="s">
        <v>678</v>
      </c>
      <c r="G4185" t="s">
        <v>13025</v>
      </c>
      <c r="H4185" t="s">
        <v>680</v>
      </c>
      <c r="I4185" t="s">
        <v>53</v>
      </c>
      <c r="J4185">
        <v>81</v>
      </c>
      <c r="K4185">
        <f>81-50-5806-373</f>
        <v>-6148</v>
      </c>
      <c r="L4185" t="s">
        <v>13029</v>
      </c>
      <c r="M4185" t="s">
        <v>13030</v>
      </c>
      <c r="N4185" t="s">
        <v>2475</v>
      </c>
      <c r="O4185" t="s">
        <v>28</v>
      </c>
      <c r="P4185" t="s">
        <v>29</v>
      </c>
      <c r="Q4185">
        <v>41</v>
      </c>
      <c r="R4185">
        <v>-74.172399999999996</v>
      </c>
    </row>
    <row r="4186" spans="1:18" x14ac:dyDescent="0.2">
      <c r="A4186" t="s">
        <v>675</v>
      </c>
      <c r="B4186" t="s">
        <v>1412</v>
      </c>
      <c r="C4186">
        <v>81</v>
      </c>
      <c r="D4186" s="1">
        <v>44161.05972222222</v>
      </c>
      <c r="E4186" t="s">
        <v>13031</v>
      </c>
      <c r="F4186" t="s">
        <v>678</v>
      </c>
      <c r="G4186" t="s">
        <v>13025</v>
      </c>
      <c r="H4186" t="s">
        <v>680</v>
      </c>
      <c r="I4186" t="s">
        <v>53</v>
      </c>
      <c r="J4186">
        <v>81</v>
      </c>
      <c r="K4186">
        <f>81-50-5539-7732</f>
        <v>-13240</v>
      </c>
      <c r="L4186" t="s">
        <v>13032</v>
      </c>
      <c r="M4186" t="s">
        <v>13033</v>
      </c>
      <c r="N4186" t="s">
        <v>2475</v>
      </c>
      <c r="O4186" t="s">
        <v>28</v>
      </c>
      <c r="P4186" t="s">
        <v>29</v>
      </c>
      <c r="Q4186">
        <v>41</v>
      </c>
      <c r="R4186">
        <v>-74.172399999999996</v>
      </c>
    </row>
    <row r="4187" spans="1:18" x14ac:dyDescent="0.2">
      <c r="A4187" t="s">
        <v>675</v>
      </c>
      <c r="B4187" t="s">
        <v>1412</v>
      </c>
      <c r="C4187">
        <v>1</v>
      </c>
      <c r="D4187" s="1">
        <v>44041.809444444443</v>
      </c>
      <c r="E4187" t="s">
        <v>13034</v>
      </c>
      <c r="F4187" t="s">
        <v>678</v>
      </c>
      <c r="G4187" t="s">
        <v>13025</v>
      </c>
      <c r="H4187" t="s">
        <v>680</v>
      </c>
      <c r="I4187" t="s">
        <v>29</v>
      </c>
      <c r="J4187">
        <v>1</v>
      </c>
      <c r="K4187">
        <f>1-888-401-3302</f>
        <v>-4590</v>
      </c>
      <c r="L4187" t="s">
        <v>13035</v>
      </c>
      <c r="M4187" t="s">
        <v>13036</v>
      </c>
      <c r="N4187" t="s">
        <v>2475</v>
      </c>
      <c r="O4187" t="s">
        <v>28</v>
      </c>
      <c r="P4187" t="s">
        <v>29</v>
      </c>
      <c r="Q4187">
        <v>41</v>
      </c>
      <c r="R4187">
        <v>-74.172399999999996</v>
      </c>
    </row>
    <row r="4188" spans="1:18" x14ac:dyDescent="0.2">
      <c r="A4188" t="s">
        <v>2349</v>
      </c>
      <c r="B4188" t="s">
        <v>6310</v>
      </c>
      <c r="C4188">
        <v>1</v>
      </c>
      <c r="D4188" s="1">
        <v>44042.729594907411</v>
      </c>
      <c r="E4188" t="s">
        <v>13037</v>
      </c>
      <c r="F4188" t="s">
        <v>2352</v>
      </c>
      <c r="G4188" t="s">
        <v>13038</v>
      </c>
      <c r="H4188" t="s">
        <v>2353</v>
      </c>
      <c r="I4188" t="s">
        <v>29</v>
      </c>
      <c r="J4188">
        <v>1</v>
      </c>
      <c r="K4188">
        <f>1-1010101010</f>
        <v>-1010101009</v>
      </c>
      <c r="L4188" t="s">
        <v>13039</v>
      </c>
      <c r="M4188" t="s">
        <v>13040</v>
      </c>
      <c r="N4188" t="s">
        <v>452</v>
      </c>
      <c r="O4188" t="s">
        <v>28</v>
      </c>
      <c r="P4188" t="s">
        <v>29</v>
      </c>
      <c r="Q4188">
        <v>34</v>
      </c>
      <c r="R4188">
        <v>-84.445499999999996</v>
      </c>
    </row>
    <row r="4189" spans="1:18" x14ac:dyDescent="0.2">
      <c r="A4189" t="s">
        <v>2349</v>
      </c>
      <c r="B4189" t="s">
        <v>6310</v>
      </c>
      <c r="C4189">
        <v>1</v>
      </c>
      <c r="D4189" s="1">
        <v>44041.889189814814</v>
      </c>
      <c r="E4189" t="s">
        <v>13041</v>
      </c>
      <c r="F4189" t="s">
        <v>2352</v>
      </c>
      <c r="G4189" t="s">
        <v>13038</v>
      </c>
      <c r="H4189" t="s">
        <v>2353</v>
      </c>
      <c r="I4189" t="s">
        <v>29</v>
      </c>
      <c r="J4189">
        <v>1</v>
      </c>
      <c r="K4189">
        <f>1-1010101010</f>
        <v>-1010101009</v>
      </c>
      <c r="L4189" t="s">
        <v>13042</v>
      </c>
      <c r="M4189" t="s">
        <v>13043</v>
      </c>
      <c r="N4189" t="s">
        <v>452</v>
      </c>
      <c r="O4189" t="s">
        <v>28</v>
      </c>
      <c r="P4189" t="s">
        <v>29</v>
      </c>
      <c r="Q4189">
        <v>34</v>
      </c>
      <c r="R4189">
        <v>-84.445499999999996</v>
      </c>
    </row>
    <row r="4190" spans="1:18" x14ac:dyDescent="0.2">
      <c r="A4190" t="s">
        <v>663</v>
      </c>
      <c r="B4190" t="s">
        <v>3385</v>
      </c>
      <c r="C4190">
        <v>61</v>
      </c>
      <c r="D4190" s="1">
        <v>44042.045775462961</v>
      </c>
      <c r="E4190" t="s">
        <v>13044</v>
      </c>
      <c r="F4190" t="s">
        <v>666</v>
      </c>
      <c r="G4190" t="s">
        <v>13045</v>
      </c>
      <c r="H4190" t="s">
        <v>667</v>
      </c>
      <c r="I4190" t="s">
        <v>782</v>
      </c>
      <c r="J4190">
        <v>61</v>
      </c>
      <c r="K4190">
        <f>61-1800-572-283</f>
        <v>-2594</v>
      </c>
      <c r="L4190" t="s">
        <v>13046</v>
      </c>
      <c r="M4190" t="s">
        <v>13047</v>
      </c>
      <c r="N4190" t="s">
        <v>1645</v>
      </c>
      <c r="O4190" t="s">
        <v>28</v>
      </c>
      <c r="P4190" t="s">
        <v>29</v>
      </c>
      <c r="Q4190">
        <v>41</v>
      </c>
      <c r="R4190">
        <v>-73.996600000000001</v>
      </c>
    </row>
    <row r="4191" spans="1:18" x14ac:dyDescent="0.2">
      <c r="A4191" t="s">
        <v>270</v>
      </c>
      <c r="B4191" t="s">
        <v>271</v>
      </c>
      <c r="C4191">
        <v>1</v>
      </c>
      <c r="D4191" s="1">
        <v>44042.399618055555</v>
      </c>
      <c r="E4191" t="s">
        <v>13048</v>
      </c>
      <c r="F4191" t="s">
        <v>273</v>
      </c>
      <c r="G4191" t="s">
        <v>13049</v>
      </c>
      <c r="H4191" t="s">
        <v>275</v>
      </c>
      <c r="I4191" t="s">
        <v>29</v>
      </c>
      <c r="J4191">
        <v>1</v>
      </c>
      <c r="K4191">
        <f>1-888-381-8225</f>
        <v>-9493</v>
      </c>
      <c r="L4191" t="s">
        <v>13050</v>
      </c>
      <c r="M4191" t="s">
        <v>13051</v>
      </c>
      <c r="N4191" t="s">
        <v>278</v>
      </c>
      <c r="O4191" t="s">
        <v>134</v>
      </c>
      <c r="P4191" t="s">
        <v>29</v>
      </c>
      <c r="Q4191">
        <v>42</v>
      </c>
      <c r="R4191">
        <v>-93.620800000000003</v>
      </c>
    </row>
    <row r="4192" spans="1:18" x14ac:dyDescent="0.2">
      <c r="A4192" t="s">
        <v>270</v>
      </c>
      <c r="B4192" t="s">
        <v>271</v>
      </c>
      <c r="C4192">
        <v>1</v>
      </c>
      <c r="D4192" s="1">
        <v>44042.399212962962</v>
      </c>
      <c r="E4192" t="s">
        <v>13052</v>
      </c>
      <c r="F4192" t="s">
        <v>273</v>
      </c>
      <c r="G4192" t="s">
        <v>13049</v>
      </c>
      <c r="H4192" t="s">
        <v>275</v>
      </c>
      <c r="I4192" t="s">
        <v>29</v>
      </c>
      <c r="J4192">
        <v>1</v>
      </c>
      <c r="K4192">
        <f>1-888-381-8225</f>
        <v>-9493</v>
      </c>
      <c r="L4192" t="s">
        <v>13053</v>
      </c>
      <c r="M4192" t="s">
        <v>13054</v>
      </c>
      <c r="N4192" t="s">
        <v>278</v>
      </c>
      <c r="O4192" t="s">
        <v>134</v>
      </c>
      <c r="P4192" t="s">
        <v>29</v>
      </c>
      <c r="Q4192">
        <v>42</v>
      </c>
      <c r="R4192">
        <v>-93.620800000000003</v>
      </c>
    </row>
    <row r="4193" spans="1:18" x14ac:dyDescent="0.2">
      <c r="A4193" t="s">
        <v>663</v>
      </c>
      <c r="B4193" t="s">
        <v>664</v>
      </c>
      <c r="C4193">
        <v>1</v>
      </c>
      <c r="D4193" s="1">
        <v>44328.900335648148</v>
      </c>
      <c r="E4193" t="s">
        <v>13055</v>
      </c>
      <c r="F4193" t="s">
        <v>666</v>
      </c>
      <c r="G4193" t="s">
        <v>13055</v>
      </c>
      <c r="H4193" t="s">
        <v>667</v>
      </c>
      <c r="I4193" t="s">
        <v>29</v>
      </c>
      <c r="J4193">
        <v>1</v>
      </c>
      <c r="K4193">
        <f>1-815-450-9907</f>
        <v>-11171</v>
      </c>
      <c r="L4193" t="s">
        <v>13056</v>
      </c>
      <c r="M4193" t="s">
        <v>13057</v>
      </c>
      <c r="N4193">
        <v>41</v>
      </c>
      <c r="O4193" t="s">
        <v>134</v>
      </c>
      <c r="P4193" t="s">
        <v>29</v>
      </c>
      <c r="Q4193">
        <v>37</v>
      </c>
      <c r="R4193">
        <v>-99.999999000000003</v>
      </c>
    </row>
    <row r="4194" spans="1:18" x14ac:dyDescent="0.2">
      <c r="A4194" t="s">
        <v>663</v>
      </c>
      <c r="B4194" t="s">
        <v>5337</v>
      </c>
      <c r="C4194">
        <v>44</v>
      </c>
      <c r="D4194" s="1">
        <v>44042.487824074073</v>
      </c>
      <c r="E4194" t="s">
        <v>13058</v>
      </c>
      <c r="F4194" t="s">
        <v>666</v>
      </c>
      <c r="G4194" t="s">
        <v>13055</v>
      </c>
      <c r="H4194" t="s">
        <v>667</v>
      </c>
      <c r="I4194" t="s">
        <v>618</v>
      </c>
      <c r="J4194">
        <v>44</v>
      </c>
      <c r="K4194">
        <f>44-800-31-4241</f>
        <v>-5028</v>
      </c>
      <c r="L4194" t="s">
        <v>13059</v>
      </c>
      <c r="M4194" t="s">
        <v>13060</v>
      </c>
      <c r="N4194" t="s">
        <v>1645</v>
      </c>
      <c r="O4194" t="s">
        <v>28</v>
      </c>
      <c r="P4194" t="s">
        <v>29</v>
      </c>
      <c r="Q4194">
        <v>38</v>
      </c>
      <c r="R4194">
        <v>-99.999999000000003</v>
      </c>
    </row>
    <row r="4195" spans="1:18" x14ac:dyDescent="0.2">
      <c r="A4195" t="s">
        <v>663</v>
      </c>
      <c r="B4195" t="s">
        <v>454</v>
      </c>
      <c r="C4195">
        <v>43</v>
      </c>
      <c r="D4195" s="1">
        <v>44042.50744212963</v>
      </c>
      <c r="E4195" t="s">
        <v>13061</v>
      </c>
      <c r="F4195" t="s">
        <v>666</v>
      </c>
      <c r="G4195" t="s">
        <v>13062</v>
      </c>
      <c r="H4195" t="s">
        <v>667</v>
      </c>
      <c r="I4195" t="s">
        <v>3432</v>
      </c>
      <c r="J4195">
        <v>43</v>
      </c>
      <c r="K4195">
        <f>43-670-308-150</f>
        <v>-1085</v>
      </c>
      <c r="L4195" t="s">
        <v>13063</v>
      </c>
      <c r="M4195" t="s">
        <v>13064</v>
      </c>
      <c r="N4195" t="s">
        <v>3454</v>
      </c>
      <c r="O4195" t="s">
        <v>28</v>
      </c>
      <c r="P4195" t="s">
        <v>461</v>
      </c>
      <c r="Q4195">
        <v>52</v>
      </c>
      <c r="R4195">
        <v>4.9391999999999996</v>
      </c>
    </row>
    <row r="4196" spans="1:18" x14ac:dyDescent="0.2">
      <c r="A4196" t="s">
        <v>663</v>
      </c>
      <c r="B4196" t="s">
        <v>3385</v>
      </c>
      <c r="C4196">
        <v>44</v>
      </c>
      <c r="D4196" s="1">
        <v>44042.653217592589</v>
      </c>
      <c r="E4196" t="s">
        <v>13065</v>
      </c>
      <c r="F4196" t="s">
        <v>666</v>
      </c>
      <c r="G4196" t="s">
        <v>13066</v>
      </c>
      <c r="H4196" t="s">
        <v>667</v>
      </c>
      <c r="I4196" t="s">
        <v>618</v>
      </c>
      <c r="J4196">
        <v>44</v>
      </c>
      <c r="K4196">
        <f>44-800-51-3726</f>
        <v>-4533</v>
      </c>
      <c r="L4196" t="s">
        <v>13067</v>
      </c>
      <c r="M4196" t="s">
        <v>13068</v>
      </c>
      <c r="N4196" t="s">
        <v>1645</v>
      </c>
      <c r="O4196" t="s">
        <v>28</v>
      </c>
      <c r="P4196" t="s">
        <v>29</v>
      </c>
      <c r="Q4196">
        <v>41</v>
      </c>
      <c r="R4196">
        <v>-73.996600000000001</v>
      </c>
    </row>
    <row r="4197" spans="1:18" x14ac:dyDescent="0.2">
      <c r="A4197" t="s">
        <v>439</v>
      </c>
      <c r="B4197" t="s">
        <v>440</v>
      </c>
      <c r="C4197">
        <v>33</v>
      </c>
      <c r="D4197" s="1">
        <v>44042.734143518515</v>
      </c>
      <c r="E4197" t="s">
        <v>13069</v>
      </c>
      <c r="F4197" t="s">
        <v>442</v>
      </c>
      <c r="G4197" t="s">
        <v>13070</v>
      </c>
      <c r="H4197" t="s">
        <v>444</v>
      </c>
      <c r="I4197" t="s">
        <v>292</v>
      </c>
      <c r="J4197">
        <v>33</v>
      </c>
      <c r="K4197">
        <f>33-1-851-49-603</f>
        <v>-1471</v>
      </c>
      <c r="L4197" t="s">
        <v>13071</v>
      </c>
      <c r="M4197" t="s">
        <v>13072</v>
      </c>
      <c r="N4197" t="s">
        <v>452</v>
      </c>
      <c r="O4197" t="s">
        <v>28</v>
      </c>
      <c r="P4197" t="s">
        <v>29</v>
      </c>
      <c r="Q4197">
        <v>39</v>
      </c>
      <c r="R4197">
        <v>-77.487399999999994</v>
      </c>
    </row>
    <row r="4198" spans="1:18" x14ac:dyDescent="0.2">
      <c r="A4198" t="s">
        <v>2233</v>
      </c>
      <c r="B4198" t="s">
        <v>440</v>
      </c>
      <c r="C4198">
        <v>1</v>
      </c>
      <c r="D4198" s="1">
        <v>44042.787708333337</v>
      </c>
      <c r="E4198" t="s">
        <v>13073</v>
      </c>
      <c r="F4198" t="s">
        <v>2236</v>
      </c>
      <c r="G4198" t="s">
        <v>13074</v>
      </c>
      <c r="H4198" t="s">
        <v>2237</v>
      </c>
      <c r="I4198" t="s">
        <v>29</v>
      </c>
      <c r="J4198">
        <v>1</v>
      </c>
      <c r="K4198">
        <f>1-855-945-3168</f>
        <v>-4967</v>
      </c>
      <c r="L4198" t="s">
        <v>13075</v>
      </c>
      <c r="M4198" t="s">
        <v>13076</v>
      </c>
      <c r="N4198" t="s">
        <v>10697</v>
      </c>
      <c r="O4198" t="s">
        <v>28</v>
      </c>
      <c r="P4198" t="s">
        <v>29</v>
      </c>
      <c r="Q4198">
        <v>39</v>
      </c>
      <c r="R4198">
        <v>-77.487399999999994</v>
      </c>
    </row>
    <row r="4199" spans="1:18" x14ac:dyDescent="0.2">
      <c r="A4199" t="s">
        <v>663</v>
      </c>
      <c r="B4199" t="s">
        <v>3245</v>
      </c>
      <c r="C4199">
        <v>1</v>
      </c>
      <c r="D4199" s="1">
        <v>44047.884513888886</v>
      </c>
      <c r="E4199" t="s">
        <v>13077</v>
      </c>
      <c r="F4199" t="s">
        <v>666</v>
      </c>
      <c r="G4199" t="s">
        <v>13078</v>
      </c>
      <c r="H4199" t="s">
        <v>667</v>
      </c>
      <c r="I4199" t="s">
        <v>29</v>
      </c>
      <c r="J4199">
        <v>1</v>
      </c>
      <c r="K4199">
        <f>1-855-907-2525</f>
        <v>-4286</v>
      </c>
      <c r="L4199" t="s">
        <v>13079</v>
      </c>
      <c r="M4199" t="s">
        <v>13080</v>
      </c>
      <c r="N4199" t="s">
        <v>674</v>
      </c>
      <c r="O4199" t="s">
        <v>28</v>
      </c>
      <c r="P4199" t="s">
        <v>29</v>
      </c>
      <c r="Q4199">
        <v>41</v>
      </c>
      <c r="R4199">
        <v>-74.140299999999996</v>
      </c>
    </row>
    <row r="4200" spans="1:18" x14ac:dyDescent="0.2">
      <c r="A4200" t="s">
        <v>663</v>
      </c>
      <c r="B4200" t="s">
        <v>3245</v>
      </c>
      <c r="C4200">
        <v>1</v>
      </c>
      <c r="D4200" s="1">
        <v>44042.802557870367</v>
      </c>
      <c r="E4200" t="s">
        <v>13081</v>
      </c>
      <c r="F4200" t="s">
        <v>666</v>
      </c>
      <c r="G4200" t="s">
        <v>13078</v>
      </c>
      <c r="H4200" t="s">
        <v>667</v>
      </c>
      <c r="I4200" t="s">
        <v>29</v>
      </c>
      <c r="J4200">
        <v>1</v>
      </c>
      <c r="K4200">
        <f t="shared" ref="K4200:K4209" si="25">1-855-619-255</f>
        <v>-1728</v>
      </c>
      <c r="L4200" t="s">
        <v>13082</v>
      </c>
      <c r="M4200" t="s">
        <v>13083</v>
      </c>
      <c r="N4200" t="s">
        <v>674</v>
      </c>
      <c r="O4200" t="s">
        <v>28</v>
      </c>
      <c r="P4200" t="s">
        <v>29</v>
      </c>
      <c r="Q4200">
        <v>41</v>
      </c>
      <c r="R4200">
        <v>-74.140299999999996</v>
      </c>
    </row>
    <row r="4201" spans="1:18" x14ac:dyDescent="0.2">
      <c r="A4201" t="s">
        <v>663</v>
      </c>
      <c r="B4201" t="s">
        <v>3245</v>
      </c>
      <c r="C4201">
        <v>1</v>
      </c>
      <c r="D4201" s="1">
        <v>44042.802349537036</v>
      </c>
      <c r="E4201" t="s">
        <v>13084</v>
      </c>
      <c r="F4201" t="s">
        <v>666</v>
      </c>
      <c r="G4201" t="s">
        <v>13078</v>
      </c>
      <c r="H4201" t="s">
        <v>667</v>
      </c>
      <c r="I4201" t="s">
        <v>29</v>
      </c>
      <c r="J4201">
        <v>1</v>
      </c>
      <c r="K4201">
        <f t="shared" si="25"/>
        <v>-1728</v>
      </c>
      <c r="L4201" t="s">
        <v>13085</v>
      </c>
      <c r="M4201" t="s">
        <v>13086</v>
      </c>
      <c r="N4201" t="s">
        <v>447</v>
      </c>
      <c r="O4201" t="s">
        <v>28</v>
      </c>
      <c r="P4201" t="s">
        <v>29</v>
      </c>
      <c r="Q4201">
        <v>41</v>
      </c>
      <c r="R4201">
        <v>-74.140299999999996</v>
      </c>
    </row>
    <row r="4202" spans="1:18" x14ac:dyDescent="0.2">
      <c r="A4202" t="s">
        <v>663</v>
      </c>
      <c r="B4202" t="s">
        <v>3245</v>
      </c>
      <c r="C4202">
        <v>1</v>
      </c>
      <c r="D4202" s="1">
        <v>44042.802152777775</v>
      </c>
      <c r="E4202" t="s">
        <v>13087</v>
      </c>
      <c r="F4202" t="s">
        <v>666</v>
      </c>
      <c r="G4202" t="s">
        <v>13078</v>
      </c>
      <c r="H4202" t="s">
        <v>667</v>
      </c>
      <c r="I4202" t="s">
        <v>29</v>
      </c>
      <c r="J4202">
        <v>1</v>
      </c>
      <c r="K4202">
        <f t="shared" si="25"/>
        <v>-1728</v>
      </c>
      <c r="L4202" t="s">
        <v>13088</v>
      </c>
      <c r="M4202" t="s">
        <v>13089</v>
      </c>
      <c r="N4202" t="s">
        <v>447</v>
      </c>
      <c r="O4202" t="s">
        <v>28</v>
      </c>
      <c r="P4202" t="s">
        <v>29</v>
      </c>
      <c r="Q4202">
        <v>41</v>
      </c>
      <c r="R4202">
        <v>-74.140299999999996</v>
      </c>
    </row>
    <row r="4203" spans="1:18" x14ac:dyDescent="0.2">
      <c r="A4203" t="s">
        <v>663</v>
      </c>
      <c r="B4203" t="s">
        <v>3245</v>
      </c>
      <c r="C4203">
        <v>1</v>
      </c>
      <c r="D4203" s="1">
        <v>44042.801944444444</v>
      </c>
      <c r="E4203" t="s">
        <v>13090</v>
      </c>
      <c r="F4203" t="s">
        <v>666</v>
      </c>
      <c r="G4203" t="s">
        <v>13078</v>
      </c>
      <c r="H4203" t="s">
        <v>667</v>
      </c>
      <c r="I4203" t="s">
        <v>29</v>
      </c>
      <c r="J4203">
        <v>1</v>
      </c>
      <c r="K4203">
        <f t="shared" si="25"/>
        <v>-1728</v>
      </c>
      <c r="L4203" t="s">
        <v>13091</v>
      </c>
      <c r="M4203" t="s">
        <v>13092</v>
      </c>
      <c r="N4203" t="s">
        <v>213</v>
      </c>
      <c r="O4203" t="s">
        <v>28</v>
      </c>
      <c r="P4203" t="s">
        <v>29</v>
      </c>
      <c r="Q4203">
        <v>41</v>
      </c>
      <c r="R4203">
        <v>-74.140299999999996</v>
      </c>
    </row>
    <row r="4204" spans="1:18" x14ac:dyDescent="0.2">
      <c r="A4204" t="s">
        <v>663</v>
      </c>
      <c r="B4204" t="s">
        <v>3245</v>
      </c>
      <c r="C4204">
        <v>1</v>
      </c>
      <c r="D4204" s="1">
        <v>44042.80159722222</v>
      </c>
      <c r="E4204" t="s">
        <v>13093</v>
      </c>
      <c r="F4204" t="s">
        <v>666</v>
      </c>
      <c r="G4204" t="s">
        <v>13078</v>
      </c>
      <c r="H4204" t="s">
        <v>667</v>
      </c>
      <c r="I4204" t="s">
        <v>29</v>
      </c>
      <c r="J4204">
        <v>1</v>
      </c>
      <c r="K4204">
        <f t="shared" si="25"/>
        <v>-1728</v>
      </c>
      <c r="L4204" t="s">
        <v>13094</v>
      </c>
      <c r="M4204" t="s">
        <v>13095</v>
      </c>
      <c r="N4204" t="s">
        <v>674</v>
      </c>
      <c r="O4204" t="s">
        <v>28</v>
      </c>
      <c r="P4204" t="s">
        <v>29</v>
      </c>
      <c r="Q4204">
        <v>41</v>
      </c>
      <c r="R4204">
        <v>-74.140299999999996</v>
      </c>
    </row>
    <row r="4205" spans="1:18" x14ac:dyDescent="0.2">
      <c r="A4205" t="s">
        <v>663</v>
      </c>
      <c r="B4205" t="s">
        <v>3245</v>
      </c>
      <c r="C4205">
        <v>1</v>
      </c>
      <c r="D4205" s="1">
        <v>44042.801493055558</v>
      </c>
      <c r="E4205" t="s">
        <v>13096</v>
      </c>
      <c r="F4205" t="s">
        <v>666</v>
      </c>
      <c r="G4205" t="s">
        <v>13078</v>
      </c>
      <c r="H4205" t="s">
        <v>667</v>
      </c>
      <c r="I4205" t="s">
        <v>29</v>
      </c>
      <c r="J4205">
        <v>1</v>
      </c>
      <c r="K4205">
        <f t="shared" si="25"/>
        <v>-1728</v>
      </c>
      <c r="L4205" t="s">
        <v>13097</v>
      </c>
      <c r="M4205" t="s">
        <v>13098</v>
      </c>
      <c r="N4205" t="s">
        <v>3441</v>
      </c>
      <c r="O4205" t="s">
        <v>28</v>
      </c>
      <c r="P4205" t="s">
        <v>29</v>
      </c>
      <c r="Q4205">
        <v>41</v>
      </c>
      <c r="R4205">
        <v>-74.140299999999996</v>
      </c>
    </row>
    <row r="4206" spans="1:18" x14ac:dyDescent="0.2">
      <c r="A4206" t="s">
        <v>663</v>
      </c>
      <c r="B4206" t="s">
        <v>3245</v>
      </c>
      <c r="C4206">
        <v>1</v>
      </c>
      <c r="D4206" s="1">
        <v>44042.801307870373</v>
      </c>
      <c r="E4206" t="s">
        <v>13099</v>
      </c>
      <c r="F4206" t="s">
        <v>666</v>
      </c>
      <c r="G4206" t="s">
        <v>13078</v>
      </c>
      <c r="H4206" t="s">
        <v>667</v>
      </c>
      <c r="I4206" t="s">
        <v>29</v>
      </c>
      <c r="J4206">
        <v>1</v>
      </c>
      <c r="K4206">
        <f t="shared" si="25"/>
        <v>-1728</v>
      </c>
      <c r="L4206" t="s">
        <v>13100</v>
      </c>
      <c r="M4206" t="s">
        <v>13101</v>
      </c>
      <c r="N4206" t="s">
        <v>447</v>
      </c>
      <c r="O4206" t="s">
        <v>28</v>
      </c>
      <c r="P4206" t="s">
        <v>29</v>
      </c>
      <c r="Q4206">
        <v>41</v>
      </c>
      <c r="R4206">
        <v>-74.140299999999996</v>
      </c>
    </row>
    <row r="4207" spans="1:18" x14ac:dyDescent="0.2">
      <c r="A4207" t="s">
        <v>663</v>
      </c>
      <c r="B4207" t="s">
        <v>3245</v>
      </c>
      <c r="C4207">
        <v>1</v>
      </c>
      <c r="D4207" s="1">
        <v>44042.800995370373</v>
      </c>
      <c r="E4207" t="s">
        <v>13102</v>
      </c>
      <c r="F4207" t="s">
        <v>666</v>
      </c>
      <c r="G4207" t="s">
        <v>13078</v>
      </c>
      <c r="H4207" t="s">
        <v>667</v>
      </c>
      <c r="I4207" t="s">
        <v>29</v>
      </c>
      <c r="J4207">
        <v>1</v>
      </c>
      <c r="K4207">
        <f t="shared" si="25"/>
        <v>-1728</v>
      </c>
      <c r="L4207" t="s">
        <v>13103</v>
      </c>
      <c r="M4207" t="s">
        <v>13104</v>
      </c>
      <c r="N4207" t="s">
        <v>213</v>
      </c>
      <c r="O4207" t="s">
        <v>28</v>
      </c>
      <c r="P4207" t="s">
        <v>29</v>
      </c>
      <c r="Q4207">
        <v>41</v>
      </c>
      <c r="R4207">
        <v>-74.140299999999996</v>
      </c>
    </row>
    <row r="4208" spans="1:18" x14ac:dyDescent="0.2">
      <c r="A4208" t="s">
        <v>663</v>
      </c>
      <c r="B4208" t="s">
        <v>3245</v>
      </c>
      <c r="C4208">
        <v>1</v>
      </c>
      <c r="D4208" s="1">
        <v>44042.800625000003</v>
      </c>
      <c r="E4208" t="s">
        <v>13105</v>
      </c>
      <c r="F4208" t="s">
        <v>666</v>
      </c>
      <c r="G4208" t="s">
        <v>13078</v>
      </c>
      <c r="H4208" t="s">
        <v>667</v>
      </c>
      <c r="I4208" t="s">
        <v>29</v>
      </c>
      <c r="J4208">
        <v>1</v>
      </c>
      <c r="K4208">
        <f t="shared" si="25"/>
        <v>-1728</v>
      </c>
      <c r="L4208" t="s">
        <v>13106</v>
      </c>
      <c r="M4208" t="s">
        <v>13107</v>
      </c>
      <c r="N4208" t="s">
        <v>674</v>
      </c>
      <c r="O4208" t="s">
        <v>28</v>
      </c>
      <c r="P4208" t="s">
        <v>29</v>
      </c>
      <c r="Q4208">
        <v>41</v>
      </c>
      <c r="R4208">
        <v>-74.140299999999996</v>
      </c>
    </row>
    <row r="4209" spans="1:18" x14ac:dyDescent="0.2">
      <c r="A4209" t="s">
        <v>663</v>
      </c>
      <c r="B4209" t="s">
        <v>3245</v>
      </c>
      <c r="C4209">
        <v>1</v>
      </c>
      <c r="D4209" s="1">
        <v>44042.788449074076</v>
      </c>
      <c r="E4209" t="s">
        <v>13108</v>
      </c>
      <c r="F4209" t="s">
        <v>666</v>
      </c>
      <c r="G4209" t="s">
        <v>13078</v>
      </c>
      <c r="H4209" t="s">
        <v>667</v>
      </c>
      <c r="I4209" t="s">
        <v>29</v>
      </c>
      <c r="J4209">
        <v>1</v>
      </c>
      <c r="K4209">
        <f t="shared" si="25"/>
        <v>-1728</v>
      </c>
      <c r="L4209" t="s">
        <v>13109</v>
      </c>
      <c r="M4209" t="s">
        <v>13110</v>
      </c>
      <c r="N4209" t="s">
        <v>213</v>
      </c>
      <c r="O4209" t="s">
        <v>28</v>
      </c>
      <c r="P4209" t="s">
        <v>29</v>
      </c>
      <c r="Q4209">
        <v>41</v>
      </c>
      <c r="R4209">
        <v>-74.140299999999996</v>
      </c>
    </row>
    <row r="4210" spans="1:18" x14ac:dyDescent="0.2">
      <c r="A4210" t="s">
        <v>663</v>
      </c>
      <c r="B4210" t="s">
        <v>3245</v>
      </c>
      <c r="C4210">
        <v>43</v>
      </c>
      <c r="D4210" s="1">
        <v>44042.803252314814</v>
      </c>
      <c r="E4210" t="s">
        <v>13111</v>
      </c>
      <c r="F4210" t="s">
        <v>666</v>
      </c>
      <c r="G4210" t="s">
        <v>13112</v>
      </c>
      <c r="H4210" t="s">
        <v>667</v>
      </c>
      <c r="I4210" t="s">
        <v>3432</v>
      </c>
      <c r="J4210">
        <v>43</v>
      </c>
      <c r="K4210">
        <f>43-670-308-150</f>
        <v>-1085</v>
      </c>
      <c r="L4210" t="s">
        <v>13113</v>
      </c>
      <c r="M4210" t="s">
        <v>13114</v>
      </c>
      <c r="N4210" t="s">
        <v>447</v>
      </c>
      <c r="O4210" t="s">
        <v>28</v>
      </c>
      <c r="P4210" t="s">
        <v>29</v>
      </c>
      <c r="Q4210">
        <v>41</v>
      </c>
      <c r="R4210">
        <v>-74.140299999999996</v>
      </c>
    </row>
    <row r="4211" spans="1:18" x14ac:dyDescent="0.2">
      <c r="A4211" t="s">
        <v>439</v>
      </c>
      <c r="B4211" t="s">
        <v>3094</v>
      </c>
      <c r="C4211">
        <v>1</v>
      </c>
      <c r="D4211" s="1">
        <v>44042.80332175926</v>
      </c>
      <c r="E4211" t="s">
        <v>13115</v>
      </c>
      <c r="F4211" t="s">
        <v>442</v>
      </c>
      <c r="G4211" t="s">
        <v>13116</v>
      </c>
      <c r="H4211" t="s">
        <v>444</v>
      </c>
      <c r="I4211" t="s">
        <v>29</v>
      </c>
      <c r="J4211">
        <v>1</v>
      </c>
      <c r="K4211">
        <f>1-47-800-62-665</f>
        <v>-1573</v>
      </c>
      <c r="L4211" t="s">
        <v>13117</v>
      </c>
      <c r="M4211" t="s">
        <v>13118</v>
      </c>
      <c r="N4211" t="s">
        <v>674</v>
      </c>
      <c r="O4211" t="s">
        <v>28</v>
      </c>
      <c r="P4211" t="s">
        <v>2268</v>
      </c>
      <c r="Q4211">
        <v>46</v>
      </c>
      <c r="R4211">
        <v>-73.567300000000003</v>
      </c>
    </row>
    <row r="4212" spans="1:18" x14ac:dyDescent="0.2">
      <c r="A4212" t="s">
        <v>439</v>
      </c>
      <c r="B4212" t="s">
        <v>3094</v>
      </c>
      <c r="C4212">
        <v>1</v>
      </c>
      <c r="D4212" s="1">
        <v>44051.551932870374</v>
      </c>
      <c r="E4212" t="s">
        <v>13119</v>
      </c>
      <c r="F4212" t="s">
        <v>442</v>
      </c>
      <c r="G4212" t="s">
        <v>13120</v>
      </c>
      <c r="H4212" t="s">
        <v>444</v>
      </c>
      <c r="I4212" t="s">
        <v>29</v>
      </c>
      <c r="J4212">
        <v>1</v>
      </c>
      <c r="K4212">
        <f>1-833-408-74</f>
        <v>-1314</v>
      </c>
      <c r="L4212" t="s">
        <v>13121</v>
      </c>
      <c r="M4212" t="s">
        <v>13122</v>
      </c>
      <c r="N4212" t="s">
        <v>447</v>
      </c>
      <c r="O4212" t="s">
        <v>28</v>
      </c>
      <c r="P4212" t="s">
        <v>2268</v>
      </c>
      <c r="Q4212">
        <v>46</v>
      </c>
      <c r="R4212">
        <v>-73.567300000000003</v>
      </c>
    </row>
    <row r="4213" spans="1:18" x14ac:dyDescent="0.2">
      <c r="A4213" t="s">
        <v>439</v>
      </c>
      <c r="B4213" t="s">
        <v>1412</v>
      </c>
      <c r="C4213">
        <v>1</v>
      </c>
      <c r="D4213" s="1">
        <v>44042.956030092595</v>
      </c>
      <c r="E4213" t="s">
        <v>13123</v>
      </c>
      <c r="F4213" t="s">
        <v>442</v>
      </c>
      <c r="G4213" t="s">
        <v>13124</v>
      </c>
      <c r="H4213" t="s">
        <v>444</v>
      </c>
      <c r="I4213" t="s">
        <v>29</v>
      </c>
      <c r="J4213">
        <v>1</v>
      </c>
      <c r="K4213">
        <f>1-888-260-7352</f>
        <v>-8499</v>
      </c>
      <c r="L4213" t="s">
        <v>13125</v>
      </c>
      <c r="M4213" t="s">
        <v>13126</v>
      </c>
      <c r="N4213" t="s">
        <v>447</v>
      </c>
      <c r="O4213" t="s">
        <v>28</v>
      </c>
      <c r="P4213" t="s">
        <v>29</v>
      </c>
      <c r="Q4213">
        <v>41</v>
      </c>
      <c r="R4213">
        <v>-74.172399999999996</v>
      </c>
    </row>
    <row r="4214" spans="1:18" x14ac:dyDescent="0.2">
      <c r="A4214" t="s">
        <v>663</v>
      </c>
      <c r="B4214" t="s">
        <v>5337</v>
      </c>
      <c r="C4214">
        <v>43</v>
      </c>
      <c r="D4214" s="1">
        <v>44047.411932870367</v>
      </c>
      <c r="E4214" t="s">
        <v>13127</v>
      </c>
      <c r="F4214" t="s">
        <v>2495</v>
      </c>
      <c r="G4214" t="s">
        <v>13128</v>
      </c>
      <c r="H4214" t="s">
        <v>667</v>
      </c>
      <c r="I4214" t="s">
        <v>3432</v>
      </c>
      <c r="J4214">
        <v>43</v>
      </c>
      <c r="K4214">
        <f>43-670-308-150</f>
        <v>-1085</v>
      </c>
      <c r="L4214" t="s">
        <v>13129</v>
      </c>
      <c r="M4214" t="s">
        <v>13130</v>
      </c>
      <c r="N4214" t="s">
        <v>213</v>
      </c>
      <c r="O4214" t="s">
        <v>28</v>
      </c>
      <c r="P4214" t="s">
        <v>29</v>
      </c>
      <c r="Q4214">
        <v>38</v>
      </c>
      <c r="R4214">
        <v>-99.999999000000003</v>
      </c>
    </row>
    <row r="4215" spans="1:18" x14ac:dyDescent="0.2">
      <c r="A4215" t="s">
        <v>2349</v>
      </c>
      <c r="B4215" t="s">
        <v>2488</v>
      </c>
      <c r="C4215">
        <v>1</v>
      </c>
      <c r="D4215" s="1">
        <v>44045.02138888889</v>
      </c>
      <c r="E4215" t="s">
        <v>13131</v>
      </c>
      <c r="F4215" t="s">
        <v>4584</v>
      </c>
      <c r="G4215" t="s">
        <v>13131</v>
      </c>
      <c r="H4215" t="s">
        <v>2353</v>
      </c>
      <c r="I4215" t="s">
        <v>29</v>
      </c>
      <c r="J4215">
        <v>1</v>
      </c>
      <c r="K4215">
        <f>1-866-717-4549</f>
        <v>-6131</v>
      </c>
      <c r="L4215" t="s">
        <v>13132</v>
      </c>
      <c r="M4215" t="s">
        <v>13133</v>
      </c>
      <c r="N4215">
        <v>156</v>
      </c>
      <c r="O4215" t="s">
        <v>134</v>
      </c>
      <c r="P4215" t="s">
        <v>29</v>
      </c>
      <c r="Q4215">
        <v>41</v>
      </c>
      <c r="R4215">
        <v>-74.460599999999999</v>
      </c>
    </row>
    <row r="4216" spans="1:18" x14ac:dyDescent="0.2">
      <c r="A4216" t="s">
        <v>439</v>
      </c>
      <c r="B4216" t="s">
        <v>3094</v>
      </c>
      <c r="C4216">
        <v>1</v>
      </c>
      <c r="D4216" s="1">
        <v>44048.533993055556</v>
      </c>
      <c r="E4216" t="s">
        <v>13134</v>
      </c>
      <c r="F4216" t="s">
        <v>442</v>
      </c>
      <c r="G4216" t="s">
        <v>13135</v>
      </c>
      <c r="H4216" t="s">
        <v>444</v>
      </c>
      <c r="I4216" t="s">
        <v>29</v>
      </c>
      <c r="J4216">
        <v>1</v>
      </c>
      <c r="K4216">
        <f>1-888-474-4983</f>
        <v>-6344</v>
      </c>
      <c r="L4216" t="s">
        <v>13136</v>
      </c>
      <c r="M4216" t="s">
        <v>13137</v>
      </c>
      <c r="N4216" t="s">
        <v>447</v>
      </c>
      <c r="O4216" t="s">
        <v>28</v>
      </c>
      <c r="P4216" t="s">
        <v>2268</v>
      </c>
      <c r="Q4216">
        <v>46</v>
      </c>
      <c r="R4216">
        <v>-73.567300000000003</v>
      </c>
    </row>
    <row r="4217" spans="1:18" x14ac:dyDescent="0.2">
      <c r="A4217" t="s">
        <v>270</v>
      </c>
      <c r="B4217" t="s">
        <v>271</v>
      </c>
      <c r="C4217">
        <v>1</v>
      </c>
      <c r="D4217" s="1">
        <v>44046.636712962965</v>
      </c>
      <c r="E4217" t="s">
        <v>13138</v>
      </c>
      <c r="F4217" t="s">
        <v>273</v>
      </c>
      <c r="G4217" t="s">
        <v>13139</v>
      </c>
      <c r="H4217" t="s">
        <v>275</v>
      </c>
      <c r="I4217" t="s">
        <v>29</v>
      </c>
      <c r="J4217">
        <v>1</v>
      </c>
      <c r="K4217">
        <f>1-888-307-702</f>
        <v>-1896</v>
      </c>
      <c r="L4217" t="s">
        <v>13140</v>
      </c>
      <c r="M4217" t="s">
        <v>13141</v>
      </c>
      <c r="N4217" t="s">
        <v>278</v>
      </c>
      <c r="O4217" t="s">
        <v>134</v>
      </c>
      <c r="P4217" t="s">
        <v>29</v>
      </c>
      <c r="Q4217">
        <v>42</v>
      </c>
      <c r="R4217">
        <v>-93.620800000000003</v>
      </c>
    </row>
    <row r="4218" spans="1:18" x14ac:dyDescent="0.2">
      <c r="A4218" t="s">
        <v>439</v>
      </c>
      <c r="B4218" t="s">
        <v>3094</v>
      </c>
      <c r="C4218">
        <v>1</v>
      </c>
      <c r="D4218" s="1">
        <v>44043.359143518515</v>
      </c>
      <c r="E4218" t="s">
        <v>13142</v>
      </c>
      <c r="F4218" t="s">
        <v>442</v>
      </c>
      <c r="G4218" t="s">
        <v>13143</v>
      </c>
      <c r="H4218" t="s">
        <v>444</v>
      </c>
      <c r="I4218" t="s">
        <v>29</v>
      </c>
      <c r="J4218">
        <v>1</v>
      </c>
      <c r="K4218">
        <f>1-855-719-930</f>
        <v>-2503</v>
      </c>
      <c r="L4218" t="s">
        <v>13144</v>
      </c>
      <c r="M4218" t="s">
        <v>13145</v>
      </c>
      <c r="N4218" t="s">
        <v>36</v>
      </c>
      <c r="O4218" t="s">
        <v>28</v>
      </c>
      <c r="P4218" t="s">
        <v>2268</v>
      </c>
      <c r="Q4218">
        <v>46</v>
      </c>
      <c r="R4218">
        <v>-73.567300000000003</v>
      </c>
    </row>
    <row r="4219" spans="1:18" x14ac:dyDescent="0.2">
      <c r="A4219" t="s">
        <v>675</v>
      </c>
      <c r="B4219" t="s">
        <v>676</v>
      </c>
      <c r="C4219">
        <v>1</v>
      </c>
      <c r="D4219" s="1">
        <v>44043.360960648148</v>
      </c>
      <c r="E4219" t="s">
        <v>13146</v>
      </c>
      <c r="F4219" t="s">
        <v>3107</v>
      </c>
      <c r="G4219" t="s">
        <v>13147</v>
      </c>
      <c r="H4219" t="s">
        <v>680</v>
      </c>
      <c r="I4219" t="s">
        <v>29</v>
      </c>
      <c r="J4219">
        <v>1</v>
      </c>
      <c r="K4219">
        <f>1-855-626-2563</f>
        <v>-4043</v>
      </c>
      <c r="L4219" t="s">
        <v>13148</v>
      </c>
      <c r="M4219" t="s">
        <v>13149</v>
      </c>
      <c r="N4219" t="s">
        <v>5354</v>
      </c>
      <c r="O4219" t="s">
        <v>28</v>
      </c>
      <c r="P4219" t="s">
        <v>29</v>
      </c>
      <c r="Q4219">
        <v>33</v>
      </c>
      <c r="R4219">
        <v>-99.999999000000003</v>
      </c>
    </row>
    <row r="4220" spans="1:18" x14ac:dyDescent="0.2">
      <c r="A4220" t="s">
        <v>663</v>
      </c>
      <c r="B4220" t="s">
        <v>3385</v>
      </c>
      <c r="C4220">
        <v>44</v>
      </c>
      <c r="D4220" s="1">
        <v>44043.519849537035</v>
      </c>
      <c r="E4220" t="s">
        <v>13150</v>
      </c>
      <c r="F4220" t="s">
        <v>666</v>
      </c>
      <c r="G4220" t="s">
        <v>13151</v>
      </c>
      <c r="H4220" t="s">
        <v>667</v>
      </c>
      <c r="I4220" t="s">
        <v>618</v>
      </c>
      <c r="J4220">
        <v>44</v>
      </c>
      <c r="K4220">
        <f>44-800-51-3726</f>
        <v>-4533</v>
      </c>
      <c r="L4220" t="s">
        <v>13152</v>
      </c>
      <c r="M4220" t="s">
        <v>13153</v>
      </c>
      <c r="N4220" t="s">
        <v>1645</v>
      </c>
      <c r="O4220" t="s">
        <v>28</v>
      </c>
      <c r="P4220" t="s">
        <v>29</v>
      </c>
      <c r="Q4220">
        <v>41</v>
      </c>
      <c r="R4220">
        <v>-73.996600000000001</v>
      </c>
    </row>
    <row r="4221" spans="1:18" x14ac:dyDescent="0.2">
      <c r="A4221" t="s">
        <v>663</v>
      </c>
      <c r="B4221" t="s">
        <v>5337</v>
      </c>
      <c r="C4221">
        <v>44</v>
      </c>
      <c r="D4221" s="1">
        <v>44043.519918981481</v>
      </c>
      <c r="E4221" t="s">
        <v>13154</v>
      </c>
      <c r="F4221" t="s">
        <v>666</v>
      </c>
      <c r="G4221" t="s">
        <v>13155</v>
      </c>
      <c r="H4221" t="s">
        <v>667</v>
      </c>
      <c r="I4221" t="s">
        <v>618</v>
      </c>
      <c r="J4221">
        <v>44</v>
      </c>
      <c r="K4221">
        <f>44-800-31-4241</f>
        <v>-5028</v>
      </c>
      <c r="L4221" t="s">
        <v>13156</v>
      </c>
      <c r="M4221" t="s">
        <v>13157</v>
      </c>
      <c r="N4221" t="s">
        <v>1645</v>
      </c>
      <c r="O4221" t="s">
        <v>28</v>
      </c>
      <c r="P4221" t="s">
        <v>29</v>
      </c>
      <c r="Q4221">
        <v>38</v>
      </c>
      <c r="R4221">
        <v>-99.999999000000003</v>
      </c>
    </row>
    <row r="4222" spans="1:18" x14ac:dyDescent="0.2">
      <c r="A4222" t="s">
        <v>439</v>
      </c>
      <c r="B4222" t="s">
        <v>3094</v>
      </c>
      <c r="C4222">
        <v>1</v>
      </c>
      <c r="D4222" s="1">
        <v>44043.78266203704</v>
      </c>
      <c r="E4222" t="s">
        <v>13158</v>
      </c>
      <c r="F4222" t="s">
        <v>442</v>
      </c>
      <c r="G4222" t="s">
        <v>13159</v>
      </c>
      <c r="H4222" t="s">
        <v>444</v>
      </c>
      <c r="I4222" t="s">
        <v>29</v>
      </c>
      <c r="J4222">
        <v>1</v>
      </c>
      <c r="K4222">
        <f>1-888-745-6606</f>
        <v>-8238</v>
      </c>
      <c r="L4222" t="s">
        <v>13160</v>
      </c>
      <c r="M4222" t="s">
        <v>13161</v>
      </c>
      <c r="N4222" t="s">
        <v>447</v>
      </c>
      <c r="O4222" t="s">
        <v>28</v>
      </c>
      <c r="P4222" t="s">
        <v>2268</v>
      </c>
      <c r="Q4222">
        <v>46</v>
      </c>
      <c r="R4222">
        <v>-73.567300000000003</v>
      </c>
    </row>
    <row r="4223" spans="1:18" x14ac:dyDescent="0.2">
      <c r="A4223" t="s">
        <v>1200</v>
      </c>
      <c r="B4223" t="s">
        <v>1201</v>
      </c>
      <c r="C4223">
        <v>1</v>
      </c>
      <c r="D4223" s="1">
        <v>44061.79886574074</v>
      </c>
      <c r="E4223" t="s">
        <v>13162</v>
      </c>
      <c r="F4223" t="s">
        <v>1203</v>
      </c>
      <c r="G4223" t="s">
        <v>13163</v>
      </c>
      <c r="H4223" t="s">
        <v>1205</v>
      </c>
      <c r="I4223" t="s">
        <v>29</v>
      </c>
      <c r="J4223">
        <v>1</v>
      </c>
      <c r="K4223">
        <f>1-888-712-520</f>
        <v>-2119</v>
      </c>
      <c r="L4223" t="s">
        <v>13164</v>
      </c>
      <c r="M4223" t="s">
        <v>13165</v>
      </c>
      <c r="N4223" t="s">
        <v>13166</v>
      </c>
      <c r="O4223" t="s">
        <v>134</v>
      </c>
      <c r="P4223" t="s">
        <v>29</v>
      </c>
      <c r="Q4223">
        <v>34</v>
      </c>
      <c r="R4223">
        <v>-99.999999000000003</v>
      </c>
    </row>
    <row r="4224" spans="1:18" x14ac:dyDescent="0.2">
      <c r="A4224" t="s">
        <v>1200</v>
      </c>
      <c r="B4224" t="s">
        <v>1201</v>
      </c>
      <c r="C4224">
        <v>1</v>
      </c>
      <c r="D4224" s="1">
        <v>44055.209803240738</v>
      </c>
      <c r="E4224" t="s">
        <v>13167</v>
      </c>
      <c r="F4224" t="s">
        <v>1203</v>
      </c>
      <c r="G4224" t="s">
        <v>13163</v>
      </c>
      <c r="H4224" t="s">
        <v>1205</v>
      </c>
      <c r="I4224" t="s">
        <v>29</v>
      </c>
      <c r="J4224">
        <v>1</v>
      </c>
      <c r="K4224">
        <f>1-888-712-521</f>
        <v>-2120</v>
      </c>
      <c r="L4224" t="s">
        <v>13168</v>
      </c>
      <c r="M4224" t="s">
        <v>13169</v>
      </c>
      <c r="N4224" t="s">
        <v>13166</v>
      </c>
      <c r="O4224" t="s">
        <v>134</v>
      </c>
      <c r="P4224" t="s">
        <v>29</v>
      </c>
      <c r="Q4224">
        <v>34</v>
      </c>
      <c r="R4224">
        <v>-99.999999000000003</v>
      </c>
    </row>
    <row r="4225" spans="1:18" x14ac:dyDescent="0.2">
      <c r="A4225" t="s">
        <v>1200</v>
      </c>
      <c r="B4225" t="s">
        <v>1201</v>
      </c>
      <c r="C4225">
        <v>1</v>
      </c>
      <c r="D4225" s="1">
        <v>44054.05809027778</v>
      </c>
      <c r="E4225" t="s">
        <v>13162</v>
      </c>
      <c r="F4225" t="s">
        <v>1203</v>
      </c>
      <c r="G4225" t="s">
        <v>13163</v>
      </c>
      <c r="H4225" t="s">
        <v>1205</v>
      </c>
      <c r="I4225" t="s">
        <v>29</v>
      </c>
      <c r="J4225">
        <v>1</v>
      </c>
      <c r="K4225">
        <f>1-888-712-519</f>
        <v>-2118</v>
      </c>
      <c r="L4225" t="s">
        <v>13170</v>
      </c>
      <c r="M4225" t="s">
        <v>13171</v>
      </c>
      <c r="N4225" t="s">
        <v>13166</v>
      </c>
      <c r="O4225" t="s">
        <v>134</v>
      </c>
      <c r="P4225" t="s">
        <v>29</v>
      </c>
      <c r="Q4225">
        <v>34</v>
      </c>
      <c r="R4225">
        <v>-99.999999000000003</v>
      </c>
    </row>
    <row r="4226" spans="1:18" x14ac:dyDescent="0.2">
      <c r="A4226" t="s">
        <v>1200</v>
      </c>
      <c r="B4226" t="s">
        <v>1201</v>
      </c>
      <c r="C4226">
        <v>1</v>
      </c>
      <c r="D4226" s="1">
        <v>44049.920740740738</v>
      </c>
      <c r="E4226" t="s">
        <v>13172</v>
      </c>
      <c r="F4226" t="s">
        <v>1203</v>
      </c>
      <c r="G4226" t="s">
        <v>13163</v>
      </c>
      <c r="H4226" t="s">
        <v>1205</v>
      </c>
      <c r="I4226" t="s">
        <v>29</v>
      </c>
      <c r="J4226">
        <v>1</v>
      </c>
      <c r="K4226">
        <f>1-888-711-1615</f>
        <v>-3213</v>
      </c>
      <c r="L4226" t="s">
        <v>13173</v>
      </c>
      <c r="M4226" t="s">
        <v>13174</v>
      </c>
      <c r="N4226" t="s">
        <v>452</v>
      </c>
      <c r="O4226" t="s">
        <v>134</v>
      </c>
      <c r="P4226" t="s">
        <v>29</v>
      </c>
      <c r="Q4226">
        <v>34</v>
      </c>
      <c r="R4226">
        <v>-99.999999000000003</v>
      </c>
    </row>
    <row r="4227" spans="1:18" x14ac:dyDescent="0.2">
      <c r="A4227" t="s">
        <v>1200</v>
      </c>
      <c r="B4227" t="s">
        <v>1201</v>
      </c>
      <c r="C4227">
        <v>1</v>
      </c>
      <c r="D4227" s="1">
        <v>44049.857314814813</v>
      </c>
      <c r="E4227" t="s">
        <v>13175</v>
      </c>
      <c r="F4227" t="s">
        <v>1203</v>
      </c>
      <c r="G4227" t="s">
        <v>13163</v>
      </c>
      <c r="H4227" t="s">
        <v>1205</v>
      </c>
      <c r="I4227" t="s">
        <v>29</v>
      </c>
      <c r="J4227">
        <v>1</v>
      </c>
      <c r="K4227">
        <f>1-888-712-521</f>
        <v>-2120</v>
      </c>
      <c r="L4227" t="s">
        <v>13176</v>
      </c>
      <c r="M4227" t="s">
        <v>13177</v>
      </c>
      <c r="N4227" t="s">
        <v>452</v>
      </c>
      <c r="O4227" t="s">
        <v>134</v>
      </c>
      <c r="P4227" t="s">
        <v>29</v>
      </c>
      <c r="Q4227">
        <v>34</v>
      </c>
      <c r="R4227">
        <v>-99.999999000000003</v>
      </c>
    </row>
    <row r="4228" spans="1:18" x14ac:dyDescent="0.2">
      <c r="A4228" t="s">
        <v>1200</v>
      </c>
      <c r="B4228" t="s">
        <v>1201</v>
      </c>
      <c r="C4228">
        <v>1</v>
      </c>
      <c r="D4228" s="1">
        <v>44049.808958333335</v>
      </c>
      <c r="E4228" t="s">
        <v>13178</v>
      </c>
      <c r="F4228" t="s">
        <v>1203</v>
      </c>
      <c r="G4228" t="s">
        <v>13163</v>
      </c>
      <c r="H4228" t="s">
        <v>1205</v>
      </c>
      <c r="I4228" t="s">
        <v>29</v>
      </c>
      <c r="J4228">
        <v>1</v>
      </c>
      <c r="K4228">
        <f>1-888-712-520</f>
        <v>-2119</v>
      </c>
      <c r="L4228" t="s">
        <v>13179</v>
      </c>
      <c r="M4228" t="s">
        <v>13180</v>
      </c>
      <c r="N4228" t="s">
        <v>36</v>
      </c>
      <c r="O4228" t="s">
        <v>134</v>
      </c>
      <c r="P4228" t="s">
        <v>29</v>
      </c>
      <c r="Q4228">
        <v>34</v>
      </c>
      <c r="R4228">
        <v>-99.999999000000003</v>
      </c>
    </row>
    <row r="4229" spans="1:18" x14ac:dyDescent="0.2">
      <c r="A4229" t="s">
        <v>1200</v>
      </c>
      <c r="B4229" t="s">
        <v>1201</v>
      </c>
      <c r="C4229">
        <v>1</v>
      </c>
      <c r="D4229" s="1">
        <v>44049.768553240741</v>
      </c>
      <c r="E4229" t="s">
        <v>13181</v>
      </c>
      <c r="F4229" t="s">
        <v>1203</v>
      </c>
      <c r="G4229" t="s">
        <v>13163</v>
      </c>
      <c r="H4229" t="s">
        <v>1205</v>
      </c>
      <c r="I4229" t="s">
        <v>29</v>
      </c>
      <c r="J4229">
        <v>1</v>
      </c>
      <c r="K4229">
        <f>1-888-712-519</f>
        <v>-2118</v>
      </c>
      <c r="L4229" t="s">
        <v>13182</v>
      </c>
      <c r="M4229" t="s">
        <v>13183</v>
      </c>
      <c r="N4229" t="s">
        <v>13166</v>
      </c>
      <c r="O4229" t="s">
        <v>134</v>
      </c>
      <c r="P4229" t="s">
        <v>29</v>
      </c>
      <c r="Q4229">
        <v>34</v>
      </c>
      <c r="R4229">
        <v>-99.999999000000003</v>
      </c>
    </row>
    <row r="4230" spans="1:18" x14ac:dyDescent="0.2">
      <c r="A4230" t="s">
        <v>1200</v>
      </c>
      <c r="B4230" t="s">
        <v>1201</v>
      </c>
      <c r="C4230">
        <v>1</v>
      </c>
      <c r="D4230" s="1">
        <v>44049.689687500002</v>
      </c>
      <c r="E4230" t="s">
        <v>13184</v>
      </c>
      <c r="F4230" t="s">
        <v>1203</v>
      </c>
      <c r="G4230" t="s">
        <v>13163</v>
      </c>
      <c r="H4230" t="s">
        <v>1205</v>
      </c>
      <c r="I4230" t="s">
        <v>29</v>
      </c>
      <c r="J4230">
        <v>1</v>
      </c>
      <c r="K4230">
        <f>1-888-876-6184</f>
        <v>-7947</v>
      </c>
      <c r="L4230" t="s">
        <v>13185</v>
      </c>
      <c r="M4230" t="s">
        <v>13186</v>
      </c>
      <c r="N4230" t="s">
        <v>13166</v>
      </c>
      <c r="O4230" t="s">
        <v>134</v>
      </c>
      <c r="P4230" t="s">
        <v>29</v>
      </c>
      <c r="Q4230">
        <v>34</v>
      </c>
      <c r="R4230">
        <v>-99.999999000000003</v>
      </c>
    </row>
    <row r="4231" spans="1:18" x14ac:dyDescent="0.2">
      <c r="A4231" t="s">
        <v>1200</v>
      </c>
      <c r="B4231" t="s">
        <v>1201</v>
      </c>
      <c r="C4231">
        <v>1</v>
      </c>
      <c r="D4231" s="1">
        <v>44049.063472222224</v>
      </c>
      <c r="E4231" t="s">
        <v>13187</v>
      </c>
      <c r="F4231" t="s">
        <v>1203</v>
      </c>
      <c r="G4231" t="s">
        <v>13163</v>
      </c>
      <c r="H4231" t="s">
        <v>1205</v>
      </c>
      <c r="I4231" t="s">
        <v>29</v>
      </c>
      <c r="J4231">
        <v>1</v>
      </c>
      <c r="K4231">
        <f>1-888-876-6184</f>
        <v>-7947</v>
      </c>
      <c r="L4231" t="s">
        <v>13188</v>
      </c>
      <c r="M4231" t="s">
        <v>13189</v>
      </c>
      <c r="N4231" t="s">
        <v>36</v>
      </c>
      <c r="O4231" t="s">
        <v>134</v>
      </c>
      <c r="P4231" t="s">
        <v>29</v>
      </c>
      <c r="Q4231">
        <v>34</v>
      </c>
      <c r="R4231">
        <v>-99.999999000000003</v>
      </c>
    </row>
    <row r="4232" spans="1:18" x14ac:dyDescent="0.2">
      <c r="A4232" t="s">
        <v>1200</v>
      </c>
      <c r="B4232" t="s">
        <v>1201</v>
      </c>
      <c r="C4232">
        <v>1</v>
      </c>
      <c r="D4232" s="1">
        <v>44048.857048611113</v>
      </c>
      <c r="E4232" t="s">
        <v>13190</v>
      </c>
      <c r="F4232" t="s">
        <v>1203</v>
      </c>
      <c r="G4232" t="s">
        <v>13163</v>
      </c>
      <c r="H4232" t="s">
        <v>1205</v>
      </c>
      <c r="I4232" t="s">
        <v>29</v>
      </c>
      <c r="J4232">
        <v>1</v>
      </c>
      <c r="K4232">
        <f>1-888-876-6184</f>
        <v>-7947</v>
      </c>
      <c r="L4232" t="s">
        <v>13191</v>
      </c>
      <c r="M4232" t="s">
        <v>13192</v>
      </c>
      <c r="N4232" t="s">
        <v>36</v>
      </c>
      <c r="O4232" t="s">
        <v>134</v>
      </c>
      <c r="P4232" t="s">
        <v>29</v>
      </c>
      <c r="Q4232">
        <v>34</v>
      </c>
      <c r="R4232">
        <v>-99.999999000000003</v>
      </c>
    </row>
    <row r="4233" spans="1:18" x14ac:dyDescent="0.2">
      <c r="A4233" t="s">
        <v>1200</v>
      </c>
      <c r="B4233" t="s">
        <v>1201</v>
      </c>
      <c r="C4233">
        <v>1</v>
      </c>
      <c r="D4233" s="1">
        <v>44048.781921296293</v>
      </c>
      <c r="E4233" t="s">
        <v>13190</v>
      </c>
      <c r="F4233" t="s">
        <v>1203</v>
      </c>
      <c r="G4233" t="s">
        <v>13163</v>
      </c>
      <c r="H4233" t="s">
        <v>1205</v>
      </c>
      <c r="I4233" t="s">
        <v>29</v>
      </c>
      <c r="J4233">
        <v>1</v>
      </c>
      <c r="K4233">
        <f>1-888-712-519</f>
        <v>-2118</v>
      </c>
      <c r="L4233" t="s">
        <v>13193</v>
      </c>
      <c r="M4233" t="s">
        <v>13194</v>
      </c>
      <c r="N4233" t="s">
        <v>36</v>
      </c>
      <c r="O4233" t="s">
        <v>134</v>
      </c>
      <c r="P4233" t="s">
        <v>29</v>
      </c>
      <c r="Q4233">
        <v>34</v>
      </c>
      <c r="R4233">
        <v>-99.999999000000003</v>
      </c>
    </row>
    <row r="4234" spans="1:18" x14ac:dyDescent="0.2">
      <c r="A4234" t="s">
        <v>1200</v>
      </c>
      <c r="B4234" t="s">
        <v>1201</v>
      </c>
      <c r="C4234">
        <v>1</v>
      </c>
      <c r="D4234" s="1">
        <v>44047.830937500003</v>
      </c>
      <c r="E4234" t="s">
        <v>13195</v>
      </c>
      <c r="F4234" t="s">
        <v>1203</v>
      </c>
      <c r="G4234" t="s">
        <v>13163</v>
      </c>
      <c r="H4234" t="s">
        <v>1205</v>
      </c>
      <c r="I4234" t="s">
        <v>29</v>
      </c>
      <c r="J4234">
        <v>1</v>
      </c>
      <c r="K4234">
        <f>1-888-712-521</f>
        <v>-2120</v>
      </c>
      <c r="L4234" t="s">
        <v>13196</v>
      </c>
      <c r="M4234" t="s">
        <v>13197</v>
      </c>
      <c r="N4234" t="s">
        <v>36</v>
      </c>
      <c r="O4234" t="s">
        <v>134</v>
      </c>
      <c r="P4234" t="s">
        <v>29</v>
      </c>
      <c r="Q4234">
        <v>34</v>
      </c>
      <c r="R4234">
        <v>-99.999999000000003</v>
      </c>
    </row>
    <row r="4235" spans="1:18" x14ac:dyDescent="0.2">
      <c r="A4235" t="s">
        <v>1200</v>
      </c>
      <c r="B4235" t="s">
        <v>1201</v>
      </c>
      <c r="C4235">
        <v>1</v>
      </c>
      <c r="D4235" s="1">
        <v>44047.727256944447</v>
      </c>
      <c r="E4235" t="s">
        <v>13198</v>
      </c>
      <c r="F4235" t="s">
        <v>1203</v>
      </c>
      <c r="G4235" t="s">
        <v>13163</v>
      </c>
      <c r="H4235" t="s">
        <v>1205</v>
      </c>
      <c r="I4235" t="s">
        <v>29</v>
      </c>
      <c r="J4235">
        <v>1</v>
      </c>
      <c r="K4235">
        <f>1-888-712-520</f>
        <v>-2119</v>
      </c>
      <c r="L4235" t="s">
        <v>13199</v>
      </c>
      <c r="M4235" t="s">
        <v>13200</v>
      </c>
      <c r="N4235" t="s">
        <v>13166</v>
      </c>
      <c r="O4235" t="s">
        <v>134</v>
      </c>
      <c r="P4235" t="s">
        <v>29</v>
      </c>
      <c r="Q4235">
        <v>34</v>
      </c>
      <c r="R4235">
        <v>-99.999999000000003</v>
      </c>
    </row>
    <row r="4236" spans="1:18" x14ac:dyDescent="0.2">
      <c r="A4236" t="s">
        <v>1200</v>
      </c>
      <c r="B4236" t="s">
        <v>1201</v>
      </c>
      <c r="C4236">
        <v>1</v>
      </c>
      <c r="D4236" s="1">
        <v>44047.86509259259</v>
      </c>
      <c r="E4236" t="s">
        <v>13201</v>
      </c>
      <c r="F4236" t="s">
        <v>1203</v>
      </c>
      <c r="G4236" t="s">
        <v>13163</v>
      </c>
      <c r="H4236" t="s">
        <v>1205</v>
      </c>
      <c r="I4236" t="s">
        <v>29</v>
      </c>
      <c r="J4236">
        <v>1</v>
      </c>
      <c r="K4236">
        <f>1-888-876-6184</f>
        <v>-7947</v>
      </c>
      <c r="L4236" t="s">
        <v>13202</v>
      </c>
      <c r="M4236" t="s">
        <v>13203</v>
      </c>
      <c r="N4236" t="s">
        <v>36</v>
      </c>
      <c r="O4236" t="s">
        <v>134</v>
      </c>
      <c r="P4236" t="s">
        <v>29</v>
      </c>
      <c r="Q4236">
        <v>34</v>
      </c>
      <c r="R4236">
        <v>-99.999999000000003</v>
      </c>
    </row>
    <row r="4237" spans="1:18" x14ac:dyDescent="0.2">
      <c r="A4237" t="s">
        <v>1200</v>
      </c>
      <c r="B4237" t="s">
        <v>1201</v>
      </c>
      <c r="C4237">
        <v>1</v>
      </c>
      <c r="D4237" s="1">
        <v>44047.093946759262</v>
      </c>
      <c r="E4237" t="s">
        <v>13198</v>
      </c>
      <c r="F4237" t="s">
        <v>1203</v>
      </c>
      <c r="G4237" t="s">
        <v>13163</v>
      </c>
      <c r="H4237" t="s">
        <v>1205</v>
      </c>
      <c r="I4237" t="s">
        <v>29</v>
      </c>
      <c r="J4237">
        <v>1</v>
      </c>
      <c r="K4237">
        <f>1-888-876-6184</f>
        <v>-7947</v>
      </c>
      <c r="L4237" t="s">
        <v>13204</v>
      </c>
      <c r="M4237" t="s">
        <v>13205</v>
      </c>
      <c r="N4237" t="s">
        <v>13166</v>
      </c>
      <c r="O4237" t="s">
        <v>134</v>
      </c>
      <c r="P4237" t="s">
        <v>29</v>
      </c>
      <c r="Q4237">
        <v>34</v>
      </c>
      <c r="R4237">
        <v>-99.999999000000003</v>
      </c>
    </row>
    <row r="4238" spans="1:18" x14ac:dyDescent="0.2">
      <c r="A4238" t="s">
        <v>1200</v>
      </c>
      <c r="B4238" t="s">
        <v>1201</v>
      </c>
      <c r="C4238">
        <v>1</v>
      </c>
      <c r="D4238" s="1">
        <v>44045.984409722223</v>
      </c>
      <c r="E4238" t="s">
        <v>13206</v>
      </c>
      <c r="F4238" t="s">
        <v>1203</v>
      </c>
      <c r="G4238" t="s">
        <v>13163</v>
      </c>
      <c r="H4238" t="s">
        <v>1205</v>
      </c>
      <c r="I4238" t="s">
        <v>29</v>
      </c>
      <c r="J4238">
        <v>1</v>
      </c>
      <c r="K4238">
        <f>1-888-712-512</f>
        <v>-2111</v>
      </c>
      <c r="L4238" t="s">
        <v>13207</v>
      </c>
      <c r="M4238" t="s">
        <v>13208</v>
      </c>
      <c r="N4238" t="s">
        <v>7822</v>
      </c>
      <c r="O4238" t="s">
        <v>134</v>
      </c>
      <c r="P4238" t="s">
        <v>29</v>
      </c>
      <c r="Q4238">
        <v>34</v>
      </c>
      <c r="R4238">
        <v>-99.999999000000003</v>
      </c>
    </row>
    <row r="4239" spans="1:18" x14ac:dyDescent="0.2">
      <c r="A4239" t="s">
        <v>1200</v>
      </c>
      <c r="B4239" t="s">
        <v>1201</v>
      </c>
      <c r="C4239">
        <v>1</v>
      </c>
      <c r="D4239" s="1">
        <v>44043.821585648147</v>
      </c>
      <c r="E4239" t="s">
        <v>13209</v>
      </c>
      <c r="F4239" t="s">
        <v>1203</v>
      </c>
      <c r="G4239" t="s">
        <v>13163</v>
      </c>
      <c r="H4239" t="s">
        <v>1205</v>
      </c>
      <c r="I4239" t="s">
        <v>29</v>
      </c>
      <c r="J4239">
        <v>1</v>
      </c>
      <c r="K4239">
        <f>1-888-711-1615</f>
        <v>-3213</v>
      </c>
      <c r="L4239" t="s">
        <v>13210</v>
      </c>
      <c r="M4239" t="s">
        <v>13211</v>
      </c>
      <c r="N4239" t="s">
        <v>7822</v>
      </c>
      <c r="O4239" t="s">
        <v>134</v>
      </c>
      <c r="P4239" t="s">
        <v>29</v>
      </c>
      <c r="Q4239">
        <v>34</v>
      </c>
      <c r="R4239">
        <v>-99.999999000000003</v>
      </c>
    </row>
    <row r="4240" spans="1:18" x14ac:dyDescent="0.2">
      <c r="A4240" t="s">
        <v>439</v>
      </c>
      <c r="B4240" t="s">
        <v>440</v>
      </c>
      <c r="C4240">
        <v>1</v>
      </c>
      <c r="D4240" s="1">
        <v>44043.830497685187</v>
      </c>
      <c r="E4240" t="s">
        <v>13212</v>
      </c>
      <c r="F4240" t="s">
        <v>442</v>
      </c>
      <c r="G4240" t="s">
        <v>13213</v>
      </c>
      <c r="H4240" t="s">
        <v>444</v>
      </c>
      <c r="I4240" t="s">
        <v>29</v>
      </c>
      <c r="J4240">
        <v>1</v>
      </c>
      <c r="K4240">
        <f>1-855-795-277</f>
        <v>-1926</v>
      </c>
      <c r="L4240" t="s">
        <v>13214</v>
      </c>
      <c r="M4240" t="s">
        <v>13215</v>
      </c>
      <c r="N4240" t="s">
        <v>213</v>
      </c>
      <c r="O4240" t="s">
        <v>28</v>
      </c>
      <c r="P4240" t="s">
        <v>29</v>
      </c>
      <c r="Q4240">
        <v>39</v>
      </c>
      <c r="R4240">
        <v>-77.487399999999994</v>
      </c>
    </row>
    <row r="4241" spans="1:18" x14ac:dyDescent="0.2">
      <c r="A4241" t="s">
        <v>439</v>
      </c>
      <c r="B4241" t="s">
        <v>1412</v>
      </c>
      <c r="C4241">
        <v>81</v>
      </c>
      <c r="D4241" s="1">
        <v>44044.225868055553</v>
      </c>
      <c r="E4241" t="s">
        <v>13216</v>
      </c>
      <c r="F4241" t="s">
        <v>442</v>
      </c>
      <c r="G4241" t="s">
        <v>13217</v>
      </c>
      <c r="H4241" t="s">
        <v>444</v>
      </c>
      <c r="I4241" t="s">
        <v>53</v>
      </c>
      <c r="J4241">
        <v>81</v>
      </c>
      <c r="K4241">
        <f>81-50-5532-2180</f>
        <v>-7681</v>
      </c>
      <c r="L4241" t="s">
        <v>13218</v>
      </c>
      <c r="M4241" t="s">
        <v>13219</v>
      </c>
      <c r="N4241" t="s">
        <v>447</v>
      </c>
      <c r="O4241" t="s">
        <v>28</v>
      </c>
      <c r="P4241" t="s">
        <v>29</v>
      </c>
      <c r="Q4241">
        <v>41</v>
      </c>
      <c r="R4241">
        <v>-74.172399999999996</v>
      </c>
    </row>
    <row r="4242" spans="1:18" x14ac:dyDescent="0.2">
      <c r="A4242" t="s">
        <v>439</v>
      </c>
      <c r="B4242" t="s">
        <v>3094</v>
      </c>
      <c r="C4242">
        <v>1</v>
      </c>
      <c r="D4242" s="1">
        <v>44044.607939814814</v>
      </c>
      <c r="E4242" t="s">
        <v>13220</v>
      </c>
      <c r="F4242" t="s">
        <v>442</v>
      </c>
      <c r="G4242" t="s">
        <v>13221</v>
      </c>
      <c r="H4242" t="s">
        <v>444</v>
      </c>
      <c r="I4242" t="s">
        <v>29</v>
      </c>
      <c r="J4242">
        <v>1</v>
      </c>
      <c r="K4242">
        <f>1-877-782-2241</f>
        <v>-3899</v>
      </c>
      <c r="L4242" t="s">
        <v>13222</v>
      </c>
      <c r="M4242" t="s">
        <v>13223</v>
      </c>
      <c r="N4242" t="s">
        <v>447</v>
      </c>
      <c r="O4242" t="s">
        <v>28</v>
      </c>
      <c r="P4242" t="s">
        <v>2268</v>
      </c>
      <c r="Q4242">
        <v>46</v>
      </c>
      <c r="R4242">
        <v>-73.567300000000003</v>
      </c>
    </row>
    <row r="4243" spans="1:18" x14ac:dyDescent="0.2">
      <c r="A4243" t="s">
        <v>439</v>
      </c>
      <c r="B4243" t="s">
        <v>3094</v>
      </c>
      <c r="C4243">
        <v>1</v>
      </c>
      <c r="D4243" s="1">
        <v>44044.616840277777</v>
      </c>
      <c r="E4243" t="s">
        <v>13224</v>
      </c>
      <c r="F4243" t="s">
        <v>442</v>
      </c>
      <c r="G4243" t="s">
        <v>13225</v>
      </c>
      <c r="H4243" t="s">
        <v>444</v>
      </c>
      <c r="I4243" t="s">
        <v>29</v>
      </c>
      <c r="J4243">
        <v>1</v>
      </c>
      <c r="K4243">
        <f>1-855-903-910</f>
        <v>-2667</v>
      </c>
      <c r="L4243" t="s">
        <v>13226</v>
      </c>
      <c r="M4243" t="s">
        <v>13227</v>
      </c>
      <c r="N4243" t="s">
        <v>674</v>
      </c>
      <c r="O4243" t="s">
        <v>28</v>
      </c>
      <c r="P4243" t="s">
        <v>2268</v>
      </c>
      <c r="Q4243">
        <v>46</v>
      </c>
      <c r="R4243">
        <v>-73.567300000000003</v>
      </c>
    </row>
    <row r="4244" spans="1:18" x14ac:dyDescent="0.2">
      <c r="A4244" t="s">
        <v>663</v>
      </c>
      <c r="B4244" t="s">
        <v>664</v>
      </c>
      <c r="C4244">
        <v>1</v>
      </c>
      <c r="D4244" s="1">
        <v>44044.758819444447</v>
      </c>
      <c r="E4244" t="s">
        <v>13228</v>
      </c>
      <c r="F4244" t="s">
        <v>666</v>
      </c>
      <c r="G4244" t="s">
        <v>13228</v>
      </c>
      <c r="H4244" t="s">
        <v>667</v>
      </c>
      <c r="I4244" t="s">
        <v>29</v>
      </c>
      <c r="J4244">
        <v>1</v>
      </c>
      <c r="K4244">
        <f>1-888-979-4883</f>
        <v>-6749</v>
      </c>
      <c r="L4244" t="s">
        <v>13229</v>
      </c>
      <c r="M4244" t="s">
        <v>13230</v>
      </c>
      <c r="N4244">
        <v>44</v>
      </c>
      <c r="O4244" t="s">
        <v>134</v>
      </c>
      <c r="P4244" t="s">
        <v>29</v>
      </c>
      <c r="Q4244">
        <v>37</v>
      </c>
      <c r="R4244">
        <v>-99.999999000000003</v>
      </c>
    </row>
    <row r="4245" spans="1:18" x14ac:dyDescent="0.2">
      <c r="A4245" t="s">
        <v>2233</v>
      </c>
      <c r="B4245" t="s">
        <v>2234</v>
      </c>
      <c r="C4245">
        <v>1</v>
      </c>
      <c r="D4245" s="1">
        <v>44044.765150462961</v>
      </c>
      <c r="E4245" t="s">
        <v>13231</v>
      </c>
      <c r="F4245" t="s">
        <v>2236</v>
      </c>
      <c r="G4245" t="s">
        <v>13232</v>
      </c>
      <c r="H4245" t="s">
        <v>2237</v>
      </c>
      <c r="I4245" t="s">
        <v>29</v>
      </c>
      <c r="J4245">
        <v>1</v>
      </c>
      <c r="K4245">
        <f>1-844-470-778</f>
        <v>-2091</v>
      </c>
      <c r="L4245" t="s">
        <v>13233</v>
      </c>
      <c r="M4245" t="s">
        <v>13234</v>
      </c>
      <c r="N4245" t="s">
        <v>5354</v>
      </c>
      <c r="O4245" t="s">
        <v>134</v>
      </c>
      <c r="P4245" t="s">
        <v>29</v>
      </c>
      <c r="Q4245">
        <v>40</v>
      </c>
      <c r="R4245">
        <v>-83.114099999999993</v>
      </c>
    </row>
    <row r="4246" spans="1:18" x14ac:dyDescent="0.2">
      <c r="A4246" t="s">
        <v>270</v>
      </c>
      <c r="B4246" t="s">
        <v>271</v>
      </c>
      <c r="C4246">
        <v>1</v>
      </c>
      <c r="D4246" s="1">
        <v>44088.918634259258</v>
      </c>
      <c r="E4246" t="s">
        <v>13235</v>
      </c>
      <c r="F4246" t="s">
        <v>273</v>
      </c>
      <c r="G4246" t="s">
        <v>13236</v>
      </c>
      <c r="H4246" t="s">
        <v>275</v>
      </c>
      <c r="I4246" t="s">
        <v>29</v>
      </c>
      <c r="J4246">
        <v>1</v>
      </c>
      <c r="K4246">
        <f>1-888-523-1564</f>
        <v>-2974</v>
      </c>
      <c r="L4246" t="s">
        <v>13237</v>
      </c>
      <c r="M4246" t="s">
        <v>13238</v>
      </c>
      <c r="N4246" t="s">
        <v>278</v>
      </c>
      <c r="O4246" t="s">
        <v>28</v>
      </c>
      <c r="P4246" t="s">
        <v>29</v>
      </c>
      <c r="Q4246">
        <v>42</v>
      </c>
      <c r="R4246">
        <v>-93.620800000000003</v>
      </c>
    </row>
    <row r="4247" spans="1:18" x14ac:dyDescent="0.2">
      <c r="A4247" t="s">
        <v>270</v>
      </c>
      <c r="B4247" t="s">
        <v>271</v>
      </c>
      <c r="C4247">
        <v>1</v>
      </c>
      <c r="D4247" s="1">
        <v>44088.9453587963</v>
      </c>
      <c r="E4247" t="s">
        <v>13239</v>
      </c>
      <c r="F4247" t="s">
        <v>273</v>
      </c>
      <c r="G4247" t="s">
        <v>13236</v>
      </c>
      <c r="H4247" t="s">
        <v>275</v>
      </c>
      <c r="I4247" t="s">
        <v>29</v>
      </c>
      <c r="J4247">
        <v>1</v>
      </c>
      <c r="K4247">
        <f>1-888-210-2930</f>
        <v>-4027</v>
      </c>
      <c r="L4247" t="s">
        <v>13240</v>
      </c>
      <c r="M4247" t="s">
        <v>13241</v>
      </c>
      <c r="N4247" t="s">
        <v>278</v>
      </c>
      <c r="O4247" t="s">
        <v>28</v>
      </c>
      <c r="P4247" t="s">
        <v>29</v>
      </c>
      <c r="Q4247">
        <v>42</v>
      </c>
      <c r="R4247">
        <v>-93.620800000000003</v>
      </c>
    </row>
    <row r="4248" spans="1:18" x14ac:dyDescent="0.2">
      <c r="A4248" t="s">
        <v>270</v>
      </c>
      <c r="B4248" t="s">
        <v>271</v>
      </c>
      <c r="C4248">
        <v>1</v>
      </c>
      <c r="D4248" s="1">
        <v>44088.974895833337</v>
      </c>
      <c r="E4248" t="s">
        <v>13242</v>
      </c>
      <c r="F4248" t="s">
        <v>273</v>
      </c>
      <c r="G4248" t="s">
        <v>13236</v>
      </c>
      <c r="H4248" t="s">
        <v>275</v>
      </c>
      <c r="I4248" t="s">
        <v>29</v>
      </c>
      <c r="J4248">
        <v>1</v>
      </c>
      <c r="K4248">
        <f>1-888-210-1132</f>
        <v>-2229</v>
      </c>
      <c r="L4248" t="s">
        <v>13243</v>
      </c>
      <c r="M4248" t="s">
        <v>13244</v>
      </c>
      <c r="N4248" t="s">
        <v>278</v>
      </c>
      <c r="O4248" t="s">
        <v>28</v>
      </c>
      <c r="P4248" t="s">
        <v>29</v>
      </c>
      <c r="Q4248">
        <v>42</v>
      </c>
      <c r="R4248">
        <v>-93.620800000000003</v>
      </c>
    </row>
    <row r="4249" spans="1:18" x14ac:dyDescent="0.2">
      <c r="A4249" t="s">
        <v>270</v>
      </c>
      <c r="B4249" t="s">
        <v>271</v>
      </c>
      <c r="C4249">
        <v>1</v>
      </c>
      <c r="D4249" s="1">
        <v>44045.591863425929</v>
      </c>
      <c r="E4249" t="s">
        <v>13245</v>
      </c>
      <c r="F4249" t="s">
        <v>273</v>
      </c>
      <c r="G4249" t="s">
        <v>13236</v>
      </c>
      <c r="H4249" t="s">
        <v>275</v>
      </c>
      <c r="I4249" t="s">
        <v>29</v>
      </c>
      <c r="J4249">
        <v>1</v>
      </c>
      <c r="K4249">
        <f>1-888-381-8225</f>
        <v>-9493</v>
      </c>
      <c r="L4249" t="s">
        <v>13246</v>
      </c>
      <c r="M4249" t="s">
        <v>13247</v>
      </c>
      <c r="N4249" t="s">
        <v>278</v>
      </c>
      <c r="O4249" t="s">
        <v>134</v>
      </c>
      <c r="P4249" t="s">
        <v>29</v>
      </c>
      <c r="Q4249">
        <v>42</v>
      </c>
      <c r="R4249">
        <v>-93.620800000000003</v>
      </c>
    </row>
    <row r="4250" spans="1:18" x14ac:dyDescent="0.2">
      <c r="A4250" t="s">
        <v>270</v>
      </c>
      <c r="B4250" t="s">
        <v>271</v>
      </c>
      <c r="C4250">
        <v>1</v>
      </c>
      <c r="D4250" s="1">
        <v>44045.584421296298</v>
      </c>
      <c r="E4250" t="s">
        <v>13248</v>
      </c>
      <c r="F4250" t="s">
        <v>273</v>
      </c>
      <c r="G4250" t="s">
        <v>13236</v>
      </c>
      <c r="H4250" t="s">
        <v>275</v>
      </c>
      <c r="I4250" t="s">
        <v>29</v>
      </c>
      <c r="J4250">
        <v>1</v>
      </c>
      <c r="K4250">
        <f>1-888-381-8225</f>
        <v>-9493</v>
      </c>
      <c r="L4250" t="s">
        <v>13249</v>
      </c>
      <c r="M4250" t="s">
        <v>13250</v>
      </c>
      <c r="N4250" t="s">
        <v>278</v>
      </c>
      <c r="O4250" t="s">
        <v>134</v>
      </c>
      <c r="P4250" t="s">
        <v>29</v>
      </c>
      <c r="Q4250">
        <v>42</v>
      </c>
      <c r="R4250">
        <v>-93.620800000000003</v>
      </c>
    </row>
    <row r="4251" spans="1:18" x14ac:dyDescent="0.2">
      <c r="A4251" t="s">
        <v>270</v>
      </c>
      <c r="B4251" t="s">
        <v>271</v>
      </c>
      <c r="C4251">
        <v>1</v>
      </c>
      <c r="D4251" s="1">
        <v>44045.406053240738</v>
      </c>
      <c r="E4251" t="s">
        <v>13251</v>
      </c>
      <c r="F4251" t="s">
        <v>273</v>
      </c>
      <c r="G4251" t="s">
        <v>13236</v>
      </c>
      <c r="H4251" t="s">
        <v>275</v>
      </c>
      <c r="I4251" t="s">
        <v>29</v>
      </c>
      <c r="J4251">
        <v>1</v>
      </c>
      <c r="K4251">
        <f>1-888-381-8225</f>
        <v>-9493</v>
      </c>
      <c r="L4251" t="s">
        <v>13252</v>
      </c>
      <c r="M4251" t="s">
        <v>13253</v>
      </c>
      <c r="N4251" t="s">
        <v>278</v>
      </c>
      <c r="O4251" t="s">
        <v>134</v>
      </c>
      <c r="P4251" t="s">
        <v>29</v>
      </c>
      <c r="Q4251">
        <v>42</v>
      </c>
      <c r="R4251">
        <v>-93.620800000000003</v>
      </c>
    </row>
    <row r="4252" spans="1:18" x14ac:dyDescent="0.2">
      <c r="A4252" t="s">
        <v>270</v>
      </c>
      <c r="B4252" t="s">
        <v>440</v>
      </c>
      <c r="C4252">
        <v>1</v>
      </c>
      <c r="D4252" s="1">
        <v>44089.798182870371</v>
      </c>
      <c r="E4252" t="s">
        <v>13254</v>
      </c>
      <c r="F4252" t="s">
        <v>273</v>
      </c>
      <c r="G4252" t="s">
        <v>13255</v>
      </c>
      <c r="H4252" t="s">
        <v>275</v>
      </c>
      <c r="I4252" t="s">
        <v>29</v>
      </c>
      <c r="J4252">
        <v>1</v>
      </c>
      <c r="K4252">
        <f>1-844-233-1380</f>
        <v>-2456</v>
      </c>
      <c r="L4252" t="s">
        <v>13256</v>
      </c>
      <c r="M4252" t="s">
        <v>13257</v>
      </c>
      <c r="N4252" t="s">
        <v>278</v>
      </c>
      <c r="O4252" t="s">
        <v>28</v>
      </c>
      <c r="P4252" t="s">
        <v>29</v>
      </c>
      <c r="Q4252">
        <v>39</v>
      </c>
      <c r="R4252">
        <v>-77.487399999999994</v>
      </c>
    </row>
    <row r="4253" spans="1:18" x14ac:dyDescent="0.2">
      <c r="A4253" t="s">
        <v>270</v>
      </c>
      <c r="B4253" t="s">
        <v>440</v>
      </c>
      <c r="C4253">
        <v>1</v>
      </c>
      <c r="D4253" s="1">
        <v>44089.774467592593</v>
      </c>
      <c r="E4253" t="s">
        <v>13258</v>
      </c>
      <c r="F4253" t="s">
        <v>273</v>
      </c>
      <c r="G4253" t="s">
        <v>13255</v>
      </c>
      <c r="H4253" t="s">
        <v>275</v>
      </c>
      <c r="I4253" t="s">
        <v>29</v>
      </c>
      <c r="J4253">
        <v>1</v>
      </c>
      <c r="K4253">
        <f>1-844-218-3888</f>
        <v>-4949</v>
      </c>
      <c r="L4253" t="s">
        <v>13259</v>
      </c>
      <c r="M4253" t="s">
        <v>13260</v>
      </c>
      <c r="N4253" t="s">
        <v>278</v>
      </c>
      <c r="O4253" t="s">
        <v>28</v>
      </c>
      <c r="P4253" t="s">
        <v>29</v>
      </c>
      <c r="Q4253">
        <v>39</v>
      </c>
      <c r="R4253">
        <v>-77.487399999999994</v>
      </c>
    </row>
    <row r="4254" spans="1:18" x14ac:dyDescent="0.2">
      <c r="A4254" t="s">
        <v>270</v>
      </c>
      <c r="B4254" t="s">
        <v>440</v>
      </c>
      <c r="C4254">
        <v>1</v>
      </c>
      <c r="D4254" s="1">
        <v>44089.430821759262</v>
      </c>
      <c r="E4254" t="s">
        <v>13261</v>
      </c>
      <c r="F4254" t="s">
        <v>273</v>
      </c>
      <c r="G4254" t="s">
        <v>13255</v>
      </c>
      <c r="H4254" t="s">
        <v>275</v>
      </c>
      <c r="I4254" t="s">
        <v>29</v>
      </c>
      <c r="J4254">
        <v>1</v>
      </c>
      <c r="K4254">
        <f>1-844-210-4337</f>
        <v>-5390</v>
      </c>
      <c r="L4254" t="s">
        <v>13262</v>
      </c>
      <c r="M4254" t="s">
        <v>13263</v>
      </c>
      <c r="N4254" t="s">
        <v>278</v>
      </c>
      <c r="O4254" t="s">
        <v>28</v>
      </c>
      <c r="P4254" t="s">
        <v>29</v>
      </c>
      <c r="Q4254">
        <v>39</v>
      </c>
      <c r="R4254">
        <v>-77.487399999999994</v>
      </c>
    </row>
    <row r="4255" spans="1:18" x14ac:dyDescent="0.2">
      <c r="A4255" t="s">
        <v>270</v>
      </c>
      <c r="B4255" t="s">
        <v>440</v>
      </c>
      <c r="C4255">
        <v>1</v>
      </c>
      <c r="D4255" s="1">
        <v>44075.760717592595</v>
      </c>
      <c r="E4255" t="s">
        <v>13264</v>
      </c>
      <c r="F4255" t="s">
        <v>273</v>
      </c>
      <c r="G4255" t="s">
        <v>13255</v>
      </c>
      <c r="H4255" t="s">
        <v>275</v>
      </c>
      <c r="I4255" t="s">
        <v>29</v>
      </c>
      <c r="J4255">
        <v>1</v>
      </c>
      <c r="K4255">
        <f>1-888-708-1143</f>
        <v>-2738</v>
      </c>
      <c r="L4255" t="s">
        <v>13265</v>
      </c>
      <c r="M4255" t="s">
        <v>13266</v>
      </c>
      <c r="N4255" t="s">
        <v>278</v>
      </c>
      <c r="O4255" t="s">
        <v>134</v>
      </c>
      <c r="P4255" t="s">
        <v>29</v>
      </c>
      <c r="Q4255">
        <v>39</v>
      </c>
      <c r="R4255">
        <v>-77.487399999999994</v>
      </c>
    </row>
    <row r="4256" spans="1:18" x14ac:dyDescent="0.2">
      <c r="A4256" t="s">
        <v>270</v>
      </c>
      <c r="B4256" t="s">
        <v>440</v>
      </c>
      <c r="C4256">
        <v>1</v>
      </c>
      <c r="D4256" s="1">
        <v>44071.904513888891</v>
      </c>
      <c r="E4256" t="s">
        <v>13267</v>
      </c>
      <c r="F4256" t="s">
        <v>273</v>
      </c>
      <c r="G4256" t="s">
        <v>13255</v>
      </c>
      <c r="H4256" t="s">
        <v>275</v>
      </c>
      <c r="I4256" t="s">
        <v>29</v>
      </c>
      <c r="J4256">
        <v>1</v>
      </c>
      <c r="K4256">
        <f>1-888-304-1408</f>
        <v>-2599</v>
      </c>
      <c r="L4256" t="s">
        <v>13268</v>
      </c>
      <c r="M4256" t="s">
        <v>13269</v>
      </c>
      <c r="N4256" t="s">
        <v>278</v>
      </c>
      <c r="O4256" t="s">
        <v>134</v>
      </c>
      <c r="P4256" t="s">
        <v>29</v>
      </c>
      <c r="Q4256">
        <v>39</v>
      </c>
      <c r="R4256">
        <v>-77.487399999999994</v>
      </c>
    </row>
    <row r="4257" spans="1:18" x14ac:dyDescent="0.2">
      <c r="A4257" t="s">
        <v>270</v>
      </c>
      <c r="B4257" t="s">
        <v>440</v>
      </c>
      <c r="C4257">
        <v>1</v>
      </c>
      <c r="D4257" s="1">
        <v>44071.417233796295</v>
      </c>
      <c r="E4257" t="s">
        <v>13270</v>
      </c>
      <c r="F4257" t="s">
        <v>273</v>
      </c>
      <c r="G4257" t="s">
        <v>13255</v>
      </c>
      <c r="H4257" t="s">
        <v>275</v>
      </c>
      <c r="I4257" t="s">
        <v>29</v>
      </c>
      <c r="J4257">
        <v>1</v>
      </c>
      <c r="K4257">
        <f>1-888-686-474</f>
        <v>-2047</v>
      </c>
      <c r="L4257" t="s">
        <v>13271</v>
      </c>
      <c r="M4257" t="s">
        <v>13272</v>
      </c>
      <c r="N4257" t="s">
        <v>278</v>
      </c>
      <c r="O4257" t="s">
        <v>134</v>
      </c>
      <c r="P4257" t="s">
        <v>29</v>
      </c>
      <c r="Q4257">
        <v>39</v>
      </c>
      <c r="R4257">
        <v>-77.487399999999994</v>
      </c>
    </row>
    <row r="4258" spans="1:18" x14ac:dyDescent="0.2">
      <c r="A4258" t="s">
        <v>270</v>
      </c>
      <c r="B4258" t="s">
        <v>440</v>
      </c>
      <c r="C4258">
        <v>1</v>
      </c>
      <c r="D4258" s="1">
        <v>44045.406585648147</v>
      </c>
      <c r="E4258" t="s">
        <v>13273</v>
      </c>
      <c r="F4258" t="s">
        <v>273</v>
      </c>
      <c r="G4258" t="s">
        <v>13255</v>
      </c>
      <c r="H4258" t="s">
        <v>275</v>
      </c>
      <c r="I4258" t="s">
        <v>29</v>
      </c>
      <c r="J4258">
        <v>1</v>
      </c>
      <c r="K4258">
        <f>1-888-539-9363</f>
        <v>-10789</v>
      </c>
      <c r="L4258" t="s">
        <v>13274</v>
      </c>
      <c r="M4258" t="s">
        <v>13275</v>
      </c>
      <c r="N4258" t="s">
        <v>278</v>
      </c>
      <c r="O4258" t="s">
        <v>134</v>
      </c>
      <c r="P4258" t="s">
        <v>29</v>
      </c>
      <c r="Q4258">
        <v>39</v>
      </c>
      <c r="R4258">
        <v>-77.487399999999994</v>
      </c>
    </row>
    <row r="4259" spans="1:18" x14ac:dyDescent="0.2">
      <c r="A4259" t="s">
        <v>2233</v>
      </c>
      <c r="B4259" t="s">
        <v>6888</v>
      </c>
      <c r="C4259">
        <v>1</v>
      </c>
      <c r="D4259" s="1">
        <v>44045.413946759261</v>
      </c>
      <c r="E4259" t="s">
        <v>13276</v>
      </c>
      <c r="F4259" t="s">
        <v>2236</v>
      </c>
      <c r="G4259" t="s">
        <v>13277</v>
      </c>
      <c r="H4259" t="s">
        <v>2237</v>
      </c>
      <c r="I4259" t="s">
        <v>29</v>
      </c>
      <c r="J4259">
        <v>1</v>
      </c>
      <c r="K4259">
        <f>1-888-984-4462</f>
        <v>-6333</v>
      </c>
      <c r="L4259" t="s">
        <v>13278</v>
      </c>
      <c r="M4259" t="s">
        <v>13279</v>
      </c>
      <c r="N4259" t="s">
        <v>5354</v>
      </c>
      <c r="O4259" t="s">
        <v>134</v>
      </c>
      <c r="P4259" t="s">
        <v>29</v>
      </c>
      <c r="Q4259">
        <v>46</v>
      </c>
      <c r="R4259">
        <v>-99.999999000000003</v>
      </c>
    </row>
    <row r="4260" spans="1:18" x14ac:dyDescent="0.2">
      <c r="A4260" t="s">
        <v>270</v>
      </c>
      <c r="B4260" t="s">
        <v>5337</v>
      </c>
      <c r="C4260">
        <v>1</v>
      </c>
      <c r="D4260" s="1">
        <v>44323.884722222225</v>
      </c>
      <c r="E4260" t="s">
        <v>13280</v>
      </c>
      <c r="F4260" t="s">
        <v>273</v>
      </c>
      <c r="G4260" t="s">
        <v>13281</v>
      </c>
      <c r="H4260" t="s">
        <v>275</v>
      </c>
      <c r="I4260" t="s">
        <v>29</v>
      </c>
      <c r="J4260">
        <v>1</v>
      </c>
      <c r="K4260">
        <f>1-844-367-4648</f>
        <v>-5858</v>
      </c>
      <c r="L4260" t="s">
        <v>13282</v>
      </c>
      <c r="M4260" t="s">
        <v>13283</v>
      </c>
      <c r="N4260" t="s">
        <v>278</v>
      </c>
      <c r="O4260" t="s">
        <v>28</v>
      </c>
      <c r="P4260" t="s">
        <v>29</v>
      </c>
      <c r="Q4260">
        <v>38</v>
      </c>
      <c r="R4260">
        <v>-99.999999000000003</v>
      </c>
    </row>
    <row r="4261" spans="1:18" x14ac:dyDescent="0.2">
      <c r="A4261" t="s">
        <v>270</v>
      </c>
      <c r="B4261" t="s">
        <v>5337</v>
      </c>
      <c r="C4261">
        <v>1</v>
      </c>
      <c r="D4261" s="1">
        <v>44149.138229166667</v>
      </c>
      <c r="E4261" t="s">
        <v>13284</v>
      </c>
      <c r="F4261" t="s">
        <v>273</v>
      </c>
      <c r="G4261" t="s">
        <v>13281</v>
      </c>
      <c r="H4261" t="s">
        <v>275</v>
      </c>
      <c r="I4261" t="s">
        <v>29</v>
      </c>
      <c r="J4261">
        <v>1</v>
      </c>
      <c r="K4261">
        <f>1-844-293-617</f>
        <v>-1753</v>
      </c>
      <c r="L4261" t="s">
        <v>13285</v>
      </c>
      <c r="M4261" t="s">
        <v>13286</v>
      </c>
      <c r="N4261" t="s">
        <v>278</v>
      </c>
      <c r="O4261" t="s">
        <v>134</v>
      </c>
      <c r="P4261" t="s">
        <v>29</v>
      </c>
      <c r="Q4261">
        <v>38</v>
      </c>
      <c r="R4261">
        <v>-99.999999000000003</v>
      </c>
    </row>
    <row r="4262" spans="1:18" x14ac:dyDescent="0.2">
      <c r="A4262" t="s">
        <v>270</v>
      </c>
      <c r="B4262" t="s">
        <v>5337</v>
      </c>
      <c r="C4262">
        <v>1</v>
      </c>
      <c r="D4262" s="1">
        <v>44149.135752314818</v>
      </c>
      <c r="E4262" t="s">
        <v>13287</v>
      </c>
      <c r="F4262" t="s">
        <v>273</v>
      </c>
      <c r="G4262" t="s">
        <v>13281</v>
      </c>
      <c r="H4262" t="s">
        <v>275</v>
      </c>
      <c r="I4262" t="s">
        <v>29</v>
      </c>
      <c r="J4262">
        <v>1</v>
      </c>
      <c r="K4262">
        <f>1-844-288-9125</f>
        <v>-10256</v>
      </c>
      <c r="L4262" t="s">
        <v>13288</v>
      </c>
      <c r="M4262" t="s">
        <v>13289</v>
      </c>
      <c r="N4262" t="s">
        <v>278</v>
      </c>
      <c r="O4262" t="s">
        <v>134</v>
      </c>
      <c r="P4262" t="s">
        <v>29</v>
      </c>
      <c r="Q4262">
        <v>38</v>
      </c>
      <c r="R4262">
        <v>-99.999999000000003</v>
      </c>
    </row>
    <row r="4263" spans="1:18" x14ac:dyDescent="0.2">
      <c r="A4263" t="s">
        <v>270</v>
      </c>
      <c r="B4263" t="s">
        <v>5337</v>
      </c>
      <c r="C4263">
        <v>1</v>
      </c>
      <c r="D4263" s="1">
        <v>44149.122627314813</v>
      </c>
      <c r="E4263" t="s">
        <v>13290</v>
      </c>
      <c r="F4263" t="s">
        <v>273</v>
      </c>
      <c r="G4263" t="s">
        <v>13281</v>
      </c>
      <c r="H4263" t="s">
        <v>275</v>
      </c>
      <c r="I4263" t="s">
        <v>29</v>
      </c>
      <c r="J4263">
        <v>1</v>
      </c>
      <c r="K4263">
        <f>1-844-295-7564</f>
        <v>-8702</v>
      </c>
      <c r="L4263" t="s">
        <v>13291</v>
      </c>
      <c r="M4263" t="s">
        <v>13292</v>
      </c>
      <c r="N4263" t="s">
        <v>278</v>
      </c>
      <c r="O4263" t="s">
        <v>134</v>
      </c>
      <c r="P4263" t="s">
        <v>29</v>
      </c>
      <c r="Q4263">
        <v>38</v>
      </c>
      <c r="R4263">
        <v>-99.999999000000003</v>
      </c>
    </row>
    <row r="4264" spans="1:18" x14ac:dyDescent="0.2">
      <c r="A4264" t="s">
        <v>270</v>
      </c>
      <c r="B4264" t="s">
        <v>5337</v>
      </c>
      <c r="C4264">
        <v>1</v>
      </c>
      <c r="D4264" s="1">
        <v>44140.779988425929</v>
      </c>
      <c r="E4264" t="s">
        <v>13293</v>
      </c>
      <c r="F4264" t="s">
        <v>273</v>
      </c>
      <c r="G4264" t="s">
        <v>13281</v>
      </c>
      <c r="H4264" t="s">
        <v>275</v>
      </c>
      <c r="I4264" t="s">
        <v>29</v>
      </c>
      <c r="J4264">
        <v>1</v>
      </c>
      <c r="K4264">
        <f>1-888-397-7606</f>
        <v>-8890</v>
      </c>
      <c r="L4264" t="s">
        <v>13294</v>
      </c>
      <c r="M4264" t="s">
        <v>13295</v>
      </c>
      <c r="N4264" t="s">
        <v>278</v>
      </c>
      <c r="O4264" t="s">
        <v>28</v>
      </c>
      <c r="P4264" t="s">
        <v>29</v>
      </c>
      <c r="Q4264">
        <v>38</v>
      </c>
      <c r="R4264">
        <v>-99.999999000000003</v>
      </c>
    </row>
    <row r="4265" spans="1:18" x14ac:dyDescent="0.2">
      <c r="A4265" t="s">
        <v>270</v>
      </c>
      <c r="B4265" t="s">
        <v>5337</v>
      </c>
      <c r="C4265">
        <v>1</v>
      </c>
      <c r="D4265" s="1">
        <v>44140.776446759257</v>
      </c>
      <c r="E4265" t="s">
        <v>13296</v>
      </c>
      <c r="F4265" t="s">
        <v>273</v>
      </c>
      <c r="G4265" t="s">
        <v>13281</v>
      </c>
      <c r="H4265" t="s">
        <v>275</v>
      </c>
      <c r="I4265" t="s">
        <v>29</v>
      </c>
      <c r="J4265">
        <v>1</v>
      </c>
      <c r="K4265">
        <f>1-888-397-7606</f>
        <v>-8890</v>
      </c>
      <c r="L4265" t="s">
        <v>13297</v>
      </c>
      <c r="M4265" t="s">
        <v>13298</v>
      </c>
      <c r="N4265" t="s">
        <v>278</v>
      </c>
      <c r="O4265" t="s">
        <v>28</v>
      </c>
      <c r="P4265" t="s">
        <v>29</v>
      </c>
      <c r="Q4265">
        <v>38</v>
      </c>
      <c r="R4265">
        <v>-99.999999000000003</v>
      </c>
    </row>
    <row r="4266" spans="1:18" x14ac:dyDescent="0.2">
      <c r="A4266" t="s">
        <v>270</v>
      </c>
      <c r="B4266" t="s">
        <v>5337</v>
      </c>
      <c r="C4266">
        <v>1</v>
      </c>
      <c r="D4266" s="1">
        <v>44113.769548611112</v>
      </c>
      <c r="E4266" t="s">
        <v>13299</v>
      </c>
      <c r="F4266" t="s">
        <v>273</v>
      </c>
      <c r="G4266" t="s">
        <v>13281</v>
      </c>
      <c r="H4266" t="s">
        <v>275</v>
      </c>
      <c r="I4266" t="s">
        <v>29</v>
      </c>
      <c r="J4266">
        <v>1</v>
      </c>
      <c r="K4266">
        <f>1-888-335-9690</f>
        <v>-10912</v>
      </c>
      <c r="L4266" t="s">
        <v>13300</v>
      </c>
      <c r="M4266" t="s">
        <v>13301</v>
      </c>
      <c r="N4266" t="s">
        <v>278</v>
      </c>
      <c r="O4266" t="s">
        <v>28</v>
      </c>
      <c r="P4266" t="s">
        <v>29</v>
      </c>
      <c r="Q4266">
        <v>38</v>
      </c>
      <c r="R4266">
        <v>-99.999999000000003</v>
      </c>
    </row>
    <row r="4267" spans="1:18" x14ac:dyDescent="0.2">
      <c r="A4267" t="s">
        <v>270</v>
      </c>
      <c r="B4267" t="s">
        <v>5337</v>
      </c>
      <c r="C4267">
        <v>1</v>
      </c>
      <c r="D4267" s="1">
        <v>44112.76085648148</v>
      </c>
      <c r="E4267" t="s">
        <v>13302</v>
      </c>
      <c r="F4267" t="s">
        <v>273</v>
      </c>
      <c r="G4267" t="s">
        <v>13281</v>
      </c>
      <c r="H4267" t="s">
        <v>275</v>
      </c>
      <c r="I4267" t="s">
        <v>29</v>
      </c>
      <c r="J4267">
        <v>1</v>
      </c>
      <c r="K4267">
        <f>1-888-334-1316</f>
        <v>-2537</v>
      </c>
      <c r="L4267" t="s">
        <v>13303</v>
      </c>
      <c r="M4267" t="s">
        <v>13304</v>
      </c>
      <c r="N4267" t="s">
        <v>278</v>
      </c>
      <c r="O4267" t="s">
        <v>28</v>
      </c>
      <c r="P4267" t="s">
        <v>29</v>
      </c>
      <c r="Q4267">
        <v>38</v>
      </c>
      <c r="R4267">
        <v>-99.999999000000003</v>
      </c>
    </row>
    <row r="4268" spans="1:18" x14ac:dyDescent="0.2">
      <c r="A4268" t="s">
        <v>270</v>
      </c>
      <c r="B4268" t="s">
        <v>5337</v>
      </c>
      <c r="C4268">
        <v>1</v>
      </c>
      <c r="D4268" s="1">
        <v>44106.935497685183</v>
      </c>
      <c r="E4268" t="s">
        <v>13305</v>
      </c>
      <c r="F4268" t="s">
        <v>273</v>
      </c>
      <c r="G4268" t="s">
        <v>13281</v>
      </c>
      <c r="H4268" t="s">
        <v>275</v>
      </c>
      <c r="I4268" t="s">
        <v>29</v>
      </c>
      <c r="J4268">
        <v>1</v>
      </c>
      <c r="K4268">
        <f>1-888-278-9830</f>
        <v>-10995</v>
      </c>
      <c r="L4268" t="s">
        <v>13306</v>
      </c>
      <c r="M4268" t="s">
        <v>13307</v>
      </c>
      <c r="N4268" t="s">
        <v>278</v>
      </c>
      <c r="O4268" t="s">
        <v>28</v>
      </c>
      <c r="P4268" t="s">
        <v>29</v>
      </c>
      <c r="Q4268">
        <v>38</v>
      </c>
      <c r="R4268">
        <v>-99.999999000000003</v>
      </c>
    </row>
    <row r="4269" spans="1:18" x14ac:dyDescent="0.2">
      <c r="A4269" t="s">
        <v>270</v>
      </c>
      <c r="B4269" t="s">
        <v>5337</v>
      </c>
      <c r="C4269">
        <v>1</v>
      </c>
      <c r="D4269" s="1">
        <v>44102.822638888887</v>
      </c>
      <c r="E4269" t="s">
        <v>13308</v>
      </c>
      <c r="F4269" t="s">
        <v>273</v>
      </c>
      <c r="G4269" t="s">
        <v>13281</v>
      </c>
      <c r="H4269" t="s">
        <v>275</v>
      </c>
      <c r="I4269" t="s">
        <v>29</v>
      </c>
      <c r="J4269">
        <v>1</v>
      </c>
      <c r="K4269">
        <f>1-888-228-8619</f>
        <v>-9734</v>
      </c>
      <c r="L4269" t="s">
        <v>13309</v>
      </c>
      <c r="M4269" t="s">
        <v>13310</v>
      </c>
      <c r="N4269" t="s">
        <v>278</v>
      </c>
      <c r="O4269" t="s">
        <v>28</v>
      </c>
      <c r="P4269" t="s">
        <v>29</v>
      </c>
      <c r="Q4269">
        <v>38</v>
      </c>
      <c r="R4269">
        <v>-99.999999000000003</v>
      </c>
    </row>
    <row r="4270" spans="1:18" x14ac:dyDescent="0.2">
      <c r="A4270" t="s">
        <v>270</v>
      </c>
      <c r="B4270" t="s">
        <v>5337</v>
      </c>
      <c r="C4270">
        <v>1</v>
      </c>
      <c r="D4270" s="1">
        <v>44099.913449074076</v>
      </c>
      <c r="E4270" t="s">
        <v>13311</v>
      </c>
      <c r="F4270" t="s">
        <v>273</v>
      </c>
      <c r="G4270" t="s">
        <v>13281</v>
      </c>
      <c r="H4270" t="s">
        <v>275</v>
      </c>
      <c r="I4270" t="s">
        <v>29</v>
      </c>
      <c r="J4270">
        <v>1</v>
      </c>
      <c r="K4270">
        <f>1-888-252-1197</f>
        <v>-2336</v>
      </c>
      <c r="L4270" t="s">
        <v>13312</v>
      </c>
      <c r="M4270" t="s">
        <v>13313</v>
      </c>
      <c r="N4270" t="s">
        <v>278</v>
      </c>
      <c r="O4270" t="s">
        <v>28</v>
      </c>
      <c r="P4270" t="s">
        <v>29</v>
      </c>
      <c r="Q4270">
        <v>38</v>
      </c>
      <c r="R4270">
        <v>-99.999999000000003</v>
      </c>
    </row>
    <row r="4271" spans="1:18" x14ac:dyDescent="0.2">
      <c r="A4271" t="s">
        <v>270</v>
      </c>
      <c r="B4271" t="s">
        <v>5337</v>
      </c>
      <c r="C4271">
        <v>1</v>
      </c>
      <c r="D4271" s="1">
        <v>44096.366539351853</v>
      </c>
      <c r="E4271" t="s">
        <v>13314</v>
      </c>
      <c r="F4271" t="s">
        <v>273</v>
      </c>
      <c r="G4271" t="s">
        <v>13281</v>
      </c>
      <c r="H4271" t="s">
        <v>275</v>
      </c>
      <c r="I4271" t="s">
        <v>29</v>
      </c>
      <c r="J4271">
        <v>1</v>
      </c>
      <c r="K4271">
        <f>1-844-309-2655</f>
        <v>-3807</v>
      </c>
      <c r="L4271" t="s">
        <v>13315</v>
      </c>
      <c r="M4271" t="s">
        <v>13316</v>
      </c>
      <c r="N4271" t="s">
        <v>278</v>
      </c>
      <c r="O4271" t="s">
        <v>28</v>
      </c>
      <c r="P4271" t="s">
        <v>29</v>
      </c>
      <c r="Q4271">
        <v>38</v>
      </c>
      <c r="R4271">
        <v>-99.999999000000003</v>
      </c>
    </row>
    <row r="4272" spans="1:18" x14ac:dyDescent="0.2">
      <c r="A4272" t="s">
        <v>270</v>
      </c>
      <c r="B4272" t="s">
        <v>5337</v>
      </c>
      <c r="C4272">
        <v>1</v>
      </c>
      <c r="D4272" s="1">
        <v>44095.785150462965</v>
      </c>
      <c r="E4272" t="s">
        <v>13317</v>
      </c>
      <c r="F4272" t="s">
        <v>273</v>
      </c>
      <c r="G4272" t="s">
        <v>13281</v>
      </c>
      <c r="H4272" t="s">
        <v>275</v>
      </c>
      <c r="I4272" t="s">
        <v>29</v>
      </c>
      <c r="J4272">
        <v>1</v>
      </c>
      <c r="K4272">
        <f>1-844-301-8222</f>
        <v>-9366</v>
      </c>
      <c r="L4272" t="s">
        <v>13318</v>
      </c>
      <c r="M4272" t="s">
        <v>13319</v>
      </c>
      <c r="N4272" t="s">
        <v>278</v>
      </c>
      <c r="O4272" t="s">
        <v>28</v>
      </c>
      <c r="P4272" t="s">
        <v>29</v>
      </c>
      <c r="Q4272">
        <v>38</v>
      </c>
      <c r="R4272">
        <v>-99.999999000000003</v>
      </c>
    </row>
    <row r="4273" spans="1:18" x14ac:dyDescent="0.2">
      <c r="A4273" t="s">
        <v>270</v>
      </c>
      <c r="B4273" t="s">
        <v>5337</v>
      </c>
      <c r="C4273">
        <v>1</v>
      </c>
      <c r="D4273" s="1">
        <v>44095.784942129627</v>
      </c>
      <c r="E4273" t="s">
        <v>13320</v>
      </c>
      <c r="F4273" t="s">
        <v>273</v>
      </c>
      <c r="G4273" t="s">
        <v>13281</v>
      </c>
      <c r="H4273" t="s">
        <v>275</v>
      </c>
      <c r="I4273" t="s">
        <v>29</v>
      </c>
      <c r="J4273">
        <v>1</v>
      </c>
      <c r="K4273">
        <f>1-844-301-8222</f>
        <v>-9366</v>
      </c>
      <c r="L4273" t="s">
        <v>13321</v>
      </c>
      <c r="M4273" t="s">
        <v>13322</v>
      </c>
      <c r="N4273" t="s">
        <v>278</v>
      </c>
      <c r="O4273" t="s">
        <v>28</v>
      </c>
      <c r="P4273" t="s">
        <v>29</v>
      </c>
      <c r="Q4273">
        <v>38</v>
      </c>
      <c r="R4273">
        <v>-99.999999000000003</v>
      </c>
    </row>
    <row r="4274" spans="1:18" x14ac:dyDescent="0.2">
      <c r="A4274" t="s">
        <v>270</v>
      </c>
      <c r="B4274" t="s">
        <v>5337</v>
      </c>
      <c r="C4274">
        <v>1</v>
      </c>
      <c r="D4274" s="1">
        <v>44090.797337962962</v>
      </c>
      <c r="E4274" t="s">
        <v>13323</v>
      </c>
      <c r="F4274" t="s">
        <v>273</v>
      </c>
      <c r="G4274" t="s">
        <v>13281</v>
      </c>
      <c r="H4274" t="s">
        <v>275</v>
      </c>
      <c r="I4274" t="s">
        <v>29</v>
      </c>
      <c r="J4274">
        <v>1</v>
      </c>
      <c r="K4274">
        <f>1-844-243-4064</f>
        <v>-5150</v>
      </c>
      <c r="L4274" t="s">
        <v>13324</v>
      </c>
      <c r="M4274" t="s">
        <v>13325</v>
      </c>
      <c r="N4274" t="s">
        <v>278</v>
      </c>
      <c r="O4274" t="s">
        <v>28</v>
      </c>
      <c r="P4274" t="s">
        <v>29</v>
      </c>
      <c r="Q4274">
        <v>38</v>
      </c>
      <c r="R4274">
        <v>-99.999999000000003</v>
      </c>
    </row>
    <row r="4275" spans="1:18" x14ac:dyDescent="0.2">
      <c r="A4275" t="s">
        <v>270</v>
      </c>
      <c r="B4275" t="s">
        <v>5337</v>
      </c>
      <c r="C4275">
        <v>1</v>
      </c>
      <c r="D4275" s="1">
        <v>44090.416331018518</v>
      </c>
      <c r="E4275" t="s">
        <v>13326</v>
      </c>
      <c r="F4275" t="s">
        <v>273</v>
      </c>
      <c r="G4275" t="s">
        <v>13281</v>
      </c>
      <c r="H4275" t="s">
        <v>275</v>
      </c>
      <c r="I4275" t="s">
        <v>29</v>
      </c>
      <c r="J4275">
        <v>1</v>
      </c>
      <c r="K4275">
        <f>1-844-318-8589</f>
        <v>-9750</v>
      </c>
      <c r="L4275" t="s">
        <v>13327</v>
      </c>
      <c r="M4275" t="s">
        <v>13328</v>
      </c>
      <c r="N4275" t="s">
        <v>278</v>
      </c>
      <c r="O4275" t="s">
        <v>28</v>
      </c>
      <c r="P4275" t="s">
        <v>29</v>
      </c>
      <c r="Q4275">
        <v>38</v>
      </c>
      <c r="R4275">
        <v>-99.999999000000003</v>
      </c>
    </row>
    <row r="4276" spans="1:18" x14ac:dyDescent="0.2">
      <c r="A4276" t="s">
        <v>270</v>
      </c>
      <c r="B4276" t="s">
        <v>5337</v>
      </c>
      <c r="C4276">
        <v>1</v>
      </c>
      <c r="D4276" s="1">
        <v>44090.414629629631</v>
      </c>
      <c r="E4276" t="s">
        <v>13329</v>
      </c>
      <c r="F4276" t="s">
        <v>273</v>
      </c>
      <c r="G4276" t="s">
        <v>13281</v>
      </c>
      <c r="H4276" t="s">
        <v>275</v>
      </c>
      <c r="I4276" t="s">
        <v>29</v>
      </c>
      <c r="J4276">
        <v>1</v>
      </c>
      <c r="K4276">
        <f>1-844-311-7591</f>
        <v>-8745</v>
      </c>
      <c r="L4276" t="s">
        <v>13330</v>
      </c>
      <c r="M4276" t="s">
        <v>13331</v>
      </c>
      <c r="N4276" t="s">
        <v>278</v>
      </c>
      <c r="O4276" t="s">
        <v>28</v>
      </c>
      <c r="P4276" t="s">
        <v>29</v>
      </c>
      <c r="Q4276">
        <v>38</v>
      </c>
      <c r="R4276">
        <v>-99.999999000000003</v>
      </c>
    </row>
    <row r="4277" spans="1:18" x14ac:dyDescent="0.2">
      <c r="A4277" t="s">
        <v>270</v>
      </c>
      <c r="B4277" t="s">
        <v>5337</v>
      </c>
      <c r="C4277">
        <v>1</v>
      </c>
      <c r="D4277" s="1">
        <v>44089.432222222225</v>
      </c>
      <c r="E4277" t="s">
        <v>13332</v>
      </c>
      <c r="F4277" t="s">
        <v>273</v>
      </c>
      <c r="G4277" t="s">
        <v>13281</v>
      </c>
      <c r="H4277" t="s">
        <v>275</v>
      </c>
      <c r="I4277" t="s">
        <v>29</v>
      </c>
      <c r="J4277">
        <v>1</v>
      </c>
      <c r="K4277">
        <f>1-844-210-4337</f>
        <v>-5390</v>
      </c>
      <c r="L4277" t="s">
        <v>13333</v>
      </c>
      <c r="M4277" t="s">
        <v>13334</v>
      </c>
      <c r="N4277" t="s">
        <v>278</v>
      </c>
      <c r="O4277" t="s">
        <v>28</v>
      </c>
      <c r="P4277" t="s">
        <v>29</v>
      </c>
      <c r="Q4277">
        <v>38</v>
      </c>
      <c r="R4277">
        <v>-99.999999000000003</v>
      </c>
    </row>
    <row r="4278" spans="1:18" x14ac:dyDescent="0.2">
      <c r="A4278" t="s">
        <v>270</v>
      </c>
      <c r="B4278" t="s">
        <v>5337</v>
      </c>
      <c r="C4278">
        <v>1</v>
      </c>
      <c r="D4278" s="1">
        <v>44089.430925925924</v>
      </c>
      <c r="E4278" t="s">
        <v>13335</v>
      </c>
      <c r="F4278" t="s">
        <v>273</v>
      </c>
      <c r="G4278" t="s">
        <v>13281</v>
      </c>
      <c r="H4278" t="s">
        <v>275</v>
      </c>
      <c r="I4278" t="s">
        <v>29</v>
      </c>
      <c r="J4278">
        <v>1</v>
      </c>
      <c r="K4278">
        <f>1-844-210-4337</f>
        <v>-5390</v>
      </c>
      <c r="L4278" t="s">
        <v>13336</v>
      </c>
      <c r="M4278" t="s">
        <v>13337</v>
      </c>
      <c r="N4278" t="s">
        <v>278</v>
      </c>
      <c r="O4278" t="s">
        <v>28</v>
      </c>
      <c r="P4278" t="s">
        <v>29</v>
      </c>
      <c r="Q4278">
        <v>38</v>
      </c>
      <c r="R4278">
        <v>-99.999999000000003</v>
      </c>
    </row>
    <row r="4279" spans="1:18" x14ac:dyDescent="0.2">
      <c r="A4279" t="s">
        <v>270</v>
      </c>
      <c r="B4279" t="s">
        <v>5337</v>
      </c>
      <c r="C4279">
        <v>1</v>
      </c>
      <c r="D4279" s="1">
        <v>44088.940520833334</v>
      </c>
      <c r="E4279" t="s">
        <v>13338</v>
      </c>
      <c r="F4279" t="s">
        <v>273</v>
      </c>
      <c r="G4279" t="s">
        <v>13281</v>
      </c>
      <c r="H4279" t="s">
        <v>275</v>
      </c>
      <c r="I4279" t="s">
        <v>29</v>
      </c>
      <c r="J4279">
        <v>1</v>
      </c>
      <c r="K4279">
        <f>1-844-210-4337</f>
        <v>-5390</v>
      </c>
      <c r="L4279" t="s">
        <v>13339</v>
      </c>
      <c r="M4279" t="s">
        <v>13340</v>
      </c>
      <c r="N4279" t="s">
        <v>278</v>
      </c>
      <c r="O4279" t="s">
        <v>28</v>
      </c>
      <c r="P4279" t="s">
        <v>29</v>
      </c>
      <c r="Q4279">
        <v>38</v>
      </c>
      <c r="R4279">
        <v>-99.999999000000003</v>
      </c>
    </row>
    <row r="4280" spans="1:18" x14ac:dyDescent="0.2">
      <c r="A4280" t="s">
        <v>270</v>
      </c>
      <c r="B4280" t="s">
        <v>5337</v>
      </c>
      <c r="C4280">
        <v>1</v>
      </c>
      <c r="D4280" s="1">
        <v>44088.772743055553</v>
      </c>
      <c r="E4280" t="s">
        <v>13341</v>
      </c>
      <c r="F4280" t="s">
        <v>273</v>
      </c>
      <c r="G4280" t="s">
        <v>13281</v>
      </c>
      <c r="H4280" t="s">
        <v>275</v>
      </c>
      <c r="I4280" t="s">
        <v>29</v>
      </c>
      <c r="J4280">
        <v>1</v>
      </c>
      <c r="K4280">
        <f>1-844-212-7353</f>
        <v>-8408</v>
      </c>
      <c r="L4280" t="s">
        <v>13342</v>
      </c>
      <c r="M4280" t="s">
        <v>13343</v>
      </c>
      <c r="N4280" t="s">
        <v>278</v>
      </c>
      <c r="O4280" t="s">
        <v>28</v>
      </c>
      <c r="P4280" t="s">
        <v>29</v>
      </c>
      <c r="Q4280">
        <v>38</v>
      </c>
      <c r="R4280">
        <v>-99.999999000000003</v>
      </c>
    </row>
    <row r="4281" spans="1:18" x14ac:dyDescent="0.2">
      <c r="A4281" t="s">
        <v>270</v>
      </c>
      <c r="B4281" t="s">
        <v>5337</v>
      </c>
      <c r="C4281">
        <v>1</v>
      </c>
      <c r="D4281" s="1">
        <v>44084.7809375</v>
      </c>
      <c r="E4281" t="s">
        <v>13344</v>
      </c>
      <c r="F4281" t="s">
        <v>273</v>
      </c>
      <c r="G4281" t="s">
        <v>13281</v>
      </c>
      <c r="H4281" t="s">
        <v>275</v>
      </c>
      <c r="I4281" t="s">
        <v>29</v>
      </c>
      <c r="J4281">
        <v>1</v>
      </c>
      <c r="K4281">
        <f>1-888-608-5109</f>
        <v>-6604</v>
      </c>
      <c r="L4281" t="s">
        <v>13345</v>
      </c>
      <c r="M4281" t="s">
        <v>13346</v>
      </c>
      <c r="N4281" t="s">
        <v>278</v>
      </c>
      <c r="O4281" t="s">
        <v>28</v>
      </c>
      <c r="P4281" t="s">
        <v>29</v>
      </c>
      <c r="Q4281">
        <v>38</v>
      </c>
      <c r="R4281">
        <v>-99.999999000000003</v>
      </c>
    </row>
    <row r="4282" spans="1:18" x14ac:dyDescent="0.2">
      <c r="A4282" t="s">
        <v>270</v>
      </c>
      <c r="B4282" t="s">
        <v>5337</v>
      </c>
      <c r="C4282">
        <v>1</v>
      </c>
      <c r="D4282" s="1">
        <v>44083.910266203704</v>
      </c>
      <c r="E4282" t="s">
        <v>13347</v>
      </c>
      <c r="F4282" t="s">
        <v>273</v>
      </c>
      <c r="G4282" t="s">
        <v>13281</v>
      </c>
      <c r="H4282" t="s">
        <v>275</v>
      </c>
      <c r="I4282" t="s">
        <v>29</v>
      </c>
      <c r="J4282">
        <v>1</v>
      </c>
      <c r="K4282">
        <f>1-888-585-4129</f>
        <v>-5601</v>
      </c>
      <c r="L4282" t="s">
        <v>13348</v>
      </c>
      <c r="M4282" t="s">
        <v>13349</v>
      </c>
      <c r="N4282" t="s">
        <v>278</v>
      </c>
      <c r="O4282" t="s">
        <v>28</v>
      </c>
      <c r="P4282" t="s">
        <v>29</v>
      </c>
      <c r="Q4282">
        <v>38</v>
      </c>
      <c r="R4282">
        <v>-99.999999000000003</v>
      </c>
    </row>
    <row r="4283" spans="1:18" x14ac:dyDescent="0.2">
      <c r="A4283" t="s">
        <v>270</v>
      </c>
      <c r="B4283" t="s">
        <v>5337</v>
      </c>
      <c r="C4283">
        <v>1</v>
      </c>
      <c r="D4283" s="1">
        <v>44083.845393518517</v>
      </c>
      <c r="E4283" t="s">
        <v>13350</v>
      </c>
      <c r="F4283" t="s">
        <v>273</v>
      </c>
      <c r="G4283" t="s">
        <v>13281</v>
      </c>
      <c r="H4283" t="s">
        <v>275</v>
      </c>
      <c r="I4283" t="s">
        <v>29</v>
      </c>
      <c r="J4283">
        <v>1</v>
      </c>
      <c r="K4283">
        <f>1-888-599-4298</f>
        <v>-5784</v>
      </c>
      <c r="L4283" t="s">
        <v>13351</v>
      </c>
      <c r="M4283" t="s">
        <v>13352</v>
      </c>
      <c r="N4283" t="s">
        <v>278</v>
      </c>
      <c r="O4283" t="s">
        <v>28</v>
      </c>
      <c r="P4283" t="s">
        <v>29</v>
      </c>
      <c r="Q4283">
        <v>38</v>
      </c>
      <c r="R4283">
        <v>-99.999999000000003</v>
      </c>
    </row>
    <row r="4284" spans="1:18" x14ac:dyDescent="0.2">
      <c r="A4284" t="s">
        <v>270</v>
      </c>
      <c r="B4284" t="s">
        <v>5337</v>
      </c>
      <c r="C4284">
        <v>1</v>
      </c>
      <c r="D4284" s="1">
        <v>44083.80097222222</v>
      </c>
      <c r="E4284" t="s">
        <v>13353</v>
      </c>
      <c r="F4284" t="s">
        <v>273</v>
      </c>
      <c r="G4284" t="s">
        <v>13281</v>
      </c>
      <c r="H4284" t="s">
        <v>275</v>
      </c>
      <c r="I4284" t="s">
        <v>29</v>
      </c>
      <c r="J4284">
        <v>1</v>
      </c>
      <c r="K4284">
        <f>1-888-599-5036</f>
        <v>-6522</v>
      </c>
      <c r="L4284" t="s">
        <v>13354</v>
      </c>
      <c r="M4284" t="s">
        <v>13355</v>
      </c>
      <c r="N4284" t="s">
        <v>278</v>
      </c>
      <c r="O4284" t="s">
        <v>28</v>
      </c>
      <c r="P4284" t="s">
        <v>29</v>
      </c>
      <c r="Q4284">
        <v>38</v>
      </c>
      <c r="R4284">
        <v>-99.999999000000003</v>
      </c>
    </row>
    <row r="4285" spans="1:18" x14ac:dyDescent="0.2">
      <c r="A4285" t="s">
        <v>270</v>
      </c>
      <c r="B4285" t="s">
        <v>5337</v>
      </c>
      <c r="C4285">
        <v>1</v>
      </c>
      <c r="D4285" s="1">
        <v>44082.946817129632</v>
      </c>
      <c r="E4285" t="s">
        <v>13356</v>
      </c>
      <c r="F4285" t="s">
        <v>273</v>
      </c>
      <c r="G4285" t="s">
        <v>13281</v>
      </c>
      <c r="H4285" t="s">
        <v>275</v>
      </c>
      <c r="I4285" t="s">
        <v>29</v>
      </c>
      <c r="J4285">
        <v>1</v>
      </c>
      <c r="K4285">
        <f>1-888-592-8059</f>
        <v>-9538</v>
      </c>
      <c r="L4285" t="s">
        <v>13357</v>
      </c>
      <c r="M4285" t="s">
        <v>13358</v>
      </c>
      <c r="N4285" t="s">
        <v>278</v>
      </c>
      <c r="O4285" t="s">
        <v>28</v>
      </c>
      <c r="P4285" t="s">
        <v>29</v>
      </c>
      <c r="Q4285">
        <v>38</v>
      </c>
      <c r="R4285">
        <v>-99.999999000000003</v>
      </c>
    </row>
    <row r="4286" spans="1:18" x14ac:dyDescent="0.2">
      <c r="A4286" t="s">
        <v>270</v>
      </c>
      <c r="B4286" t="s">
        <v>5337</v>
      </c>
      <c r="C4286">
        <v>1</v>
      </c>
      <c r="D4286" s="1">
        <v>44082.841365740744</v>
      </c>
      <c r="E4286" t="s">
        <v>13359</v>
      </c>
      <c r="F4286" t="s">
        <v>273</v>
      </c>
      <c r="G4286" t="s">
        <v>13281</v>
      </c>
      <c r="H4286" t="s">
        <v>275</v>
      </c>
      <c r="I4286" t="s">
        <v>29</v>
      </c>
      <c r="J4286">
        <v>1</v>
      </c>
      <c r="K4286">
        <f>1-888-646-615</f>
        <v>-2148</v>
      </c>
      <c r="L4286" t="s">
        <v>13360</v>
      </c>
      <c r="M4286" t="s">
        <v>13361</v>
      </c>
      <c r="N4286" t="s">
        <v>278</v>
      </c>
      <c r="O4286" t="s">
        <v>134</v>
      </c>
      <c r="P4286" t="s">
        <v>29</v>
      </c>
      <c r="Q4286">
        <v>38</v>
      </c>
      <c r="R4286">
        <v>-99.999999000000003</v>
      </c>
    </row>
    <row r="4287" spans="1:18" x14ac:dyDescent="0.2">
      <c r="A4287" t="s">
        <v>270</v>
      </c>
      <c r="B4287" t="s">
        <v>5337</v>
      </c>
      <c r="C4287">
        <v>1</v>
      </c>
      <c r="D4287" s="1">
        <v>44082.84</v>
      </c>
      <c r="E4287" t="s">
        <v>13362</v>
      </c>
      <c r="F4287" t="s">
        <v>273</v>
      </c>
      <c r="G4287" t="s">
        <v>13281</v>
      </c>
      <c r="H4287" t="s">
        <v>275</v>
      </c>
      <c r="I4287" t="s">
        <v>29</v>
      </c>
      <c r="J4287">
        <v>1</v>
      </c>
      <c r="K4287">
        <f>1-888-606-454</f>
        <v>-1947</v>
      </c>
      <c r="L4287" t="s">
        <v>13363</v>
      </c>
      <c r="M4287" t="s">
        <v>13364</v>
      </c>
      <c r="N4287" t="s">
        <v>278</v>
      </c>
      <c r="O4287" t="s">
        <v>134</v>
      </c>
      <c r="P4287" t="s">
        <v>29</v>
      </c>
      <c r="Q4287">
        <v>38</v>
      </c>
      <c r="R4287">
        <v>-99.999999000000003</v>
      </c>
    </row>
    <row r="4288" spans="1:18" x14ac:dyDescent="0.2">
      <c r="A4288" t="s">
        <v>270</v>
      </c>
      <c r="B4288" t="s">
        <v>5337</v>
      </c>
      <c r="C4288">
        <v>1</v>
      </c>
      <c r="D4288" s="1">
        <v>44078.852812500001</v>
      </c>
      <c r="E4288" t="s">
        <v>13365</v>
      </c>
      <c r="F4288" t="s">
        <v>273</v>
      </c>
      <c r="G4288" t="s">
        <v>13281</v>
      </c>
      <c r="H4288" t="s">
        <v>275</v>
      </c>
      <c r="I4288" t="s">
        <v>29</v>
      </c>
      <c r="J4288">
        <v>1</v>
      </c>
      <c r="K4288">
        <f>1-866-591-3044</f>
        <v>-4500</v>
      </c>
      <c r="L4288" t="s">
        <v>13366</v>
      </c>
      <c r="M4288" t="s">
        <v>13367</v>
      </c>
      <c r="N4288" t="s">
        <v>278</v>
      </c>
      <c r="O4288" t="s">
        <v>134</v>
      </c>
      <c r="P4288" t="s">
        <v>29</v>
      </c>
      <c r="Q4288">
        <v>38</v>
      </c>
      <c r="R4288">
        <v>-99.999999000000003</v>
      </c>
    </row>
    <row r="4289" spans="1:18" x14ac:dyDescent="0.2">
      <c r="A4289" t="s">
        <v>270</v>
      </c>
      <c r="B4289" t="s">
        <v>5337</v>
      </c>
      <c r="C4289">
        <v>1</v>
      </c>
      <c r="D4289" s="1">
        <v>44078.851724537039</v>
      </c>
      <c r="E4289" t="s">
        <v>13368</v>
      </c>
      <c r="F4289" t="s">
        <v>273</v>
      </c>
      <c r="G4289" t="s">
        <v>13281</v>
      </c>
      <c r="H4289" t="s">
        <v>275</v>
      </c>
      <c r="I4289" t="s">
        <v>29</v>
      </c>
      <c r="J4289">
        <v>1</v>
      </c>
      <c r="K4289">
        <f>1-866-754-7703</f>
        <v>-9322</v>
      </c>
      <c r="L4289" t="s">
        <v>13369</v>
      </c>
      <c r="M4289" t="s">
        <v>13370</v>
      </c>
      <c r="N4289" t="s">
        <v>278</v>
      </c>
      <c r="O4289" t="s">
        <v>134</v>
      </c>
      <c r="P4289" t="s">
        <v>29</v>
      </c>
      <c r="Q4289">
        <v>38</v>
      </c>
      <c r="R4289">
        <v>-99.999999000000003</v>
      </c>
    </row>
    <row r="4290" spans="1:18" x14ac:dyDescent="0.2">
      <c r="A4290" t="s">
        <v>270</v>
      </c>
      <c r="B4290" t="s">
        <v>5337</v>
      </c>
      <c r="C4290">
        <v>1</v>
      </c>
      <c r="D4290" s="1">
        <v>44078.849548611113</v>
      </c>
      <c r="E4290" t="s">
        <v>13371</v>
      </c>
      <c r="F4290" t="s">
        <v>273</v>
      </c>
      <c r="G4290" t="s">
        <v>13281</v>
      </c>
      <c r="H4290" t="s">
        <v>275</v>
      </c>
      <c r="I4290" t="s">
        <v>29</v>
      </c>
      <c r="J4290">
        <v>1</v>
      </c>
      <c r="K4290">
        <f>1-866-586-2110</f>
        <v>-3561</v>
      </c>
      <c r="L4290" t="s">
        <v>13372</v>
      </c>
      <c r="M4290" t="s">
        <v>13373</v>
      </c>
      <c r="N4290" t="s">
        <v>278</v>
      </c>
      <c r="O4290" t="s">
        <v>134</v>
      </c>
      <c r="P4290" t="s">
        <v>29</v>
      </c>
      <c r="Q4290">
        <v>38</v>
      </c>
      <c r="R4290">
        <v>-99.999999000000003</v>
      </c>
    </row>
    <row r="4291" spans="1:18" x14ac:dyDescent="0.2">
      <c r="A4291" t="s">
        <v>270</v>
      </c>
      <c r="B4291" t="s">
        <v>5337</v>
      </c>
      <c r="C4291">
        <v>1</v>
      </c>
      <c r="D4291" s="1">
        <v>44076.381458333337</v>
      </c>
      <c r="E4291" t="s">
        <v>13374</v>
      </c>
      <c r="F4291" t="s">
        <v>273</v>
      </c>
      <c r="G4291" t="s">
        <v>13281</v>
      </c>
      <c r="H4291" t="s">
        <v>275</v>
      </c>
      <c r="I4291" t="s">
        <v>29</v>
      </c>
      <c r="J4291">
        <v>1</v>
      </c>
      <c r="K4291">
        <f>1-888-541-4913</f>
        <v>-6341</v>
      </c>
      <c r="L4291" t="s">
        <v>13375</v>
      </c>
      <c r="M4291" t="s">
        <v>13376</v>
      </c>
      <c r="N4291" t="s">
        <v>278</v>
      </c>
      <c r="O4291" t="s">
        <v>28</v>
      </c>
      <c r="P4291" t="s">
        <v>29</v>
      </c>
      <c r="Q4291">
        <v>38</v>
      </c>
      <c r="R4291">
        <v>-99.999999000000003</v>
      </c>
    </row>
    <row r="4292" spans="1:18" x14ac:dyDescent="0.2">
      <c r="A4292" t="s">
        <v>270</v>
      </c>
      <c r="B4292" t="s">
        <v>5337</v>
      </c>
      <c r="C4292">
        <v>1</v>
      </c>
      <c r="D4292" s="1">
        <v>44075.759953703702</v>
      </c>
      <c r="E4292" t="s">
        <v>13377</v>
      </c>
      <c r="F4292" t="s">
        <v>273</v>
      </c>
      <c r="G4292" t="s">
        <v>13281</v>
      </c>
      <c r="H4292" t="s">
        <v>275</v>
      </c>
      <c r="I4292" t="s">
        <v>29</v>
      </c>
      <c r="J4292">
        <v>1</v>
      </c>
      <c r="K4292">
        <f>1-888-291-91</f>
        <v>-1269</v>
      </c>
      <c r="L4292" t="s">
        <v>13378</v>
      </c>
      <c r="M4292" t="s">
        <v>13379</v>
      </c>
      <c r="N4292" t="s">
        <v>278</v>
      </c>
      <c r="O4292" t="s">
        <v>134</v>
      </c>
      <c r="P4292" t="s">
        <v>29</v>
      </c>
      <c r="Q4292">
        <v>38</v>
      </c>
      <c r="R4292">
        <v>-99.999999000000003</v>
      </c>
    </row>
    <row r="4293" spans="1:18" x14ac:dyDescent="0.2">
      <c r="A4293" t="s">
        <v>270</v>
      </c>
      <c r="B4293" t="s">
        <v>5337</v>
      </c>
      <c r="C4293">
        <v>1</v>
      </c>
      <c r="D4293" s="1">
        <v>44073.942800925928</v>
      </c>
      <c r="E4293" t="s">
        <v>13380</v>
      </c>
      <c r="F4293" t="s">
        <v>273</v>
      </c>
      <c r="G4293" t="s">
        <v>13281</v>
      </c>
      <c r="H4293" t="s">
        <v>275</v>
      </c>
      <c r="I4293" t="s">
        <v>29</v>
      </c>
      <c r="J4293">
        <v>1</v>
      </c>
      <c r="K4293">
        <f>1-888-312-1403</f>
        <v>-2602</v>
      </c>
      <c r="L4293" t="s">
        <v>13381</v>
      </c>
      <c r="M4293" t="s">
        <v>13382</v>
      </c>
      <c r="N4293" t="s">
        <v>278</v>
      </c>
      <c r="O4293" t="s">
        <v>134</v>
      </c>
      <c r="P4293" t="s">
        <v>29</v>
      </c>
      <c r="Q4293">
        <v>38</v>
      </c>
      <c r="R4293">
        <v>-99.999999000000003</v>
      </c>
    </row>
    <row r="4294" spans="1:18" x14ac:dyDescent="0.2">
      <c r="A4294" t="s">
        <v>270</v>
      </c>
      <c r="B4294" t="s">
        <v>5337</v>
      </c>
      <c r="C4294">
        <v>1</v>
      </c>
      <c r="D4294" s="1">
        <v>44073.941111111111</v>
      </c>
      <c r="E4294" t="s">
        <v>13383</v>
      </c>
      <c r="F4294" t="s">
        <v>273</v>
      </c>
      <c r="G4294" t="s">
        <v>13281</v>
      </c>
      <c r="H4294" t="s">
        <v>275</v>
      </c>
      <c r="I4294" t="s">
        <v>29</v>
      </c>
      <c r="J4294">
        <v>1</v>
      </c>
      <c r="K4294">
        <f>1-888-312-1413</f>
        <v>-2612</v>
      </c>
      <c r="L4294" t="s">
        <v>13384</v>
      </c>
      <c r="M4294" t="s">
        <v>13385</v>
      </c>
      <c r="N4294" t="s">
        <v>278</v>
      </c>
      <c r="O4294" t="s">
        <v>134</v>
      </c>
      <c r="P4294" t="s">
        <v>29</v>
      </c>
      <c r="Q4294">
        <v>38</v>
      </c>
      <c r="R4294">
        <v>-99.999999000000003</v>
      </c>
    </row>
    <row r="4295" spans="1:18" x14ac:dyDescent="0.2">
      <c r="A4295" t="s">
        <v>270</v>
      </c>
      <c r="B4295" t="s">
        <v>5337</v>
      </c>
      <c r="C4295">
        <v>1</v>
      </c>
      <c r="D4295" s="1">
        <v>44073.939502314817</v>
      </c>
      <c r="E4295" t="s">
        <v>13386</v>
      </c>
      <c r="F4295" t="s">
        <v>273</v>
      </c>
      <c r="G4295" t="s">
        <v>13281</v>
      </c>
      <c r="H4295" t="s">
        <v>275</v>
      </c>
      <c r="I4295" t="s">
        <v>29</v>
      </c>
      <c r="J4295">
        <v>1</v>
      </c>
      <c r="K4295">
        <f>1-888-521-2485</f>
        <v>-3893</v>
      </c>
      <c r="L4295" t="s">
        <v>13387</v>
      </c>
      <c r="M4295" t="s">
        <v>13388</v>
      </c>
      <c r="N4295" t="s">
        <v>278</v>
      </c>
      <c r="O4295" t="s">
        <v>134</v>
      </c>
      <c r="P4295" t="s">
        <v>29</v>
      </c>
      <c r="Q4295">
        <v>38</v>
      </c>
      <c r="R4295">
        <v>-99.999999000000003</v>
      </c>
    </row>
    <row r="4296" spans="1:18" x14ac:dyDescent="0.2">
      <c r="A4296" t="s">
        <v>270</v>
      </c>
      <c r="B4296" t="s">
        <v>5337</v>
      </c>
      <c r="C4296">
        <v>1</v>
      </c>
      <c r="D4296" s="1">
        <v>44073.927997685183</v>
      </c>
      <c r="E4296" t="s">
        <v>13389</v>
      </c>
      <c r="F4296" t="s">
        <v>273</v>
      </c>
      <c r="G4296" t="s">
        <v>13281</v>
      </c>
      <c r="H4296" t="s">
        <v>275</v>
      </c>
      <c r="I4296" t="s">
        <v>29</v>
      </c>
      <c r="J4296">
        <v>1</v>
      </c>
      <c r="K4296">
        <f>1-888-526-3661</f>
        <v>-5074</v>
      </c>
      <c r="L4296" t="s">
        <v>13390</v>
      </c>
      <c r="M4296" t="s">
        <v>13391</v>
      </c>
      <c r="N4296" t="s">
        <v>278</v>
      </c>
      <c r="O4296" t="s">
        <v>134</v>
      </c>
      <c r="P4296" t="s">
        <v>29</v>
      </c>
      <c r="Q4296">
        <v>38</v>
      </c>
      <c r="R4296">
        <v>-99.999999000000003</v>
      </c>
    </row>
    <row r="4297" spans="1:18" x14ac:dyDescent="0.2">
      <c r="A4297" t="s">
        <v>270</v>
      </c>
      <c r="B4297" t="s">
        <v>5337</v>
      </c>
      <c r="C4297">
        <v>1</v>
      </c>
      <c r="D4297" s="1">
        <v>44073.06009259259</v>
      </c>
      <c r="E4297" t="s">
        <v>13392</v>
      </c>
      <c r="F4297" t="s">
        <v>273</v>
      </c>
      <c r="G4297" t="s">
        <v>13281</v>
      </c>
      <c r="H4297" t="s">
        <v>275</v>
      </c>
      <c r="I4297" t="s">
        <v>29</v>
      </c>
      <c r="J4297">
        <v>1</v>
      </c>
      <c r="K4297">
        <f>1-888-541-8493</f>
        <v>-9921</v>
      </c>
      <c r="L4297" t="s">
        <v>13393</v>
      </c>
      <c r="M4297" t="s">
        <v>13394</v>
      </c>
      <c r="N4297" t="s">
        <v>278</v>
      </c>
      <c r="O4297" t="s">
        <v>134</v>
      </c>
      <c r="P4297" t="s">
        <v>29</v>
      </c>
      <c r="Q4297">
        <v>38</v>
      </c>
      <c r="R4297">
        <v>-99.999999000000003</v>
      </c>
    </row>
    <row r="4298" spans="1:18" x14ac:dyDescent="0.2">
      <c r="A4298" t="s">
        <v>270</v>
      </c>
      <c r="B4298" t="s">
        <v>5337</v>
      </c>
      <c r="C4298">
        <v>1</v>
      </c>
      <c r="D4298" s="1">
        <v>44073.025937500002</v>
      </c>
      <c r="E4298" t="s">
        <v>13395</v>
      </c>
      <c r="F4298" t="s">
        <v>273</v>
      </c>
      <c r="G4298" t="s">
        <v>13281</v>
      </c>
      <c r="H4298" t="s">
        <v>275</v>
      </c>
      <c r="I4298" t="s">
        <v>29</v>
      </c>
      <c r="J4298">
        <v>1</v>
      </c>
      <c r="K4298">
        <f>1-888-441-3242</f>
        <v>-4570</v>
      </c>
      <c r="L4298" t="s">
        <v>13396</v>
      </c>
      <c r="M4298" t="s">
        <v>13397</v>
      </c>
      <c r="N4298" t="s">
        <v>278</v>
      </c>
      <c r="O4298" t="s">
        <v>134</v>
      </c>
      <c r="P4298" t="s">
        <v>29</v>
      </c>
      <c r="Q4298">
        <v>38</v>
      </c>
      <c r="R4298">
        <v>-99.999999000000003</v>
      </c>
    </row>
    <row r="4299" spans="1:18" x14ac:dyDescent="0.2">
      <c r="A4299" t="s">
        <v>270</v>
      </c>
      <c r="B4299" t="s">
        <v>5337</v>
      </c>
      <c r="C4299">
        <v>1</v>
      </c>
      <c r="D4299" s="1">
        <v>44072.869641203702</v>
      </c>
      <c r="E4299" t="s">
        <v>13398</v>
      </c>
      <c r="F4299" t="s">
        <v>273</v>
      </c>
      <c r="G4299" t="s">
        <v>13281</v>
      </c>
      <c r="H4299" t="s">
        <v>275</v>
      </c>
      <c r="I4299" t="s">
        <v>29</v>
      </c>
      <c r="J4299">
        <v>1</v>
      </c>
      <c r="K4299">
        <f>1-888-650-5539</f>
        <v>-7076</v>
      </c>
      <c r="L4299" t="s">
        <v>13399</v>
      </c>
      <c r="M4299" t="s">
        <v>13400</v>
      </c>
      <c r="N4299" t="s">
        <v>278</v>
      </c>
      <c r="O4299" t="s">
        <v>134</v>
      </c>
      <c r="P4299" t="s">
        <v>29</v>
      </c>
      <c r="Q4299">
        <v>38</v>
      </c>
      <c r="R4299">
        <v>-99.999999000000003</v>
      </c>
    </row>
    <row r="4300" spans="1:18" x14ac:dyDescent="0.2">
      <c r="A4300" t="s">
        <v>270</v>
      </c>
      <c r="B4300" t="s">
        <v>5337</v>
      </c>
      <c r="C4300">
        <v>1</v>
      </c>
      <c r="D4300" s="1">
        <v>44072.865405092591</v>
      </c>
      <c r="E4300" t="s">
        <v>13401</v>
      </c>
      <c r="F4300" t="s">
        <v>273</v>
      </c>
      <c r="G4300" t="s">
        <v>13281</v>
      </c>
      <c r="H4300" t="s">
        <v>275</v>
      </c>
      <c r="I4300" t="s">
        <v>29</v>
      </c>
      <c r="J4300">
        <v>1</v>
      </c>
      <c r="K4300">
        <f>1-888-650-4670</f>
        <v>-6207</v>
      </c>
      <c r="L4300" t="s">
        <v>13402</v>
      </c>
      <c r="M4300" t="s">
        <v>13403</v>
      </c>
      <c r="N4300" t="s">
        <v>278</v>
      </c>
      <c r="O4300" t="s">
        <v>134</v>
      </c>
      <c r="P4300" t="s">
        <v>29</v>
      </c>
      <c r="Q4300">
        <v>38</v>
      </c>
      <c r="R4300">
        <v>-99.999999000000003</v>
      </c>
    </row>
    <row r="4301" spans="1:18" x14ac:dyDescent="0.2">
      <c r="A4301" t="s">
        <v>270</v>
      </c>
      <c r="B4301" t="s">
        <v>5337</v>
      </c>
      <c r="C4301">
        <v>1</v>
      </c>
      <c r="D4301" s="1">
        <v>44071.976736111108</v>
      </c>
      <c r="E4301" t="s">
        <v>13404</v>
      </c>
      <c r="F4301" t="s">
        <v>273</v>
      </c>
      <c r="G4301" t="s">
        <v>13281</v>
      </c>
      <c r="H4301" t="s">
        <v>275</v>
      </c>
      <c r="I4301" t="s">
        <v>29</v>
      </c>
      <c r="J4301">
        <v>1</v>
      </c>
      <c r="K4301">
        <f>1-888-690-842</f>
        <v>-2419</v>
      </c>
      <c r="L4301" t="s">
        <v>13405</v>
      </c>
      <c r="M4301" t="s">
        <v>13406</v>
      </c>
      <c r="N4301" t="s">
        <v>278</v>
      </c>
      <c r="O4301" t="s">
        <v>134</v>
      </c>
      <c r="P4301" t="s">
        <v>29</v>
      </c>
      <c r="Q4301">
        <v>38</v>
      </c>
      <c r="R4301">
        <v>-99.999999000000003</v>
      </c>
    </row>
    <row r="4302" spans="1:18" x14ac:dyDescent="0.2">
      <c r="A4302" t="s">
        <v>270</v>
      </c>
      <c r="B4302" t="s">
        <v>5337</v>
      </c>
      <c r="C4302">
        <v>1</v>
      </c>
      <c r="D4302" s="1">
        <v>44071.906666666669</v>
      </c>
      <c r="E4302" t="s">
        <v>13407</v>
      </c>
      <c r="F4302" t="s">
        <v>273</v>
      </c>
      <c r="G4302" t="s">
        <v>13281</v>
      </c>
      <c r="H4302" t="s">
        <v>275</v>
      </c>
      <c r="I4302" t="s">
        <v>29</v>
      </c>
      <c r="J4302">
        <v>1</v>
      </c>
      <c r="K4302">
        <f>1-888-383-569</f>
        <v>-1839</v>
      </c>
      <c r="L4302" t="s">
        <v>13408</v>
      </c>
      <c r="M4302" t="s">
        <v>13409</v>
      </c>
      <c r="N4302" t="s">
        <v>278</v>
      </c>
      <c r="O4302" t="s">
        <v>134</v>
      </c>
      <c r="P4302" t="s">
        <v>29</v>
      </c>
      <c r="Q4302">
        <v>38</v>
      </c>
      <c r="R4302">
        <v>-99.999999000000003</v>
      </c>
    </row>
    <row r="4303" spans="1:18" x14ac:dyDescent="0.2">
      <c r="A4303" t="s">
        <v>270</v>
      </c>
      <c r="B4303" t="s">
        <v>5337</v>
      </c>
      <c r="C4303">
        <v>1</v>
      </c>
      <c r="D4303" s="1">
        <v>44071.905740740738</v>
      </c>
      <c r="E4303" t="s">
        <v>13410</v>
      </c>
      <c r="F4303" t="s">
        <v>273</v>
      </c>
      <c r="G4303" t="s">
        <v>13281</v>
      </c>
      <c r="H4303" t="s">
        <v>275</v>
      </c>
      <c r="I4303" t="s">
        <v>29</v>
      </c>
      <c r="J4303">
        <v>1</v>
      </c>
      <c r="K4303">
        <f>1-888-803-850</f>
        <v>-2540</v>
      </c>
      <c r="L4303" t="s">
        <v>13411</v>
      </c>
      <c r="M4303" t="s">
        <v>13412</v>
      </c>
      <c r="N4303" t="s">
        <v>278</v>
      </c>
      <c r="O4303" t="s">
        <v>134</v>
      </c>
      <c r="P4303" t="s">
        <v>29</v>
      </c>
      <c r="Q4303">
        <v>38</v>
      </c>
      <c r="R4303">
        <v>-99.999999000000003</v>
      </c>
    </row>
    <row r="4304" spans="1:18" x14ac:dyDescent="0.2">
      <c r="A4304" t="s">
        <v>270</v>
      </c>
      <c r="B4304" t="s">
        <v>5337</v>
      </c>
      <c r="C4304">
        <v>1</v>
      </c>
      <c r="D4304" s="1">
        <v>44071.903298611112</v>
      </c>
      <c r="E4304" t="s">
        <v>13413</v>
      </c>
      <c r="F4304" t="s">
        <v>273</v>
      </c>
      <c r="G4304" t="s">
        <v>13281</v>
      </c>
      <c r="H4304" t="s">
        <v>275</v>
      </c>
      <c r="I4304" t="s">
        <v>29</v>
      </c>
      <c r="J4304">
        <v>1</v>
      </c>
      <c r="K4304">
        <f>1-888-417-4090</f>
        <v>-5394</v>
      </c>
      <c r="L4304" t="s">
        <v>13414</v>
      </c>
      <c r="M4304" t="s">
        <v>13415</v>
      </c>
      <c r="N4304" t="s">
        <v>278</v>
      </c>
      <c r="O4304" t="s">
        <v>134</v>
      </c>
      <c r="P4304" t="s">
        <v>29</v>
      </c>
      <c r="Q4304">
        <v>38</v>
      </c>
      <c r="R4304">
        <v>-99.999999000000003</v>
      </c>
    </row>
    <row r="4305" spans="1:18" x14ac:dyDescent="0.2">
      <c r="A4305" t="s">
        <v>270</v>
      </c>
      <c r="B4305" t="s">
        <v>5337</v>
      </c>
      <c r="C4305">
        <v>1</v>
      </c>
      <c r="D4305" s="1">
        <v>44071.902986111112</v>
      </c>
      <c r="E4305" t="s">
        <v>13416</v>
      </c>
      <c r="F4305" t="s">
        <v>273</v>
      </c>
      <c r="G4305" t="s">
        <v>13281</v>
      </c>
      <c r="H4305" t="s">
        <v>275</v>
      </c>
      <c r="I4305" t="s">
        <v>29</v>
      </c>
      <c r="J4305">
        <v>1</v>
      </c>
      <c r="K4305">
        <f>1-888-686-474</f>
        <v>-2047</v>
      </c>
      <c r="L4305" t="s">
        <v>13417</v>
      </c>
      <c r="M4305" t="s">
        <v>13418</v>
      </c>
      <c r="N4305" t="s">
        <v>278</v>
      </c>
      <c r="O4305" t="s">
        <v>134</v>
      </c>
      <c r="P4305" t="s">
        <v>29</v>
      </c>
      <c r="Q4305">
        <v>38</v>
      </c>
      <c r="R4305">
        <v>-99.999999000000003</v>
      </c>
    </row>
    <row r="4306" spans="1:18" x14ac:dyDescent="0.2">
      <c r="A4306" t="s">
        <v>270</v>
      </c>
      <c r="B4306" t="s">
        <v>5337</v>
      </c>
      <c r="C4306">
        <v>1</v>
      </c>
      <c r="D4306" s="1">
        <v>44070.58222222222</v>
      </c>
      <c r="E4306" t="s">
        <v>13419</v>
      </c>
      <c r="F4306" t="s">
        <v>273</v>
      </c>
      <c r="G4306" t="s">
        <v>13281</v>
      </c>
      <c r="H4306" t="s">
        <v>275</v>
      </c>
      <c r="I4306" t="s">
        <v>29</v>
      </c>
      <c r="J4306">
        <v>1</v>
      </c>
      <c r="K4306">
        <f>1-866-672-9693</f>
        <v>-11230</v>
      </c>
      <c r="L4306" t="s">
        <v>13420</v>
      </c>
      <c r="M4306" t="s">
        <v>13421</v>
      </c>
      <c r="N4306" t="s">
        <v>278</v>
      </c>
      <c r="O4306" t="s">
        <v>134</v>
      </c>
      <c r="P4306" t="s">
        <v>29</v>
      </c>
      <c r="Q4306">
        <v>38</v>
      </c>
      <c r="R4306">
        <v>-99.999999000000003</v>
      </c>
    </row>
    <row r="4307" spans="1:18" x14ac:dyDescent="0.2">
      <c r="A4307" t="s">
        <v>270</v>
      </c>
      <c r="B4307" t="s">
        <v>5337</v>
      </c>
      <c r="C4307">
        <v>1</v>
      </c>
      <c r="D4307" s="1">
        <v>44070.581712962965</v>
      </c>
      <c r="E4307" t="s">
        <v>13422</v>
      </c>
      <c r="F4307" t="s">
        <v>273</v>
      </c>
      <c r="G4307" t="s">
        <v>13281</v>
      </c>
      <c r="H4307" t="s">
        <v>275</v>
      </c>
      <c r="I4307" t="s">
        <v>29</v>
      </c>
      <c r="J4307">
        <v>1</v>
      </c>
      <c r="K4307">
        <f>1-866-672-9693</f>
        <v>-11230</v>
      </c>
      <c r="L4307" t="s">
        <v>13423</v>
      </c>
      <c r="M4307" t="s">
        <v>13424</v>
      </c>
      <c r="N4307" t="s">
        <v>278</v>
      </c>
      <c r="O4307" t="s">
        <v>134</v>
      </c>
      <c r="P4307" t="s">
        <v>29</v>
      </c>
      <c r="Q4307">
        <v>38</v>
      </c>
      <c r="R4307">
        <v>-99.999999000000003</v>
      </c>
    </row>
    <row r="4308" spans="1:18" x14ac:dyDescent="0.2">
      <c r="A4308" t="s">
        <v>270</v>
      </c>
      <c r="B4308" t="s">
        <v>5337</v>
      </c>
      <c r="C4308">
        <v>1</v>
      </c>
      <c r="D4308" s="1">
        <v>44068.075474537036</v>
      </c>
      <c r="E4308" t="s">
        <v>13425</v>
      </c>
      <c r="F4308" t="s">
        <v>273</v>
      </c>
      <c r="G4308" t="s">
        <v>13281</v>
      </c>
      <c r="H4308" t="s">
        <v>275</v>
      </c>
      <c r="I4308" t="s">
        <v>29</v>
      </c>
      <c r="J4308">
        <v>1</v>
      </c>
      <c r="K4308">
        <f>1-888-312-1367</f>
        <v>-2566</v>
      </c>
      <c r="L4308" t="s">
        <v>13426</v>
      </c>
      <c r="M4308" t="s">
        <v>13427</v>
      </c>
      <c r="N4308" t="s">
        <v>278</v>
      </c>
      <c r="O4308" t="s">
        <v>28</v>
      </c>
      <c r="P4308" t="s">
        <v>29</v>
      </c>
      <c r="Q4308">
        <v>38</v>
      </c>
      <c r="R4308">
        <v>-99.999999000000003</v>
      </c>
    </row>
    <row r="4309" spans="1:18" x14ac:dyDescent="0.2">
      <c r="A4309" t="s">
        <v>270</v>
      </c>
      <c r="B4309" t="s">
        <v>5337</v>
      </c>
      <c r="C4309">
        <v>1</v>
      </c>
      <c r="D4309" s="1">
        <v>44068.07172453704</v>
      </c>
      <c r="E4309" t="s">
        <v>13428</v>
      </c>
      <c r="F4309" t="s">
        <v>273</v>
      </c>
      <c r="G4309" t="s">
        <v>13281</v>
      </c>
      <c r="H4309" t="s">
        <v>275</v>
      </c>
      <c r="I4309" t="s">
        <v>29</v>
      </c>
      <c r="J4309">
        <v>1</v>
      </c>
      <c r="K4309">
        <f>1-888-291-57</f>
        <v>-1235</v>
      </c>
      <c r="L4309" t="s">
        <v>13429</v>
      </c>
      <c r="M4309" t="s">
        <v>13430</v>
      </c>
      <c r="N4309" t="s">
        <v>278</v>
      </c>
      <c r="O4309" t="s">
        <v>28</v>
      </c>
      <c r="P4309" t="s">
        <v>29</v>
      </c>
      <c r="Q4309">
        <v>38</v>
      </c>
      <c r="R4309">
        <v>-99.999999000000003</v>
      </c>
    </row>
    <row r="4310" spans="1:18" x14ac:dyDescent="0.2">
      <c r="A4310" t="s">
        <v>270</v>
      </c>
      <c r="B4310" t="s">
        <v>5337</v>
      </c>
      <c r="C4310">
        <v>1</v>
      </c>
      <c r="D4310" s="1">
        <v>44068.049803240741</v>
      </c>
      <c r="E4310" t="s">
        <v>13431</v>
      </c>
      <c r="F4310" t="s">
        <v>273</v>
      </c>
      <c r="G4310" t="s">
        <v>13281</v>
      </c>
      <c r="H4310" t="s">
        <v>275</v>
      </c>
      <c r="I4310" t="s">
        <v>29</v>
      </c>
      <c r="J4310">
        <v>1</v>
      </c>
      <c r="K4310">
        <f>1-888-532-188</f>
        <v>-1607</v>
      </c>
      <c r="L4310" t="s">
        <v>13432</v>
      </c>
      <c r="M4310" t="s">
        <v>13433</v>
      </c>
      <c r="N4310" t="s">
        <v>278</v>
      </c>
      <c r="O4310" t="s">
        <v>28</v>
      </c>
      <c r="P4310" t="s">
        <v>29</v>
      </c>
      <c r="Q4310">
        <v>38</v>
      </c>
      <c r="R4310">
        <v>-99.999999000000003</v>
      </c>
    </row>
    <row r="4311" spans="1:18" x14ac:dyDescent="0.2">
      <c r="A4311" t="s">
        <v>270</v>
      </c>
      <c r="B4311" t="s">
        <v>5337</v>
      </c>
      <c r="C4311">
        <v>1</v>
      </c>
      <c r="D4311" s="1">
        <v>44068.026979166665</v>
      </c>
      <c r="E4311" t="s">
        <v>13434</v>
      </c>
      <c r="F4311" t="s">
        <v>273</v>
      </c>
      <c r="G4311" t="s">
        <v>13281</v>
      </c>
      <c r="H4311" t="s">
        <v>275</v>
      </c>
      <c r="I4311" t="s">
        <v>29</v>
      </c>
      <c r="J4311">
        <v>1</v>
      </c>
      <c r="K4311">
        <f>1-888-690-840</f>
        <v>-2417</v>
      </c>
      <c r="L4311" t="s">
        <v>13435</v>
      </c>
      <c r="M4311" t="s">
        <v>13436</v>
      </c>
      <c r="N4311" t="s">
        <v>278</v>
      </c>
      <c r="O4311" t="s">
        <v>28</v>
      </c>
      <c r="P4311" t="s">
        <v>29</v>
      </c>
      <c r="Q4311">
        <v>38</v>
      </c>
      <c r="R4311">
        <v>-99.999999000000003</v>
      </c>
    </row>
    <row r="4312" spans="1:18" x14ac:dyDescent="0.2">
      <c r="A4312" t="s">
        <v>270</v>
      </c>
      <c r="B4312" t="s">
        <v>5337</v>
      </c>
      <c r="C4312">
        <v>1</v>
      </c>
      <c r="D4312" s="1">
        <v>44064.922418981485</v>
      </c>
      <c r="E4312" t="s">
        <v>13437</v>
      </c>
      <c r="F4312" t="s">
        <v>273</v>
      </c>
      <c r="G4312" t="s">
        <v>13281</v>
      </c>
      <c r="H4312" t="s">
        <v>275</v>
      </c>
      <c r="I4312" t="s">
        <v>29</v>
      </c>
      <c r="J4312">
        <v>1</v>
      </c>
      <c r="K4312">
        <f>1-888-705-881</f>
        <v>-2473</v>
      </c>
      <c r="L4312" t="s">
        <v>13438</v>
      </c>
      <c r="M4312" t="s">
        <v>13439</v>
      </c>
      <c r="N4312" t="s">
        <v>278</v>
      </c>
      <c r="O4312" t="s">
        <v>134</v>
      </c>
      <c r="P4312" t="s">
        <v>29</v>
      </c>
      <c r="Q4312">
        <v>38</v>
      </c>
      <c r="R4312">
        <v>-99.999999000000003</v>
      </c>
    </row>
    <row r="4313" spans="1:18" x14ac:dyDescent="0.2">
      <c r="A4313" t="s">
        <v>270</v>
      </c>
      <c r="B4313" t="s">
        <v>5337</v>
      </c>
      <c r="C4313">
        <v>1</v>
      </c>
      <c r="D4313" s="1">
        <v>44053.71429398148</v>
      </c>
      <c r="E4313" t="s">
        <v>13440</v>
      </c>
      <c r="F4313" t="s">
        <v>273</v>
      </c>
      <c r="G4313" t="s">
        <v>13281</v>
      </c>
      <c r="H4313" t="s">
        <v>275</v>
      </c>
      <c r="I4313" t="s">
        <v>29</v>
      </c>
      <c r="J4313">
        <v>1</v>
      </c>
      <c r="K4313">
        <f>1-866-702-3639</f>
        <v>-5206</v>
      </c>
      <c r="L4313" t="s">
        <v>13441</v>
      </c>
      <c r="M4313" t="s">
        <v>13442</v>
      </c>
      <c r="N4313" t="s">
        <v>278</v>
      </c>
      <c r="O4313" t="s">
        <v>134</v>
      </c>
      <c r="P4313" t="s">
        <v>29</v>
      </c>
      <c r="Q4313">
        <v>38</v>
      </c>
      <c r="R4313">
        <v>-99.999999000000003</v>
      </c>
    </row>
    <row r="4314" spans="1:18" x14ac:dyDescent="0.2">
      <c r="A4314" t="s">
        <v>270</v>
      </c>
      <c r="B4314" t="s">
        <v>5337</v>
      </c>
      <c r="C4314">
        <v>1</v>
      </c>
      <c r="D4314" s="1">
        <v>44053.300868055558</v>
      </c>
      <c r="E4314" t="s">
        <v>13443</v>
      </c>
      <c r="F4314" t="s">
        <v>273</v>
      </c>
      <c r="G4314" t="s">
        <v>13281</v>
      </c>
      <c r="H4314" t="s">
        <v>275</v>
      </c>
      <c r="I4314" t="s">
        <v>29</v>
      </c>
      <c r="J4314">
        <v>1</v>
      </c>
      <c r="K4314">
        <f>1-866-801-5549</f>
        <v>-7215</v>
      </c>
      <c r="L4314" t="s">
        <v>13444</v>
      </c>
      <c r="M4314" t="s">
        <v>13445</v>
      </c>
      <c r="N4314" t="s">
        <v>278</v>
      </c>
      <c r="O4314" t="s">
        <v>134</v>
      </c>
      <c r="P4314" t="s">
        <v>29</v>
      </c>
      <c r="Q4314">
        <v>38</v>
      </c>
      <c r="R4314">
        <v>-99.999999000000003</v>
      </c>
    </row>
    <row r="4315" spans="1:18" x14ac:dyDescent="0.2">
      <c r="A4315" t="s">
        <v>270</v>
      </c>
      <c r="B4315" t="s">
        <v>5337</v>
      </c>
      <c r="C4315">
        <v>1</v>
      </c>
      <c r="D4315" s="1">
        <v>44045.632141203707</v>
      </c>
      <c r="E4315" t="s">
        <v>13446</v>
      </c>
      <c r="F4315" t="s">
        <v>273</v>
      </c>
      <c r="G4315" t="s">
        <v>13281</v>
      </c>
      <c r="H4315" t="s">
        <v>275</v>
      </c>
      <c r="I4315" t="s">
        <v>29</v>
      </c>
      <c r="J4315">
        <v>1</v>
      </c>
      <c r="K4315">
        <f>1-888-539-462</f>
        <v>-1888</v>
      </c>
      <c r="L4315" t="s">
        <v>13447</v>
      </c>
      <c r="M4315" t="s">
        <v>13448</v>
      </c>
      <c r="N4315" t="s">
        <v>278</v>
      </c>
      <c r="O4315" t="s">
        <v>134</v>
      </c>
      <c r="P4315" t="s">
        <v>29</v>
      </c>
      <c r="Q4315">
        <v>38</v>
      </c>
      <c r="R4315">
        <v>-99.999999000000003</v>
      </c>
    </row>
    <row r="4316" spans="1:18" x14ac:dyDescent="0.2">
      <c r="A4316" t="s">
        <v>270</v>
      </c>
      <c r="B4316" t="s">
        <v>5337</v>
      </c>
      <c r="C4316">
        <v>1</v>
      </c>
      <c r="D4316" s="1">
        <v>44045.630868055552</v>
      </c>
      <c r="E4316" t="s">
        <v>13449</v>
      </c>
      <c r="F4316" t="s">
        <v>273</v>
      </c>
      <c r="G4316" t="s">
        <v>13281</v>
      </c>
      <c r="H4316" t="s">
        <v>275</v>
      </c>
      <c r="I4316" t="s">
        <v>29</v>
      </c>
      <c r="J4316">
        <v>1</v>
      </c>
      <c r="K4316">
        <f>1-888-523-3821</f>
        <v>-5231</v>
      </c>
      <c r="L4316" t="s">
        <v>13450</v>
      </c>
      <c r="M4316" t="s">
        <v>13451</v>
      </c>
      <c r="N4316" t="s">
        <v>278</v>
      </c>
      <c r="O4316" t="s">
        <v>134</v>
      </c>
      <c r="P4316" t="s">
        <v>29</v>
      </c>
      <c r="Q4316">
        <v>38</v>
      </c>
      <c r="R4316">
        <v>-99.999999000000003</v>
      </c>
    </row>
    <row r="4317" spans="1:18" x14ac:dyDescent="0.2">
      <c r="A4317" t="s">
        <v>270</v>
      </c>
      <c r="B4317" t="s">
        <v>9922</v>
      </c>
      <c r="C4317">
        <v>1</v>
      </c>
      <c r="D4317" s="1">
        <v>44084.784641203703</v>
      </c>
      <c r="E4317" t="s">
        <v>13452</v>
      </c>
      <c r="F4317" t="s">
        <v>273</v>
      </c>
      <c r="G4317" t="s">
        <v>13453</v>
      </c>
      <c r="H4317" t="s">
        <v>275</v>
      </c>
      <c r="I4317" t="s">
        <v>29</v>
      </c>
      <c r="J4317">
        <v>1</v>
      </c>
      <c r="K4317">
        <f>1-844-318-7909</f>
        <v>-9070</v>
      </c>
      <c r="L4317" t="s">
        <v>13454</v>
      </c>
      <c r="M4317" t="s">
        <v>13455</v>
      </c>
      <c r="N4317" t="s">
        <v>278</v>
      </c>
      <c r="O4317" t="s">
        <v>28</v>
      </c>
      <c r="P4317" t="s">
        <v>29</v>
      </c>
      <c r="Q4317">
        <v>47</v>
      </c>
      <c r="R4317">
        <v>-99.999999000000003</v>
      </c>
    </row>
    <row r="4318" spans="1:18" x14ac:dyDescent="0.2">
      <c r="A4318" t="s">
        <v>270</v>
      </c>
      <c r="B4318" t="s">
        <v>9922</v>
      </c>
      <c r="C4318">
        <v>1</v>
      </c>
      <c r="D4318" s="1">
        <v>44084.784560185188</v>
      </c>
      <c r="E4318" t="s">
        <v>13456</v>
      </c>
      <c r="F4318" t="s">
        <v>273</v>
      </c>
      <c r="G4318" t="s">
        <v>13453</v>
      </c>
      <c r="H4318" t="s">
        <v>275</v>
      </c>
      <c r="I4318" t="s">
        <v>29</v>
      </c>
      <c r="J4318">
        <v>1</v>
      </c>
      <c r="K4318">
        <f>1-844-318-7909</f>
        <v>-9070</v>
      </c>
      <c r="L4318" t="s">
        <v>13457</v>
      </c>
      <c r="M4318" t="s">
        <v>13458</v>
      </c>
      <c r="N4318" t="s">
        <v>278</v>
      </c>
      <c r="O4318" t="s">
        <v>28</v>
      </c>
      <c r="P4318" t="s">
        <v>29</v>
      </c>
      <c r="Q4318">
        <v>47</v>
      </c>
      <c r="R4318">
        <v>-99.999999000000003</v>
      </c>
    </row>
    <row r="4319" spans="1:18" x14ac:dyDescent="0.2">
      <c r="A4319" t="s">
        <v>270</v>
      </c>
      <c r="B4319" t="s">
        <v>9922</v>
      </c>
      <c r="C4319">
        <v>1</v>
      </c>
      <c r="D4319" s="1">
        <v>44083.910208333335</v>
      </c>
      <c r="E4319" t="s">
        <v>13459</v>
      </c>
      <c r="F4319" t="s">
        <v>273</v>
      </c>
      <c r="G4319" t="s">
        <v>13453</v>
      </c>
      <c r="H4319" t="s">
        <v>275</v>
      </c>
      <c r="I4319" t="s">
        <v>29</v>
      </c>
      <c r="J4319">
        <v>1</v>
      </c>
      <c r="K4319">
        <f>1-888-585-4129</f>
        <v>-5601</v>
      </c>
      <c r="L4319" t="s">
        <v>13460</v>
      </c>
      <c r="M4319" t="s">
        <v>13461</v>
      </c>
      <c r="N4319" t="s">
        <v>278</v>
      </c>
      <c r="O4319" t="s">
        <v>28</v>
      </c>
      <c r="P4319" t="s">
        <v>29</v>
      </c>
      <c r="Q4319">
        <v>47</v>
      </c>
      <c r="R4319">
        <v>-99.999999000000003</v>
      </c>
    </row>
    <row r="4320" spans="1:18" x14ac:dyDescent="0.2">
      <c r="A4320" t="s">
        <v>270</v>
      </c>
      <c r="B4320" t="s">
        <v>9922</v>
      </c>
      <c r="C4320">
        <v>1</v>
      </c>
      <c r="D4320" s="1">
        <v>44083.845335648148</v>
      </c>
      <c r="E4320" t="s">
        <v>13462</v>
      </c>
      <c r="F4320" t="s">
        <v>273</v>
      </c>
      <c r="G4320" t="s">
        <v>13453</v>
      </c>
      <c r="H4320" t="s">
        <v>275</v>
      </c>
      <c r="I4320" t="s">
        <v>29</v>
      </c>
      <c r="J4320">
        <v>1</v>
      </c>
      <c r="K4320">
        <f>1-888-599-4298</f>
        <v>-5784</v>
      </c>
      <c r="L4320" t="s">
        <v>13463</v>
      </c>
      <c r="M4320" t="s">
        <v>13464</v>
      </c>
      <c r="N4320" t="s">
        <v>278</v>
      </c>
      <c r="O4320" t="s">
        <v>28</v>
      </c>
      <c r="P4320" t="s">
        <v>29</v>
      </c>
      <c r="Q4320">
        <v>47</v>
      </c>
      <c r="R4320">
        <v>-99.999999000000003</v>
      </c>
    </row>
    <row r="4321" spans="1:18" x14ac:dyDescent="0.2">
      <c r="A4321" t="s">
        <v>270</v>
      </c>
      <c r="B4321" t="s">
        <v>9922</v>
      </c>
      <c r="C4321">
        <v>1</v>
      </c>
      <c r="D4321" s="1">
        <v>44082.946770833332</v>
      </c>
      <c r="E4321" t="s">
        <v>13465</v>
      </c>
      <c r="F4321" t="s">
        <v>273</v>
      </c>
      <c r="G4321" t="s">
        <v>13453</v>
      </c>
      <c r="H4321" t="s">
        <v>275</v>
      </c>
      <c r="I4321" t="s">
        <v>29</v>
      </c>
      <c r="J4321">
        <v>1</v>
      </c>
      <c r="K4321">
        <f>1-888-585-7311</f>
        <v>-8783</v>
      </c>
      <c r="L4321" t="s">
        <v>13466</v>
      </c>
      <c r="M4321" t="s">
        <v>13467</v>
      </c>
      <c r="N4321" t="s">
        <v>278</v>
      </c>
      <c r="O4321" t="s">
        <v>28</v>
      </c>
      <c r="P4321" t="s">
        <v>29</v>
      </c>
      <c r="Q4321">
        <v>47</v>
      </c>
      <c r="R4321">
        <v>-99.999999000000003</v>
      </c>
    </row>
    <row r="4322" spans="1:18" x14ac:dyDescent="0.2">
      <c r="A4322" t="s">
        <v>270</v>
      </c>
      <c r="B4322" t="s">
        <v>9922</v>
      </c>
      <c r="C4322">
        <v>1</v>
      </c>
      <c r="D4322" s="1">
        <v>44078.851666666669</v>
      </c>
      <c r="E4322" t="s">
        <v>13468</v>
      </c>
      <c r="F4322" t="s">
        <v>273</v>
      </c>
      <c r="G4322" t="s">
        <v>13453</v>
      </c>
      <c r="H4322" t="s">
        <v>275</v>
      </c>
      <c r="I4322" t="s">
        <v>29</v>
      </c>
      <c r="J4322">
        <v>1</v>
      </c>
      <c r="K4322">
        <f>1-866-754-7703</f>
        <v>-9322</v>
      </c>
      <c r="L4322" t="s">
        <v>13469</v>
      </c>
      <c r="M4322" t="s">
        <v>13470</v>
      </c>
      <c r="N4322" t="s">
        <v>278</v>
      </c>
      <c r="O4322" t="s">
        <v>134</v>
      </c>
      <c r="P4322" t="s">
        <v>29</v>
      </c>
      <c r="Q4322">
        <v>47</v>
      </c>
      <c r="R4322">
        <v>-99.999999000000003</v>
      </c>
    </row>
    <row r="4323" spans="1:18" x14ac:dyDescent="0.2">
      <c r="A4323" t="s">
        <v>270</v>
      </c>
      <c r="B4323" t="s">
        <v>9922</v>
      </c>
      <c r="C4323">
        <v>1</v>
      </c>
      <c r="D4323" s="1">
        <v>44078.850578703707</v>
      </c>
      <c r="E4323" t="s">
        <v>13471</v>
      </c>
      <c r="F4323" t="s">
        <v>273</v>
      </c>
      <c r="G4323" t="s">
        <v>13453</v>
      </c>
      <c r="H4323" t="s">
        <v>275</v>
      </c>
      <c r="I4323" t="s">
        <v>29</v>
      </c>
      <c r="J4323">
        <v>1</v>
      </c>
      <c r="K4323">
        <f>1-866-674-6552</f>
        <v>-8091</v>
      </c>
      <c r="L4323" t="s">
        <v>13472</v>
      </c>
      <c r="M4323" t="s">
        <v>13473</v>
      </c>
      <c r="N4323" t="s">
        <v>278</v>
      </c>
      <c r="O4323" t="s">
        <v>134</v>
      </c>
      <c r="P4323" t="s">
        <v>29</v>
      </c>
      <c r="Q4323">
        <v>47</v>
      </c>
      <c r="R4323">
        <v>-99.999999000000003</v>
      </c>
    </row>
    <row r="4324" spans="1:18" x14ac:dyDescent="0.2">
      <c r="A4324" t="s">
        <v>270</v>
      </c>
      <c r="B4324" t="s">
        <v>9922</v>
      </c>
      <c r="C4324">
        <v>1</v>
      </c>
      <c r="D4324" s="1">
        <v>44073.942754629628</v>
      </c>
      <c r="E4324" t="s">
        <v>13474</v>
      </c>
      <c r="F4324" t="s">
        <v>273</v>
      </c>
      <c r="G4324" t="s">
        <v>13453</v>
      </c>
      <c r="H4324" t="s">
        <v>275</v>
      </c>
      <c r="I4324" t="s">
        <v>29</v>
      </c>
      <c r="J4324">
        <v>1</v>
      </c>
      <c r="K4324">
        <f>1-888-851-705</f>
        <v>-2443</v>
      </c>
      <c r="L4324" t="s">
        <v>13475</v>
      </c>
      <c r="M4324" t="s">
        <v>13476</v>
      </c>
      <c r="N4324" t="s">
        <v>278</v>
      </c>
      <c r="O4324" t="s">
        <v>134</v>
      </c>
      <c r="P4324" t="s">
        <v>29</v>
      </c>
      <c r="Q4324">
        <v>47</v>
      </c>
      <c r="R4324">
        <v>-99.999999000000003</v>
      </c>
    </row>
    <row r="4325" spans="1:18" x14ac:dyDescent="0.2">
      <c r="A4325" t="s">
        <v>270</v>
      </c>
      <c r="B4325" t="s">
        <v>9922</v>
      </c>
      <c r="C4325">
        <v>1</v>
      </c>
      <c r="D4325" s="1">
        <v>44073.929016203707</v>
      </c>
      <c r="E4325" t="s">
        <v>13477</v>
      </c>
      <c r="F4325" t="s">
        <v>273</v>
      </c>
      <c r="G4325" t="s">
        <v>13453</v>
      </c>
      <c r="H4325" t="s">
        <v>275</v>
      </c>
      <c r="I4325" t="s">
        <v>29</v>
      </c>
      <c r="J4325">
        <v>1</v>
      </c>
      <c r="K4325">
        <f>1-888-530-2072</f>
        <v>-3489</v>
      </c>
      <c r="L4325" t="s">
        <v>13478</v>
      </c>
      <c r="M4325" t="s">
        <v>13479</v>
      </c>
      <c r="N4325" t="s">
        <v>278</v>
      </c>
      <c r="O4325" t="s">
        <v>134</v>
      </c>
      <c r="P4325" t="s">
        <v>29</v>
      </c>
      <c r="Q4325">
        <v>47</v>
      </c>
      <c r="R4325">
        <v>-99.999999000000003</v>
      </c>
    </row>
    <row r="4326" spans="1:18" x14ac:dyDescent="0.2">
      <c r="A4326" t="s">
        <v>270</v>
      </c>
      <c r="B4326" t="s">
        <v>9922</v>
      </c>
      <c r="C4326">
        <v>1</v>
      </c>
      <c r="D4326" s="1">
        <v>44073.926863425928</v>
      </c>
      <c r="E4326" t="s">
        <v>13480</v>
      </c>
      <c r="F4326" t="s">
        <v>273</v>
      </c>
      <c r="G4326" t="s">
        <v>13453</v>
      </c>
      <c r="H4326" t="s">
        <v>275</v>
      </c>
      <c r="I4326" t="s">
        <v>29</v>
      </c>
      <c r="J4326">
        <v>1</v>
      </c>
      <c r="K4326">
        <f>1-888-524-3582</f>
        <v>-4993</v>
      </c>
      <c r="L4326" t="s">
        <v>13481</v>
      </c>
      <c r="M4326" t="s">
        <v>13482</v>
      </c>
      <c r="N4326" t="s">
        <v>278</v>
      </c>
      <c r="O4326" t="s">
        <v>134</v>
      </c>
      <c r="P4326" t="s">
        <v>29</v>
      </c>
      <c r="Q4326">
        <v>47</v>
      </c>
      <c r="R4326">
        <v>-99.999999000000003</v>
      </c>
    </row>
    <row r="4327" spans="1:18" x14ac:dyDescent="0.2">
      <c r="A4327" t="s">
        <v>270</v>
      </c>
      <c r="B4327" t="s">
        <v>9922</v>
      </c>
      <c r="C4327">
        <v>1</v>
      </c>
      <c r="D4327" s="1">
        <v>44071.904756944445</v>
      </c>
      <c r="E4327" t="s">
        <v>13483</v>
      </c>
      <c r="F4327" t="s">
        <v>273</v>
      </c>
      <c r="G4327" t="s">
        <v>13453</v>
      </c>
      <c r="H4327" t="s">
        <v>275</v>
      </c>
      <c r="I4327" t="s">
        <v>29</v>
      </c>
      <c r="J4327">
        <v>1</v>
      </c>
      <c r="K4327">
        <f>1-888-304-1408</f>
        <v>-2599</v>
      </c>
      <c r="L4327" t="s">
        <v>13484</v>
      </c>
      <c r="M4327" t="s">
        <v>13485</v>
      </c>
      <c r="N4327" t="s">
        <v>278</v>
      </c>
      <c r="O4327" t="s">
        <v>134</v>
      </c>
      <c r="P4327" t="s">
        <v>29</v>
      </c>
      <c r="Q4327">
        <v>47</v>
      </c>
      <c r="R4327">
        <v>-99.999999000000003</v>
      </c>
    </row>
    <row r="4328" spans="1:18" x14ac:dyDescent="0.2">
      <c r="A4328" t="s">
        <v>270</v>
      </c>
      <c r="B4328" t="s">
        <v>9922</v>
      </c>
      <c r="C4328">
        <v>1</v>
      </c>
      <c r="D4328" s="1">
        <v>44071.833402777775</v>
      </c>
      <c r="E4328" t="s">
        <v>13486</v>
      </c>
      <c r="F4328" t="s">
        <v>273</v>
      </c>
      <c r="G4328" t="s">
        <v>13453</v>
      </c>
      <c r="H4328" t="s">
        <v>275</v>
      </c>
      <c r="I4328" t="s">
        <v>29</v>
      </c>
      <c r="J4328">
        <v>1</v>
      </c>
      <c r="K4328">
        <f>1-888-607-419</f>
        <v>-1913</v>
      </c>
      <c r="L4328" t="s">
        <v>13487</v>
      </c>
      <c r="M4328" t="s">
        <v>13488</v>
      </c>
      <c r="N4328" t="s">
        <v>278</v>
      </c>
      <c r="O4328" t="s">
        <v>28</v>
      </c>
      <c r="P4328" t="s">
        <v>29</v>
      </c>
      <c r="Q4328">
        <v>47</v>
      </c>
      <c r="R4328">
        <v>-99.999999000000003</v>
      </c>
    </row>
    <row r="4329" spans="1:18" x14ac:dyDescent="0.2">
      <c r="A4329" t="s">
        <v>270</v>
      </c>
      <c r="B4329" t="s">
        <v>9922</v>
      </c>
      <c r="C4329">
        <v>1</v>
      </c>
      <c r="D4329" s="1">
        <v>44071.424791666665</v>
      </c>
      <c r="E4329" t="s">
        <v>13489</v>
      </c>
      <c r="F4329" t="s">
        <v>273</v>
      </c>
      <c r="G4329" t="s">
        <v>13453</v>
      </c>
      <c r="H4329" t="s">
        <v>275</v>
      </c>
      <c r="I4329" t="s">
        <v>29</v>
      </c>
      <c r="J4329">
        <v>1</v>
      </c>
      <c r="K4329">
        <f>1-888-417-4090</f>
        <v>-5394</v>
      </c>
      <c r="L4329" t="s">
        <v>13490</v>
      </c>
      <c r="M4329" t="s">
        <v>13491</v>
      </c>
      <c r="N4329" t="s">
        <v>278</v>
      </c>
      <c r="O4329" t="s">
        <v>134</v>
      </c>
      <c r="P4329" t="s">
        <v>29</v>
      </c>
      <c r="Q4329">
        <v>47</v>
      </c>
      <c r="R4329">
        <v>-99.999999000000003</v>
      </c>
    </row>
    <row r="4330" spans="1:18" x14ac:dyDescent="0.2">
      <c r="A4330" t="s">
        <v>270</v>
      </c>
      <c r="B4330" t="s">
        <v>9922</v>
      </c>
      <c r="C4330">
        <v>1</v>
      </c>
      <c r="D4330" s="1">
        <v>44070.739791666667</v>
      </c>
      <c r="E4330" t="s">
        <v>13492</v>
      </c>
      <c r="F4330" t="s">
        <v>273</v>
      </c>
      <c r="G4330" t="s">
        <v>13453</v>
      </c>
      <c r="H4330" t="s">
        <v>275</v>
      </c>
      <c r="I4330" t="s">
        <v>29</v>
      </c>
      <c r="J4330">
        <v>1</v>
      </c>
      <c r="K4330">
        <f>1-888-909-1270</f>
        <v>-3066</v>
      </c>
      <c r="L4330" t="s">
        <v>13493</v>
      </c>
      <c r="M4330" t="s">
        <v>13494</v>
      </c>
      <c r="N4330" t="s">
        <v>278</v>
      </c>
      <c r="O4330" t="s">
        <v>134</v>
      </c>
      <c r="P4330" t="s">
        <v>29</v>
      </c>
      <c r="Q4330">
        <v>47</v>
      </c>
      <c r="R4330">
        <v>-99.999999000000003</v>
      </c>
    </row>
    <row r="4331" spans="1:18" x14ac:dyDescent="0.2">
      <c r="A4331" t="s">
        <v>270</v>
      </c>
      <c r="B4331" t="s">
        <v>9922</v>
      </c>
      <c r="C4331">
        <v>1</v>
      </c>
      <c r="D4331" s="1">
        <v>44070.600057870368</v>
      </c>
      <c r="E4331" t="s">
        <v>13495</v>
      </c>
      <c r="F4331" t="s">
        <v>273</v>
      </c>
      <c r="G4331" t="s">
        <v>13453</v>
      </c>
      <c r="H4331" t="s">
        <v>275</v>
      </c>
      <c r="I4331" t="s">
        <v>29</v>
      </c>
      <c r="J4331">
        <v>1</v>
      </c>
      <c r="K4331">
        <f>1-888-530-1472</f>
        <v>-2889</v>
      </c>
      <c r="L4331" t="s">
        <v>13496</v>
      </c>
      <c r="M4331" t="s">
        <v>13497</v>
      </c>
      <c r="N4331" t="s">
        <v>278</v>
      </c>
      <c r="O4331" t="s">
        <v>134</v>
      </c>
      <c r="P4331" t="s">
        <v>29</v>
      </c>
      <c r="Q4331">
        <v>47</v>
      </c>
      <c r="R4331">
        <v>-99.999999000000003</v>
      </c>
    </row>
    <row r="4332" spans="1:18" x14ac:dyDescent="0.2">
      <c r="A4332" t="s">
        <v>270</v>
      </c>
      <c r="B4332" t="s">
        <v>9922</v>
      </c>
      <c r="C4332">
        <v>1</v>
      </c>
      <c r="D4332" s="1">
        <v>44068.194699074076</v>
      </c>
      <c r="E4332" t="s">
        <v>13498</v>
      </c>
      <c r="F4332" t="s">
        <v>273</v>
      </c>
      <c r="G4332" t="s">
        <v>13453</v>
      </c>
      <c r="H4332" t="s">
        <v>275</v>
      </c>
      <c r="I4332" t="s">
        <v>29</v>
      </c>
      <c r="J4332">
        <v>1</v>
      </c>
      <c r="K4332">
        <f>1-888-530-6238</f>
        <v>-7655</v>
      </c>
      <c r="L4332" t="s">
        <v>13499</v>
      </c>
      <c r="M4332" t="s">
        <v>13500</v>
      </c>
      <c r="N4332" t="s">
        <v>278</v>
      </c>
      <c r="O4332" t="s">
        <v>134</v>
      </c>
      <c r="P4332" t="s">
        <v>29</v>
      </c>
      <c r="Q4332">
        <v>47</v>
      </c>
      <c r="R4332">
        <v>-99.999999000000003</v>
      </c>
    </row>
    <row r="4333" spans="1:18" x14ac:dyDescent="0.2">
      <c r="A4333" t="s">
        <v>270</v>
      </c>
      <c r="B4333" t="s">
        <v>9922</v>
      </c>
      <c r="C4333">
        <v>1</v>
      </c>
      <c r="D4333" s="1">
        <v>44068.184837962966</v>
      </c>
      <c r="E4333" t="s">
        <v>13501</v>
      </c>
      <c r="F4333" t="s">
        <v>273</v>
      </c>
      <c r="G4333" t="s">
        <v>13453</v>
      </c>
      <c r="H4333" t="s">
        <v>275</v>
      </c>
      <c r="I4333" t="s">
        <v>29</v>
      </c>
      <c r="J4333">
        <v>1</v>
      </c>
      <c r="K4333">
        <f>1-888-523-5728</f>
        <v>-7138</v>
      </c>
      <c r="L4333" t="s">
        <v>13502</v>
      </c>
      <c r="M4333" t="s">
        <v>13503</v>
      </c>
      <c r="N4333" t="s">
        <v>278</v>
      </c>
      <c r="O4333" t="s">
        <v>134</v>
      </c>
      <c r="P4333" t="s">
        <v>29</v>
      </c>
      <c r="Q4333">
        <v>47</v>
      </c>
      <c r="R4333">
        <v>-99.999999000000003</v>
      </c>
    </row>
    <row r="4334" spans="1:18" x14ac:dyDescent="0.2">
      <c r="A4334" t="s">
        <v>270</v>
      </c>
      <c r="B4334" t="s">
        <v>9922</v>
      </c>
      <c r="C4334">
        <v>1</v>
      </c>
      <c r="D4334" s="1">
        <v>44068.048831018517</v>
      </c>
      <c r="E4334" t="s">
        <v>13504</v>
      </c>
      <c r="F4334" t="s">
        <v>273</v>
      </c>
      <c r="G4334" t="s">
        <v>13453</v>
      </c>
      <c r="H4334" t="s">
        <v>275</v>
      </c>
      <c r="I4334" t="s">
        <v>29</v>
      </c>
      <c r="J4334">
        <v>1</v>
      </c>
      <c r="K4334">
        <f>1-888-534-8036</f>
        <v>-9457</v>
      </c>
      <c r="L4334" t="s">
        <v>13505</v>
      </c>
      <c r="M4334" t="s">
        <v>13506</v>
      </c>
      <c r="N4334" t="s">
        <v>278</v>
      </c>
      <c r="O4334" t="s">
        <v>28</v>
      </c>
      <c r="P4334" t="s">
        <v>29</v>
      </c>
      <c r="Q4334">
        <v>47</v>
      </c>
      <c r="R4334">
        <v>-99.999999000000003</v>
      </c>
    </row>
    <row r="4335" spans="1:18" x14ac:dyDescent="0.2">
      <c r="A4335" t="s">
        <v>270</v>
      </c>
      <c r="B4335" t="s">
        <v>9922</v>
      </c>
      <c r="C4335">
        <v>1</v>
      </c>
      <c r="D4335" s="1">
        <v>44053.714317129627</v>
      </c>
      <c r="E4335" t="s">
        <v>13507</v>
      </c>
      <c r="F4335" t="s">
        <v>273</v>
      </c>
      <c r="G4335" t="s">
        <v>13453</v>
      </c>
      <c r="H4335" t="s">
        <v>275</v>
      </c>
      <c r="I4335" t="s">
        <v>29</v>
      </c>
      <c r="J4335">
        <v>1</v>
      </c>
      <c r="K4335">
        <f>1-866-730-8093</f>
        <v>-9688</v>
      </c>
      <c r="L4335" t="s">
        <v>13508</v>
      </c>
      <c r="M4335" t="s">
        <v>13509</v>
      </c>
      <c r="N4335" t="s">
        <v>278</v>
      </c>
      <c r="O4335" t="s">
        <v>134</v>
      </c>
      <c r="P4335" t="s">
        <v>29</v>
      </c>
      <c r="Q4335">
        <v>47</v>
      </c>
      <c r="R4335">
        <v>-99.999999000000003</v>
      </c>
    </row>
    <row r="4336" spans="1:18" x14ac:dyDescent="0.2">
      <c r="A4336" t="s">
        <v>270</v>
      </c>
      <c r="B4336" t="s">
        <v>9922</v>
      </c>
      <c r="C4336">
        <v>1</v>
      </c>
      <c r="D4336" s="1">
        <v>44053.301203703704</v>
      </c>
      <c r="E4336" t="s">
        <v>13510</v>
      </c>
      <c r="F4336" t="s">
        <v>273</v>
      </c>
      <c r="G4336" t="s">
        <v>13453</v>
      </c>
      <c r="H4336" t="s">
        <v>275</v>
      </c>
      <c r="I4336" t="s">
        <v>29</v>
      </c>
      <c r="J4336">
        <v>1</v>
      </c>
      <c r="K4336">
        <f>1-866-801-5549</f>
        <v>-7215</v>
      </c>
      <c r="L4336" t="s">
        <v>13511</v>
      </c>
      <c r="M4336" t="s">
        <v>13512</v>
      </c>
      <c r="N4336" t="s">
        <v>278</v>
      </c>
      <c r="O4336" t="s">
        <v>134</v>
      </c>
      <c r="P4336" t="s">
        <v>29</v>
      </c>
      <c r="Q4336">
        <v>47</v>
      </c>
      <c r="R4336">
        <v>-99.999999000000003</v>
      </c>
    </row>
    <row r="4337" spans="1:18" x14ac:dyDescent="0.2">
      <c r="A4337" t="s">
        <v>270</v>
      </c>
      <c r="B4337" t="s">
        <v>9922</v>
      </c>
      <c r="C4337">
        <v>1</v>
      </c>
      <c r="D4337" s="1">
        <v>44053.289826388886</v>
      </c>
      <c r="E4337" t="s">
        <v>13513</v>
      </c>
      <c r="F4337" t="s">
        <v>273</v>
      </c>
      <c r="G4337" t="s">
        <v>13453</v>
      </c>
      <c r="H4337" t="s">
        <v>275</v>
      </c>
      <c r="I4337" t="s">
        <v>29</v>
      </c>
      <c r="J4337">
        <v>1</v>
      </c>
      <c r="K4337">
        <f>1-888-524-5804</f>
        <v>-7215</v>
      </c>
      <c r="L4337" t="s">
        <v>13514</v>
      </c>
      <c r="M4337" t="s">
        <v>13515</v>
      </c>
      <c r="N4337" t="s">
        <v>278</v>
      </c>
      <c r="O4337" t="s">
        <v>134</v>
      </c>
      <c r="P4337" t="s">
        <v>29</v>
      </c>
      <c r="Q4337">
        <v>47</v>
      </c>
      <c r="R4337">
        <v>-99.999999000000003</v>
      </c>
    </row>
    <row r="4338" spans="1:18" x14ac:dyDescent="0.2">
      <c r="A4338" t="s">
        <v>270</v>
      </c>
      <c r="B4338" t="s">
        <v>9922</v>
      </c>
      <c r="C4338">
        <v>1</v>
      </c>
      <c r="D4338" s="1">
        <v>44045.63921296296</v>
      </c>
      <c r="E4338" t="s">
        <v>13516</v>
      </c>
      <c r="F4338" t="s">
        <v>273</v>
      </c>
      <c r="G4338" t="s">
        <v>13453</v>
      </c>
      <c r="H4338" t="s">
        <v>275</v>
      </c>
      <c r="I4338" t="s">
        <v>29</v>
      </c>
      <c r="J4338">
        <v>1</v>
      </c>
      <c r="K4338">
        <f>1-844-488-3633</f>
        <v>-4964</v>
      </c>
      <c r="L4338" t="s">
        <v>13517</v>
      </c>
      <c r="M4338" t="s">
        <v>13518</v>
      </c>
      <c r="N4338" t="s">
        <v>278</v>
      </c>
      <c r="O4338" t="s">
        <v>134</v>
      </c>
      <c r="P4338" t="s">
        <v>29</v>
      </c>
      <c r="Q4338">
        <v>47</v>
      </c>
      <c r="R4338">
        <v>-99.999999000000003</v>
      </c>
    </row>
    <row r="4339" spans="1:18" x14ac:dyDescent="0.2">
      <c r="A4339" t="s">
        <v>439</v>
      </c>
      <c r="B4339" t="s">
        <v>3094</v>
      </c>
      <c r="C4339">
        <v>358</v>
      </c>
      <c r="D4339" s="1">
        <v>44045.642800925925</v>
      </c>
      <c r="E4339" t="s">
        <v>13115</v>
      </c>
      <c r="F4339" t="s">
        <v>442</v>
      </c>
      <c r="G4339" t="s">
        <v>13519</v>
      </c>
      <c r="H4339" t="s">
        <v>444</v>
      </c>
      <c r="I4339" t="s">
        <v>6238</v>
      </c>
      <c r="J4339">
        <v>358</v>
      </c>
      <c r="K4339">
        <f>358-800-102-133</f>
        <v>-677</v>
      </c>
      <c r="L4339" t="s">
        <v>13520</v>
      </c>
      <c r="M4339" t="s">
        <v>13521</v>
      </c>
      <c r="N4339" t="s">
        <v>674</v>
      </c>
      <c r="O4339" t="s">
        <v>28</v>
      </c>
      <c r="P4339" t="s">
        <v>2268</v>
      </c>
      <c r="Q4339">
        <v>46</v>
      </c>
      <c r="R4339">
        <v>-73.567300000000003</v>
      </c>
    </row>
    <row r="4340" spans="1:18" x14ac:dyDescent="0.2">
      <c r="A4340" t="s">
        <v>663</v>
      </c>
      <c r="B4340" t="s">
        <v>664</v>
      </c>
      <c r="C4340">
        <v>1</v>
      </c>
      <c r="D4340" s="1">
        <v>44045.644826388889</v>
      </c>
      <c r="E4340" t="s">
        <v>13522</v>
      </c>
      <c r="F4340" t="s">
        <v>666</v>
      </c>
      <c r="G4340" t="s">
        <v>13522</v>
      </c>
      <c r="H4340" t="s">
        <v>667</v>
      </c>
      <c r="I4340" t="s">
        <v>29</v>
      </c>
      <c r="J4340">
        <v>1</v>
      </c>
      <c r="K4340">
        <f>1-888-979-4782</f>
        <v>-6648</v>
      </c>
      <c r="L4340" t="s">
        <v>13523</v>
      </c>
      <c r="M4340" t="s">
        <v>13524</v>
      </c>
      <c r="N4340">
        <v>170</v>
      </c>
      <c r="O4340" t="s">
        <v>134</v>
      </c>
      <c r="P4340" t="s">
        <v>29</v>
      </c>
      <c r="Q4340">
        <v>37</v>
      </c>
      <c r="R4340">
        <v>-99.999999000000003</v>
      </c>
    </row>
    <row r="4341" spans="1:18" x14ac:dyDescent="0.2">
      <c r="A4341" t="s">
        <v>439</v>
      </c>
      <c r="B4341" t="s">
        <v>3094</v>
      </c>
      <c r="C4341">
        <v>1</v>
      </c>
      <c r="D4341" s="1">
        <v>44045.652696759258</v>
      </c>
      <c r="E4341" t="s">
        <v>13525</v>
      </c>
      <c r="F4341" t="s">
        <v>442</v>
      </c>
      <c r="G4341" t="s">
        <v>13526</v>
      </c>
      <c r="H4341" t="s">
        <v>444</v>
      </c>
      <c r="I4341" t="s">
        <v>29</v>
      </c>
      <c r="J4341">
        <v>1</v>
      </c>
      <c r="K4341">
        <f>1-844-455-6679</f>
        <v>-7977</v>
      </c>
      <c r="L4341" t="s">
        <v>13527</v>
      </c>
      <c r="M4341" t="s">
        <v>13528</v>
      </c>
      <c r="N4341" t="s">
        <v>674</v>
      </c>
      <c r="O4341" t="s">
        <v>28</v>
      </c>
      <c r="P4341" t="s">
        <v>2268</v>
      </c>
      <c r="Q4341">
        <v>46</v>
      </c>
      <c r="R4341">
        <v>-73.567300000000003</v>
      </c>
    </row>
    <row r="4342" spans="1:18" x14ac:dyDescent="0.2">
      <c r="A4342" t="s">
        <v>2349</v>
      </c>
      <c r="B4342" t="s">
        <v>1651</v>
      </c>
      <c r="C4342">
        <v>44</v>
      </c>
      <c r="D4342" s="1">
        <v>44045.740104166667</v>
      </c>
      <c r="E4342" t="s">
        <v>13529</v>
      </c>
      <c r="F4342" t="s">
        <v>2352</v>
      </c>
      <c r="G4342" t="s">
        <v>13529</v>
      </c>
      <c r="H4342" t="s">
        <v>2353</v>
      </c>
      <c r="I4342" t="s">
        <v>618</v>
      </c>
      <c r="J4342">
        <v>44</v>
      </c>
      <c r="K4342">
        <f>44-800-66-4119</f>
        <v>-4941</v>
      </c>
      <c r="L4342" t="s">
        <v>13530</v>
      </c>
      <c r="M4342" t="s">
        <v>13531</v>
      </c>
      <c r="N4342">
        <v>20</v>
      </c>
      <c r="O4342" t="s">
        <v>134</v>
      </c>
      <c r="P4342" t="s">
        <v>29</v>
      </c>
      <c r="Q4342">
        <v>48</v>
      </c>
      <c r="R4342">
        <v>-99.999999000000003</v>
      </c>
    </row>
    <row r="4343" spans="1:18" x14ac:dyDescent="0.2">
      <c r="A4343" t="s">
        <v>663</v>
      </c>
      <c r="B4343" t="s">
        <v>664</v>
      </c>
      <c r="C4343">
        <v>1</v>
      </c>
      <c r="D4343" s="1">
        <v>44045.748391203706</v>
      </c>
      <c r="E4343" t="s">
        <v>13532</v>
      </c>
      <c r="F4343" t="s">
        <v>666</v>
      </c>
      <c r="G4343" t="s">
        <v>13532</v>
      </c>
      <c r="H4343" t="s">
        <v>667</v>
      </c>
      <c r="I4343" t="s">
        <v>29</v>
      </c>
      <c r="J4343">
        <v>1</v>
      </c>
      <c r="K4343">
        <f>1-844-490-4750</f>
        <v>-6083</v>
      </c>
      <c r="L4343" t="s">
        <v>13533</v>
      </c>
      <c r="M4343" t="s">
        <v>13534</v>
      </c>
      <c r="N4343">
        <v>46</v>
      </c>
      <c r="O4343" t="s">
        <v>134</v>
      </c>
      <c r="P4343" t="s">
        <v>29</v>
      </c>
      <c r="Q4343">
        <v>37</v>
      </c>
      <c r="R4343">
        <v>-99.999999000000003</v>
      </c>
    </row>
    <row r="4344" spans="1:18" x14ac:dyDescent="0.2">
      <c r="A4344" t="s">
        <v>663</v>
      </c>
      <c r="B4344" t="s">
        <v>664</v>
      </c>
      <c r="C4344">
        <v>1</v>
      </c>
      <c r="D4344" s="1">
        <v>44045.74832175926</v>
      </c>
      <c r="E4344" t="s">
        <v>13532</v>
      </c>
      <c r="F4344" t="s">
        <v>666</v>
      </c>
      <c r="G4344" t="s">
        <v>13532</v>
      </c>
      <c r="H4344" t="s">
        <v>667</v>
      </c>
      <c r="I4344" t="s">
        <v>29</v>
      </c>
      <c r="J4344">
        <v>1</v>
      </c>
      <c r="K4344">
        <f>1-888-985-6944</f>
        <v>-8816</v>
      </c>
      <c r="L4344" t="s">
        <v>13535</v>
      </c>
      <c r="M4344" t="s">
        <v>13536</v>
      </c>
      <c r="N4344">
        <v>46</v>
      </c>
      <c r="O4344" t="s">
        <v>134</v>
      </c>
      <c r="P4344" t="s">
        <v>29</v>
      </c>
      <c r="Q4344">
        <v>37</v>
      </c>
      <c r="R4344">
        <v>-99.999999000000003</v>
      </c>
    </row>
    <row r="4345" spans="1:18" x14ac:dyDescent="0.2">
      <c r="A4345" t="s">
        <v>663</v>
      </c>
      <c r="B4345" t="s">
        <v>2493</v>
      </c>
      <c r="C4345">
        <v>1</v>
      </c>
      <c r="D4345" s="1">
        <v>44045.767256944448</v>
      </c>
      <c r="E4345" t="s">
        <v>13537</v>
      </c>
      <c r="F4345" t="s">
        <v>666</v>
      </c>
      <c r="G4345" t="s">
        <v>13537</v>
      </c>
      <c r="H4345" t="s">
        <v>667</v>
      </c>
      <c r="I4345" t="s">
        <v>29</v>
      </c>
      <c r="J4345">
        <v>1</v>
      </c>
      <c r="K4345">
        <f>1-844-930-1999</f>
        <v>-3772</v>
      </c>
      <c r="L4345" t="s">
        <v>13538</v>
      </c>
      <c r="M4345" t="s">
        <v>13539</v>
      </c>
      <c r="N4345">
        <v>178</v>
      </c>
      <c r="O4345" t="s">
        <v>134</v>
      </c>
      <c r="P4345" t="s">
        <v>29</v>
      </c>
      <c r="Q4345">
        <v>41</v>
      </c>
      <c r="R4345">
        <v>-74.024699999999996</v>
      </c>
    </row>
    <row r="4346" spans="1:18" x14ac:dyDescent="0.2">
      <c r="A4346" t="s">
        <v>663</v>
      </c>
      <c r="B4346" t="s">
        <v>5337</v>
      </c>
      <c r="C4346">
        <v>1</v>
      </c>
      <c r="D4346" s="1">
        <v>44045.79928240741</v>
      </c>
      <c r="E4346" t="s">
        <v>13540</v>
      </c>
      <c r="F4346" t="s">
        <v>666</v>
      </c>
      <c r="G4346" t="s">
        <v>13540</v>
      </c>
      <c r="H4346" t="s">
        <v>667</v>
      </c>
      <c r="I4346" t="s">
        <v>29</v>
      </c>
      <c r="J4346">
        <v>1</v>
      </c>
      <c r="K4346">
        <f>1-844-474-3086</f>
        <v>-4403</v>
      </c>
      <c r="L4346" t="s">
        <v>13541</v>
      </c>
      <c r="M4346" t="s">
        <v>13542</v>
      </c>
      <c r="N4346">
        <v>155</v>
      </c>
      <c r="O4346" t="s">
        <v>134</v>
      </c>
      <c r="P4346" t="s">
        <v>29</v>
      </c>
      <c r="Q4346">
        <v>38</v>
      </c>
      <c r="R4346">
        <v>-99.999999000000003</v>
      </c>
    </row>
    <row r="4347" spans="1:18" x14ac:dyDescent="0.2">
      <c r="A4347" t="s">
        <v>1637</v>
      </c>
      <c r="B4347" t="s">
        <v>1638</v>
      </c>
      <c r="C4347">
        <v>1</v>
      </c>
      <c r="D4347" s="1">
        <v>44374.108680555553</v>
      </c>
      <c r="E4347" t="s">
        <v>13543</v>
      </c>
      <c r="F4347" t="s">
        <v>1640</v>
      </c>
      <c r="G4347" t="s">
        <v>13544</v>
      </c>
      <c r="H4347" t="s">
        <v>1642</v>
      </c>
      <c r="I4347" t="s">
        <v>29</v>
      </c>
      <c r="J4347">
        <v>1</v>
      </c>
      <c r="K4347">
        <f>1-866-237-6010</f>
        <v>-7112</v>
      </c>
      <c r="L4347" t="s">
        <v>13545</v>
      </c>
      <c r="M4347" t="s">
        <v>13546</v>
      </c>
      <c r="N4347" t="s">
        <v>5745</v>
      </c>
      <c r="O4347" t="s">
        <v>134</v>
      </c>
      <c r="P4347" t="s">
        <v>292</v>
      </c>
      <c r="Q4347">
        <v>49</v>
      </c>
      <c r="R4347">
        <v>2.3281000000000001</v>
      </c>
    </row>
    <row r="4348" spans="1:18" x14ac:dyDescent="0.2">
      <c r="A4348" t="s">
        <v>1637</v>
      </c>
      <c r="B4348" t="s">
        <v>1638</v>
      </c>
      <c r="C4348">
        <v>1</v>
      </c>
      <c r="D4348" s="1">
        <v>44373.881597222222</v>
      </c>
      <c r="E4348" t="s">
        <v>13547</v>
      </c>
      <c r="F4348" t="s">
        <v>1640</v>
      </c>
      <c r="G4348" t="s">
        <v>13544</v>
      </c>
      <c r="H4348" t="s">
        <v>1642</v>
      </c>
      <c r="I4348" t="s">
        <v>29</v>
      </c>
      <c r="J4348">
        <v>1</v>
      </c>
      <c r="K4348">
        <f>1-866-237-6010</f>
        <v>-7112</v>
      </c>
      <c r="L4348" t="s">
        <v>13548</v>
      </c>
      <c r="M4348" t="s">
        <v>13549</v>
      </c>
      <c r="N4348" t="s">
        <v>452</v>
      </c>
      <c r="O4348" t="s">
        <v>134</v>
      </c>
      <c r="P4348" t="s">
        <v>292</v>
      </c>
      <c r="Q4348">
        <v>49</v>
      </c>
      <c r="R4348">
        <v>2.3281000000000001</v>
      </c>
    </row>
    <row r="4349" spans="1:18" x14ac:dyDescent="0.2">
      <c r="A4349" t="s">
        <v>1637</v>
      </c>
      <c r="B4349" t="s">
        <v>1638</v>
      </c>
      <c r="C4349">
        <v>1</v>
      </c>
      <c r="D4349" s="1">
        <v>44370.839224537034</v>
      </c>
      <c r="E4349" t="s">
        <v>13550</v>
      </c>
      <c r="F4349" t="s">
        <v>1640</v>
      </c>
      <c r="G4349" t="s">
        <v>13544</v>
      </c>
      <c r="H4349" t="s">
        <v>1642</v>
      </c>
      <c r="I4349" t="s">
        <v>29</v>
      </c>
      <c r="J4349">
        <v>1</v>
      </c>
      <c r="K4349">
        <f>1-888-449-803</f>
        <v>-2139</v>
      </c>
      <c r="L4349" t="s">
        <v>13551</v>
      </c>
      <c r="M4349" t="s">
        <v>13552</v>
      </c>
      <c r="N4349" t="s">
        <v>452</v>
      </c>
      <c r="O4349" t="s">
        <v>134</v>
      </c>
      <c r="P4349" t="s">
        <v>292</v>
      </c>
      <c r="Q4349">
        <v>49</v>
      </c>
      <c r="R4349">
        <v>2.3281000000000001</v>
      </c>
    </row>
    <row r="4350" spans="1:18" x14ac:dyDescent="0.2">
      <c r="A4350" t="s">
        <v>1637</v>
      </c>
      <c r="B4350" t="s">
        <v>1638</v>
      </c>
      <c r="C4350">
        <v>1</v>
      </c>
      <c r="D4350" s="1">
        <v>44371.781747685185</v>
      </c>
      <c r="E4350" t="s">
        <v>13553</v>
      </c>
      <c r="F4350" t="s">
        <v>1640</v>
      </c>
      <c r="G4350" t="s">
        <v>13544</v>
      </c>
      <c r="H4350" t="s">
        <v>1642</v>
      </c>
      <c r="I4350" t="s">
        <v>29</v>
      </c>
      <c r="J4350">
        <v>1</v>
      </c>
      <c r="K4350">
        <f>1-888-509-6667</f>
        <v>-8063</v>
      </c>
      <c r="L4350" t="s">
        <v>13554</v>
      </c>
      <c r="M4350" t="s">
        <v>13555</v>
      </c>
      <c r="N4350" t="s">
        <v>452</v>
      </c>
      <c r="O4350" t="s">
        <v>134</v>
      </c>
      <c r="P4350" t="s">
        <v>292</v>
      </c>
      <c r="Q4350">
        <v>49</v>
      </c>
      <c r="R4350">
        <v>2.3281000000000001</v>
      </c>
    </row>
    <row r="4351" spans="1:18" x14ac:dyDescent="0.2">
      <c r="A4351" t="s">
        <v>1637</v>
      </c>
      <c r="B4351" t="s">
        <v>1638</v>
      </c>
      <c r="C4351">
        <v>1</v>
      </c>
      <c r="D4351" s="1">
        <v>44361.09778935185</v>
      </c>
      <c r="E4351" t="s">
        <v>13556</v>
      </c>
      <c r="F4351" t="s">
        <v>1640</v>
      </c>
      <c r="G4351" t="s">
        <v>13544</v>
      </c>
      <c r="H4351" t="s">
        <v>1642</v>
      </c>
      <c r="I4351" t="s">
        <v>29</v>
      </c>
      <c r="J4351">
        <v>1</v>
      </c>
      <c r="K4351">
        <f>1-888-455-6690</f>
        <v>-8032</v>
      </c>
      <c r="L4351" t="s">
        <v>13557</v>
      </c>
      <c r="M4351" t="s">
        <v>13558</v>
      </c>
      <c r="N4351" t="s">
        <v>5745</v>
      </c>
      <c r="O4351" t="s">
        <v>134</v>
      </c>
      <c r="P4351" t="s">
        <v>292</v>
      </c>
      <c r="Q4351">
        <v>49</v>
      </c>
      <c r="R4351">
        <v>2.3281000000000001</v>
      </c>
    </row>
    <row r="4352" spans="1:18" x14ac:dyDescent="0.2">
      <c r="A4352" t="s">
        <v>1637</v>
      </c>
      <c r="B4352" t="s">
        <v>1638</v>
      </c>
      <c r="C4352">
        <v>1</v>
      </c>
      <c r="D4352" s="1">
        <v>44350.832685185182</v>
      </c>
      <c r="E4352" t="s">
        <v>13559</v>
      </c>
      <c r="F4352" t="s">
        <v>1640</v>
      </c>
      <c r="G4352" t="s">
        <v>13544</v>
      </c>
      <c r="H4352" t="s">
        <v>1642</v>
      </c>
      <c r="I4352" t="s">
        <v>29</v>
      </c>
      <c r="J4352">
        <v>1</v>
      </c>
      <c r="K4352">
        <f>1-888-485-9992</f>
        <v>-11364</v>
      </c>
      <c r="L4352" t="s">
        <v>13560</v>
      </c>
      <c r="M4352" t="s">
        <v>13561</v>
      </c>
      <c r="N4352" t="s">
        <v>5745</v>
      </c>
      <c r="O4352" t="s">
        <v>134</v>
      </c>
      <c r="P4352" t="s">
        <v>292</v>
      </c>
      <c r="Q4352">
        <v>49</v>
      </c>
      <c r="R4352">
        <v>2.3281000000000001</v>
      </c>
    </row>
    <row r="4353" spans="1:18" x14ac:dyDescent="0.2">
      <c r="A4353" t="s">
        <v>1637</v>
      </c>
      <c r="B4353" t="s">
        <v>1638</v>
      </c>
      <c r="C4353">
        <v>1</v>
      </c>
      <c r="D4353" s="1">
        <v>44118.055277777778</v>
      </c>
      <c r="E4353" t="s">
        <v>13562</v>
      </c>
      <c r="F4353" t="s">
        <v>1640</v>
      </c>
      <c r="G4353" t="s">
        <v>13544</v>
      </c>
      <c r="H4353" t="s">
        <v>1642</v>
      </c>
      <c r="I4353" t="s">
        <v>29</v>
      </c>
      <c r="J4353">
        <v>1</v>
      </c>
      <c r="K4353">
        <f>1-888-630-3830</f>
        <v>-5347</v>
      </c>
      <c r="L4353" t="s">
        <v>13563</v>
      </c>
      <c r="M4353" t="s">
        <v>13564</v>
      </c>
      <c r="N4353" t="s">
        <v>36</v>
      </c>
      <c r="O4353" t="s">
        <v>134</v>
      </c>
      <c r="P4353" t="s">
        <v>292</v>
      </c>
      <c r="Q4353">
        <v>49</v>
      </c>
      <c r="R4353">
        <v>2.3281000000000001</v>
      </c>
    </row>
    <row r="4354" spans="1:18" x14ac:dyDescent="0.2">
      <c r="A4354" t="s">
        <v>1637</v>
      </c>
      <c r="B4354" t="s">
        <v>1638</v>
      </c>
      <c r="C4354">
        <v>1</v>
      </c>
      <c r="D4354" s="1">
        <v>44117.853148148148</v>
      </c>
      <c r="E4354" t="s">
        <v>13565</v>
      </c>
      <c r="F4354" t="s">
        <v>1640</v>
      </c>
      <c r="G4354" t="s">
        <v>13544</v>
      </c>
      <c r="H4354" t="s">
        <v>1642</v>
      </c>
      <c r="I4354" t="s">
        <v>29</v>
      </c>
      <c r="J4354">
        <v>1</v>
      </c>
      <c r="K4354">
        <f>1-888-750-905</f>
        <v>-2542</v>
      </c>
      <c r="L4354" t="s">
        <v>13566</v>
      </c>
      <c r="M4354" t="s">
        <v>13567</v>
      </c>
      <c r="N4354" t="s">
        <v>1645</v>
      </c>
      <c r="O4354" t="s">
        <v>134</v>
      </c>
      <c r="P4354" t="s">
        <v>292</v>
      </c>
      <c r="Q4354">
        <v>49</v>
      </c>
      <c r="R4354">
        <v>2.3281000000000001</v>
      </c>
    </row>
    <row r="4355" spans="1:18" x14ac:dyDescent="0.2">
      <c r="A4355" t="s">
        <v>1637</v>
      </c>
      <c r="B4355" t="s">
        <v>1638</v>
      </c>
      <c r="C4355">
        <v>1</v>
      </c>
      <c r="D4355" s="1">
        <v>44108.896793981483</v>
      </c>
      <c r="E4355" t="s">
        <v>13568</v>
      </c>
      <c r="F4355" t="s">
        <v>1640</v>
      </c>
      <c r="G4355" t="s">
        <v>13544</v>
      </c>
      <c r="H4355" t="s">
        <v>1642</v>
      </c>
      <c r="I4355" t="s">
        <v>29</v>
      </c>
      <c r="J4355">
        <v>1</v>
      </c>
      <c r="K4355">
        <f>1-888-407-9694</f>
        <v>-10988</v>
      </c>
      <c r="L4355" t="s">
        <v>13569</v>
      </c>
      <c r="M4355" t="s">
        <v>13570</v>
      </c>
      <c r="N4355" t="s">
        <v>452</v>
      </c>
      <c r="O4355" t="s">
        <v>134</v>
      </c>
      <c r="P4355" t="s">
        <v>292</v>
      </c>
      <c r="Q4355">
        <v>49</v>
      </c>
      <c r="R4355">
        <v>2.3281000000000001</v>
      </c>
    </row>
    <row r="4356" spans="1:18" x14ac:dyDescent="0.2">
      <c r="A4356" t="s">
        <v>1637</v>
      </c>
      <c r="B4356" t="s">
        <v>1638</v>
      </c>
      <c r="C4356">
        <v>1</v>
      </c>
      <c r="D4356" s="1">
        <v>44108.872187499997</v>
      </c>
      <c r="E4356" t="s">
        <v>13571</v>
      </c>
      <c r="F4356" t="s">
        <v>1640</v>
      </c>
      <c r="G4356" t="s">
        <v>13544</v>
      </c>
      <c r="H4356" t="s">
        <v>1642</v>
      </c>
      <c r="I4356" t="s">
        <v>29</v>
      </c>
      <c r="J4356">
        <v>1</v>
      </c>
      <c r="K4356">
        <f>1-888-406-9813</f>
        <v>-11106</v>
      </c>
      <c r="L4356" t="s">
        <v>13572</v>
      </c>
      <c r="M4356" t="s">
        <v>13573</v>
      </c>
      <c r="N4356" t="s">
        <v>2475</v>
      </c>
      <c r="O4356" t="s">
        <v>134</v>
      </c>
      <c r="P4356" t="s">
        <v>292</v>
      </c>
      <c r="Q4356">
        <v>49</v>
      </c>
      <c r="R4356">
        <v>2.3281000000000001</v>
      </c>
    </row>
    <row r="4357" spans="1:18" x14ac:dyDescent="0.2">
      <c r="A4357" t="s">
        <v>1637</v>
      </c>
      <c r="B4357" t="s">
        <v>1638</v>
      </c>
      <c r="C4357">
        <v>1</v>
      </c>
      <c r="D4357" s="1">
        <v>44108.893530092595</v>
      </c>
      <c r="E4357" t="s">
        <v>13568</v>
      </c>
      <c r="F4357" t="s">
        <v>1640</v>
      </c>
      <c r="G4357" t="s">
        <v>13544</v>
      </c>
      <c r="H4357" t="s">
        <v>1642</v>
      </c>
      <c r="I4357" t="s">
        <v>29</v>
      </c>
      <c r="J4357">
        <v>1</v>
      </c>
      <c r="K4357">
        <f>1-888-671-221</f>
        <v>-1779</v>
      </c>
      <c r="L4357" t="s">
        <v>13574</v>
      </c>
      <c r="M4357" t="s">
        <v>13575</v>
      </c>
      <c r="N4357" t="s">
        <v>452</v>
      </c>
      <c r="O4357" t="s">
        <v>134</v>
      </c>
      <c r="P4357" t="s">
        <v>292</v>
      </c>
      <c r="Q4357">
        <v>49</v>
      </c>
      <c r="R4357">
        <v>2.3281000000000001</v>
      </c>
    </row>
    <row r="4358" spans="1:18" x14ac:dyDescent="0.2">
      <c r="A4358" t="s">
        <v>1637</v>
      </c>
      <c r="B4358" t="s">
        <v>1638</v>
      </c>
      <c r="C4358">
        <v>1</v>
      </c>
      <c r="D4358" s="1">
        <v>44045.830185185187</v>
      </c>
      <c r="E4358" t="s">
        <v>13576</v>
      </c>
      <c r="F4358" t="s">
        <v>1640</v>
      </c>
      <c r="G4358" t="s">
        <v>13544</v>
      </c>
      <c r="H4358" t="s">
        <v>1642</v>
      </c>
      <c r="I4358" t="s">
        <v>29</v>
      </c>
      <c r="J4358">
        <v>1</v>
      </c>
      <c r="K4358">
        <f>1-888-407-696</f>
        <v>-1990</v>
      </c>
      <c r="L4358" t="s">
        <v>13577</v>
      </c>
      <c r="M4358" t="s">
        <v>13578</v>
      </c>
      <c r="N4358" t="s">
        <v>2475</v>
      </c>
      <c r="O4358" t="s">
        <v>134</v>
      </c>
      <c r="P4358" t="s">
        <v>292</v>
      </c>
      <c r="Q4358">
        <v>49</v>
      </c>
      <c r="R4358">
        <v>2.3281000000000001</v>
      </c>
    </row>
    <row r="4359" spans="1:18" x14ac:dyDescent="0.2">
      <c r="A4359" t="s">
        <v>1637</v>
      </c>
      <c r="B4359" t="s">
        <v>1638</v>
      </c>
      <c r="C4359">
        <v>1</v>
      </c>
      <c r="D4359" s="1">
        <v>44045.804861111108</v>
      </c>
      <c r="E4359" t="s">
        <v>13579</v>
      </c>
      <c r="F4359" t="s">
        <v>1640</v>
      </c>
      <c r="G4359" t="s">
        <v>13544</v>
      </c>
      <c r="H4359" t="s">
        <v>1642</v>
      </c>
      <c r="I4359" t="s">
        <v>29</v>
      </c>
      <c r="J4359">
        <v>1</v>
      </c>
      <c r="K4359">
        <f>1-888-407-798</f>
        <v>-2092</v>
      </c>
      <c r="L4359" t="s">
        <v>13580</v>
      </c>
      <c r="M4359" t="s">
        <v>13581</v>
      </c>
      <c r="N4359" t="s">
        <v>36</v>
      </c>
      <c r="O4359" t="s">
        <v>134</v>
      </c>
      <c r="P4359" t="s">
        <v>292</v>
      </c>
      <c r="Q4359">
        <v>49</v>
      </c>
      <c r="R4359">
        <v>2.3281000000000001</v>
      </c>
    </row>
    <row r="4360" spans="1:18" x14ac:dyDescent="0.2">
      <c r="A4360" t="s">
        <v>439</v>
      </c>
      <c r="B4360" t="s">
        <v>3094</v>
      </c>
      <c r="C4360">
        <v>1</v>
      </c>
      <c r="D4360" s="1">
        <v>44046.181307870371</v>
      </c>
      <c r="E4360" t="s">
        <v>13582</v>
      </c>
      <c r="F4360" t="s">
        <v>442</v>
      </c>
      <c r="G4360" t="s">
        <v>13583</v>
      </c>
      <c r="H4360" t="s">
        <v>444</v>
      </c>
      <c r="I4360" t="s">
        <v>29</v>
      </c>
      <c r="J4360">
        <v>1</v>
      </c>
      <c r="K4360">
        <f>1-866-789-4504</f>
        <v>-6158</v>
      </c>
      <c r="L4360" t="s">
        <v>13584</v>
      </c>
      <c r="M4360" t="s">
        <v>13585</v>
      </c>
      <c r="N4360" t="s">
        <v>213</v>
      </c>
      <c r="O4360" t="s">
        <v>28</v>
      </c>
      <c r="P4360" t="s">
        <v>2268</v>
      </c>
      <c r="Q4360">
        <v>46</v>
      </c>
      <c r="R4360">
        <v>-73.567300000000003</v>
      </c>
    </row>
    <row r="4361" spans="1:18" x14ac:dyDescent="0.2">
      <c r="A4361" t="s">
        <v>439</v>
      </c>
      <c r="B4361" t="s">
        <v>3094</v>
      </c>
      <c r="C4361">
        <v>1</v>
      </c>
      <c r="D4361" s="1">
        <v>44046.181712962964</v>
      </c>
      <c r="E4361" t="s">
        <v>13586</v>
      </c>
      <c r="F4361" t="s">
        <v>442</v>
      </c>
      <c r="G4361" t="s">
        <v>13587</v>
      </c>
      <c r="H4361" t="s">
        <v>444</v>
      </c>
      <c r="I4361" t="s">
        <v>29</v>
      </c>
      <c r="J4361">
        <v>1</v>
      </c>
      <c r="K4361">
        <f>1-888-241-4772</f>
        <v>-5900</v>
      </c>
      <c r="L4361" t="s">
        <v>13588</v>
      </c>
      <c r="M4361" t="s">
        <v>13589</v>
      </c>
      <c r="N4361" t="s">
        <v>447</v>
      </c>
      <c r="O4361" t="s">
        <v>28</v>
      </c>
      <c r="P4361" t="s">
        <v>2268</v>
      </c>
      <c r="Q4361">
        <v>46</v>
      </c>
      <c r="R4361">
        <v>-73.567300000000003</v>
      </c>
    </row>
    <row r="4362" spans="1:18" x14ac:dyDescent="0.2">
      <c r="A4362" t="s">
        <v>2349</v>
      </c>
      <c r="B4362" t="s">
        <v>6134</v>
      </c>
      <c r="C4362">
        <v>1</v>
      </c>
      <c r="D4362" s="1">
        <v>44046.18445601852</v>
      </c>
      <c r="E4362" t="s">
        <v>13590</v>
      </c>
      <c r="F4362" t="s">
        <v>2352</v>
      </c>
      <c r="G4362" t="s">
        <v>13591</v>
      </c>
      <c r="H4362" t="s">
        <v>2353</v>
      </c>
      <c r="I4362" t="s">
        <v>29</v>
      </c>
      <c r="J4362">
        <v>1</v>
      </c>
      <c r="K4362">
        <f>1-866-256-232</f>
        <v>-1353</v>
      </c>
      <c r="L4362" t="s">
        <v>13592</v>
      </c>
      <c r="M4362" t="s">
        <v>13593</v>
      </c>
      <c r="N4362" t="s">
        <v>5986</v>
      </c>
      <c r="O4362" t="s">
        <v>28</v>
      </c>
      <c r="P4362" t="s">
        <v>29</v>
      </c>
      <c r="Q4362">
        <v>33</v>
      </c>
      <c r="R4362">
        <v>-96.802099999999996</v>
      </c>
    </row>
    <row r="4363" spans="1:18" x14ac:dyDescent="0.2">
      <c r="A4363" t="s">
        <v>663</v>
      </c>
      <c r="B4363" t="s">
        <v>5337</v>
      </c>
      <c r="C4363">
        <v>44</v>
      </c>
      <c r="D4363" s="1">
        <v>44047.722534722219</v>
      </c>
      <c r="E4363" t="s">
        <v>13594</v>
      </c>
      <c r="F4363" t="s">
        <v>666</v>
      </c>
      <c r="G4363" t="s">
        <v>13594</v>
      </c>
      <c r="H4363" t="s">
        <v>667</v>
      </c>
      <c r="I4363" t="s">
        <v>618</v>
      </c>
      <c r="J4363">
        <v>44</v>
      </c>
      <c r="K4363">
        <f>44-800-14-8078</f>
        <v>-8848</v>
      </c>
      <c r="L4363" t="s">
        <v>13595</v>
      </c>
      <c r="M4363" t="s">
        <v>13596</v>
      </c>
      <c r="N4363">
        <v>137</v>
      </c>
      <c r="O4363" t="s">
        <v>134</v>
      </c>
      <c r="P4363" t="s">
        <v>29</v>
      </c>
      <c r="Q4363">
        <v>38</v>
      </c>
      <c r="R4363">
        <v>-99.999999000000003</v>
      </c>
    </row>
    <row r="4364" spans="1:18" x14ac:dyDescent="0.2">
      <c r="A4364" t="s">
        <v>439</v>
      </c>
      <c r="B4364" t="s">
        <v>3094</v>
      </c>
      <c r="C4364">
        <v>1</v>
      </c>
      <c r="D4364" s="1">
        <v>44046.521585648145</v>
      </c>
      <c r="E4364" t="s">
        <v>13597</v>
      </c>
      <c r="F4364" t="s">
        <v>442</v>
      </c>
      <c r="G4364" t="s">
        <v>13598</v>
      </c>
      <c r="H4364" t="s">
        <v>444</v>
      </c>
      <c r="I4364" t="s">
        <v>29</v>
      </c>
      <c r="J4364">
        <v>1</v>
      </c>
      <c r="K4364">
        <f>1-866-705-9894</f>
        <v>-11464</v>
      </c>
      <c r="L4364" t="s">
        <v>13599</v>
      </c>
      <c r="M4364" t="s">
        <v>13600</v>
      </c>
      <c r="N4364" t="s">
        <v>213</v>
      </c>
      <c r="O4364" t="s">
        <v>28</v>
      </c>
      <c r="P4364" t="s">
        <v>2268</v>
      </c>
      <c r="Q4364">
        <v>46</v>
      </c>
      <c r="R4364">
        <v>-73.567300000000003</v>
      </c>
    </row>
    <row r="4365" spans="1:18" x14ac:dyDescent="0.2">
      <c r="A4365" t="s">
        <v>270</v>
      </c>
      <c r="B4365" t="s">
        <v>271</v>
      </c>
      <c r="C4365">
        <v>1</v>
      </c>
      <c r="D4365" s="1">
        <v>44046.637835648151</v>
      </c>
      <c r="E4365" t="s">
        <v>13601</v>
      </c>
      <c r="F4365" t="s">
        <v>273</v>
      </c>
      <c r="G4365" t="s">
        <v>13602</v>
      </c>
      <c r="H4365" t="s">
        <v>275</v>
      </c>
      <c r="I4365" t="s">
        <v>29</v>
      </c>
      <c r="J4365">
        <v>1</v>
      </c>
      <c r="K4365">
        <f>1-888-307-702</f>
        <v>-1896</v>
      </c>
      <c r="L4365" t="s">
        <v>13603</v>
      </c>
      <c r="M4365" t="s">
        <v>13604</v>
      </c>
      <c r="N4365" t="s">
        <v>278</v>
      </c>
      <c r="O4365" t="s">
        <v>134</v>
      </c>
      <c r="P4365" t="s">
        <v>29</v>
      </c>
      <c r="Q4365">
        <v>42</v>
      </c>
      <c r="R4365">
        <v>-93.620800000000003</v>
      </c>
    </row>
    <row r="4366" spans="1:18" x14ac:dyDescent="0.2">
      <c r="A4366" t="s">
        <v>270</v>
      </c>
      <c r="B4366" t="s">
        <v>271</v>
      </c>
      <c r="C4366">
        <v>1</v>
      </c>
      <c r="D4366" s="1">
        <v>44046.637974537036</v>
      </c>
      <c r="E4366" t="s">
        <v>13605</v>
      </c>
      <c r="F4366" t="s">
        <v>273</v>
      </c>
      <c r="G4366" t="s">
        <v>13606</v>
      </c>
      <c r="H4366" t="s">
        <v>275</v>
      </c>
      <c r="I4366" t="s">
        <v>29</v>
      </c>
      <c r="J4366">
        <v>1</v>
      </c>
      <c r="K4366">
        <f>1-888-307-702</f>
        <v>-1896</v>
      </c>
      <c r="L4366" t="s">
        <v>13607</v>
      </c>
      <c r="M4366" t="s">
        <v>13608</v>
      </c>
      <c r="N4366" t="s">
        <v>278</v>
      </c>
      <c r="O4366" t="s">
        <v>134</v>
      </c>
      <c r="P4366" t="s">
        <v>29</v>
      </c>
      <c r="Q4366">
        <v>42</v>
      </c>
      <c r="R4366">
        <v>-93.620800000000003</v>
      </c>
    </row>
    <row r="4367" spans="1:18" x14ac:dyDescent="0.2">
      <c r="A4367" t="s">
        <v>663</v>
      </c>
      <c r="B4367" t="s">
        <v>3385</v>
      </c>
      <c r="C4367">
        <v>44</v>
      </c>
      <c r="D4367" s="1">
        <v>44046.646921296298</v>
      </c>
      <c r="E4367" t="s">
        <v>13609</v>
      </c>
      <c r="F4367" t="s">
        <v>666</v>
      </c>
      <c r="G4367" t="s">
        <v>13610</v>
      </c>
      <c r="H4367" t="s">
        <v>667</v>
      </c>
      <c r="I4367" t="s">
        <v>618</v>
      </c>
      <c r="J4367">
        <v>44</v>
      </c>
      <c r="K4367">
        <f>44-800-31-4241</f>
        <v>-5028</v>
      </c>
      <c r="L4367" t="s">
        <v>13611</v>
      </c>
      <c r="M4367" t="s">
        <v>13612</v>
      </c>
      <c r="N4367" t="s">
        <v>1645</v>
      </c>
      <c r="O4367" t="s">
        <v>28</v>
      </c>
      <c r="P4367" t="s">
        <v>29</v>
      </c>
      <c r="Q4367">
        <v>41</v>
      </c>
      <c r="R4367">
        <v>-73.996600000000001</v>
      </c>
    </row>
    <row r="4368" spans="1:18" x14ac:dyDescent="0.2">
      <c r="A4368" t="s">
        <v>2349</v>
      </c>
      <c r="B4368" t="s">
        <v>1651</v>
      </c>
      <c r="C4368">
        <v>44</v>
      </c>
      <c r="D4368" s="1">
        <v>44046.647083333337</v>
      </c>
      <c r="E4368" t="s">
        <v>13613</v>
      </c>
      <c r="F4368" t="s">
        <v>2352</v>
      </c>
      <c r="G4368" t="s">
        <v>13613</v>
      </c>
      <c r="H4368" t="s">
        <v>2353</v>
      </c>
      <c r="I4368" t="s">
        <v>618</v>
      </c>
      <c r="J4368">
        <v>44</v>
      </c>
      <c r="K4368">
        <f>44-800-66-4119</f>
        <v>-4941</v>
      </c>
      <c r="L4368" t="s">
        <v>13614</v>
      </c>
      <c r="M4368" t="s">
        <v>13615</v>
      </c>
      <c r="N4368">
        <v>60</v>
      </c>
      <c r="O4368" t="s">
        <v>134</v>
      </c>
      <c r="P4368" t="s">
        <v>29</v>
      </c>
      <c r="Q4368">
        <v>48</v>
      </c>
      <c r="R4368">
        <v>-99.999999000000003</v>
      </c>
    </row>
    <row r="4369" spans="1:18" x14ac:dyDescent="0.2">
      <c r="A4369" t="s">
        <v>663</v>
      </c>
      <c r="B4369" t="s">
        <v>5784</v>
      </c>
      <c r="C4369">
        <v>1</v>
      </c>
      <c r="D4369" s="1">
        <v>44046.805474537039</v>
      </c>
      <c r="E4369" t="s">
        <v>13616</v>
      </c>
      <c r="F4369" t="s">
        <v>666</v>
      </c>
      <c r="G4369" t="s">
        <v>13617</v>
      </c>
      <c r="H4369" t="s">
        <v>667</v>
      </c>
      <c r="I4369" t="s">
        <v>29</v>
      </c>
      <c r="J4369">
        <v>1</v>
      </c>
      <c r="K4369">
        <f>1-888-525-1863</f>
        <v>-3275</v>
      </c>
      <c r="L4369" t="s">
        <v>13618</v>
      </c>
      <c r="M4369" t="s">
        <v>13619</v>
      </c>
      <c r="N4369" t="s">
        <v>452</v>
      </c>
      <c r="O4369" t="s">
        <v>28</v>
      </c>
      <c r="P4369" t="s">
        <v>5789</v>
      </c>
      <c r="Q4369">
        <v>13</v>
      </c>
      <c r="R4369">
        <v>77.593299999999999</v>
      </c>
    </row>
    <row r="4370" spans="1:18" x14ac:dyDescent="0.2">
      <c r="A4370" t="s">
        <v>439</v>
      </c>
      <c r="B4370" t="s">
        <v>3094</v>
      </c>
      <c r="C4370">
        <v>1</v>
      </c>
      <c r="D4370" s="1">
        <v>44046.714918981481</v>
      </c>
      <c r="E4370" t="s">
        <v>13620</v>
      </c>
      <c r="F4370" t="s">
        <v>442</v>
      </c>
      <c r="G4370" t="s">
        <v>13621</v>
      </c>
      <c r="H4370" t="s">
        <v>444</v>
      </c>
      <c r="I4370" t="s">
        <v>29</v>
      </c>
      <c r="J4370">
        <v>1</v>
      </c>
      <c r="K4370">
        <f>1-877-782-2241</f>
        <v>-3899</v>
      </c>
      <c r="L4370" t="s">
        <v>13622</v>
      </c>
      <c r="M4370" t="s">
        <v>13623</v>
      </c>
      <c r="N4370" t="s">
        <v>674</v>
      </c>
      <c r="O4370" t="s">
        <v>28</v>
      </c>
      <c r="P4370" t="s">
        <v>2268</v>
      </c>
      <c r="Q4370">
        <v>46</v>
      </c>
      <c r="R4370">
        <v>-73.567300000000003</v>
      </c>
    </row>
    <row r="4371" spans="1:18" x14ac:dyDescent="0.2">
      <c r="A4371" t="s">
        <v>663</v>
      </c>
      <c r="B4371" t="s">
        <v>3385</v>
      </c>
      <c r="C4371">
        <v>43</v>
      </c>
      <c r="D4371" s="1">
        <v>44046.752233796295</v>
      </c>
      <c r="E4371" t="s">
        <v>13624</v>
      </c>
      <c r="F4371" t="s">
        <v>666</v>
      </c>
      <c r="G4371" t="s">
        <v>13624</v>
      </c>
      <c r="H4371" t="s">
        <v>667</v>
      </c>
      <c r="I4371" t="s">
        <v>3432</v>
      </c>
      <c r="J4371">
        <v>43</v>
      </c>
      <c r="K4371">
        <f>43-670-308-150</f>
        <v>-1085</v>
      </c>
      <c r="L4371" t="s">
        <v>13625</v>
      </c>
      <c r="M4371" t="s">
        <v>13626</v>
      </c>
      <c r="N4371">
        <v>145</v>
      </c>
      <c r="O4371" t="s">
        <v>134</v>
      </c>
      <c r="P4371" t="s">
        <v>29</v>
      </c>
      <c r="Q4371">
        <v>41</v>
      </c>
      <c r="R4371">
        <v>-73.996600000000001</v>
      </c>
    </row>
    <row r="4372" spans="1:18" x14ac:dyDescent="0.2">
      <c r="A4372" t="s">
        <v>663</v>
      </c>
      <c r="B4372" t="s">
        <v>3385</v>
      </c>
      <c r="C4372">
        <v>43</v>
      </c>
      <c r="D4372" s="1">
        <v>44046.715937499997</v>
      </c>
      <c r="E4372" t="s">
        <v>13627</v>
      </c>
      <c r="F4372" t="s">
        <v>666</v>
      </c>
      <c r="G4372" t="s">
        <v>13624</v>
      </c>
      <c r="H4372" t="s">
        <v>667</v>
      </c>
      <c r="I4372" t="s">
        <v>3432</v>
      </c>
      <c r="J4372">
        <v>43</v>
      </c>
      <c r="K4372">
        <f>43-670-308-150</f>
        <v>-1085</v>
      </c>
      <c r="L4372" t="s">
        <v>13628</v>
      </c>
      <c r="M4372" t="s">
        <v>13629</v>
      </c>
      <c r="N4372" t="s">
        <v>213</v>
      </c>
      <c r="O4372" t="s">
        <v>28</v>
      </c>
      <c r="P4372" t="s">
        <v>29</v>
      </c>
      <c r="Q4372">
        <v>41</v>
      </c>
      <c r="R4372">
        <v>-73.996600000000001</v>
      </c>
    </row>
    <row r="4373" spans="1:18" x14ac:dyDescent="0.2">
      <c r="A4373" t="s">
        <v>439</v>
      </c>
      <c r="B4373" t="s">
        <v>3094</v>
      </c>
      <c r="C4373">
        <v>1</v>
      </c>
      <c r="D4373" s="1">
        <v>44047.413148148145</v>
      </c>
      <c r="E4373" t="s">
        <v>13630</v>
      </c>
      <c r="F4373" t="s">
        <v>442</v>
      </c>
      <c r="G4373" t="s">
        <v>13631</v>
      </c>
      <c r="H4373" t="s">
        <v>444</v>
      </c>
      <c r="I4373" t="s">
        <v>29</v>
      </c>
      <c r="J4373">
        <v>1</v>
      </c>
      <c r="K4373">
        <f>1-888-745-6606</f>
        <v>-8238</v>
      </c>
      <c r="L4373" t="s">
        <v>13632</v>
      </c>
      <c r="M4373" t="s">
        <v>13633</v>
      </c>
      <c r="N4373" t="s">
        <v>213</v>
      </c>
      <c r="O4373" t="s">
        <v>28</v>
      </c>
      <c r="P4373" t="s">
        <v>2268</v>
      </c>
      <c r="Q4373">
        <v>46</v>
      </c>
      <c r="R4373">
        <v>-73.567300000000003</v>
      </c>
    </row>
    <row r="4374" spans="1:18" x14ac:dyDescent="0.2">
      <c r="A4374" t="s">
        <v>663</v>
      </c>
      <c r="B4374" t="s">
        <v>3245</v>
      </c>
      <c r="C4374">
        <v>44</v>
      </c>
      <c r="D4374" s="1">
        <v>44047.517442129632</v>
      </c>
      <c r="E4374" t="s">
        <v>13634</v>
      </c>
      <c r="F4374" t="s">
        <v>666</v>
      </c>
      <c r="G4374" t="s">
        <v>13635</v>
      </c>
      <c r="H4374" t="s">
        <v>667</v>
      </c>
      <c r="I4374" t="s">
        <v>618</v>
      </c>
      <c r="J4374">
        <v>44</v>
      </c>
      <c r="K4374">
        <f>44-800-31-4241</f>
        <v>-5028</v>
      </c>
      <c r="L4374" t="s">
        <v>13636</v>
      </c>
      <c r="M4374" t="s">
        <v>13637</v>
      </c>
      <c r="N4374" t="s">
        <v>1645</v>
      </c>
      <c r="O4374" t="s">
        <v>28</v>
      </c>
      <c r="P4374" t="s">
        <v>29</v>
      </c>
      <c r="Q4374">
        <v>41</v>
      </c>
      <c r="R4374">
        <v>-74.140299999999996</v>
      </c>
    </row>
    <row r="4375" spans="1:18" x14ac:dyDescent="0.2">
      <c r="A4375" t="s">
        <v>663</v>
      </c>
      <c r="B4375" t="s">
        <v>454</v>
      </c>
      <c r="C4375">
        <v>43</v>
      </c>
      <c r="D4375" s="1">
        <v>44047.554571759261</v>
      </c>
      <c r="E4375" t="s">
        <v>13638</v>
      </c>
      <c r="F4375" t="s">
        <v>666</v>
      </c>
      <c r="G4375" t="s">
        <v>13639</v>
      </c>
      <c r="H4375" t="s">
        <v>667</v>
      </c>
      <c r="I4375" t="s">
        <v>3432</v>
      </c>
      <c r="J4375">
        <v>43</v>
      </c>
      <c r="K4375">
        <f>43-670-308-150</f>
        <v>-1085</v>
      </c>
      <c r="L4375" t="s">
        <v>13640</v>
      </c>
      <c r="M4375" t="s">
        <v>13641</v>
      </c>
      <c r="N4375" t="s">
        <v>3454</v>
      </c>
      <c r="O4375" t="s">
        <v>28</v>
      </c>
      <c r="P4375" t="s">
        <v>461</v>
      </c>
      <c r="Q4375">
        <v>52</v>
      </c>
      <c r="R4375">
        <v>4.8975</v>
      </c>
    </row>
    <row r="4376" spans="1:18" x14ac:dyDescent="0.2">
      <c r="A4376" t="s">
        <v>2349</v>
      </c>
      <c r="B4376" t="s">
        <v>6310</v>
      </c>
      <c r="C4376">
        <v>1</v>
      </c>
      <c r="D4376" s="1">
        <v>44047.73537037037</v>
      </c>
      <c r="E4376" t="s">
        <v>13642</v>
      </c>
      <c r="F4376" t="s">
        <v>2352</v>
      </c>
      <c r="G4376" t="s">
        <v>13643</v>
      </c>
      <c r="H4376" t="s">
        <v>2353</v>
      </c>
      <c r="I4376" t="s">
        <v>29</v>
      </c>
      <c r="J4376">
        <v>1</v>
      </c>
      <c r="K4376">
        <f>1-833-566-6661</f>
        <v>-8059</v>
      </c>
      <c r="L4376" t="s">
        <v>13644</v>
      </c>
      <c r="M4376" t="s">
        <v>13645</v>
      </c>
      <c r="N4376" t="s">
        <v>213</v>
      </c>
      <c r="O4376" t="s">
        <v>28</v>
      </c>
      <c r="P4376" t="s">
        <v>29</v>
      </c>
      <c r="Q4376">
        <v>34</v>
      </c>
      <c r="R4376">
        <v>-84.445499999999996</v>
      </c>
    </row>
    <row r="4377" spans="1:18" x14ac:dyDescent="0.2">
      <c r="A4377" t="s">
        <v>663</v>
      </c>
      <c r="B4377" t="s">
        <v>2493</v>
      </c>
      <c r="C4377">
        <v>1</v>
      </c>
      <c r="D4377" s="1">
        <v>44047.744490740741</v>
      </c>
      <c r="E4377" t="s">
        <v>13646</v>
      </c>
      <c r="F4377" t="s">
        <v>666</v>
      </c>
      <c r="G4377" t="s">
        <v>13646</v>
      </c>
      <c r="H4377" t="s">
        <v>667</v>
      </c>
      <c r="I4377" t="s">
        <v>29</v>
      </c>
      <c r="J4377">
        <v>1</v>
      </c>
      <c r="K4377">
        <f>1-844-559-9</f>
        <v>-1411</v>
      </c>
      <c r="L4377" t="s">
        <v>13647</v>
      </c>
      <c r="M4377" t="s">
        <v>13648</v>
      </c>
      <c r="N4377">
        <v>133</v>
      </c>
      <c r="O4377" t="s">
        <v>134</v>
      </c>
      <c r="P4377" t="s">
        <v>29</v>
      </c>
      <c r="Q4377">
        <v>41</v>
      </c>
      <c r="R4377">
        <v>-74.024699999999996</v>
      </c>
    </row>
    <row r="4378" spans="1:18" x14ac:dyDescent="0.2">
      <c r="A4378" t="s">
        <v>663</v>
      </c>
      <c r="B4378" t="s">
        <v>664</v>
      </c>
      <c r="C4378">
        <v>1</v>
      </c>
      <c r="D4378" s="1">
        <v>44047.756886574076</v>
      </c>
      <c r="E4378" t="s">
        <v>13649</v>
      </c>
      <c r="F4378" t="s">
        <v>666</v>
      </c>
      <c r="G4378" t="s">
        <v>13649</v>
      </c>
      <c r="H4378" t="s">
        <v>667</v>
      </c>
      <c r="I4378" t="s">
        <v>29</v>
      </c>
      <c r="J4378">
        <v>1</v>
      </c>
      <c r="K4378">
        <f>1-888-526-3731</f>
        <v>-5144</v>
      </c>
      <c r="L4378" t="s">
        <v>13650</v>
      </c>
      <c r="M4378" t="s">
        <v>13651</v>
      </c>
      <c r="N4378">
        <v>159</v>
      </c>
      <c r="O4378" t="s">
        <v>134</v>
      </c>
      <c r="P4378" t="s">
        <v>29</v>
      </c>
      <c r="Q4378">
        <v>37</v>
      </c>
      <c r="R4378">
        <v>-99.999999000000003</v>
      </c>
    </row>
    <row r="4379" spans="1:18" x14ac:dyDescent="0.2">
      <c r="A4379" t="s">
        <v>663</v>
      </c>
      <c r="B4379" t="s">
        <v>2493</v>
      </c>
      <c r="C4379">
        <v>1</v>
      </c>
      <c r="D4379" s="1">
        <v>44047.779502314814</v>
      </c>
      <c r="E4379" t="s">
        <v>13652</v>
      </c>
      <c r="F4379" t="s">
        <v>666</v>
      </c>
      <c r="G4379" t="s">
        <v>13652</v>
      </c>
      <c r="H4379" t="s">
        <v>667</v>
      </c>
      <c r="I4379" t="s">
        <v>29</v>
      </c>
      <c r="J4379">
        <v>1</v>
      </c>
      <c r="K4379">
        <f>1-833-990-2660</f>
        <v>-4482</v>
      </c>
      <c r="L4379" t="s">
        <v>13653</v>
      </c>
      <c r="M4379" t="s">
        <v>13654</v>
      </c>
      <c r="N4379">
        <v>52</v>
      </c>
      <c r="O4379" t="s">
        <v>134</v>
      </c>
      <c r="P4379" t="s">
        <v>29</v>
      </c>
      <c r="Q4379">
        <v>41</v>
      </c>
      <c r="R4379">
        <v>-74.024699999999996</v>
      </c>
    </row>
    <row r="4380" spans="1:18" x14ac:dyDescent="0.2">
      <c r="A4380" t="s">
        <v>439</v>
      </c>
      <c r="B4380" t="s">
        <v>3094</v>
      </c>
      <c r="C4380">
        <v>1</v>
      </c>
      <c r="D4380" s="1">
        <v>44047.813900462963</v>
      </c>
      <c r="E4380" t="s">
        <v>13655</v>
      </c>
      <c r="F4380" t="s">
        <v>442</v>
      </c>
      <c r="G4380" t="s">
        <v>13656</v>
      </c>
      <c r="H4380" t="s">
        <v>444</v>
      </c>
      <c r="I4380" t="s">
        <v>29</v>
      </c>
      <c r="J4380">
        <v>1</v>
      </c>
      <c r="K4380">
        <f>1-844-422-8938</f>
        <v>-10203</v>
      </c>
      <c r="L4380" t="s">
        <v>13657</v>
      </c>
      <c r="M4380" t="s">
        <v>13658</v>
      </c>
      <c r="N4380" t="s">
        <v>5354</v>
      </c>
      <c r="O4380" t="s">
        <v>28</v>
      </c>
      <c r="P4380" t="s">
        <v>2268</v>
      </c>
      <c r="Q4380">
        <v>46</v>
      </c>
      <c r="R4380">
        <v>-73.567300000000003</v>
      </c>
    </row>
    <row r="4381" spans="1:18" x14ac:dyDescent="0.2">
      <c r="A4381" t="s">
        <v>439</v>
      </c>
      <c r="B4381" t="s">
        <v>3094</v>
      </c>
      <c r="C4381">
        <v>1</v>
      </c>
      <c r="D4381" s="1">
        <v>44047.813275462962</v>
      </c>
      <c r="E4381" t="s">
        <v>13655</v>
      </c>
      <c r="F4381" t="s">
        <v>442</v>
      </c>
      <c r="G4381" t="s">
        <v>13656</v>
      </c>
      <c r="H4381" t="s">
        <v>444</v>
      </c>
      <c r="I4381" t="s">
        <v>29</v>
      </c>
      <c r="J4381">
        <v>1</v>
      </c>
      <c r="K4381">
        <f>1-877-686-6517</f>
        <v>-8079</v>
      </c>
      <c r="L4381" t="s">
        <v>13659</v>
      </c>
      <c r="M4381" t="s">
        <v>13660</v>
      </c>
      <c r="N4381" t="s">
        <v>5354</v>
      </c>
      <c r="O4381" t="s">
        <v>28</v>
      </c>
      <c r="P4381" t="s">
        <v>2268</v>
      </c>
      <c r="Q4381">
        <v>46</v>
      </c>
      <c r="R4381">
        <v>-73.567300000000003</v>
      </c>
    </row>
    <row r="4382" spans="1:18" x14ac:dyDescent="0.2">
      <c r="A4382" t="s">
        <v>439</v>
      </c>
      <c r="B4382" t="s">
        <v>3094</v>
      </c>
      <c r="C4382">
        <v>1</v>
      </c>
      <c r="D4382" s="1">
        <v>44047.808634259258</v>
      </c>
      <c r="E4382" t="s">
        <v>13655</v>
      </c>
      <c r="F4382" t="s">
        <v>442</v>
      </c>
      <c r="G4382" t="s">
        <v>13656</v>
      </c>
      <c r="H4382" t="s">
        <v>444</v>
      </c>
      <c r="I4382" t="s">
        <v>29</v>
      </c>
      <c r="J4382">
        <v>1</v>
      </c>
      <c r="K4382">
        <f>1-844-480-7560</f>
        <v>-8883</v>
      </c>
      <c r="L4382" t="s">
        <v>13661</v>
      </c>
      <c r="M4382" t="s">
        <v>13662</v>
      </c>
      <c r="N4382" t="s">
        <v>5354</v>
      </c>
      <c r="O4382" t="s">
        <v>28</v>
      </c>
      <c r="P4382" t="s">
        <v>2268</v>
      </c>
      <c r="Q4382">
        <v>46</v>
      </c>
      <c r="R4382">
        <v>-73.567300000000003</v>
      </c>
    </row>
    <row r="4383" spans="1:18" x14ac:dyDescent="0.2">
      <c r="A4383" t="s">
        <v>439</v>
      </c>
      <c r="B4383" t="s">
        <v>3094</v>
      </c>
      <c r="C4383">
        <v>1</v>
      </c>
      <c r="D4383" s="1">
        <v>44047.813935185186</v>
      </c>
      <c r="E4383" t="s">
        <v>13655</v>
      </c>
      <c r="F4383" t="s">
        <v>442</v>
      </c>
      <c r="G4383" t="s">
        <v>13663</v>
      </c>
      <c r="H4383" t="s">
        <v>444</v>
      </c>
      <c r="I4383" t="s">
        <v>29</v>
      </c>
      <c r="J4383">
        <v>1</v>
      </c>
      <c r="K4383">
        <f>1-844-493-9073</f>
        <v>-10409</v>
      </c>
      <c r="L4383" t="s">
        <v>13664</v>
      </c>
      <c r="M4383" t="s">
        <v>13665</v>
      </c>
      <c r="N4383" t="s">
        <v>5354</v>
      </c>
      <c r="O4383" t="s">
        <v>28</v>
      </c>
      <c r="P4383" t="s">
        <v>2268</v>
      </c>
      <c r="Q4383">
        <v>46</v>
      </c>
      <c r="R4383">
        <v>-73.567300000000003</v>
      </c>
    </row>
    <row r="4384" spans="1:18" x14ac:dyDescent="0.2">
      <c r="A4384" t="s">
        <v>439</v>
      </c>
      <c r="B4384" t="s">
        <v>3094</v>
      </c>
      <c r="C4384">
        <v>1</v>
      </c>
      <c r="D4384" s="1">
        <v>44047.81386574074</v>
      </c>
      <c r="E4384" t="s">
        <v>13655</v>
      </c>
      <c r="F4384" t="s">
        <v>442</v>
      </c>
      <c r="G4384" t="s">
        <v>13663</v>
      </c>
      <c r="H4384" t="s">
        <v>444</v>
      </c>
      <c r="I4384" t="s">
        <v>29</v>
      </c>
      <c r="J4384">
        <v>1</v>
      </c>
      <c r="K4384">
        <f>1-844-478-5417</f>
        <v>-6738</v>
      </c>
      <c r="L4384" t="s">
        <v>13666</v>
      </c>
      <c r="M4384" t="s">
        <v>13667</v>
      </c>
      <c r="N4384" t="s">
        <v>5354</v>
      </c>
      <c r="O4384" t="s">
        <v>28</v>
      </c>
      <c r="P4384" t="s">
        <v>2268</v>
      </c>
      <c r="Q4384">
        <v>46</v>
      </c>
      <c r="R4384">
        <v>-73.567300000000003</v>
      </c>
    </row>
    <row r="4385" spans="1:18" x14ac:dyDescent="0.2">
      <c r="A4385" t="s">
        <v>439</v>
      </c>
      <c r="B4385" t="s">
        <v>3094</v>
      </c>
      <c r="C4385">
        <v>1</v>
      </c>
      <c r="D4385" s="1">
        <v>44047.813263888886</v>
      </c>
      <c r="E4385" t="s">
        <v>13655</v>
      </c>
      <c r="F4385" t="s">
        <v>442</v>
      </c>
      <c r="G4385" t="s">
        <v>13663</v>
      </c>
      <c r="H4385" t="s">
        <v>444</v>
      </c>
      <c r="I4385" t="s">
        <v>29</v>
      </c>
      <c r="J4385">
        <v>1</v>
      </c>
      <c r="K4385">
        <f>1-844-489-859</f>
        <v>-2191</v>
      </c>
      <c r="L4385" t="s">
        <v>13668</v>
      </c>
      <c r="M4385" t="s">
        <v>13669</v>
      </c>
      <c r="N4385" t="s">
        <v>5354</v>
      </c>
      <c r="O4385" t="s">
        <v>28</v>
      </c>
      <c r="P4385" t="s">
        <v>2268</v>
      </c>
      <c r="Q4385">
        <v>46</v>
      </c>
      <c r="R4385">
        <v>-73.567300000000003</v>
      </c>
    </row>
    <row r="4386" spans="1:18" x14ac:dyDescent="0.2">
      <c r="A4386" t="s">
        <v>439</v>
      </c>
      <c r="B4386" t="s">
        <v>3094</v>
      </c>
      <c r="C4386">
        <v>1</v>
      </c>
      <c r="D4386" s="1">
        <v>44047.813240740739</v>
      </c>
      <c r="E4386" t="s">
        <v>13655</v>
      </c>
      <c r="F4386" t="s">
        <v>442</v>
      </c>
      <c r="G4386" t="s">
        <v>13663</v>
      </c>
      <c r="H4386" t="s">
        <v>444</v>
      </c>
      <c r="I4386" t="s">
        <v>29</v>
      </c>
      <c r="J4386">
        <v>1</v>
      </c>
      <c r="K4386">
        <f>1-833-659-1669</f>
        <v>-3160</v>
      </c>
      <c r="L4386" t="s">
        <v>13670</v>
      </c>
      <c r="M4386" t="s">
        <v>13671</v>
      </c>
      <c r="N4386" t="s">
        <v>5354</v>
      </c>
      <c r="O4386" t="s">
        <v>28</v>
      </c>
      <c r="P4386" t="s">
        <v>2268</v>
      </c>
      <c r="Q4386">
        <v>46</v>
      </c>
      <c r="R4386">
        <v>-73.567300000000003</v>
      </c>
    </row>
    <row r="4387" spans="1:18" x14ac:dyDescent="0.2">
      <c r="A4387" t="s">
        <v>439</v>
      </c>
      <c r="B4387" t="s">
        <v>3094</v>
      </c>
      <c r="C4387">
        <v>1</v>
      </c>
      <c r="D4387" s="1">
        <v>44047.813217592593</v>
      </c>
      <c r="E4387" t="s">
        <v>13655</v>
      </c>
      <c r="F4387" t="s">
        <v>442</v>
      </c>
      <c r="G4387" t="s">
        <v>13663</v>
      </c>
      <c r="H4387" t="s">
        <v>444</v>
      </c>
      <c r="I4387" t="s">
        <v>29</v>
      </c>
      <c r="J4387">
        <v>1</v>
      </c>
      <c r="K4387">
        <f>1-844-468-253</f>
        <v>-1564</v>
      </c>
      <c r="L4387" t="s">
        <v>13672</v>
      </c>
      <c r="M4387" t="s">
        <v>13673</v>
      </c>
      <c r="N4387" t="s">
        <v>5354</v>
      </c>
      <c r="O4387" t="s">
        <v>28</v>
      </c>
      <c r="P4387" t="s">
        <v>2268</v>
      </c>
      <c r="Q4387">
        <v>46</v>
      </c>
      <c r="R4387">
        <v>-73.567300000000003</v>
      </c>
    </row>
    <row r="4388" spans="1:18" x14ac:dyDescent="0.2">
      <c r="A4388" t="s">
        <v>439</v>
      </c>
      <c r="B4388" t="s">
        <v>3094</v>
      </c>
      <c r="C4388">
        <v>1</v>
      </c>
      <c r="D4388" s="1">
        <v>44047.813148148147</v>
      </c>
      <c r="E4388" t="s">
        <v>13655</v>
      </c>
      <c r="F4388" t="s">
        <v>442</v>
      </c>
      <c r="G4388" t="s">
        <v>13663</v>
      </c>
      <c r="H4388" t="s">
        <v>444</v>
      </c>
      <c r="I4388" t="s">
        <v>29</v>
      </c>
      <c r="J4388">
        <v>1</v>
      </c>
      <c r="K4388">
        <f>1-844-482-8531</f>
        <v>-9856</v>
      </c>
      <c r="L4388" t="s">
        <v>13674</v>
      </c>
      <c r="M4388" t="s">
        <v>13675</v>
      </c>
      <c r="N4388" t="s">
        <v>5354</v>
      </c>
      <c r="O4388" t="s">
        <v>28</v>
      </c>
      <c r="P4388" t="s">
        <v>2268</v>
      </c>
      <c r="Q4388">
        <v>46</v>
      </c>
      <c r="R4388">
        <v>-73.567300000000003</v>
      </c>
    </row>
    <row r="4389" spans="1:18" x14ac:dyDescent="0.2">
      <c r="A4389" t="s">
        <v>439</v>
      </c>
      <c r="B4389" t="s">
        <v>3094</v>
      </c>
      <c r="C4389">
        <v>1</v>
      </c>
      <c r="D4389" s="1">
        <v>44047.814039351855</v>
      </c>
      <c r="E4389" t="s">
        <v>13655</v>
      </c>
      <c r="F4389" t="s">
        <v>442</v>
      </c>
      <c r="G4389" t="s">
        <v>13676</v>
      </c>
      <c r="H4389" t="s">
        <v>444</v>
      </c>
      <c r="I4389" t="s">
        <v>29</v>
      </c>
      <c r="J4389">
        <v>1</v>
      </c>
      <c r="K4389">
        <f>1-844-467-9650</f>
        <v>-10960</v>
      </c>
      <c r="L4389" t="s">
        <v>13677</v>
      </c>
      <c r="M4389" t="s">
        <v>13678</v>
      </c>
      <c r="N4389" t="s">
        <v>5354</v>
      </c>
      <c r="O4389" t="s">
        <v>28</v>
      </c>
      <c r="P4389" t="s">
        <v>2268</v>
      </c>
      <c r="Q4389">
        <v>46</v>
      </c>
      <c r="R4389">
        <v>-73.567300000000003</v>
      </c>
    </row>
    <row r="4390" spans="1:18" x14ac:dyDescent="0.2">
      <c r="A4390" t="s">
        <v>439</v>
      </c>
      <c r="B4390" t="s">
        <v>3094</v>
      </c>
      <c r="C4390">
        <v>1</v>
      </c>
      <c r="D4390" s="1">
        <v>44047.813472222224</v>
      </c>
      <c r="E4390" t="s">
        <v>13655</v>
      </c>
      <c r="F4390" t="s">
        <v>442</v>
      </c>
      <c r="G4390" t="s">
        <v>13676</v>
      </c>
      <c r="H4390" t="s">
        <v>444</v>
      </c>
      <c r="I4390" t="s">
        <v>29</v>
      </c>
      <c r="J4390">
        <v>1</v>
      </c>
      <c r="K4390">
        <f>1-844-482-3114</f>
        <v>-4439</v>
      </c>
      <c r="L4390" t="s">
        <v>13679</v>
      </c>
      <c r="M4390" t="s">
        <v>13680</v>
      </c>
      <c r="N4390" t="s">
        <v>5354</v>
      </c>
      <c r="O4390" t="s">
        <v>28</v>
      </c>
      <c r="P4390" t="s">
        <v>2268</v>
      </c>
      <c r="Q4390">
        <v>46</v>
      </c>
      <c r="R4390">
        <v>-73.567300000000003</v>
      </c>
    </row>
    <row r="4391" spans="1:18" x14ac:dyDescent="0.2">
      <c r="A4391" t="s">
        <v>663</v>
      </c>
      <c r="B4391" t="s">
        <v>3385</v>
      </c>
      <c r="C4391">
        <v>1</v>
      </c>
      <c r="D4391" s="1">
        <v>44047.823969907404</v>
      </c>
      <c r="E4391" t="s">
        <v>13681</v>
      </c>
      <c r="F4391" t="s">
        <v>666</v>
      </c>
      <c r="G4391" t="s">
        <v>13681</v>
      </c>
      <c r="H4391" t="s">
        <v>667</v>
      </c>
      <c r="I4391" t="s">
        <v>29</v>
      </c>
      <c r="J4391">
        <v>1</v>
      </c>
      <c r="K4391">
        <f>1-844-467-9606</f>
        <v>-10916</v>
      </c>
      <c r="L4391" t="s">
        <v>13682</v>
      </c>
      <c r="M4391" t="s">
        <v>13683</v>
      </c>
      <c r="N4391">
        <v>11</v>
      </c>
      <c r="O4391" t="s">
        <v>134</v>
      </c>
      <c r="P4391" t="s">
        <v>29</v>
      </c>
      <c r="Q4391">
        <v>41</v>
      </c>
      <c r="R4391">
        <v>-74.006600000000006</v>
      </c>
    </row>
    <row r="4392" spans="1:18" x14ac:dyDescent="0.2">
      <c r="A4392" t="s">
        <v>439</v>
      </c>
      <c r="B4392" t="s">
        <v>3094</v>
      </c>
      <c r="C4392">
        <v>1</v>
      </c>
      <c r="D4392" s="1">
        <v>44047.825567129628</v>
      </c>
      <c r="E4392" t="s">
        <v>13684</v>
      </c>
      <c r="F4392" t="s">
        <v>442</v>
      </c>
      <c r="G4392" t="s">
        <v>13685</v>
      </c>
      <c r="H4392" t="s">
        <v>444</v>
      </c>
      <c r="I4392" t="s">
        <v>29</v>
      </c>
      <c r="J4392">
        <v>1</v>
      </c>
      <c r="K4392">
        <f>1-855-903-910</f>
        <v>-2667</v>
      </c>
      <c r="L4392" t="s">
        <v>13686</v>
      </c>
      <c r="M4392" t="s">
        <v>13687</v>
      </c>
      <c r="N4392" t="s">
        <v>447</v>
      </c>
      <c r="O4392" t="s">
        <v>28</v>
      </c>
      <c r="P4392" t="s">
        <v>2268</v>
      </c>
      <c r="Q4392">
        <v>46</v>
      </c>
      <c r="R4392">
        <v>-73.567300000000003</v>
      </c>
    </row>
    <row r="4393" spans="1:18" x14ac:dyDescent="0.2">
      <c r="A4393" t="s">
        <v>663</v>
      </c>
      <c r="B4393" t="s">
        <v>664</v>
      </c>
      <c r="C4393">
        <v>1</v>
      </c>
      <c r="D4393" s="1">
        <v>44047.836678240739</v>
      </c>
      <c r="E4393" t="s">
        <v>13688</v>
      </c>
      <c r="F4393" t="s">
        <v>666</v>
      </c>
      <c r="G4393" t="s">
        <v>13688</v>
      </c>
      <c r="H4393" t="s">
        <v>667</v>
      </c>
      <c r="I4393" t="s">
        <v>29</v>
      </c>
      <c r="J4393">
        <v>1</v>
      </c>
      <c r="K4393">
        <f>1-888-525-1830</f>
        <v>-3242</v>
      </c>
      <c r="L4393" t="s">
        <v>13689</v>
      </c>
      <c r="M4393" t="s">
        <v>13690</v>
      </c>
      <c r="N4393">
        <v>199</v>
      </c>
      <c r="O4393" t="s">
        <v>134</v>
      </c>
      <c r="P4393" t="s">
        <v>29</v>
      </c>
      <c r="Q4393">
        <v>37</v>
      </c>
      <c r="R4393">
        <v>-99.999999000000003</v>
      </c>
    </row>
    <row r="4394" spans="1:18" x14ac:dyDescent="0.2">
      <c r="A4394" t="s">
        <v>439</v>
      </c>
      <c r="B4394" t="s">
        <v>3094</v>
      </c>
      <c r="C4394">
        <v>1</v>
      </c>
      <c r="D4394" s="1">
        <v>44047.865555555552</v>
      </c>
      <c r="E4394" t="s">
        <v>13691</v>
      </c>
      <c r="F4394" t="s">
        <v>442</v>
      </c>
      <c r="G4394" t="s">
        <v>13692</v>
      </c>
      <c r="H4394" t="s">
        <v>444</v>
      </c>
      <c r="I4394" t="s">
        <v>29</v>
      </c>
      <c r="J4394">
        <v>1</v>
      </c>
      <c r="K4394">
        <f>1-866-279-5058</f>
        <v>-6202</v>
      </c>
      <c r="L4394" t="s">
        <v>13693</v>
      </c>
      <c r="M4394" t="s">
        <v>13694</v>
      </c>
      <c r="N4394" t="s">
        <v>213</v>
      </c>
      <c r="O4394" t="s">
        <v>28</v>
      </c>
      <c r="P4394" t="s">
        <v>2268</v>
      </c>
      <c r="Q4394">
        <v>46</v>
      </c>
      <c r="R4394">
        <v>-73.567300000000003</v>
      </c>
    </row>
    <row r="4395" spans="1:18" x14ac:dyDescent="0.2">
      <c r="A4395" t="s">
        <v>439</v>
      </c>
      <c r="B4395" t="s">
        <v>3094</v>
      </c>
      <c r="C4395">
        <v>1</v>
      </c>
      <c r="D4395" s="1">
        <v>44047.865937499999</v>
      </c>
      <c r="E4395" t="s">
        <v>13695</v>
      </c>
      <c r="F4395" t="s">
        <v>442</v>
      </c>
      <c r="G4395" t="s">
        <v>13696</v>
      </c>
      <c r="H4395" t="s">
        <v>444</v>
      </c>
      <c r="I4395" t="s">
        <v>29</v>
      </c>
      <c r="J4395">
        <v>1</v>
      </c>
      <c r="K4395">
        <f>1-844-455-6679</f>
        <v>-7977</v>
      </c>
      <c r="L4395" t="s">
        <v>13697</v>
      </c>
      <c r="M4395" t="s">
        <v>13698</v>
      </c>
      <c r="N4395" t="s">
        <v>213</v>
      </c>
      <c r="O4395" t="s">
        <v>28</v>
      </c>
      <c r="P4395" t="s">
        <v>2268</v>
      </c>
      <c r="Q4395">
        <v>46</v>
      </c>
      <c r="R4395">
        <v>-73.567300000000003</v>
      </c>
    </row>
    <row r="4396" spans="1:18" x14ac:dyDescent="0.2">
      <c r="A4396" t="s">
        <v>663</v>
      </c>
      <c r="B4396" t="s">
        <v>5337</v>
      </c>
      <c r="C4396">
        <v>1</v>
      </c>
      <c r="D4396" s="1">
        <v>44047.866122685184</v>
      </c>
      <c r="E4396" t="s">
        <v>13699</v>
      </c>
      <c r="F4396" t="s">
        <v>666</v>
      </c>
      <c r="G4396" t="s">
        <v>13700</v>
      </c>
      <c r="H4396" t="s">
        <v>667</v>
      </c>
      <c r="I4396" t="s">
        <v>29</v>
      </c>
      <c r="J4396">
        <v>1</v>
      </c>
      <c r="K4396">
        <f>1-844-496-5307</f>
        <v>-6646</v>
      </c>
      <c r="L4396" t="s">
        <v>13701</v>
      </c>
      <c r="M4396" t="s">
        <v>13702</v>
      </c>
      <c r="N4396" t="s">
        <v>1645</v>
      </c>
      <c r="O4396" t="s">
        <v>28</v>
      </c>
      <c r="P4396" t="s">
        <v>29</v>
      </c>
      <c r="Q4396">
        <v>38</v>
      </c>
      <c r="R4396">
        <v>-99.999999000000003</v>
      </c>
    </row>
    <row r="4397" spans="1:18" x14ac:dyDescent="0.2">
      <c r="A4397" t="s">
        <v>439</v>
      </c>
      <c r="B4397" t="s">
        <v>3094</v>
      </c>
      <c r="C4397">
        <v>1</v>
      </c>
      <c r="D4397" s="1">
        <v>44048.530393518522</v>
      </c>
      <c r="E4397" t="s">
        <v>13703</v>
      </c>
      <c r="F4397" t="s">
        <v>442</v>
      </c>
      <c r="G4397" t="s">
        <v>13704</v>
      </c>
      <c r="H4397" t="s">
        <v>444</v>
      </c>
      <c r="I4397" t="s">
        <v>29</v>
      </c>
      <c r="J4397">
        <v>1</v>
      </c>
      <c r="K4397">
        <f>1-833-426-7348</f>
        <v>-8606</v>
      </c>
      <c r="L4397" t="s">
        <v>13705</v>
      </c>
      <c r="M4397" t="s">
        <v>13706</v>
      </c>
      <c r="N4397" t="s">
        <v>213</v>
      </c>
      <c r="O4397" t="s">
        <v>28</v>
      </c>
      <c r="P4397" t="s">
        <v>2268</v>
      </c>
      <c r="Q4397">
        <v>46</v>
      </c>
      <c r="R4397">
        <v>-73.567300000000003</v>
      </c>
    </row>
    <row r="4398" spans="1:18" x14ac:dyDescent="0.2">
      <c r="A4398" t="s">
        <v>439</v>
      </c>
      <c r="B4398" t="s">
        <v>3094</v>
      </c>
      <c r="C4398">
        <v>1</v>
      </c>
      <c r="D4398" s="1">
        <v>44048.530671296299</v>
      </c>
      <c r="E4398" t="s">
        <v>13707</v>
      </c>
      <c r="F4398" t="s">
        <v>442</v>
      </c>
      <c r="G4398" t="s">
        <v>13708</v>
      </c>
      <c r="H4398" t="s">
        <v>444</v>
      </c>
      <c r="I4398" t="s">
        <v>29</v>
      </c>
      <c r="J4398">
        <v>1</v>
      </c>
      <c r="K4398">
        <f>1-800-925-6840</f>
        <v>-8564</v>
      </c>
      <c r="L4398" t="s">
        <v>13709</v>
      </c>
      <c r="M4398" t="s">
        <v>13710</v>
      </c>
      <c r="N4398" t="s">
        <v>674</v>
      </c>
      <c r="O4398" t="s">
        <v>28</v>
      </c>
      <c r="P4398" t="s">
        <v>2268</v>
      </c>
      <c r="Q4398">
        <v>46</v>
      </c>
      <c r="R4398">
        <v>-73.567300000000003</v>
      </c>
    </row>
    <row r="4399" spans="1:18" x14ac:dyDescent="0.2">
      <c r="A4399" t="s">
        <v>663</v>
      </c>
      <c r="B4399" t="s">
        <v>454</v>
      </c>
      <c r="C4399">
        <v>49</v>
      </c>
      <c r="D4399" s="1">
        <v>44048.531041666669</v>
      </c>
      <c r="E4399" t="s">
        <v>13711</v>
      </c>
      <c r="F4399" t="s">
        <v>666</v>
      </c>
      <c r="G4399" t="s">
        <v>13711</v>
      </c>
      <c r="H4399" t="s">
        <v>667</v>
      </c>
      <c r="I4399" t="s">
        <v>24</v>
      </c>
      <c r="J4399">
        <v>49</v>
      </c>
      <c r="K4399">
        <f>49-800-9772</f>
        <v>-10523</v>
      </c>
      <c r="L4399" t="s">
        <v>13712</v>
      </c>
      <c r="M4399" t="s">
        <v>13713</v>
      </c>
      <c r="N4399">
        <v>19</v>
      </c>
      <c r="O4399" t="s">
        <v>134</v>
      </c>
      <c r="P4399" t="s">
        <v>461</v>
      </c>
      <c r="Q4399">
        <v>52</v>
      </c>
      <c r="R4399">
        <v>4.8975</v>
      </c>
    </row>
    <row r="4400" spans="1:18" x14ac:dyDescent="0.2">
      <c r="A4400" t="s">
        <v>663</v>
      </c>
      <c r="B4400" t="s">
        <v>5337</v>
      </c>
      <c r="C4400">
        <v>44</v>
      </c>
      <c r="D4400" s="1">
        <v>44048.566990740743</v>
      </c>
      <c r="E4400" t="s">
        <v>13714</v>
      </c>
      <c r="F4400" t="s">
        <v>666</v>
      </c>
      <c r="G4400" t="s">
        <v>13715</v>
      </c>
      <c r="H4400" t="s">
        <v>667</v>
      </c>
      <c r="I4400" t="s">
        <v>618</v>
      </c>
      <c r="J4400">
        <v>44</v>
      </c>
      <c r="K4400">
        <f>44-800-31-4241</f>
        <v>-5028</v>
      </c>
      <c r="L4400" t="s">
        <v>13716</v>
      </c>
      <c r="M4400" t="s">
        <v>13717</v>
      </c>
      <c r="N4400" t="s">
        <v>1645</v>
      </c>
      <c r="O4400" t="s">
        <v>28</v>
      </c>
      <c r="P4400" t="s">
        <v>29</v>
      </c>
      <c r="Q4400">
        <v>38</v>
      </c>
      <c r="R4400">
        <v>-99.999999000000003</v>
      </c>
    </row>
    <row r="4401" spans="1:18" x14ac:dyDescent="0.2">
      <c r="A4401" t="s">
        <v>663</v>
      </c>
      <c r="B4401" t="s">
        <v>3385</v>
      </c>
      <c r="C4401">
        <v>1</v>
      </c>
      <c r="D4401" s="1">
        <v>44048.655706018515</v>
      </c>
      <c r="E4401" t="s">
        <v>13718</v>
      </c>
      <c r="F4401" t="s">
        <v>2495</v>
      </c>
      <c r="G4401" t="s">
        <v>13718</v>
      </c>
      <c r="H4401" t="s">
        <v>667</v>
      </c>
      <c r="I4401" t="s">
        <v>29</v>
      </c>
      <c r="J4401">
        <v>1</v>
      </c>
      <c r="K4401">
        <f>1-844-900-955</f>
        <v>-2698</v>
      </c>
      <c r="L4401" t="s">
        <v>13719</v>
      </c>
      <c r="M4401" t="s">
        <v>13720</v>
      </c>
      <c r="N4401">
        <v>224</v>
      </c>
      <c r="O4401" t="s">
        <v>134</v>
      </c>
      <c r="P4401" t="s">
        <v>29</v>
      </c>
      <c r="Q4401">
        <v>41</v>
      </c>
      <c r="R4401">
        <v>-74.006600000000006</v>
      </c>
    </row>
    <row r="4402" spans="1:18" x14ac:dyDescent="0.2">
      <c r="A4402" t="s">
        <v>663</v>
      </c>
      <c r="B4402" t="s">
        <v>4281</v>
      </c>
      <c r="C4402">
        <v>49</v>
      </c>
      <c r="D4402" s="1">
        <v>44048.600381944445</v>
      </c>
      <c r="E4402" t="s">
        <v>13721</v>
      </c>
      <c r="F4402" t="s">
        <v>666</v>
      </c>
      <c r="G4402" t="s">
        <v>13721</v>
      </c>
      <c r="H4402" t="s">
        <v>667</v>
      </c>
      <c r="I4402" t="s">
        <v>24</v>
      </c>
      <c r="J4402">
        <v>49</v>
      </c>
      <c r="K4402">
        <f>49-37-2412-636</f>
        <v>-3036</v>
      </c>
      <c r="L4402" t="s">
        <v>13722</v>
      </c>
      <c r="M4402" t="s">
        <v>13723</v>
      </c>
      <c r="N4402">
        <v>82</v>
      </c>
      <c r="O4402" t="s">
        <v>134</v>
      </c>
      <c r="P4402" t="s">
        <v>24</v>
      </c>
      <c r="Q4402">
        <v>50</v>
      </c>
      <c r="R4402">
        <v>8.6843000000000004</v>
      </c>
    </row>
    <row r="4403" spans="1:18" x14ac:dyDescent="0.2">
      <c r="A4403" t="s">
        <v>439</v>
      </c>
      <c r="B4403" t="s">
        <v>3094</v>
      </c>
      <c r="C4403">
        <v>33</v>
      </c>
      <c r="D4403" s="1">
        <v>44048.601875</v>
      </c>
      <c r="E4403" t="s">
        <v>13724</v>
      </c>
      <c r="F4403" t="s">
        <v>442</v>
      </c>
      <c r="G4403" t="s">
        <v>13725</v>
      </c>
      <c r="H4403" t="s">
        <v>444</v>
      </c>
      <c r="I4403" t="s">
        <v>292</v>
      </c>
      <c r="J4403">
        <v>33</v>
      </c>
      <c r="K4403">
        <f>33-1-85-15-83-2</f>
        <v>-153</v>
      </c>
      <c r="L4403" t="s">
        <v>13726</v>
      </c>
      <c r="M4403" t="s">
        <v>13727</v>
      </c>
      <c r="N4403" t="s">
        <v>7016</v>
      </c>
      <c r="O4403" t="s">
        <v>134</v>
      </c>
      <c r="P4403" t="s">
        <v>2268</v>
      </c>
      <c r="Q4403">
        <v>46</v>
      </c>
      <c r="R4403">
        <v>-73.567300000000003</v>
      </c>
    </row>
    <row r="4404" spans="1:18" x14ac:dyDescent="0.2">
      <c r="A4404" t="s">
        <v>7005</v>
      </c>
      <c r="B4404" t="s">
        <v>7006</v>
      </c>
      <c r="C4404">
        <v>33</v>
      </c>
      <c r="D4404" s="1">
        <v>44048.602303240739</v>
      </c>
      <c r="E4404" t="s">
        <v>13728</v>
      </c>
      <c r="F4404" t="s">
        <v>7008</v>
      </c>
      <c r="G4404" t="s">
        <v>13729</v>
      </c>
      <c r="H4404" t="s">
        <v>7010</v>
      </c>
      <c r="I4404" t="s">
        <v>292</v>
      </c>
      <c r="J4404">
        <v>33</v>
      </c>
      <c r="K4404">
        <f>33-1-85-15-83-2</f>
        <v>-153</v>
      </c>
      <c r="L4404" t="s">
        <v>13730</v>
      </c>
      <c r="M4404" t="s">
        <v>13731</v>
      </c>
      <c r="N4404" t="s">
        <v>7016</v>
      </c>
      <c r="O4404" t="s">
        <v>134</v>
      </c>
      <c r="P4404" t="s">
        <v>292</v>
      </c>
      <c r="Q4404">
        <v>51</v>
      </c>
      <c r="R4404">
        <v>2.12554</v>
      </c>
    </row>
    <row r="4405" spans="1:18" x14ac:dyDescent="0.2">
      <c r="A4405" t="s">
        <v>439</v>
      </c>
      <c r="B4405" t="s">
        <v>3094</v>
      </c>
      <c r="C4405">
        <v>1</v>
      </c>
      <c r="D4405" s="1">
        <v>44048.694560185184</v>
      </c>
      <c r="E4405" t="s">
        <v>13732</v>
      </c>
      <c r="F4405" t="s">
        <v>442</v>
      </c>
      <c r="G4405" t="s">
        <v>13733</v>
      </c>
      <c r="H4405" t="s">
        <v>444</v>
      </c>
      <c r="I4405" t="s">
        <v>29</v>
      </c>
      <c r="J4405">
        <v>1</v>
      </c>
      <c r="K4405">
        <f>1-855-795-277</f>
        <v>-1926</v>
      </c>
      <c r="L4405" t="s">
        <v>13734</v>
      </c>
      <c r="M4405" t="s">
        <v>13735</v>
      </c>
      <c r="N4405" t="s">
        <v>213</v>
      </c>
      <c r="O4405" t="s">
        <v>28</v>
      </c>
      <c r="P4405" t="s">
        <v>2268</v>
      </c>
      <c r="Q4405">
        <v>46</v>
      </c>
      <c r="R4405">
        <v>-73.567300000000003</v>
      </c>
    </row>
    <row r="4406" spans="1:18" x14ac:dyDescent="0.2">
      <c r="A4406" t="s">
        <v>663</v>
      </c>
      <c r="B4406" t="s">
        <v>5337</v>
      </c>
      <c r="C4406">
        <v>1</v>
      </c>
      <c r="D4406" s="1">
        <v>44048.781863425924</v>
      </c>
      <c r="E4406" t="s">
        <v>13736</v>
      </c>
      <c r="F4406" t="s">
        <v>666</v>
      </c>
      <c r="G4406" t="s">
        <v>13736</v>
      </c>
      <c r="H4406" t="s">
        <v>667</v>
      </c>
      <c r="I4406" t="s">
        <v>29</v>
      </c>
      <c r="J4406">
        <v>1</v>
      </c>
      <c r="K4406">
        <f>1-866-565-6576</f>
        <v>-8006</v>
      </c>
      <c r="L4406" t="s">
        <v>13737</v>
      </c>
      <c r="M4406" t="s">
        <v>13738</v>
      </c>
      <c r="N4406">
        <v>129</v>
      </c>
      <c r="O4406" t="s">
        <v>134</v>
      </c>
      <c r="P4406" t="s">
        <v>29</v>
      </c>
      <c r="Q4406">
        <v>38</v>
      </c>
      <c r="R4406">
        <v>-99.999999000000003</v>
      </c>
    </row>
    <row r="4407" spans="1:18" x14ac:dyDescent="0.2">
      <c r="A4407" t="s">
        <v>2863</v>
      </c>
      <c r="B4407" t="s">
        <v>13739</v>
      </c>
      <c r="C4407">
        <v>1</v>
      </c>
      <c r="D4407" s="1">
        <v>44048.868738425925</v>
      </c>
      <c r="E4407" t="s">
        <v>13740</v>
      </c>
      <c r="F4407" t="s">
        <v>13741</v>
      </c>
      <c r="G4407" t="s">
        <v>13742</v>
      </c>
      <c r="H4407" t="s">
        <v>2868</v>
      </c>
      <c r="I4407" t="s">
        <v>29</v>
      </c>
      <c r="J4407">
        <v>1</v>
      </c>
      <c r="K4407">
        <f>1-855-545-1627</f>
        <v>-3026</v>
      </c>
      <c r="L4407" t="s">
        <v>13743</v>
      </c>
      <c r="M4407" t="s">
        <v>13744</v>
      </c>
      <c r="N4407" t="s">
        <v>5354</v>
      </c>
      <c r="O4407" t="s">
        <v>134</v>
      </c>
      <c r="P4407" t="s">
        <v>618</v>
      </c>
      <c r="Q4407">
        <v>55</v>
      </c>
      <c r="R4407">
        <v>-1.6219300000000001</v>
      </c>
    </row>
    <row r="4408" spans="1:18" x14ac:dyDescent="0.2">
      <c r="A4408" t="s">
        <v>2863</v>
      </c>
      <c r="B4408" t="s">
        <v>13739</v>
      </c>
      <c r="C4408">
        <v>1</v>
      </c>
      <c r="D4408" s="1">
        <v>44048.862337962964</v>
      </c>
      <c r="E4408" t="s">
        <v>13745</v>
      </c>
      <c r="F4408" t="s">
        <v>13741</v>
      </c>
      <c r="G4408" t="s">
        <v>13742</v>
      </c>
      <c r="H4408" t="s">
        <v>2868</v>
      </c>
      <c r="I4408" t="s">
        <v>29</v>
      </c>
      <c r="J4408">
        <v>1</v>
      </c>
      <c r="K4408">
        <f>1-855-545-1627</f>
        <v>-3026</v>
      </c>
      <c r="L4408" t="s">
        <v>13746</v>
      </c>
      <c r="M4408" t="s">
        <v>13747</v>
      </c>
      <c r="N4408" t="s">
        <v>5354</v>
      </c>
      <c r="O4408" t="s">
        <v>134</v>
      </c>
      <c r="P4408" t="s">
        <v>618</v>
      </c>
      <c r="Q4408">
        <v>55</v>
      </c>
      <c r="R4408">
        <v>-1.6219300000000001</v>
      </c>
    </row>
    <row r="4409" spans="1:18" x14ac:dyDescent="0.2">
      <c r="A4409" t="s">
        <v>2863</v>
      </c>
      <c r="B4409" t="s">
        <v>13739</v>
      </c>
      <c r="C4409">
        <v>1</v>
      </c>
      <c r="D4409" s="1">
        <v>44048.85800925926</v>
      </c>
      <c r="E4409" t="s">
        <v>13748</v>
      </c>
      <c r="F4409" t="s">
        <v>13741</v>
      </c>
      <c r="G4409" t="s">
        <v>13742</v>
      </c>
      <c r="H4409" t="s">
        <v>2868</v>
      </c>
      <c r="I4409" t="s">
        <v>29</v>
      </c>
      <c r="J4409">
        <v>1</v>
      </c>
      <c r="K4409">
        <f>1-844-738-9013</f>
        <v>-10594</v>
      </c>
      <c r="L4409" t="s">
        <v>13749</v>
      </c>
      <c r="M4409" t="s">
        <v>13750</v>
      </c>
      <c r="N4409" t="s">
        <v>5354</v>
      </c>
      <c r="O4409" t="s">
        <v>134</v>
      </c>
      <c r="P4409" t="s">
        <v>618</v>
      </c>
      <c r="Q4409">
        <v>55</v>
      </c>
      <c r="R4409">
        <v>-1.6219300000000001</v>
      </c>
    </row>
    <row r="4410" spans="1:18" x14ac:dyDescent="0.2">
      <c r="A4410" t="s">
        <v>2863</v>
      </c>
      <c r="B4410" t="s">
        <v>13739</v>
      </c>
      <c r="C4410">
        <v>1</v>
      </c>
      <c r="D4410" s="1">
        <v>44048.8512962963</v>
      </c>
      <c r="E4410" t="s">
        <v>13751</v>
      </c>
      <c r="F4410" t="s">
        <v>13741</v>
      </c>
      <c r="G4410" t="s">
        <v>13742</v>
      </c>
      <c r="H4410" t="s">
        <v>2868</v>
      </c>
      <c r="I4410" t="s">
        <v>29</v>
      </c>
      <c r="J4410">
        <v>1</v>
      </c>
      <c r="K4410">
        <f>1-888-815-4727</f>
        <v>-6429</v>
      </c>
      <c r="L4410" t="s">
        <v>13752</v>
      </c>
      <c r="M4410" t="s">
        <v>13753</v>
      </c>
      <c r="N4410" t="s">
        <v>5354</v>
      </c>
      <c r="O4410" t="s">
        <v>134</v>
      </c>
      <c r="P4410" t="s">
        <v>618</v>
      </c>
      <c r="Q4410">
        <v>55</v>
      </c>
      <c r="R4410">
        <v>-1.6219300000000001</v>
      </c>
    </row>
    <row r="4411" spans="1:18" x14ac:dyDescent="0.2">
      <c r="A4411" t="s">
        <v>2863</v>
      </c>
      <c r="B4411" t="s">
        <v>13739</v>
      </c>
      <c r="C4411">
        <v>1</v>
      </c>
      <c r="D4411" s="1">
        <v>44048.85125</v>
      </c>
      <c r="E4411" t="s">
        <v>13754</v>
      </c>
      <c r="F4411" t="s">
        <v>13741</v>
      </c>
      <c r="G4411" t="s">
        <v>13742</v>
      </c>
      <c r="H4411" t="s">
        <v>2868</v>
      </c>
      <c r="I4411" t="s">
        <v>29</v>
      </c>
      <c r="J4411">
        <v>1</v>
      </c>
      <c r="K4411">
        <f>1-855-551-5365</f>
        <v>-6770</v>
      </c>
      <c r="L4411" t="s">
        <v>13755</v>
      </c>
      <c r="M4411" t="s">
        <v>13756</v>
      </c>
      <c r="N4411" t="s">
        <v>5354</v>
      </c>
      <c r="O4411" t="s">
        <v>134</v>
      </c>
      <c r="P4411" t="s">
        <v>618</v>
      </c>
      <c r="Q4411">
        <v>55</v>
      </c>
      <c r="R4411">
        <v>-1.6219300000000001</v>
      </c>
    </row>
    <row r="4412" spans="1:18" x14ac:dyDescent="0.2">
      <c r="A4412" t="s">
        <v>2863</v>
      </c>
      <c r="B4412" t="s">
        <v>13739</v>
      </c>
      <c r="C4412">
        <v>1</v>
      </c>
      <c r="D4412" s="1">
        <v>44048.843043981484</v>
      </c>
      <c r="E4412" t="s">
        <v>13757</v>
      </c>
      <c r="F4412" t="s">
        <v>13741</v>
      </c>
      <c r="G4412" t="s">
        <v>13742</v>
      </c>
      <c r="H4412" t="s">
        <v>2868</v>
      </c>
      <c r="I4412" t="s">
        <v>29</v>
      </c>
      <c r="J4412">
        <v>1</v>
      </c>
      <c r="K4412">
        <f>1-844-577-6008</f>
        <v>-7428</v>
      </c>
      <c r="L4412" t="s">
        <v>13758</v>
      </c>
      <c r="M4412" t="s">
        <v>13759</v>
      </c>
      <c r="N4412" t="s">
        <v>5354</v>
      </c>
      <c r="O4412" t="s">
        <v>134</v>
      </c>
      <c r="P4412" t="s">
        <v>618</v>
      </c>
      <c r="Q4412">
        <v>55</v>
      </c>
      <c r="R4412">
        <v>-1.6219300000000001</v>
      </c>
    </row>
    <row r="4413" spans="1:18" x14ac:dyDescent="0.2">
      <c r="A4413" t="s">
        <v>2863</v>
      </c>
      <c r="B4413" t="s">
        <v>13739</v>
      </c>
      <c r="C4413">
        <v>1</v>
      </c>
      <c r="D4413" s="1">
        <v>44048.836851851855</v>
      </c>
      <c r="E4413" t="s">
        <v>13760</v>
      </c>
      <c r="F4413" t="s">
        <v>13741</v>
      </c>
      <c r="G4413" t="s">
        <v>13742</v>
      </c>
      <c r="H4413" t="s">
        <v>2868</v>
      </c>
      <c r="I4413" t="s">
        <v>29</v>
      </c>
      <c r="J4413">
        <v>1</v>
      </c>
      <c r="K4413">
        <f t="shared" ref="K4413:K4418" si="26">1-888-651-2369</f>
        <v>-3907</v>
      </c>
      <c r="L4413" t="s">
        <v>13761</v>
      </c>
      <c r="M4413" t="s">
        <v>13762</v>
      </c>
      <c r="N4413" t="s">
        <v>5354</v>
      </c>
      <c r="O4413" t="s">
        <v>134</v>
      </c>
      <c r="P4413" t="s">
        <v>618</v>
      </c>
      <c r="Q4413">
        <v>55</v>
      </c>
      <c r="R4413">
        <v>-1.6219300000000001</v>
      </c>
    </row>
    <row r="4414" spans="1:18" x14ac:dyDescent="0.2">
      <c r="A4414" t="s">
        <v>2863</v>
      </c>
      <c r="B4414" t="s">
        <v>13739</v>
      </c>
      <c r="C4414">
        <v>1</v>
      </c>
      <c r="D4414" s="1">
        <v>44048.834293981483</v>
      </c>
      <c r="E4414" t="s">
        <v>13763</v>
      </c>
      <c r="F4414" t="s">
        <v>13741</v>
      </c>
      <c r="G4414" t="s">
        <v>13742</v>
      </c>
      <c r="H4414" t="s">
        <v>2868</v>
      </c>
      <c r="I4414" t="s">
        <v>29</v>
      </c>
      <c r="J4414">
        <v>1</v>
      </c>
      <c r="K4414">
        <f t="shared" si="26"/>
        <v>-3907</v>
      </c>
      <c r="L4414" t="s">
        <v>13764</v>
      </c>
      <c r="M4414" t="s">
        <v>13765</v>
      </c>
      <c r="N4414" t="s">
        <v>5354</v>
      </c>
      <c r="O4414" t="s">
        <v>134</v>
      </c>
      <c r="P4414" t="s">
        <v>618</v>
      </c>
      <c r="Q4414">
        <v>55</v>
      </c>
      <c r="R4414">
        <v>-1.6219300000000001</v>
      </c>
    </row>
    <row r="4415" spans="1:18" x14ac:dyDescent="0.2">
      <c r="A4415" t="s">
        <v>2863</v>
      </c>
      <c r="B4415" t="s">
        <v>13739</v>
      </c>
      <c r="C4415">
        <v>1</v>
      </c>
      <c r="D4415" s="1">
        <v>44048.829594907409</v>
      </c>
      <c r="E4415" t="s">
        <v>13766</v>
      </c>
      <c r="F4415" t="s">
        <v>13741</v>
      </c>
      <c r="G4415" t="s">
        <v>13742</v>
      </c>
      <c r="H4415" t="s">
        <v>2868</v>
      </c>
      <c r="I4415" t="s">
        <v>29</v>
      </c>
      <c r="J4415">
        <v>1</v>
      </c>
      <c r="K4415">
        <f t="shared" si="26"/>
        <v>-3907</v>
      </c>
      <c r="L4415" t="s">
        <v>13767</v>
      </c>
      <c r="M4415" t="s">
        <v>13768</v>
      </c>
      <c r="N4415" t="s">
        <v>5354</v>
      </c>
      <c r="O4415" t="s">
        <v>134</v>
      </c>
      <c r="P4415" t="s">
        <v>618</v>
      </c>
      <c r="Q4415">
        <v>55</v>
      </c>
      <c r="R4415">
        <v>-1.6219300000000001</v>
      </c>
    </row>
    <row r="4416" spans="1:18" x14ac:dyDescent="0.2">
      <c r="A4416" t="s">
        <v>2863</v>
      </c>
      <c r="B4416" t="s">
        <v>13739</v>
      </c>
      <c r="C4416">
        <v>1</v>
      </c>
      <c r="D4416" s="1">
        <v>44048.825856481482</v>
      </c>
      <c r="E4416" t="s">
        <v>13769</v>
      </c>
      <c r="F4416" t="s">
        <v>13741</v>
      </c>
      <c r="G4416" t="s">
        <v>13742</v>
      </c>
      <c r="H4416" t="s">
        <v>2868</v>
      </c>
      <c r="I4416" t="s">
        <v>29</v>
      </c>
      <c r="J4416">
        <v>1</v>
      </c>
      <c r="K4416">
        <f t="shared" si="26"/>
        <v>-3907</v>
      </c>
      <c r="L4416" t="s">
        <v>13770</v>
      </c>
      <c r="M4416" t="s">
        <v>13771</v>
      </c>
      <c r="N4416" t="s">
        <v>5354</v>
      </c>
      <c r="O4416" t="s">
        <v>134</v>
      </c>
      <c r="P4416" t="s">
        <v>618</v>
      </c>
      <c r="Q4416">
        <v>55</v>
      </c>
      <c r="R4416">
        <v>-1.6219300000000001</v>
      </c>
    </row>
    <row r="4417" spans="1:18" x14ac:dyDescent="0.2">
      <c r="A4417" t="s">
        <v>2863</v>
      </c>
      <c r="B4417" t="s">
        <v>13739</v>
      </c>
      <c r="C4417">
        <v>1</v>
      </c>
      <c r="D4417" s="1">
        <v>44048.803391203706</v>
      </c>
      <c r="E4417" t="s">
        <v>13772</v>
      </c>
      <c r="F4417" t="s">
        <v>13741</v>
      </c>
      <c r="G4417" t="s">
        <v>13742</v>
      </c>
      <c r="H4417" t="s">
        <v>2868</v>
      </c>
      <c r="I4417" t="s">
        <v>29</v>
      </c>
      <c r="J4417">
        <v>1</v>
      </c>
      <c r="K4417">
        <f t="shared" si="26"/>
        <v>-3907</v>
      </c>
      <c r="L4417" t="s">
        <v>13773</v>
      </c>
      <c r="M4417" t="s">
        <v>13774</v>
      </c>
      <c r="N4417" t="s">
        <v>5354</v>
      </c>
      <c r="O4417" t="s">
        <v>134</v>
      </c>
      <c r="P4417" t="s">
        <v>618</v>
      </c>
      <c r="Q4417">
        <v>55</v>
      </c>
      <c r="R4417">
        <v>-1.6219300000000001</v>
      </c>
    </row>
    <row r="4418" spans="1:18" x14ac:dyDescent="0.2">
      <c r="A4418" t="s">
        <v>2863</v>
      </c>
      <c r="B4418" t="s">
        <v>13739</v>
      </c>
      <c r="C4418">
        <v>1</v>
      </c>
      <c r="D4418" s="1">
        <v>44048.802789351852</v>
      </c>
      <c r="E4418" t="s">
        <v>13775</v>
      </c>
      <c r="F4418" t="s">
        <v>13741</v>
      </c>
      <c r="G4418" t="s">
        <v>13742</v>
      </c>
      <c r="H4418" t="s">
        <v>2868</v>
      </c>
      <c r="I4418" t="s">
        <v>29</v>
      </c>
      <c r="J4418">
        <v>1</v>
      </c>
      <c r="K4418">
        <f t="shared" si="26"/>
        <v>-3907</v>
      </c>
      <c r="L4418" t="s">
        <v>13776</v>
      </c>
      <c r="M4418" t="s">
        <v>13777</v>
      </c>
      <c r="N4418" t="s">
        <v>5354</v>
      </c>
      <c r="O4418" t="s">
        <v>134</v>
      </c>
      <c r="P4418" t="s">
        <v>618</v>
      </c>
      <c r="Q4418">
        <v>55</v>
      </c>
      <c r="R4418">
        <v>-1.6219300000000001</v>
      </c>
    </row>
    <row r="4419" spans="1:18" x14ac:dyDescent="0.2">
      <c r="A4419" t="s">
        <v>270</v>
      </c>
      <c r="B4419" t="s">
        <v>271</v>
      </c>
      <c r="C4419">
        <v>1</v>
      </c>
      <c r="D4419" s="1">
        <v>44052.772361111114</v>
      </c>
      <c r="E4419" t="s">
        <v>13778</v>
      </c>
      <c r="F4419" t="s">
        <v>273</v>
      </c>
      <c r="G4419" t="s">
        <v>13779</v>
      </c>
      <c r="H4419" t="s">
        <v>275</v>
      </c>
      <c r="I4419" t="s">
        <v>29</v>
      </c>
      <c r="J4419">
        <v>1</v>
      </c>
      <c r="K4419">
        <f>1-866-740-1209</f>
        <v>-2814</v>
      </c>
      <c r="L4419" t="s">
        <v>13780</v>
      </c>
      <c r="M4419" t="s">
        <v>13781</v>
      </c>
      <c r="N4419" t="s">
        <v>278</v>
      </c>
      <c r="O4419" t="s">
        <v>134</v>
      </c>
      <c r="P4419" t="s">
        <v>29</v>
      </c>
      <c r="Q4419">
        <v>42</v>
      </c>
      <c r="R4419">
        <v>-93.620800000000003</v>
      </c>
    </row>
    <row r="4420" spans="1:18" x14ac:dyDescent="0.2">
      <c r="A4420" t="s">
        <v>270</v>
      </c>
      <c r="B4420" t="s">
        <v>271</v>
      </c>
      <c r="C4420">
        <v>1</v>
      </c>
      <c r="D4420" s="1">
        <v>44048.853148148148</v>
      </c>
      <c r="E4420" t="s">
        <v>13782</v>
      </c>
      <c r="F4420" t="s">
        <v>273</v>
      </c>
      <c r="G4420" t="s">
        <v>13783</v>
      </c>
      <c r="H4420" t="s">
        <v>275</v>
      </c>
      <c r="I4420" t="s">
        <v>29</v>
      </c>
      <c r="J4420">
        <v>1</v>
      </c>
      <c r="K4420">
        <f>1-888-381-8225</f>
        <v>-9493</v>
      </c>
      <c r="L4420" t="s">
        <v>13784</v>
      </c>
      <c r="M4420" t="s">
        <v>13785</v>
      </c>
      <c r="N4420" t="s">
        <v>278</v>
      </c>
      <c r="O4420" t="s">
        <v>134</v>
      </c>
      <c r="P4420" t="s">
        <v>29</v>
      </c>
      <c r="Q4420">
        <v>42</v>
      </c>
      <c r="R4420">
        <v>-93.620800000000003</v>
      </c>
    </row>
    <row r="4421" spans="1:18" x14ac:dyDescent="0.2">
      <c r="A4421" t="s">
        <v>439</v>
      </c>
      <c r="B4421" t="s">
        <v>3094</v>
      </c>
      <c r="C4421">
        <v>1</v>
      </c>
      <c r="D4421" s="1">
        <v>44048.85670138889</v>
      </c>
      <c r="E4421" t="s">
        <v>13786</v>
      </c>
      <c r="F4421" t="s">
        <v>442</v>
      </c>
      <c r="G4421" t="s">
        <v>13787</v>
      </c>
      <c r="H4421" t="s">
        <v>444</v>
      </c>
      <c r="I4421" t="s">
        <v>29</v>
      </c>
      <c r="J4421">
        <v>1</v>
      </c>
      <c r="K4421">
        <f>1-888-745-6606</f>
        <v>-8238</v>
      </c>
      <c r="L4421" t="s">
        <v>13788</v>
      </c>
      <c r="M4421" t="s">
        <v>13789</v>
      </c>
      <c r="N4421" t="s">
        <v>447</v>
      </c>
      <c r="O4421" t="s">
        <v>28</v>
      </c>
      <c r="P4421" t="s">
        <v>2268</v>
      </c>
      <c r="Q4421">
        <v>46</v>
      </c>
      <c r="R4421">
        <v>-73.567300000000003</v>
      </c>
    </row>
    <row r="4422" spans="1:18" x14ac:dyDescent="0.2">
      <c r="A4422" t="s">
        <v>439</v>
      </c>
      <c r="B4422" t="s">
        <v>3094</v>
      </c>
      <c r="C4422">
        <v>1</v>
      </c>
      <c r="D4422" s="1">
        <v>44048.897615740738</v>
      </c>
      <c r="E4422" t="s">
        <v>13790</v>
      </c>
      <c r="F4422" t="s">
        <v>442</v>
      </c>
      <c r="G4422" t="s">
        <v>13791</v>
      </c>
      <c r="H4422" t="s">
        <v>444</v>
      </c>
      <c r="I4422" t="s">
        <v>29</v>
      </c>
      <c r="J4422">
        <v>1</v>
      </c>
      <c r="K4422">
        <f>1-888-408-6096</f>
        <v>-7391</v>
      </c>
      <c r="L4422" t="s">
        <v>13792</v>
      </c>
      <c r="M4422" t="s">
        <v>13793</v>
      </c>
      <c r="N4422" t="s">
        <v>36</v>
      </c>
      <c r="O4422" t="s">
        <v>28</v>
      </c>
      <c r="P4422" t="s">
        <v>2268</v>
      </c>
      <c r="Q4422">
        <v>46</v>
      </c>
      <c r="R4422">
        <v>-73.567300000000003</v>
      </c>
    </row>
    <row r="4423" spans="1:18" x14ac:dyDescent="0.2">
      <c r="A4423" t="s">
        <v>439</v>
      </c>
      <c r="B4423" t="s">
        <v>3094</v>
      </c>
      <c r="C4423">
        <v>1</v>
      </c>
      <c r="D4423" s="1">
        <v>44048.91306712963</v>
      </c>
      <c r="E4423" t="s">
        <v>13794</v>
      </c>
      <c r="F4423" t="s">
        <v>442</v>
      </c>
      <c r="G4423" t="s">
        <v>13795</v>
      </c>
      <c r="H4423" t="s">
        <v>444</v>
      </c>
      <c r="I4423" t="s">
        <v>29</v>
      </c>
      <c r="J4423">
        <v>1</v>
      </c>
      <c r="K4423">
        <f>1-833-334-3438</f>
        <v>-4604</v>
      </c>
      <c r="L4423" t="s">
        <v>13796</v>
      </c>
      <c r="M4423" t="s">
        <v>13797</v>
      </c>
      <c r="N4423" t="s">
        <v>447</v>
      </c>
      <c r="O4423" t="s">
        <v>28</v>
      </c>
      <c r="P4423" t="s">
        <v>2268</v>
      </c>
      <c r="Q4423">
        <v>46</v>
      </c>
      <c r="R4423">
        <v>-73.567300000000003</v>
      </c>
    </row>
    <row r="4424" spans="1:18" x14ac:dyDescent="0.2">
      <c r="A4424" t="s">
        <v>439</v>
      </c>
      <c r="B4424" t="s">
        <v>3094</v>
      </c>
      <c r="C4424">
        <v>1</v>
      </c>
      <c r="D4424" s="1">
        <v>44049.064953703702</v>
      </c>
      <c r="E4424" t="s">
        <v>13798</v>
      </c>
      <c r="F4424" t="s">
        <v>442</v>
      </c>
      <c r="G4424" t="s">
        <v>13799</v>
      </c>
      <c r="H4424" t="s">
        <v>444</v>
      </c>
      <c r="I4424" t="s">
        <v>29</v>
      </c>
      <c r="J4424">
        <v>1</v>
      </c>
      <c r="K4424">
        <f>1-833-358-728</f>
        <v>-1918</v>
      </c>
      <c r="L4424" t="s">
        <v>13800</v>
      </c>
      <c r="M4424" t="s">
        <v>13801</v>
      </c>
      <c r="N4424" t="s">
        <v>674</v>
      </c>
      <c r="O4424" t="s">
        <v>28</v>
      </c>
      <c r="P4424" t="s">
        <v>2268</v>
      </c>
      <c r="Q4424">
        <v>46</v>
      </c>
      <c r="R4424">
        <v>-73.567300000000003</v>
      </c>
    </row>
    <row r="4425" spans="1:18" x14ac:dyDescent="0.2">
      <c r="A4425" t="s">
        <v>439</v>
      </c>
      <c r="B4425" t="s">
        <v>3094</v>
      </c>
      <c r="C4425">
        <v>1</v>
      </c>
      <c r="D4425" s="1">
        <v>44049.11440972222</v>
      </c>
      <c r="E4425" t="s">
        <v>13802</v>
      </c>
      <c r="F4425" t="s">
        <v>442</v>
      </c>
      <c r="G4425" t="s">
        <v>13803</v>
      </c>
      <c r="H4425" t="s">
        <v>444</v>
      </c>
      <c r="I4425" t="s">
        <v>29</v>
      </c>
      <c r="J4425">
        <v>1</v>
      </c>
      <c r="K4425">
        <f>1-855-918-480</f>
        <v>-2252</v>
      </c>
      <c r="L4425" t="s">
        <v>13804</v>
      </c>
      <c r="M4425" t="s">
        <v>13805</v>
      </c>
      <c r="N4425" t="s">
        <v>447</v>
      </c>
      <c r="O4425" t="s">
        <v>28</v>
      </c>
      <c r="P4425" t="s">
        <v>2268</v>
      </c>
      <c r="Q4425">
        <v>46</v>
      </c>
      <c r="R4425">
        <v>-73.567300000000003</v>
      </c>
    </row>
    <row r="4426" spans="1:18" x14ac:dyDescent="0.2">
      <c r="A4426" t="s">
        <v>675</v>
      </c>
      <c r="B4426" t="s">
        <v>1412</v>
      </c>
      <c r="C4426">
        <v>81</v>
      </c>
      <c r="D4426" s="1">
        <v>44049.331967592596</v>
      </c>
      <c r="E4426" t="s">
        <v>13806</v>
      </c>
      <c r="F4426" t="s">
        <v>678</v>
      </c>
      <c r="G4426" t="s">
        <v>13807</v>
      </c>
      <c r="H4426" t="s">
        <v>680</v>
      </c>
      <c r="I4426" t="s">
        <v>53</v>
      </c>
      <c r="J4426">
        <v>81</v>
      </c>
      <c r="K4426">
        <f>81-50-5806-3936</f>
        <v>-9711</v>
      </c>
      <c r="L4426" t="s">
        <v>13808</v>
      </c>
      <c r="M4426" t="s">
        <v>13809</v>
      </c>
      <c r="N4426" t="s">
        <v>452</v>
      </c>
      <c r="O4426" t="s">
        <v>28</v>
      </c>
      <c r="P4426" t="s">
        <v>29</v>
      </c>
      <c r="Q4426">
        <v>41</v>
      </c>
      <c r="R4426">
        <v>-74.172399999999996</v>
      </c>
    </row>
    <row r="4427" spans="1:18" x14ac:dyDescent="0.2">
      <c r="A4427" t="s">
        <v>5349</v>
      </c>
      <c r="B4427" t="s">
        <v>440</v>
      </c>
      <c r="C4427">
        <v>81</v>
      </c>
      <c r="D4427" s="1">
        <v>44049.332060185188</v>
      </c>
      <c r="E4427" t="s">
        <v>13810</v>
      </c>
      <c r="F4427" t="s">
        <v>2236</v>
      </c>
      <c r="G4427" t="s">
        <v>13810</v>
      </c>
      <c r="H4427" t="s">
        <v>2237</v>
      </c>
      <c r="I4427" t="s">
        <v>53</v>
      </c>
      <c r="J4427">
        <v>81</v>
      </c>
      <c r="K4427">
        <f>81-50-5539-355</f>
        <v>-5863</v>
      </c>
      <c r="L4427" t="s">
        <v>13811</v>
      </c>
      <c r="M4427" t="s">
        <v>13812</v>
      </c>
      <c r="N4427">
        <v>206</v>
      </c>
      <c r="O4427" t="s">
        <v>134</v>
      </c>
      <c r="P4427" t="s">
        <v>29</v>
      </c>
      <c r="Q4427">
        <v>39</v>
      </c>
      <c r="R4427">
        <v>-77.487399999999994</v>
      </c>
    </row>
    <row r="4428" spans="1:18" x14ac:dyDescent="0.2">
      <c r="A4428" t="s">
        <v>439</v>
      </c>
      <c r="B4428" t="s">
        <v>3094</v>
      </c>
      <c r="C4428">
        <v>1</v>
      </c>
      <c r="D4428" s="1">
        <v>44056.594641203701</v>
      </c>
      <c r="E4428" t="s">
        <v>13813</v>
      </c>
      <c r="F4428" t="s">
        <v>442</v>
      </c>
      <c r="G4428" t="s">
        <v>13814</v>
      </c>
      <c r="H4428" t="s">
        <v>444</v>
      </c>
      <c r="I4428" t="s">
        <v>29</v>
      </c>
      <c r="J4428">
        <v>1</v>
      </c>
      <c r="K4428">
        <f>1-888-690-924</f>
        <v>-2501</v>
      </c>
      <c r="L4428" t="s">
        <v>13815</v>
      </c>
      <c r="M4428" t="s">
        <v>13816</v>
      </c>
      <c r="N4428" t="s">
        <v>447</v>
      </c>
      <c r="O4428" t="s">
        <v>28</v>
      </c>
      <c r="P4428" t="s">
        <v>2268</v>
      </c>
      <c r="Q4428">
        <v>46</v>
      </c>
      <c r="R4428">
        <v>-73.567300000000003</v>
      </c>
    </row>
    <row r="4429" spans="1:18" x14ac:dyDescent="0.2">
      <c r="A4429" t="s">
        <v>663</v>
      </c>
      <c r="B4429" t="s">
        <v>5337</v>
      </c>
      <c r="C4429">
        <v>44</v>
      </c>
      <c r="D4429" s="1">
        <v>44049.513865740744</v>
      </c>
      <c r="E4429" t="s">
        <v>13817</v>
      </c>
      <c r="F4429" t="s">
        <v>2495</v>
      </c>
      <c r="G4429" t="s">
        <v>13818</v>
      </c>
      <c r="H4429" t="s">
        <v>667</v>
      </c>
      <c r="I4429" t="s">
        <v>618</v>
      </c>
      <c r="J4429">
        <v>44</v>
      </c>
      <c r="K4429">
        <f>44-800-51-3726</f>
        <v>-4533</v>
      </c>
      <c r="L4429" t="s">
        <v>13819</v>
      </c>
      <c r="M4429" t="s">
        <v>13820</v>
      </c>
      <c r="N4429" t="s">
        <v>1645</v>
      </c>
      <c r="O4429" t="s">
        <v>28</v>
      </c>
      <c r="P4429" t="s">
        <v>29</v>
      </c>
      <c r="Q4429">
        <v>38</v>
      </c>
      <c r="R4429">
        <v>-99.999999000000003</v>
      </c>
    </row>
    <row r="4430" spans="1:18" x14ac:dyDescent="0.2">
      <c r="A4430" t="s">
        <v>439</v>
      </c>
      <c r="B4430" t="s">
        <v>3094</v>
      </c>
      <c r="C4430">
        <v>1</v>
      </c>
      <c r="D4430" s="1">
        <v>44088.785150462965</v>
      </c>
      <c r="E4430" t="s">
        <v>13821</v>
      </c>
      <c r="F4430" t="s">
        <v>442</v>
      </c>
      <c r="G4430" t="s">
        <v>13822</v>
      </c>
      <c r="H4430" t="s">
        <v>444</v>
      </c>
      <c r="I4430" t="s">
        <v>29</v>
      </c>
      <c r="J4430">
        <v>1</v>
      </c>
      <c r="K4430">
        <f>1-888-210-2717</f>
        <v>-3814</v>
      </c>
      <c r="L4430" t="s">
        <v>13823</v>
      </c>
      <c r="M4430" t="s">
        <v>13824</v>
      </c>
      <c r="N4430" t="s">
        <v>1645</v>
      </c>
      <c r="O4430" t="s">
        <v>28</v>
      </c>
      <c r="P4430" t="s">
        <v>2268</v>
      </c>
      <c r="Q4430">
        <v>46</v>
      </c>
      <c r="R4430">
        <v>-73.567300000000003</v>
      </c>
    </row>
    <row r="4431" spans="1:18" x14ac:dyDescent="0.2">
      <c r="A4431" t="s">
        <v>439</v>
      </c>
      <c r="B4431" t="s">
        <v>3094</v>
      </c>
      <c r="C4431">
        <v>1</v>
      </c>
      <c r="D4431" s="1">
        <v>44049.514675925922</v>
      </c>
      <c r="E4431" t="s">
        <v>13825</v>
      </c>
      <c r="F4431" t="s">
        <v>442</v>
      </c>
      <c r="G4431" t="s">
        <v>13822</v>
      </c>
      <c r="H4431" t="s">
        <v>444</v>
      </c>
      <c r="I4431" t="s">
        <v>29</v>
      </c>
      <c r="J4431">
        <v>1</v>
      </c>
      <c r="K4431">
        <f>1-855-247-3546</f>
        <v>-4647</v>
      </c>
      <c r="L4431" t="s">
        <v>13826</v>
      </c>
      <c r="M4431" t="s">
        <v>13827</v>
      </c>
      <c r="N4431" t="s">
        <v>213</v>
      </c>
      <c r="O4431" t="s">
        <v>28</v>
      </c>
      <c r="P4431" t="s">
        <v>2268</v>
      </c>
      <c r="Q4431">
        <v>46</v>
      </c>
      <c r="R4431">
        <v>-73.567300000000003</v>
      </c>
    </row>
    <row r="4432" spans="1:18" x14ac:dyDescent="0.2">
      <c r="A4432" t="s">
        <v>439</v>
      </c>
      <c r="B4432" t="s">
        <v>3094</v>
      </c>
      <c r="C4432">
        <v>1</v>
      </c>
      <c r="D4432" s="1">
        <v>44049.514965277776</v>
      </c>
      <c r="E4432" t="s">
        <v>13828</v>
      </c>
      <c r="F4432" t="s">
        <v>442</v>
      </c>
      <c r="G4432" t="s">
        <v>13829</v>
      </c>
      <c r="H4432" t="s">
        <v>444</v>
      </c>
      <c r="I4432" t="s">
        <v>29</v>
      </c>
      <c r="J4432">
        <v>1</v>
      </c>
      <c r="K4432">
        <f>1-888-745-6606</f>
        <v>-8238</v>
      </c>
      <c r="L4432" t="s">
        <v>13830</v>
      </c>
      <c r="M4432" t="s">
        <v>13831</v>
      </c>
      <c r="N4432" t="s">
        <v>213</v>
      </c>
      <c r="O4432" t="s">
        <v>28</v>
      </c>
      <c r="P4432" t="s">
        <v>2268</v>
      </c>
      <c r="Q4432">
        <v>46</v>
      </c>
      <c r="R4432">
        <v>-73.567300000000003</v>
      </c>
    </row>
    <row r="4433" spans="1:18" x14ac:dyDescent="0.2">
      <c r="A4433" t="s">
        <v>439</v>
      </c>
      <c r="B4433" t="s">
        <v>3094</v>
      </c>
      <c r="C4433">
        <v>1</v>
      </c>
      <c r="D4433" s="1">
        <v>44049.515393518515</v>
      </c>
      <c r="E4433" t="s">
        <v>13832</v>
      </c>
      <c r="F4433" t="s">
        <v>442</v>
      </c>
      <c r="G4433" t="s">
        <v>13833</v>
      </c>
      <c r="H4433" t="s">
        <v>444</v>
      </c>
      <c r="I4433" t="s">
        <v>29</v>
      </c>
      <c r="J4433">
        <v>1</v>
      </c>
      <c r="K4433">
        <f>1-888-382-2109</f>
        <v>-3378</v>
      </c>
      <c r="L4433" t="s">
        <v>13834</v>
      </c>
      <c r="M4433" t="s">
        <v>13835</v>
      </c>
      <c r="N4433" t="s">
        <v>447</v>
      </c>
      <c r="O4433" t="s">
        <v>28</v>
      </c>
      <c r="P4433" t="s">
        <v>2268</v>
      </c>
      <c r="Q4433">
        <v>46</v>
      </c>
      <c r="R4433">
        <v>-73.567300000000003</v>
      </c>
    </row>
    <row r="4434" spans="1:18" x14ac:dyDescent="0.2">
      <c r="A4434" t="s">
        <v>2349</v>
      </c>
      <c r="B4434" t="s">
        <v>10634</v>
      </c>
      <c r="C4434">
        <v>41</v>
      </c>
      <c r="D4434" s="1">
        <v>44049.535613425927</v>
      </c>
      <c r="E4434" t="s">
        <v>13836</v>
      </c>
      <c r="F4434" t="s">
        <v>4584</v>
      </c>
      <c r="G4434" t="s">
        <v>13836</v>
      </c>
      <c r="H4434" t="s">
        <v>2353</v>
      </c>
      <c r="I4434" t="s">
        <v>204</v>
      </c>
      <c r="J4434">
        <v>41</v>
      </c>
      <c r="K4434">
        <f>41-800-101-202</f>
        <v>-1062</v>
      </c>
      <c r="L4434" t="s">
        <v>13837</v>
      </c>
      <c r="M4434" t="s">
        <v>13838</v>
      </c>
      <c r="N4434">
        <v>81</v>
      </c>
      <c r="O4434" t="s">
        <v>134</v>
      </c>
      <c r="P4434" t="s">
        <v>292</v>
      </c>
      <c r="Q4434">
        <v>49</v>
      </c>
      <c r="R4434">
        <v>2.3678300000000001</v>
      </c>
    </row>
    <row r="4435" spans="1:18" x14ac:dyDescent="0.2">
      <c r="A4435" t="s">
        <v>663</v>
      </c>
      <c r="B4435" t="s">
        <v>454</v>
      </c>
      <c r="C4435">
        <v>49</v>
      </c>
      <c r="D4435" s="1">
        <v>44049.648784722223</v>
      </c>
      <c r="E4435" t="s">
        <v>13839</v>
      </c>
      <c r="F4435" t="s">
        <v>666</v>
      </c>
      <c r="G4435" t="s">
        <v>13839</v>
      </c>
      <c r="H4435" t="s">
        <v>667</v>
      </c>
      <c r="I4435" t="s">
        <v>24</v>
      </c>
      <c r="J4435">
        <v>49</v>
      </c>
      <c r="K4435">
        <f>49-800-9772</f>
        <v>-10523</v>
      </c>
      <c r="L4435" t="s">
        <v>13840</v>
      </c>
      <c r="M4435" t="s">
        <v>13841</v>
      </c>
      <c r="N4435">
        <v>2</v>
      </c>
      <c r="O4435" t="s">
        <v>134</v>
      </c>
      <c r="P4435" t="s">
        <v>461</v>
      </c>
      <c r="Q4435">
        <v>52</v>
      </c>
      <c r="R4435">
        <v>4.8975</v>
      </c>
    </row>
    <row r="4436" spans="1:18" x14ac:dyDescent="0.2">
      <c r="A4436" t="s">
        <v>439</v>
      </c>
      <c r="B4436" t="s">
        <v>3094</v>
      </c>
      <c r="C4436">
        <v>1</v>
      </c>
      <c r="D4436" s="1">
        <v>44049.668599537035</v>
      </c>
      <c r="E4436" t="s">
        <v>13842</v>
      </c>
      <c r="F4436" t="s">
        <v>442</v>
      </c>
      <c r="G4436" t="s">
        <v>13843</v>
      </c>
      <c r="H4436" t="s">
        <v>444</v>
      </c>
      <c r="I4436" t="s">
        <v>29</v>
      </c>
      <c r="J4436">
        <v>1</v>
      </c>
      <c r="K4436">
        <f>1-833-334-3438</f>
        <v>-4604</v>
      </c>
      <c r="L4436" t="s">
        <v>13844</v>
      </c>
      <c r="M4436" t="s">
        <v>13845</v>
      </c>
      <c r="N4436" t="s">
        <v>674</v>
      </c>
      <c r="O4436" t="s">
        <v>28</v>
      </c>
      <c r="P4436" t="s">
        <v>2268</v>
      </c>
      <c r="Q4436">
        <v>46</v>
      </c>
      <c r="R4436">
        <v>-73.567300000000003</v>
      </c>
    </row>
    <row r="4437" spans="1:18" x14ac:dyDescent="0.2">
      <c r="A4437" t="s">
        <v>439</v>
      </c>
      <c r="B4437" t="s">
        <v>3094</v>
      </c>
      <c r="C4437">
        <v>1</v>
      </c>
      <c r="D4437" s="1">
        <v>44049.690138888887</v>
      </c>
      <c r="E4437" t="s">
        <v>13846</v>
      </c>
      <c r="F4437" t="s">
        <v>442</v>
      </c>
      <c r="G4437" t="s">
        <v>13847</v>
      </c>
      <c r="H4437" t="s">
        <v>444</v>
      </c>
      <c r="I4437" t="s">
        <v>29</v>
      </c>
      <c r="J4437">
        <v>1</v>
      </c>
      <c r="K4437">
        <f>1-833-325-7603</f>
        <v>-8760</v>
      </c>
      <c r="L4437" t="s">
        <v>13848</v>
      </c>
      <c r="M4437" t="s">
        <v>13849</v>
      </c>
      <c r="N4437" t="s">
        <v>213</v>
      </c>
      <c r="O4437" t="s">
        <v>28</v>
      </c>
      <c r="P4437" t="s">
        <v>2268</v>
      </c>
      <c r="Q4437">
        <v>46</v>
      </c>
      <c r="R4437">
        <v>-73.567300000000003</v>
      </c>
    </row>
    <row r="4438" spans="1:18" x14ac:dyDescent="0.2">
      <c r="A4438" t="s">
        <v>439</v>
      </c>
      <c r="B4438" t="s">
        <v>3094</v>
      </c>
      <c r="C4438">
        <v>1</v>
      </c>
      <c r="D4438" s="1">
        <v>44049.690381944441</v>
      </c>
      <c r="E4438" t="s">
        <v>13850</v>
      </c>
      <c r="F4438" t="s">
        <v>442</v>
      </c>
      <c r="G4438" t="s">
        <v>13851</v>
      </c>
      <c r="H4438" t="s">
        <v>444</v>
      </c>
      <c r="I4438" t="s">
        <v>29</v>
      </c>
      <c r="J4438">
        <v>1</v>
      </c>
      <c r="K4438">
        <f>1-855-247-3546</f>
        <v>-4647</v>
      </c>
      <c r="L4438" t="s">
        <v>13852</v>
      </c>
      <c r="M4438" t="s">
        <v>13853</v>
      </c>
      <c r="N4438" t="s">
        <v>674</v>
      </c>
      <c r="O4438" t="s">
        <v>28</v>
      </c>
      <c r="P4438" t="s">
        <v>2268</v>
      </c>
      <c r="Q4438">
        <v>46</v>
      </c>
      <c r="R4438">
        <v>-73.567300000000003</v>
      </c>
    </row>
    <row r="4439" spans="1:18" x14ac:dyDescent="0.2">
      <c r="A4439" t="s">
        <v>439</v>
      </c>
      <c r="B4439" t="s">
        <v>3094</v>
      </c>
      <c r="C4439">
        <v>1</v>
      </c>
      <c r="D4439" s="1">
        <v>44049.70207175926</v>
      </c>
      <c r="E4439" t="s">
        <v>13854</v>
      </c>
      <c r="F4439" t="s">
        <v>442</v>
      </c>
      <c r="G4439" t="s">
        <v>13855</v>
      </c>
      <c r="H4439" t="s">
        <v>444</v>
      </c>
      <c r="I4439" t="s">
        <v>29</v>
      </c>
      <c r="J4439">
        <v>1</v>
      </c>
      <c r="K4439">
        <f>1-855-903-910</f>
        <v>-2667</v>
      </c>
      <c r="L4439" t="s">
        <v>13856</v>
      </c>
      <c r="M4439" t="s">
        <v>13857</v>
      </c>
      <c r="N4439" t="s">
        <v>213</v>
      </c>
      <c r="O4439" t="s">
        <v>28</v>
      </c>
      <c r="P4439" t="s">
        <v>2268</v>
      </c>
      <c r="Q4439">
        <v>46</v>
      </c>
      <c r="R4439">
        <v>-73.567300000000003</v>
      </c>
    </row>
    <row r="4440" spans="1:18" x14ac:dyDescent="0.2">
      <c r="A4440" t="s">
        <v>663</v>
      </c>
      <c r="B4440" t="s">
        <v>664</v>
      </c>
      <c r="C4440">
        <v>1</v>
      </c>
      <c r="D4440" s="1">
        <v>44049.740023148152</v>
      </c>
      <c r="E4440" t="s">
        <v>13858</v>
      </c>
      <c r="F4440" t="s">
        <v>666</v>
      </c>
      <c r="G4440" t="s">
        <v>13858</v>
      </c>
      <c r="H4440" t="s">
        <v>667</v>
      </c>
      <c r="I4440" t="s">
        <v>29</v>
      </c>
      <c r="J4440">
        <v>1</v>
      </c>
      <c r="K4440">
        <f>1-866-767-1458</f>
        <v>-3090</v>
      </c>
      <c r="L4440" t="s">
        <v>13859</v>
      </c>
      <c r="M4440" t="s">
        <v>13860</v>
      </c>
      <c r="N4440">
        <v>79</v>
      </c>
      <c r="O4440" t="s">
        <v>134</v>
      </c>
      <c r="P4440" t="s">
        <v>29</v>
      </c>
      <c r="Q4440">
        <v>37</v>
      </c>
      <c r="R4440">
        <v>-99.999999000000003</v>
      </c>
    </row>
    <row r="4441" spans="1:18" x14ac:dyDescent="0.2">
      <c r="A4441" t="s">
        <v>663</v>
      </c>
      <c r="B4441" t="s">
        <v>5337</v>
      </c>
      <c r="C4441">
        <v>1</v>
      </c>
      <c r="D4441" s="1">
        <v>44049.781782407408</v>
      </c>
      <c r="E4441" t="s">
        <v>13861</v>
      </c>
      <c r="F4441" t="s">
        <v>666</v>
      </c>
      <c r="G4441" t="s">
        <v>13862</v>
      </c>
      <c r="H4441" t="s">
        <v>667</v>
      </c>
      <c r="I4441" t="s">
        <v>29</v>
      </c>
      <c r="J4441">
        <v>1</v>
      </c>
      <c r="K4441">
        <f>1-855-503-427</f>
        <v>-1784</v>
      </c>
      <c r="L4441" t="s">
        <v>13863</v>
      </c>
      <c r="M4441" t="s">
        <v>13864</v>
      </c>
      <c r="N4441" t="s">
        <v>1645</v>
      </c>
      <c r="O4441" t="s">
        <v>28</v>
      </c>
      <c r="P4441" t="s">
        <v>29</v>
      </c>
      <c r="Q4441">
        <v>38</v>
      </c>
      <c r="R4441">
        <v>-99.999999000000003</v>
      </c>
    </row>
    <row r="4442" spans="1:18" x14ac:dyDescent="0.2">
      <c r="A4442" t="s">
        <v>439</v>
      </c>
      <c r="B4442" t="s">
        <v>3094</v>
      </c>
      <c r="C4442">
        <v>1</v>
      </c>
      <c r="D4442" s="1">
        <v>44049.790532407409</v>
      </c>
      <c r="E4442" t="s">
        <v>13865</v>
      </c>
      <c r="F4442" t="s">
        <v>442</v>
      </c>
      <c r="G4442" t="s">
        <v>13866</v>
      </c>
      <c r="H4442" t="s">
        <v>444</v>
      </c>
      <c r="I4442" t="s">
        <v>29</v>
      </c>
      <c r="J4442">
        <v>1</v>
      </c>
      <c r="K4442">
        <f>1-844-732-131</f>
        <v>-1706</v>
      </c>
      <c r="L4442" t="s">
        <v>13867</v>
      </c>
      <c r="M4442" t="s">
        <v>13868</v>
      </c>
      <c r="N4442" t="s">
        <v>447</v>
      </c>
      <c r="O4442" t="s">
        <v>28</v>
      </c>
      <c r="P4442" t="s">
        <v>2268</v>
      </c>
      <c r="Q4442">
        <v>46</v>
      </c>
      <c r="R4442">
        <v>-73.567300000000003</v>
      </c>
    </row>
    <row r="4443" spans="1:18" x14ac:dyDescent="0.2">
      <c r="A4443" t="s">
        <v>663</v>
      </c>
      <c r="B4443" t="s">
        <v>2493</v>
      </c>
      <c r="C4443">
        <v>1</v>
      </c>
      <c r="D4443" s="1">
        <v>44049.800902777781</v>
      </c>
      <c r="E4443" t="s">
        <v>13869</v>
      </c>
      <c r="F4443" t="s">
        <v>666</v>
      </c>
      <c r="G4443" t="s">
        <v>13869</v>
      </c>
      <c r="H4443" t="s">
        <v>667</v>
      </c>
      <c r="I4443" t="s">
        <v>29</v>
      </c>
      <c r="J4443">
        <v>1</v>
      </c>
      <c r="K4443">
        <f>1-866-574-9510</f>
        <v>-10949</v>
      </c>
      <c r="L4443" t="s">
        <v>13870</v>
      </c>
      <c r="M4443" t="s">
        <v>13871</v>
      </c>
      <c r="N4443">
        <v>20</v>
      </c>
      <c r="O4443" t="s">
        <v>134</v>
      </c>
      <c r="P4443" t="s">
        <v>29</v>
      </c>
      <c r="Q4443">
        <v>41</v>
      </c>
      <c r="R4443">
        <v>-74.024699999999996</v>
      </c>
    </row>
    <row r="4444" spans="1:18" x14ac:dyDescent="0.2">
      <c r="A4444" t="s">
        <v>663</v>
      </c>
      <c r="B4444" t="s">
        <v>5337</v>
      </c>
      <c r="C4444">
        <v>1</v>
      </c>
      <c r="D4444" s="1">
        <v>44049.804918981485</v>
      </c>
      <c r="E4444" t="s">
        <v>13872</v>
      </c>
      <c r="F4444" t="s">
        <v>2495</v>
      </c>
      <c r="G4444" t="s">
        <v>13872</v>
      </c>
      <c r="H4444" t="s">
        <v>667</v>
      </c>
      <c r="I4444" t="s">
        <v>29</v>
      </c>
      <c r="J4444">
        <v>1</v>
      </c>
      <c r="K4444">
        <f>1-866-720-5514</f>
        <v>-7099</v>
      </c>
      <c r="L4444" t="s">
        <v>13873</v>
      </c>
      <c r="M4444" t="s">
        <v>13874</v>
      </c>
      <c r="N4444">
        <v>169</v>
      </c>
      <c r="O4444" t="s">
        <v>134</v>
      </c>
      <c r="P4444" t="s">
        <v>29</v>
      </c>
      <c r="Q4444">
        <v>38</v>
      </c>
      <c r="R4444">
        <v>-99.999999000000003</v>
      </c>
    </row>
    <row r="4445" spans="1:18" x14ac:dyDescent="0.2">
      <c r="A4445" t="s">
        <v>439</v>
      </c>
      <c r="B4445" t="s">
        <v>3094</v>
      </c>
      <c r="C4445">
        <v>1</v>
      </c>
      <c r="D4445" s="1">
        <v>44049.807696759257</v>
      </c>
      <c r="E4445" t="s">
        <v>13875</v>
      </c>
      <c r="F4445" t="s">
        <v>442</v>
      </c>
      <c r="G4445" t="s">
        <v>13876</v>
      </c>
      <c r="H4445" t="s">
        <v>444</v>
      </c>
      <c r="I4445" t="s">
        <v>29</v>
      </c>
      <c r="J4445">
        <v>1</v>
      </c>
      <c r="K4445">
        <f>1-833-358-728</f>
        <v>-1918</v>
      </c>
      <c r="L4445" t="s">
        <v>13877</v>
      </c>
      <c r="M4445" t="s">
        <v>13878</v>
      </c>
      <c r="N4445" t="s">
        <v>447</v>
      </c>
      <c r="O4445" t="s">
        <v>28</v>
      </c>
      <c r="P4445" t="s">
        <v>2268</v>
      </c>
      <c r="Q4445">
        <v>46</v>
      </c>
      <c r="R4445">
        <v>-73.567300000000003</v>
      </c>
    </row>
    <row r="4446" spans="1:18" x14ac:dyDescent="0.2">
      <c r="A4446" t="s">
        <v>663</v>
      </c>
      <c r="B4446" t="s">
        <v>3385</v>
      </c>
      <c r="C4446">
        <v>1</v>
      </c>
      <c r="D4446" s="1">
        <v>44049.823252314818</v>
      </c>
      <c r="E4446" t="s">
        <v>13879</v>
      </c>
      <c r="F4446" t="s">
        <v>666</v>
      </c>
      <c r="G4446" t="s">
        <v>13879</v>
      </c>
      <c r="H4446" t="s">
        <v>667</v>
      </c>
      <c r="I4446" t="s">
        <v>29</v>
      </c>
      <c r="J4446">
        <v>1</v>
      </c>
      <c r="K4446">
        <f>1-866-536-7799</f>
        <v>-9200</v>
      </c>
      <c r="L4446" t="s">
        <v>13880</v>
      </c>
      <c r="M4446" t="s">
        <v>13881</v>
      </c>
      <c r="N4446">
        <v>133</v>
      </c>
      <c r="O4446" t="s">
        <v>134</v>
      </c>
      <c r="P4446" t="s">
        <v>29</v>
      </c>
      <c r="Q4446">
        <v>41</v>
      </c>
      <c r="R4446">
        <v>-74.006600000000006</v>
      </c>
    </row>
    <row r="4447" spans="1:18" x14ac:dyDescent="0.2">
      <c r="A4447" t="s">
        <v>663</v>
      </c>
      <c r="B4447" t="s">
        <v>5337</v>
      </c>
      <c r="C4447">
        <v>1</v>
      </c>
      <c r="D4447" s="1">
        <v>44049.874814814815</v>
      </c>
      <c r="E4447" t="s">
        <v>13882</v>
      </c>
      <c r="F4447" t="s">
        <v>2495</v>
      </c>
      <c r="G4447" t="s">
        <v>13883</v>
      </c>
      <c r="H4447" t="s">
        <v>667</v>
      </c>
      <c r="I4447" t="s">
        <v>29</v>
      </c>
      <c r="J4447">
        <v>1</v>
      </c>
      <c r="K4447">
        <f>1-866-764-3568</f>
        <v>-5197</v>
      </c>
      <c r="L4447" t="s">
        <v>13884</v>
      </c>
      <c r="M4447" t="s">
        <v>13885</v>
      </c>
      <c r="N4447" t="s">
        <v>3305</v>
      </c>
      <c r="O4447" t="s">
        <v>134</v>
      </c>
      <c r="P4447" t="s">
        <v>29</v>
      </c>
      <c r="Q4447">
        <v>38</v>
      </c>
      <c r="R4447">
        <v>-99.999999000000003</v>
      </c>
    </row>
    <row r="4448" spans="1:18" x14ac:dyDescent="0.2">
      <c r="A4448" t="s">
        <v>663</v>
      </c>
      <c r="B4448" t="s">
        <v>5337</v>
      </c>
      <c r="C4448">
        <v>1</v>
      </c>
      <c r="D4448" s="1">
        <v>44049.82739583333</v>
      </c>
      <c r="E4448" t="s">
        <v>13883</v>
      </c>
      <c r="F4448" t="s">
        <v>2495</v>
      </c>
      <c r="G4448" t="s">
        <v>13883</v>
      </c>
      <c r="H4448" t="s">
        <v>667</v>
      </c>
      <c r="I4448" t="s">
        <v>29</v>
      </c>
      <c r="J4448">
        <v>1</v>
      </c>
      <c r="K4448">
        <f>1-866-764-3568</f>
        <v>-5197</v>
      </c>
      <c r="L4448" t="s">
        <v>13886</v>
      </c>
      <c r="M4448" t="s">
        <v>13887</v>
      </c>
      <c r="N4448">
        <v>235</v>
      </c>
      <c r="O4448" t="s">
        <v>134</v>
      </c>
      <c r="P4448" t="s">
        <v>29</v>
      </c>
      <c r="Q4448">
        <v>38</v>
      </c>
      <c r="R4448">
        <v>-99.999999000000003</v>
      </c>
    </row>
    <row r="4449" spans="1:18" x14ac:dyDescent="0.2">
      <c r="A4449" t="s">
        <v>663</v>
      </c>
      <c r="B4449" t="s">
        <v>5337</v>
      </c>
      <c r="C4449">
        <v>1</v>
      </c>
      <c r="D4449" s="1">
        <v>44049.822175925925</v>
      </c>
      <c r="E4449" t="s">
        <v>13883</v>
      </c>
      <c r="F4449" t="s">
        <v>2495</v>
      </c>
      <c r="G4449" t="s">
        <v>13883</v>
      </c>
      <c r="H4449" t="s">
        <v>667</v>
      </c>
      <c r="I4449" t="s">
        <v>29</v>
      </c>
      <c r="J4449">
        <v>1</v>
      </c>
      <c r="K4449">
        <f>1-866-516-4293</f>
        <v>-5674</v>
      </c>
      <c r="L4449" t="s">
        <v>13888</v>
      </c>
      <c r="M4449" t="s">
        <v>13889</v>
      </c>
      <c r="N4449">
        <v>235</v>
      </c>
      <c r="O4449" t="s">
        <v>134</v>
      </c>
      <c r="P4449" t="s">
        <v>29</v>
      </c>
      <c r="Q4449">
        <v>38</v>
      </c>
      <c r="R4449">
        <v>-99.999999000000003</v>
      </c>
    </row>
    <row r="4450" spans="1:18" x14ac:dyDescent="0.2">
      <c r="A4450" t="s">
        <v>663</v>
      </c>
      <c r="B4450" t="s">
        <v>5337</v>
      </c>
      <c r="C4450">
        <v>1</v>
      </c>
      <c r="D4450" s="1">
        <v>44052.913831018515</v>
      </c>
      <c r="E4450" t="s">
        <v>13890</v>
      </c>
      <c r="F4450" t="s">
        <v>666</v>
      </c>
      <c r="G4450" t="s">
        <v>13891</v>
      </c>
      <c r="H4450" t="s">
        <v>667</v>
      </c>
      <c r="I4450" t="s">
        <v>29</v>
      </c>
      <c r="J4450">
        <v>1</v>
      </c>
      <c r="K4450">
        <f>1-800-674-9730</f>
        <v>-11203</v>
      </c>
      <c r="L4450" t="s">
        <v>13892</v>
      </c>
      <c r="M4450" t="s">
        <v>13893</v>
      </c>
      <c r="N4450" t="s">
        <v>447</v>
      </c>
      <c r="O4450" t="s">
        <v>28</v>
      </c>
      <c r="P4450" t="s">
        <v>29</v>
      </c>
      <c r="Q4450">
        <v>38</v>
      </c>
      <c r="R4450">
        <v>-99.999999000000003</v>
      </c>
    </row>
    <row r="4451" spans="1:18" x14ac:dyDescent="0.2">
      <c r="A4451" t="s">
        <v>663</v>
      </c>
      <c r="B4451" t="s">
        <v>5337</v>
      </c>
      <c r="C4451">
        <v>1</v>
      </c>
      <c r="D4451" s="1">
        <v>44052.91375</v>
      </c>
      <c r="E4451" t="s">
        <v>13890</v>
      </c>
      <c r="F4451" t="s">
        <v>666</v>
      </c>
      <c r="G4451" t="s">
        <v>13891</v>
      </c>
      <c r="H4451" t="s">
        <v>667</v>
      </c>
      <c r="I4451" t="s">
        <v>29</v>
      </c>
      <c r="J4451">
        <v>1</v>
      </c>
      <c r="K4451">
        <f>1-800-674-9730</f>
        <v>-11203</v>
      </c>
      <c r="L4451" t="s">
        <v>13894</v>
      </c>
      <c r="M4451" t="s">
        <v>13895</v>
      </c>
      <c r="N4451" t="s">
        <v>447</v>
      </c>
      <c r="O4451" t="s">
        <v>28</v>
      </c>
      <c r="P4451" t="s">
        <v>29</v>
      </c>
      <c r="Q4451">
        <v>38</v>
      </c>
      <c r="R4451">
        <v>-99.999999000000003</v>
      </c>
    </row>
    <row r="4452" spans="1:18" x14ac:dyDescent="0.2">
      <c r="A4452" t="s">
        <v>663</v>
      </c>
      <c r="B4452" t="s">
        <v>5337</v>
      </c>
      <c r="C4452">
        <v>1</v>
      </c>
      <c r="D4452" s="1">
        <v>44052.913668981484</v>
      </c>
      <c r="E4452" t="s">
        <v>13890</v>
      </c>
      <c r="F4452" t="s">
        <v>666</v>
      </c>
      <c r="G4452" t="s">
        <v>13891</v>
      </c>
      <c r="H4452" t="s">
        <v>667</v>
      </c>
      <c r="I4452" t="s">
        <v>29</v>
      </c>
      <c r="J4452">
        <v>1</v>
      </c>
      <c r="K4452">
        <f>1-800-674-9730</f>
        <v>-11203</v>
      </c>
      <c r="L4452" t="s">
        <v>13896</v>
      </c>
      <c r="M4452" t="s">
        <v>13897</v>
      </c>
      <c r="N4452" t="s">
        <v>447</v>
      </c>
      <c r="O4452" t="s">
        <v>28</v>
      </c>
      <c r="P4452" t="s">
        <v>29</v>
      </c>
      <c r="Q4452">
        <v>38</v>
      </c>
      <c r="R4452">
        <v>-99.999999000000003</v>
      </c>
    </row>
    <row r="4453" spans="1:18" x14ac:dyDescent="0.2">
      <c r="A4453" t="s">
        <v>663</v>
      </c>
      <c r="B4453" t="s">
        <v>5337</v>
      </c>
      <c r="C4453">
        <v>1</v>
      </c>
      <c r="D4453" s="1">
        <v>44052.913518518515</v>
      </c>
      <c r="E4453" t="s">
        <v>13890</v>
      </c>
      <c r="F4453" t="s">
        <v>666</v>
      </c>
      <c r="G4453" t="s">
        <v>13891</v>
      </c>
      <c r="H4453" t="s">
        <v>667</v>
      </c>
      <c r="I4453" t="s">
        <v>29</v>
      </c>
      <c r="J4453">
        <v>1</v>
      </c>
      <c r="K4453">
        <f>1-800-674-9730</f>
        <v>-11203</v>
      </c>
      <c r="L4453" t="s">
        <v>13898</v>
      </c>
      <c r="M4453" t="s">
        <v>13899</v>
      </c>
      <c r="N4453" t="s">
        <v>447</v>
      </c>
      <c r="O4453" t="s">
        <v>28</v>
      </c>
      <c r="P4453" t="s">
        <v>29</v>
      </c>
      <c r="Q4453">
        <v>38</v>
      </c>
      <c r="R4453">
        <v>-99.999999000000003</v>
      </c>
    </row>
    <row r="4454" spans="1:18" x14ac:dyDescent="0.2">
      <c r="A4454" t="s">
        <v>663</v>
      </c>
      <c r="B4454" t="s">
        <v>5337</v>
      </c>
      <c r="C4454">
        <v>1</v>
      </c>
      <c r="D4454" s="1">
        <v>44051.93818287037</v>
      </c>
      <c r="E4454" t="s">
        <v>13900</v>
      </c>
      <c r="F4454" t="s">
        <v>666</v>
      </c>
      <c r="G4454" t="s">
        <v>13891</v>
      </c>
      <c r="H4454" t="s">
        <v>667</v>
      </c>
      <c r="I4454" t="s">
        <v>29</v>
      </c>
      <c r="J4454">
        <v>1</v>
      </c>
      <c r="K4454">
        <f t="shared" ref="K4454:K4466" si="27">1-800-688-1086</f>
        <v>-2573</v>
      </c>
      <c r="L4454" t="s">
        <v>13901</v>
      </c>
      <c r="M4454" t="s">
        <v>13902</v>
      </c>
      <c r="N4454" t="s">
        <v>3441</v>
      </c>
      <c r="O4454" t="s">
        <v>28</v>
      </c>
      <c r="P4454" t="s">
        <v>29</v>
      </c>
      <c r="Q4454">
        <v>38</v>
      </c>
      <c r="R4454">
        <v>-99.999999000000003</v>
      </c>
    </row>
    <row r="4455" spans="1:18" x14ac:dyDescent="0.2">
      <c r="A4455" t="s">
        <v>663</v>
      </c>
      <c r="B4455" t="s">
        <v>5337</v>
      </c>
      <c r="C4455">
        <v>1</v>
      </c>
      <c r="D4455" s="1">
        <v>44051.938148148147</v>
      </c>
      <c r="E4455" t="s">
        <v>13903</v>
      </c>
      <c r="F4455" t="s">
        <v>666</v>
      </c>
      <c r="G4455" t="s">
        <v>13891</v>
      </c>
      <c r="H4455" t="s">
        <v>667</v>
      </c>
      <c r="I4455" t="s">
        <v>29</v>
      </c>
      <c r="J4455">
        <v>1</v>
      </c>
      <c r="K4455">
        <f t="shared" si="27"/>
        <v>-2573</v>
      </c>
      <c r="L4455" t="s">
        <v>13904</v>
      </c>
      <c r="M4455" t="s">
        <v>13905</v>
      </c>
      <c r="N4455" t="s">
        <v>447</v>
      </c>
      <c r="O4455" t="s">
        <v>28</v>
      </c>
      <c r="P4455" t="s">
        <v>29</v>
      </c>
      <c r="Q4455">
        <v>38</v>
      </c>
      <c r="R4455">
        <v>-99.999999000000003</v>
      </c>
    </row>
    <row r="4456" spans="1:18" x14ac:dyDescent="0.2">
      <c r="A4456" t="s">
        <v>663</v>
      </c>
      <c r="B4456" t="s">
        <v>5337</v>
      </c>
      <c r="C4456">
        <v>1</v>
      </c>
      <c r="D4456" s="1">
        <v>44051.938055555554</v>
      </c>
      <c r="E4456" t="s">
        <v>13906</v>
      </c>
      <c r="F4456" t="s">
        <v>666</v>
      </c>
      <c r="G4456" t="s">
        <v>13891</v>
      </c>
      <c r="H4456" t="s">
        <v>667</v>
      </c>
      <c r="I4456" t="s">
        <v>29</v>
      </c>
      <c r="J4456">
        <v>1</v>
      </c>
      <c r="K4456">
        <f t="shared" si="27"/>
        <v>-2573</v>
      </c>
      <c r="L4456" t="s">
        <v>13907</v>
      </c>
      <c r="M4456" t="s">
        <v>13908</v>
      </c>
      <c r="N4456" t="s">
        <v>674</v>
      </c>
      <c r="O4456" t="s">
        <v>28</v>
      </c>
      <c r="P4456" t="s">
        <v>29</v>
      </c>
      <c r="Q4456">
        <v>38</v>
      </c>
      <c r="R4456">
        <v>-99.999999000000003</v>
      </c>
    </row>
    <row r="4457" spans="1:18" x14ac:dyDescent="0.2">
      <c r="A4457" t="s">
        <v>663</v>
      </c>
      <c r="B4457" t="s">
        <v>5337</v>
      </c>
      <c r="C4457">
        <v>1</v>
      </c>
      <c r="D4457" s="1">
        <v>44051.937881944446</v>
      </c>
      <c r="E4457" t="s">
        <v>13909</v>
      </c>
      <c r="F4457" t="s">
        <v>666</v>
      </c>
      <c r="G4457" t="s">
        <v>13891</v>
      </c>
      <c r="H4457" t="s">
        <v>667</v>
      </c>
      <c r="I4457" t="s">
        <v>29</v>
      </c>
      <c r="J4457">
        <v>1</v>
      </c>
      <c r="K4457">
        <f t="shared" si="27"/>
        <v>-2573</v>
      </c>
      <c r="L4457" t="s">
        <v>13910</v>
      </c>
      <c r="M4457" t="s">
        <v>13911</v>
      </c>
      <c r="N4457" t="s">
        <v>674</v>
      </c>
      <c r="O4457" t="s">
        <v>28</v>
      </c>
      <c r="P4457" t="s">
        <v>29</v>
      </c>
      <c r="Q4457">
        <v>38</v>
      </c>
      <c r="R4457">
        <v>-99.999999000000003</v>
      </c>
    </row>
    <row r="4458" spans="1:18" x14ac:dyDescent="0.2">
      <c r="A4458" t="s">
        <v>663</v>
      </c>
      <c r="B4458" t="s">
        <v>5337</v>
      </c>
      <c r="C4458">
        <v>1</v>
      </c>
      <c r="D4458" s="1">
        <v>44051.937835648147</v>
      </c>
      <c r="E4458" t="s">
        <v>13912</v>
      </c>
      <c r="F4458" t="s">
        <v>666</v>
      </c>
      <c r="G4458" t="s">
        <v>13891</v>
      </c>
      <c r="H4458" t="s">
        <v>667</v>
      </c>
      <c r="I4458" t="s">
        <v>29</v>
      </c>
      <c r="J4458">
        <v>1</v>
      </c>
      <c r="K4458">
        <f t="shared" si="27"/>
        <v>-2573</v>
      </c>
      <c r="L4458" t="s">
        <v>13913</v>
      </c>
      <c r="M4458" t="s">
        <v>13914</v>
      </c>
      <c r="N4458" t="s">
        <v>213</v>
      </c>
      <c r="O4458" t="s">
        <v>28</v>
      </c>
      <c r="P4458" t="s">
        <v>29</v>
      </c>
      <c r="Q4458">
        <v>38</v>
      </c>
      <c r="R4458">
        <v>-99.999999000000003</v>
      </c>
    </row>
    <row r="4459" spans="1:18" x14ac:dyDescent="0.2">
      <c r="A4459" t="s">
        <v>663</v>
      </c>
      <c r="B4459" t="s">
        <v>5337</v>
      </c>
      <c r="C4459">
        <v>1</v>
      </c>
      <c r="D4459" s="1">
        <v>44051.937800925924</v>
      </c>
      <c r="E4459" t="s">
        <v>13915</v>
      </c>
      <c r="F4459" t="s">
        <v>666</v>
      </c>
      <c r="G4459" t="s">
        <v>13891</v>
      </c>
      <c r="H4459" t="s">
        <v>667</v>
      </c>
      <c r="I4459" t="s">
        <v>29</v>
      </c>
      <c r="J4459">
        <v>1</v>
      </c>
      <c r="K4459">
        <f t="shared" si="27"/>
        <v>-2573</v>
      </c>
      <c r="L4459" t="s">
        <v>13916</v>
      </c>
      <c r="M4459" t="s">
        <v>13917</v>
      </c>
      <c r="N4459" t="s">
        <v>447</v>
      </c>
      <c r="O4459" t="s">
        <v>28</v>
      </c>
      <c r="P4459" t="s">
        <v>29</v>
      </c>
      <c r="Q4459">
        <v>38</v>
      </c>
      <c r="R4459">
        <v>-99.999999000000003</v>
      </c>
    </row>
    <row r="4460" spans="1:18" x14ac:dyDescent="0.2">
      <c r="A4460" t="s">
        <v>663</v>
      </c>
      <c r="B4460" t="s">
        <v>5337</v>
      </c>
      <c r="C4460">
        <v>1</v>
      </c>
      <c r="D4460" s="1">
        <v>44051.937754629631</v>
      </c>
      <c r="E4460" t="s">
        <v>13918</v>
      </c>
      <c r="F4460" t="s">
        <v>666</v>
      </c>
      <c r="G4460" t="s">
        <v>13891</v>
      </c>
      <c r="H4460" t="s">
        <v>667</v>
      </c>
      <c r="I4460" t="s">
        <v>29</v>
      </c>
      <c r="J4460">
        <v>1</v>
      </c>
      <c r="K4460">
        <f t="shared" si="27"/>
        <v>-2573</v>
      </c>
      <c r="L4460" t="s">
        <v>13919</v>
      </c>
      <c r="M4460" t="s">
        <v>13920</v>
      </c>
      <c r="N4460" t="s">
        <v>3441</v>
      </c>
      <c r="O4460" t="s">
        <v>28</v>
      </c>
      <c r="P4460" t="s">
        <v>29</v>
      </c>
      <c r="Q4460">
        <v>38</v>
      </c>
      <c r="R4460">
        <v>-99.999999000000003</v>
      </c>
    </row>
    <row r="4461" spans="1:18" x14ac:dyDescent="0.2">
      <c r="A4461" t="s">
        <v>663</v>
      </c>
      <c r="B4461" t="s">
        <v>5337</v>
      </c>
      <c r="C4461">
        <v>1</v>
      </c>
      <c r="D4461" s="1">
        <v>44051.937650462962</v>
      </c>
      <c r="E4461" t="s">
        <v>13921</v>
      </c>
      <c r="F4461" t="s">
        <v>666</v>
      </c>
      <c r="G4461" t="s">
        <v>13891</v>
      </c>
      <c r="H4461" t="s">
        <v>667</v>
      </c>
      <c r="I4461" t="s">
        <v>29</v>
      </c>
      <c r="J4461">
        <v>1</v>
      </c>
      <c r="K4461">
        <f t="shared" si="27"/>
        <v>-2573</v>
      </c>
      <c r="L4461" t="s">
        <v>13922</v>
      </c>
      <c r="M4461" t="s">
        <v>13923</v>
      </c>
      <c r="N4461" t="s">
        <v>3441</v>
      </c>
      <c r="O4461" t="s">
        <v>28</v>
      </c>
      <c r="P4461" t="s">
        <v>29</v>
      </c>
      <c r="Q4461">
        <v>38</v>
      </c>
      <c r="R4461">
        <v>-99.999999000000003</v>
      </c>
    </row>
    <row r="4462" spans="1:18" x14ac:dyDescent="0.2">
      <c r="A4462" t="s">
        <v>663</v>
      </c>
      <c r="B4462" t="s">
        <v>5337</v>
      </c>
      <c r="C4462">
        <v>1</v>
      </c>
      <c r="D4462" s="1">
        <v>44051.937557870369</v>
      </c>
      <c r="E4462" t="s">
        <v>13924</v>
      </c>
      <c r="F4462" t="s">
        <v>666</v>
      </c>
      <c r="G4462" t="s">
        <v>13891</v>
      </c>
      <c r="H4462" t="s">
        <v>667</v>
      </c>
      <c r="I4462" t="s">
        <v>29</v>
      </c>
      <c r="J4462">
        <v>1</v>
      </c>
      <c r="K4462">
        <f t="shared" si="27"/>
        <v>-2573</v>
      </c>
      <c r="L4462" t="s">
        <v>13925</v>
      </c>
      <c r="M4462" t="s">
        <v>13926</v>
      </c>
      <c r="N4462" t="s">
        <v>674</v>
      </c>
      <c r="O4462" t="s">
        <v>28</v>
      </c>
      <c r="P4462" t="s">
        <v>29</v>
      </c>
      <c r="Q4462">
        <v>38</v>
      </c>
      <c r="R4462">
        <v>-99.999999000000003</v>
      </c>
    </row>
    <row r="4463" spans="1:18" x14ac:dyDescent="0.2">
      <c r="A4463" t="s">
        <v>663</v>
      </c>
      <c r="B4463" t="s">
        <v>5337</v>
      </c>
      <c r="C4463">
        <v>1</v>
      </c>
      <c r="D4463" s="1">
        <v>44051.937337962961</v>
      </c>
      <c r="E4463" t="s">
        <v>13927</v>
      </c>
      <c r="F4463" t="s">
        <v>666</v>
      </c>
      <c r="G4463" t="s">
        <v>13891</v>
      </c>
      <c r="H4463" t="s">
        <v>667</v>
      </c>
      <c r="I4463" t="s">
        <v>29</v>
      </c>
      <c r="J4463">
        <v>1</v>
      </c>
      <c r="K4463">
        <f t="shared" si="27"/>
        <v>-2573</v>
      </c>
      <c r="L4463" t="s">
        <v>13928</v>
      </c>
      <c r="M4463" t="s">
        <v>13929</v>
      </c>
      <c r="N4463" t="s">
        <v>674</v>
      </c>
      <c r="O4463" t="s">
        <v>28</v>
      </c>
      <c r="P4463" t="s">
        <v>29</v>
      </c>
      <c r="Q4463">
        <v>38</v>
      </c>
      <c r="R4463">
        <v>-99.999999000000003</v>
      </c>
    </row>
    <row r="4464" spans="1:18" x14ac:dyDescent="0.2">
      <c r="A4464" t="s">
        <v>663</v>
      </c>
      <c r="B4464" t="s">
        <v>5337</v>
      </c>
      <c r="C4464">
        <v>1</v>
      </c>
      <c r="D4464" s="1">
        <v>44051.937002314815</v>
      </c>
      <c r="E4464" t="s">
        <v>13930</v>
      </c>
      <c r="F4464" t="s">
        <v>666</v>
      </c>
      <c r="G4464" t="s">
        <v>13891</v>
      </c>
      <c r="H4464" t="s">
        <v>667</v>
      </c>
      <c r="I4464" t="s">
        <v>29</v>
      </c>
      <c r="J4464">
        <v>1</v>
      </c>
      <c r="K4464">
        <f t="shared" si="27"/>
        <v>-2573</v>
      </c>
      <c r="L4464" t="s">
        <v>13931</v>
      </c>
      <c r="M4464" t="s">
        <v>13932</v>
      </c>
      <c r="N4464" t="s">
        <v>213</v>
      </c>
      <c r="O4464" t="s">
        <v>28</v>
      </c>
      <c r="P4464" t="s">
        <v>29</v>
      </c>
      <c r="Q4464">
        <v>38</v>
      </c>
      <c r="R4464">
        <v>-99.999999000000003</v>
      </c>
    </row>
    <row r="4465" spans="1:18" x14ac:dyDescent="0.2">
      <c r="A4465" t="s">
        <v>663</v>
      </c>
      <c r="B4465" t="s">
        <v>5337</v>
      </c>
      <c r="C4465">
        <v>1</v>
      </c>
      <c r="D4465" s="1">
        <v>44051.936886574076</v>
      </c>
      <c r="E4465" t="s">
        <v>13890</v>
      </c>
      <c r="F4465" t="s">
        <v>666</v>
      </c>
      <c r="G4465" t="s">
        <v>13891</v>
      </c>
      <c r="H4465" t="s">
        <v>667</v>
      </c>
      <c r="I4465" t="s">
        <v>29</v>
      </c>
      <c r="J4465">
        <v>1</v>
      </c>
      <c r="K4465">
        <f t="shared" si="27"/>
        <v>-2573</v>
      </c>
      <c r="L4465" t="s">
        <v>13933</v>
      </c>
      <c r="M4465" t="s">
        <v>13934</v>
      </c>
      <c r="N4465" t="s">
        <v>447</v>
      </c>
      <c r="O4465" t="s">
        <v>28</v>
      </c>
      <c r="P4465" t="s">
        <v>29</v>
      </c>
      <c r="Q4465">
        <v>38</v>
      </c>
      <c r="R4465">
        <v>-99.999999000000003</v>
      </c>
    </row>
    <row r="4466" spans="1:18" x14ac:dyDescent="0.2">
      <c r="A4466" t="s">
        <v>663</v>
      </c>
      <c r="B4466" t="s">
        <v>5337</v>
      </c>
      <c r="C4466">
        <v>1</v>
      </c>
      <c r="D4466" s="1">
        <v>44051.151724537034</v>
      </c>
      <c r="E4466" t="s">
        <v>13935</v>
      </c>
      <c r="F4466" t="s">
        <v>666</v>
      </c>
      <c r="G4466" t="s">
        <v>13891</v>
      </c>
      <c r="H4466" t="s">
        <v>667</v>
      </c>
      <c r="I4466" t="s">
        <v>29</v>
      </c>
      <c r="J4466">
        <v>1</v>
      </c>
      <c r="K4466">
        <f t="shared" si="27"/>
        <v>-2573</v>
      </c>
      <c r="L4466" t="s">
        <v>13936</v>
      </c>
      <c r="M4466" t="s">
        <v>13937</v>
      </c>
      <c r="N4466" t="s">
        <v>213</v>
      </c>
      <c r="O4466" t="s">
        <v>28</v>
      </c>
      <c r="P4466" t="s">
        <v>29</v>
      </c>
      <c r="Q4466">
        <v>38</v>
      </c>
      <c r="R4466">
        <v>-99.999999000000003</v>
      </c>
    </row>
    <row r="4467" spans="1:18" x14ac:dyDescent="0.2">
      <c r="A4467" t="s">
        <v>663</v>
      </c>
      <c r="B4467" t="s">
        <v>5337</v>
      </c>
      <c r="C4467">
        <v>1</v>
      </c>
      <c r="D4467" s="1">
        <v>44049.925069444442</v>
      </c>
      <c r="E4467" t="s">
        <v>13938</v>
      </c>
      <c r="F4467" t="s">
        <v>666</v>
      </c>
      <c r="G4467" t="s">
        <v>13891</v>
      </c>
      <c r="H4467" t="s">
        <v>667</v>
      </c>
      <c r="I4467" t="s">
        <v>29</v>
      </c>
      <c r="J4467">
        <v>1</v>
      </c>
      <c r="K4467">
        <f t="shared" ref="K4467:K4480" si="28">1-877-654-167</f>
        <v>-1697</v>
      </c>
      <c r="L4467" t="s">
        <v>13939</v>
      </c>
      <c r="M4467" t="s">
        <v>13940</v>
      </c>
      <c r="N4467" t="s">
        <v>213</v>
      </c>
      <c r="O4467" t="s">
        <v>28</v>
      </c>
      <c r="P4467" t="s">
        <v>29</v>
      </c>
      <c r="Q4467">
        <v>38</v>
      </c>
      <c r="R4467">
        <v>-99.999999000000003</v>
      </c>
    </row>
    <row r="4468" spans="1:18" x14ac:dyDescent="0.2">
      <c r="A4468" t="s">
        <v>663</v>
      </c>
      <c r="B4468" t="s">
        <v>5337</v>
      </c>
      <c r="C4468">
        <v>1</v>
      </c>
      <c r="D4468" s="1">
        <v>44049.924733796295</v>
      </c>
      <c r="E4468" t="s">
        <v>13941</v>
      </c>
      <c r="F4468" t="s">
        <v>666</v>
      </c>
      <c r="G4468" t="s">
        <v>13891</v>
      </c>
      <c r="H4468" t="s">
        <v>667</v>
      </c>
      <c r="I4468" t="s">
        <v>29</v>
      </c>
      <c r="J4468">
        <v>1</v>
      </c>
      <c r="K4468">
        <f t="shared" si="28"/>
        <v>-1697</v>
      </c>
      <c r="L4468" t="s">
        <v>13942</v>
      </c>
      <c r="M4468" t="s">
        <v>13943</v>
      </c>
      <c r="N4468" t="s">
        <v>447</v>
      </c>
      <c r="O4468" t="s">
        <v>28</v>
      </c>
      <c r="P4468" t="s">
        <v>29</v>
      </c>
      <c r="Q4468">
        <v>38</v>
      </c>
      <c r="R4468">
        <v>-99.999999000000003</v>
      </c>
    </row>
    <row r="4469" spans="1:18" x14ac:dyDescent="0.2">
      <c r="A4469" t="s">
        <v>663</v>
      </c>
      <c r="B4469" t="s">
        <v>5337</v>
      </c>
      <c r="C4469">
        <v>1</v>
      </c>
      <c r="D4469" s="1">
        <v>44049.924583333333</v>
      </c>
      <c r="E4469" t="s">
        <v>13944</v>
      </c>
      <c r="F4469" t="s">
        <v>666</v>
      </c>
      <c r="G4469" t="s">
        <v>13891</v>
      </c>
      <c r="H4469" t="s">
        <v>667</v>
      </c>
      <c r="I4469" t="s">
        <v>29</v>
      </c>
      <c r="J4469">
        <v>1</v>
      </c>
      <c r="K4469">
        <f t="shared" si="28"/>
        <v>-1697</v>
      </c>
      <c r="L4469" t="s">
        <v>13945</v>
      </c>
      <c r="M4469" t="s">
        <v>13946</v>
      </c>
      <c r="N4469" t="s">
        <v>3441</v>
      </c>
      <c r="O4469" t="s">
        <v>28</v>
      </c>
      <c r="P4469" t="s">
        <v>29</v>
      </c>
      <c r="Q4469">
        <v>38</v>
      </c>
      <c r="R4469">
        <v>-99.999999000000003</v>
      </c>
    </row>
    <row r="4470" spans="1:18" x14ac:dyDescent="0.2">
      <c r="A4470" t="s">
        <v>663</v>
      </c>
      <c r="B4470" t="s">
        <v>5337</v>
      </c>
      <c r="C4470">
        <v>1</v>
      </c>
      <c r="D4470" s="1">
        <v>44049.92396990741</v>
      </c>
      <c r="E4470" t="s">
        <v>13947</v>
      </c>
      <c r="F4470" t="s">
        <v>666</v>
      </c>
      <c r="G4470" t="s">
        <v>13891</v>
      </c>
      <c r="H4470" t="s">
        <v>667</v>
      </c>
      <c r="I4470" t="s">
        <v>29</v>
      </c>
      <c r="J4470">
        <v>1</v>
      </c>
      <c r="K4470">
        <f t="shared" si="28"/>
        <v>-1697</v>
      </c>
      <c r="L4470" t="s">
        <v>13948</v>
      </c>
      <c r="M4470" t="s">
        <v>13949</v>
      </c>
      <c r="N4470" t="s">
        <v>3441</v>
      </c>
      <c r="O4470" t="s">
        <v>28</v>
      </c>
      <c r="P4470" t="s">
        <v>29</v>
      </c>
      <c r="Q4470">
        <v>38</v>
      </c>
      <c r="R4470">
        <v>-99.999999000000003</v>
      </c>
    </row>
    <row r="4471" spans="1:18" x14ac:dyDescent="0.2">
      <c r="A4471" t="s">
        <v>663</v>
      </c>
      <c r="B4471" t="s">
        <v>5337</v>
      </c>
      <c r="C4471">
        <v>1</v>
      </c>
      <c r="D4471" s="1">
        <v>44049.923935185187</v>
      </c>
      <c r="E4471" t="s">
        <v>13950</v>
      </c>
      <c r="F4471" t="s">
        <v>666</v>
      </c>
      <c r="G4471" t="s">
        <v>13891</v>
      </c>
      <c r="H4471" t="s">
        <v>667</v>
      </c>
      <c r="I4471" t="s">
        <v>29</v>
      </c>
      <c r="J4471">
        <v>1</v>
      </c>
      <c r="K4471">
        <f t="shared" si="28"/>
        <v>-1697</v>
      </c>
      <c r="L4471" t="s">
        <v>13951</v>
      </c>
      <c r="M4471" t="s">
        <v>13952</v>
      </c>
      <c r="N4471" t="s">
        <v>674</v>
      </c>
      <c r="O4471" t="s">
        <v>28</v>
      </c>
      <c r="P4471" t="s">
        <v>29</v>
      </c>
      <c r="Q4471">
        <v>38</v>
      </c>
      <c r="R4471">
        <v>-99.999999000000003</v>
      </c>
    </row>
    <row r="4472" spans="1:18" x14ac:dyDescent="0.2">
      <c r="A4472" t="s">
        <v>663</v>
      </c>
      <c r="B4472" t="s">
        <v>5337</v>
      </c>
      <c r="C4472">
        <v>1</v>
      </c>
      <c r="D4472" s="1">
        <v>44049.923831018517</v>
      </c>
      <c r="E4472" t="s">
        <v>13953</v>
      </c>
      <c r="F4472" t="s">
        <v>666</v>
      </c>
      <c r="G4472" t="s">
        <v>13891</v>
      </c>
      <c r="H4472" t="s">
        <v>667</v>
      </c>
      <c r="I4472" t="s">
        <v>29</v>
      </c>
      <c r="J4472">
        <v>1</v>
      </c>
      <c r="K4472">
        <f t="shared" si="28"/>
        <v>-1697</v>
      </c>
      <c r="L4472" t="s">
        <v>13954</v>
      </c>
      <c r="M4472" t="s">
        <v>13955</v>
      </c>
      <c r="N4472" t="s">
        <v>3441</v>
      </c>
      <c r="O4472" t="s">
        <v>28</v>
      </c>
      <c r="P4472" t="s">
        <v>29</v>
      </c>
      <c r="Q4472">
        <v>38</v>
      </c>
      <c r="R4472">
        <v>-99.999999000000003</v>
      </c>
    </row>
    <row r="4473" spans="1:18" x14ac:dyDescent="0.2">
      <c r="A4473" t="s">
        <v>663</v>
      </c>
      <c r="B4473" t="s">
        <v>5337</v>
      </c>
      <c r="C4473">
        <v>1</v>
      </c>
      <c r="D4473" s="1">
        <v>44049.923750000002</v>
      </c>
      <c r="E4473" t="s">
        <v>13956</v>
      </c>
      <c r="F4473" t="s">
        <v>666</v>
      </c>
      <c r="G4473" t="s">
        <v>13891</v>
      </c>
      <c r="H4473" t="s">
        <v>667</v>
      </c>
      <c r="I4473" t="s">
        <v>29</v>
      </c>
      <c r="J4473">
        <v>1</v>
      </c>
      <c r="K4473">
        <f t="shared" si="28"/>
        <v>-1697</v>
      </c>
      <c r="L4473" t="s">
        <v>13957</v>
      </c>
      <c r="M4473" t="s">
        <v>13958</v>
      </c>
      <c r="N4473" t="s">
        <v>447</v>
      </c>
      <c r="O4473" t="s">
        <v>28</v>
      </c>
      <c r="P4473" t="s">
        <v>29</v>
      </c>
      <c r="Q4473">
        <v>38</v>
      </c>
      <c r="R4473">
        <v>-99.999999000000003</v>
      </c>
    </row>
    <row r="4474" spans="1:18" x14ac:dyDescent="0.2">
      <c r="A4474" t="s">
        <v>663</v>
      </c>
      <c r="B4474" t="s">
        <v>5337</v>
      </c>
      <c r="C4474">
        <v>1</v>
      </c>
      <c r="D4474" s="1">
        <v>44049.923634259256</v>
      </c>
      <c r="E4474" t="s">
        <v>13959</v>
      </c>
      <c r="F4474" t="s">
        <v>666</v>
      </c>
      <c r="G4474" t="s">
        <v>13891</v>
      </c>
      <c r="H4474" t="s">
        <v>667</v>
      </c>
      <c r="I4474" t="s">
        <v>29</v>
      </c>
      <c r="J4474">
        <v>1</v>
      </c>
      <c r="K4474">
        <f t="shared" si="28"/>
        <v>-1697</v>
      </c>
      <c r="L4474" t="s">
        <v>13960</v>
      </c>
      <c r="M4474" t="s">
        <v>13961</v>
      </c>
      <c r="N4474" t="s">
        <v>447</v>
      </c>
      <c r="O4474" t="s">
        <v>28</v>
      </c>
      <c r="P4474" t="s">
        <v>29</v>
      </c>
      <c r="Q4474">
        <v>38</v>
      </c>
      <c r="R4474">
        <v>-99.999999000000003</v>
      </c>
    </row>
    <row r="4475" spans="1:18" x14ac:dyDescent="0.2">
      <c r="A4475" t="s">
        <v>663</v>
      </c>
      <c r="B4475" t="s">
        <v>5337</v>
      </c>
      <c r="C4475">
        <v>1</v>
      </c>
      <c r="D4475" s="1">
        <v>44049.923518518517</v>
      </c>
      <c r="E4475" t="s">
        <v>13962</v>
      </c>
      <c r="F4475" t="s">
        <v>666</v>
      </c>
      <c r="G4475" t="s">
        <v>13891</v>
      </c>
      <c r="H4475" t="s">
        <v>667</v>
      </c>
      <c r="I4475" t="s">
        <v>29</v>
      </c>
      <c r="J4475">
        <v>1</v>
      </c>
      <c r="K4475">
        <f t="shared" si="28"/>
        <v>-1697</v>
      </c>
      <c r="L4475" t="s">
        <v>13963</v>
      </c>
      <c r="M4475" t="s">
        <v>13964</v>
      </c>
      <c r="N4475" t="s">
        <v>213</v>
      </c>
      <c r="O4475" t="s">
        <v>28</v>
      </c>
      <c r="P4475" t="s">
        <v>29</v>
      </c>
      <c r="Q4475">
        <v>38</v>
      </c>
      <c r="R4475">
        <v>-99.999999000000003</v>
      </c>
    </row>
    <row r="4476" spans="1:18" x14ac:dyDescent="0.2">
      <c r="A4476" t="s">
        <v>663</v>
      </c>
      <c r="B4476" t="s">
        <v>5337</v>
      </c>
      <c r="C4476">
        <v>1</v>
      </c>
      <c r="D4476" s="1">
        <v>44049.923391203702</v>
      </c>
      <c r="E4476" t="s">
        <v>13965</v>
      </c>
      <c r="F4476" t="s">
        <v>666</v>
      </c>
      <c r="G4476" t="s">
        <v>13891</v>
      </c>
      <c r="H4476" t="s">
        <v>667</v>
      </c>
      <c r="I4476" t="s">
        <v>29</v>
      </c>
      <c r="J4476">
        <v>1</v>
      </c>
      <c r="K4476">
        <f t="shared" si="28"/>
        <v>-1697</v>
      </c>
      <c r="L4476" t="s">
        <v>13966</v>
      </c>
      <c r="M4476" t="s">
        <v>13967</v>
      </c>
      <c r="N4476" t="s">
        <v>674</v>
      </c>
      <c r="O4476" t="s">
        <v>28</v>
      </c>
      <c r="P4476" t="s">
        <v>29</v>
      </c>
      <c r="Q4476">
        <v>38</v>
      </c>
      <c r="R4476">
        <v>-99.999999000000003</v>
      </c>
    </row>
    <row r="4477" spans="1:18" x14ac:dyDescent="0.2">
      <c r="A4477" t="s">
        <v>663</v>
      </c>
      <c r="B4477" t="s">
        <v>5337</v>
      </c>
      <c r="C4477">
        <v>1</v>
      </c>
      <c r="D4477" s="1">
        <v>44049.923263888886</v>
      </c>
      <c r="E4477" t="s">
        <v>13968</v>
      </c>
      <c r="F4477" t="s">
        <v>666</v>
      </c>
      <c r="G4477" t="s">
        <v>13891</v>
      </c>
      <c r="H4477" t="s">
        <v>667</v>
      </c>
      <c r="I4477" t="s">
        <v>29</v>
      </c>
      <c r="J4477">
        <v>1</v>
      </c>
      <c r="K4477">
        <f t="shared" si="28"/>
        <v>-1697</v>
      </c>
      <c r="L4477" t="s">
        <v>13969</v>
      </c>
      <c r="M4477" t="s">
        <v>13970</v>
      </c>
      <c r="N4477" t="s">
        <v>3441</v>
      </c>
      <c r="O4477" t="s">
        <v>28</v>
      </c>
      <c r="P4477" t="s">
        <v>29</v>
      </c>
      <c r="Q4477">
        <v>38</v>
      </c>
      <c r="R4477">
        <v>-99.999999000000003</v>
      </c>
    </row>
    <row r="4478" spans="1:18" x14ac:dyDescent="0.2">
      <c r="A4478" t="s">
        <v>663</v>
      </c>
      <c r="B4478" t="s">
        <v>5337</v>
      </c>
      <c r="C4478">
        <v>1</v>
      </c>
      <c r="D4478" s="1">
        <v>44049.922962962963</v>
      </c>
      <c r="E4478" t="s">
        <v>13971</v>
      </c>
      <c r="F4478" t="s">
        <v>666</v>
      </c>
      <c r="G4478" t="s">
        <v>13891</v>
      </c>
      <c r="H4478" t="s">
        <v>667</v>
      </c>
      <c r="I4478" t="s">
        <v>29</v>
      </c>
      <c r="J4478">
        <v>1</v>
      </c>
      <c r="K4478">
        <f t="shared" si="28"/>
        <v>-1697</v>
      </c>
      <c r="L4478" t="s">
        <v>13972</v>
      </c>
      <c r="M4478" t="s">
        <v>13973</v>
      </c>
      <c r="N4478" t="s">
        <v>213</v>
      </c>
      <c r="O4478" t="s">
        <v>28</v>
      </c>
      <c r="P4478" t="s">
        <v>29</v>
      </c>
      <c r="Q4478">
        <v>38</v>
      </c>
      <c r="R4478">
        <v>-99.999999000000003</v>
      </c>
    </row>
    <row r="4479" spans="1:18" x14ac:dyDescent="0.2">
      <c r="A4479" t="s">
        <v>663</v>
      </c>
      <c r="B4479" t="s">
        <v>5337</v>
      </c>
      <c r="C4479">
        <v>1</v>
      </c>
      <c r="D4479" s="1">
        <v>44049.922905092593</v>
      </c>
      <c r="E4479" t="s">
        <v>13974</v>
      </c>
      <c r="F4479" t="s">
        <v>666</v>
      </c>
      <c r="G4479" t="s">
        <v>13891</v>
      </c>
      <c r="H4479" t="s">
        <v>667</v>
      </c>
      <c r="I4479" t="s">
        <v>29</v>
      </c>
      <c r="J4479">
        <v>1</v>
      </c>
      <c r="K4479">
        <f t="shared" si="28"/>
        <v>-1697</v>
      </c>
      <c r="L4479" t="s">
        <v>13975</v>
      </c>
      <c r="M4479" t="s">
        <v>13976</v>
      </c>
      <c r="N4479" t="s">
        <v>674</v>
      </c>
      <c r="O4479" t="s">
        <v>28</v>
      </c>
      <c r="P4479" t="s">
        <v>29</v>
      </c>
      <c r="Q4479">
        <v>38</v>
      </c>
      <c r="R4479">
        <v>-99.999999000000003</v>
      </c>
    </row>
    <row r="4480" spans="1:18" x14ac:dyDescent="0.2">
      <c r="A4480" t="s">
        <v>663</v>
      </c>
      <c r="B4480" t="s">
        <v>5337</v>
      </c>
      <c r="C4480">
        <v>1</v>
      </c>
      <c r="D4480" s="1">
        <v>44049.848599537036</v>
      </c>
      <c r="E4480" t="s">
        <v>13977</v>
      </c>
      <c r="F4480" t="s">
        <v>666</v>
      </c>
      <c r="G4480" t="s">
        <v>13891</v>
      </c>
      <c r="H4480" t="s">
        <v>667</v>
      </c>
      <c r="I4480" t="s">
        <v>29</v>
      </c>
      <c r="J4480">
        <v>1</v>
      </c>
      <c r="K4480">
        <f t="shared" si="28"/>
        <v>-1697</v>
      </c>
      <c r="L4480" t="s">
        <v>13978</v>
      </c>
      <c r="M4480" t="s">
        <v>13979</v>
      </c>
      <c r="N4480" t="s">
        <v>447</v>
      </c>
      <c r="O4480" t="s">
        <v>28</v>
      </c>
      <c r="P4480" t="s">
        <v>29</v>
      </c>
      <c r="Q4480">
        <v>38</v>
      </c>
      <c r="R4480">
        <v>-99.999999000000003</v>
      </c>
    </row>
    <row r="4481" spans="1:18" x14ac:dyDescent="0.2">
      <c r="A4481" t="s">
        <v>663</v>
      </c>
      <c r="B4481" t="s">
        <v>2493</v>
      </c>
      <c r="C4481">
        <v>1</v>
      </c>
      <c r="D4481" s="1">
        <v>44049.871666666666</v>
      </c>
      <c r="E4481" t="s">
        <v>13980</v>
      </c>
      <c r="F4481" t="s">
        <v>666</v>
      </c>
      <c r="G4481" t="s">
        <v>13981</v>
      </c>
      <c r="H4481" t="s">
        <v>667</v>
      </c>
      <c r="I4481" t="s">
        <v>29</v>
      </c>
      <c r="J4481">
        <v>1</v>
      </c>
      <c r="K4481">
        <f>1-866-802-7204</f>
        <v>-8871</v>
      </c>
      <c r="L4481" t="s">
        <v>13982</v>
      </c>
      <c r="M4481" t="s">
        <v>13983</v>
      </c>
      <c r="N4481" t="s">
        <v>13984</v>
      </c>
      <c r="O4481" t="s">
        <v>134</v>
      </c>
      <c r="P4481" t="s">
        <v>29</v>
      </c>
      <c r="Q4481">
        <v>41</v>
      </c>
      <c r="R4481">
        <v>-74.024699999999996</v>
      </c>
    </row>
    <row r="4482" spans="1:18" x14ac:dyDescent="0.2">
      <c r="A4482" t="s">
        <v>663</v>
      </c>
      <c r="B4482" t="s">
        <v>2493</v>
      </c>
      <c r="C4482">
        <v>1</v>
      </c>
      <c r="D4482" s="1">
        <v>44049.871481481481</v>
      </c>
      <c r="E4482" t="s">
        <v>13985</v>
      </c>
      <c r="F4482" t="s">
        <v>666</v>
      </c>
      <c r="G4482" t="s">
        <v>13981</v>
      </c>
      <c r="H4482" t="s">
        <v>667</v>
      </c>
      <c r="I4482" t="s">
        <v>29</v>
      </c>
      <c r="J4482">
        <v>1</v>
      </c>
      <c r="K4482">
        <f>1-866-802-7204</f>
        <v>-8871</v>
      </c>
      <c r="L4482" t="s">
        <v>13986</v>
      </c>
      <c r="M4482" t="s">
        <v>13987</v>
      </c>
      <c r="N4482" t="s">
        <v>4606</v>
      </c>
      <c r="O4482" t="s">
        <v>134</v>
      </c>
      <c r="P4482" t="s">
        <v>29</v>
      </c>
      <c r="Q4482">
        <v>41</v>
      </c>
      <c r="R4482">
        <v>-74.024699999999996</v>
      </c>
    </row>
    <row r="4483" spans="1:18" x14ac:dyDescent="0.2">
      <c r="A4483" t="s">
        <v>663</v>
      </c>
      <c r="B4483" t="s">
        <v>2493</v>
      </c>
      <c r="C4483">
        <v>1</v>
      </c>
      <c r="D4483" s="1">
        <v>44049.862592592595</v>
      </c>
      <c r="E4483" t="s">
        <v>13981</v>
      </c>
      <c r="F4483" t="s">
        <v>666</v>
      </c>
      <c r="G4483" t="s">
        <v>13981</v>
      </c>
      <c r="H4483" t="s">
        <v>667</v>
      </c>
      <c r="I4483" t="s">
        <v>29</v>
      </c>
      <c r="J4483">
        <v>1</v>
      </c>
      <c r="K4483">
        <f>1-866-802-7204</f>
        <v>-8871</v>
      </c>
      <c r="L4483" t="s">
        <v>13988</v>
      </c>
      <c r="M4483" t="s">
        <v>13989</v>
      </c>
      <c r="N4483">
        <v>239</v>
      </c>
      <c r="O4483" t="s">
        <v>134</v>
      </c>
      <c r="P4483" t="s">
        <v>29</v>
      </c>
      <c r="Q4483">
        <v>41</v>
      </c>
      <c r="R4483">
        <v>-74.024699999999996</v>
      </c>
    </row>
    <row r="4484" spans="1:18" x14ac:dyDescent="0.2">
      <c r="A4484" t="s">
        <v>439</v>
      </c>
      <c r="B4484" t="s">
        <v>3094</v>
      </c>
      <c r="C4484">
        <v>1</v>
      </c>
      <c r="D4484" s="1">
        <v>44049.884606481479</v>
      </c>
      <c r="E4484" t="s">
        <v>13990</v>
      </c>
      <c r="F4484" t="s">
        <v>442</v>
      </c>
      <c r="G4484" t="s">
        <v>13991</v>
      </c>
      <c r="H4484" t="s">
        <v>444</v>
      </c>
      <c r="I4484" t="s">
        <v>29</v>
      </c>
      <c r="J4484">
        <v>1</v>
      </c>
      <c r="K4484">
        <f>1-877-654-167</f>
        <v>-1697</v>
      </c>
      <c r="L4484" t="s">
        <v>13992</v>
      </c>
      <c r="M4484" t="s">
        <v>13993</v>
      </c>
      <c r="N4484" t="s">
        <v>36</v>
      </c>
      <c r="O4484" t="s">
        <v>28</v>
      </c>
      <c r="P4484" t="s">
        <v>2268</v>
      </c>
      <c r="Q4484">
        <v>46</v>
      </c>
      <c r="R4484">
        <v>-73.567300000000003</v>
      </c>
    </row>
    <row r="4485" spans="1:18" x14ac:dyDescent="0.2">
      <c r="A4485" t="s">
        <v>675</v>
      </c>
      <c r="B4485" t="s">
        <v>1412</v>
      </c>
      <c r="C4485">
        <v>81</v>
      </c>
      <c r="D4485" s="1">
        <v>44238.315196759257</v>
      </c>
      <c r="E4485" t="s">
        <v>13994</v>
      </c>
      <c r="F4485" t="s">
        <v>678</v>
      </c>
      <c r="G4485" t="s">
        <v>13995</v>
      </c>
      <c r="H4485" t="s">
        <v>680</v>
      </c>
      <c r="I4485" t="s">
        <v>53</v>
      </c>
      <c r="J4485">
        <v>81</v>
      </c>
      <c r="K4485">
        <f>81-50-5534-533</f>
        <v>-6036</v>
      </c>
      <c r="L4485" t="s">
        <v>13996</v>
      </c>
      <c r="M4485" t="s">
        <v>13997</v>
      </c>
      <c r="N4485" t="s">
        <v>2475</v>
      </c>
      <c r="O4485" t="s">
        <v>28</v>
      </c>
      <c r="P4485" t="s">
        <v>29</v>
      </c>
      <c r="Q4485">
        <v>41</v>
      </c>
      <c r="R4485">
        <v>-74.172399999999996</v>
      </c>
    </row>
    <row r="4486" spans="1:18" x14ac:dyDescent="0.2">
      <c r="A4486" t="s">
        <v>675</v>
      </c>
      <c r="B4486" t="s">
        <v>6390</v>
      </c>
      <c r="C4486">
        <v>1</v>
      </c>
      <c r="D4486" s="1">
        <v>44070.90388888889</v>
      </c>
      <c r="E4486" t="s">
        <v>13998</v>
      </c>
      <c r="F4486" t="s">
        <v>678</v>
      </c>
      <c r="G4486" t="s">
        <v>13995</v>
      </c>
      <c r="H4486" t="s">
        <v>680</v>
      </c>
      <c r="I4486" t="s">
        <v>29</v>
      </c>
      <c r="J4486">
        <v>1</v>
      </c>
      <c r="K4486">
        <f>1-800-906-728</f>
        <v>-2433</v>
      </c>
      <c r="L4486" t="s">
        <v>13999</v>
      </c>
      <c r="M4486" t="s">
        <v>14000</v>
      </c>
      <c r="N4486" t="s">
        <v>674</v>
      </c>
      <c r="O4486" t="s">
        <v>28</v>
      </c>
      <c r="P4486" t="s">
        <v>29</v>
      </c>
      <c r="Q4486">
        <v>37</v>
      </c>
      <c r="R4486">
        <v>-99.999999000000003</v>
      </c>
    </row>
    <row r="4487" spans="1:18" x14ac:dyDescent="0.2">
      <c r="A4487" t="s">
        <v>675</v>
      </c>
      <c r="B4487" t="s">
        <v>6390</v>
      </c>
      <c r="C4487">
        <v>61</v>
      </c>
      <c r="D4487" s="1">
        <v>44068.343773148146</v>
      </c>
      <c r="E4487" t="s">
        <v>14001</v>
      </c>
      <c r="F4487" t="s">
        <v>678</v>
      </c>
      <c r="G4487" t="s">
        <v>13995</v>
      </c>
      <c r="H4487" t="s">
        <v>680</v>
      </c>
      <c r="I4487" t="s">
        <v>782</v>
      </c>
      <c r="J4487">
        <v>61</v>
      </c>
      <c r="K4487">
        <f>61-1800-557-863</f>
        <v>-3159</v>
      </c>
      <c r="L4487" t="s">
        <v>14002</v>
      </c>
      <c r="M4487" t="s">
        <v>14003</v>
      </c>
      <c r="N4487" t="s">
        <v>213</v>
      </c>
      <c r="O4487" t="s">
        <v>28</v>
      </c>
      <c r="P4487" t="s">
        <v>29</v>
      </c>
      <c r="Q4487">
        <v>37</v>
      </c>
      <c r="R4487">
        <v>-99.999999000000003</v>
      </c>
    </row>
    <row r="4488" spans="1:18" x14ac:dyDescent="0.2">
      <c r="A4488" t="s">
        <v>675</v>
      </c>
      <c r="B4488" t="s">
        <v>6390</v>
      </c>
      <c r="C4488">
        <v>61</v>
      </c>
      <c r="D4488" s="1">
        <v>44064.493321759262</v>
      </c>
      <c r="E4488" t="s">
        <v>14004</v>
      </c>
      <c r="F4488" t="s">
        <v>678</v>
      </c>
      <c r="G4488" t="s">
        <v>13995</v>
      </c>
      <c r="H4488" t="s">
        <v>680</v>
      </c>
      <c r="I4488" t="s">
        <v>782</v>
      </c>
      <c r="J4488">
        <v>61</v>
      </c>
      <c r="K4488">
        <f>61-1800-557-863</f>
        <v>-3159</v>
      </c>
      <c r="L4488" t="s">
        <v>14005</v>
      </c>
      <c r="M4488" t="s">
        <v>14006</v>
      </c>
      <c r="N4488" t="s">
        <v>3454</v>
      </c>
      <c r="O4488" t="s">
        <v>28</v>
      </c>
      <c r="P4488" t="s">
        <v>29</v>
      </c>
      <c r="Q4488">
        <v>37</v>
      </c>
      <c r="R4488">
        <v>-99.999999000000003</v>
      </c>
    </row>
    <row r="4489" spans="1:18" x14ac:dyDescent="0.2">
      <c r="A4489" t="s">
        <v>675</v>
      </c>
      <c r="B4489" t="s">
        <v>6390</v>
      </c>
      <c r="C4489">
        <v>1</v>
      </c>
      <c r="D4489" s="1">
        <v>44063.725428240738</v>
      </c>
      <c r="E4489" t="s">
        <v>14007</v>
      </c>
      <c r="F4489" t="s">
        <v>678</v>
      </c>
      <c r="G4489" t="s">
        <v>13995</v>
      </c>
      <c r="H4489" t="s">
        <v>680</v>
      </c>
      <c r="I4489" t="s">
        <v>29</v>
      </c>
      <c r="J4489">
        <v>1</v>
      </c>
      <c r="K4489">
        <f>1-855-954-829</f>
        <v>-2637</v>
      </c>
      <c r="L4489" t="s">
        <v>14008</v>
      </c>
      <c r="M4489" t="s">
        <v>14009</v>
      </c>
      <c r="N4489" t="s">
        <v>683</v>
      </c>
      <c r="O4489" t="s">
        <v>28</v>
      </c>
      <c r="P4489" t="s">
        <v>29</v>
      </c>
      <c r="Q4489">
        <v>37</v>
      </c>
      <c r="R4489">
        <v>-99.999999000000003</v>
      </c>
    </row>
    <row r="4490" spans="1:18" x14ac:dyDescent="0.2">
      <c r="A4490" t="s">
        <v>675</v>
      </c>
      <c r="B4490" t="s">
        <v>6390</v>
      </c>
      <c r="C4490">
        <v>61</v>
      </c>
      <c r="D4490" s="1">
        <v>44063.594733796293</v>
      </c>
      <c r="E4490" t="s">
        <v>14010</v>
      </c>
      <c r="F4490" t="s">
        <v>678</v>
      </c>
      <c r="G4490" t="s">
        <v>13995</v>
      </c>
      <c r="H4490" t="s">
        <v>680</v>
      </c>
      <c r="I4490" t="s">
        <v>782</v>
      </c>
      <c r="J4490">
        <v>61</v>
      </c>
      <c r="K4490">
        <f>61-1800-557-863</f>
        <v>-3159</v>
      </c>
      <c r="L4490" t="s">
        <v>14011</v>
      </c>
      <c r="M4490" t="s">
        <v>14012</v>
      </c>
      <c r="N4490" t="s">
        <v>213</v>
      </c>
      <c r="O4490" t="s">
        <v>28</v>
      </c>
      <c r="P4490" t="s">
        <v>29</v>
      </c>
      <c r="Q4490">
        <v>37</v>
      </c>
      <c r="R4490">
        <v>-99.999999000000003</v>
      </c>
    </row>
    <row r="4491" spans="1:18" x14ac:dyDescent="0.2">
      <c r="A4491" t="s">
        <v>675</v>
      </c>
      <c r="B4491" t="s">
        <v>6390</v>
      </c>
      <c r="C4491">
        <v>61</v>
      </c>
      <c r="D4491" s="1">
        <v>44063.590937499997</v>
      </c>
      <c r="E4491" t="s">
        <v>14013</v>
      </c>
      <c r="F4491" t="s">
        <v>678</v>
      </c>
      <c r="G4491" t="s">
        <v>13995</v>
      </c>
      <c r="H4491" t="s">
        <v>680</v>
      </c>
      <c r="I4491" t="s">
        <v>782</v>
      </c>
      <c r="J4491">
        <v>61</v>
      </c>
      <c r="K4491">
        <f>61-1800-557-863</f>
        <v>-3159</v>
      </c>
      <c r="L4491" t="s">
        <v>14014</v>
      </c>
      <c r="M4491" t="s">
        <v>14015</v>
      </c>
      <c r="N4491" t="s">
        <v>3454</v>
      </c>
      <c r="O4491" t="s">
        <v>28</v>
      </c>
      <c r="P4491" t="s">
        <v>29</v>
      </c>
      <c r="Q4491">
        <v>37</v>
      </c>
      <c r="R4491">
        <v>-99.999999000000003</v>
      </c>
    </row>
    <row r="4492" spans="1:18" x14ac:dyDescent="0.2">
      <c r="A4492" t="s">
        <v>675</v>
      </c>
      <c r="B4492" t="s">
        <v>6390</v>
      </c>
      <c r="C4492">
        <v>1</v>
      </c>
      <c r="D4492" s="1">
        <v>44061.860347222224</v>
      </c>
      <c r="E4492" t="s">
        <v>14016</v>
      </c>
      <c r="F4492" t="s">
        <v>678</v>
      </c>
      <c r="G4492" t="s">
        <v>13995</v>
      </c>
      <c r="H4492" t="s">
        <v>680</v>
      </c>
      <c r="I4492" t="s">
        <v>29</v>
      </c>
      <c r="J4492">
        <v>1</v>
      </c>
      <c r="K4492">
        <f>1-866-276-9052</f>
        <v>-10193</v>
      </c>
      <c r="L4492" t="s">
        <v>14017</v>
      </c>
      <c r="M4492" t="s">
        <v>14018</v>
      </c>
      <c r="N4492" t="s">
        <v>3441</v>
      </c>
      <c r="O4492" t="s">
        <v>28</v>
      </c>
      <c r="P4492" t="s">
        <v>29</v>
      </c>
      <c r="Q4492">
        <v>37</v>
      </c>
      <c r="R4492">
        <v>-99.999999000000003</v>
      </c>
    </row>
    <row r="4493" spans="1:18" x14ac:dyDescent="0.2">
      <c r="A4493" t="s">
        <v>675</v>
      </c>
      <c r="B4493" t="s">
        <v>6390</v>
      </c>
      <c r="C4493">
        <v>61</v>
      </c>
      <c r="D4493" s="1">
        <v>44060.711539351854</v>
      </c>
      <c r="E4493" t="s">
        <v>14019</v>
      </c>
      <c r="F4493" t="s">
        <v>678</v>
      </c>
      <c r="G4493" t="s">
        <v>13995</v>
      </c>
      <c r="H4493" t="s">
        <v>680</v>
      </c>
      <c r="I4493" t="s">
        <v>782</v>
      </c>
      <c r="J4493">
        <v>61</v>
      </c>
      <c r="K4493">
        <f t="shared" ref="K4493:K4500" si="29">61-1800-557-863</f>
        <v>-3159</v>
      </c>
      <c r="L4493" t="s">
        <v>14020</v>
      </c>
      <c r="M4493" t="s">
        <v>14021</v>
      </c>
      <c r="N4493" t="s">
        <v>447</v>
      </c>
      <c r="O4493" t="s">
        <v>28</v>
      </c>
      <c r="P4493" t="s">
        <v>29</v>
      </c>
      <c r="Q4493">
        <v>37</v>
      </c>
      <c r="R4493">
        <v>-99.999999000000003</v>
      </c>
    </row>
    <row r="4494" spans="1:18" x14ac:dyDescent="0.2">
      <c r="A4494" t="s">
        <v>675</v>
      </c>
      <c r="B4494" t="s">
        <v>6390</v>
      </c>
      <c r="C4494">
        <v>61</v>
      </c>
      <c r="D4494" s="1">
        <v>44057.632928240739</v>
      </c>
      <c r="E4494" t="s">
        <v>14022</v>
      </c>
      <c r="F4494" t="s">
        <v>678</v>
      </c>
      <c r="G4494" t="s">
        <v>13995</v>
      </c>
      <c r="H4494" t="s">
        <v>680</v>
      </c>
      <c r="I4494" t="s">
        <v>782</v>
      </c>
      <c r="J4494">
        <v>61</v>
      </c>
      <c r="K4494">
        <f t="shared" si="29"/>
        <v>-3159</v>
      </c>
      <c r="L4494" t="s">
        <v>14023</v>
      </c>
      <c r="M4494" t="s">
        <v>14024</v>
      </c>
      <c r="N4494" t="s">
        <v>3441</v>
      </c>
      <c r="O4494" t="s">
        <v>28</v>
      </c>
      <c r="P4494" t="s">
        <v>29</v>
      </c>
      <c r="Q4494">
        <v>37</v>
      </c>
      <c r="R4494">
        <v>-99.999999000000003</v>
      </c>
    </row>
    <row r="4495" spans="1:18" x14ac:dyDescent="0.2">
      <c r="A4495" t="s">
        <v>675</v>
      </c>
      <c r="B4495" t="s">
        <v>6390</v>
      </c>
      <c r="C4495">
        <v>61</v>
      </c>
      <c r="D4495" s="1">
        <v>44054.683125000003</v>
      </c>
      <c r="E4495" t="s">
        <v>14025</v>
      </c>
      <c r="F4495" t="s">
        <v>678</v>
      </c>
      <c r="G4495" t="s">
        <v>13995</v>
      </c>
      <c r="H4495" t="s">
        <v>680</v>
      </c>
      <c r="I4495" t="s">
        <v>782</v>
      </c>
      <c r="J4495">
        <v>61</v>
      </c>
      <c r="K4495">
        <f t="shared" si="29"/>
        <v>-3159</v>
      </c>
      <c r="L4495" t="s">
        <v>14026</v>
      </c>
      <c r="M4495" t="s">
        <v>14027</v>
      </c>
      <c r="N4495" t="s">
        <v>674</v>
      </c>
      <c r="O4495" t="s">
        <v>28</v>
      </c>
      <c r="P4495" t="s">
        <v>29</v>
      </c>
      <c r="Q4495">
        <v>37</v>
      </c>
      <c r="R4495">
        <v>-99.999999000000003</v>
      </c>
    </row>
    <row r="4496" spans="1:18" x14ac:dyDescent="0.2">
      <c r="A4496" t="s">
        <v>675</v>
      </c>
      <c r="B4496" t="s">
        <v>6390</v>
      </c>
      <c r="C4496">
        <v>61</v>
      </c>
      <c r="D4496" s="1">
        <v>44053.774826388886</v>
      </c>
      <c r="E4496" t="s">
        <v>14028</v>
      </c>
      <c r="F4496" t="s">
        <v>678</v>
      </c>
      <c r="G4496" t="s">
        <v>13995</v>
      </c>
      <c r="H4496" t="s">
        <v>680</v>
      </c>
      <c r="I4496" t="s">
        <v>782</v>
      </c>
      <c r="J4496">
        <v>61</v>
      </c>
      <c r="K4496">
        <f t="shared" si="29"/>
        <v>-3159</v>
      </c>
      <c r="L4496" t="s">
        <v>14029</v>
      </c>
      <c r="M4496" t="s">
        <v>14030</v>
      </c>
      <c r="N4496" t="s">
        <v>213</v>
      </c>
      <c r="O4496" t="s">
        <v>28</v>
      </c>
      <c r="P4496" t="s">
        <v>29</v>
      </c>
      <c r="Q4496">
        <v>37</v>
      </c>
      <c r="R4496">
        <v>-99.999999000000003</v>
      </c>
    </row>
    <row r="4497" spans="1:18" x14ac:dyDescent="0.2">
      <c r="A4497" t="s">
        <v>675</v>
      </c>
      <c r="B4497" t="s">
        <v>6390</v>
      </c>
      <c r="C4497">
        <v>61</v>
      </c>
      <c r="D4497" s="1">
        <v>44053.128738425927</v>
      </c>
      <c r="E4497" t="s">
        <v>14031</v>
      </c>
      <c r="F4497" t="s">
        <v>678</v>
      </c>
      <c r="G4497" t="s">
        <v>13995</v>
      </c>
      <c r="H4497" t="s">
        <v>680</v>
      </c>
      <c r="I4497" t="s">
        <v>782</v>
      </c>
      <c r="J4497">
        <v>61</v>
      </c>
      <c r="K4497">
        <f t="shared" si="29"/>
        <v>-3159</v>
      </c>
      <c r="L4497" t="s">
        <v>14032</v>
      </c>
      <c r="M4497" t="s">
        <v>14033</v>
      </c>
      <c r="N4497" t="s">
        <v>3454</v>
      </c>
      <c r="O4497" t="s">
        <v>28</v>
      </c>
      <c r="P4497" t="s">
        <v>29</v>
      </c>
      <c r="Q4497">
        <v>37</v>
      </c>
      <c r="R4497">
        <v>-99.999999000000003</v>
      </c>
    </row>
    <row r="4498" spans="1:18" x14ac:dyDescent="0.2">
      <c r="A4498" t="s">
        <v>675</v>
      </c>
      <c r="B4498" t="s">
        <v>6390</v>
      </c>
      <c r="C4498">
        <v>61</v>
      </c>
      <c r="D4498" s="1">
        <v>44050.370937500003</v>
      </c>
      <c r="E4498" t="s">
        <v>14034</v>
      </c>
      <c r="F4498" t="s">
        <v>678</v>
      </c>
      <c r="G4498" t="s">
        <v>13995</v>
      </c>
      <c r="H4498" t="s">
        <v>680</v>
      </c>
      <c r="I4498" t="s">
        <v>782</v>
      </c>
      <c r="J4498">
        <v>61</v>
      </c>
      <c r="K4498">
        <f t="shared" si="29"/>
        <v>-3159</v>
      </c>
      <c r="L4498" t="s">
        <v>14035</v>
      </c>
      <c r="M4498" t="s">
        <v>14036</v>
      </c>
      <c r="N4498" t="s">
        <v>3454</v>
      </c>
      <c r="O4498" t="s">
        <v>28</v>
      </c>
      <c r="P4498" t="s">
        <v>29</v>
      </c>
      <c r="Q4498">
        <v>37</v>
      </c>
      <c r="R4498">
        <v>-99.999999000000003</v>
      </c>
    </row>
    <row r="4499" spans="1:18" x14ac:dyDescent="0.2">
      <c r="A4499" t="s">
        <v>675</v>
      </c>
      <c r="B4499" t="s">
        <v>6390</v>
      </c>
      <c r="C4499">
        <v>61</v>
      </c>
      <c r="D4499" s="1">
        <v>44049.918773148151</v>
      </c>
      <c r="E4499" t="s">
        <v>14037</v>
      </c>
      <c r="F4499" t="s">
        <v>678</v>
      </c>
      <c r="G4499" t="s">
        <v>13995</v>
      </c>
      <c r="H4499" t="s">
        <v>680</v>
      </c>
      <c r="I4499" t="s">
        <v>782</v>
      </c>
      <c r="J4499">
        <v>61</v>
      </c>
      <c r="K4499">
        <f t="shared" si="29"/>
        <v>-3159</v>
      </c>
      <c r="L4499" t="s">
        <v>14038</v>
      </c>
      <c r="M4499" t="s">
        <v>14039</v>
      </c>
      <c r="N4499" t="s">
        <v>3454</v>
      </c>
      <c r="O4499" t="s">
        <v>28</v>
      </c>
      <c r="P4499" t="s">
        <v>29</v>
      </c>
      <c r="Q4499">
        <v>37</v>
      </c>
      <c r="R4499">
        <v>-99.999999000000003</v>
      </c>
    </row>
    <row r="4500" spans="1:18" x14ac:dyDescent="0.2">
      <c r="A4500" t="s">
        <v>675</v>
      </c>
      <c r="B4500" t="s">
        <v>6390</v>
      </c>
      <c r="C4500">
        <v>61</v>
      </c>
      <c r="D4500" s="1">
        <v>44049.917800925927</v>
      </c>
      <c r="E4500" t="s">
        <v>14040</v>
      </c>
      <c r="F4500" t="s">
        <v>678</v>
      </c>
      <c r="G4500" t="s">
        <v>13995</v>
      </c>
      <c r="H4500" t="s">
        <v>680</v>
      </c>
      <c r="I4500" t="s">
        <v>782</v>
      </c>
      <c r="J4500">
        <v>61</v>
      </c>
      <c r="K4500">
        <f t="shared" si="29"/>
        <v>-3159</v>
      </c>
      <c r="L4500" t="s">
        <v>14041</v>
      </c>
      <c r="M4500" t="s">
        <v>14042</v>
      </c>
      <c r="N4500" t="s">
        <v>447</v>
      </c>
      <c r="O4500" t="s">
        <v>28</v>
      </c>
      <c r="P4500" t="s">
        <v>29</v>
      </c>
      <c r="Q4500">
        <v>37</v>
      </c>
      <c r="R4500">
        <v>-99.999999000000003</v>
      </c>
    </row>
    <row r="4501" spans="1:18" x14ac:dyDescent="0.2">
      <c r="A4501" t="s">
        <v>663</v>
      </c>
      <c r="B4501" t="s">
        <v>2493</v>
      </c>
      <c r="C4501">
        <v>1</v>
      </c>
      <c r="D4501" s="1">
        <v>44049.918437499997</v>
      </c>
      <c r="E4501" t="s">
        <v>14043</v>
      </c>
      <c r="F4501" t="s">
        <v>666</v>
      </c>
      <c r="G4501" t="s">
        <v>14043</v>
      </c>
      <c r="H4501" t="s">
        <v>667</v>
      </c>
      <c r="I4501" t="s">
        <v>29</v>
      </c>
      <c r="J4501">
        <v>1</v>
      </c>
      <c r="K4501">
        <f>1-866-754-5098</f>
        <v>-6717</v>
      </c>
      <c r="L4501" t="s">
        <v>14044</v>
      </c>
      <c r="M4501" t="s">
        <v>14045</v>
      </c>
      <c r="N4501">
        <v>227</v>
      </c>
      <c r="O4501" t="s">
        <v>134</v>
      </c>
      <c r="P4501" t="s">
        <v>29</v>
      </c>
      <c r="Q4501">
        <v>41</v>
      </c>
      <c r="R4501">
        <v>-74.024699999999996</v>
      </c>
    </row>
    <row r="4502" spans="1:18" x14ac:dyDescent="0.2">
      <c r="A4502" t="s">
        <v>663</v>
      </c>
      <c r="B4502" t="s">
        <v>2493</v>
      </c>
      <c r="C4502">
        <v>1</v>
      </c>
      <c r="D4502" s="1">
        <v>44049.921759259261</v>
      </c>
      <c r="E4502" t="s">
        <v>14046</v>
      </c>
      <c r="F4502" t="s">
        <v>666</v>
      </c>
      <c r="G4502" t="s">
        <v>14046</v>
      </c>
      <c r="H4502" t="s">
        <v>667</v>
      </c>
      <c r="I4502" t="s">
        <v>29</v>
      </c>
      <c r="J4502">
        <v>1</v>
      </c>
      <c r="K4502">
        <f>1-844-900-993</f>
        <v>-2736</v>
      </c>
      <c r="L4502" t="s">
        <v>14047</v>
      </c>
      <c r="M4502" t="s">
        <v>14048</v>
      </c>
      <c r="N4502">
        <v>89</v>
      </c>
      <c r="O4502" t="s">
        <v>134</v>
      </c>
      <c r="P4502" t="s">
        <v>29</v>
      </c>
      <c r="Q4502">
        <v>41</v>
      </c>
      <c r="R4502">
        <v>-74.024699999999996</v>
      </c>
    </row>
    <row r="4503" spans="1:18" x14ac:dyDescent="0.2">
      <c r="A4503" t="s">
        <v>439</v>
      </c>
      <c r="B4503" t="s">
        <v>3094</v>
      </c>
      <c r="C4503">
        <v>47</v>
      </c>
      <c r="D4503" s="1">
        <v>44049.928090277775</v>
      </c>
      <c r="E4503" t="s">
        <v>14049</v>
      </c>
      <c r="F4503" t="s">
        <v>442</v>
      </c>
      <c r="G4503" t="s">
        <v>14050</v>
      </c>
      <c r="H4503" t="s">
        <v>444</v>
      </c>
      <c r="I4503" t="s">
        <v>6185</v>
      </c>
      <c r="J4503">
        <v>47</v>
      </c>
      <c r="K4503">
        <f>47-800-62-665</f>
        <v>-1480</v>
      </c>
      <c r="L4503" t="s">
        <v>14051</v>
      </c>
      <c r="M4503" t="s">
        <v>14052</v>
      </c>
      <c r="N4503" t="s">
        <v>213</v>
      </c>
      <c r="O4503" t="s">
        <v>28</v>
      </c>
      <c r="P4503" t="s">
        <v>2268</v>
      </c>
      <c r="Q4503">
        <v>46</v>
      </c>
      <c r="R4503">
        <v>-73.567300000000003</v>
      </c>
    </row>
    <row r="4504" spans="1:18" x14ac:dyDescent="0.2">
      <c r="A4504" t="s">
        <v>270</v>
      </c>
      <c r="B4504" t="s">
        <v>271</v>
      </c>
      <c r="C4504">
        <v>1</v>
      </c>
      <c r="D4504" s="1">
        <v>44191.021840277775</v>
      </c>
      <c r="E4504" t="s">
        <v>14053</v>
      </c>
      <c r="F4504" t="s">
        <v>273</v>
      </c>
      <c r="G4504" t="s">
        <v>14054</v>
      </c>
      <c r="H4504" t="s">
        <v>275</v>
      </c>
      <c r="I4504" t="s">
        <v>29</v>
      </c>
      <c r="J4504">
        <v>1</v>
      </c>
      <c r="K4504">
        <f>1-866-677-480</f>
        <v>-2022</v>
      </c>
      <c r="L4504" t="s">
        <v>14055</v>
      </c>
      <c r="M4504" t="s">
        <v>14056</v>
      </c>
      <c r="N4504" t="s">
        <v>278</v>
      </c>
      <c r="O4504" t="s">
        <v>28</v>
      </c>
      <c r="P4504" t="s">
        <v>29</v>
      </c>
      <c r="Q4504">
        <v>42</v>
      </c>
      <c r="R4504">
        <v>-93.620800000000003</v>
      </c>
    </row>
    <row r="4505" spans="1:18" x14ac:dyDescent="0.2">
      <c r="A4505" t="s">
        <v>270</v>
      </c>
      <c r="B4505" t="s">
        <v>271</v>
      </c>
      <c r="C4505">
        <v>1</v>
      </c>
      <c r="D4505" s="1">
        <v>44049.935486111113</v>
      </c>
      <c r="E4505" t="s">
        <v>14057</v>
      </c>
      <c r="F4505" t="s">
        <v>273</v>
      </c>
      <c r="G4505" t="s">
        <v>14054</v>
      </c>
      <c r="H4505" t="s">
        <v>275</v>
      </c>
      <c r="I4505" t="s">
        <v>29</v>
      </c>
      <c r="J4505">
        <v>1</v>
      </c>
      <c r="K4505">
        <f>1-844-486-4369</f>
        <v>-5698</v>
      </c>
      <c r="L4505" t="s">
        <v>14058</v>
      </c>
      <c r="M4505" t="s">
        <v>14059</v>
      </c>
      <c r="N4505" t="s">
        <v>278</v>
      </c>
      <c r="O4505" t="s">
        <v>134</v>
      </c>
      <c r="P4505" t="s">
        <v>29</v>
      </c>
      <c r="Q4505">
        <v>42</v>
      </c>
      <c r="R4505">
        <v>-93.620800000000003</v>
      </c>
    </row>
    <row r="4506" spans="1:18" x14ac:dyDescent="0.2">
      <c r="A4506" t="s">
        <v>270</v>
      </c>
      <c r="B4506" t="s">
        <v>271</v>
      </c>
      <c r="C4506">
        <v>1</v>
      </c>
      <c r="D4506" s="1">
        <v>44049.944571759261</v>
      </c>
      <c r="E4506" t="s">
        <v>14060</v>
      </c>
      <c r="F4506" t="s">
        <v>273</v>
      </c>
      <c r="G4506" t="s">
        <v>14061</v>
      </c>
      <c r="H4506" t="s">
        <v>275</v>
      </c>
      <c r="I4506" t="s">
        <v>29</v>
      </c>
      <c r="J4506">
        <v>1</v>
      </c>
      <c r="K4506">
        <f>1-844-486-4369</f>
        <v>-5698</v>
      </c>
      <c r="L4506" t="s">
        <v>14062</v>
      </c>
      <c r="M4506" t="s">
        <v>14063</v>
      </c>
      <c r="N4506" t="s">
        <v>278</v>
      </c>
      <c r="O4506" t="s">
        <v>134</v>
      </c>
      <c r="P4506" t="s">
        <v>29</v>
      </c>
      <c r="Q4506">
        <v>42</v>
      </c>
      <c r="R4506">
        <v>-93.620800000000003</v>
      </c>
    </row>
    <row r="4507" spans="1:18" x14ac:dyDescent="0.2">
      <c r="A4507" t="s">
        <v>270</v>
      </c>
      <c r="B4507" t="s">
        <v>271</v>
      </c>
      <c r="C4507">
        <v>1</v>
      </c>
      <c r="D4507" s="1">
        <v>44060.910949074074</v>
      </c>
      <c r="E4507" t="s">
        <v>14064</v>
      </c>
      <c r="F4507" t="s">
        <v>273</v>
      </c>
      <c r="G4507" t="s">
        <v>14065</v>
      </c>
      <c r="H4507" t="s">
        <v>275</v>
      </c>
      <c r="I4507" t="s">
        <v>29</v>
      </c>
      <c r="J4507">
        <v>1</v>
      </c>
      <c r="K4507">
        <f>1-888-291-236</f>
        <v>-1414</v>
      </c>
      <c r="L4507" t="s">
        <v>14066</v>
      </c>
      <c r="M4507" t="s">
        <v>14067</v>
      </c>
      <c r="N4507" t="s">
        <v>278</v>
      </c>
      <c r="O4507" t="s">
        <v>28</v>
      </c>
      <c r="P4507" t="s">
        <v>29</v>
      </c>
      <c r="Q4507">
        <v>42</v>
      </c>
      <c r="R4507">
        <v>-93.620800000000003</v>
      </c>
    </row>
    <row r="4508" spans="1:18" x14ac:dyDescent="0.2">
      <c r="A4508" t="s">
        <v>270</v>
      </c>
      <c r="B4508" t="s">
        <v>271</v>
      </c>
      <c r="C4508">
        <v>1</v>
      </c>
      <c r="D4508" s="1">
        <v>44049.945891203701</v>
      </c>
      <c r="E4508" t="s">
        <v>14068</v>
      </c>
      <c r="F4508" t="s">
        <v>273</v>
      </c>
      <c r="G4508" t="s">
        <v>14065</v>
      </c>
      <c r="H4508" t="s">
        <v>275</v>
      </c>
      <c r="I4508" t="s">
        <v>29</v>
      </c>
      <c r="J4508">
        <v>1</v>
      </c>
      <c r="K4508">
        <f>1-844-486-4369</f>
        <v>-5698</v>
      </c>
      <c r="L4508" t="s">
        <v>14069</v>
      </c>
      <c r="M4508" t="s">
        <v>14070</v>
      </c>
      <c r="N4508" t="s">
        <v>278</v>
      </c>
      <c r="O4508" t="s">
        <v>134</v>
      </c>
      <c r="P4508" t="s">
        <v>29</v>
      </c>
      <c r="Q4508">
        <v>42</v>
      </c>
      <c r="R4508">
        <v>-93.620800000000003</v>
      </c>
    </row>
    <row r="4509" spans="1:18" x14ac:dyDescent="0.2">
      <c r="A4509" t="s">
        <v>439</v>
      </c>
      <c r="B4509" t="s">
        <v>3094</v>
      </c>
      <c r="C4509">
        <v>1</v>
      </c>
      <c r="D4509" s="1">
        <v>44050.023611111108</v>
      </c>
      <c r="E4509" t="s">
        <v>14071</v>
      </c>
      <c r="F4509" t="s">
        <v>442</v>
      </c>
      <c r="G4509" t="s">
        <v>14072</v>
      </c>
      <c r="H4509" t="s">
        <v>444</v>
      </c>
      <c r="I4509" t="s">
        <v>29</v>
      </c>
      <c r="J4509">
        <v>1</v>
      </c>
      <c r="K4509">
        <f>1-833-358-728</f>
        <v>-1918</v>
      </c>
      <c r="L4509" t="s">
        <v>14073</v>
      </c>
      <c r="M4509" t="s">
        <v>14074</v>
      </c>
      <c r="N4509" t="s">
        <v>447</v>
      </c>
      <c r="O4509" t="s">
        <v>28</v>
      </c>
      <c r="P4509" t="s">
        <v>2268</v>
      </c>
      <c r="Q4509">
        <v>46</v>
      </c>
      <c r="R4509">
        <v>-73.567300000000003</v>
      </c>
    </row>
    <row r="4510" spans="1:18" x14ac:dyDescent="0.2">
      <c r="A4510" t="s">
        <v>663</v>
      </c>
      <c r="B4510" t="s">
        <v>2500</v>
      </c>
      <c r="C4510">
        <v>81</v>
      </c>
      <c r="D4510" s="1">
        <v>44050.395624999997</v>
      </c>
      <c r="E4510" t="s">
        <v>14075</v>
      </c>
      <c r="F4510" t="s">
        <v>666</v>
      </c>
      <c r="G4510" t="s">
        <v>14075</v>
      </c>
      <c r="H4510" t="s">
        <v>667</v>
      </c>
      <c r="I4510" t="s">
        <v>53</v>
      </c>
      <c r="J4510">
        <v>81</v>
      </c>
      <c r="K4510">
        <f>81-50-3183-8551</f>
        <v>-11703</v>
      </c>
      <c r="L4510" t="s">
        <v>14076</v>
      </c>
      <c r="M4510" t="s">
        <v>14077</v>
      </c>
      <c r="N4510">
        <v>172</v>
      </c>
      <c r="O4510" t="s">
        <v>134</v>
      </c>
      <c r="P4510" t="s">
        <v>2500</v>
      </c>
      <c r="Q4510">
        <v>1</v>
      </c>
      <c r="R4510">
        <v>99.999999000000003</v>
      </c>
    </row>
    <row r="4511" spans="1:18" x14ac:dyDescent="0.2">
      <c r="A4511" t="s">
        <v>2225</v>
      </c>
      <c r="B4511" t="s">
        <v>2226</v>
      </c>
      <c r="C4511">
        <v>44</v>
      </c>
      <c r="D4511" s="1">
        <v>44078.445057870369</v>
      </c>
      <c r="E4511" t="s">
        <v>14078</v>
      </c>
      <c r="F4511" t="s">
        <v>2228</v>
      </c>
      <c r="G4511" t="s">
        <v>14079</v>
      </c>
      <c r="H4511" t="s">
        <v>2230</v>
      </c>
      <c r="I4511" t="s">
        <v>618</v>
      </c>
      <c r="J4511">
        <v>44</v>
      </c>
      <c r="K4511">
        <f>44-808-143-3686</f>
        <v>-4593</v>
      </c>
      <c r="L4511" t="s">
        <v>14080</v>
      </c>
      <c r="M4511" t="s">
        <v>14081</v>
      </c>
      <c r="N4511" t="s">
        <v>1645</v>
      </c>
      <c r="O4511" t="s">
        <v>28</v>
      </c>
      <c r="P4511" t="s">
        <v>24</v>
      </c>
      <c r="Q4511">
        <v>50</v>
      </c>
      <c r="R4511">
        <v>12.365</v>
      </c>
    </row>
    <row r="4512" spans="1:18" x14ac:dyDescent="0.2">
      <c r="A4512" t="s">
        <v>2225</v>
      </c>
      <c r="B4512" t="s">
        <v>2226</v>
      </c>
      <c r="C4512">
        <v>61</v>
      </c>
      <c r="D4512" s="1">
        <v>44068.296018518522</v>
      </c>
      <c r="E4512" t="s">
        <v>14082</v>
      </c>
      <c r="F4512" t="s">
        <v>2228</v>
      </c>
      <c r="G4512" t="s">
        <v>14079</v>
      </c>
      <c r="H4512" t="s">
        <v>2230</v>
      </c>
      <c r="I4512" t="s">
        <v>782</v>
      </c>
      <c r="J4512">
        <v>61</v>
      </c>
      <c r="K4512">
        <f>61-1800-5-886</f>
        <v>-2630</v>
      </c>
      <c r="L4512" t="s">
        <v>14083</v>
      </c>
      <c r="M4512" t="s">
        <v>14084</v>
      </c>
      <c r="N4512" t="s">
        <v>2475</v>
      </c>
      <c r="O4512" t="s">
        <v>28</v>
      </c>
      <c r="P4512" t="s">
        <v>24</v>
      </c>
      <c r="Q4512">
        <v>50</v>
      </c>
      <c r="R4512">
        <v>12.365</v>
      </c>
    </row>
    <row r="4513" spans="1:18" x14ac:dyDescent="0.2">
      <c r="A4513" t="s">
        <v>2225</v>
      </c>
      <c r="B4513" t="s">
        <v>2226</v>
      </c>
      <c r="C4513">
        <v>44</v>
      </c>
      <c r="D4513" s="1">
        <v>44068.509502314817</v>
      </c>
      <c r="E4513" t="s">
        <v>14085</v>
      </c>
      <c r="F4513" t="s">
        <v>2228</v>
      </c>
      <c r="G4513" t="s">
        <v>14079</v>
      </c>
      <c r="H4513" t="s">
        <v>2230</v>
      </c>
      <c r="I4513" t="s">
        <v>618</v>
      </c>
      <c r="J4513">
        <v>44</v>
      </c>
      <c r="K4513">
        <f>44-800-90-3854</f>
        <v>-4700</v>
      </c>
      <c r="L4513" t="s">
        <v>14086</v>
      </c>
      <c r="M4513" t="s">
        <v>14087</v>
      </c>
      <c r="N4513" t="s">
        <v>2475</v>
      </c>
      <c r="O4513" t="s">
        <v>28</v>
      </c>
      <c r="P4513" t="s">
        <v>24</v>
      </c>
      <c r="Q4513">
        <v>50</v>
      </c>
      <c r="R4513">
        <v>12.365</v>
      </c>
    </row>
    <row r="4514" spans="1:18" x14ac:dyDescent="0.2">
      <c r="A4514" t="s">
        <v>2225</v>
      </c>
      <c r="B4514" t="s">
        <v>2226</v>
      </c>
      <c r="C4514">
        <v>44</v>
      </c>
      <c r="D4514" s="1">
        <v>44067.452546296299</v>
      </c>
      <c r="E4514" t="s">
        <v>14088</v>
      </c>
      <c r="F4514" t="s">
        <v>2228</v>
      </c>
      <c r="G4514" t="s">
        <v>14079</v>
      </c>
      <c r="H4514" t="s">
        <v>2230</v>
      </c>
      <c r="I4514" t="s">
        <v>618</v>
      </c>
      <c r="J4514">
        <v>44</v>
      </c>
      <c r="K4514">
        <f>44-808-143-3686</f>
        <v>-4593</v>
      </c>
      <c r="L4514" t="s">
        <v>14089</v>
      </c>
      <c r="M4514" t="s">
        <v>14090</v>
      </c>
      <c r="N4514" t="s">
        <v>2475</v>
      </c>
      <c r="O4514" t="s">
        <v>28</v>
      </c>
      <c r="P4514" t="s">
        <v>24</v>
      </c>
      <c r="Q4514">
        <v>50</v>
      </c>
      <c r="R4514">
        <v>12.365</v>
      </c>
    </row>
    <row r="4515" spans="1:18" x14ac:dyDescent="0.2">
      <c r="A4515" t="s">
        <v>2225</v>
      </c>
      <c r="B4515" t="s">
        <v>2226</v>
      </c>
      <c r="C4515">
        <v>44</v>
      </c>
      <c r="D4515" s="1">
        <v>44063.605370370373</v>
      </c>
      <c r="E4515" t="s">
        <v>14091</v>
      </c>
      <c r="F4515" t="s">
        <v>2228</v>
      </c>
      <c r="G4515" t="s">
        <v>14079</v>
      </c>
      <c r="H4515" t="s">
        <v>2230</v>
      </c>
      <c r="I4515" t="s">
        <v>618</v>
      </c>
      <c r="J4515">
        <v>44</v>
      </c>
      <c r="K4515">
        <f>44-800-51-6735</f>
        <v>-7542</v>
      </c>
      <c r="L4515" t="s">
        <v>14092</v>
      </c>
      <c r="M4515" t="s">
        <v>14093</v>
      </c>
      <c r="N4515" t="s">
        <v>2475</v>
      </c>
      <c r="O4515" t="s">
        <v>28</v>
      </c>
      <c r="P4515" t="s">
        <v>24</v>
      </c>
      <c r="Q4515">
        <v>50</v>
      </c>
      <c r="R4515">
        <v>12.365</v>
      </c>
    </row>
    <row r="4516" spans="1:18" x14ac:dyDescent="0.2">
      <c r="A4516" t="s">
        <v>2225</v>
      </c>
      <c r="B4516" t="s">
        <v>2226</v>
      </c>
      <c r="C4516">
        <v>44</v>
      </c>
      <c r="D4516" s="1">
        <v>44055.630891203706</v>
      </c>
      <c r="E4516" t="s">
        <v>14094</v>
      </c>
      <c r="F4516" t="s">
        <v>2228</v>
      </c>
      <c r="G4516" t="s">
        <v>14079</v>
      </c>
      <c r="H4516" t="s">
        <v>2230</v>
      </c>
      <c r="I4516" t="s">
        <v>618</v>
      </c>
      <c r="J4516">
        <v>44</v>
      </c>
      <c r="K4516">
        <f>44-808-143-3686</f>
        <v>-4593</v>
      </c>
      <c r="L4516" t="s">
        <v>14095</v>
      </c>
      <c r="M4516" t="s">
        <v>14096</v>
      </c>
      <c r="N4516" t="s">
        <v>2475</v>
      </c>
      <c r="O4516" t="s">
        <v>28</v>
      </c>
      <c r="P4516" t="s">
        <v>24</v>
      </c>
      <c r="Q4516">
        <v>50</v>
      </c>
      <c r="R4516">
        <v>12.365</v>
      </c>
    </row>
    <row r="4517" spans="1:18" x14ac:dyDescent="0.2">
      <c r="A4517" t="s">
        <v>2225</v>
      </c>
      <c r="B4517" t="s">
        <v>2226</v>
      </c>
      <c r="C4517">
        <v>44</v>
      </c>
      <c r="D4517" s="1">
        <v>44050.422395833331</v>
      </c>
      <c r="E4517" t="s">
        <v>14097</v>
      </c>
      <c r="F4517" t="s">
        <v>2228</v>
      </c>
      <c r="G4517" t="s">
        <v>14079</v>
      </c>
      <c r="H4517" t="s">
        <v>2230</v>
      </c>
      <c r="I4517" t="s">
        <v>618</v>
      </c>
      <c r="J4517">
        <v>44</v>
      </c>
      <c r="K4517">
        <f>44-808-143-3686</f>
        <v>-4593</v>
      </c>
      <c r="L4517" t="s">
        <v>14098</v>
      </c>
      <c r="M4517" t="s">
        <v>14099</v>
      </c>
      <c r="N4517" t="s">
        <v>2475</v>
      </c>
      <c r="O4517" t="s">
        <v>28</v>
      </c>
      <c r="P4517" t="s">
        <v>24</v>
      </c>
      <c r="Q4517">
        <v>50</v>
      </c>
      <c r="R4517">
        <v>12.365</v>
      </c>
    </row>
    <row r="4518" spans="1:18" x14ac:dyDescent="0.2">
      <c r="A4518" t="s">
        <v>663</v>
      </c>
      <c r="B4518" t="s">
        <v>5337</v>
      </c>
      <c r="C4518">
        <v>44</v>
      </c>
      <c r="D4518" s="1">
        <v>44050.487638888888</v>
      </c>
      <c r="E4518" t="s">
        <v>14100</v>
      </c>
      <c r="F4518" t="s">
        <v>2495</v>
      </c>
      <c r="G4518" t="s">
        <v>14101</v>
      </c>
      <c r="H4518" t="s">
        <v>667</v>
      </c>
      <c r="I4518" t="s">
        <v>618</v>
      </c>
      <c r="J4518">
        <v>44</v>
      </c>
      <c r="K4518">
        <f>44-800-51-3726</f>
        <v>-4533</v>
      </c>
      <c r="L4518" t="s">
        <v>14102</v>
      </c>
      <c r="M4518" t="s">
        <v>14103</v>
      </c>
      <c r="N4518" t="s">
        <v>1645</v>
      </c>
      <c r="O4518" t="s">
        <v>28</v>
      </c>
      <c r="P4518" t="s">
        <v>29</v>
      </c>
      <c r="Q4518">
        <v>38</v>
      </c>
      <c r="R4518">
        <v>-99.999999000000003</v>
      </c>
    </row>
    <row r="4519" spans="1:18" x14ac:dyDescent="0.2">
      <c r="A4519" t="s">
        <v>439</v>
      </c>
      <c r="B4519" t="s">
        <v>3094</v>
      </c>
      <c r="C4519">
        <v>1</v>
      </c>
      <c r="D4519" s="1">
        <v>44050.488356481481</v>
      </c>
      <c r="E4519" t="s">
        <v>14104</v>
      </c>
      <c r="F4519" t="s">
        <v>442</v>
      </c>
      <c r="G4519" t="s">
        <v>14105</v>
      </c>
      <c r="H4519" t="s">
        <v>444</v>
      </c>
      <c r="I4519" t="s">
        <v>29</v>
      </c>
      <c r="J4519">
        <v>1</v>
      </c>
      <c r="K4519">
        <f>1-833-313-3369</f>
        <v>-4514</v>
      </c>
      <c r="L4519" t="s">
        <v>14106</v>
      </c>
      <c r="M4519" t="s">
        <v>14107</v>
      </c>
      <c r="N4519" t="s">
        <v>213</v>
      </c>
      <c r="O4519" t="s">
        <v>28</v>
      </c>
      <c r="P4519" t="s">
        <v>2268</v>
      </c>
      <c r="Q4519">
        <v>46</v>
      </c>
      <c r="R4519">
        <v>-73.567300000000003</v>
      </c>
    </row>
    <row r="4520" spans="1:18" x14ac:dyDescent="0.2">
      <c r="A4520" t="s">
        <v>439</v>
      </c>
      <c r="B4520" t="s">
        <v>3094</v>
      </c>
      <c r="C4520">
        <v>1</v>
      </c>
      <c r="D4520" s="1">
        <v>44050.488668981481</v>
      </c>
      <c r="E4520" t="s">
        <v>14108</v>
      </c>
      <c r="F4520" t="s">
        <v>442</v>
      </c>
      <c r="G4520" t="s">
        <v>14109</v>
      </c>
      <c r="H4520" t="s">
        <v>444</v>
      </c>
      <c r="I4520" t="s">
        <v>29</v>
      </c>
      <c r="J4520">
        <v>1</v>
      </c>
      <c r="K4520">
        <f>1-888-745-6606</f>
        <v>-8238</v>
      </c>
      <c r="L4520" t="s">
        <v>14110</v>
      </c>
      <c r="M4520" t="s">
        <v>14111</v>
      </c>
      <c r="N4520" t="s">
        <v>674</v>
      </c>
      <c r="O4520" t="s">
        <v>28</v>
      </c>
      <c r="P4520" t="s">
        <v>2268</v>
      </c>
      <c r="Q4520">
        <v>46</v>
      </c>
      <c r="R4520">
        <v>-73.567300000000003</v>
      </c>
    </row>
    <row r="4521" spans="1:18" x14ac:dyDescent="0.2">
      <c r="A4521" t="s">
        <v>663</v>
      </c>
      <c r="B4521" t="s">
        <v>3245</v>
      </c>
      <c r="C4521">
        <v>47</v>
      </c>
      <c r="D4521" s="1">
        <v>44050.596898148149</v>
      </c>
      <c r="E4521" t="s">
        <v>14112</v>
      </c>
      <c r="F4521" t="s">
        <v>666</v>
      </c>
      <c r="G4521" t="s">
        <v>14113</v>
      </c>
      <c r="H4521" t="s">
        <v>667</v>
      </c>
      <c r="I4521" t="s">
        <v>6185</v>
      </c>
      <c r="J4521">
        <v>47</v>
      </c>
      <c r="K4521">
        <f>47-800-62-651</f>
        <v>-1466</v>
      </c>
      <c r="L4521" t="s">
        <v>14114</v>
      </c>
      <c r="M4521" t="s">
        <v>14115</v>
      </c>
      <c r="N4521" t="s">
        <v>1645</v>
      </c>
      <c r="O4521" t="s">
        <v>28</v>
      </c>
      <c r="P4521" t="s">
        <v>29</v>
      </c>
      <c r="Q4521">
        <v>41</v>
      </c>
      <c r="R4521">
        <v>-74.140299999999996</v>
      </c>
    </row>
    <row r="4522" spans="1:18" x14ac:dyDescent="0.2">
      <c r="A4522" t="s">
        <v>439</v>
      </c>
      <c r="B4522" t="s">
        <v>3094</v>
      </c>
      <c r="C4522">
        <v>1</v>
      </c>
      <c r="D4522" s="1">
        <v>44050.664699074077</v>
      </c>
      <c r="E4522" t="s">
        <v>14116</v>
      </c>
      <c r="F4522" t="s">
        <v>442</v>
      </c>
      <c r="G4522" t="s">
        <v>14117</v>
      </c>
      <c r="H4522" t="s">
        <v>444</v>
      </c>
      <c r="I4522" t="s">
        <v>29</v>
      </c>
      <c r="J4522">
        <v>1</v>
      </c>
      <c r="K4522">
        <f>1-844-487-4658</f>
        <v>-5988</v>
      </c>
      <c r="L4522" t="s">
        <v>14118</v>
      </c>
      <c r="M4522" t="s">
        <v>14119</v>
      </c>
      <c r="N4522" t="s">
        <v>447</v>
      </c>
      <c r="O4522" t="s">
        <v>28</v>
      </c>
      <c r="P4522" t="s">
        <v>2268</v>
      </c>
      <c r="Q4522">
        <v>46</v>
      </c>
      <c r="R4522">
        <v>-73.567300000000003</v>
      </c>
    </row>
    <row r="4523" spans="1:18" x14ac:dyDescent="0.2">
      <c r="A4523" t="s">
        <v>2863</v>
      </c>
      <c r="B4523" t="s">
        <v>13739</v>
      </c>
      <c r="C4523">
        <v>1</v>
      </c>
      <c r="D4523" s="1">
        <v>44050.823252314818</v>
      </c>
      <c r="E4523" t="s">
        <v>14120</v>
      </c>
      <c r="F4523" t="s">
        <v>13741</v>
      </c>
      <c r="G4523" t="s">
        <v>14121</v>
      </c>
      <c r="H4523" t="s">
        <v>2868</v>
      </c>
      <c r="I4523" t="s">
        <v>29</v>
      </c>
      <c r="J4523">
        <v>1</v>
      </c>
      <c r="K4523">
        <f>1-844-238-8251</f>
        <v>-9332</v>
      </c>
      <c r="L4523" t="s">
        <v>14122</v>
      </c>
      <c r="M4523" t="s">
        <v>14123</v>
      </c>
      <c r="N4523" t="s">
        <v>5354</v>
      </c>
      <c r="O4523" t="s">
        <v>134</v>
      </c>
      <c r="P4523" t="s">
        <v>618</v>
      </c>
      <c r="Q4523">
        <v>55</v>
      </c>
      <c r="R4523">
        <v>-1.6219300000000001</v>
      </c>
    </row>
    <row r="4524" spans="1:18" x14ac:dyDescent="0.2">
      <c r="A4524" t="s">
        <v>2863</v>
      </c>
      <c r="B4524" t="s">
        <v>13739</v>
      </c>
      <c r="C4524">
        <v>1</v>
      </c>
      <c r="D4524" s="1">
        <v>44050.82240740741</v>
      </c>
      <c r="E4524" t="s">
        <v>14124</v>
      </c>
      <c r="F4524" t="s">
        <v>13741</v>
      </c>
      <c r="G4524" t="s">
        <v>14121</v>
      </c>
      <c r="H4524" t="s">
        <v>2868</v>
      </c>
      <c r="I4524" t="s">
        <v>29</v>
      </c>
      <c r="J4524">
        <v>1</v>
      </c>
      <c r="K4524">
        <f>1-448-775-1154</f>
        <v>-2376</v>
      </c>
      <c r="L4524" t="s">
        <v>14125</v>
      </c>
      <c r="M4524" t="s">
        <v>14126</v>
      </c>
      <c r="N4524" t="s">
        <v>5354</v>
      </c>
      <c r="O4524" t="s">
        <v>134</v>
      </c>
      <c r="P4524" t="s">
        <v>618</v>
      </c>
      <c r="Q4524">
        <v>55</v>
      </c>
      <c r="R4524">
        <v>-1.6219300000000001</v>
      </c>
    </row>
    <row r="4525" spans="1:18" x14ac:dyDescent="0.2">
      <c r="A4525" t="s">
        <v>2863</v>
      </c>
      <c r="B4525" t="s">
        <v>13739</v>
      </c>
      <c r="C4525">
        <v>1</v>
      </c>
      <c r="D4525" s="1">
        <v>44050.815462962964</v>
      </c>
      <c r="E4525" t="s">
        <v>14127</v>
      </c>
      <c r="F4525" t="s">
        <v>13741</v>
      </c>
      <c r="G4525" t="s">
        <v>14121</v>
      </c>
      <c r="H4525" t="s">
        <v>2868</v>
      </c>
      <c r="I4525" t="s">
        <v>29</v>
      </c>
      <c r="J4525">
        <v>1</v>
      </c>
      <c r="K4525">
        <f>1-844-385-4437</f>
        <v>-5665</v>
      </c>
      <c r="L4525" t="s">
        <v>14128</v>
      </c>
      <c r="M4525" t="s">
        <v>14129</v>
      </c>
      <c r="N4525" t="s">
        <v>5354</v>
      </c>
      <c r="O4525" t="s">
        <v>134</v>
      </c>
      <c r="P4525" t="s">
        <v>618</v>
      </c>
      <c r="Q4525">
        <v>55</v>
      </c>
      <c r="R4525">
        <v>-1.6219300000000001</v>
      </c>
    </row>
    <row r="4526" spans="1:18" x14ac:dyDescent="0.2">
      <c r="A4526" t="s">
        <v>2863</v>
      </c>
      <c r="B4526" t="s">
        <v>13739</v>
      </c>
      <c r="C4526">
        <v>1</v>
      </c>
      <c r="D4526" s="1">
        <v>44050.806643518517</v>
      </c>
      <c r="E4526" t="s">
        <v>14130</v>
      </c>
      <c r="F4526" t="s">
        <v>13741</v>
      </c>
      <c r="G4526" t="s">
        <v>14121</v>
      </c>
      <c r="H4526" t="s">
        <v>2868</v>
      </c>
      <c r="I4526" t="s">
        <v>29</v>
      </c>
      <c r="J4526">
        <v>1</v>
      </c>
      <c r="K4526">
        <f>1-833-461-328</f>
        <v>-1621</v>
      </c>
      <c r="L4526" t="s">
        <v>14131</v>
      </c>
      <c r="M4526" t="s">
        <v>14132</v>
      </c>
      <c r="N4526" t="s">
        <v>5354</v>
      </c>
      <c r="O4526" t="s">
        <v>134</v>
      </c>
      <c r="P4526" t="s">
        <v>618</v>
      </c>
      <c r="Q4526">
        <v>55</v>
      </c>
      <c r="R4526">
        <v>-1.6219300000000001</v>
      </c>
    </row>
    <row r="4527" spans="1:18" x14ac:dyDescent="0.2">
      <c r="A4527" t="s">
        <v>2863</v>
      </c>
      <c r="B4527" t="s">
        <v>13739</v>
      </c>
      <c r="C4527">
        <v>1</v>
      </c>
      <c r="D4527" s="1">
        <v>44050.800081018519</v>
      </c>
      <c r="E4527" t="s">
        <v>14133</v>
      </c>
      <c r="F4527" t="s">
        <v>13741</v>
      </c>
      <c r="G4527" t="s">
        <v>14121</v>
      </c>
      <c r="H4527" t="s">
        <v>2868</v>
      </c>
      <c r="I4527" t="s">
        <v>29</v>
      </c>
      <c r="J4527">
        <v>1</v>
      </c>
      <c r="K4527">
        <f>1-850-358-4570</f>
        <v>-5777</v>
      </c>
      <c r="L4527" t="s">
        <v>14134</v>
      </c>
      <c r="M4527" t="s">
        <v>14135</v>
      </c>
      <c r="N4527" t="s">
        <v>5354</v>
      </c>
      <c r="O4527" t="s">
        <v>134</v>
      </c>
      <c r="P4527" t="s">
        <v>618</v>
      </c>
      <c r="Q4527">
        <v>55</v>
      </c>
      <c r="R4527">
        <v>-1.6219300000000001</v>
      </c>
    </row>
    <row r="4528" spans="1:18" x14ac:dyDescent="0.2">
      <c r="A4528" t="s">
        <v>2863</v>
      </c>
      <c r="B4528" t="s">
        <v>13739</v>
      </c>
      <c r="C4528">
        <v>971</v>
      </c>
      <c r="D4528" s="1">
        <v>44050.725902777776</v>
      </c>
      <c r="E4528" t="s">
        <v>14136</v>
      </c>
      <c r="F4528" t="s">
        <v>13741</v>
      </c>
      <c r="G4528" t="s">
        <v>14121</v>
      </c>
      <c r="H4528" t="s">
        <v>2868</v>
      </c>
      <c r="I4528" t="s">
        <v>14137</v>
      </c>
      <c r="J4528">
        <v>971</v>
      </c>
      <c r="K4528" t="s">
        <v>14138</v>
      </c>
      <c r="L4528" t="s">
        <v>14139</v>
      </c>
      <c r="M4528" t="s">
        <v>14140</v>
      </c>
      <c r="N4528" t="s">
        <v>5354</v>
      </c>
      <c r="O4528" t="s">
        <v>134</v>
      </c>
      <c r="P4528" t="s">
        <v>618</v>
      </c>
      <c r="Q4528">
        <v>55</v>
      </c>
      <c r="R4528">
        <v>-1.6219300000000001</v>
      </c>
    </row>
    <row r="4529" spans="1:18" x14ac:dyDescent="0.2">
      <c r="A4529" t="s">
        <v>2863</v>
      </c>
      <c r="B4529" t="s">
        <v>13739</v>
      </c>
      <c r="C4529">
        <v>1</v>
      </c>
      <c r="D4529" s="1">
        <v>44050.71912037037</v>
      </c>
      <c r="E4529" t="s">
        <v>14141</v>
      </c>
      <c r="F4529" t="s">
        <v>13741</v>
      </c>
      <c r="G4529" t="s">
        <v>14121</v>
      </c>
      <c r="H4529" t="s">
        <v>2868</v>
      </c>
      <c r="I4529" t="s">
        <v>29</v>
      </c>
      <c r="J4529">
        <v>1</v>
      </c>
      <c r="K4529">
        <f>1-854-243-3466</f>
        <v>-4562</v>
      </c>
      <c r="L4529" t="s">
        <v>14142</v>
      </c>
      <c r="M4529" t="s">
        <v>14143</v>
      </c>
      <c r="N4529" t="s">
        <v>5354</v>
      </c>
      <c r="O4529" t="s">
        <v>134</v>
      </c>
      <c r="P4529" t="s">
        <v>618</v>
      </c>
      <c r="Q4529">
        <v>55</v>
      </c>
      <c r="R4529">
        <v>-1.6219300000000001</v>
      </c>
    </row>
    <row r="4530" spans="1:18" x14ac:dyDescent="0.2">
      <c r="A4530" t="s">
        <v>2863</v>
      </c>
      <c r="B4530" t="s">
        <v>13739</v>
      </c>
      <c r="C4530">
        <v>1</v>
      </c>
      <c r="D4530" s="1">
        <v>44050.714328703703</v>
      </c>
      <c r="E4530" t="s">
        <v>14144</v>
      </c>
      <c r="F4530" t="s">
        <v>13741</v>
      </c>
      <c r="G4530" t="s">
        <v>14121</v>
      </c>
      <c r="H4530" t="s">
        <v>2868</v>
      </c>
      <c r="I4530" t="s">
        <v>29</v>
      </c>
      <c r="J4530">
        <v>1</v>
      </c>
      <c r="K4530">
        <f>1-888-651-2369</f>
        <v>-3907</v>
      </c>
      <c r="L4530" t="s">
        <v>14145</v>
      </c>
      <c r="M4530" t="s">
        <v>14146</v>
      </c>
      <c r="N4530" t="s">
        <v>5354</v>
      </c>
      <c r="O4530" t="s">
        <v>134</v>
      </c>
      <c r="P4530" t="s">
        <v>618</v>
      </c>
      <c r="Q4530">
        <v>55</v>
      </c>
      <c r="R4530">
        <v>-1.6219300000000001</v>
      </c>
    </row>
    <row r="4531" spans="1:18" x14ac:dyDescent="0.2">
      <c r="A4531" t="s">
        <v>2863</v>
      </c>
      <c r="B4531" t="s">
        <v>13739</v>
      </c>
      <c r="C4531">
        <v>1</v>
      </c>
      <c r="D4531" s="1">
        <v>44050.710150462961</v>
      </c>
      <c r="E4531" t="s">
        <v>14147</v>
      </c>
      <c r="F4531" t="s">
        <v>13741</v>
      </c>
      <c r="G4531" t="s">
        <v>14121</v>
      </c>
      <c r="H4531" t="s">
        <v>2868</v>
      </c>
      <c r="I4531" t="s">
        <v>29</v>
      </c>
      <c r="J4531">
        <v>1</v>
      </c>
      <c r="K4531">
        <f>1-888-216-1310</f>
        <v>-2413</v>
      </c>
      <c r="L4531" t="s">
        <v>14148</v>
      </c>
      <c r="M4531" t="s">
        <v>14149</v>
      </c>
      <c r="N4531" t="s">
        <v>5354</v>
      </c>
      <c r="O4531" t="s">
        <v>134</v>
      </c>
      <c r="P4531" t="s">
        <v>618</v>
      </c>
      <c r="Q4531">
        <v>55</v>
      </c>
      <c r="R4531">
        <v>-1.6219300000000001</v>
      </c>
    </row>
    <row r="4532" spans="1:18" x14ac:dyDescent="0.2">
      <c r="A4532" t="s">
        <v>2863</v>
      </c>
      <c r="B4532" t="s">
        <v>13739</v>
      </c>
      <c r="C4532">
        <v>1</v>
      </c>
      <c r="D4532" s="1">
        <v>44050.708449074074</v>
      </c>
      <c r="E4532" t="s">
        <v>14150</v>
      </c>
      <c r="F4532" t="s">
        <v>13741</v>
      </c>
      <c r="G4532" t="s">
        <v>14121</v>
      </c>
      <c r="H4532" t="s">
        <v>2868</v>
      </c>
      <c r="I4532" t="s">
        <v>29</v>
      </c>
      <c r="J4532">
        <v>1</v>
      </c>
      <c r="K4532">
        <f>1-888-216-1310</f>
        <v>-2413</v>
      </c>
      <c r="L4532" t="s">
        <v>14151</v>
      </c>
      <c r="M4532" t="s">
        <v>14152</v>
      </c>
      <c r="N4532" t="s">
        <v>5354</v>
      </c>
      <c r="O4532" t="s">
        <v>134</v>
      </c>
      <c r="P4532" t="s">
        <v>618</v>
      </c>
      <c r="Q4532">
        <v>55</v>
      </c>
      <c r="R4532">
        <v>-1.6219300000000001</v>
      </c>
    </row>
    <row r="4533" spans="1:18" x14ac:dyDescent="0.2">
      <c r="A4533" t="s">
        <v>2863</v>
      </c>
      <c r="B4533" t="s">
        <v>13739</v>
      </c>
      <c r="C4533">
        <v>1</v>
      </c>
      <c r="D4533" s="1">
        <v>44050.706921296296</v>
      </c>
      <c r="E4533" t="s">
        <v>14153</v>
      </c>
      <c r="F4533" t="s">
        <v>13741</v>
      </c>
      <c r="G4533" t="s">
        <v>14121</v>
      </c>
      <c r="H4533" t="s">
        <v>2868</v>
      </c>
      <c r="I4533" t="s">
        <v>29</v>
      </c>
      <c r="J4533">
        <v>1</v>
      </c>
      <c r="K4533">
        <f>1-888-216-1310</f>
        <v>-2413</v>
      </c>
      <c r="L4533" t="s">
        <v>14154</v>
      </c>
      <c r="M4533" t="s">
        <v>14155</v>
      </c>
      <c r="N4533" t="s">
        <v>5354</v>
      </c>
      <c r="O4533" t="s">
        <v>134</v>
      </c>
      <c r="P4533" t="s">
        <v>618</v>
      </c>
      <c r="Q4533">
        <v>55</v>
      </c>
      <c r="R4533">
        <v>-1.6219300000000001</v>
      </c>
    </row>
    <row r="4534" spans="1:18" x14ac:dyDescent="0.2">
      <c r="A4534" t="s">
        <v>2863</v>
      </c>
      <c r="B4534" t="s">
        <v>13739</v>
      </c>
      <c r="C4534">
        <v>1</v>
      </c>
      <c r="D4534" s="1">
        <v>44050.706817129627</v>
      </c>
      <c r="E4534" t="s">
        <v>14156</v>
      </c>
      <c r="F4534" t="s">
        <v>13741</v>
      </c>
      <c r="G4534" t="s">
        <v>14121</v>
      </c>
      <c r="H4534" t="s">
        <v>2868</v>
      </c>
      <c r="I4534" t="s">
        <v>29</v>
      </c>
      <c r="J4534">
        <v>1</v>
      </c>
      <c r="K4534">
        <f>1-888-216-1310</f>
        <v>-2413</v>
      </c>
      <c r="L4534" t="s">
        <v>14157</v>
      </c>
      <c r="M4534" t="s">
        <v>14158</v>
      </c>
      <c r="N4534" t="s">
        <v>5354</v>
      </c>
      <c r="O4534" t="s">
        <v>134</v>
      </c>
      <c r="P4534" t="s">
        <v>618</v>
      </c>
      <c r="Q4534">
        <v>55</v>
      </c>
      <c r="R4534">
        <v>-1.6219300000000001</v>
      </c>
    </row>
    <row r="4535" spans="1:18" x14ac:dyDescent="0.2">
      <c r="A4535" t="s">
        <v>439</v>
      </c>
      <c r="B4535" t="s">
        <v>3094</v>
      </c>
      <c r="C4535">
        <v>1</v>
      </c>
      <c r="D4535" s="1">
        <v>44050.750925925924</v>
      </c>
      <c r="E4535" t="s">
        <v>14159</v>
      </c>
      <c r="F4535" t="s">
        <v>442</v>
      </c>
      <c r="G4535" t="s">
        <v>14160</v>
      </c>
      <c r="H4535" t="s">
        <v>444</v>
      </c>
      <c r="I4535" t="s">
        <v>29</v>
      </c>
      <c r="J4535">
        <v>1</v>
      </c>
      <c r="K4535">
        <f>1-833-342-7274</f>
        <v>-8448</v>
      </c>
      <c r="L4535" t="s">
        <v>14161</v>
      </c>
      <c r="M4535" t="s">
        <v>14162</v>
      </c>
      <c r="N4535" t="s">
        <v>674</v>
      </c>
      <c r="O4535" t="s">
        <v>28</v>
      </c>
      <c r="P4535" t="s">
        <v>2268</v>
      </c>
      <c r="Q4535">
        <v>46</v>
      </c>
      <c r="R4535">
        <v>-73.567300000000003</v>
      </c>
    </row>
    <row r="4536" spans="1:18" x14ac:dyDescent="0.2">
      <c r="A4536" t="s">
        <v>2233</v>
      </c>
      <c r="B4536" t="s">
        <v>1638</v>
      </c>
      <c r="C4536">
        <v>1</v>
      </c>
      <c r="D4536" s="1">
        <v>44050.754328703704</v>
      </c>
      <c r="E4536" t="s">
        <v>14163</v>
      </c>
      <c r="F4536" t="s">
        <v>6618</v>
      </c>
      <c r="G4536" t="s">
        <v>14164</v>
      </c>
      <c r="H4536" t="s">
        <v>2237</v>
      </c>
      <c r="I4536" t="s">
        <v>29</v>
      </c>
      <c r="J4536">
        <v>1</v>
      </c>
      <c r="K4536">
        <f>1-877-503-7947</f>
        <v>-9326</v>
      </c>
      <c r="L4536" t="s">
        <v>14165</v>
      </c>
      <c r="M4536" t="s">
        <v>14166</v>
      </c>
      <c r="N4536" t="s">
        <v>278</v>
      </c>
      <c r="O4536" t="s">
        <v>28</v>
      </c>
      <c r="P4536" t="s">
        <v>292</v>
      </c>
      <c r="Q4536">
        <v>49</v>
      </c>
      <c r="R4536">
        <v>2.35222</v>
      </c>
    </row>
    <row r="4537" spans="1:18" x14ac:dyDescent="0.2">
      <c r="A4537" t="s">
        <v>2863</v>
      </c>
      <c r="B4537" t="s">
        <v>13739</v>
      </c>
      <c r="C4537">
        <v>1</v>
      </c>
      <c r="D4537" s="1">
        <v>44050.879537037035</v>
      </c>
      <c r="E4537" t="s">
        <v>14167</v>
      </c>
      <c r="F4537" t="s">
        <v>13741</v>
      </c>
      <c r="G4537" t="s">
        <v>14168</v>
      </c>
      <c r="H4537" t="s">
        <v>2868</v>
      </c>
      <c r="I4537" t="s">
        <v>29</v>
      </c>
      <c r="J4537">
        <v>1</v>
      </c>
      <c r="K4537">
        <f>1-885-271-6167</f>
        <v>-7322</v>
      </c>
      <c r="L4537" t="s">
        <v>14169</v>
      </c>
      <c r="M4537" t="s">
        <v>14170</v>
      </c>
      <c r="N4537" t="s">
        <v>5354</v>
      </c>
      <c r="O4537" t="s">
        <v>134</v>
      </c>
      <c r="P4537" t="s">
        <v>618</v>
      </c>
      <c r="Q4537">
        <v>55</v>
      </c>
      <c r="R4537">
        <v>-1.6219300000000001</v>
      </c>
    </row>
    <row r="4538" spans="1:18" x14ac:dyDescent="0.2">
      <c r="A4538" t="s">
        <v>663</v>
      </c>
      <c r="B4538" t="s">
        <v>664</v>
      </c>
      <c r="C4538">
        <v>1</v>
      </c>
      <c r="D4538" s="1">
        <v>44050.789733796293</v>
      </c>
      <c r="E4538" t="s">
        <v>14171</v>
      </c>
      <c r="F4538" t="s">
        <v>666</v>
      </c>
      <c r="G4538" t="s">
        <v>14171</v>
      </c>
      <c r="H4538" t="s">
        <v>667</v>
      </c>
      <c r="I4538" t="s">
        <v>29</v>
      </c>
      <c r="J4538">
        <v>1</v>
      </c>
      <c r="K4538">
        <f>1-866-802-9851</f>
        <v>-11518</v>
      </c>
      <c r="L4538" t="s">
        <v>14172</v>
      </c>
      <c r="M4538" t="s">
        <v>14173</v>
      </c>
      <c r="N4538">
        <v>19</v>
      </c>
      <c r="O4538" t="s">
        <v>134</v>
      </c>
      <c r="P4538" t="s">
        <v>29</v>
      </c>
      <c r="Q4538">
        <v>37</v>
      </c>
      <c r="R4538">
        <v>-99.999999000000003</v>
      </c>
    </row>
    <row r="4539" spans="1:18" x14ac:dyDescent="0.2">
      <c r="A4539" t="s">
        <v>14174</v>
      </c>
      <c r="B4539" t="s">
        <v>14175</v>
      </c>
      <c r="C4539">
        <v>81</v>
      </c>
      <c r="D4539" s="1">
        <v>44051.408206018517</v>
      </c>
      <c r="E4539" t="s">
        <v>14176</v>
      </c>
      <c r="F4539" t="s">
        <v>14177</v>
      </c>
      <c r="G4539" t="s">
        <v>14178</v>
      </c>
      <c r="H4539" t="s">
        <v>14179</v>
      </c>
      <c r="I4539" t="s">
        <v>53</v>
      </c>
      <c r="J4539">
        <v>81</v>
      </c>
      <c r="K4539">
        <f>81-50-3136-5335</f>
        <v>-8440</v>
      </c>
      <c r="L4539" t="s">
        <v>14180</v>
      </c>
      <c r="M4539" t="s">
        <v>14181</v>
      </c>
      <c r="N4539" t="s">
        <v>2475</v>
      </c>
      <c r="O4539" t="s">
        <v>28</v>
      </c>
      <c r="P4539" t="s">
        <v>29</v>
      </c>
      <c r="Q4539">
        <v>39</v>
      </c>
      <c r="R4539">
        <v>-94.578599999999994</v>
      </c>
    </row>
    <row r="4540" spans="1:18" x14ac:dyDescent="0.2">
      <c r="A4540" t="s">
        <v>663</v>
      </c>
      <c r="B4540" t="s">
        <v>664</v>
      </c>
      <c r="C4540">
        <v>1</v>
      </c>
      <c r="D4540" s="1">
        <v>44050.842002314814</v>
      </c>
      <c r="E4540" t="s">
        <v>14182</v>
      </c>
      <c r="F4540" t="s">
        <v>666</v>
      </c>
      <c r="G4540" t="s">
        <v>14182</v>
      </c>
      <c r="H4540" t="s">
        <v>667</v>
      </c>
      <c r="I4540" t="s">
        <v>29</v>
      </c>
      <c r="J4540">
        <v>1</v>
      </c>
      <c r="K4540">
        <f>1-866-710-3790</f>
        <v>-5365</v>
      </c>
      <c r="L4540" t="s">
        <v>14183</v>
      </c>
      <c r="M4540" t="s">
        <v>14184</v>
      </c>
      <c r="N4540">
        <v>216</v>
      </c>
      <c r="O4540" t="s">
        <v>134</v>
      </c>
      <c r="P4540" t="s">
        <v>29</v>
      </c>
      <c r="Q4540">
        <v>37</v>
      </c>
      <c r="R4540">
        <v>-99.999999000000003</v>
      </c>
    </row>
    <row r="4541" spans="1:18" x14ac:dyDescent="0.2">
      <c r="A4541" t="s">
        <v>663</v>
      </c>
      <c r="B4541" t="s">
        <v>2493</v>
      </c>
      <c r="C4541">
        <v>1</v>
      </c>
      <c r="D4541" s="1">
        <v>44050.847407407404</v>
      </c>
      <c r="E4541" t="s">
        <v>14185</v>
      </c>
      <c r="F4541" t="s">
        <v>666</v>
      </c>
      <c r="G4541" t="s">
        <v>14185</v>
      </c>
      <c r="H4541" t="s">
        <v>667</v>
      </c>
      <c r="I4541" t="s">
        <v>29</v>
      </c>
      <c r="J4541">
        <v>1</v>
      </c>
      <c r="K4541">
        <f>1-866-719-6630</f>
        <v>-8214</v>
      </c>
      <c r="L4541" t="s">
        <v>14186</v>
      </c>
      <c r="M4541" t="s">
        <v>14187</v>
      </c>
      <c r="N4541">
        <v>75</v>
      </c>
      <c r="O4541" t="s">
        <v>134</v>
      </c>
      <c r="P4541" t="s">
        <v>29</v>
      </c>
      <c r="Q4541">
        <v>41</v>
      </c>
      <c r="R4541">
        <v>-74.024699999999996</v>
      </c>
    </row>
    <row r="4542" spans="1:18" x14ac:dyDescent="0.2">
      <c r="A4542" t="s">
        <v>439</v>
      </c>
      <c r="B4542" t="s">
        <v>3094</v>
      </c>
      <c r="C4542">
        <v>1</v>
      </c>
      <c r="D4542" s="1">
        <v>44050.909571759257</v>
      </c>
      <c r="E4542" t="s">
        <v>14188</v>
      </c>
      <c r="F4542" t="s">
        <v>442</v>
      </c>
      <c r="G4542" t="s">
        <v>14189</v>
      </c>
      <c r="H4542" t="s">
        <v>444</v>
      </c>
      <c r="I4542" t="s">
        <v>29</v>
      </c>
      <c r="J4542">
        <v>1</v>
      </c>
      <c r="K4542">
        <f>1-888-540-7741</f>
        <v>-9168</v>
      </c>
      <c r="L4542" t="s">
        <v>14190</v>
      </c>
      <c r="M4542" t="s">
        <v>14191</v>
      </c>
      <c r="N4542" t="s">
        <v>5354</v>
      </c>
      <c r="O4542" t="s">
        <v>28</v>
      </c>
      <c r="P4542" t="s">
        <v>2268</v>
      </c>
      <c r="Q4542">
        <v>46</v>
      </c>
      <c r="R4542">
        <v>-73.567300000000003</v>
      </c>
    </row>
    <row r="4543" spans="1:18" x14ac:dyDescent="0.2">
      <c r="A4543" t="s">
        <v>439</v>
      </c>
      <c r="B4543" t="s">
        <v>3094</v>
      </c>
      <c r="C4543">
        <v>1</v>
      </c>
      <c r="D4543" s="1">
        <v>44050.914074074077</v>
      </c>
      <c r="E4543" t="s">
        <v>14192</v>
      </c>
      <c r="F4543" t="s">
        <v>442</v>
      </c>
      <c r="G4543" t="s">
        <v>14193</v>
      </c>
      <c r="H4543" t="s">
        <v>444</v>
      </c>
      <c r="I4543" t="s">
        <v>29</v>
      </c>
      <c r="J4543">
        <v>1</v>
      </c>
      <c r="K4543">
        <f>1-833-408-74</f>
        <v>-1314</v>
      </c>
      <c r="L4543" t="s">
        <v>14194</v>
      </c>
      <c r="M4543" t="s">
        <v>14195</v>
      </c>
      <c r="N4543" t="s">
        <v>674</v>
      </c>
      <c r="O4543" t="s">
        <v>28</v>
      </c>
      <c r="P4543" t="s">
        <v>2268</v>
      </c>
      <c r="Q4543">
        <v>46</v>
      </c>
      <c r="R4543">
        <v>-73.567300000000003</v>
      </c>
    </row>
    <row r="4544" spans="1:18" x14ac:dyDescent="0.2">
      <c r="A4544" t="s">
        <v>439</v>
      </c>
      <c r="B4544" t="s">
        <v>3094</v>
      </c>
      <c r="C4544">
        <v>1</v>
      </c>
      <c r="D4544" s="1">
        <v>44051.552384259259</v>
      </c>
      <c r="E4544" t="s">
        <v>14196</v>
      </c>
      <c r="F4544" t="s">
        <v>442</v>
      </c>
      <c r="G4544" t="s">
        <v>14197</v>
      </c>
      <c r="H4544" t="s">
        <v>444</v>
      </c>
      <c r="I4544" t="s">
        <v>29</v>
      </c>
      <c r="J4544">
        <v>1</v>
      </c>
      <c r="K4544">
        <f>1-855-247-310</f>
        <v>-1411</v>
      </c>
      <c r="L4544" t="s">
        <v>14198</v>
      </c>
      <c r="M4544" t="s">
        <v>14199</v>
      </c>
      <c r="N4544" t="s">
        <v>674</v>
      </c>
      <c r="O4544" t="s">
        <v>28</v>
      </c>
      <c r="P4544" t="s">
        <v>2268</v>
      </c>
      <c r="Q4544">
        <v>46</v>
      </c>
      <c r="R4544">
        <v>-73.567300000000003</v>
      </c>
    </row>
    <row r="4545" spans="1:18" x14ac:dyDescent="0.2">
      <c r="A4545" t="s">
        <v>663</v>
      </c>
      <c r="B4545" t="s">
        <v>664</v>
      </c>
      <c r="C4545">
        <v>1</v>
      </c>
      <c r="D4545" s="1">
        <v>44051.751030092593</v>
      </c>
      <c r="E4545" t="s">
        <v>14200</v>
      </c>
      <c r="F4545" t="s">
        <v>666</v>
      </c>
      <c r="G4545" t="s">
        <v>14200</v>
      </c>
      <c r="H4545" t="s">
        <v>667</v>
      </c>
      <c r="I4545" t="s">
        <v>29</v>
      </c>
      <c r="J4545">
        <v>1</v>
      </c>
      <c r="K4545">
        <f>1-866-803-64</f>
        <v>-1732</v>
      </c>
      <c r="L4545" t="s">
        <v>14201</v>
      </c>
      <c r="M4545" t="s">
        <v>14202</v>
      </c>
      <c r="N4545">
        <v>202</v>
      </c>
      <c r="O4545" t="s">
        <v>134</v>
      </c>
      <c r="P4545" t="s">
        <v>29</v>
      </c>
      <c r="Q4545">
        <v>37</v>
      </c>
      <c r="R4545">
        <v>-99.999999000000003</v>
      </c>
    </row>
    <row r="4546" spans="1:18" x14ac:dyDescent="0.2">
      <c r="A4546" t="s">
        <v>5349</v>
      </c>
      <c r="B4546" t="s">
        <v>440</v>
      </c>
      <c r="C4546">
        <v>1</v>
      </c>
      <c r="D4546" s="1">
        <v>44051.799039351848</v>
      </c>
      <c r="E4546" t="s">
        <v>14203</v>
      </c>
      <c r="F4546" t="s">
        <v>7023</v>
      </c>
      <c r="G4546" t="s">
        <v>14204</v>
      </c>
      <c r="H4546" t="s">
        <v>2237</v>
      </c>
      <c r="I4546" t="s">
        <v>29</v>
      </c>
      <c r="J4546">
        <v>1</v>
      </c>
      <c r="K4546">
        <f>1-866-643-5499</f>
        <v>-7007</v>
      </c>
      <c r="L4546" t="s">
        <v>14205</v>
      </c>
      <c r="M4546" t="s">
        <v>14206</v>
      </c>
      <c r="N4546" t="s">
        <v>5354</v>
      </c>
      <c r="O4546" t="s">
        <v>134</v>
      </c>
      <c r="P4546" t="s">
        <v>29</v>
      </c>
      <c r="Q4546">
        <v>39</v>
      </c>
      <c r="R4546">
        <v>-77.487399999999994</v>
      </c>
    </row>
    <row r="4547" spans="1:18" x14ac:dyDescent="0.2">
      <c r="A4547" t="s">
        <v>439</v>
      </c>
      <c r="B4547" t="s">
        <v>3094</v>
      </c>
      <c r="C4547">
        <v>1</v>
      </c>
      <c r="D4547" s="1">
        <v>44051.845821759256</v>
      </c>
      <c r="E4547" t="s">
        <v>14207</v>
      </c>
      <c r="F4547" t="s">
        <v>442</v>
      </c>
      <c r="G4547" t="s">
        <v>14208</v>
      </c>
      <c r="H4547" t="s">
        <v>444</v>
      </c>
      <c r="I4547" t="s">
        <v>29</v>
      </c>
      <c r="J4547">
        <v>1</v>
      </c>
      <c r="K4547">
        <f>1-833-426-5454</f>
        <v>-6712</v>
      </c>
      <c r="L4547" t="s">
        <v>14209</v>
      </c>
      <c r="M4547" t="s">
        <v>14210</v>
      </c>
      <c r="N4547" t="s">
        <v>674</v>
      </c>
      <c r="O4547" t="s">
        <v>28</v>
      </c>
      <c r="P4547" t="s">
        <v>2268</v>
      </c>
      <c r="Q4547">
        <v>46</v>
      </c>
      <c r="R4547">
        <v>-73.567300000000003</v>
      </c>
    </row>
    <row r="4548" spans="1:18" x14ac:dyDescent="0.2">
      <c r="A4548" t="s">
        <v>439</v>
      </c>
      <c r="B4548" t="s">
        <v>3094</v>
      </c>
      <c r="C4548">
        <v>1</v>
      </c>
      <c r="D4548" s="1">
        <v>44052.08902777778</v>
      </c>
      <c r="E4548" t="s">
        <v>14211</v>
      </c>
      <c r="F4548" t="s">
        <v>442</v>
      </c>
      <c r="G4548" t="s">
        <v>14212</v>
      </c>
      <c r="H4548" t="s">
        <v>444</v>
      </c>
      <c r="I4548" t="s">
        <v>29</v>
      </c>
      <c r="J4548">
        <v>1</v>
      </c>
      <c r="K4548">
        <f>1-877-621-4148</f>
        <v>-5645</v>
      </c>
      <c r="L4548" t="s">
        <v>14213</v>
      </c>
      <c r="M4548" t="s">
        <v>14214</v>
      </c>
      <c r="N4548" t="s">
        <v>213</v>
      </c>
      <c r="O4548" t="s">
        <v>28</v>
      </c>
      <c r="P4548" t="s">
        <v>2268</v>
      </c>
      <c r="Q4548">
        <v>46</v>
      </c>
      <c r="R4548">
        <v>-73.567300000000003</v>
      </c>
    </row>
    <row r="4549" spans="1:18" x14ac:dyDescent="0.2">
      <c r="A4549" t="s">
        <v>439</v>
      </c>
      <c r="B4549" t="s">
        <v>3094</v>
      </c>
      <c r="C4549">
        <v>1</v>
      </c>
      <c r="D4549" s="1">
        <v>44054.130115740743</v>
      </c>
      <c r="E4549" t="s">
        <v>14215</v>
      </c>
      <c r="F4549" t="s">
        <v>442</v>
      </c>
      <c r="G4549" t="s">
        <v>14216</v>
      </c>
      <c r="H4549" t="s">
        <v>444</v>
      </c>
      <c r="I4549" t="s">
        <v>29</v>
      </c>
      <c r="J4549">
        <v>1</v>
      </c>
      <c r="K4549">
        <f>1-888-530-8760</f>
        <v>-10177</v>
      </c>
      <c r="L4549" t="s">
        <v>14217</v>
      </c>
      <c r="M4549" t="s">
        <v>14218</v>
      </c>
      <c r="N4549" t="s">
        <v>213</v>
      </c>
      <c r="O4549" t="s">
        <v>28</v>
      </c>
      <c r="P4549" t="s">
        <v>2268</v>
      </c>
      <c r="Q4549">
        <v>46</v>
      </c>
      <c r="R4549">
        <v>-73.567300000000003</v>
      </c>
    </row>
    <row r="4550" spans="1:18" x14ac:dyDescent="0.2">
      <c r="A4550" t="s">
        <v>663</v>
      </c>
      <c r="B4550" t="s">
        <v>664</v>
      </c>
      <c r="C4550">
        <v>1</v>
      </c>
      <c r="D4550" s="1">
        <v>44052.776550925926</v>
      </c>
      <c r="E4550" t="s">
        <v>14219</v>
      </c>
      <c r="F4550" t="s">
        <v>666</v>
      </c>
      <c r="G4550" t="s">
        <v>14219</v>
      </c>
      <c r="H4550" t="s">
        <v>667</v>
      </c>
      <c r="I4550" t="s">
        <v>29</v>
      </c>
      <c r="J4550">
        <v>1</v>
      </c>
      <c r="K4550">
        <f>1-866-489-7117</f>
        <v>-8471</v>
      </c>
      <c r="L4550" t="s">
        <v>14220</v>
      </c>
      <c r="M4550" t="s">
        <v>14221</v>
      </c>
      <c r="N4550">
        <v>202</v>
      </c>
      <c r="O4550" t="s">
        <v>134</v>
      </c>
      <c r="P4550" t="s">
        <v>29</v>
      </c>
      <c r="Q4550">
        <v>37</v>
      </c>
      <c r="R4550">
        <v>-99.999999000000003</v>
      </c>
    </row>
    <row r="4551" spans="1:18" x14ac:dyDescent="0.2">
      <c r="A4551" t="s">
        <v>18</v>
      </c>
      <c r="B4551" t="s">
        <v>462</v>
      </c>
      <c r="C4551">
        <v>1</v>
      </c>
      <c r="D4551" s="1">
        <v>44052.797337962962</v>
      </c>
      <c r="E4551" t="s">
        <v>14222</v>
      </c>
      <c r="F4551" t="s">
        <v>464</v>
      </c>
      <c r="G4551" t="s">
        <v>14223</v>
      </c>
      <c r="H4551" t="s">
        <v>466</v>
      </c>
      <c r="I4551" t="s">
        <v>29</v>
      </c>
      <c r="J4551">
        <v>1</v>
      </c>
      <c r="K4551">
        <f>1-844-282-6936</f>
        <v>-8061</v>
      </c>
      <c r="L4551" t="s">
        <v>14224</v>
      </c>
      <c r="M4551" t="s">
        <v>14225</v>
      </c>
      <c r="N4551" t="s">
        <v>1645</v>
      </c>
      <c r="O4551" t="s">
        <v>134</v>
      </c>
      <c r="P4551" t="s">
        <v>29</v>
      </c>
      <c r="Q4551">
        <v>40</v>
      </c>
      <c r="R4551">
        <v>-99.999999000000003</v>
      </c>
    </row>
    <row r="4552" spans="1:18" x14ac:dyDescent="0.2">
      <c r="A4552" t="s">
        <v>18</v>
      </c>
      <c r="B4552" t="s">
        <v>462</v>
      </c>
      <c r="C4552">
        <v>1</v>
      </c>
      <c r="D4552" s="1">
        <v>44052.793113425927</v>
      </c>
      <c r="E4552" t="s">
        <v>14222</v>
      </c>
      <c r="F4552" t="s">
        <v>464</v>
      </c>
      <c r="G4552" t="s">
        <v>14223</v>
      </c>
      <c r="H4552" t="s">
        <v>466</v>
      </c>
      <c r="I4552" t="s">
        <v>29</v>
      </c>
      <c r="J4552">
        <v>1</v>
      </c>
      <c r="K4552">
        <f>1-844-815-7155</f>
        <v>-8813</v>
      </c>
      <c r="L4552" t="s">
        <v>14226</v>
      </c>
      <c r="M4552" t="s">
        <v>14227</v>
      </c>
      <c r="N4552" t="s">
        <v>1645</v>
      </c>
      <c r="O4552" t="s">
        <v>134</v>
      </c>
      <c r="P4552" t="s">
        <v>29</v>
      </c>
      <c r="Q4552">
        <v>40</v>
      </c>
      <c r="R4552">
        <v>-99.999999000000003</v>
      </c>
    </row>
    <row r="4553" spans="1:18" x14ac:dyDescent="0.2">
      <c r="A4553" t="s">
        <v>18</v>
      </c>
      <c r="B4553" t="s">
        <v>462</v>
      </c>
      <c r="C4553">
        <v>1</v>
      </c>
      <c r="D4553" s="1">
        <v>44052.792025462964</v>
      </c>
      <c r="E4553" t="s">
        <v>14222</v>
      </c>
      <c r="F4553" t="s">
        <v>464</v>
      </c>
      <c r="G4553" t="s">
        <v>14223</v>
      </c>
      <c r="H4553" t="s">
        <v>466</v>
      </c>
      <c r="I4553" t="s">
        <v>29</v>
      </c>
      <c r="J4553">
        <v>1</v>
      </c>
      <c r="K4553">
        <f>1-844-815-7155</f>
        <v>-8813</v>
      </c>
      <c r="L4553" t="s">
        <v>14228</v>
      </c>
      <c r="M4553" t="s">
        <v>14229</v>
      </c>
      <c r="N4553" t="s">
        <v>1645</v>
      </c>
      <c r="O4553" t="s">
        <v>134</v>
      </c>
      <c r="P4553" t="s">
        <v>29</v>
      </c>
      <c r="Q4553">
        <v>40</v>
      </c>
      <c r="R4553">
        <v>-99.999999000000003</v>
      </c>
    </row>
    <row r="4554" spans="1:18" x14ac:dyDescent="0.2">
      <c r="A4554" t="s">
        <v>18</v>
      </c>
      <c r="B4554" t="s">
        <v>462</v>
      </c>
      <c r="C4554">
        <v>1</v>
      </c>
      <c r="D4554" s="1">
        <v>44052.79111111111</v>
      </c>
      <c r="E4554" t="s">
        <v>14222</v>
      </c>
      <c r="F4554" t="s">
        <v>464</v>
      </c>
      <c r="G4554" t="s">
        <v>14223</v>
      </c>
      <c r="H4554" t="s">
        <v>466</v>
      </c>
      <c r="I4554" t="s">
        <v>29</v>
      </c>
      <c r="J4554">
        <v>1</v>
      </c>
      <c r="K4554">
        <f>1-844-815-7155</f>
        <v>-8813</v>
      </c>
      <c r="L4554" t="s">
        <v>14230</v>
      </c>
      <c r="M4554" t="s">
        <v>14231</v>
      </c>
      <c r="N4554" t="s">
        <v>1645</v>
      </c>
      <c r="O4554" t="s">
        <v>134</v>
      </c>
      <c r="P4554" t="s">
        <v>29</v>
      </c>
      <c r="Q4554">
        <v>40</v>
      </c>
      <c r="R4554">
        <v>-99.999999000000003</v>
      </c>
    </row>
    <row r="4555" spans="1:18" x14ac:dyDescent="0.2">
      <c r="A4555" t="s">
        <v>18</v>
      </c>
      <c r="B4555" t="s">
        <v>462</v>
      </c>
      <c r="C4555">
        <v>1</v>
      </c>
      <c r="D4555" s="1">
        <v>44052.789606481485</v>
      </c>
      <c r="E4555" t="s">
        <v>14222</v>
      </c>
      <c r="F4555" t="s">
        <v>464</v>
      </c>
      <c r="G4555" t="s">
        <v>14223</v>
      </c>
      <c r="H4555" t="s">
        <v>466</v>
      </c>
      <c r="I4555" t="s">
        <v>29</v>
      </c>
      <c r="J4555">
        <v>1</v>
      </c>
      <c r="K4555">
        <f>1-844-815-7155</f>
        <v>-8813</v>
      </c>
      <c r="L4555" t="s">
        <v>14232</v>
      </c>
      <c r="M4555" t="s">
        <v>14233</v>
      </c>
      <c r="N4555" t="s">
        <v>1645</v>
      </c>
      <c r="O4555" t="s">
        <v>134</v>
      </c>
      <c r="P4555" t="s">
        <v>29</v>
      </c>
      <c r="Q4555">
        <v>40</v>
      </c>
      <c r="R4555">
        <v>-99.999999000000003</v>
      </c>
    </row>
    <row r="4556" spans="1:18" x14ac:dyDescent="0.2">
      <c r="A4556" t="s">
        <v>18</v>
      </c>
      <c r="B4556" t="s">
        <v>19</v>
      </c>
      <c r="C4556">
        <v>1</v>
      </c>
      <c r="D4556" s="1">
        <v>44052.811527777776</v>
      </c>
      <c r="E4556" t="s">
        <v>14234</v>
      </c>
      <c r="F4556" t="s">
        <v>21</v>
      </c>
      <c r="G4556" t="s">
        <v>14235</v>
      </c>
      <c r="H4556" t="s">
        <v>466</v>
      </c>
      <c r="I4556" t="s">
        <v>29</v>
      </c>
      <c r="J4556">
        <v>1</v>
      </c>
      <c r="K4556">
        <f>1-6579879878</f>
        <v>-6579879877</v>
      </c>
      <c r="L4556" t="s">
        <v>14236</v>
      </c>
      <c r="M4556" t="s">
        <v>14237</v>
      </c>
      <c r="N4556" t="s">
        <v>12375</v>
      </c>
      <c r="O4556" t="s">
        <v>134</v>
      </c>
      <c r="P4556" t="s">
        <v>29</v>
      </c>
      <c r="Q4556">
        <v>30</v>
      </c>
      <c r="R4556">
        <v>-95.464100000000002</v>
      </c>
    </row>
    <row r="4557" spans="1:18" x14ac:dyDescent="0.2">
      <c r="A4557" t="s">
        <v>270</v>
      </c>
      <c r="B4557" t="s">
        <v>440</v>
      </c>
      <c r="C4557">
        <v>1</v>
      </c>
      <c r="D4557" s="1">
        <v>44090.798692129632</v>
      </c>
      <c r="E4557" t="s">
        <v>14238</v>
      </c>
      <c r="F4557" t="s">
        <v>273</v>
      </c>
      <c r="G4557" t="s">
        <v>14239</v>
      </c>
      <c r="H4557" t="s">
        <v>275</v>
      </c>
      <c r="I4557" t="s">
        <v>29</v>
      </c>
      <c r="J4557">
        <v>1</v>
      </c>
      <c r="K4557">
        <f>1-844-210-5886</f>
        <v>-6939</v>
      </c>
      <c r="L4557" t="s">
        <v>14240</v>
      </c>
      <c r="M4557" t="s">
        <v>14241</v>
      </c>
      <c r="N4557" t="s">
        <v>278</v>
      </c>
      <c r="O4557" t="s">
        <v>28</v>
      </c>
      <c r="P4557" t="s">
        <v>29</v>
      </c>
      <c r="Q4557">
        <v>39</v>
      </c>
      <c r="R4557">
        <v>-77.487399999999994</v>
      </c>
    </row>
    <row r="4558" spans="1:18" x14ac:dyDescent="0.2">
      <c r="A4558" t="s">
        <v>270</v>
      </c>
      <c r="B4558" t="s">
        <v>440</v>
      </c>
      <c r="C4558">
        <v>1</v>
      </c>
      <c r="D4558" s="1">
        <v>44090.798055555555</v>
      </c>
      <c r="E4558" t="s">
        <v>14242</v>
      </c>
      <c r="F4558" t="s">
        <v>273</v>
      </c>
      <c r="G4558" t="s">
        <v>14239</v>
      </c>
      <c r="H4558" t="s">
        <v>275</v>
      </c>
      <c r="I4558" t="s">
        <v>29</v>
      </c>
      <c r="J4558">
        <v>1</v>
      </c>
      <c r="K4558">
        <f>1-844-243-4064</f>
        <v>-5150</v>
      </c>
      <c r="L4558" t="s">
        <v>14243</v>
      </c>
      <c r="M4558" t="s">
        <v>14244</v>
      </c>
      <c r="N4558" t="s">
        <v>278</v>
      </c>
      <c r="O4558" t="s">
        <v>28</v>
      </c>
      <c r="P4558" t="s">
        <v>29</v>
      </c>
      <c r="Q4558">
        <v>39</v>
      </c>
      <c r="R4558">
        <v>-77.487399999999994</v>
      </c>
    </row>
    <row r="4559" spans="1:18" x14ac:dyDescent="0.2">
      <c r="A4559" t="s">
        <v>270</v>
      </c>
      <c r="B4559" t="s">
        <v>440</v>
      </c>
      <c r="C4559">
        <v>1</v>
      </c>
      <c r="D4559" s="1">
        <v>44090.416539351849</v>
      </c>
      <c r="E4559" t="s">
        <v>14245</v>
      </c>
      <c r="F4559" t="s">
        <v>273</v>
      </c>
      <c r="G4559" t="s">
        <v>14239</v>
      </c>
      <c r="H4559" t="s">
        <v>275</v>
      </c>
      <c r="I4559" t="s">
        <v>29</v>
      </c>
      <c r="J4559">
        <v>1</v>
      </c>
      <c r="K4559">
        <f>1-844-318-8589</f>
        <v>-9750</v>
      </c>
      <c r="L4559" t="s">
        <v>14246</v>
      </c>
      <c r="M4559" t="s">
        <v>14247</v>
      </c>
      <c r="N4559" t="s">
        <v>278</v>
      </c>
      <c r="O4559" t="s">
        <v>28</v>
      </c>
      <c r="P4559" t="s">
        <v>29</v>
      </c>
      <c r="Q4559">
        <v>39</v>
      </c>
      <c r="R4559">
        <v>-77.487399999999994</v>
      </c>
    </row>
    <row r="4560" spans="1:18" x14ac:dyDescent="0.2">
      <c r="A4560" t="s">
        <v>270</v>
      </c>
      <c r="B4560" t="s">
        <v>440</v>
      </c>
      <c r="C4560">
        <v>1</v>
      </c>
      <c r="D4560" s="1">
        <v>44090.416215277779</v>
      </c>
      <c r="E4560" t="s">
        <v>14248</v>
      </c>
      <c r="F4560" t="s">
        <v>273</v>
      </c>
      <c r="G4560" t="s">
        <v>14239</v>
      </c>
      <c r="H4560" t="s">
        <v>275</v>
      </c>
      <c r="I4560" t="s">
        <v>29</v>
      </c>
      <c r="J4560">
        <v>1</v>
      </c>
      <c r="K4560">
        <f>1-844-254-8317</f>
        <v>-9414</v>
      </c>
      <c r="L4560" t="s">
        <v>14249</v>
      </c>
      <c r="M4560" t="s">
        <v>14250</v>
      </c>
      <c r="N4560" t="s">
        <v>278</v>
      </c>
      <c r="O4560" t="s">
        <v>28</v>
      </c>
      <c r="P4560" t="s">
        <v>29</v>
      </c>
      <c r="Q4560">
        <v>39</v>
      </c>
      <c r="R4560">
        <v>-77.487399999999994</v>
      </c>
    </row>
    <row r="4561" spans="1:18" x14ac:dyDescent="0.2">
      <c r="A4561" t="s">
        <v>270</v>
      </c>
      <c r="B4561" t="s">
        <v>440</v>
      </c>
      <c r="C4561">
        <v>1</v>
      </c>
      <c r="D4561" s="1">
        <v>44090.416018518517</v>
      </c>
      <c r="E4561" t="s">
        <v>14251</v>
      </c>
      <c r="F4561" t="s">
        <v>273</v>
      </c>
      <c r="G4561" t="s">
        <v>14239</v>
      </c>
      <c r="H4561" t="s">
        <v>275</v>
      </c>
      <c r="I4561" t="s">
        <v>29</v>
      </c>
      <c r="J4561">
        <v>1</v>
      </c>
      <c r="K4561">
        <f>1-844-287-1059</f>
        <v>-2189</v>
      </c>
      <c r="L4561" t="s">
        <v>14252</v>
      </c>
      <c r="M4561" t="s">
        <v>14253</v>
      </c>
      <c r="N4561" t="s">
        <v>278</v>
      </c>
      <c r="O4561" t="s">
        <v>28</v>
      </c>
      <c r="P4561" t="s">
        <v>29</v>
      </c>
      <c r="Q4561">
        <v>39</v>
      </c>
      <c r="R4561">
        <v>-77.487399999999994</v>
      </c>
    </row>
    <row r="4562" spans="1:18" x14ac:dyDescent="0.2">
      <c r="A4562" t="s">
        <v>270</v>
      </c>
      <c r="B4562" t="s">
        <v>440</v>
      </c>
      <c r="C4562">
        <v>1</v>
      </c>
      <c r="D4562" s="1">
        <v>44090.415694444448</v>
      </c>
      <c r="E4562" t="s">
        <v>14254</v>
      </c>
      <c r="F4562" t="s">
        <v>273</v>
      </c>
      <c r="G4562" t="s">
        <v>14239</v>
      </c>
      <c r="H4562" t="s">
        <v>275</v>
      </c>
      <c r="I4562" t="s">
        <v>29</v>
      </c>
      <c r="J4562">
        <v>1</v>
      </c>
      <c r="K4562">
        <f>1-844-293-8713</f>
        <v>-9849</v>
      </c>
      <c r="L4562" t="s">
        <v>14255</v>
      </c>
      <c r="M4562" t="s">
        <v>14256</v>
      </c>
      <c r="N4562" t="s">
        <v>278</v>
      </c>
      <c r="O4562" t="s">
        <v>28</v>
      </c>
      <c r="P4562" t="s">
        <v>29</v>
      </c>
      <c r="Q4562">
        <v>39</v>
      </c>
      <c r="R4562">
        <v>-77.487399999999994</v>
      </c>
    </row>
    <row r="4563" spans="1:18" x14ac:dyDescent="0.2">
      <c r="A4563" t="s">
        <v>270</v>
      </c>
      <c r="B4563" t="s">
        <v>440</v>
      </c>
      <c r="C4563">
        <v>1</v>
      </c>
      <c r="D4563" s="1">
        <v>44089.431481481479</v>
      </c>
      <c r="E4563" t="s">
        <v>14257</v>
      </c>
      <c r="F4563" t="s">
        <v>273</v>
      </c>
      <c r="G4563" t="s">
        <v>14239</v>
      </c>
      <c r="H4563" t="s">
        <v>275</v>
      </c>
      <c r="I4563" t="s">
        <v>29</v>
      </c>
      <c r="J4563">
        <v>1</v>
      </c>
      <c r="K4563">
        <f>1-844-210-4337</f>
        <v>-5390</v>
      </c>
      <c r="L4563" t="s">
        <v>14258</v>
      </c>
      <c r="M4563" t="s">
        <v>14259</v>
      </c>
      <c r="N4563" t="s">
        <v>278</v>
      </c>
      <c r="O4563" t="s">
        <v>28</v>
      </c>
      <c r="P4563" t="s">
        <v>29</v>
      </c>
      <c r="Q4563">
        <v>39</v>
      </c>
      <c r="R4563">
        <v>-77.487399999999994</v>
      </c>
    </row>
    <row r="4564" spans="1:18" x14ac:dyDescent="0.2">
      <c r="A4564" t="s">
        <v>270</v>
      </c>
      <c r="B4564" t="s">
        <v>440</v>
      </c>
      <c r="C4564">
        <v>1</v>
      </c>
      <c r="D4564" s="1">
        <v>44082.94636574074</v>
      </c>
      <c r="E4564" t="s">
        <v>14260</v>
      </c>
      <c r="F4564" t="s">
        <v>273</v>
      </c>
      <c r="G4564" t="s">
        <v>14239</v>
      </c>
      <c r="H4564" t="s">
        <v>275</v>
      </c>
      <c r="I4564" t="s">
        <v>29</v>
      </c>
      <c r="J4564">
        <v>1</v>
      </c>
      <c r="K4564">
        <f>1-888-585-7311</f>
        <v>-8783</v>
      </c>
      <c r="L4564" t="s">
        <v>14261</v>
      </c>
      <c r="M4564" t="s">
        <v>14262</v>
      </c>
      <c r="N4564" t="s">
        <v>278</v>
      </c>
      <c r="O4564" t="s">
        <v>28</v>
      </c>
      <c r="P4564" t="s">
        <v>29</v>
      </c>
      <c r="Q4564">
        <v>39</v>
      </c>
      <c r="R4564">
        <v>-77.487399999999994</v>
      </c>
    </row>
    <row r="4565" spans="1:18" x14ac:dyDescent="0.2">
      <c r="A4565" t="s">
        <v>270</v>
      </c>
      <c r="B4565" t="s">
        <v>440</v>
      </c>
      <c r="C4565">
        <v>1</v>
      </c>
      <c r="D4565" s="1">
        <v>44080.839409722219</v>
      </c>
      <c r="E4565" t="s">
        <v>14263</v>
      </c>
      <c r="F4565" t="s">
        <v>273</v>
      </c>
      <c r="G4565" t="s">
        <v>14239</v>
      </c>
      <c r="H4565" t="s">
        <v>275</v>
      </c>
      <c r="I4565" t="s">
        <v>29</v>
      </c>
      <c r="J4565">
        <v>1</v>
      </c>
      <c r="K4565">
        <f>1-844-476-8427</f>
        <v>-9746</v>
      </c>
      <c r="L4565" t="s">
        <v>14264</v>
      </c>
      <c r="M4565" t="s">
        <v>14265</v>
      </c>
      <c r="N4565" t="s">
        <v>278</v>
      </c>
      <c r="O4565" t="s">
        <v>134</v>
      </c>
      <c r="P4565" t="s">
        <v>29</v>
      </c>
      <c r="Q4565">
        <v>39</v>
      </c>
      <c r="R4565">
        <v>-77.487399999999994</v>
      </c>
    </row>
    <row r="4566" spans="1:18" x14ac:dyDescent="0.2">
      <c r="A4566" t="s">
        <v>270</v>
      </c>
      <c r="B4566" t="s">
        <v>440</v>
      </c>
      <c r="C4566">
        <v>1</v>
      </c>
      <c r="D4566" s="1">
        <v>44078.852592592593</v>
      </c>
      <c r="E4566" t="s">
        <v>14266</v>
      </c>
      <c r="F4566" t="s">
        <v>273</v>
      </c>
      <c r="G4566" t="s">
        <v>14239</v>
      </c>
      <c r="H4566" t="s">
        <v>275</v>
      </c>
      <c r="I4566" t="s">
        <v>29</v>
      </c>
      <c r="J4566">
        <v>1</v>
      </c>
      <c r="K4566">
        <f>1-866-591-3044</f>
        <v>-4500</v>
      </c>
      <c r="L4566" t="s">
        <v>14267</v>
      </c>
      <c r="M4566" t="s">
        <v>14268</v>
      </c>
      <c r="N4566" t="s">
        <v>278</v>
      </c>
      <c r="O4566" t="s">
        <v>134</v>
      </c>
      <c r="P4566" t="s">
        <v>29</v>
      </c>
      <c r="Q4566">
        <v>39</v>
      </c>
      <c r="R4566">
        <v>-77.487399999999994</v>
      </c>
    </row>
    <row r="4567" spans="1:18" x14ac:dyDescent="0.2">
      <c r="A4567" t="s">
        <v>270</v>
      </c>
      <c r="B4567" t="s">
        <v>440</v>
      </c>
      <c r="C4567">
        <v>1</v>
      </c>
      <c r="D4567" s="1">
        <v>44078.851053240738</v>
      </c>
      <c r="E4567" t="s">
        <v>14269</v>
      </c>
      <c r="F4567" t="s">
        <v>273</v>
      </c>
      <c r="G4567" t="s">
        <v>14239</v>
      </c>
      <c r="H4567" t="s">
        <v>275</v>
      </c>
      <c r="I4567" t="s">
        <v>29</v>
      </c>
      <c r="J4567">
        <v>1</v>
      </c>
      <c r="K4567">
        <f>1-866-508-4958</f>
        <v>-6331</v>
      </c>
      <c r="L4567" t="s">
        <v>14270</v>
      </c>
      <c r="M4567" t="s">
        <v>14271</v>
      </c>
      <c r="N4567" t="s">
        <v>278</v>
      </c>
      <c r="O4567" t="s">
        <v>134</v>
      </c>
      <c r="P4567" t="s">
        <v>29</v>
      </c>
      <c r="Q4567">
        <v>39</v>
      </c>
      <c r="R4567">
        <v>-77.487399999999994</v>
      </c>
    </row>
    <row r="4568" spans="1:18" x14ac:dyDescent="0.2">
      <c r="A4568" t="s">
        <v>270</v>
      </c>
      <c r="B4568" t="s">
        <v>440</v>
      </c>
      <c r="C4568">
        <v>1</v>
      </c>
      <c r="D4568" s="1">
        <v>44078.849328703705</v>
      </c>
      <c r="E4568" t="s">
        <v>14272</v>
      </c>
      <c r="F4568" t="s">
        <v>273</v>
      </c>
      <c r="G4568" t="s">
        <v>14239</v>
      </c>
      <c r="H4568" t="s">
        <v>275</v>
      </c>
      <c r="I4568" t="s">
        <v>29</v>
      </c>
      <c r="J4568">
        <v>1</v>
      </c>
      <c r="K4568">
        <f>1-866-591-3044</f>
        <v>-4500</v>
      </c>
      <c r="L4568" t="s">
        <v>14273</v>
      </c>
      <c r="M4568" t="s">
        <v>14274</v>
      </c>
      <c r="N4568" t="s">
        <v>278</v>
      </c>
      <c r="O4568" t="s">
        <v>134</v>
      </c>
      <c r="P4568" t="s">
        <v>29</v>
      </c>
      <c r="Q4568">
        <v>39</v>
      </c>
      <c r="R4568">
        <v>-77.487399999999994</v>
      </c>
    </row>
    <row r="4569" spans="1:18" x14ac:dyDescent="0.2">
      <c r="A4569" t="s">
        <v>270</v>
      </c>
      <c r="B4569" t="s">
        <v>440</v>
      </c>
      <c r="C4569">
        <v>1</v>
      </c>
      <c r="D4569" s="1">
        <v>44077.597025462965</v>
      </c>
      <c r="E4569" t="s">
        <v>14275</v>
      </c>
      <c r="F4569" t="s">
        <v>273</v>
      </c>
      <c r="G4569" t="s">
        <v>14239</v>
      </c>
      <c r="H4569" t="s">
        <v>275</v>
      </c>
      <c r="I4569" t="s">
        <v>29</v>
      </c>
      <c r="J4569">
        <v>1</v>
      </c>
      <c r="K4569">
        <f>1-888-416-169</f>
        <v>-1472</v>
      </c>
      <c r="L4569" t="s">
        <v>14276</v>
      </c>
      <c r="M4569" t="s">
        <v>14277</v>
      </c>
      <c r="N4569" t="s">
        <v>278</v>
      </c>
      <c r="O4569" t="s">
        <v>134</v>
      </c>
      <c r="P4569" t="s">
        <v>29</v>
      </c>
      <c r="Q4569">
        <v>39</v>
      </c>
      <c r="R4569">
        <v>-77.487399999999994</v>
      </c>
    </row>
    <row r="4570" spans="1:18" x14ac:dyDescent="0.2">
      <c r="A4570" t="s">
        <v>270</v>
      </c>
      <c r="B4570" t="s">
        <v>440</v>
      </c>
      <c r="C4570">
        <v>1</v>
      </c>
      <c r="D4570" s="1">
        <v>44077.596898148149</v>
      </c>
      <c r="E4570" t="s">
        <v>14278</v>
      </c>
      <c r="F4570" t="s">
        <v>273</v>
      </c>
      <c r="G4570" t="s">
        <v>14239</v>
      </c>
      <c r="H4570" t="s">
        <v>275</v>
      </c>
      <c r="I4570" t="s">
        <v>29</v>
      </c>
      <c r="J4570">
        <v>1</v>
      </c>
      <c r="K4570">
        <f>1-888-599-4708</f>
        <v>-6194</v>
      </c>
      <c r="L4570" t="s">
        <v>14279</v>
      </c>
      <c r="M4570" t="s">
        <v>14280</v>
      </c>
      <c r="N4570" t="s">
        <v>278</v>
      </c>
      <c r="O4570" t="s">
        <v>134</v>
      </c>
      <c r="P4570" t="s">
        <v>29</v>
      </c>
      <c r="Q4570">
        <v>39</v>
      </c>
      <c r="R4570">
        <v>-77.487399999999994</v>
      </c>
    </row>
    <row r="4571" spans="1:18" x14ac:dyDescent="0.2">
      <c r="A4571" t="s">
        <v>270</v>
      </c>
      <c r="B4571" t="s">
        <v>440</v>
      </c>
      <c r="C4571">
        <v>1</v>
      </c>
      <c r="D4571" s="1">
        <v>44077.596678240741</v>
      </c>
      <c r="E4571" t="s">
        <v>14281</v>
      </c>
      <c r="F4571" t="s">
        <v>273</v>
      </c>
      <c r="G4571" t="s">
        <v>14239</v>
      </c>
      <c r="H4571" t="s">
        <v>275</v>
      </c>
      <c r="I4571" t="s">
        <v>29</v>
      </c>
      <c r="J4571">
        <v>1</v>
      </c>
      <c r="K4571">
        <f>1-888-599-4708</f>
        <v>-6194</v>
      </c>
      <c r="L4571" t="s">
        <v>14282</v>
      </c>
      <c r="M4571" t="s">
        <v>14283</v>
      </c>
      <c r="N4571" t="s">
        <v>278</v>
      </c>
      <c r="O4571" t="s">
        <v>134</v>
      </c>
      <c r="P4571" t="s">
        <v>29</v>
      </c>
      <c r="Q4571">
        <v>39</v>
      </c>
      <c r="R4571">
        <v>-77.487399999999994</v>
      </c>
    </row>
    <row r="4572" spans="1:18" x14ac:dyDescent="0.2">
      <c r="A4572" t="s">
        <v>270</v>
      </c>
      <c r="B4572" t="s">
        <v>440</v>
      </c>
      <c r="C4572">
        <v>1</v>
      </c>
      <c r="D4572" s="1">
        <v>44077.596666666665</v>
      </c>
      <c r="E4572" t="s">
        <v>14284</v>
      </c>
      <c r="F4572" t="s">
        <v>273</v>
      </c>
      <c r="G4572" t="s">
        <v>14239</v>
      </c>
      <c r="H4572" t="s">
        <v>275</v>
      </c>
      <c r="I4572" t="s">
        <v>29</v>
      </c>
      <c r="J4572">
        <v>1</v>
      </c>
      <c r="K4572">
        <f>1-888-599-4708</f>
        <v>-6194</v>
      </c>
      <c r="L4572" t="s">
        <v>14285</v>
      </c>
      <c r="M4572" t="s">
        <v>14286</v>
      </c>
      <c r="N4572" t="s">
        <v>278</v>
      </c>
      <c r="O4572" t="s">
        <v>134</v>
      </c>
      <c r="P4572" t="s">
        <v>29</v>
      </c>
      <c r="Q4572">
        <v>39</v>
      </c>
      <c r="R4572">
        <v>-77.487399999999994</v>
      </c>
    </row>
    <row r="4573" spans="1:18" x14ac:dyDescent="0.2">
      <c r="A4573" t="s">
        <v>270</v>
      </c>
      <c r="B4573" t="s">
        <v>440</v>
      </c>
      <c r="C4573">
        <v>1</v>
      </c>
      <c r="D4573" s="1">
        <v>44077.596597222226</v>
      </c>
      <c r="E4573" t="s">
        <v>14287</v>
      </c>
      <c r="F4573" t="s">
        <v>273</v>
      </c>
      <c r="G4573" t="s">
        <v>14239</v>
      </c>
      <c r="H4573" t="s">
        <v>275</v>
      </c>
      <c r="I4573" t="s">
        <v>29</v>
      </c>
      <c r="J4573">
        <v>1</v>
      </c>
      <c r="K4573">
        <f>1-888-599-4708</f>
        <v>-6194</v>
      </c>
      <c r="L4573" t="s">
        <v>14288</v>
      </c>
      <c r="M4573" t="s">
        <v>14289</v>
      </c>
      <c r="N4573" t="s">
        <v>278</v>
      </c>
      <c r="O4573" t="s">
        <v>134</v>
      </c>
      <c r="P4573" t="s">
        <v>29</v>
      </c>
      <c r="Q4573">
        <v>39</v>
      </c>
      <c r="R4573">
        <v>-77.487399999999994</v>
      </c>
    </row>
    <row r="4574" spans="1:18" x14ac:dyDescent="0.2">
      <c r="A4574" t="s">
        <v>270</v>
      </c>
      <c r="B4574" t="s">
        <v>440</v>
      </c>
      <c r="C4574">
        <v>1</v>
      </c>
      <c r="D4574" s="1">
        <v>44076.044236111113</v>
      </c>
      <c r="E4574" t="s">
        <v>14290</v>
      </c>
      <c r="F4574" t="s">
        <v>273</v>
      </c>
      <c r="G4574" t="s">
        <v>14239</v>
      </c>
      <c r="H4574" t="s">
        <v>275</v>
      </c>
      <c r="I4574" t="s">
        <v>29</v>
      </c>
      <c r="J4574">
        <v>1</v>
      </c>
      <c r="K4574">
        <f>1-888-541-4913</f>
        <v>-6341</v>
      </c>
      <c r="L4574" t="s">
        <v>14291</v>
      </c>
      <c r="M4574" t="s">
        <v>14292</v>
      </c>
      <c r="N4574" t="s">
        <v>278</v>
      </c>
      <c r="O4574" t="s">
        <v>28</v>
      </c>
      <c r="P4574" t="s">
        <v>29</v>
      </c>
      <c r="Q4574">
        <v>39</v>
      </c>
      <c r="R4574">
        <v>-77.487399999999994</v>
      </c>
    </row>
    <row r="4575" spans="1:18" x14ac:dyDescent="0.2">
      <c r="A4575" t="s">
        <v>270</v>
      </c>
      <c r="B4575" t="s">
        <v>440</v>
      </c>
      <c r="C4575">
        <v>1</v>
      </c>
      <c r="D4575" s="1">
        <v>44076.043946759259</v>
      </c>
      <c r="E4575" t="s">
        <v>14293</v>
      </c>
      <c r="F4575" t="s">
        <v>273</v>
      </c>
      <c r="G4575" t="s">
        <v>14239</v>
      </c>
      <c r="H4575" t="s">
        <v>275</v>
      </c>
      <c r="I4575" t="s">
        <v>29</v>
      </c>
      <c r="J4575">
        <v>1</v>
      </c>
      <c r="K4575">
        <f>1-888-541-4913</f>
        <v>-6341</v>
      </c>
      <c r="L4575" t="s">
        <v>14294</v>
      </c>
      <c r="M4575" t="s">
        <v>14295</v>
      </c>
      <c r="N4575" t="s">
        <v>278</v>
      </c>
      <c r="O4575" t="s">
        <v>28</v>
      </c>
      <c r="P4575" t="s">
        <v>29</v>
      </c>
      <c r="Q4575">
        <v>39</v>
      </c>
      <c r="R4575">
        <v>-77.487399999999994</v>
      </c>
    </row>
    <row r="4576" spans="1:18" x14ac:dyDescent="0.2">
      <c r="A4576" t="s">
        <v>270</v>
      </c>
      <c r="B4576" t="s">
        <v>440</v>
      </c>
      <c r="C4576">
        <v>1</v>
      </c>
      <c r="D4576" s="1">
        <v>44074.928298611114</v>
      </c>
      <c r="E4576" t="s">
        <v>14296</v>
      </c>
      <c r="F4576" t="s">
        <v>273</v>
      </c>
      <c r="G4576" t="s">
        <v>14239</v>
      </c>
      <c r="H4576" t="s">
        <v>275</v>
      </c>
      <c r="I4576" t="s">
        <v>29</v>
      </c>
      <c r="J4576">
        <v>1</v>
      </c>
      <c r="K4576">
        <f>1-888-635-4501</f>
        <v>-6023</v>
      </c>
      <c r="L4576" t="s">
        <v>14297</v>
      </c>
      <c r="M4576" t="s">
        <v>14298</v>
      </c>
      <c r="N4576" t="s">
        <v>278</v>
      </c>
      <c r="O4576" t="s">
        <v>28</v>
      </c>
      <c r="P4576" t="s">
        <v>29</v>
      </c>
      <c r="Q4576">
        <v>39</v>
      </c>
      <c r="R4576">
        <v>-77.487399999999994</v>
      </c>
    </row>
    <row r="4577" spans="1:18" x14ac:dyDescent="0.2">
      <c r="A4577" t="s">
        <v>270</v>
      </c>
      <c r="B4577" t="s">
        <v>440</v>
      </c>
      <c r="C4577">
        <v>1</v>
      </c>
      <c r="D4577" s="1">
        <v>44073.027326388888</v>
      </c>
      <c r="E4577" t="s">
        <v>14299</v>
      </c>
      <c r="F4577" t="s">
        <v>273</v>
      </c>
      <c r="G4577" t="s">
        <v>14239</v>
      </c>
      <c r="H4577" t="s">
        <v>275</v>
      </c>
      <c r="I4577" t="s">
        <v>29</v>
      </c>
      <c r="J4577">
        <v>1</v>
      </c>
      <c r="K4577">
        <f>1-888-909-1336</f>
        <v>-3132</v>
      </c>
      <c r="L4577" t="s">
        <v>14300</v>
      </c>
      <c r="M4577" t="s">
        <v>14301</v>
      </c>
      <c r="N4577" t="s">
        <v>278</v>
      </c>
      <c r="O4577" t="s">
        <v>134</v>
      </c>
      <c r="P4577" t="s">
        <v>29</v>
      </c>
      <c r="Q4577">
        <v>39</v>
      </c>
      <c r="R4577">
        <v>-77.487399999999994</v>
      </c>
    </row>
    <row r="4578" spans="1:18" x14ac:dyDescent="0.2">
      <c r="A4578" t="s">
        <v>270</v>
      </c>
      <c r="B4578" t="s">
        <v>440</v>
      </c>
      <c r="C4578">
        <v>1</v>
      </c>
      <c r="D4578" s="1">
        <v>44071.916064814817</v>
      </c>
      <c r="E4578" t="s">
        <v>14302</v>
      </c>
      <c r="F4578" t="s">
        <v>273</v>
      </c>
      <c r="G4578" t="s">
        <v>14239</v>
      </c>
      <c r="H4578" t="s">
        <v>275</v>
      </c>
      <c r="I4578" t="s">
        <v>29</v>
      </c>
      <c r="J4578">
        <v>1</v>
      </c>
      <c r="K4578">
        <f>1-888-312-1430</f>
        <v>-2629</v>
      </c>
      <c r="L4578" t="s">
        <v>14303</v>
      </c>
      <c r="M4578" t="s">
        <v>14304</v>
      </c>
      <c r="N4578" t="s">
        <v>278</v>
      </c>
      <c r="O4578" t="s">
        <v>134</v>
      </c>
      <c r="P4578" t="s">
        <v>29</v>
      </c>
      <c r="Q4578">
        <v>39</v>
      </c>
      <c r="R4578">
        <v>-77.487399999999994</v>
      </c>
    </row>
    <row r="4579" spans="1:18" x14ac:dyDescent="0.2">
      <c r="A4579" t="s">
        <v>270</v>
      </c>
      <c r="B4579" t="s">
        <v>440</v>
      </c>
      <c r="C4579">
        <v>1</v>
      </c>
      <c r="D4579" s="1">
        <v>44071.906469907408</v>
      </c>
      <c r="E4579" t="s">
        <v>14305</v>
      </c>
      <c r="F4579" t="s">
        <v>273</v>
      </c>
      <c r="G4579" t="s">
        <v>14239</v>
      </c>
      <c r="H4579" t="s">
        <v>275</v>
      </c>
      <c r="I4579" t="s">
        <v>29</v>
      </c>
      <c r="J4579">
        <v>1</v>
      </c>
      <c r="K4579">
        <f>1-888-803-850</f>
        <v>-2540</v>
      </c>
      <c r="L4579" t="s">
        <v>14306</v>
      </c>
      <c r="M4579" t="s">
        <v>14307</v>
      </c>
      <c r="N4579" t="s">
        <v>278</v>
      </c>
      <c r="O4579" t="s">
        <v>134</v>
      </c>
      <c r="P4579" t="s">
        <v>29</v>
      </c>
      <c r="Q4579">
        <v>39</v>
      </c>
      <c r="R4579">
        <v>-77.487399999999994</v>
      </c>
    </row>
    <row r="4580" spans="1:18" x14ac:dyDescent="0.2">
      <c r="A4580" t="s">
        <v>270</v>
      </c>
      <c r="B4580" t="s">
        <v>440</v>
      </c>
      <c r="C4580">
        <v>1</v>
      </c>
      <c r="D4580" s="1">
        <v>44071.889432870368</v>
      </c>
      <c r="E4580" t="s">
        <v>14308</v>
      </c>
      <c r="F4580" t="s">
        <v>273</v>
      </c>
      <c r="G4580" t="s">
        <v>14239</v>
      </c>
      <c r="H4580" t="s">
        <v>275</v>
      </c>
      <c r="I4580" t="s">
        <v>29</v>
      </c>
      <c r="J4580">
        <v>1</v>
      </c>
      <c r="K4580">
        <f>1-888-312-1430</f>
        <v>-2629</v>
      </c>
      <c r="L4580" t="s">
        <v>14309</v>
      </c>
      <c r="M4580" t="s">
        <v>14310</v>
      </c>
      <c r="N4580" t="s">
        <v>278</v>
      </c>
      <c r="O4580" t="s">
        <v>134</v>
      </c>
      <c r="P4580" t="s">
        <v>29</v>
      </c>
      <c r="Q4580">
        <v>39</v>
      </c>
      <c r="R4580">
        <v>-77.487399999999994</v>
      </c>
    </row>
    <row r="4581" spans="1:18" x14ac:dyDescent="0.2">
      <c r="A4581" t="s">
        <v>270</v>
      </c>
      <c r="B4581" t="s">
        <v>440</v>
      </c>
      <c r="C4581">
        <v>1</v>
      </c>
      <c r="D4581" s="1">
        <v>44071.424942129626</v>
      </c>
      <c r="E4581" t="s">
        <v>14311</v>
      </c>
      <c r="F4581" t="s">
        <v>273</v>
      </c>
      <c r="G4581" t="s">
        <v>14239</v>
      </c>
      <c r="H4581" t="s">
        <v>275</v>
      </c>
      <c r="I4581" t="s">
        <v>29</v>
      </c>
      <c r="J4581">
        <v>1</v>
      </c>
      <c r="K4581">
        <f>1-888-417-4090</f>
        <v>-5394</v>
      </c>
      <c r="L4581" t="s">
        <v>14312</v>
      </c>
      <c r="M4581" t="s">
        <v>14313</v>
      </c>
      <c r="N4581" t="s">
        <v>278</v>
      </c>
      <c r="O4581" t="s">
        <v>134</v>
      </c>
      <c r="P4581" t="s">
        <v>29</v>
      </c>
      <c r="Q4581">
        <v>39</v>
      </c>
      <c r="R4581">
        <v>-77.487399999999994</v>
      </c>
    </row>
    <row r="4582" spans="1:18" x14ac:dyDescent="0.2">
      <c r="A4582" t="s">
        <v>270</v>
      </c>
      <c r="B4582" t="s">
        <v>440</v>
      </c>
      <c r="C4582">
        <v>1</v>
      </c>
      <c r="D4582" s="1">
        <v>44070.600902777776</v>
      </c>
      <c r="E4582" t="s">
        <v>14314</v>
      </c>
      <c r="F4582" t="s">
        <v>273</v>
      </c>
      <c r="G4582" t="s">
        <v>14239</v>
      </c>
      <c r="H4582" t="s">
        <v>275</v>
      </c>
      <c r="I4582" t="s">
        <v>29</v>
      </c>
      <c r="J4582">
        <v>1</v>
      </c>
      <c r="K4582">
        <f>1-888-527-4189</f>
        <v>-5603</v>
      </c>
      <c r="L4582" t="s">
        <v>14315</v>
      </c>
      <c r="M4582" t="s">
        <v>14316</v>
      </c>
      <c r="N4582" t="s">
        <v>278</v>
      </c>
      <c r="O4582" t="s">
        <v>134</v>
      </c>
      <c r="P4582" t="s">
        <v>29</v>
      </c>
      <c r="Q4582">
        <v>39</v>
      </c>
      <c r="R4582">
        <v>-77.487399999999994</v>
      </c>
    </row>
    <row r="4583" spans="1:18" x14ac:dyDescent="0.2">
      <c r="A4583" t="s">
        <v>270</v>
      </c>
      <c r="B4583" t="s">
        <v>440</v>
      </c>
      <c r="C4583">
        <v>1</v>
      </c>
      <c r="D4583" s="1">
        <v>44070.581284722219</v>
      </c>
      <c r="E4583" t="s">
        <v>14317</v>
      </c>
      <c r="F4583" t="s">
        <v>273</v>
      </c>
      <c r="G4583" t="s">
        <v>14239</v>
      </c>
      <c r="H4583" t="s">
        <v>275</v>
      </c>
      <c r="I4583" t="s">
        <v>29</v>
      </c>
      <c r="J4583">
        <v>1</v>
      </c>
      <c r="K4583">
        <f>1-866-749-6811</f>
        <v>-8425</v>
      </c>
      <c r="L4583" t="s">
        <v>14318</v>
      </c>
      <c r="M4583" t="s">
        <v>14319</v>
      </c>
      <c r="N4583" t="s">
        <v>278</v>
      </c>
      <c r="O4583" t="s">
        <v>134</v>
      </c>
      <c r="P4583" t="s">
        <v>29</v>
      </c>
      <c r="Q4583">
        <v>39</v>
      </c>
      <c r="R4583">
        <v>-77.487399999999994</v>
      </c>
    </row>
    <row r="4584" spans="1:18" x14ac:dyDescent="0.2">
      <c r="A4584" t="s">
        <v>270</v>
      </c>
      <c r="B4584" t="s">
        <v>440</v>
      </c>
      <c r="C4584">
        <v>1</v>
      </c>
      <c r="D4584" s="1">
        <v>44070.577222222222</v>
      </c>
      <c r="E4584" t="s">
        <v>14320</v>
      </c>
      <c r="F4584" t="s">
        <v>273</v>
      </c>
      <c r="G4584" t="s">
        <v>14239</v>
      </c>
      <c r="H4584" t="s">
        <v>275</v>
      </c>
      <c r="I4584" t="s">
        <v>29</v>
      </c>
      <c r="J4584">
        <v>1</v>
      </c>
      <c r="K4584">
        <f>1-866-730-8093</f>
        <v>-9688</v>
      </c>
      <c r="L4584" t="s">
        <v>14321</v>
      </c>
      <c r="M4584" t="s">
        <v>14322</v>
      </c>
      <c r="N4584" t="s">
        <v>278</v>
      </c>
      <c r="O4584" t="s">
        <v>134</v>
      </c>
      <c r="P4584" t="s">
        <v>29</v>
      </c>
      <c r="Q4584">
        <v>39</v>
      </c>
      <c r="R4584">
        <v>-77.487399999999994</v>
      </c>
    </row>
    <row r="4585" spans="1:18" x14ac:dyDescent="0.2">
      <c r="A4585" t="s">
        <v>270</v>
      </c>
      <c r="B4585" t="s">
        <v>440</v>
      </c>
      <c r="C4585">
        <v>1</v>
      </c>
      <c r="D4585" s="1">
        <v>44068.187141203707</v>
      </c>
      <c r="E4585" t="s">
        <v>14323</v>
      </c>
      <c r="F4585" t="s">
        <v>273</v>
      </c>
      <c r="G4585" t="s">
        <v>14239</v>
      </c>
      <c r="H4585" t="s">
        <v>275</v>
      </c>
      <c r="I4585" t="s">
        <v>29</v>
      </c>
      <c r="J4585">
        <v>1</v>
      </c>
      <c r="K4585">
        <f>1-888-524-3448</f>
        <v>-4859</v>
      </c>
      <c r="L4585" t="s">
        <v>14324</v>
      </c>
      <c r="M4585" t="s">
        <v>14325</v>
      </c>
      <c r="N4585" t="s">
        <v>278</v>
      </c>
      <c r="O4585" t="s">
        <v>134</v>
      </c>
      <c r="P4585" t="s">
        <v>29</v>
      </c>
      <c r="Q4585">
        <v>39</v>
      </c>
      <c r="R4585">
        <v>-77.487399999999994</v>
      </c>
    </row>
    <row r="4586" spans="1:18" x14ac:dyDescent="0.2">
      <c r="A4586" t="s">
        <v>270</v>
      </c>
      <c r="B4586" t="s">
        <v>440</v>
      </c>
      <c r="C4586">
        <v>1</v>
      </c>
      <c r="D4586" s="1">
        <v>44068.073587962965</v>
      </c>
      <c r="E4586" t="s">
        <v>14326</v>
      </c>
      <c r="F4586" t="s">
        <v>273</v>
      </c>
      <c r="G4586" t="s">
        <v>14239</v>
      </c>
      <c r="H4586" t="s">
        <v>275</v>
      </c>
      <c r="I4586" t="s">
        <v>29</v>
      </c>
      <c r="J4586">
        <v>1</v>
      </c>
      <c r="K4586">
        <f>1-888-851-676</f>
        <v>-2414</v>
      </c>
      <c r="L4586" t="s">
        <v>14327</v>
      </c>
      <c r="M4586" t="s">
        <v>14328</v>
      </c>
      <c r="N4586" t="s">
        <v>278</v>
      </c>
      <c r="O4586" t="s">
        <v>28</v>
      </c>
      <c r="P4586" t="s">
        <v>29</v>
      </c>
      <c r="Q4586">
        <v>39</v>
      </c>
      <c r="R4586">
        <v>-77.487399999999994</v>
      </c>
    </row>
    <row r="4587" spans="1:18" x14ac:dyDescent="0.2">
      <c r="A4587" t="s">
        <v>270</v>
      </c>
      <c r="B4587" t="s">
        <v>440</v>
      </c>
      <c r="C4587">
        <v>1</v>
      </c>
      <c r="D4587" s="1">
        <v>44068.05773148148</v>
      </c>
      <c r="E4587" t="s">
        <v>14329</v>
      </c>
      <c r="F4587" t="s">
        <v>273</v>
      </c>
      <c r="G4587" t="s">
        <v>14239</v>
      </c>
      <c r="H4587" t="s">
        <v>275</v>
      </c>
      <c r="I4587" t="s">
        <v>29</v>
      </c>
      <c r="J4587">
        <v>1</v>
      </c>
      <c r="K4587">
        <f>1-888-523-6511</f>
        <v>-7921</v>
      </c>
      <c r="L4587" t="s">
        <v>14330</v>
      </c>
      <c r="M4587" t="s">
        <v>14331</v>
      </c>
      <c r="N4587" t="s">
        <v>278</v>
      </c>
      <c r="O4587" t="s">
        <v>28</v>
      </c>
      <c r="P4587" t="s">
        <v>29</v>
      </c>
      <c r="Q4587">
        <v>39</v>
      </c>
      <c r="R4587">
        <v>-77.487399999999994</v>
      </c>
    </row>
    <row r="4588" spans="1:18" x14ac:dyDescent="0.2">
      <c r="A4588" t="s">
        <v>270</v>
      </c>
      <c r="B4588" t="s">
        <v>440</v>
      </c>
      <c r="C4588">
        <v>1</v>
      </c>
      <c r="D4588" s="1">
        <v>44064.15724537037</v>
      </c>
      <c r="E4588" t="s">
        <v>14332</v>
      </c>
      <c r="F4588" t="s">
        <v>273</v>
      </c>
      <c r="G4588" t="s">
        <v>14239</v>
      </c>
      <c r="H4588" t="s">
        <v>275</v>
      </c>
      <c r="I4588" t="s">
        <v>29</v>
      </c>
      <c r="J4588">
        <v>1</v>
      </c>
      <c r="K4588">
        <f>1-844-476-8427</f>
        <v>-9746</v>
      </c>
      <c r="L4588" t="s">
        <v>14333</v>
      </c>
      <c r="M4588" t="s">
        <v>14334</v>
      </c>
      <c r="N4588" t="s">
        <v>278</v>
      </c>
      <c r="O4588" t="s">
        <v>134</v>
      </c>
      <c r="P4588" t="s">
        <v>29</v>
      </c>
      <c r="Q4588">
        <v>39</v>
      </c>
      <c r="R4588">
        <v>-77.487399999999994</v>
      </c>
    </row>
    <row r="4589" spans="1:18" x14ac:dyDescent="0.2">
      <c r="A4589" t="s">
        <v>270</v>
      </c>
      <c r="B4589" t="s">
        <v>440</v>
      </c>
      <c r="C4589">
        <v>1</v>
      </c>
      <c r="D4589" s="1">
        <v>44063.994270833333</v>
      </c>
      <c r="E4589" t="s">
        <v>14335</v>
      </c>
      <c r="F4589" t="s">
        <v>273</v>
      </c>
      <c r="G4589" t="s">
        <v>14239</v>
      </c>
      <c r="H4589" t="s">
        <v>275</v>
      </c>
      <c r="I4589" t="s">
        <v>29</v>
      </c>
      <c r="J4589">
        <v>1</v>
      </c>
      <c r="K4589">
        <f>1-888-965-733</f>
        <v>-2585</v>
      </c>
      <c r="L4589" t="s">
        <v>14336</v>
      </c>
      <c r="M4589" t="s">
        <v>14337</v>
      </c>
      <c r="N4589" t="s">
        <v>278</v>
      </c>
      <c r="O4589" t="s">
        <v>134</v>
      </c>
      <c r="P4589" t="s">
        <v>29</v>
      </c>
      <c r="Q4589">
        <v>39</v>
      </c>
      <c r="R4589">
        <v>-77.487399999999994</v>
      </c>
    </row>
    <row r="4590" spans="1:18" x14ac:dyDescent="0.2">
      <c r="A4590" t="s">
        <v>270</v>
      </c>
      <c r="B4590" t="s">
        <v>440</v>
      </c>
      <c r="C4590">
        <v>1</v>
      </c>
      <c r="D4590" s="1">
        <v>44063.993726851855</v>
      </c>
      <c r="E4590" t="s">
        <v>14338</v>
      </c>
      <c r="F4590" t="s">
        <v>273</v>
      </c>
      <c r="G4590" t="s">
        <v>14239</v>
      </c>
      <c r="H4590" t="s">
        <v>275</v>
      </c>
      <c r="I4590" t="s">
        <v>29</v>
      </c>
      <c r="J4590">
        <v>1</v>
      </c>
      <c r="K4590">
        <f>1-888-705-949</f>
        <v>-2541</v>
      </c>
      <c r="L4590" t="s">
        <v>14339</v>
      </c>
      <c r="M4590" t="s">
        <v>14340</v>
      </c>
      <c r="N4590" t="s">
        <v>278</v>
      </c>
      <c r="O4590" t="s">
        <v>134</v>
      </c>
      <c r="P4590" t="s">
        <v>29</v>
      </c>
      <c r="Q4590">
        <v>39</v>
      </c>
      <c r="R4590">
        <v>-77.487399999999994</v>
      </c>
    </row>
    <row r="4591" spans="1:18" x14ac:dyDescent="0.2">
      <c r="A4591" t="s">
        <v>270</v>
      </c>
      <c r="B4591" t="s">
        <v>440</v>
      </c>
      <c r="C4591">
        <v>1</v>
      </c>
      <c r="D4591" s="1">
        <v>44063.993368055555</v>
      </c>
      <c r="E4591" t="s">
        <v>14341</v>
      </c>
      <c r="F4591" t="s">
        <v>273</v>
      </c>
      <c r="G4591" t="s">
        <v>14239</v>
      </c>
      <c r="H4591" t="s">
        <v>275</v>
      </c>
      <c r="I4591" t="s">
        <v>29</v>
      </c>
      <c r="J4591">
        <v>1</v>
      </c>
      <c r="K4591">
        <f>1-888-909-1270</f>
        <v>-3066</v>
      </c>
      <c r="L4591" t="s">
        <v>14342</v>
      </c>
      <c r="M4591" t="s">
        <v>14343</v>
      </c>
      <c r="N4591" t="s">
        <v>278</v>
      </c>
      <c r="O4591" t="s">
        <v>134</v>
      </c>
      <c r="P4591" t="s">
        <v>29</v>
      </c>
      <c r="Q4591">
        <v>39</v>
      </c>
      <c r="R4591">
        <v>-77.487399999999994</v>
      </c>
    </row>
    <row r="4592" spans="1:18" x14ac:dyDescent="0.2">
      <c r="A4592" t="s">
        <v>270</v>
      </c>
      <c r="B4592" t="s">
        <v>440</v>
      </c>
      <c r="C4592">
        <v>1</v>
      </c>
      <c r="D4592" s="1">
        <v>44063.707800925928</v>
      </c>
      <c r="E4592" t="s">
        <v>14344</v>
      </c>
      <c r="F4592" t="s">
        <v>273</v>
      </c>
      <c r="G4592" t="s">
        <v>14239</v>
      </c>
      <c r="H4592" t="s">
        <v>275</v>
      </c>
      <c r="I4592" t="s">
        <v>29</v>
      </c>
      <c r="J4592">
        <v>1</v>
      </c>
      <c r="K4592">
        <f>1-888-965-790</f>
        <v>-2642</v>
      </c>
      <c r="L4592" t="s">
        <v>14345</v>
      </c>
      <c r="M4592" t="s">
        <v>14346</v>
      </c>
      <c r="N4592" t="s">
        <v>278</v>
      </c>
      <c r="O4592" t="s">
        <v>134</v>
      </c>
      <c r="P4592" t="s">
        <v>29</v>
      </c>
      <c r="Q4592">
        <v>39</v>
      </c>
      <c r="R4592">
        <v>-77.487399999999994</v>
      </c>
    </row>
    <row r="4593" spans="1:18" x14ac:dyDescent="0.2">
      <c r="A4593" t="s">
        <v>270</v>
      </c>
      <c r="B4593" t="s">
        <v>440</v>
      </c>
      <c r="C4593">
        <v>1</v>
      </c>
      <c r="D4593" s="1">
        <v>44063.138854166667</v>
      </c>
      <c r="E4593" t="s">
        <v>14347</v>
      </c>
      <c r="F4593" t="s">
        <v>273</v>
      </c>
      <c r="G4593" t="s">
        <v>14239</v>
      </c>
      <c r="H4593" t="s">
        <v>275</v>
      </c>
      <c r="I4593" t="s">
        <v>29</v>
      </c>
      <c r="J4593">
        <v>1</v>
      </c>
      <c r="K4593">
        <f>1-888-539-5735</f>
        <v>-7161</v>
      </c>
      <c r="L4593" t="s">
        <v>14348</v>
      </c>
      <c r="M4593" t="s">
        <v>14349</v>
      </c>
      <c r="N4593" t="s">
        <v>278</v>
      </c>
      <c r="O4593" t="s">
        <v>134</v>
      </c>
      <c r="P4593" t="s">
        <v>29</v>
      </c>
      <c r="Q4593">
        <v>39</v>
      </c>
      <c r="R4593">
        <v>-77.487399999999994</v>
      </c>
    </row>
    <row r="4594" spans="1:18" x14ac:dyDescent="0.2">
      <c r="A4594" t="s">
        <v>270</v>
      </c>
      <c r="B4594" t="s">
        <v>440</v>
      </c>
      <c r="C4594">
        <v>1</v>
      </c>
      <c r="D4594" s="1">
        <v>44060.911226851851</v>
      </c>
      <c r="E4594" t="s">
        <v>14350</v>
      </c>
      <c r="F4594" t="s">
        <v>273</v>
      </c>
      <c r="G4594" t="s">
        <v>14239</v>
      </c>
      <c r="H4594" t="s">
        <v>275</v>
      </c>
      <c r="I4594" t="s">
        <v>29</v>
      </c>
      <c r="J4594">
        <v>1</v>
      </c>
      <c r="K4594">
        <f>1-866-678-3789</f>
        <v>-5332</v>
      </c>
      <c r="L4594" t="s">
        <v>14351</v>
      </c>
      <c r="M4594" t="s">
        <v>14352</v>
      </c>
      <c r="N4594" t="s">
        <v>278</v>
      </c>
      <c r="O4594" t="s">
        <v>28</v>
      </c>
      <c r="P4594" t="s">
        <v>29</v>
      </c>
      <c r="Q4594">
        <v>39</v>
      </c>
      <c r="R4594">
        <v>-77.487399999999994</v>
      </c>
    </row>
    <row r="4595" spans="1:18" x14ac:dyDescent="0.2">
      <c r="A4595" t="s">
        <v>270</v>
      </c>
      <c r="B4595" t="s">
        <v>440</v>
      </c>
      <c r="C4595">
        <v>1</v>
      </c>
      <c r="D4595" s="1">
        <v>44058.061631944445</v>
      </c>
      <c r="E4595" t="s">
        <v>14353</v>
      </c>
      <c r="F4595" t="s">
        <v>273</v>
      </c>
      <c r="G4595" t="s">
        <v>14239</v>
      </c>
      <c r="H4595" t="s">
        <v>275</v>
      </c>
      <c r="I4595" t="s">
        <v>29</v>
      </c>
      <c r="J4595">
        <v>1</v>
      </c>
      <c r="K4595">
        <f>1-888-530-1472</f>
        <v>-2889</v>
      </c>
      <c r="L4595" t="s">
        <v>14354</v>
      </c>
      <c r="M4595" t="s">
        <v>14355</v>
      </c>
      <c r="N4595" t="s">
        <v>278</v>
      </c>
      <c r="O4595" t="s">
        <v>134</v>
      </c>
      <c r="P4595" t="s">
        <v>29</v>
      </c>
      <c r="Q4595">
        <v>39</v>
      </c>
      <c r="R4595">
        <v>-77.487399999999994</v>
      </c>
    </row>
    <row r="4596" spans="1:18" x14ac:dyDescent="0.2">
      <c r="A4596" t="s">
        <v>270</v>
      </c>
      <c r="B4596" t="s">
        <v>440</v>
      </c>
      <c r="C4596">
        <v>1</v>
      </c>
      <c r="D4596" s="1">
        <v>44058.060567129629</v>
      </c>
      <c r="E4596" t="s">
        <v>14356</v>
      </c>
      <c r="F4596" t="s">
        <v>273</v>
      </c>
      <c r="G4596" t="s">
        <v>14239</v>
      </c>
      <c r="H4596" t="s">
        <v>275</v>
      </c>
      <c r="I4596" t="s">
        <v>29</v>
      </c>
      <c r="J4596">
        <v>1</v>
      </c>
      <c r="K4596">
        <f>1-888-525-642</f>
        <v>-2054</v>
      </c>
      <c r="L4596" t="s">
        <v>14357</v>
      </c>
      <c r="M4596" t="s">
        <v>14358</v>
      </c>
      <c r="N4596" t="s">
        <v>278</v>
      </c>
      <c r="O4596" t="s">
        <v>134</v>
      </c>
      <c r="P4596" t="s">
        <v>29</v>
      </c>
      <c r="Q4596">
        <v>39</v>
      </c>
      <c r="R4596">
        <v>-77.487399999999994</v>
      </c>
    </row>
    <row r="4597" spans="1:18" x14ac:dyDescent="0.2">
      <c r="A4597" t="s">
        <v>270</v>
      </c>
      <c r="B4597" t="s">
        <v>440</v>
      </c>
      <c r="C4597">
        <v>1</v>
      </c>
      <c r="D4597" s="1">
        <v>44058.060173611113</v>
      </c>
      <c r="E4597" t="s">
        <v>14359</v>
      </c>
      <c r="F4597" t="s">
        <v>273</v>
      </c>
      <c r="G4597" t="s">
        <v>14239</v>
      </c>
      <c r="H4597" t="s">
        <v>275</v>
      </c>
      <c r="I4597" t="s">
        <v>29</v>
      </c>
      <c r="J4597">
        <v>1</v>
      </c>
      <c r="K4597">
        <f>1-888-851-688</f>
        <v>-2426</v>
      </c>
      <c r="L4597" t="s">
        <v>14360</v>
      </c>
      <c r="M4597" t="s">
        <v>14361</v>
      </c>
      <c r="N4597" t="s">
        <v>278</v>
      </c>
      <c r="O4597" t="s">
        <v>134</v>
      </c>
      <c r="P4597" t="s">
        <v>29</v>
      </c>
      <c r="Q4597">
        <v>39</v>
      </c>
      <c r="R4597">
        <v>-77.487399999999994</v>
      </c>
    </row>
    <row r="4598" spans="1:18" x14ac:dyDescent="0.2">
      <c r="A4598" t="s">
        <v>270</v>
      </c>
      <c r="B4598" t="s">
        <v>440</v>
      </c>
      <c r="C4598">
        <v>1</v>
      </c>
      <c r="D4598" s="1">
        <v>44058.059467592589</v>
      </c>
      <c r="E4598" t="s">
        <v>14362</v>
      </c>
      <c r="F4598" t="s">
        <v>273</v>
      </c>
      <c r="G4598" t="s">
        <v>14239</v>
      </c>
      <c r="H4598" t="s">
        <v>275</v>
      </c>
      <c r="I4598" t="s">
        <v>29</v>
      </c>
      <c r="J4598">
        <v>1</v>
      </c>
      <c r="K4598">
        <f>1-888-521-2495</f>
        <v>-3903</v>
      </c>
      <c r="L4598" t="s">
        <v>14363</v>
      </c>
      <c r="M4598" t="s">
        <v>14364</v>
      </c>
      <c r="N4598" t="s">
        <v>278</v>
      </c>
      <c r="O4598" t="s">
        <v>134</v>
      </c>
      <c r="P4598" t="s">
        <v>29</v>
      </c>
      <c r="Q4598">
        <v>39</v>
      </c>
      <c r="R4598">
        <v>-77.487399999999994</v>
      </c>
    </row>
    <row r="4599" spans="1:18" x14ac:dyDescent="0.2">
      <c r="A4599" t="s">
        <v>270</v>
      </c>
      <c r="B4599" t="s">
        <v>440</v>
      </c>
      <c r="C4599">
        <v>1</v>
      </c>
      <c r="D4599" s="1">
        <v>44058.031481481485</v>
      </c>
      <c r="E4599" t="s">
        <v>14365</v>
      </c>
      <c r="F4599" t="s">
        <v>273</v>
      </c>
      <c r="G4599" t="s">
        <v>14239</v>
      </c>
      <c r="H4599" t="s">
        <v>275</v>
      </c>
      <c r="I4599" t="s">
        <v>29</v>
      </c>
      <c r="J4599">
        <v>1</v>
      </c>
      <c r="K4599">
        <f>1-888-526-9509</f>
        <v>-10922</v>
      </c>
      <c r="L4599" t="s">
        <v>14366</v>
      </c>
      <c r="M4599" t="s">
        <v>14367</v>
      </c>
      <c r="N4599" t="s">
        <v>278</v>
      </c>
      <c r="O4599" t="s">
        <v>28</v>
      </c>
      <c r="P4599" t="s">
        <v>29</v>
      </c>
      <c r="Q4599">
        <v>39</v>
      </c>
      <c r="R4599">
        <v>-77.487399999999994</v>
      </c>
    </row>
    <row r="4600" spans="1:18" x14ac:dyDescent="0.2">
      <c r="A4600" t="s">
        <v>270</v>
      </c>
      <c r="B4600" t="s">
        <v>440</v>
      </c>
      <c r="C4600">
        <v>1</v>
      </c>
      <c r="D4600" s="1">
        <v>44056.185231481482</v>
      </c>
      <c r="E4600" t="s">
        <v>14368</v>
      </c>
      <c r="F4600" t="s">
        <v>273</v>
      </c>
      <c r="G4600" t="s">
        <v>14239</v>
      </c>
      <c r="H4600" t="s">
        <v>275</v>
      </c>
      <c r="I4600" t="s">
        <v>29</v>
      </c>
      <c r="J4600">
        <v>1</v>
      </c>
      <c r="K4600">
        <f>1-888-312-1401</f>
        <v>-2600</v>
      </c>
      <c r="L4600" t="s">
        <v>14369</v>
      </c>
      <c r="M4600" t="s">
        <v>14370</v>
      </c>
      <c r="N4600" t="s">
        <v>278</v>
      </c>
      <c r="O4600" t="s">
        <v>134</v>
      </c>
      <c r="P4600" t="s">
        <v>29</v>
      </c>
      <c r="Q4600">
        <v>39</v>
      </c>
      <c r="R4600">
        <v>-77.487399999999994</v>
      </c>
    </row>
    <row r="4601" spans="1:18" x14ac:dyDescent="0.2">
      <c r="A4601" t="s">
        <v>270</v>
      </c>
      <c r="B4601" t="s">
        <v>440</v>
      </c>
      <c r="C4601">
        <v>1</v>
      </c>
      <c r="D4601" s="1">
        <v>44053.302256944444</v>
      </c>
      <c r="E4601" t="s">
        <v>14371</v>
      </c>
      <c r="F4601" t="s">
        <v>273</v>
      </c>
      <c r="G4601" t="s">
        <v>14239</v>
      </c>
      <c r="H4601" t="s">
        <v>275</v>
      </c>
      <c r="I4601" t="s">
        <v>29</v>
      </c>
      <c r="J4601">
        <v>1</v>
      </c>
      <c r="K4601">
        <f>1-866-801-5549</f>
        <v>-7215</v>
      </c>
      <c r="L4601" t="s">
        <v>14372</v>
      </c>
      <c r="M4601" t="s">
        <v>14373</v>
      </c>
      <c r="N4601" t="s">
        <v>278</v>
      </c>
      <c r="O4601" t="s">
        <v>134</v>
      </c>
      <c r="P4601" t="s">
        <v>29</v>
      </c>
      <c r="Q4601">
        <v>39</v>
      </c>
      <c r="R4601">
        <v>-77.487399999999994</v>
      </c>
    </row>
    <row r="4602" spans="1:18" x14ac:dyDescent="0.2">
      <c r="A4602" t="s">
        <v>270</v>
      </c>
      <c r="B4602" t="s">
        <v>440</v>
      </c>
      <c r="C4602">
        <v>1</v>
      </c>
      <c r="D4602" s="1">
        <v>44052.817280092589</v>
      </c>
      <c r="E4602" t="s">
        <v>14374</v>
      </c>
      <c r="F4602" t="s">
        <v>273</v>
      </c>
      <c r="G4602" t="s">
        <v>14239</v>
      </c>
      <c r="H4602" t="s">
        <v>275</v>
      </c>
      <c r="I4602" t="s">
        <v>29</v>
      </c>
      <c r="J4602">
        <v>1</v>
      </c>
      <c r="K4602">
        <f>1-888-526-8075</f>
        <v>-9488</v>
      </c>
      <c r="L4602" t="s">
        <v>14375</v>
      </c>
      <c r="M4602" t="s">
        <v>14376</v>
      </c>
      <c r="N4602" t="s">
        <v>278</v>
      </c>
      <c r="O4602" t="s">
        <v>134</v>
      </c>
      <c r="P4602" t="s">
        <v>29</v>
      </c>
      <c r="Q4602">
        <v>39</v>
      </c>
      <c r="R4602">
        <v>-77.487399999999994</v>
      </c>
    </row>
    <row r="4603" spans="1:18" x14ac:dyDescent="0.2">
      <c r="A4603" t="s">
        <v>663</v>
      </c>
      <c r="B4603" t="s">
        <v>664</v>
      </c>
      <c r="C4603">
        <v>1</v>
      </c>
      <c r="D4603" s="1">
        <v>44052.827372685184</v>
      </c>
      <c r="E4603" t="s">
        <v>14377</v>
      </c>
      <c r="F4603" t="s">
        <v>666</v>
      </c>
      <c r="G4603" t="s">
        <v>14377</v>
      </c>
      <c r="H4603" t="s">
        <v>667</v>
      </c>
      <c r="I4603" t="s">
        <v>29</v>
      </c>
      <c r="J4603">
        <v>1</v>
      </c>
      <c r="K4603">
        <f>1-866-764-4472</f>
        <v>-6101</v>
      </c>
      <c r="L4603" t="s">
        <v>14378</v>
      </c>
      <c r="M4603" t="s">
        <v>14379</v>
      </c>
      <c r="N4603">
        <v>230</v>
      </c>
      <c r="O4603" t="s">
        <v>134</v>
      </c>
      <c r="P4603" t="s">
        <v>29</v>
      </c>
      <c r="Q4603">
        <v>37</v>
      </c>
      <c r="R4603">
        <v>-99.999999000000003</v>
      </c>
    </row>
    <row r="4604" spans="1:18" x14ac:dyDescent="0.2">
      <c r="A4604" t="s">
        <v>663</v>
      </c>
      <c r="B4604" t="s">
        <v>5337</v>
      </c>
      <c r="C4604">
        <v>1</v>
      </c>
      <c r="D4604" s="1">
        <v>44052.861875000002</v>
      </c>
      <c r="E4604" t="s">
        <v>14380</v>
      </c>
      <c r="F4604" t="s">
        <v>666</v>
      </c>
      <c r="G4604" t="s">
        <v>14380</v>
      </c>
      <c r="H4604" t="s">
        <v>667</v>
      </c>
      <c r="I4604" t="s">
        <v>29</v>
      </c>
      <c r="J4604">
        <v>1</v>
      </c>
      <c r="K4604">
        <f>1-888-537-1278</f>
        <v>-2702</v>
      </c>
      <c r="L4604" t="s">
        <v>14381</v>
      </c>
      <c r="M4604" t="s">
        <v>14382</v>
      </c>
      <c r="N4604">
        <v>196</v>
      </c>
      <c r="O4604" t="s">
        <v>134</v>
      </c>
      <c r="P4604" t="s">
        <v>29</v>
      </c>
      <c r="Q4604">
        <v>38</v>
      </c>
      <c r="R4604">
        <v>-99.999999000000003</v>
      </c>
    </row>
    <row r="4605" spans="1:18" x14ac:dyDescent="0.2">
      <c r="A4605" t="s">
        <v>663</v>
      </c>
      <c r="B4605" t="s">
        <v>5337</v>
      </c>
      <c r="C4605">
        <v>1</v>
      </c>
      <c r="D4605" s="1">
        <v>44052.850543981483</v>
      </c>
      <c r="E4605" t="s">
        <v>14380</v>
      </c>
      <c r="F4605" t="s">
        <v>666</v>
      </c>
      <c r="G4605" t="s">
        <v>14380</v>
      </c>
      <c r="H4605" t="s">
        <v>667</v>
      </c>
      <c r="I4605" t="s">
        <v>29</v>
      </c>
      <c r="J4605">
        <v>1</v>
      </c>
      <c r="K4605">
        <f>1-888-532-5299</f>
        <v>-6718</v>
      </c>
      <c r="L4605" t="s">
        <v>14383</v>
      </c>
      <c r="M4605" t="s">
        <v>14384</v>
      </c>
      <c r="N4605">
        <v>196</v>
      </c>
      <c r="O4605" t="s">
        <v>134</v>
      </c>
      <c r="P4605" t="s">
        <v>29</v>
      </c>
      <c r="Q4605">
        <v>38</v>
      </c>
      <c r="R4605">
        <v>-99.999999000000003</v>
      </c>
    </row>
    <row r="4606" spans="1:18" x14ac:dyDescent="0.2">
      <c r="A4606" t="s">
        <v>2349</v>
      </c>
      <c r="B4606" t="s">
        <v>6834</v>
      </c>
      <c r="C4606">
        <v>44</v>
      </c>
      <c r="D4606" s="1">
        <v>44062.701180555552</v>
      </c>
      <c r="E4606" t="s">
        <v>14385</v>
      </c>
      <c r="F4606" t="s">
        <v>2352</v>
      </c>
      <c r="G4606" t="s">
        <v>14386</v>
      </c>
      <c r="H4606" t="s">
        <v>2353</v>
      </c>
      <c r="I4606" t="s">
        <v>618</v>
      </c>
      <c r="J4606">
        <v>44</v>
      </c>
      <c r="K4606">
        <f t="shared" ref="K4606:K4620" si="30">44-800-48-5348</f>
        <v>-6152</v>
      </c>
      <c r="L4606" t="s">
        <v>14387</v>
      </c>
      <c r="M4606" t="s">
        <v>14388</v>
      </c>
      <c r="N4606" t="s">
        <v>5468</v>
      </c>
      <c r="O4606" t="s">
        <v>28</v>
      </c>
      <c r="P4606" t="s">
        <v>29</v>
      </c>
      <c r="Q4606">
        <v>34</v>
      </c>
      <c r="R4606">
        <v>-99.999999000000003</v>
      </c>
    </row>
    <row r="4607" spans="1:18" x14ac:dyDescent="0.2">
      <c r="A4607" t="s">
        <v>2349</v>
      </c>
      <c r="B4607" t="s">
        <v>6834</v>
      </c>
      <c r="C4607">
        <v>44</v>
      </c>
      <c r="D4607" s="1">
        <v>44062.700983796298</v>
      </c>
      <c r="E4607" t="s">
        <v>14389</v>
      </c>
      <c r="F4607" t="s">
        <v>2352</v>
      </c>
      <c r="G4607" t="s">
        <v>14386</v>
      </c>
      <c r="H4607" t="s">
        <v>2353</v>
      </c>
      <c r="I4607" t="s">
        <v>618</v>
      </c>
      <c r="J4607">
        <v>44</v>
      </c>
      <c r="K4607">
        <f t="shared" si="30"/>
        <v>-6152</v>
      </c>
      <c r="L4607" t="s">
        <v>14390</v>
      </c>
      <c r="M4607" t="s">
        <v>14391</v>
      </c>
      <c r="N4607" t="s">
        <v>5468</v>
      </c>
      <c r="O4607" t="s">
        <v>28</v>
      </c>
      <c r="P4607" t="s">
        <v>29</v>
      </c>
      <c r="Q4607">
        <v>34</v>
      </c>
      <c r="R4607">
        <v>-99.999999000000003</v>
      </c>
    </row>
    <row r="4608" spans="1:18" x14ac:dyDescent="0.2">
      <c r="A4608" t="s">
        <v>2349</v>
      </c>
      <c r="B4608" t="s">
        <v>6834</v>
      </c>
      <c r="C4608">
        <v>44</v>
      </c>
      <c r="D4608" s="1">
        <v>44062.70076388889</v>
      </c>
      <c r="E4608" t="s">
        <v>14392</v>
      </c>
      <c r="F4608" t="s">
        <v>2352</v>
      </c>
      <c r="G4608" t="s">
        <v>14386</v>
      </c>
      <c r="H4608" t="s">
        <v>2353</v>
      </c>
      <c r="I4608" t="s">
        <v>618</v>
      </c>
      <c r="J4608">
        <v>44</v>
      </c>
      <c r="K4608">
        <f t="shared" si="30"/>
        <v>-6152</v>
      </c>
      <c r="L4608" t="s">
        <v>14393</v>
      </c>
      <c r="M4608" t="s">
        <v>14394</v>
      </c>
      <c r="N4608" t="s">
        <v>5468</v>
      </c>
      <c r="O4608" t="s">
        <v>28</v>
      </c>
      <c r="P4608" t="s">
        <v>29</v>
      </c>
      <c r="Q4608">
        <v>34</v>
      </c>
      <c r="R4608">
        <v>-99.999999000000003</v>
      </c>
    </row>
    <row r="4609" spans="1:18" x14ac:dyDescent="0.2">
      <c r="A4609" t="s">
        <v>2349</v>
      </c>
      <c r="B4609" t="s">
        <v>6834</v>
      </c>
      <c r="C4609">
        <v>44</v>
      </c>
      <c r="D4609" s="1">
        <v>44053.1406712963</v>
      </c>
      <c r="E4609" t="s">
        <v>14395</v>
      </c>
      <c r="F4609" t="s">
        <v>2352</v>
      </c>
      <c r="G4609" t="s">
        <v>14386</v>
      </c>
      <c r="H4609" t="s">
        <v>2353</v>
      </c>
      <c r="I4609" t="s">
        <v>618</v>
      </c>
      <c r="J4609">
        <v>44</v>
      </c>
      <c r="K4609">
        <f t="shared" si="30"/>
        <v>-6152</v>
      </c>
      <c r="L4609" t="s">
        <v>14396</v>
      </c>
      <c r="M4609" t="s">
        <v>14397</v>
      </c>
      <c r="N4609" t="s">
        <v>5468</v>
      </c>
      <c r="O4609" t="s">
        <v>28</v>
      </c>
      <c r="P4609" t="s">
        <v>29</v>
      </c>
      <c r="Q4609">
        <v>34</v>
      </c>
      <c r="R4609">
        <v>-99.999999000000003</v>
      </c>
    </row>
    <row r="4610" spans="1:18" x14ac:dyDescent="0.2">
      <c r="A4610" t="s">
        <v>2349</v>
      </c>
      <c r="B4610" t="s">
        <v>6834</v>
      </c>
      <c r="C4610">
        <v>44</v>
      </c>
      <c r="D4610" s="1">
        <v>44053.139803240738</v>
      </c>
      <c r="E4610" t="s">
        <v>14398</v>
      </c>
      <c r="F4610" t="s">
        <v>2352</v>
      </c>
      <c r="G4610" t="s">
        <v>14386</v>
      </c>
      <c r="H4610" t="s">
        <v>2353</v>
      </c>
      <c r="I4610" t="s">
        <v>618</v>
      </c>
      <c r="J4610">
        <v>44</v>
      </c>
      <c r="K4610">
        <f t="shared" si="30"/>
        <v>-6152</v>
      </c>
      <c r="L4610" t="s">
        <v>14399</v>
      </c>
      <c r="M4610" t="s">
        <v>14400</v>
      </c>
      <c r="N4610" t="s">
        <v>5468</v>
      </c>
      <c r="O4610" t="s">
        <v>28</v>
      </c>
      <c r="P4610" t="s">
        <v>29</v>
      </c>
      <c r="Q4610">
        <v>34</v>
      </c>
      <c r="R4610">
        <v>-99.999999000000003</v>
      </c>
    </row>
    <row r="4611" spans="1:18" x14ac:dyDescent="0.2">
      <c r="A4611" t="s">
        <v>2349</v>
      </c>
      <c r="B4611" t="s">
        <v>6834</v>
      </c>
      <c r="C4611">
        <v>44</v>
      </c>
      <c r="D4611" s="1">
        <v>44053.139733796299</v>
      </c>
      <c r="E4611" t="s">
        <v>14401</v>
      </c>
      <c r="F4611" t="s">
        <v>2352</v>
      </c>
      <c r="G4611" t="s">
        <v>14386</v>
      </c>
      <c r="H4611" t="s">
        <v>2353</v>
      </c>
      <c r="I4611" t="s">
        <v>618</v>
      </c>
      <c r="J4611">
        <v>44</v>
      </c>
      <c r="K4611">
        <f t="shared" si="30"/>
        <v>-6152</v>
      </c>
      <c r="L4611" t="s">
        <v>14402</v>
      </c>
      <c r="M4611" t="s">
        <v>14403</v>
      </c>
      <c r="N4611" t="s">
        <v>5468</v>
      </c>
      <c r="O4611" t="s">
        <v>28</v>
      </c>
      <c r="P4611" t="s">
        <v>29</v>
      </c>
      <c r="Q4611">
        <v>34</v>
      </c>
      <c r="R4611">
        <v>-99.999999000000003</v>
      </c>
    </row>
    <row r="4612" spans="1:18" x14ac:dyDescent="0.2">
      <c r="A4612" t="s">
        <v>2349</v>
      </c>
      <c r="B4612" t="s">
        <v>6834</v>
      </c>
      <c r="C4612">
        <v>44</v>
      </c>
      <c r="D4612" s="1">
        <v>44053.139687499999</v>
      </c>
      <c r="E4612" t="s">
        <v>14404</v>
      </c>
      <c r="F4612" t="s">
        <v>2352</v>
      </c>
      <c r="G4612" t="s">
        <v>14386</v>
      </c>
      <c r="H4612" t="s">
        <v>2353</v>
      </c>
      <c r="I4612" t="s">
        <v>618</v>
      </c>
      <c r="J4612">
        <v>44</v>
      </c>
      <c r="K4612">
        <f t="shared" si="30"/>
        <v>-6152</v>
      </c>
      <c r="L4612" t="s">
        <v>14405</v>
      </c>
      <c r="M4612" t="s">
        <v>14406</v>
      </c>
      <c r="N4612" t="s">
        <v>5468</v>
      </c>
      <c r="O4612" t="s">
        <v>28</v>
      </c>
      <c r="P4612" t="s">
        <v>29</v>
      </c>
      <c r="Q4612">
        <v>34</v>
      </c>
      <c r="R4612">
        <v>-99.999999000000003</v>
      </c>
    </row>
    <row r="4613" spans="1:18" x14ac:dyDescent="0.2">
      <c r="A4613" t="s">
        <v>2349</v>
      </c>
      <c r="B4613" t="s">
        <v>6834</v>
      </c>
      <c r="C4613">
        <v>44</v>
      </c>
      <c r="D4613" s="1">
        <v>44053.13958333333</v>
      </c>
      <c r="E4613" t="s">
        <v>14407</v>
      </c>
      <c r="F4613" t="s">
        <v>2352</v>
      </c>
      <c r="G4613" t="s">
        <v>14386</v>
      </c>
      <c r="H4613" t="s">
        <v>2353</v>
      </c>
      <c r="I4613" t="s">
        <v>618</v>
      </c>
      <c r="J4613">
        <v>44</v>
      </c>
      <c r="K4613">
        <f t="shared" si="30"/>
        <v>-6152</v>
      </c>
      <c r="L4613" t="s">
        <v>14408</v>
      </c>
      <c r="M4613" t="s">
        <v>14409</v>
      </c>
      <c r="N4613" t="s">
        <v>5468</v>
      </c>
      <c r="O4613" t="s">
        <v>28</v>
      </c>
      <c r="P4613" t="s">
        <v>29</v>
      </c>
      <c r="Q4613">
        <v>34</v>
      </c>
      <c r="R4613">
        <v>-99.999999000000003</v>
      </c>
    </row>
    <row r="4614" spans="1:18" x14ac:dyDescent="0.2">
      <c r="A4614" t="s">
        <v>2349</v>
      </c>
      <c r="B4614" t="s">
        <v>6834</v>
      </c>
      <c r="C4614">
        <v>44</v>
      </c>
      <c r="D4614" s="1">
        <v>44053.139525462961</v>
      </c>
      <c r="E4614" t="s">
        <v>14410</v>
      </c>
      <c r="F4614" t="s">
        <v>2352</v>
      </c>
      <c r="G4614" t="s">
        <v>14386</v>
      </c>
      <c r="H4614" t="s">
        <v>2353</v>
      </c>
      <c r="I4614" t="s">
        <v>618</v>
      </c>
      <c r="J4614">
        <v>44</v>
      </c>
      <c r="K4614">
        <f t="shared" si="30"/>
        <v>-6152</v>
      </c>
      <c r="L4614" t="s">
        <v>14411</v>
      </c>
      <c r="M4614" t="s">
        <v>14412</v>
      </c>
      <c r="N4614" t="s">
        <v>5468</v>
      </c>
      <c r="O4614" t="s">
        <v>28</v>
      </c>
      <c r="P4614" t="s">
        <v>29</v>
      </c>
      <c r="Q4614">
        <v>34</v>
      </c>
      <c r="R4614">
        <v>-99.999999000000003</v>
      </c>
    </row>
    <row r="4615" spans="1:18" x14ac:dyDescent="0.2">
      <c r="A4615" t="s">
        <v>2349</v>
      </c>
      <c r="B4615" t="s">
        <v>6834</v>
      </c>
      <c r="C4615">
        <v>44</v>
      </c>
      <c r="D4615" s="1">
        <v>44053.139479166668</v>
      </c>
      <c r="E4615" t="s">
        <v>14413</v>
      </c>
      <c r="F4615" t="s">
        <v>2352</v>
      </c>
      <c r="G4615" t="s">
        <v>14386</v>
      </c>
      <c r="H4615" t="s">
        <v>2353</v>
      </c>
      <c r="I4615" t="s">
        <v>618</v>
      </c>
      <c r="J4615">
        <v>44</v>
      </c>
      <c r="K4615">
        <f t="shared" si="30"/>
        <v>-6152</v>
      </c>
      <c r="L4615" t="s">
        <v>14414</v>
      </c>
      <c r="M4615" t="s">
        <v>14415</v>
      </c>
      <c r="N4615" t="s">
        <v>5468</v>
      </c>
      <c r="O4615" t="s">
        <v>28</v>
      </c>
      <c r="P4615" t="s">
        <v>29</v>
      </c>
      <c r="Q4615">
        <v>34</v>
      </c>
      <c r="R4615">
        <v>-99.999999000000003</v>
      </c>
    </row>
    <row r="4616" spans="1:18" x14ac:dyDescent="0.2">
      <c r="A4616" t="s">
        <v>2349</v>
      </c>
      <c r="B4616" t="s">
        <v>6834</v>
      </c>
      <c r="C4616">
        <v>44</v>
      </c>
      <c r="D4616" s="1">
        <v>44053.13921296296</v>
      </c>
      <c r="E4616" t="s">
        <v>14416</v>
      </c>
      <c r="F4616" t="s">
        <v>2352</v>
      </c>
      <c r="G4616" t="s">
        <v>14386</v>
      </c>
      <c r="H4616" t="s">
        <v>2353</v>
      </c>
      <c r="I4616" t="s">
        <v>618</v>
      </c>
      <c r="J4616">
        <v>44</v>
      </c>
      <c r="K4616">
        <f t="shared" si="30"/>
        <v>-6152</v>
      </c>
      <c r="L4616" t="s">
        <v>14417</v>
      </c>
      <c r="M4616" t="s">
        <v>14418</v>
      </c>
      <c r="N4616" t="s">
        <v>5468</v>
      </c>
      <c r="O4616" t="s">
        <v>28</v>
      </c>
      <c r="P4616" t="s">
        <v>29</v>
      </c>
      <c r="Q4616">
        <v>34</v>
      </c>
      <c r="R4616">
        <v>-99.999999000000003</v>
      </c>
    </row>
    <row r="4617" spans="1:18" x14ac:dyDescent="0.2">
      <c r="A4617" t="s">
        <v>2349</v>
      </c>
      <c r="B4617" t="s">
        <v>6834</v>
      </c>
      <c r="C4617">
        <v>44</v>
      </c>
      <c r="D4617" s="1">
        <v>44053.139131944445</v>
      </c>
      <c r="E4617" t="s">
        <v>14419</v>
      </c>
      <c r="F4617" t="s">
        <v>2352</v>
      </c>
      <c r="G4617" t="s">
        <v>14386</v>
      </c>
      <c r="H4617" t="s">
        <v>2353</v>
      </c>
      <c r="I4617" t="s">
        <v>618</v>
      </c>
      <c r="J4617">
        <v>44</v>
      </c>
      <c r="K4617">
        <f t="shared" si="30"/>
        <v>-6152</v>
      </c>
      <c r="L4617" t="s">
        <v>14420</v>
      </c>
      <c r="M4617" t="s">
        <v>14421</v>
      </c>
      <c r="N4617" t="s">
        <v>5468</v>
      </c>
      <c r="O4617" t="s">
        <v>28</v>
      </c>
      <c r="P4617" t="s">
        <v>29</v>
      </c>
      <c r="Q4617">
        <v>34</v>
      </c>
      <c r="R4617">
        <v>-99.999999000000003</v>
      </c>
    </row>
    <row r="4618" spans="1:18" x14ac:dyDescent="0.2">
      <c r="A4618" t="s">
        <v>2349</v>
      </c>
      <c r="B4618" t="s">
        <v>6834</v>
      </c>
      <c r="C4618">
        <v>44</v>
      </c>
      <c r="D4618" s="1">
        <v>44053.139097222222</v>
      </c>
      <c r="E4618" t="s">
        <v>14422</v>
      </c>
      <c r="F4618" t="s">
        <v>2352</v>
      </c>
      <c r="G4618" t="s">
        <v>14386</v>
      </c>
      <c r="H4618" t="s">
        <v>2353</v>
      </c>
      <c r="I4618" t="s">
        <v>618</v>
      </c>
      <c r="J4618">
        <v>44</v>
      </c>
      <c r="K4618">
        <f t="shared" si="30"/>
        <v>-6152</v>
      </c>
      <c r="L4618" t="s">
        <v>14423</v>
      </c>
      <c r="M4618" t="s">
        <v>14424</v>
      </c>
      <c r="N4618" t="s">
        <v>5468</v>
      </c>
      <c r="O4618" t="s">
        <v>28</v>
      </c>
      <c r="P4618" t="s">
        <v>29</v>
      </c>
      <c r="Q4618">
        <v>34</v>
      </c>
      <c r="R4618">
        <v>-99.999999000000003</v>
      </c>
    </row>
    <row r="4619" spans="1:18" x14ac:dyDescent="0.2">
      <c r="A4619" t="s">
        <v>2349</v>
      </c>
      <c r="B4619" t="s">
        <v>6834</v>
      </c>
      <c r="C4619">
        <v>44</v>
      </c>
      <c r="D4619" s="1">
        <v>44053.138356481482</v>
      </c>
      <c r="E4619" t="s">
        <v>14425</v>
      </c>
      <c r="F4619" t="s">
        <v>2352</v>
      </c>
      <c r="G4619" t="s">
        <v>14386</v>
      </c>
      <c r="H4619" t="s">
        <v>2353</v>
      </c>
      <c r="I4619" t="s">
        <v>618</v>
      </c>
      <c r="J4619">
        <v>44</v>
      </c>
      <c r="K4619">
        <f t="shared" si="30"/>
        <v>-6152</v>
      </c>
      <c r="L4619" t="s">
        <v>14426</v>
      </c>
      <c r="M4619" t="s">
        <v>14427</v>
      </c>
      <c r="N4619" t="s">
        <v>5468</v>
      </c>
      <c r="O4619" t="s">
        <v>28</v>
      </c>
      <c r="P4619" t="s">
        <v>29</v>
      </c>
      <c r="Q4619">
        <v>34</v>
      </c>
      <c r="R4619">
        <v>-99.999999000000003</v>
      </c>
    </row>
    <row r="4620" spans="1:18" x14ac:dyDescent="0.2">
      <c r="A4620" t="s">
        <v>2349</v>
      </c>
      <c r="B4620" t="s">
        <v>6834</v>
      </c>
      <c r="C4620">
        <v>44</v>
      </c>
      <c r="D4620" s="1">
        <v>44052.854490740741</v>
      </c>
      <c r="E4620" t="s">
        <v>14428</v>
      </c>
      <c r="F4620" t="s">
        <v>2352</v>
      </c>
      <c r="G4620" t="s">
        <v>14386</v>
      </c>
      <c r="H4620" t="s">
        <v>2353</v>
      </c>
      <c r="I4620" t="s">
        <v>618</v>
      </c>
      <c r="J4620">
        <v>44</v>
      </c>
      <c r="K4620">
        <f t="shared" si="30"/>
        <v>-6152</v>
      </c>
      <c r="L4620" t="s">
        <v>14429</v>
      </c>
      <c r="M4620" t="s">
        <v>14430</v>
      </c>
      <c r="N4620" t="s">
        <v>5468</v>
      </c>
      <c r="O4620" t="s">
        <v>134</v>
      </c>
      <c r="P4620" t="s">
        <v>29</v>
      </c>
      <c r="Q4620">
        <v>34</v>
      </c>
      <c r="R4620">
        <v>-99.999999000000003</v>
      </c>
    </row>
    <row r="4621" spans="1:18" x14ac:dyDescent="0.2">
      <c r="A4621" t="s">
        <v>18</v>
      </c>
      <c r="B4621" t="s">
        <v>462</v>
      </c>
      <c r="C4621">
        <v>1</v>
      </c>
      <c r="D4621" s="1">
        <v>44080.697025462963</v>
      </c>
      <c r="E4621" t="s">
        <v>14431</v>
      </c>
      <c r="F4621" t="s">
        <v>464</v>
      </c>
      <c r="G4621" t="s">
        <v>14432</v>
      </c>
      <c r="H4621" t="s">
        <v>466</v>
      </c>
      <c r="I4621" t="s">
        <v>29</v>
      </c>
      <c r="J4621">
        <v>1</v>
      </c>
      <c r="K4621">
        <f>1-888-271-7297</f>
        <v>-8455</v>
      </c>
      <c r="L4621" t="s">
        <v>14433</v>
      </c>
      <c r="M4621" t="s">
        <v>14434</v>
      </c>
      <c r="N4621" t="s">
        <v>213</v>
      </c>
      <c r="O4621" t="s">
        <v>134</v>
      </c>
      <c r="P4621" t="s">
        <v>29</v>
      </c>
      <c r="Q4621">
        <v>40</v>
      </c>
      <c r="R4621">
        <v>-99.999999000000003</v>
      </c>
    </row>
    <row r="4622" spans="1:18" x14ac:dyDescent="0.2">
      <c r="A4622" t="s">
        <v>18</v>
      </c>
      <c r="B4622" t="s">
        <v>462</v>
      </c>
      <c r="C4622">
        <v>1</v>
      </c>
      <c r="D4622" s="1">
        <v>44080.69699074074</v>
      </c>
      <c r="E4622" t="s">
        <v>14435</v>
      </c>
      <c r="F4622" t="s">
        <v>464</v>
      </c>
      <c r="G4622" t="s">
        <v>14432</v>
      </c>
      <c r="H4622" t="s">
        <v>466</v>
      </c>
      <c r="I4622" t="s">
        <v>29</v>
      </c>
      <c r="J4622">
        <v>1</v>
      </c>
      <c r="K4622">
        <f>1-888-271-7297</f>
        <v>-8455</v>
      </c>
      <c r="L4622" t="s">
        <v>14436</v>
      </c>
      <c r="M4622" t="s">
        <v>14437</v>
      </c>
      <c r="N4622" t="s">
        <v>674</v>
      </c>
      <c r="O4622" t="s">
        <v>134</v>
      </c>
      <c r="P4622" t="s">
        <v>29</v>
      </c>
      <c r="Q4622">
        <v>40</v>
      </c>
      <c r="R4622">
        <v>-99.999999000000003</v>
      </c>
    </row>
    <row r="4623" spans="1:18" x14ac:dyDescent="0.2">
      <c r="A4623" t="s">
        <v>18</v>
      </c>
      <c r="B4623" t="s">
        <v>462</v>
      </c>
      <c r="C4623">
        <v>1</v>
      </c>
      <c r="D4623" s="1">
        <v>44080.696944444448</v>
      </c>
      <c r="E4623" t="s">
        <v>14438</v>
      </c>
      <c r="F4623" t="s">
        <v>464</v>
      </c>
      <c r="G4623" t="s">
        <v>14432</v>
      </c>
      <c r="H4623" t="s">
        <v>466</v>
      </c>
      <c r="I4623" t="s">
        <v>29</v>
      </c>
      <c r="J4623">
        <v>1</v>
      </c>
      <c r="K4623">
        <f t="shared" ref="K4623:K4632" si="31">1-877-518-8528</f>
        <v>-9922</v>
      </c>
      <c r="L4623" t="s">
        <v>14439</v>
      </c>
      <c r="M4623" t="s">
        <v>14440</v>
      </c>
      <c r="N4623" t="s">
        <v>3441</v>
      </c>
      <c r="O4623" t="s">
        <v>134</v>
      </c>
      <c r="P4623" t="s">
        <v>29</v>
      </c>
      <c r="Q4623">
        <v>40</v>
      </c>
      <c r="R4623">
        <v>-99.999999000000003</v>
      </c>
    </row>
    <row r="4624" spans="1:18" x14ac:dyDescent="0.2">
      <c r="A4624" t="s">
        <v>18</v>
      </c>
      <c r="B4624" t="s">
        <v>462</v>
      </c>
      <c r="C4624">
        <v>1</v>
      </c>
      <c r="D4624" s="1">
        <v>44080.696909722225</v>
      </c>
      <c r="E4624" t="s">
        <v>14441</v>
      </c>
      <c r="F4624" t="s">
        <v>464</v>
      </c>
      <c r="G4624" t="s">
        <v>14432</v>
      </c>
      <c r="H4624" t="s">
        <v>466</v>
      </c>
      <c r="I4624" t="s">
        <v>29</v>
      </c>
      <c r="J4624">
        <v>1</v>
      </c>
      <c r="K4624">
        <f t="shared" si="31"/>
        <v>-9922</v>
      </c>
      <c r="L4624" t="s">
        <v>14442</v>
      </c>
      <c r="M4624" t="s">
        <v>14443</v>
      </c>
      <c r="N4624" t="s">
        <v>447</v>
      </c>
      <c r="O4624" t="s">
        <v>134</v>
      </c>
      <c r="P4624" t="s">
        <v>29</v>
      </c>
      <c r="Q4624">
        <v>40</v>
      </c>
      <c r="R4624">
        <v>-99.999999000000003</v>
      </c>
    </row>
    <row r="4625" spans="1:18" x14ac:dyDescent="0.2">
      <c r="A4625" t="s">
        <v>18</v>
      </c>
      <c r="B4625" t="s">
        <v>462</v>
      </c>
      <c r="C4625">
        <v>1</v>
      </c>
      <c r="D4625" s="1">
        <v>44080.696886574071</v>
      </c>
      <c r="E4625" t="s">
        <v>14444</v>
      </c>
      <c r="F4625" t="s">
        <v>464</v>
      </c>
      <c r="G4625" t="s">
        <v>14432</v>
      </c>
      <c r="H4625" t="s">
        <v>466</v>
      </c>
      <c r="I4625" t="s">
        <v>29</v>
      </c>
      <c r="J4625">
        <v>1</v>
      </c>
      <c r="K4625">
        <f t="shared" si="31"/>
        <v>-9922</v>
      </c>
      <c r="L4625" t="s">
        <v>14445</v>
      </c>
      <c r="M4625" t="s">
        <v>14446</v>
      </c>
      <c r="N4625" t="s">
        <v>3454</v>
      </c>
      <c r="O4625" t="s">
        <v>134</v>
      </c>
      <c r="P4625" t="s">
        <v>29</v>
      </c>
      <c r="Q4625">
        <v>40</v>
      </c>
      <c r="R4625">
        <v>-99.999999000000003</v>
      </c>
    </row>
    <row r="4626" spans="1:18" x14ac:dyDescent="0.2">
      <c r="A4626" t="s">
        <v>18</v>
      </c>
      <c r="B4626" t="s">
        <v>462</v>
      </c>
      <c r="C4626">
        <v>1</v>
      </c>
      <c r="D4626" s="1">
        <v>44080.696574074071</v>
      </c>
      <c r="E4626" t="s">
        <v>14447</v>
      </c>
      <c r="F4626" t="s">
        <v>464</v>
      </c>
      <c r="G4626" t="s">
        <v>14432</v>
      </c>
      <c r="H4626" t="s">
        <v>466</v>
      </c>
      <c r="I4626" t="s">
        <v>29</v>
      </c>
      <c r="J4626">
        <v>1</v>
      </c>
      <c r="K4626">
        <f t="shared" si="31"/>
        <v>-9922</v>
      </c>
      <c r="L4626" t="s">
        <v>14448</v>
      </c>
      <c r="M4626" t="s">
        <v>14449</v>
      </c>
      <c r="N4626" t="s">
        <v>3454</v>
      </c>
      <c r="O4626" t="s">
        <v>134</v>
      </c>
      <c r="P4626" t="s">
        <v>29</v>
      </c>
      <c r="Q4626">
        <v>40</v>
      </c>
      <c r="R4626">
        <v>-99.999999000000003</v>
      </c>
    </row>
    <row r="4627" spans="1:18" x14ac:dyDescent="0.2">
      <c r="A4627" t="s">
        <v>18</v>
      </c>
      <c r="B4627" t="s">
        <v>462</v>
      </c>
      <c r="C4627">
        <v>1</v>
      </c>
      <c r="D4627" s="1">
        <v>44080.696331018517</v>
      </c>
      <c r="E4627" t="s">
        <v>14450</v>
      </c>
      <c r="F4627" t="s">
        <v>464</v>
      </c>
      <c r="G4627" t="s">
        <v>14432</v>
      </c>
      <c r="H4627" t="s">
        <v>466</v>
      </c>
      <c r="I4627" t="s">
        <v>29</v>
      </c>
      <c r="J4627">
        <v>1</v>
      </c>
      <c r="K4627">
        <f t="shared" si="31"/>
        <v>-9922</v>
      </c>
      <c r="L4627" t="s">
        <v>14451</v>
      </c>
      <c r="M4627" t="s">
        <v>14452</v>
      </c>
      <c r="N4627" t="s">
        <v>447</v>
      </c>
      <c r="O4627" t="s">
        <v>134</v>
      </c>
      <c r="P4627" t="s">
        <v>29</v>
      </c>
      <c r="Q4627">
        <v>40</v>
      </c>
      <c r="R4627">
        <v>-99.999999000000003</v>
      </c>
    </row>
    <row r="4628" spans="1:18" x14ac:dyDescent="0.2">
      <c r="A4628" t="s">
        <v>18</v>
      </c>
      <c r="B4628" t="s">
        <v>462</v>
      </c>
      <c r="C4628">
        <v>1</v>
      </c>
      <c r="D4628" s="1">
        <v>44080.69630787037</v>
      </c>
      <c r="E4628" t="s">
        <v>14453</v>
      </c>
      <c r="F4628" t="s">
        <v>464</v>
      </c>
      <c r="G4628" t="s">
        <v>14432</v>
      </c>
      <c r="H4628" t="s">
        <v>466</v>
      </c>
      <c r="I4628" t="s">
        <v>29</v>
      </c>
      <c r="J4628">
        <v>1</v>
      </c>
      <c r="K4628">
        <f t="shared" si="31"/>
        <v>-9922</v>
      </c>
      <c r="L4628" t="s">
        <v>14454</v>
      </c>
      <c r="M4628" t="s">
        <v>14455</v>
      </c>
      <c r="N4628" t="s">
        <v>3441</v>
      </c>
      <c r="O4628" t="s">
        <v>134</v>
      </c>
      <c r="P4628" t="s">
        <v>29</v>
      </c>
      <c r="Q4628">
        <v>40</v>
      </c>
      <c r="R4628">
        <v>-99.999999000000003</v>
      </c>
    </row>
    <row r="4629" spans="1:18" x14ac:dyDescent="0.2">
      <c r="A4629" t="s">
        <v>18</v>
      </c>
      <c r="B4629" t="s">
        <v>462</v>
      </c>
      <c r="C4629">
        <v>1</v>
      </c>
      <c r="D4629" s="1">
        <v>44080.696215277778</v>
      </c>
      <c r="E4629" t="s">
        <v>14456</v>
      </c>
      <c r="F4629" t="s">
        <v>464</v>
      </c>
      <c r="G4629" t="s">
        <v>14432</v>
      </c>
      <c r="H4629" t="s">
        <v>466</v>
      </c>
      <c r="I4629" t="s">
        <v>29</v>
      </c>
      <c r="J4629">
        <v>1</v>
      </c>
      <c r="K4629">
        <f t="shared" si="31"/>
        <v>-9922</v>
      </c>
      <c r="L4629" t="s">
        <v>14457</v>
      </c>
      <c r="M4629" t="s">
        <v>14458</v>
      </c>
      <c r="N4629" t="s">
        <v>674</v>
      </c>
      <c r="O4629" t="s">
        <v>134</v>
      </c>
      <c r="P4629" t="s">
        <v>29</v>
      </c>
      <c r="Q4629">
        <v>40</v>
      </c>
      <c r="R4629">
        <v>-99.999999000000003</v>
      </c>
    </row>
    <row r="4630" spans="1:18" x14ac:dyDescent="0.2">
      <c r="A4630" t="s">
        <v>18</v>
      </c>
      <c r="B4630" t="s">
        <v>462</v>
      </c>
      <c r="C4630">
        <v>1</v>
      </c>
      <c r="D4630" s="1">
        <v>44080.695868055554</v>
      </c>
      <c r="E4630" t="s">
        <v>14459</v>
      </c>
      <c r="F4630" t="s">
        <v>464</v>
      </c>
      <c r="G4630" t="s">
        <v>14432</v>
      </c>
      <c r="H4630" t="s">
        <v>466</v>
      </c>
      <c r="I4630" t="s">
        <v>29</v>
      </c>
      <c r="J4630">
        <v>1</v>
      </c>
      <c r="K4630">
        <f t="shared" si="31"/>
        <v>-9922</v>
      </c>
      <c r="L4630" t="s">
        <v>14460</v>
      </c>
      <c r="M4630" t="s">
        <v>14461</v>
      </c>
      <c r="N4630" t="s">
        <v>213</v>
      </c>
      <c r="O4630" t="s">
        <v>134</v>
      </c>
      <c r="P4630" t="s">
        <v>29</v>
      </c>
      <c r="Q4630">
        <v>40</v>
      </c>
      <c r="R4630">
        <v>-99.999999000000003</v>
      </c>
    </row>
    <row r="4631" spans="1:18" x14ac:dyDescent="0.2">
      <c r="A4631" t="s">
        <v>18</v>
      </c>
      <c r="B4631" t="s">
        <v>462</v>
      </c>
      <c r="C4631">
        <v>1</v>
      </c>
      <c r="D4631" s="1">
        <v>44080.695775462962</v>
      </c>
      <c r="E4631" t="s">
        <v>14462</v>
      </c>
      <c r="F4631" t="s">
        <v>464</v>
      </c>
      <c r="G4631" t="s">
        <v>14432</v>
      </c>
      <c r="H4631" t="s">
        <v>466</v>
      </c>
      <c r="I4631" t="s">
        <v>29</v>
      </c>
      <c r="J4631">
        <v>1</v>
      </c>
      <c r="K4631">
        <f t="shared" si="31"/>
        <v>-9922</v>
      </c>
      <c r="L4631" t="s">
        <v>14463</v>
      </c>
      <c r="M4631" t="s">
        <v>14464</v>
      </c>
      <c r="N4631" t="s">
        <v>447</v>
      </c>
      <c r="O4631" t="s">
        <v>134</v>
      </c>
      <c r="P4631" t="s">
        <v>29</v>
      </c>
      <c r="Q4631">
        <v>40</v>
      </c>
      <c r="R4631">
        <v>-99.999999000000003</v>
      </c>
    </row>
    <row r="4632" spans="1:18" x14ac:dyDescent="0.2">
      <c r="A4632" t="s">
        <v>18</v>
      </c>
      <c r="B4632" t="s">
        <v>462</v>
      </c>
      <c r="C4632">
        <v>1</v>
      </c>
      <c r="D4632" s="1">
        <v>44080.695729166669</v>
      </c>
      <c r="E4632" t="s">
        <v>14465</v>
      </c>
      <c r="F4632" t="s">
        <v>464</v>
      </c>
      <c r="G4632" t="s">
        <v>14432</v>
      </c>
      <c r="H4632" t="s">
        <v>466</v>
      </c>
      <c r="I4632" t="s">
        <v>29</v>
      </c>
      <c r="J4632">
        <v>1</v>
      </c>
      <c r="K4632">
        <f t="shared" si="31"/>
        <v>-9922</v>
      </c>
      <c r="L4632" t="s">
        <v>14466</v>
      </c>
      <c r="M4632" t="s">
        <v>14467</v>
      </c>
      <c r="N4632" t="s">
        <v>3441</v>
      </c>
      <c r="O4632" t="s">
        <v>134</v>
      </c>
      <c r="P4632" t="s">
        <v>29</v>
      </c>
      <c r="Q4632">
        <v>40</v>
      </c>
      <c r="R4632">
        <v>-99.999999000000003</v>
      </c>
    </row>
    <row r="4633" spans="1:18" x14ac:dyDescent="0.2">
      <c r="A4633" t="s">
        <v>18</v>
      </c>
      <c r="B4633" t="s">
        <v>462</v>
      </c>
      <c r="C4633">
        <v>1</v>
      </c>
      <c r="D4633" s="1">
        <v>44080.694768518515</v>
      </c>
      <c r="E4633" t="s">
        <v>14468</v>
      </c>
      <c r="F4633" t="s">
        <v>464</v>
      </c>
      <c r="G4633" t="s">
        <v>14432</v>
      </c>
      <c r="H4633" t="s">
        <v>466</v>
      </c>
      <c r="I4633" t="s">
        <v>29</v>
      </c>
      <c r="J4633">
        <v>1</v>
      </c>
      <c r="K4633">
        <f t="shared" ref="K4633:K4642" si="32">1-800-915-585</f>
        <v>-2299</v>
      </c>
      <c r="L4633" t="s">
        <v>14469</v>
      </c>
      <c r="M4633" t="s">
        <v>14470</v>
      </c>
      <c r="N4633" t="s">
        <v>213</v>
      </c>
      <c r="O4633" t="s">
        <v>134</v>
      </c>
      <c r="P4633" t="s">
        <v>29</v>
      </c>
      <c r="Q4633">
        <v>40</v>
      </c>
      <c r="R4633">
        <v>-99.999999000000003</v>
      </c>
    </row>
    <row r="4634" spans="1:18" x14ac:dyDescent="0.2">
      <c r="A4634" t="s">
        <v>18</v>
      </c>
      <c r="B4634" t="s">
        <v>462</v>
      </c>
      <c r="C4634">
        <v>1</v>
      </c>
      <c r="D4634" s="1">
        <v>44080.694722222222</v>
      </c>
      <c r="E4634" t="s">
        <v>14471</v>
      </c>
      <c r="F4634" t="s">
        <v>464</v>
      </c>
      <c r="G4634" t="s">
        <v>14432</v>
      </c>
      <c r="H4634" t="s">
        <v>466</v>
      </c>
      <c r="I4634" t="s">
        <v>29</v>
      </c>
      <c r="J4634">
        <v>1</v>
      </c>
      <c r="K4634">
        <f t="shared" si="32"/>
        <v>-2299</v>
      </c>
      <c r="L4634" t="s">
        <v>14472</v>
      </c>
      <c r="M4634" t="s">
        <v>14473</v>
      </c>
      <c r="N4634" t="s">
        <v>674</v>
      </c>
      <c r="O4634" t="s">
        <v>134</v>
      </c>
      <c r="P4634" t="s">
        <v>29</v>
      </c>
      <c r="Q4634">
        <v>40</v>
      </c>
      <c r="R4634">
        <v>-99.999999000000003</v>
      </c>
    </row>
    <row r="4635" spans="1:18" x14ac:dyDescent="0.2">
      <c r="A4635" t="s">
        <v>18</v>
      </c>
      <c r="B4635" t="s">
        <v>462</v>
      </c>
      <c r="C4635">
        <v>1</v>
      </c>
      <c r="D4635" s="1">
        <v>44080.694641203707</v>
      </c>
      <c r="E4635" t="s">
        <v>14474</v>
      </c>
      <c r="F4635" t="s">
        <v>464</v>
      </c>
      <c r="G4635" t="s">
        <v>14432</v>
      </c>
      <c r="H4635" t="s">
        <v>466</v>
      </c>
      <c r="I4635" t="s">
        <v>29</v>
      </c>
      <c r="J4635">
        <v>1</v>
      </c>
      <c r="K4635">
        <f t="shared" si="32"/>
        <v>-2299</v>
      </c>
      <c r="L4635" t="s">
        <v>14475</v>
      </c>
      <c r="M4635" t="s">
        <v>14476</v>
      </c>
      <c r="N4635" t="s">
        <v>3441</v>
      </c>
      <c r="O4635" t="s">
        <v>134</v>
      </c>
      <c r="P4635" t="s">
        <v>29</v>
      </c>
      <c r="Q4635">
        <v>40</v>
      </c>
      <c r="R4635">
        <v>-99.999999000000003</v>
      </c>
    </row>
    <row r="4636" spans="1:18" x14ac:dyDescent="0.2">
      <c r="A4636" t="s">
        <v>18</v>
      </c>
      <c r="B4636" t="s">
        <v>462</v>
      </c>
      <c r="C4636">
        <v>1</v>
      </c>
      <c r="D4636" s="1">
        <v>44080.68922453704</v>
      </c>
      <c r="E4636" t="s">
        <v>14477</v>
      </c>
      <c r="F4636" t="s">
        <v>464</v>
      </c>
      <c r="G4636" t="s">
        <v>14432</v>
      </c>
      <c r="H4636" t="s">
        <v>466</v>
      </c>
      <c r="I4636" t="s">
        <v>29</v>
      </c>
      <c r="J4636">
        <v>1</v>
      </c>
      <c r="K4636">
        <f t="shared" si="32"/>
        <v>-2299</v>
      </c>
      <c r="L4636" t="s">
        <v>14478</v>
      </c>
      <c r="M4636" t="s">
        <v>14479</v>
      </c>
      <c r="N4636" t="s">
        <v>213</v>
      </c>
      <c r="O4636" t="s">
        <v>134</v>
      </c>
      <c r="P4636" t="s">
        <v>29</v>
      </c>
      <c r="Q4636">
        <v>40</v>
      </c>
      <c r="R4636">
        <v>-99.999999000000003</v>
      </c>
    </row>
    <row r="4637" spans="1:18" x14ac:dyDescent="0.2">
      <c r="A4637" t="s">
        <v>18</v>
      </c>
      <c r="B4637" t="s">
        <v>462</v>
      </c>
      <c r="C4637">
        <v>1</v>
      </c>
      <c r="D4637" s="1">
        <v>44080.689039351855</v>
      </c>
      <c r="E4637" t="s">
        <v>14480</v>
      </c>
      <c r="F4637" t="s">
        <v>464</v>
      </c>
      <c r="G4637" t="s">
        <v>14432</v>
      </c>
      <c r="H4637" t="s">
        <v>466</v>
      </c>
      <c r="I4637" t="s">
        <v>29</v>
      </c>
      <c r="J4637">
        <v>1</v>
      </c>
      <c r="K4637">
        <f t="shared" si="32"/>
        <v>-2299</v>
      </c>
      <c r="L4637" t="s">
        <v>14481</v>
      </c>
      <c r="M4637" t="s">
        <v>14482</v>
      </c>
      <c r="N4637" t="s">
        <v>213</v>
      </c>
      <c r="O4637" t="s">
        <v>134</v>
      </c>
      <c r="P4637" t="s">
        <v>29</v>
      </c>
      <c r="Q4637">
        <v>40</v>
      </c>
      <c r="R4637">
        <v>-99.999999000000003</v>
      </c>
    </row>
    <row r="4638" spans="1:18" x14ac:dyDescent="0.2">
      <c r="A4638" t="s">
        <v>18</v>
      </c>
      <c r="B4638" t="s">
        <v>462</v>
      </c>
      <c r="C4638">
        <v>1</v>
      </c>
      <c r="D4638" s="1">
        <v>44080.688831018517</v>
      </c>
      <c r="E4638" t="s">
        <v>14483</v>
      </c>
      <c r="F4638" t="s">
        <v>464</v>
      </c>
      <c r="G4638" t="s">
        <v>14432</v>
      </c>
      <c r="H4638" t="s">
        <v>466</v>
      </c>
      <c r="I4638" t="s">
        <v>29</v>
      </c>
      <c r="J4638">
        <v>1</v>
      </c>
      <c r="K4638">
        <f t="shared" si="32"/>
        <v>-2299</v>
      </c>
      <c r="L4638" t="s">
        <v>14484</v>
      </c>
      <c r="M4638" t="s">
        <v>14485</v>
      </c>
      <c r="N4638" t="s">
        <v>674</v>
      </c>
      <c r="O4638" t="s">
        <v>134</v>
      </c>
      <c r="P4638" t="s">
        <v>29</v>
      </c>
      <c r="Q4638">
        <v>40</v>
      </c>
      <c r="R4638">
        <v>-99.999999000000003</v>
      </c>
    </row>
    <row r="4639" spans="1:18" x14ac:dyDescent="0.2">
      <c r="A4639" t="s">
        <v>18</v>
      </c>
      <c r="B4639" t="s">
        <v>462</v>
      </c>
      <c r="C4639">
        <v>1</v>
      </c>
      <c r="D4639" s="1">
        <v>44080.688761574071</v>
      </c>
      <c r="E4639" t="s">
        <v>14486</v>
      </c>
      <c r="F4639" t="s">
        <v>464</v>
      </c>
      <c r="G4639" t="s">
        <v>14432</v>
      </c>
      <c r="H4639" t="s">
        <v>466</v>
      </c>
      <c r="I4639" t="s">
        <v>29</v>
      </c>
      <c r="J4639">
        <v>1</v>
      </c>
      <c r="K4639">
        <f t="shared" si="32"/>
        <v>-2299</v>
      </c>
      <c r="L4639" t="s">
        <v>14487</v>
      </c>
      <c r="M4639" t="s">
        <v>14488</v>
      </c>
      <c r="N4639" t="s">
        <v>447</v>
      </c>
      <c r="O4639" t="s">
        <v>134</v>
      </c>
      <c r="P4639" t="s">
        <v>29</v>
      </c>
      <c r="Q4639">
        <v>40</v>
      </c>
      <c r="R4639">
        <v>-99.999999000000003</v>
      </c>
    </row>
    <row r="4640" spans="1:18" x14ac:dyDescent="0.2">
      <c r="A4640" t="s">
        <v>18</v>
      </c>
      <c r="B4640" t="s">
        <v>462</v>
      </c>
      <c r="C4640">
        <v>1</v>
      </c>
      <c r="D4640" s="1">
        <v>44080.688240740739</v>
      </c>
      <c r="E4640" t="s">
        <v>14489</v>
      </c>
      <c r="F4640" t="s">
        <v>464</v>
      </c>
      <c r="G4640" t="s">
        <v>14432</v>
      </c>
      <c r="H4640" t="s">
        <v>466</v>
      </c>
      <c r="I4640" t="s">
        <v>29</v>
      </c>
      <c r="J4640">
        <v>1</v>
      </c>
      <c r="K4640">
        <f t="shared" si="32"/>
        <v>-2299</v>
      </c>
      <c r="L4640" t="s">
        <v>14490</v>
      </c>
      <c r="M4640" t="s">
        <v>14491</v>
      </c>
      <c r="N4640" t="s">
        <v>447</v>
      </c>
      <c r="O4640" t="s">
        <v>134</v>
      </c>
      <c r="P4640" t="s">
        <v>29</v>
      </c>
      <c r="Q4640">
        <v>40</v>
      </c>
      <c r="R4640">
        <v>-99.999999000000003</v>
      </c>
    </row>
    <row r="4641" spans="1:18" x14ac:dyDescent="0.2">
      <c r="A4641" t="s">
        <v>18</v>
      </c>
      <c r="B4641" t="s">
        <v>462</v>
      </c>
      <c r="C4641">
        <v>1</v>
      </c>
      <c r="D4641" s="1">
        <v>44080.688159722224</v>
      </c>
      <c r="E4641" t="s">
        <v>14492</v>
      </c>
      <c r="F4641" t="s">
        <v>464</v>
      </c>
      <c r="G4641" t="s">
        <v>14432</v>
      </c>
      <c r="H4641" t="s">
        <v>466</v>
      </c>
      <c r="I4641" t="s">
        <v>29</v>
      </c>
      <c r="J4641">
        <v>1</v>
      </c>
      <c r="K4641">
        <f t="shared" si="32"/>
        <v>-2299</v>
      </c>
      <c r="L4641" t="s">
        <v>14493</v>
      </c>
      <c r="M4641" t="s">
        <v>14494</v>
      </c>
      <c r="N4641" t="s">
        <v>3441</v>
      </c>
      <c r="O4641" t="s">
        <v>134</v>
      </c>
      <c r="P4641" t="s">
        <v>29</v>
      </c>
      <c r="Q4641">
        <v>40</v>
      </c>
      <c r="R4641">
        <v>-99.999999000000003</v>
      </c>
    </row>
    <row r="4642" spans="1:18" x14ac:dyDescent="0.2">
      <c r="A4642" t="s">
        <v>18</v>
      </c>
      <c r="B4642" t="s">
        <v>462</v>
      </c>
      <c r="C4642">
        <v>1</v>
      </c>
      <c r="D4642" s="1">
        <v>44080.688136574077</v>
      </c>
      <c r="E4642" t="s">
        <v>14495</v>
      </c>
      <c r="F4642" t="s">
        <v>464</v>
      </c>
      <c r="G4642" t="s">
        <v>14432</v>
      </c>
      <c r="H4642" t="s">
        <v>466</v>
      </c>
      <c r="I4642" t="s">
        <v>29</v>
      </c>
      <c r="J4642">
        <v>1</v>
      </c>
      <c r="K4642">
        <f t="shared" si="32"/>
        <v>-2299</v>
      </c>
      <c r="L4642" t="s">
        <v>14496</v>
      </c>
      <c r="M4642" t="s">
        <v>14497</v>
      </c>
      <c r="N4642" t="s">
        <v>3454</v>
      </c>
      <c r="O4642" t="s">
        <v>134</v>
      </c>
      <c r="P4642" t="s">
        <v>29</v>
      </c>
      <c r="Q4642">
        <v>40</v>
      </c>
      <c r="R4642">
        <v>-99.999999000000003</v>
      </c>
    </row>
    <row r="4643" spans="1:18" x14ac:dyDescent="0.2">
      <c r="A4643" t="s">
        <v>18</v>
      </c>
      <c r="B4643" t="s">
        <v>462</v>
      </c>
      <c r="C4643">
        <v>1</v>
      </c>
      <c r="D4643" s="1">
        <v>44080.687928240739</v>
      </c>
      <c r="E4643" t="s">
        <v>14498</v>
      </c>
      <c r="F4643" t="s">
        <v>464</v>
      </c>
      <c r="G4643" t="s">
        <v>14432</v>
      </c>
      <c r="H4643" t="s">
        <v>466</v>
      </c>
      <c r="I4643" t="s">
        <v>29</v>
      </c>
      <c r="J4643">
        <v>1</v>
      </c>
      <c r="K4643">
        <f>1-888-456-2022</f>
        <v>-3365</v>
      </c>
      <c r="L4643" t="s">
        <v>14499</v>
      </c>
      <c r="M4643" t="s">
        <v>14500</v>
      </c>
      <c r="N4643" t="s">
        <v>3454</v>
      </c>
      <c r="O4643" t="s">
        <v>134</v>
      </c>
      <c r="P4643" t="s">
        <v>29</v>
      </c>
      <c r="Q4643">
        <v>40</v>
      </c>
      <c r="R4643">
        <v>-99.999999000000003</v>
      </c>
    </row>
    <row r="4644" spans="1:18" x14ac:dyDescent="0.2">
      <c r="A4644" t="s">
        <v>18</v>
      </c>
      <c r="B4644" t="s">
        <v>462</v>
      </c>
      <c r="C4644">
        <v>1</v>
      </c>
      <c r="D4644" s="1">
        <v>44080.687905092593</v>
      </c>
      <c r="E4644" t="s">
        <v>14501</v>
      </c>
      <c r="F4644" t="s">
        <v>464</v>
      </c>
      <c r="G4644" t="s">
        <v>14432</v>
      </c>
      <c r="H4644" t="s">
        <v>466</v>
      </c>
      <c r="I4644" t="s">
        <v>29</v>
      </c>
      <c r="J4644">
        <v>1</v>
      </c>
      <c r="K4644">
        <f>1-866-990-4929</f>
        <v>-6784</v>
      </c>
      <c r="L4644" t="s">
        <v>14502</v>
      </c>
      <c r="M4644" t="s">
        <v>14503</v>
      </c>
      <c r="N4644" t="s">
        <v>447</v>
      </c>
      <c r="O4644" t="s">
        <v>134</v>
      </c>
      <c r="P4644" t="s">
        <v>29</v>
      </c>
      <c r="Q4644">
        <v>40</v>
      </c>
      <c r="R4644">
        <v>-99.999999000000003</v>
      </c>
    </row>
    <row r="4645" spans="1:18" x14ac:dyDescent="0.2">
      <c r="A4645" t="s">
        <v>18</v>
      </c>
      <c r="B4645" t="s">
        <v>462</v>
      </c>
      <c r="C4645">
        <v>1</v>
      </c>
      <c r="D4645" s="1">
        <v>44080.687847222223</v>
      </c>
      <c r="E4645" t="s">
        <v>14504</v>
      </c>
      <c r="F4645" t="s">
        <v>464</v>
      </c>
      <c r="G4645" t="s">
        <v>14432</v>
      </c>
      <c r="H4645" t="s">
        <v>466</v>
      </c>
      <c r="I4645" t="s">
        <v>29</v>
      </c>
      <c r="J4645">
        <v>1</v>
      </c>
      <c r="K4645">
        <f>1-866-990-4929</f>
        <v>-6784</v>
      </c>
      <c r="L4645" t="s">
        <v>14505</v>
      </c>
      <c r="M4645" t="s">
        <v>14506</v>
      </c>
      <c r="N4645" t="s">
        <v>3441</v>
      </c>
      <c r="O4645" t="s">
        <v>134</v>
      </c>
      <c r="P4645" t="s">
        <v>29</v>
      </c>
      <c r="Q4645">
        <v>40</v>
      </c>
      <c r="R4645">
        <v>-99.999999000000003</v>
      </c>
    </row>
    <row r="4646" spans="1:18" x14ac:dyDescent="0.2">
      <c r="A4646" t="s">
        <v>18</v>
      </c>
      <c r="B4646" t="s">
        <v>462</v>
      </c>
      <c r="C4646">
        <v>1</v>
      </c>
      <c r="D4646" s="1">
        <v>44080.687523148146</v>
      </c>
      <c r="E4646" t="s">
        <v>14507</v>
      </c>
      <c r="F4646" t="s">
        <v>464</v>
      </c>
      <c r="G4646" t="s">
        <v>14432</v>
      </c>
      <c r="H4646" t="s">
        <v>466</v>
      </c>
      <c r="I4646" t="s">
        <v>29</v>
      </c>
      <c r="J4646">
        <v>1</v>
      </c>
      <c r="K4646">
        <f>1-877-518-8528</f>
        <v>-9922</v>
      </c>
      <c r="L4646" t="s">
        <v>14508</v>
      </c>
      <c r="M4646" t="s">
        <v>14509</v>
      </c>
      <c r="N4646" t="s">
        <v>447</v>
      </c>
      <c r="O4646" t="s">
        <v>134</v>
      </c>
      <c r="P4646" t="s">
        <v>29</v>
      </c>
      <c r="Q4646">
        <v>40</v>
      </c>
      <c r="R4646">
        <v>-99.999999000000003</v>
      </c>
    </row>
    <row r="4647" spans="1:18" x14ac:dyDescent="0.2">
      <c r="A4647" t="s">
        <v>18</v>
      </c>
      <c r="B4647" t="s">
        <v>462</v>
      </c>
      <c r="C4647">
        <v>1</v>
      </c>
      <c r="D4647" s="1">
        <v>44080.687418981484</v>
      </c>
      <c r="E4647" t="s">
        <v>14510</v>
      </c>
      <c r="F4647" t="s">
        <v>464</v>
      </c>
      <c r="G4647" t="s">
        <v>14432</v>
      </c>
      <c r="H4647" t="s">
        <v>466</v>
      </c>
      <c r="I4647" t="s">
        <v>29</v>
      </c>
      <c r="J4647">
        <v>1</v>
      </c>
      <c r="K4647">
        <f>1-833-266-8633</f>
        <v>-9731</v>
      </c>
      <c r="L4647" t="s">
        <v>14511</v>
      </c>
      <c r="M4647" t="s">
        <v>14512</v>
      </c>
      <c r="N4647" t="s">
        <v>674</v>
      </c>
      <c r="O4647" t="s">
        <v>134</v>
      </c>
      <c r="P4647" t="s">
        <v>29</v>
      </c>
      <c r="Q4647">
        <v>40</v>
      </c>
      <c r="R4647">
        <v>-99.999999000000003</v>
      </c>
    </row>
    <row r="4648" spans="1:18" x14ac:dyDescent="0.2">
      <c r="A4648" t="s">
        <v>18</v>
      </c>
      <c r="B4648" t="s">
        <v>462</v>
      </c>
      <c r="C4648">
        <v>1</v>
      </c>
      <c r="D4648" s="1">
        <v>44080.687395833331</v>
      </c>
      <c r="E4648" t="s">
        <v>14513</v>
      </c>
      <c r="F4648" t="s">
        <v>464</v>
      </c>
      <c r="G4648" t="s">
        <v>14432</v>
      </c>
      <c r="H4648" t="s">
        <v>466</v>
      </c>
      <c r="I4648" t="s">
        <v>29</v>
      </c>
      <c r="J4648">
        <v>1</v>
      </c>
      <c r="K4648">
        <f>1-888-271-7297</f>
        <v>-8455</v>
      </c>
      <c r="L4648" t="s">
        <v>14514</v>
      </c>
      <c r="M4648" t="s">
        <v>14515</v>
      </c>
      <c r="N4648" t="s">
        <v>3454</v>
      </c>
      <c r="O4648" t="s">
        <v>134</v>
      </c>
      <c r="P4648" t="s">
        <v>29</v>
      </c>
      <c r="Q4648">
        <v>40</v>
      </c>
      <c r="R4648">
        <v>-99.999999000000003</v>
      </c>
    </row>
    <row r="4649" spans="1:18" x14ac:dyDescent="0.2">
      <c r="A4649" t="s">
        <v>18</v>
      </c>
      <c r="B4649" t="s">
        <v>462</v>
      </c>
      <c r="C4649">
        <v>1</v>
      </c>
      <c r="D4649" s="1">
        <v>44080.687291666669</v>
      </c>
      <c r="E4649" t="s">
        <v>14516</v>
      </c>
      <c r="F4649" t="s">
        <v>464</v>
      </c>
      <c r="G4649" t="s">
        <v>14432</v>
      </c>
      <c r="H4649" t="s">
        <v>466</v>
      </c>
      <c r="I4649" t="s">
        <v>29</v>
      </c>
      <c r="J4649">
        <v>1</v>
      </c>
      <c r="K4649">
        <f>1-877-518-8528</f>
        <v>-9922</v>
      </c>
      <c r="L4649" t="s">
        <v>14517</v>
      </c>
      <c r="M4649" t="s">
        <v>14518</v>
      </c>
      <c r="N4649" t="s">
        <v>3441</v>
      </c>
      <c r="O4649" t="s">
        <v>134</v>
      </c>
      <c r="P4649" t="s">
        <v>29</v>
      </c>
      <c r="Q4649">
        <v>40</v>
      </c>
      <c r="R4649">
        <v>-99.999999000000003</v>
      </c>
    </row>
    <row r="4650" spans="1:18" x14ac:dyDescent="0.2">
      <c r="A4650" t="s">
        <v>18</v>
      </c>
      <c r="B4650" t="s">
        <v>462</v>
      </c>
      <c r="C4650">
        <v>1</v>
      </c>
      <c r="D4650" s="1">
        <v>44080.686886574076</v>
      </c>
      <c r="E4650" t="s">
        <v>14519</v>
      </c>
      <c r="F4650" t="s">
        <v>464</v>
      </c>
      <c r="G4650" t="s">
        <v>14432</v>
      </c>
      <c r="H4650" t="s">
        <v>466</v>
      </c>
      <c r="I4650" t="s">
        <v>29</v>
      </c>
      <c r="J4650">
        <v>1</v>
      </c>
      <c r="K4650">
        <f>1-877-518-8528</f>
        <v>-9922</v>
      </c>
      <c r="L4650" t="s">
        <v>14520</v>
      </c>
      <c r="M4650" t="s">
        <v>14521</v>
      </c>
      <c r="N4650" t="s">
        <v>213</v>
      </c>
      <c r="O4650" t="s">
        <v>134</v>
      </c>
      <c r="P4650" t="s">
        <v>29</v>
      </c>
      <c r="Q4650">
        <v>40</v>
      </c>
      <c r="R4650">
        <v>-99.999999000000003</v>
      </c>
    </row>
    <row r="4651" spans="1:18" x14ac:dyDescent="0.2">
      <c r="A4651" t="s">
        <v>18</v>
      </c>
      <c r="B4651" t="s">
        <v>462</v>
      </c>
      <c r="C4651">
        <v>1</v>
      </c>
      <c r="D4651" s="1">
        <v>44074.949861111112</v>
      </c>
      <c r="E4651" t="s">
        <v>14522</v>
      </c>
      <c r="F4651" t="s">
        <v>6575</v>
      </c>
      <c r="G4651" t="s">
        <v>14432</v>
      </c>
      <c r="H4651" t="s">
        <v>466</v>
      </c>
      <c r="I4651" t="s">
        <v>29</v>
      </c>
      <c r="J4651">
        <v>1</v>
      </c>
      <c r="K4651">
        <f>1-800-915-585</f>
        <v>-2299</v>
      </c>
      <c r="L4651" t="s">
        <v>14523</v>
      </c>
      <c r="M4651" t="s">
        <v>14524</v>
      </c>
      <c r="N4651" t="s">
        <v>447</v>
      </c>
      <c r="O4651" t="s">
        <v>134</v>
      </c>
      <c r="P4651" t="s">
        <v>29</v>
      </c>
      <c r="Q4651">
        <v>40</v>
      </c>
      <c r="R4651">
        <v>-99.999999000000003</v>
      </c>
    </row>
    <row r="4652" spans="1:18" x14ac:dyDescent="0.2">
      <c r="A4652" t="s">
        <v>18</v>
      </c>
      <c r="B4652" t="s">
        <v>462</v>
      </c>
      <c r="C4652">
        <v>1</v>
      </c>
      <c r="D4652" s="1">
        <v>44052.90457175926</v>
      </c>
      <c r="E4652" t="s">
        <v>14525</v>
      </c>
      <c r="F4652" t="s">
        <v>464</v>
      </c>
      <c r="G4652" t="s">
        <v>14432</v>
      </c>
      <c r="H4652" t="s">
        <v>466</v>
      </c>
      <c r="I4652" t="s">
        <v>29</v>
      </c>
      <c r="J4652">
        <v>1</v>
      </c>
      <c r="K4652">
        <f>1-888-853-7</f>
        <v>-1747</v>
      </c>
      <c r="L4652" t="s">
        <v>14526</v>
      </c>
      <c r="M4652" t="s">
        <v>14527</v>
      </c>
      <c r="N4652" t="s">
        <v>3454</v>
      </c>
      <c r="O4652" t="s">
        <v>28</v>
      </c>
      <c r="P4652" t="s">
        <v>29</v>
      </c>
      <c r="Q4652">
        <v>40</v>
      </c>
      <c r="R4652">
        <v>-99.999999000000003</v>
      </c>
    </row>
    <row r="4653" spans="1:18" x14ac:dyDescent="0.2">
      <c r="A4653" t="s">
        <v>270</v>
      </c>
      <c r="B4653" t="s">
        <v>1638</v>
      </c>
      <c r="C4653">
        <v>1</v>
      </c>
      <c r="D4653" s="1">
        <v>44149.135567129626</v>
      </c>
      <c r="E4653" t="s">
        <v>14528</v>
      </c>
      <c r="F4653" t="s">
        <v>273</v>
      </c>
      <c r="G4653" t="s">
        <v>14529</v>
      </c>
      <c r="H4653" t="s">
        <v>275</v>
      </c>
      <c r="I4653" t="s">
        <v>29</v>
      </c>
      <c r="J4653">
        <v>1</v>
      </c>
      <c r="K4653">
        <f>1-844-288-9125</f>
        <v>-10256</v>
      </c>
      <c r="L4653" t="s">
        <v>14530</v>
      </c>
      <c r="M4653" t="s">
        <v>14531</v>
      </c>
      <c r="N4653" t="s">
        <v>278</v>
      </c>
      <c r="O4653" t="s">
        <v>134</v>
      </c>
      <c r="P4653" t="s">
        <v>292</v>
      </c>
      <c r="Q4653">
        <v>49</v>
      </c>
      <c r="R4653">
        <v>2.3473220000000001</v>
      </c>
    </row>
    <row r="4654" spans="1:18" x14ac:dyDescent="0.2">
      <c r="A4654" t="s">
        <v>270</v>
      </c>
      <c r="B4654" t="s">
        <v>1638</v>
      </c>
      <c r="C4654">
        <v>1</v>
      </c>
      <c r="D4654" s="1">
        <v>44089.838599537034</v>
      </c>
      <c r="E4654" t="s">
        <v>14532</v>
      </c>
      <c r="F4654" t="s">
        <v>273</v>
      </c>
      <c r="G4654" t="s">
        <v>14529</v>
      </c>
      <c r="H4654" t="s">
        <v>275</v>
      </c>
      <c r="I4654" t="s">
        <v>29</v>
      </c>
      <c r="J4654">
        <v>1</v>
      </c>
      <c r="K4654">
        <f>1-844-233-1380</f>
        <v>-2456</v>
      </c>
      <c r="L4654" t="s">
        <v>14533</v>
      </c>
      <c r="M4654" t="s">
        <v>14534</v>
      </c>
      <c r="N4654" t="s">
        <v>278</v>
      </c>
      <c r="O4654" t="s">
        <v>28</v>
      </c>
      <c r="P4654" t="s">
        <v>292</v>
      </c>
      <c r="Q4654">
        <v>49</v>
      </c>
      <c r="R4654">
        <v>2.3473220000000001</v>
      </c>
    </row>
    <row r="4655" spans="1:18" x14ac:dyDescent="0.2">
      <c r="A4655" t="s">
        <v>270</v>
      </c>
      <c r="B4655" t="s">
        <v>1638</v>
      </c>
      <c r="C4655">
        <v>1</v>
      </c>
      <c r="D4655" s="1">
        <v>44089.430844907409</v>
      </c>
      <c r="E4655" t="s">
        <v>14535</v>
      </c>
      <c r="F4655" t="s">
        <v>273</v>
      </c>
      <c r="G4655" t="s">
        <v>14529</v>
      </c>
      <c r="H4655" t="s">
        <v>275</v>
      </c>
      <c r="I4655" t="s">
        <v>29</v>
      </c>
      <c r="J4655">
        <v>1</v>
      </c>
      <c r="K4655">
        <f>1-844-210-4337</f>
        <v>-5390</v>
      </c>
      <c r="L4655" t="s">
        <v>14536</v>
      </c>
      <c r="M4655" t="s">
        <v>14537</v>
      </c>
      <c r="N4655" t="s">
        <v>278</v>
      </c>
      <c r="O4655" t="s">
        <v>28</v>
      </c>
      <c r="P4655" t="s">
        <v>292</v>
      </c>
      <c r="Q4655">
        <v>49</v>
      </c>
      <c r="R4655">
        <v>2.3473220000000001</v>
      </c>
    </row>
    <row r="4656" spans="1:18" x14ac:dyDescent="0.2">
      <c r="A4656" t="s">
        <v>270</v>
      </c>
      <c r="B4656" t="s">
        <v>1638</v>
      </c>
      <c r="C4656">
        <v>1</v>
      </c>
      <c r="D4656" s="1">
        <v>44089.032268518517</v>
      </c>
      <c r="E4656" t="s">
        <v>14538</v>
      </c>
      <c r="F4656" t="s">
        <v>273</v>
      </c>
      <c r="G4656" t="s">
        <v>14529</v>
      </c>
      <c r="H4656" t="s">
        <v>275</v>
      </c>
      <c r="I4656" t="s">
        <v>29</v>
      </c>
      <c r="J4656">
        <v>1</v>
      </c>
      <c r="K4656">
        <f>1-844-210-4337</f>
        <v>-5390</v>
      </c>
      <c r="L4656" t="s">
        <v>14539</v>
      </c>
      <c r="M4656" t="s">
        <v>14540</v>
      </c>
      <c r="N4656" t="s">
        <v>278</v>
      </c>
      <c r="O4656" t="s">
        <v>28</v>
      </c>
      <c r="P4656" t="s">
        <v>292</v>
      </c>
      <c r="Q4656">
        <v>49</v>
      </c>
      <c r="R4656">
        <v>2.3473220000000001</v>
      </c>
    </row>
    <row r="4657" spans="1:18" x14ac:dyDescent="0.2">
      <c r="A4657" t="s">
        <v>270</v>
      </c>
      <c r="B4657" t="s">
        <v>1638</v>
      </c>
      <c r="C4657">
        <v>1</v>
      </c>
      <c r="D4657" s="1">
        <v>44088.940844907411</v>
      </c>
      <c r="E4657" t="s">
        <v>14541</v>
      </c>
      <c r="F4657" t="s">
        <v>273</v>
      </c>
      <c r="G4657" t="s">
        <v>14529</v>
      </c>
      <c r="H4657" t="s">
        <v>275</v>
      </c>
      <c r="I4657" t="s">
        <v>29</v>
      </c>
      <c r="J4657">
        <v>1</v>
      </c>
      <c r="K4657">
        <f>1-844-210-4337</f>
        <v>-5390</v>
      </c>
      <c r="L4657" t="s">
        <v>14542</v>
      </c>
      <c r="M4657" t="s">
        <v>14543</v>
      </c>
      <c r="N4657" t="s">
        <v>278</v>
      </c>
      <c r="O4657" t="s">
        <v>28</v>
      </c>
      <c r="P4657" t="s">
        <v>292</v>
      </c>
      <c r="Q4657">
        <v>49</v>
      </c>
      <c r="R4657">
        <v>2.3473220000000001</v>
      </c>
    </row>
    <row r="4658" spans="1:18" x14ac:dyDescent="0.2">
      <c r="A4658" t="s">
        <v>270</v>
      </c>
      <c r="B4658" t="s">
        <v>1638</v>
      </c>
      <c r="C4658">
        <v>1</v>
      </c>
      <c r="D4658" s="1">
        <v>44088.940659722219</v>
      </c>
      <c r="E4658" t="s">
        <v>14544</v>
      </c>
      <c r="F4658" t="s">
        <v>273</v>
      </c>
      <c r="G4658" t="s">
        <v>14529</v>
      </c>
      <c r="H4658" t="s">
        <v>275</v>
      </c>
      <c r="I4658" t="s">
        <v>29</v>
      </c>
      <c r="J4658">
        <v>1</v>
      </c>
      <c r="K4658">
        <f>1-844-210-4337</f>
        <v>-5390</v>
      </c>
      <c r="L4658" t="s">
        <v>14545</v>
      </c>
      <c r="M4658" t="s">
        <v>14546</v>
      </c>
      <c r="N4658" t="s">
        <v>278</v>
      </c>
      <c r="O4658" t="s">
        <v>28</v>
      </c>
      <c r="P4658" t="s">
        <v>292</v>
      </c>
      <c r="Q4658">
        <v>49</v>
      </c>
      <c r="R4658">
        <v>2.3473220000000001</v>
      </c>
    </row>
    <row r="4659" spans="1:18" x14ac:dyDescent="0.2">
      <c r="A4659" t="s">
        <v>270</v>
      </c>
      <c r="B4659" t="s">
        <v>1638</v>
      </c>
      <c r="C4659">
        <v>1</v>
      </c>
      <c r="D4659" s="1">
        <v>44088.771851851852</v>
      </c>
      <c r="E4659" t="s">
        <v>14547</v>
      </c>
      <c r="F4659" t="s">
        <v>273</v>
      </c>
      <c r="G4659" t="s">
        <v>14529</v>
      </c>
      <c r="H4659" t="s">
        <v>275</v>
      </c>
      <c r="I4659" t="s">
        <v>29</v>
      </c>
      <c r="J4659">
        <v>1</v>
      </c>
      <c r="K4659">
        <f>1-844-212-7353</f>
        <v>-8408</v>
      </c>
      <c r="L4659" t="s">
        <v>14548</v>
      </c>
      <c r="M4659" t="s">
        <v>14549</v>
      </c>
      <c r="N4659" t="s">
        <v>278</v>
      </c>
      <c r="O4659" t="s">
        <v>28</v>
      </c>
      <c r="P4659" t="s">
        <v>292</v>
      </c>
      <c r="Q4659">
        <v>49</v>
      </c>
      <c r="R4659">
        <v>2.3473220000000001</v>
      </c>
    </row>
    <row r="4660" spans="1:18" x14ac:dyDescent="0.2">
      <c r="A4660" t="s">
        <v>270</v>
      </c>
      <c r="B4660" t="s">
        <v>1638</v>
      </c>
      <c r="C4660">
        <v>1</v>
      </c>
      <c r="D4660" s="1">
        <v>44084.785069444442</v>
      </c>
      <c r="E4660" t="s">
        <v>14550</v>
      </c>
      <c r="F4660" t="s">
        <v>273</v>
      </c>
      <c r="G4660" t="s">
        <v>14529</v>
      </c>
      <c r="H4660" t="s">
        <v>275</v>
      </c>
      <c r="I4660" t="s">
        <v>29</v>
      </c>
      <c r="J4660">
        <v>1</v>
      </c>
      <c r="K4660">
        <f>1-844-318-7909</f>
        <v>-9070</v>
      </c>
      <c r="L4660" t="s">
        <v>14551</v>
      </c>
      <c r="M4660" t="s">
        <v>14552</v>
      </c>
      <c r="N4660" t="s">
        <v>278</v>
      </c>
      <c r="O4660" t="s">
        <v>28</v>
      </c>
      <c r="P4660" t="s">
        <v>292</v>
      </c>
      <c r="Q4660">
        <v>49</v>
      </c>
      <c r="R4660">
        <v>2.3473220000000001</v>
      </c>
    </row>
    <row r="4661" spans="1:18" x14ac:dyDescent="0.2">
      <c r="A4661" t="s">
        <v>270</v>
      </c>
      <c r="B4661" t="s">
        <v>1638</v>
      </c>
      <c r="C4661">
        <v>1</v>
      </c>
      <c r="D4661" s="1">
        <v>44084.783738425926</v>
      </c>
      <c r="E4661" t="s">
        <v>14553</v>
      </c>
      <c r="F4661" t="s">
        <v>273</v>
      </c>
      <c r="G4661" t="s">
        <v>14529</v>
      </c>
      <c r="H4661" t="s">
        <v>275</v>
      </c>
      <c r="I4661" t="s">
        <v>29</v>
      </c>
      <c r="J4661">
        <v>1</v>
      </c>
      <c r="K4661">
        <f>1-844-318-7909</f>
        <v>-9070</v>
      </c>
      <c r="L4661" t="s">
        <v>14554</v>
      </c>
      <c r="M4661" t="s">
        <v>14555</v>
      </c>
      <c r="N4661" t="s">
        <v>278</v>
      </c>
      <c r="O4661" t="s">
        <v>28</v>
      </c>
      <c r="P4661" t="s">
        <v>292</v>
      </c>
      <c r="Q4661">
        <v>49</v>
      </c>
      <c r="R4661">
        <v>2.3473220000000001</v>
      </c>
    </row>
    <row r="4662" spans="1:18" x14ac:dyDescent="0.2">
      <c r="A4662" t="s">
        <v>270</v>
      </c>
      <c r="B4662" t="s">
        <v>1638</v>
      </c>
      <c r="C4662">
        <v>1</v>
      </c>
      <c r="D4662" s="1">
        <v>44083.915625000001</v>
      </c>
      <c r="E4662" t="s">
        <v>14556</v>
      </c>
      <c r="F4662" t="s">
        <v>273</v>
      </c>
      <c r="G4662" t="s">
        <v>14529</v>
      </c>
      <c r="H4662" t="s">
        <v>275</v>
      </c>
      <c r="I4662" t="s">
        <v>29</v>
      </c>
      <c r="J4662">
        <v>1</v>
      </c>
      <c r="K4662">
        <f>1-888-585-4129</f>
        <v>-5601</v>
      </c>
      <c r="L4662" t="s">
        <v>14557</v>
      </c>
      <c r="M4662" t="s">
        <v>14558</v>
      </c>
      <c r="N4662" t="s">
        <v>278</v>
      </c>
      <c r="O4662" t="s">
        <v>28</v>
      </c>
      <c r="P4662" t="s">
        <v>292</v>
      </c>
      <c r="Q4662">
        <v>49</v>
      </c>
      <c r="R4662">
        <v>2.3473220000000001</v>
      </c>
    </row>
    <row r="4663" spans="1:18" x14ac:dyDescent="0.2">
      <c r="A4663" t="s">
        <v>270</v>
      </c>
      <c r="B4663" t="s">
        <v>1638</v>
      </c>
      <c r="C4663">
        <v>1</v>
      </c>
      <c r="D4663" s="1">
        <v>44083.910127314812</v>
      </c>
      <c r="E4663" t="s">
        <v>14559</v>
      </c>
      <c r="F4663" t="s">
        <v>273</v>
      </c>
      <c r="G4663" t="s">
        <v>14529</v>
      </c>
      <c r="H4663" t="s">
        <v>275</v>
      </c>
      <c r="I4663" t="s">
        <v>29</v>
      </c>
      <c r="J4663">
        <v>1</v>
      </c>
      <c r="K4663">
        <f>1-888-585-4129</f>
        <v>-5601</v>
      </c>
      <c r="L4663" t="s">
        <v>14560</v>
      </c>
      <c r="M4663" t="s">
        <v>14561</v>
      </c>
      <c r="N4663" t="s">
        <v>278</v>
      </c>
      <c r="O4663" t="s">
        <v>28</v>
      </c>
      <c r="P4663" t="s">
        <v>292</v>
      </c>
      <c r="Q4663">
        <v>49</v>
      </c>
      <c r="R4663">
        <v>2.3473220000000001</v>
      </c>
    </row>
    <row r="4664" spans="1:18" x14ac:dyDescent="0.2">
      <c r="A4664" t="s">
        <v>270</v>
      </c>
      <c r="B4664" t="s">
        <v>1638</v>
      </c>
      <c r="C4664">
        <v>1</v>
      </c>
      <c r="D4664" s="1">
        <v>44083.845208333332</v>
      </c>
      <c r="E4664" t="s">
        <v>14562</v>
      </c>
      <c r="F4664" t="s">
        <v>273</v>
      </c>
      <c r="G4664" t="s">
        <v>14529</v>
      </c>
      <c r="H4664" t="s">
        <v>275</v>
      </c>
      <c r="I4664" t="s">
        <v>29</v>
      </c>
      <c r="J4664">
        <v>1</v>
      </c>
      <c r="K4664">
        <f>1-888-599-4298</f>
        <v>-5784</v>
      </c>
      <c r="L4664" t="s">
        <v>14563</v>
      </c>
      <c r="M4664" t="s">
        <v>14564</v>
      </c>
      <c r="N4664" t="s">
        <v>278</v>
      </c>
      <c r="O4664" t="s">
        <v>28</v>
      </c>
      <c r="P4664" t="s">
        <v>292</v>
      </c>
      <c r="Q4664">
        <v>49</v>
      </c>
      <c r="R4664">
        <v>2.3473220000000001</v>
      </c>
    </row>
    <row r="4665" spans="1:18" x14ac:dyDescent="0.2">
      <c r="A4665" t="s">
        <v>270</v>
      </c>
      <c r="B4665" t="s">
        <v>1638</v>
      </c>
      <c r="C4665">
        <v>1</v>
      </c>
      <c r="D4665" s="1">
        <v>44083.761354166665</v>
      </c>
      <c r="E4665" t="s">
        <v>14565</v>
      </c>
      <c r="F4665" t="s">
        <v>273</v>
      </c>
      <c r="G4665" t="s">
        <v>14529</v>
      </c>
      <c r="H4665" t="s">
        <v>275</v>
      </c>
      <c r="I4665" t="s">
        <v>29</v>
      </c>
      <c r="J4665">
        <v>1</v>
      </c>
      <c r="K4665">
        <f>1-888-585-7516</f>
        <v>-8988</v>
      </c>
      <c r="L4665" t="s">
        <v>14566</v>
      </c>
      <c r="M4665" t="s">
        <v>14567</v>
      </c>
      <c r="N4665" t="s">
        <v>278</v>
      </c>
      <c r="O4665" t="s">
        <v>28</v>
      </c>
      <c r="P4665" t="s">
        <v>292</v>
      </c>
      <c r="Q4665">
        <v>49</v>
      </c>
      <c r="R4665">
        <v>2.3473220000000001</v>
      </c>
    </row>
    <row r="4666" spans="1:18" x14ac:dyDescent="0.2">
      <c r="A4666" t="s">
        <v>270</v>
      </c>
      <c r="B4666" t="s">
        <v>1638</v>
      </c>
      <c r="C4666">
        <v>1</v>
      </c>
      <c r="D4666" s="1">
        <v>44082.947141203702</v>
      </c>
      <c r="E4666" t="s">
        <v>14568</v>
      </c>
      <c r="F4666" t="s">
        <v>273</v>
      </c>
      <c r="G4666" t="s">
        <v>14529</v>
      </c>
      <c r="H4666" t="s">
        <v>275</v>
      </c>
      <c r="I4666" t="s">
        <v>29</v>
      </c>
      <c r="J4666">
        <v>1</v>
      </c>
      <c r="K4666">
        <f>1-888-592-8059</f>
        <v>-9538</v>
      </c>
      <c r="L4666" t="s">
        <v>14569</v>
      </c>
      <c r="M4666" t="s">
        <v>14570</v>
      </c>
      <c r="N4666" t="s">
        <v>278</v>
      </c>
      <c r="O4666" t="s">
        <v>28</v>
      </c>
      <c r="P4666" t="s">
        <v>292</v>
      </c>
      <c r="Q4666">
        <v>49</v>
      </c>
      <c r="R4666">
        <v>2.3473220000000001</v>
      </c>
    </row>
    <row r="4667" spans="1:18" x14ac:dyDescent="0.2">
      <c r="A4667" t="s">
        <v>270</v>
      </c>
      <c r="B4667" t="s">
        <v>1638</v>
      </c>
      <c r="C4667">
        <v>1</v>
      </c>
      <c r="D4667" s="1">
        <v>44078.85800925926</v>
      </c>
      <c r="E4667" t="s">
        <v>14571</v>
      </c>
      <c r="F4667" t="s">
        <v>273</v>
      </c>
      <c r="G4667" t="s">
        <v>14529</v>
      </c>
      <c r="H4667" t="s">
        <v>275</v>
      </c>
      <c r="I4667" t="s">
        <v>29</v>
      </c>
      <c r="J4667">
        <v>1</v>
      </c>
      <c r="K4667">
        <f>1-888-534-8036</f>
        <v>-9457</v>
      </c>
      <c r="L4667" t="s">
        <v>14572</v>
      </c>
      <c r="M4667" t="s">
        <v>14573</v>
      </c>
      <c r="N4667" t="s">
        <v>278</v>
      </c>
      <c r="O4667" t="s">
        <v>134</v>
      </c>
      <c r="P4667" t="s">
        <v>292</v>
      </c>
      <c r="Q4667">
        <v>49</v>
      </c>
      <c r="R4667">
        <v>2.3473220000000001</v>
      </c>
    </row>
    <row r="4668" spans="1:18" x14ac:dyDescent="0.2">
      <c r="A4668" t="s">
        <v>270</v>
      </c>
      <c r="B4668" t="s">
        <v>1638</v>
      </c>
      <c r="C4668">
        <v>1</v>
      </c>
      <c r="D4668" s="1">
        <v>44078.852025462962</v>
      </c>
      <c r="E4668" t="s">
        <v>14574</v>
      </c>
      <c r="F4668" t="s">
        <v>273</v>
      </c>
      <c r="G4668" t="s">
        <v>14529</v>
      </c>
      <c r="H4668" t="s">
        <v>275</v>
      </c>
      <c r="I4668" t="s">
        <v>29</v>
      </c>
      <c r="J4668">
        <v>1</v>
      </c>
      <c r="K4668">
        <f>1-866-754-7703</f>
        <v>-9322</v>
      </c>
      <c r="L4668" t="s">
        <v>14575</v>
      </c>
      <c r="M4668" t="s">
        <v>14576</v>
      </c>
      <c r="N4668" t="s">
        <v>278</v>
      </c>
      <c r="O4668" t="s">
        <v>134</v>
      </c>
      <c r="P4668" t="s">
        <v>292</v>
      </c>
      <c r="Q4668">
        <v>49</v>
      </c>
      <c r="R4668">
        <v>2.3473220000000001</v>
      </c>
    </row>
    <row r="4669" spans="1:18" x14ac:dyDescent="0.2">
      <c r="A4669" t="s">
        <v>270</v>
      </c>
      <c r="B4669" t="s">
        <v>1638</v>
      </c>
      <c r="C4669">
        <v>1</v>
      </c>
      <c r="D4669" s="1">
        <v>44078.851597222223</v>
      </c>
      <c r="E4669" t="s">
        <v>14577</v>
      </c>
      <c r="F4669" t="s">
        <v>273</v>
      </c>
      <c r="G4669" t="s">
        <v>14529</v>
      </c>
      <c r="H4669" t="s">
        <v>275</v>
      </c>
      <c r="I4669" t="s">
        <v>29</v>
      </c>
      <c r="J4669">
        <v>1</v>
      </c>
      <c r="K4669">
        <f>1-866-754-7703</f>
        <v>-9322</v>
      </c>
      <c r="L4669" t="s">
        <v>14578</v>
      </c>
      <c r="M4669" t="s">
        <v>14579</v>
      </c>
      <c r="N4669" t="s">
        <v>278</v>
      </c>
      <c r="O4669" t="s">
        <v>134</v>
      </c>
      <c r="P4669" t="s">
        <v>292</v>
      </c>
      <c r="Q4669">
        <v>49</v>
      </c>
      <c r="R4669">
        <v>2.3473220000000001</v>
      </c>
    </row>
    <row r="4670" spans="1:18" x14ac:dyDescent="0.2">
      <c r="A4670" t="s">
        <v>270</v>
      </c>
      <c r="B4670" t="s">
        <v>1638</v>
      </c>
      <c r="C4670">
        <v>1</v>
      </c>
      <c r="D4670" s="1">
        <v>44078.849791666667</v>
      </c>
      <c r="E4670" t="s">
        <v>14580</v>
      </c>
      <c r="F4670" t="s">
        <v>273</v>
      </c>
      <c r="G4670" t="s">
        <v>14529</v>
      </c>
      <c r="H4670" t="s">
        <v>275</v>
      </c>
      <c r="I4670" t="s">
        <v>29</v>
      </c>
      <c r="J4670">
        <v>1</v>
      </c>
      <c r="K4670">
        <f>1-866-586-2110</f>
        <v>-3561</v>
      </c>
      <c r="L4670" t="s">
        <v>14581</v>
      </c>
      <c r="M4670" t="s">
        <v>14582</v>
      </c>
      <c r="N4670" t="s">
        <v>278</v>
      </c>
      <c r="O4670" t="s">
        <v>134</v>
      </c>
      <c r="P4670" t="s">
        <v>292</v>
      </c>
      <c r="Q4670">
        <v>49</v>
      </c>
      <c r="R4670">
        <v>2.3473220000000001</v>
      </c>
    </row>
    <row r="4671" spans="1:18" x14ac:dyDescent="0.2">
      <c r="A4671" t="s">
        <v>270</v>
      </c>
      <c r="B4671" t="s">
        <v>1638</v>
      </c>
      <c r="C4671">
        <v>1</v>
      </c>
      <c r="D4671" s="1">
        <v>44078.849421296298</v>
      </c>
      <c r="E4671" t="s">
        <v>14583</v>
      </c>
      <c r="F4671" t="s">
        <v>273</v>
      </c>
      <c r="G4671" t="s">
        <v>14529</v>
      </c>
      <c r="H4671" t="s">
        <v>275</v>
      </c>
      <c r="I4671" t="s">
        <v>29</v>
      </c>
      <c r="J4671">
        <v>1</v>
      </c>
      <c r="K4671">
        <f>1-866-586-2110</f>
        <v>-3561</v>
      </c>
      <c r="L4671" t="s">
        <v>14584</v>
      </c>
      <c r="M4671" t="s">
        <v>14585</v>
      </c>
      <c r="N4671" t="s">
        <v>278</v>
      </c>
      <c r="O4671" t="s">
        <v>134</v>
      </c>
      <c r="P4671" t="s">
        <v>292</v>
      </c>
      <c r="Q4671">
        <v>49</v>
      </c>
      <c r="R4671">
        <v>2.3473220000000001</v>
      </c>
    </row>
    <row r="4672" spans="1:18" x14ac:dyDescent="0.2">
      <c r="A4672" t="s">
        <v>270</v>
      </c>
      <c r="B4672" t="s">
        <v>1638</v>
      </c>
      <c r="C4672">
        <v>1</v>
      </c>
      <c r="D4672" s="1">
        <v>44078.848865740743</v>
      </c>
      <c r="E4672" t="s">
        <v>14586</v>
      </c>
      <c r="F4672" t="s">
        <v>273</v>
      </c>
      <c r="G4672" t="s">
        <v>14529</v>
      </c>
      <c r="H4672" t="s">
        <v>275</v>
      </c>
      <c r="I4672" t="s">
        <v>29</v>
      </c>
      <c r="J4672">
        <v>1</v>
      </c>
      <c r="K4672">
        <f>1-866-512-2889</f>
        <v>-4266</v>
      </c>
      <c r="L4672" t="s">
        <v>14587</v>
      </c>
      <c r="M4672" t="s">
        <v>14588</v>
      </c>
      <c r="N4672" t="s">
        <v>278</v>
      </c>
      <c r="O4672" t="s">
        <v>134</v>
      </c>
      <c r="P4672" t="s">
        <v>292</v>
      </c>
      <c r="Q4672">
        <v>49</v>
      </c>
      <c r="R4672">
        <v>2.3473220000000001</v>
      </c>
    </row>
    <row r="4673" spans="1:18" x14ac:dyDescent="0.2">
      <c r="A4673" t="s">
        <v>270</v>
      </c>
      <c r="B4673" t="s">
        <v>1638</v>
      </c>
      <c r="C4673">
        <v>1</v>
      </c>
      <c r="D4673" s="1">
        <v>44075.759432870371</v>
      </c>
      <c r="E4673" t="s">
        <v>14589</v>
      </c>
      <c r="F4673" t="s">
        <v>273</v>
      </c>
      <c r="G4673" t="s">
        <v>14529</v>
      </c>
      <c r="H4673" t="s">
        <v>275</v>
      </c>
      <c r="I4673" t="s">
        <v>29</v>
      </c>
      <c r="J4673">
        <v>1</v>
      </c>
      <c r="K4673">
        <f>1-888-705-928</f>
        <v>-2520</v>
      </c>
      <c r="L4673" t="s">
        <v>14590</v>
      </c>
      <c r="M4673" t="s">
        <v>14591</v>
      </c>
      <c r="N4673" t="s">
        <v>278</v>
      </c>
      <c r="O4673" t="s">
        <v>134</v>
      </c>
      <c r="P4673" t="s">
        <v>292</v>
      </c>
      <c r="Q4673">
        <v>49</v>
      </c>
      <c r="R4673">
        <v>2.3473220000000001</v>
      </c>
    </row>
    <row r="4674" spans="1:18" x14ac:dyDescent="0.2">
      <c r="A4674" t="s">
        <v>270</v>
      </c>
      <c r="B4674" t="s">
        <v>1638</v>
      </c>
      <c r="C4674">
        <v>1</v>
      </c>
      <c r="D4674" s="1">
        <v>44074.929502314815</v>
      </c>
      <c r="E4674" t="s">
        <v>14592</v>
      </c>
      <c r="F4674" t="s">
        <v>273</v>
      </c>
      <c r="G4674" t="s">
        <v>14529</v>
      </c>
      <c r="H4674" t="s">
        <v>275</v>
      </c>
      <c r="I4674" t="s">
        <v>29</v>
      </c>
      <c r="J4674">
        <v>1</v>
      </c>
      <c r="K4674">
        <f>1-888-632-364</f>
        <v>-1883</v>
      </c>
      <c r="L4674" t="s">
        <v>14593</v>
      </c>
      <c r="M4674" t="s">
        <v>14594</v>
      </c>
      <c r="N4674" t="s">
        <v>278</v>
      </c>
      <c r="O4674" t="s">
        <v>28</v>
      </c>
      <c r="P4674" t="s">
        <v>292</v>
      </c>
      <c r="Q4674">
        <v>49</v>
      </c>
      <c r="R4674">
        <v>2.3473220000000001</v>
      </c>
    </row>
    <row r="4675" spans="1:18" x14ac:dyDescent="0.2">
      <c r="A4675" t="s">
        <v>270</v>
      </c>
      <c r="B4675" t="s">
        <v>1638</v>
      </c>
      <c r="C4675">
        <v>1</v>
      </c>
      <c r="D4675" s="1">
        <v>44073.944039351853</v>
      </c>
      <c r="E4675" t="s">
        <v>14595</v>
      </c>
      <c r="F4675" t="s">
        <v>273</v>
      </c>
      <c r="G4675" t="s">
        <v>14529</v>
      </c>
      <c r="H4675" t="s">
        <v>275</v>
      </c>
      <c r="I4675" t="s">
        <v>29</v>
      </c>
      <c r="J4675">
        <v>1</v>
      </c>
      <c r="K4675">
        <f>1-888-417-4066</f>
        <v>-5370</v>
      </c>
      <c r="L4675" t="s">
        <v>14596</v>
      </c>
      <c r="M4675" t="s">
        <v>14597</v>
      </c>
      <c r="N4675" t="s">
        <v>278</v>
      </c>
      <c r="O4675" t="s">
        <v>134</v>
      </c>
      <c r="P4675" t="s">
        <v>292</v>
      </c>
      <c r="Q4675">
        <v>49</v>
      </c>
      <c r="R4675">
        <v>2.3473220000000001</v>
      </c>
    </row>
    <row r="4676" spans="1:18" x14ac:dyDescent="0.2">
      <c r="A4676" t="s">
        <v>270</v>
      </c>
      <c r="B4676" t="s">
        <v>1638</v>
      </c>
      <c r="C4676">
        <v>1</v>
      </c>
      <c r="D4676" s="1">
        <v>44073.943715277775</v>
      </c>
      <c r="E4676" t="s">
        <v>14598</v>
      </c>
      <c r="F4676" t="s">
        <v>273</v>
      </c>
      <c r="G4676" t="s">
        <v>14529</v>
      </c>
      <c r="H4676" t="s">
        <v>275</v>
      </c>
      <c r="I4676" t="s">
        <v>29</v>
      </c>
      <c r="J4676">
        <v>1</v>
      </c>
      <c r="K4676">
        <f>1-888-417-4066</f>
        <v>-5370</v>
      </c>
      <c r="L4676" t="s">
        <v>14599</v>
      </c>
      <c r="M4676" t="s">
        <v>14600</v>
      </c>
      <c r="N4676" t="s">
        <v>278</v>
      </c>
      <c r="O4676" t="s">
        <v>134</v>
      </c>
      <c r="P4676" t="s">
        <v>292</v>
      </c>
      <c r="Q4676">
        <v>49</v>
      </c>
      <c r="R4676">
        <v>2.3473220000000001</v>
      </c>
    </row>
    <row r="4677" spans="1:18" x14ac:dyDescent="0.2">
      <c r="A4677" t="s">
        <v>270</v>
      </c>
      <c r="B4677" t="s">
        <v>1638</v>
      </c>
      <c r="C4677">
        <v>1</v>
      </c>
      <c r="D4677" s="1">
        <v>44073.942673611113</v>
      </c>
      <c r="E4677" t="s">
        <v>14601</v>
      </c>
      <c r="F4677" t="s">
        <v>273</v>
      </c>
      <c r="G4677" t="s">
        <v>14529</v>
      </c>
      <c r="H4677" t="s">
        <v>275</v>
      </c>
      <c r="I4677" t="s">
        <v>29</v>
      </c>
      <c r="J4677">
        <v>1</v>
      </c>
      <c r="K4677">
        <f>1-888-851-705</f>
        <v>-2443</v>
      </c>
      <c r="L4677" t="s">
        <v>14602</v>
      </c>
      <c r="M4677" t="s">
        <v>14603</v>
      </c>
      <c r="N4677" t="s">
        <v>278</v>
      </c>
      <c r="O4677" t="s">
        <v>134</v>
      </c>
      <c r="P4677" t="s">
        <v>292</v>
      </c>
      <c r="Q4677">
        <v>49</v>
      </c>
      <c r="R4677">
        <v>2.3473220000000001</v>
      </c>
    </row>
    <row r="4678" spans="1:18" x14ac:dyDescent="0.2">
      <c r="A4678" t="s">
        <v>270</v>
      </c>
      <c r="B4678" t="s">
        <v>1638</v>
      </c>
      <c r="C4678">
        <v>1</v>
      </c>
      <c r="D4678" s="1">
        <v>44073.942118055558</v>
      </c>
      <c r="E4678" t="s">
        <v>14604</v>
      </c>
      <c r="F4678" t="s">
        <v>273</v>
      </c>
      <c r="G4678" t="s">
        <v>14529</v>
      </c>
      <c r="H4678" t="s">
        <v>275</v>
      </c>
      <c r="I4678" t="s">
        <v>29</v>
      </c>
      <c r="J4678">
        <v>1</v>
      </c>
      <c r="K4678">
        <f>1-888-690-903</f>
        <v>-2480</v>
      </c>
      <c r="L4678" t="s">
        <v>14605</v>
      </c>
      <c r="M4678" t="s">
        <v>14606</v>
      </c>
      <c r="N4678" t="s">
        <v>278</v>
      </c>
      <c r="O4678" t="s">
        <v>134</v>
      </c>
      <c r="P4678" t="s">
        <v>292</v>
      </c>
      <c r="Q4678">
        <v>49</v>
      </c>
      <c r="R4678">
        <v>2.3473220000000001</v>
      </c>
    </row>
    <row r="4679" spans="1:18" x14ac:dyDescent="0.2">
      <c r="A4679" t="s">
        <v>270</v>
      </c>
      <c r="B4679" t="s">
        <v>1638</v>
      </c>
      <c r="C4679">
        <v>1</v>
      </c>
      <c r="D4679" s="1">
        <v>44073.940428240741</v>
      </c>
      <c r="E4679" t="s">
        <v>14607</v>
      </c>
      <c r="F4679" t="s">
        <v>273</v>
      </c>
      <c r="G4679" t="s">
        <v>14529</v>
      </c>
      <c r="H4679" t="s">
        <v>275</v>
      </c>
      <c r="I4679" t="s">
        <v>29</v>
      </c>
      <c r="J4679">
        <v>1</v>
      </c>
      <c r="K4679">
        <f>1-888-851-688</f>
        <v>-2426</v>
      </c>
      <c r="L4679" t="s">
        <v>14608</v>
      </c>
      <c r="M4679" t="s">
        <v>14609</v>
      </c>
      <c r="N4679" t="s">
        <v>278</v>
      </c>
      <c r="O4679" t="s">
        <v>134</v>
      </c>
      <c r="P4679" t="s">
        <v>292</v>
      </c>
      <c r="Q4679">
        <v>49</v>
      </c>
      <c r="R4679">
        <v>2.3473220000000001</v>
      </c>
    </row>
    <row r="4680" spans="1:18" x14ac:dyDescent="0.2">
      <c r="A4680" t="s">
        <v>270</v>
      </c>
      <c r="B4680" t="s">
        <v>1638</v>
      </c>
      <c r="C4680">
        <v>1</v>
      </c>
      <c r="D4680" s="1">
        <v>44073.939745370371</v>
      </c>
      <c r="E4680" t="s">
        <v>14610</v>
      </c>
      <c r="F4680" t="s">
        <v>273</v>
      </c>
      <c r="G4680" t="s">
        <v>14529</v>
      </c>
      <c r="H4680" t="s">
        <v>275</v>
      </c>
      <c r="I4680" t="s">
        <v>29</v>
      </c>
      <c r="J4680">
        <v>1</v>
      </c>
      <c r="K4680">
        <f>1-888-909-1208</f>
        <v>-3004</v>
      </c>
      <c r="L4680" t="s">
        <v>14611</v>
      </c>
      <c r="M4680" t="s">
        <v>14612</v>
      </c>
      <c r="N4680" t="s">
        <v>278</v>
      </c>
      <c r="O4680" t="s">
        <v>134</v>
      </c>
      <c r="P4680" t="s">
        <v>292</v>
      </c>
      <c r="Q4680">
        <v>49</v>
      </c>
      <c r="R4680">
        <v>2.3473220000000001</v>
      </c>
    </row>
    <row r="4681" spans="1:18" x14ac:dyDescent="0.2">
      <c r="A4681" t="s">
        <v>270</v>
      </c>
      <c r="B4681" t="s">
        <v>1638</v>
      </c>
      <c r="C4681">
        <v>1</v>
      </c>
      <c r="D4681" s="1">
        <v>44073.930578703701</v>
      </c>
      <c r="E4681" t="s">
        <v>14613</v>
      </c>
      <c r="F4681" t="s">
        <v>273</v>
      </c>
      <c r="G4681" t="s">
        <v>14529</v>
      </c>
      <c r="H4681" t="s">
        <v>275</v>
      </c>
      <c r="I4681" t="s">
        <v>29</v>
      </c>
      <c r="J4681">
        <v>1</v>
      </c>
      <c r="K4681">
        <f>1-888-530-1472</f>
        <v>-2889</v>
      </c>
      <c r="L4681" t="s">
        <v>14614</v>
      </c>
      <c r="M4681" t="s">
        <v>14615</v>
      </c>
      <c r="N4681" t="s">
        <v>278</v>
      </c>
      <c r="O4681" t="s">
        <v>134</v>
      </c>
      <c r="P4681" t="s">
        <v>292</v>
      </c>
      <c r="Q4681">
        <v>49</v>
      </c>
      <c r="R4681">
        <v>2.3473220000000001</v>
      </c>
    </row>
    <row r="4682" spans="1:18" x14ac:dyDescent="0.2">
      <c r="A4682" t="s">
        <v>270</v>
      </c>
      <c r="B4682" t="s">
        <v>1638</v>
      </c>
      <c r="C4682">
        <v>1</v>
      </c>
      <c r="D4682" s="1">
        <v>44073.930011574077</v>
      </c>
      <c r="E4682" t="s">
        <v>14616</v>
      </c>
      <c r="F4682" t="s">
        <v>273</v>
      </c>
      <c r="G4682" t="s">
        <v>14529</v>
      </c>
      <c r="H4682" t="s">
        <v>275</v>
      </c>
      <c r="I4682" t="s">
        <v>29</v>
      </c>
      <c r="J4682">
        <v>1</v>
      </c>
      <c r="K4682">
        <f>1-888-534-316</f>
        <v>-1737</v>
      </c>
      <c r="L4682" t="s">
        <v>14617</v>
      </c>
      <c r="M4682" t="s">
        <v>14618</v>
      </c>
      <c r="N4682" t="s">
        <v>278</v>
      </c>
      <c r="O4682" t="s">
        <v>134</v>
      </c>
      <c r="P4682" t="s">
        <v>292</v>
      </c>
      <c r="Q4682">
        <v>49</v>
      </c>
      <c r="R4682">
        <v>2.3473220000000001</v>
      </c>
    </row>
    <row r="4683" spans="1:18" x14ac:dyDescent="0.2">
      <c r="A4683" t="s">
        <v>270</v>
      </c>
      <c r="B4683" t="s">
        <v>1638</v>
      </c>
      <c r="C4683">
        <v>1</v>
      </c>
      <c r="D4683" s="1">
        <v>44073.928298611114</v>
      </c>
      <c r="E4683" t="s">
        <v>14619</v>
      </c>
      <c r="F4683" t="s">
        <v>273</v>
      </c>
      <c r="G4683" t="s">
        <v>14529</v>
      </c>
      <c r="H4683" t="s">
        <v>275</v>
      </c>
      <c r="I4683" t="s">
        <v>29</v>
      </c>
      <c r="J4683">
        <v>1</v>
      </c>
      <c r="K4683">
        <f>1-888-531-9415</f>
        <v>-10833</v>
      </c>
      <c r="L4683" t="s">
        <v>14620</v>
      </c>
      <c r="M4683" t="s">
        <v>14621</v>
      </c>
      <c r="N4683" t="s">
        <v>278</v>
      </c>
      <c r="O4683" t="s">
        <v>134</v>
      </c>
      <c r="P4683" t="s">
        <v>292</v>
      </c>
      <c r="Q4683">
        <v>49</v>
      </c>
      <c r="R4683">
        <v>2.3473220000000001</v>
      </c>
    </row>
    <row r="4684" spans="1:18" x14ac:dyDescent="0.2">
      <c r="A4684" t="s">
        <v>270</v>
      </c>
      <c r="B4684" t="s">
        <v>1638</v>
      </c>
      <c r="C4684">
        <v>1</v>
      </c>
      <c r="D4684" s="1">
        <v>44073.927881944444</v>
      </c>
      <c r="E4684" t="s">
        <v>14622</v>
      </c>
      <c r="F4684" t="s">
        <v>273</v>
      </c>
      <c r="G4684" t="s">
        <v>14529</v>
      </c>
      <c r="H4684" t="s">
        <v>275</v>
      </c>
      <c r="I4684" t="s">
        <v>29</v>
      </c>
      <c r="J4684">
        <v>1</v>
      </c>
      <c r="K4684">
        <f>1-888-526-3661</f>
        <v>-5074</v>
      </c>
      <c r="L4684" t="s">
        <v>14623</v>
      </c>
      <c r="M4684" t="s">
        <v>14624</v>
      </c>
      <c r="N4684" t="s">
        <v>278</v>
      </c>
      <c r="O4684" t="s">
        <v>134</v>
      </c>
      <c r="P4684" t="s">
        <v>292</v>
      </c>
      <c r="Q4684">
        <v>49</v>
      </c>
      <c r="R4684">
        <v>2.3473220000000001</v>
      </c>
    </row>
    <row r="4685" spans="1:18" x14ac:dyDescent="0.2">
      <c r="A4685" t="s">
        <v>270</v>
      </c>
      <c r="B4685" t="s">
        <v>1638</v>
      </c>
      <c r="C4685">
        <v>1</v>
      </c>
      <c r="D4685" s="1">
        <v>44073.926747685182</v>
      </c>
      <c r="E4685" t="s">
        <v>14625</v>
      </c>
      <c r="F4685" t="s">
        <v>273</v>
      </c>
      <c r="G4685" t="s">
        <v>14529</v>
      </c>
      <c r="H4685" t="s">
        <v>275</v>
      </c>
      <c r="I4685" t="s">
        <v>29</v>
      </c>
      <c r="J4685">
        <v>1</v>
      </c>
      <c r="K4685">
        <f>1-888-526-3661</f>
        <v>-5074</v>
      </c>
      <c r="L4685" t="s">
        <v>14626</v>
      </c>
      <c r="M4685" t="s">
        <v>14627</v>
      </c>
      <c r="N4685" t="s">
        <v>278</v>
      </c>
      <c r="O4685" t="s">
        <v>134</v>
      </c>
      <c r="P4685" t="s">
        <v>292</v>
      </c>
      <c r="Q4685">
        <v>49</v>
      </c>
      <c r="R4685">
        <v>2.3473220000000001</v>
      </c>
    </row>
    <row r="4686" spans="1:18" x14ac:dyDescent="0.2">
      <c r="A4686" t="s">
        <v>270</v>
      </c>
      <c r="B4686" t="s">
        <v>1638</v>
      </c>
      <c r="C4686">
        <v>1</v>
      </c>
      <c r="D4686" s="1">
        <v>44073.062754629631</v>
      </c>
      <c r="E4686" t="s">
        <v>14628</v>
      </c>
      <c r="F4686" t="s">
        <v>273</v>
      </c>
      <c r="G4686" t="s">
        <v>14529</v>
      </c>
      <c r="H4686" t="s">
        <v>275</v>
      </c>
      <c r="I4686" t="s">
        <v>29</v>
      </c>
      <c r="J4686">
        <v>1</v>
      </c>
      <c r="K4686">
        <f>1-888-705-881</f>
        <v>-2473</v>
      </c>
      <c r="L4686" t="s">
        <v>14629</v>
      </c>
      <c r="M4686" t="s">
        <v>14630</v>
      </c>
      <c r="N4686" t="s">
        <v>278</v>
      </c>
      <c r="O4686" t="s">
        <v>134</v>
      </c>
      <c r="P4686" t="s">
        <v>292</v>
      </c>
      <c r="Q4686">
        <v>49</v>
      </c>
      <c r="R4686">
        <v>2.3473220000000001</v>
      </c>
    </row>
    <row r="4687" spans="1:18" x14ac:dyDescent="0.2">
      <c r="A4687" t="s">
        <v>270</v>
      </c>
      <c r="B4687" t="s">
        <v>1638</v>
      </c>
      <c r="C4687">
        <v>1</v>
      </c>
      <c r="D4687" s="1">
        <v>44073.062511574077</v>
      </c>
      <c r="E4687" t="s">
        <v>14631</v>
      </c>
      <c r="F4687" t="s">
        <v>273</v>
      </c>
      <c r="G4687" t="s">
        <v>14529</v>
      </c>
      <c r="H4687" t="s">
        <v>275</v>
      </c>
      <c r="I4687" t="s">
        <v>29</v>
      </c>
      <c r="J4687">
        <v>1</v>
      </c>
      <c r="K4687">
        <f>1-888-655-2343</f>
        <v>-3885</v>
      </c>
      <c r="L4687" t="s">
        <v>14632</v>
      </c>
      <c r="M4687" t="s">
        <v>14633</v>
      </c>
      <c r="N4687" t="s">
        <v>278</v>
      </c>
      <c r="O4687" t="s">
        <v>134</v>
      </c>
      <c r="P4687" t="s">
        <v>292</v>
      </c>
      <c r="Q4687">
        <v>49</v>
      </c>
      <c r="R4687">
        <v>2.3473220000000001</v>
      </c>
    </row>
    <row r="4688" spans="1:18" x14ac:dyDescent="0.2">
      <c r="A4688" t="s">
        <v>270</v>
      </c>
      <c r="B4688" t="s">
        <v>1638</v>
      </c>
      <c r="C4688">
        <v>1</v>
      </c>
      <c r="D4688" s="1">
        <v>44073.027395833335</v>
      </c>
      <c r="E4688" t="s">
        <v>14634</v>
      </c>
      <c r="F4688" t="s">
        <v>273</v>
      </c>
      <c r="G4688" t="s">
        <v>14529</v>
      </c>
      <c r="H4688" t="s">
        <v>275</v>
      </c>
      <c r="I4688" t="s">
        <v>29</v>
      </c>
      <c r="J4688">
        <v>1</v>
      </c>
      <c r="K4688">
        <f>1-888-597-1445</f>
        <v>-2929</v>
      </c>
      <c r="L4688" t="s">
        <v>14635</v>
      </c>
      <c r="M4688" t="s">
        <v>14636</v>
      </c>
      <c r="N4688" t="s">
        <v>278</v>
      </c>
      <c r="O4688" t="s">
        <v>134</v>
      </c>
      <c r="P4688" t="s">
        <v>292</v>
      </c>
      <c r="Q4688">
        <v>49</v>
      </c>
      <c r="R4688">
        <v>2.3473220000000001</v>
      </c>
    </row>
    <row r="4689" spans="1:18" x14ac:dyDescent="0.2">
      <c r="A4689" t="s">
        <v>270</v>
      </c>
      <c r="B4689" t="s">
        <v>1638</v>
      </c>
      <c r="C4689">
        <v>1</v>
      </c>
      <c r="D4689" s="1">
        <v>44073.027233796296</v>
      </c>
      <c r="E4689" t="s">
        <v>14637</v>
      </c>
      <c r="F4689" t="s">
        <v>273</v>
      </c>
      <c r="G4689" t="s">
        <v>14529</v>
      </c>
      <c r="H4689" t="s">
        <v>275</v>
      </c>
      <c r="I4689" t="s">
        <v>29</v>
      </c>
      <c r="J4689">
        <v>1</v>
      </c>
      <c r="K4689">
        <f>1-888-909-1336</f>
        <v>-3132</v>
      </c>
      <c r="L4689" t="s">
        <v>14638</v>
      </c>
      <c r="M4689" t="s">
        <v>14639</v>
      </c>
      <c r="N4689" t="s">
        <v>278</v>
      </c>
      <c r="O4689" t="s">
        <v>134</v>
      </c>
      <c r="P4689" t="s">
        <v>292</v>
      </c>
      <c r="Q4689">
        <v>49</v>
      </c>
      <c r="R4689">
        <v>2.3473220000000001</v>
      </c>
    </row>
    <row r="4690" spans="1:18" x14ac:dyDescent="0.2">
      <c r="A4690" t="s">
        <v>270</v>
      </c>
      <c r="B4690" t="s">
        <v>1638</v>
      </c>
      <c r="C4690">
        <v>1</v>
      </c>
      <c r="D4690" s="1">
        <v>44073.026365740741</v>
      </c>
      <c r="E4690" t="s">
        <v>14640</v>
      </c>
      <c r="F4690" t="s">
        <v>273</v>
      </c>
      <c r="G4690" t="s">
        <v>14529</v>
      </c>
      <c r="H4690" t="s">
        <v>275</v>
      </c>
      <c r="I4690" t="s">
        <v>29</v>
      </c>
      <c r="J4690">
        <v>1</v>
      </c>
      <c r="K4690">
        <f>1-888-598-1511</f>
        <v>-2996</v>
      </c>
      <c r="L4690" t="s">
        <v>14641</v>
      </c>
      <c r="M4690" t="s">
        <v>14642</v>
      </c>
      <c r="N4690" t="s">
        <v>278</v>
      </c>
      <c r="O4690" t="s">
        <v>134</v>
      </c>
      <c r="P4690" t="s">
        <v>292</v>
      </c>
      <c r="Q4690">
        <v>49</v>
      </c>
      <c r="R4690">
        <v>2.3473220000000001</v>
      </c>
    </row>
    <row r="4691" spans="1:18" x14ac:dyDescent="0.2">
      <c r="A4691" t="s">
        <v>270</v>
      </c>
      <c r="B4691" t="s">
        <v>1638</v>
      </c>
      <c r="C4691">
        <v>1</v>
      </c>
      <c r="D4691" s="1">
        <v>44072.869884259257</v>
      </c>
      <c r="E4691" t="s">
        <v>14643</v>
      </c>
      <c r="F4691" t="s">
        <v>273</v>
      </c>
      <c r="G4691" t="s">
        <v>14529</v>
      </c>
      <c r="H4691" t="s">
        <v>275</v>
      </c>
      <c r="I4691" t="s">
        <v>29</v>
      </c>
      <c r="J4691">
        <v>1</v>
      </c>
      <c r="K4691">
        <f>1-888-662-8133</f>
        <v>-9682</v>
      </c>
      <c r="L4691" t="s">
        <v>14644</v>
      </c>
      <c r="M4691" t="s">
        <v>14645</v>
      </c>
      <c r="N4691" t="s">
        <v>278</v>
      </c>
      <c r="O4691" t="s">
        <v>134</v>
      </c>
      <c r="P4691" t="s">
        <v>292</v>
      </c>
      <c r="Q4691">
        <v>49</v>
      </c>
      <c r="R4691">
        <v>2.3473220000000001</v>
      </c>
    </row>
    <row r="4692" spans="1:18" x14ac:dyDescent="0.2">
      <c r="A4692" t="s">
        <v>270</v>
      </c>
      <c r="B4692" t="s">
        <v>1638</v>
      </c>
      <c r="C4692">
        <v>1</v>
      </c>
      <c r="D4692" s="1">
        <v>44072.869456018518</v>
      </c>
      <c r="E4692" t="s">
        <v>14646</v>
      </c>
      <c r="F4692" t="s">
        <v>273</v>
      </c>
      <c r="G4692" t="s">
        <v>14529</v>
      </c>
      <c r="H4692" t="s">
        <v>275</v>
      </c>
      <c r="I4692" t="s">
        <v>29</v>
      </c>
      <c r="J4692">
        <v>1</v>
      </c>
      <c r="K4692">
        <f>1-888-609-3819</f>
        <v>-5315</v>
      </c>
      <c r="L4692" t="s">
        <v>14647</v>
      </c>
      <c r="M4692" t="s">
        <v>14648</v>
      </c>
      <c r="N4692" t="s">
        <v>278</v>
      </c>
      <c r="O4692" t="s">
        <v>134</v>
      </c>
      <c r="P4692" t="s">
        <v>292</v>
      </c>
      <c r="Q4692">
        <v>49</v>
      </c>
      <c r="R4692">
        <v>2.3473220000000001</v>
      </c>
    </row>
    <row r="4693" spans="1:18" x14ac:dyDescent="0.2">
      <c r="A4693" t="s">
        <v>270</v>
      </c>
      <c r="B4693" t="s">
        <v>1638</v>
      </c>
      <c r="C4693">
        <v>1</v>
      </c>
      <c r="D4693" s="1">
        <v>44072.868842592594</v>
      </c>
      <c r="E4693" t="s">
        <v>14649</v>
      </c>
      <c r="F4693" t="s">
        <v>273</v>
      </c>
      <c r="G4693" t="s">
        <v>14529</v>
      </c>
      <c r="H4693" t="s">
        <v>275</v>
      </c>
      <c r="I4693" t="s">
        <v>29</v>
      </c>
      <c r="J4693">
        <v>1</v>
      </c>
      <c r="K4693">
        <f>1-888-609-3819</f>
        <v>-5315</v>
      </c>
      <c r="L4693" t="s">
        <v>14650</v>
      </c>
      <c r="M4693" t="s">
        <v>14651</v>
      </c>
      <c r="N4693" t="s">
        <v>278</v>
      </c>
      <c r="O4693" t="s">
        <v>134</v>
      </c>
      <c r="P4693" t="s">
        <v>292</v>
      </c>
      <c r="Q4693">
        <v>49</v>
      </c>
      <c r="R4693">
        <v>2.3473220000000001</v>
      </c>
    </row>
    <row r="4694" spans="1:18" x14ac:dyDescent="0.2">
      <c r="A4694" t="s">
        <v>270</v>
      </c>
      <c r="B4694" t="s">
        <v>1638</v>
      </c>
      <c r="C4694">
        <v>1</v>
      </c>
      <c r="D4694" s="1">
        <v>44072.863842592589</v>
      </c>
      <c r="E4694" t="s">
        <v>14652</v>
      </c>
      <c r="F4694" t="s">
        <v>273</v>
      </c>
      <c r="G4694" t="s">
        <v>14529</v>
      </c>
      <c r="H4694" t="s">
        <v>275</v>
      </c>
      <c r="I4694" t="s">
        <v>29</v>
      </c>
      <c r="J4694">
        <v>1</v>
      </c>
      <c r="K4694">
        <f>1-888-658-5805</f>
        <v>-7350</v>
      </c>
      <c r="L4694" t="s">
        <v>14653</v>
      </c>
      <c r="M4694" t="s">
        <v>14654</v>
      </c>
      <c r="N4694" t="s">
        <v>278</v>
      </c>
      <c r="O4694" t="s">
        <v>134</v>
      </c>
      <c r="P4694" t="s">
        <v>292</v>
      </c>
      <c r="Q4694">
        <v>49</v>
      </c>
      <c r="R4694">
        <v>2.3473220000000001</v>
      </c>
    </row>
    <row r="4695" spans="1:18" x14ac:dyDescent="0.2">
      <c r="A4695" t="s">
        <v>270</v>
      </c>
      <c r="B4695" t="s">
        <v>1638</v>
      </c>
      <c r="C4695">
        <v>1</v>
      </c>
      <c r="D4695" s="1">
        <v>44072.863275462965</v>
      </c>
      <c r="E4695" t="s">
        <v>14655</v>
      </c>
      <c r="F4695" t="s">
        <v>273</v>
      </c>
      <c r="G4695" t="s">
        <v>14529</v>
      </c>
      <c r="H4695" t="s">
        <v>275</v>
      </c>
      <c r="I4695" t="s">
        <v>29</v>
      </c>
      <c r="J4695">
        <v>1</v>
      </c>
      <c r="K4695">
        <f>1-888-658-5805</f>
        <v>-7350</v>
      </c>
      <c r="L4695" t="s">
        <v>14656</v>
      </c>
      <c r="M4695" t="s">
        <v>14657</v>
      </c>
      <c r="N4695" t="s">
        <v>278</v>
      </c>
      <c r="O4695" t="s">
        <v>134</v>
      </c>
      <c r="P4695" t="s">
        <v>292</v>
      </c>
      <c r="Q4695">
        <v>49</v>
      </c>
      <c r="R4695">
        <v>2.3473220000000001</v>
      </c>
    </row>
    <row r="4696" spans="1:18" x14ac:dyDescent="0.2">
      <c r="A4696" t="s">
        <v>270</v>
      </c>
      <c r="B4696" t="s">
        <v>1638</v>
      </c>
      <c r="C4696">
        <v>1</v>
      </c>
      <c r="D4696" s="1">
        <v>44071.977037037039</v>
      </c>
      <c r="E4696" t="s">
        <v>14658</v>
      </c>
      <c r="F4696" t="s">
        <v>273</v>
      </c>
      <c r="G4696" t="s">
        <v>14529</v>
      </c>
      <c r="H4696" t="s">
        <v>275</v>
      </c>
      <c r="I4696" t="s">
        <v>29</v>
      </c>
      <c r="J4696">
        <v>1</v>
      </c>
      <c r="K4696">
        <f>1-888-690-842</f>
        <v>-2419</v>
      </c>
      <c r="L4696" t="s">
        <v>14659</v>
      </c>
      <c r="M4696" t="s">
        <v>14660</v>
      </c>
      <c r="N4696" t="s">
        <v>278</v>
      </c>
      <c r="O4696" t="s">
        <v>134</v>
      </c>
      <c r="P4696" t="s">
        <v>292</v>
      </c>
      <c r="Q4696">
        <v>49</v>
      </c>
      <c r="R4696">
        <v>2.3473220000000001</v>
      </c>
    </row>
    <row r="4697" spans="1:18" x14ac:dyDescent="0.2">
      <c r="A4697" t="s">
        <v>270</v>
      </c>
      <c r="B4697" t="s">
        <v>1638</v>
      </c>
      <c r="C4697">
        <v>1</v>
      </c>
      <c r="D4697" s="1">
        <v>44071.976030092592</v>
      </c>
      <c r="E4697" t="s">
        <v>14661</v>
      </c>
      <c r="F4697" t="s">
        <v>273</v>
      </c>
      <c r="G4697" t="s">
        <v>14529</v>
      </c>
      <c r="H4697" t="s">
        <v>275</v>
      </c>
      <c r="I4697" t="s">
        <v>29</v>
      </c>
      <c r="J4697">
        <v>1</v>
      </c>
      <c r="K4697">
        <f>1-888-597-1530</f>
        <v>-3014</v>
      </c>
      <c r="L4697" t="s">
        <v>14662</v>
      </c>
      <c r="M4697" t="s">
        <v>14663</v>
      </c>
      <c r="N4697" t="s">
        <v>278</v>
      </c>
      <c r="O4697" t="s">
        <v>134</v>
      </c>
      <c r="P4697" t="s">
        <v>292</v>
      </c>
      <c r="Q4697">
        <v>49</v>
      </c>
      <c r="R4697">
        <v>2.3473220000000001</v>
      </c>
    </row>
    <row r="4698" spans="1:18" x14ac:dyDescent="0.2">
      <c r="A4698" t="s">
        <v>270</v>
      </c>
      <c r="B4698" t="s">
        <v>1638</v>
      </c>
      <c r="C4698">
        <v>1</v>
      </c>
      <c r="D4698" s="1">
        <v>44071.97420138889</v>
      </c>
      <c r="E4698" t="s">
        <v>14664</v>
      </c>
      <c r="F4698" t="s">
        <v>273</v>
      </c>
      <c r="G4698" t="s">
        <v>14529</v>
      </c>
      <c r="H4698" t="s">
        <v>275</v>
      </c>
      <c r="I4698" t="s">
        <v>29</v>
      </c>
      <c r="J4698">
        <v>1</v>
      </c>
      <c r="K4698">
        <f>1-888-851-676</f>
        <v>-2414</v>
      </c>
      <c r="L4698" t="s">
        <v>14665</v>
      </c>
      <c r="M4698" t="s">
        <v>14666</v>
      </c>
      <c r="N4698" t="s">
        <v>278</v>
      </c>
      <c r="O4698" t="s">
        <v>134</v>
      </c>
      <c r="P4698" t="s">
        <v>292</v>
      </c>
      <c r="Q4698">
        <v>49</v>
      </c>
      <c r="R4698">
        <v>2.3473220000000001</v>
      </c>
    </row>
    <row r="4699" spans="1:18" x14ac:dyDescent="0.2">
      <c r="A4699" t="s">
        <v>270</v>
      </c>
      <c r="B4699" t="s">
        <v>1638</v>
      </c>
      <c r="C4699">
        <v>1</v>
      </c>
      <c r="D4699" s="1">
        <v>44071.973726851851</v>
      </c>
      <c r="E4699" t="s">
        <v>14667</v>
      </c>
      <c r="F4699" t="s">
        <v>273</v>
      </c>
      <c r="G4699" t="s">
        <v>14529</v>
      </c>
      <c r="H4699" t="s">
        <v>275</v>
      </c>
      <c r="I4699" t="s">
        <v>29</v>
      </c>
      <c r="J4699">
        <v>1</v>
      </c>
      <c r="K4699">
        <f>1-888-909-1270</f>
        <v>-3066</v>
      </c>
      <c r="L4699" t="s">
        <v>14668</v>
      </c>
      <c r="M4699" t="s">
        <v>14669</v>
      </c>
      <c r="N4699" t="s">
        <v>278</v>
      </c>
      <c r="O4699" t="s">
        <v>134</v>
      </c>
      <c r="P4699" t="s">
        <v>292</v>
      </c>
      <c r="Q4699">
        <v>49</v>
      </c>
      <c r="R4699">
        <v>2.3473220000000001</v>
      </c>
    </row>
    <row r="4700" spans="1:18" x14ac:dyDescent="0.2">
      <c r="A4700" t="s">
        <v>270</v>
      </c>
      <c r="B4700" t="s">
        <v>1638</v>
      </c>
      <c r="C4700">
        <v>1</v>
      </c>
      <c r="D4700" s="1">
        <v>44071.916168981479</v>
      </c>
      <c r="E4700" t="s">
        <v>14670</v>
      </c>
      <c r="F4700" t="s">
        <v>273</v>
      </c>
      <c r="G4700" t="s">
        <v>14529</v>
      </c>
      <c r="H4700" t="s">
        <v>275</v>
      </c>
      <c r="I4700" t="s">
        <v>29</v>
      </c>
      <c r="J4700">
        <v>1</v>
      </c>
      <c r="K4700">
        <f>1-888-312-1430</f>
        <v>-2629</v>
      </c>
      <c r="L4700" t="s">
        <v>14671</v>
      </c>
      <c r="M4700" t="s">
        <v>14672</v>
      </c>
      <c r="N4700" t="s">
        <v>278</v>
      </c>
      <c r="O4700" t="s">
        <v>134</v>
      </c>
      <c r="P4700" t="s">
        <v>292</v>
      </c>
      <c r="Q4700">
        <v>49</v>
      </c>
      <c r="R4700">
        <v>2.3473220000000001</v>
      </c>
    </row>
    <row r="4701" spans="1:18" x14ac:dyDescent="0.2">
      <c r="A4701" t="s">
        <v>270</v>
      </c>
      <c r="B4701" t="s">
        <v>1638</v>
      </c>
      <c r="C4701">
        <v>1</v>
      </c>
      <c r="D4701" s="1">
        <v>44071.915717592594</v>
      </c>
      <c r="E4701" t="s">
        <v>14673</v>
      </c>
      <c r="F4701" t="s">
        <v>273</v>
      </c>
      <c r="G4701" t="s">
        <v>14529</v>
      </c>
      <c r="H4701" t="s">
        <v>275</v>
      </c>
      <c r="I4701" t="s">
        <v>29</v>
      </c>
      <c r="J4701">
        <v>1</v>
      </c>
      <c r="K4701">
        <f>1-888-706-1244</f>
        <v>-2837</v>
      </c>
      <c r="L4701" t="s">
        <v>14674</v>
      </c>
      <c r="M4701" t="s">
        <v>14675</v>
      </c>
      <c r="N4701" t="s">
        <v>278</v>
      </c>
      <c r="O4701" t="s">
        <v>134</v>
      </c>
      <c r="P4701" t="s">
        <v>292</v>
      </c>
      <c r="Q4701">
        <v>49</v>
      </c>
      <c r="R4701">
        <v>2.3473220000000001</v>
      </c>
    </row>
    <row r="4702" spans="1:18" x14ac:dyDescent="0.2">
      <c r="A4702" t="s">
        <v>270</v>
      </c>
      <c r="B4702" t="s">
        <v>1638</v>
      </c>
      <c r="C4702">
        <v>1</v>
      </c>
      <c r="D4702" s="1">
        <v>44071.905578703707</v>
      </c>
      <c r="E4702" t="s">
        <v>14676</v>
      </c>
      <c r="F4702" t="s">
        <v>273</v>
      </c>
      <c r="G4702" t="s">
        <v>14529</v>
      </c>
      <c r="H4702" t="s">
        <v>275</v>
      </c>
      <c r="I4702" t="s">
        <v>29</v>
      </c>
      <c r="J4702">
        <v>1</v>
      </c>
      <c r="K4702">
        <f>1-888-803-850</f>
        <v>-2540</v>
      </c>
      <c r="L4702" t="s">
        <v>14677</v>
      </c>
      <c r="M4702" t="s">
        <v>14678</v>
      </c>
      <c r="N4702" t="s">
        <v>278</v>
      </c>
      <c r="O4702" t="s">
        <v>134</v>
      </c>
      <c r="P4702" t="s">
        <v>292</v>
      </c>
      <c r="Q4702">
        <v>49</v>
      </c>
      <c r="R4702">
        <v>2.3473220000000001</v>
      </c>
    </row>
    <row r="4703" spans="1:18" x14ac:dyDescent="0.2">
      <c r="A4703" t="s">
        <v>270</v>
      </c>
      <c r="B4703" t="s">
        <v>1638</v>
      </c>
      <c r="C4703">
        <v>1</v>
      </c>
      <c r="D4703" s="1">
        <v>44071.905115740738</v>
      </c>
      <c r="E4703" t="s">
        <v>14679</v>
      </c>
      <c r="F4703" t="s">
        <v>273</v>
      </c>
      <c r="G4703" t="s">
        <v>14529</v>
      </c>
      <c r="H4703" t="s">
        <v>275</v>
      </c>
      <c r="I4703" t="s">
        <v>29</v>
      </c>
      <c r="J4703">
        <v>1</v>
      </c>
      <c r="K4703">
        <f>1-888-803-850</f>
        <v>-2540</v>
      </c>
      <c r="L4703" t="s">
        <v>14680</v>
      </c>
      <c r="M4703" t="s">
        <v>14681</v>
      </c>
      <c r="N4703" t="s">
        <v>278</v>
      </c>
      <c r="O4703" t="s">
        <v>134</v>
      </c>
      <c r="P4703" t="s">
        <v>292</v>
      </c>
      <c r="Q4703">
        <v>49</v>
      </c>
      <c r="R4703">
        <v>2.3473220000000001</v>
      </c>
    </row>
    <row r="4704" spans="1:18" x14ac:dyDescent="0.2">
      <c r="A4704" t="s">
        <v>270</v>
      </c>
      <c r="B4704" t="s">
        <v>1638</v>
      </c>
      <c r="C4704">
        <v>1</v>
      </c>
      <c r="D4704" s="1">
        <v>44071.90457175926</v>
      </c>
      <c r="E4704" t="s">
        <v>14682</v>
      </c>
      <c r="F4704" t="s">
        <v>273</v>
      </c>
      <c r="G4704" t="s">
        <v>14529</v>
      </c>
      <c r="H4704" t="s">
        <v>275</v>
      </c>
      <c r="I4704" t="s">
        <v>29</v>
      </c>
      <c r="J4704">
        <v>1</v>
      </c>
      <c r="K4704">
        <f>1-888-304-1408</f>
        <v>-2599</v>
      </c>
      <c r="L4704" t="s">
        <v>14683</v>
      </c>
      <c r="M4704" t="s">
        <v>14684</v>
      </c>
      <c r="N4704" t="s">
        <v>278</v>
      </c>
      <c r="O4704" t="s">
        <v>134</v>
      </c>
      <c r="P4704" t="s">
        <v>292</v>
      </c>
      <c r="Q4704">
        <v>49</v>
      </c>
      <c r="R4704">
        <v>2.3473220000000001</v>
      </c>
    </row>
    <row r="4705" spans="1:18" x14ac:dyDescent="0.2">
      <c r="A4705" t="s">
        <v>270</v>
      </c>
      <c r="B4705" t="s">
        <v>1638</v>
      </c>
      <c r="C4705">
        <v>1</v>
      </c>
      <c r="D4705" s="1">
        <v>44071.904108796298</v>
      </c>
      <c r="E4705" t="s">
        <v>14685</v>
      </c>
      <c r="F4705" t="s">
        <v>273</v>
      </c>
      <c r="G4705" t="s">
        <v>14529</v>
      </c>
      <c r="H4705" t="s">
        <v>275</v>
      </c>
      <c r="I4705" t="s">
        <v>29</v>
      </c>
      <c r="J4705">
        <v>1</v>
      </c>
      <c r="K4705">
        <f>1-888-851-587</f>
        <v>-2325</v>
      </c>
      <c r="L4705" t="s">
        <v>14686</v>
      </c>
      <c r="M4705" t="s">
        <v>14687</v>
      </c>
      <c r="N4705" t="s">
        <v>278</v>
      </c>
      <c r="O4705" t="s">
        <v>134</v>
      </c>
      <c r="P4705" t="s">
        <v>292</v>
      </c>
      <c r="Q4705">
        <v>49</v>
      </c>
      <c r="R4705">
        <v>2.3473220000000001</v>
      </c>
    </row>
    <row r="4706" spans="1:18" x14ac:dyDescent="0.2">
      <c r="A4706" t="s">
        <v>270</v>
      </c>
      <c r="B4706" t="s">
        <v>1638</v>
      </c>
      <c r="C4706">
        <v>1</v>
      </c>
      <c r="D4706" s="1">
        <v>44071.903564814813</v>
      </c>
      <c r="E4706" t="s">
        <v>14688</v>
      </c>
      <c r="F4706" t="s">
        <v>273</v>
      </c>
      <c r="G4706" t="s">
        <v>14529</v>
      </c>
      <c r="H4706" t="s">
        <v>275</v>
      </c>
      <c r="I4706" t="s">
        <v>29</v>
      </c>
      <c r="J4706">
        <v>1</v>
      </c>
      <c r="K4706">
        <f>1-888-909-1327</f>
        <v>-3123</v>
      </c>
      <c r="L4706" t="s">
        <v>14689</v>
      </c>
      <c r="M4706" t="s">
        <v>14690</v>
      </c>
      <c r="N4706" t="s">
        <v>278</v>
      </c>
      <c r="O4706" t="s">
        <v>134</v>
      </c>
      <c r="P4706" t="s">
        <v>292</v>
      </c>
      <c r="Q4706">
        <v>49</v>
      </c>
      <c r="R4706">
        <v>2.3473220000000001</v>
      </c>
    </row>
    <row r="4707" spans="1:18" x14ac:dyDescent="0.2">
      <c r="A4707" t="s">
        <v>270</v>
      </c>
      <c r="B4707" t="s">
        <v>1638</v>
      </c>
      <c r="C4707">
        <v>1</v>
      </c>
      <c r="D4707" s="1">
        <v>44071.836921296293</v>
      </c>
      <c r="E4707" t="s">
        <v>14691</v>
      </c>
      <c r="F4707" t="s">
        <v>273</v>
      </c>
      <c r="G4707" t="s">
        <v>14529</v>
      </c>
      <c r="H4707" t="s">
        <v>275</v>
      </c>
      <c r="I4707" t="s">
        <v>29</v>
      </c>
      <c r="J4707">
        <v>1</v>
      </c>
      <c r="K4707">
        <f>1-888-607-419</f>
        <v>-1913</v>
      </c>
      <c r="L4707" t="s">
        <v>14692</v>
      </c>
      <c r="M4707" t="s">
        <v>14693</v>
      </c>
      <c r="N4707" t="s">
        <v>278</v>
      </c>
      <c r="O4707" t="s">
        <v>28</v>
      </c>
      <c r="P4707" t="s">
        <v>292</v>
      </c>
      <c r="Q4707">
        <v>49</v>
      </c>
      <c r="R4707">
        <v>2.3473220000000001</v>
      </c>
    </row>
    <row r="4708" spans="1:18" x14ac:dyDescent="0.2">
      <c r="A4708" t="s">
        <v>270</v>
      </c>
      <c r="B4708" t="s">
        <v>1638</v>
      </c>
      <c r="C4708">
        <v>1</v>
      </c>
      <c r="D4708" s="1">
        <v>44071.836782407408</v>
      </c>
      <c r="E4708" t="s">
        <v>14694</v>
      </c>
      <c r="F4708" t="s">
        <v>273</v>
      </c>
      <c r="G4708" t="s">
        <v>14529</v>
      </c>
      <c r="H4708" t="s">
        <v>275</v>
      </c>
      <c r="I4708" t="s">
        <v>29</v>
      </c>
      <c r="J4708">
        <v>1</v>
      </c>
      <c r="K4708">
        <f>1-888-607-419</f>
        <v>-1913</v>
      </c>
      <c r="L4708" t="s">
        <v>14695</v>
      </c>
      <c r="M4708" t="s">
        <v>14696</v>
      </c>
      <c r="N4708" t="s">
        <v>278</v>
      </c>
      <c r="O4708" t="s">
        <v>28</v>
      </c>
      <c r="P4708" t="s">
        <v>292</v>
      </c>
      <c r="Q4708">
        <v>49</v>
      </c>
      <c r="R4708">
        <v>2.3473220000000001</v>
      </c>
    </row>
    <row r="4709" spans="1:18" x14ac:dyDescent="0.2">
      <c r="A4709" t="s">
        <v>270</v>
      </c>
      <c r="B4709" t="s">
        <v>1638</v>
      </c>
      <c r="C4709">
        <v>1</v>
      </c>
      <c r="D4709" s="1">
        <v>44071.834386574075</v>
      </c>
      <c r="E4709" t="s">
        <v>14697</v>
      </c>
      <c r="F4709" t="s">
        <v>273</v>
      </c>
      <c r="G4709" t="s">
        <v>14529</v>
      </c>
      <c r="H4709" t="s">
        <v>275</v>
      </c>
      <c r="I4709" t="s">
        <v>29</v>
      </c>
      <c r="J4709">
        <v>1</v>
      </c>
      <c r="K4709">
        <f>1-888-585-7716</f>
        <v>-9188</v>
      </c>
      <c r="L4709" t="s">
        <v>14698</v>
      </c>
      <c r="M4709" t="s">
        <v>14699</v>
      </c>
      <c r="N4709" t="s">
        <v>278</v>
      </c>
      <c r="O4709" t="s">
        <v>28</v>
      </c>
      <c r="P4709" t="s">
        <v>292</v>
      </c>
      <c r="Q4709">
        <v>49</v>
      </c>
      <c r="R4709">
        <v>2.3473220000000001</v>
      </c>
    </row>
    <row r="4710" spans="1:18" x14ac:dyDescent="0.2">
      <c r="A4710" t="s">
        <v>270</v>
      </c>
      <c r="B4710" t="s">
        <v>1638</v>
      </c>
      <c r="C4710">
        <v>1</v>
      </c>
      <c r="D4710" s="1">
        <v>44071.418530092589</v>
      </c>
      <c r="E4710" t="s">
        <v>14700</v>
      </c>
      <c r="F4710" t="s">
        <v>273</v>
      </c>
      <c r="G4710" t="s">
        <v>14529</v>
      </c>
      <c r="H4710" t="s">
        <v>275</v>
      </c>
      <c r="I4710" t="s">
        <v>29</v>
      </c>
      <c r="J4710">
        <v>1</v>
      </c>
      <c r="K4710">
        <f>1-888-803-850</f>
        <v>-2540</v>
      </c>
      <c r="L4710" t="s">
        <v>14701</v>
      </c>
      <c r="M4710" t="s">
        <v>14702</v>
      </c>
      <c r="N4710" t="s">
        <v>278</v>
      </c>
      <c r="O4710" t="s">
        <v>134</v>
      </c>
      <c r="P4710" t="s">
        <v>292</v>
      </c>
      <c r="Q4710">
        <v>49</v>
      </c>
      <c r="R4710">
        <v>2.3473220000000001</v>
      </c>
    </row>
    <row r="4711" spans="1:18" x14ac:dyDescent="0.2">
      <c r="A4711" t="s">
        <v>270</v>
      </c>
      <c r="B4711" t="s">
        <v>1638</v>
      </c>
      <c r="C4711">
        <v>1</v>
      </c>
      <c r="D4711" s="1">
        <v>44071.416956018518</v>
      </c>
      <c r="E4711" t="s">
        <v>14703</v>
      </c>
      <c r="F4711" t="s">
        <v>273</v>
      </c>
      <c r="G4711" t="s">
        <v>14529</v>
      </c>
      <c r="H4711" t="s">
        <v>275</v>
      </c>
      <c r="I4711" t="s">
        <v>29</v>
      </c>
      <c r="J4711">
        <v>1</v>
      </c>
      <c r="K4711">
        <f>1-888-417-4090</f>
        <v>-5394</v>
      </c>
      <c r="L4711" t="s">
        <v>14704</v>
      </c>
      <c r="M4711" t="s">
        <v>14705</v>
      </c>
      <c r="N4711" t="s">
        <v>278</v>
      </c>
      <c r="O4711" t="s">
        <v>134</v>
      </c>
      <c r="P4711" t="s">
        <v>292</v>
      </c>
      <c r="Q4711">
        <v>49</v>
      </c>
      <c r="R4711">
        <v>2.3473220000000001</v>
      </c>
    </row>
    <row r="4712" spans="1:18" x14ac:dyDescent="0.2">
      <c r="A4712" t="s">
        <v>270</v>
      </c>
      <c r="B4712" t="s">
        <v>1638</v>
      </c>
      <c r="C4712">
        <v>1</v>
      </c>
      <c r="D4712" s="1">
        <v>44071.41609953704</v>
      </c>
      <c r="E4712" t="s">
        <v>14706</v>
      </c>
      <c r="F4712" t="s">
        <v>273</v>
      </c>
      <c r="G4712" t="s">
        <v>14529</v>
      </c>
      <c r="H4712" t="s">
        <v>275</v>
      </c>
      <c r="I4712" t="s">
        <v>29</v>
      </c>
      <c r="J4712">
        <v>1</v>
      </c>
      <c r="K4712">
        <f>1-888-417-4090</f>
        <v>-5394</v>
      </c>
      <c r="L4712" t="s">
        <v>14707</v>
      </c>
      <c r="M4712" t="s">
        <v>14708</v>
      </c>
      <c r="N4712" t="s">
        <v>278</v>
      </c>
      <c r="O4712" t="s">
        <v>134</v>
      </c>
      <c r="P4712" t="s">
        <v>292</v>
      </c>
      <c r="Q4712">
        <v>49</v>
      </c>
      <c r="R4712">
        <v>2.3473220000000001</v>
      </c>
    </row>
    <row r="4713" spans="1:18" x14ac:dyDescent="0.2">
      <c r="A4713" t="s">
        <v>270</v>
      </c>
      <c r="B4713" t="s">
        <v>1638</v>
      </c>
      <c r="C4713">
        <v>1</v>
      </c>
      <c r="D4713" s="1">
        <v>44070.732835648145</v>
      </c>
      <c r="E4713" t="s">
        <v>14709</v>
      </c>
      <c r="F4713" t="s">
        <v>273</v>
      </c>
      <c r="G4713" t="s">
        <v>14529</v>
      </c>
      <c r="H4713" t="s">
        <v>275</v>
      </c>
      <c r="I4713" t="s">
        <v>29</v>
      </c>
      <c r="J4713">
        <v>1</v>
      </c>
      <c r="K4713">
        <f>1-888-909-1270</f>
        <v>-3066</v>
      </c>
      <c r="L4713" t="s">
        <v>14710</v>
      </c>
      <c r="M4713" t="s">
        <v>14711</v>
      </c>
      <c r="N4713" t="s">
        <v>278</v>
      </c>
      <c r="O4713" t="s">
        <v>134</v>
      </c>
      <c r="P4713" t="s">
        <v>292</v>
      </c>
      <c r="Q4713">
        <v>49</v>
      </c>
      <c r="R4713">
        <v>2.3473220000000001</v>
      </c>
    </row>
    <row r="4714" spans="1:18" x14ac:dyDescent="0.2">
      <c r="A4714" t="s">
        <v>270</v>
      </c>
      <c r="B4714" t="s">
        <v>1638</v>
      </c>
      <c r="C4714">
        <v>1</v>
      </c>
      <c r="D4714" s="1">
        <v>44070.600949074076</v>
      </c>
      <c r="E4714" t="s">
        <v>14712</v>
      </c>
      <c r="F4714" t="s">
        <v>273</v>
      </c>
      <c r="G4714" t="s">
        <v>14529</v>
      </c>
      <c r="H4714" t="s">
        <v>275</v>
      </c>
      <c r="I4714" t="s">
        <v>29</v>
      </c>
      <c r="J4714">
        <v>1</v>
      </c>
      <c r="K4714">
        <f>1-888-527-4189</f>
        <v>-5603</v>
      </c>
      <c r="L4714" t="s">
        <v>14713</v>
      </c>
      <c r="M4714" t="s">
        <v>14714</v>
      </c>
      <c r="N4714" t="s">
        <v>278</v>
      </c>
      <c r="O4714" t="s">
        <v>134</v>
      </c>
      <c r="P4714" t="s">
        <v>292</v>
      </c>
      <c r="Q4714">
        <v>49</v>
      </c>
      <c r="R4714">
        <v>2.3473220000000001</v>
      </c>
    </row>
    <row r="4715" spans="1:18" x14ac:dyDescent="0.2">
      <c r="A4715" t="s">
        <v>270</v>
      </c>
      <c r="B4715" t="s">
        <v>1638</v>
      </c>
      <c r="C4715">
        <v>1</v>
      </c>
      <c r="D4715" s="1">
        <v>44070.600405092591</v>
      </c>
      <c r="E4715" t="s">
        <v>14715</v>
      </c>
      <c r="F4715" t="s">
        <v>273</v>
      </c>
      <c r="G4715" t="s">
        <v>14529</v>
      </c>
      <c r="H4715" t="s">
        <v>275</v>
      </c>
      <c r="I4715" t="s">
        <v>29</v>
      </c>
      <c r="J4715">
        <v>1</v>
      </c>
      <c r="K4715">
        <f>1-888-527-4189</f>
        <v>-5603</v>
      </c>
      <c r="L4715" t="s">
        <v>14716</v>
      </c>
      <c r="M4715" t="s">
        <v>14717</v>
      </c>
      <c r="N4715" t="s">
        <v>278</v>
      </c>
      <c r="O4715" t="s">
        <v>134</v>
      </c>
      <c r="P4715" t="s">
        <v>292</v>
      </c>
      <c r="Q4715">
        <v>49</v>
      </c>
      <c r="R4715">
        <v>2.3473220000000001</v>
      </c>
    </row>
    <row r="4716" spans="1:18" x14ac:dyDescent="0.2">
      <c r="A4716" t="s">
        <v>270</v>
      </c>
      <c r="B4716" t="s">
        <v>1638</v>
      </c>
      <c r="C4716">
        <v>1</v>
      </c>
      <c r="D4716" s="1">
        <v>44068.186064814814</v>
      </c>
      <c r="E4716" t="s">
        <v>14718</v>
      </c>
      <c r="F4716" t="s">
        <v>273</v>
      </c>
      <c r="G4716" t="s">
        <v>14529</v>
      </c>
      <c r="H4716" t="s">
        <v>275</v>
      </c>
      <c r="I4716" t="s">
        <v>29</v>
      </c>
      <c r="J4716">
        <v>1</v>
      </c>
      <c r="K4716">
        <f>1-888-523-5728</f>
        <v>-7138</v>
      </c>
      <c r="L4716" t="s">
        <v>14719</v>
      </c>
      <c r="M4716" t="s">
        <v>14720</v>
      </c>
      <c r="N4716" t="s">
        <v>278</v>
      </c>
      <c r="O4716" t="s">
        <v>134</v>
      </c>
      <c r="P4716" t="s">
        <v>292</v>
      </c>
      <c r="Q4716">
        <v>49</v>
      </c>
      <c r="R4716">
        <v>2.3473220000000001</v>
      </c>
    </row>
    <row r="4717" spans="1:18" x14ac:dyDescent="0.2">
      <c r="A4717" t="s">
        <v>270</v>
      </c>
      <c r="B4717" t="s">
        <v>1638</v>
      </c>
      <c r="C4717">
        <v>1</v>
      </c>
      <c r="D4717" s="1">
        <v>44068.073831018519</v>
      </c>
      <c r="E4717" t="s">
        <v>14721</v>
      </c>
      <c r="F4717" t="s">
        <v>273</v>
      </c>
      <c r="G4717" t="s">
        <v>14529</v>
      </c>
      <c r="H4717" t="s">
        <v>275</v>
      </c>
      <c r="I4717" t="s">
        <v>29</v>
      </c>
      <c r="J4717">
        <v>1</v>
      </c>
      <c r="K4717">
        <f>1-888-851-676</f>
        <v>-2414</v>
      </c>
      <c r="L4717" t="s">
        <v>14722</v>
      </c>
      <c r="M4717" t="s">
        <v>14723</v>
      </c>
      <c r="N4717" t="s">
        <v>278</v>
      </c>
      <c r="O4717" t="s">
        <v>28</v>
      </c>
      <c r="P4717" t="s">
        <v>292</v>
      </c>
      <c r="Q4717">
        <v>49</v>
      </c>
      <c r="R4717">
        <v>2.3473220000000001</v>
      </c>
    </row>
    <row r="4718" spans="1:18" x14ac:dyDescent="0.2">
      <c r="A4718" t="s">
        <v>270</v>
      </c>
      <c r="B4718" t="s">
        <v>1638</v>
      </c>
      <c r="C4718">
        <v>1</v>
      </c>
      <c r="D4718" s="1">
        <v>44068.055567129632</v>
      </c>
      <c r="E4718" t="s">
        <v>14724</v>
      </c>
      <c r="F4718" t="s">
        <v>273</v>
      </c>
      <c r="G4718" t="s">
        <v>14529</v>
      </c>
      <c r="H4718" t="s">
        <v>275</v>
      </c>
      <c r="I4718" t="s">
        <v>29</v>
      </c>
      <c r="J4718">
        <v>1</v>
      </c>
      <c r="K4718">
        <f>1-888-523-6511</f>
        <v>-7921</v>
      </c>
      <c r="L4718" t="s">
        <v>14725</v>
      </c>
      <c r="M4718" t="s">
        <v>14726</v>
      </c>
      <c r="N4718" t="s">
        <v>278</v>
      </c>
      <c r="O4718" t="s">
        <v>28</v>
      </c>
      <c r="P4718" t="s">
        <v>292</v>
      </c>
      <c r="Q4718">
        <v>49</v>
      </c>
      <c r="R4718">
        <v>2.3473220000000001</v>
      </c>
    </row>
    <row r="4719" spans="1:18" x14ac:dyDescent="0.2">
      <c r="A4719" t="s">
        <v>270</v>
      </c>
      <c r="B4719" t="s">
        <v>1638</v>
      </c>
      <c r="C4719">
        <v>1</v>
      </c>
      <c r="D4719" s="1">
        <v>44068.027673611112</v>
      </c>
      <c r="E4719" t="s">
        <v>14727</v>
      </c>
      <c r="F4719" t="s">
        <v>273</v>
      </c>
      <c r="G4719" t="s">
        <v>14529</v>
      </c>
      <c r="H4719" t="s">
        <v>275</v>
      </c>
      <c r="I4719" t="s">
        <v>29</v>
      </c>
      <c r="J4719">
        <v>1</v>
      </c>
      <c r="K4719">
        <f>1-888-690-840</f>
        <v>-2417</v>
      </c>
      <c r="L4719" t="s">
        <v>14728</v>
      </c>
      <c r="M4719" t="s">
        <v>14729</v>
      </c>
      <c r="N4719" t="s">
        <v>278</v>
      </c>
      <c r="O4719" t="s">
        <v>28</v>
      </c>
      <c r="P4719" t="s">
        <v>292</v>
      </c>
      <c r="Q4719">
        <v>49</v>
      </c>
      <c r="R4719">
        <v>2.3473220000000001</v>
      </c>
    </row>
    <row r="4720" spans="1:18" x14ac:dyDescent="0.2">
      <c r="A4720" t="s">
        <v>270</v>
      </c>
      <c r="B4720" t="s">
        <v>1638</v>
      </c>
      <c r="C4720">
        <v>1</v>
      </c>
      <c r="D4720" s="1">
        <v>44068.02652777778</v>
      </c>
      <c r="E4720" t="s">
        <v>14730</v>
      </c>
      <c r="F4720" t="s">
        <v>273</v>
      </c>
      <c r="G4720" t="s">
        <v>14529</v>
      </c>
      <c r="H4720" t="s">
        <v>275</v>
      </c>
      <c r="I4720" t="s">
        <v>29</v>
      </c>
      <c r="J4720">
        <v>1</v>
      </c>
      <c r="K4720">
        <f>1-888-690-840</f>
        <v>-2417</v>
      </c>
      <c r="L4720" t="s">
        <v>14731</v>
      </c>
      <c r="M4720" t="s">
        <v>14732</v>
      </c>
      <c r="N4720" t="s">
        <v>278</v>
      </c>
      <c r="O4720" t="s">
        <v>28</v>
      </c>
      <c r="P4720" t="s">
        <v>292</v>
      </c>
      <c r="Q4720">
        <v>49</v>
      </c>
      <c r="R4720">
        <v>2.3473220000000001</v>
      </c>
    </row>
    <row r="4721" spans="1:18" x14ac:dyDescent="0.2">
      <c r="A4721" t="s">
        <v>270</v>
      </c>
      <c r="B4721" t="s">
        <v>1638</v>
      </c>
      <c r="C4721">
        <v>1</v>
      </c>
      <c r="D4721" s="1">
        <v>44068.022893518515</v>
      </c>
      <c r="E4721" t="s">
        <v>14733</v>
      </c>
      <c r="F4721" t="s">
        <v>273</v>
      </c>
      <c r="G4721" t="s">
        <v>14529</v>
      </c>
      <c r="H4721" t="s">
        <v>275</v>
      </c>
      <c r="I4721" t="s">
        <v>29</v>
      </c>
      <c r="J4721">
        <v>1</v>
      </c>
      <c r="K4721">
        <f>1-888-965-777</f>
        <v>-2629</v>
      </c>
      <c r="L4721" t="s">
        <v>14734</v>
      </c>
      <c r="M4721" t="s">
        <v>14735</v>
      </c>
      <c r="N4721" t="s">
        <v>278</v>
      </c>
      <c r="O4721" t="s">
        <v>28</v>
      </c>
      <c r="P4721" t="s">
        <v>292</v>
      </c>
      <c r="Q4721">
        <v>49</v>
      </c>
      <c r="R4721">
        <v>2.3473220000000001</v>
      </c>
    </row>
    <row r="4722" spans="1:18" x14ac:dyDescent="0.2">
      <c r="A4722" t="s">
        <v>270</v>
      </c>
      <c r="B4722" t="s">
        <v>1638</v>
      </c>
      <c r="C4722">
        <v>1</v>
      </c>
      <c r="D4722" s="1">
        <v>44065.894699074073</v>
      </c>
      <c r="E4722" t="s">
        <v>14736</v>
      </c>
      <c r="F4722" t="s">
        <v>273</v>
      </c>
      <c r="G4722" t="s">
        <v>14529</v>
      </c>
      <c r="H4722" t="s">
        <v>275</v>
      </c>
      <c r="I4722" t="s">
        <v>29</v>
      </c>
      <c r="J4722">
        <v>1</v>
      </c>
      <c r="K4722">
        <f>1-888-965-711</f>
        <v>-2563</v>
      </c>
      <c r="L4722" t="s">
        <v>14737</v>
      </c>
      <c r="M4722" t="s">
        <v>14738</v>
      </c>
      <c r="N4722" t="s">
        <v>278</v>
      </c>
      <c r="O4722" t="s">
        <v>134</v>
      </c>
      <c r="P4722" t="s">
        <v>292</v>
      </c>
      <c r="Q4722">
        <v>49</v>
      </c>
      <c r="R4722">
        <v>2.3473220000000001</v>
      </c>
    </row>
    <row r="4723" spans="1:18" x14ac:dyDescent="0.2">
      <c r="A4723" t="s">
        <v>270</v>
      </c>
      <c r="B4723" t="s">
        <v>1638</v>
      </c>
      <c r="C4723">
        <v>1</v>
      </c>
      <c r="D4723" s="1">
        <v>44053.822592592594</v>
      </c>
      <c r="E4723" t="s">
        <v>14739</v>
      </c>
      <c r="F4723" t="s">
        <v>273</v>
      </c>
      <c r="G4723" t="s">
        <v>14529</v>
      </c>
      <c r="H4723" t="s">
        <v>275</v>
      </c>
      <c r="I4723" t="s">
        <v>29</v>
      </c>
      <c r="J4723">
        <v>1</v>
      </c>
      <c r="K4723">
        <f>1-888-538-1045</f>
        <v>-2470</v>
      </c>
      <c r="L4723" t="s">
        <v>14740</v>
      </c>
      <c r="M4723" t="s">
        <v>14741</v>
      </c>
      <c r="N4723" t="s">
        <v>278</v>
      </c>
      <c r="O4723" t="s">
        <v>134</v>
      </c>
      <c r="P4723" t="s">
        <v>292</v>
      </c>
      <c r="Q4723">
        <v>49</v>
      </c>
      <c r="R4723">
        <v>2.3473220000000001</v>
      </c>
    </row>
    <row r="4724" spans="1:18" x14ac:dyDescent="0.2">
      <c r="A4724" t="s">
        <v>270</v>
      </c>
      <c r="B4724" t="s">
        <v>1638</v>
      </c>
      <c r="C4724">
        <v>1</v>
      </c>
      <c r="D4724" s="1">
        <v>44053.715624999997</v>
      </c>
      <c r="E4724" t="s">
        <v>14742</v>
      </c>
      <c r="F4724" t="s">
        <v>273</v>
      </c>
      <c r="G4724" t="s">
        <v>14529</v>
      </c>
      <c r="H4724" t="s">
        <v>275</v>
      </c>
      <c r="I4724" t="s">
        <v>29</v>
      </c>
      <c r="J4724">
        <v>1</v>
      </c>
      <c r="K4724">
        <f>1-888-527-6035</f>
        <v>-7449</v>
      </c>
      <c r="L4724" t="s">
        <v>14743</v>
      </c>
      <c r="M4724" t="s">
        <v>14744</v>
      </c>
      <c r="N4724" t="s">
        <v>278</v>
      </c>
      <c r="O4724" t="s">
        <v>134</v>
      </c>
      <c r="P4724" t="s">
        <v>292</v>
      </c>
      <c r="Q4724">
        <v>49</v>
      </c>
      <c r="R4724">
        <v>2.3473220000000001</v>
      </c>
    </row>
    <row r="4725" spans="1:18" x14ac:dyDescent="0.2">
      <c r="A4725" t="s">
        <v>270</v>
      </c>
      <c r="B4725" t="s">
        <v>1638</v>
      </c>
      <c r="C4725">
        <v>1</v>
      </c>
      <c r="D4725" s="1">
        <v>44053.134409722225</v>
      </c>
      <c r="E4725" t="s">
        <v>14745</v>
      </c>
      <c r="F4725" t="s">
        <v>273</v>
      </c>
      <c r="G4725" t="s">
        <v>14529</v>
      </c>
      <c r="H4725" t="s">
        <v>275</v>
      </c>
      <c r="I4725" t="s">
        <v>29</v>
      </c>
      <c r="J4725">
        <v>1</v>
      </c>
      <c r="K4725">
        <f>1-888-530-6238</f>
        <v>-7655</v>
      </c>
      <c r="L4725" t="s">
        <v>14746</v>
      </c>
      <c r="M4725" t="s">
        <v>14747</v>
      </c>
      <c r="N4725" t="s">
        <v>278</v>
      </c>
      <c r="O4725" t="s">
        <v>134</v>
      </c>
      <c r="P4725" t="s">
        <v>292</v>
      </c>
      <c r="Q4725">
        <v>49</v>
      </c>
      <c r="R4725">
        <v>2.3473220000000001</v>
      </c>
    </row>
    <row r="4726" spans="1:18" x14ac:dyDescent="0.2">
      <c r="A4726" t="s">
        <v>270</v>
      </c>
      <c r="B4726" t="s">
        <v>1638</v>
      </c>
      <c r="C4726">
        <v>1</v>
      </c>
      <c r="D4726" s="1">
        <v>44053.134212962963</v>
      </c>
      <c r="E4726" t="s">
        <v>14748</v>
      </c>
      <c r="F4726" t="s">
        <v>273</v>
      </c>
      <c r="G4726" t="s">
        <v>14529</v>
      </c>
      <c r="H4726" t="s">
        <v>275</v>
      </c>
      <c r="I4726" t="s">
        <v>29</v>
      </c>
      <c r="J4726">
        <v>1</v>
      </c>
      <c r="K4726">
        <f>1-866-730-8093</f>
        <v>-9688</v>
      </c>
      <c r="L4726" t="s">
        <v>14749</v>
      </c>
      <c r="M4726" t="s">
        <v>14750</v>
      </c>
      <c r="N4726" t="s">
        <v>278</v>
      </c>
      <c r="O4726" t="s">
        <v>134</v>
      </c>
      <c r="P4726" t="s">
        <v>292</v>
      </c>
      <c r="Q4726">
        <v>49</v>
      </c>
      <c r="R4726">
        <v>2.3473220000000001</v>
      </c>
    </row>
    <row r="4727" spans="1:18" x14ac:dyDescent="0.2">
      <c r="A4727" t="s">
        <v>270</v>
      </c>
      <c r="B4727" t="s">
        <v>1638</v>
      </c>
      <c r="C4727">
        <v>1</v>
      </c>
      <c r="D4727" s="1">
        <v>44053.134120370371</v>
      </c>
      <c r="E4727" t="s">
        <v>14751</v>
      </c>
      <c r="F4727" t="s">
        <v>273</v>
      </c>
      <c r="G4727" t="s">
        <v>14529</v>
      </c>
      <c r="H4727" t="s">
        <v>275</v>
      </c>
      <c r="I4727" t="s">
        <v>29</v>
      </c>
      <c r="J4727">
        <v>1</v>
      </c>
      <c r="K4727">
        <f>1-888-530-2151</f>
        <v>-3568</v>
      </c>
      <c r="L4727" t="s">
        <v>14752</v>
      </c>
      <c r="M4727" t="s">
        <v>14753</v>
      </c>
      <c r="N4727" t="s">
        <v>278</v>
      </c>
      <c r="O4727" t="s">
        <v>134</v>
      </c>
      <c r="P4727" t="s">
        <v>292</v>
      </c>
      <c r="Q4727">
        <v>49</v>
      </c>
      <c r="R4727">
        <v>2.3473220000000001</v>
      </c>
    </row>
    <row r="4728" spans="1:18" x14ac:dyDescent="0.2">
      <c r="A4728" t="s">
        <v>270</v>
      </c>
      <c r="B4728" t="s">
        <v>1638</v>
      </c>
      <c r="C4728">
        <v>1</v>
      </c>
      <c r="D4728" s="1">
        <v>44053.133101851854</v>
      </c>
      <c r="E4728" t="s">
        <v>14754</v>
      </c>
      <c r="F4728" t="s">
        <v>273</v>
      </c>
      <c r="G4728" t="s">
        <v>14529</v>
      </c>
      <c r="H4728" t="s">
        <v>275</v>
      </c>
      <c r="I4728" t="s">
        <v>29</v>
      </c>
      <c r="J4728">
        <v>1</v>
      </c>
      <c r="K4728">
        <f>1-866-801-5549</f>
        <v>-7215</v>
      </c>
      <c r="L4728" t="s">
        <v>14755</v>
      </c>
      <c r="M4728" t="s">
        <v>14756</v>
      </c>
      <c r="N4728" t="s">
        <v>278</v>
      </c>
      <c r="O4728" t="s">
        <v>134</v>
      </c>
      <c r="P4728" t="s">
        <v>292</v>
      </c>
      <c r="Q4728">
        <v>49</v>
      </c>
      <c r="R4728">
        <v>2.3473220000000001</v>
      </c>
    </row>
    <row r="4729" spans="1:18" x14ac:dyDescent="0.2">
      <c r="A4729" t="s">
        <v>270</v>
      </c>
      <c r="B4729" t="s">
        <v>1638</v>
      </c>
      <c r="C4729">
        <v>1</v>
      </c>
      <c r="D4729" s="1">
        <v>44053.132847222223</v>
      </c>
      <c r="E4729" t="s">
        <v>14757</v>
      </c>
      <c r="F4729" t="s">
        <v>273</v>
      </c>
      <c r="G4729" t="s">
        <v>14529</v>
      </c>
      <c r="H4729" t="s">
        <v>275</v>
      </c>
      <c r="I4729" t="s">
        <v>29</v>
      </c>
      <c r="J4729">
        <v>1</v>
      </c>
      <c r="K4729">
        <f>1-866-754-7703</f>
        <v>-9322</v>
      </c>
      <c r="L4729" t="s">
        <v>14758</v>
      </c>
      <c r="M4729" t="s">
        <v>14759</v>
      </c>
      <c r="N4729" t="s">
        <v>278</v>
      </c>
      <c r="O4729" t="s">
        <v>134</v>
      </c>
      <c r="P4729" t="s">
        <v>292</v>
      </c>
      <c r="Q4729">
        <v>49</v>
      </c>
      <c r="R4729">
        <v>2.3473220000000001</v>
      </c>
    </row>
    <row r="4730" spans="1:18" x14ac:dyDescent="0.2">
      <c r="A4730" t="s">
        <v>270</v>
      </c>
      <c r="B4730" t="s">
        <v>1638</v>
      </c>
      <c r="C4730">
        <v>1</v>
      </c>
      <c r="D4730" s="1">
        <v>44053.132592592592</v>
      </c>
      <c r="E4730" t="s">
        <v>14760</v>
      </c>
      <c r="F4730" t="s">
        <v>273</v>
      </c>
      <c r="G4730" t="s">
        <v>14529</v>
      </c>
      <c r="H4730" t="s">
        <v>275</v>
      </c>
      <c r="I4730" t="s">
        <v>29</v>
      </c>
      <c r="J4730">
        <v>1</v>
      </c>
      <c r="K4730">
        <f>1-888-534-8036</f>
        <v>-9457</v>
      </c>
      <c r="L4730" t="s">
        <v>14761</v>
      </c>
      <c r="M4730" t="s">
        <v>14762</v>
      </c>
      <c r="N4730" t="s">
        <v>278</v>
      </c>
      <c r="O4730" t="s">
        <v>134</v>
      </c>
      <c r="P4730" t="s">
        <v>292</v>
      </c>
      <c r="Q4730">
        <v>49</v>
      </c>
      <c r="R4730">
        <v>2.3473220000000001</v>
      </c>
    </row>
    <row r="4731" spans="1:18" x14ac:dyDescent="0.2">
      <c r="A4731" t="s">
        <v>270</v>
      </c>
      <c r="B4731" t="s">
        <v>1638</v>
      </c>
      <c r="C4731">
        <v>1</v>
      </c>
      <c r="D4731" s="1">
        <v>44053.132326388892</v>
      </c>
      <c r="E4731" t="s">
        <v>14763</v>
      </c>
      <c r="F4731" t="s">
        <v>273</v>
      </c>
      <c r="G4731" t="s">
        <v>14529</v>
      </c>
      <c r="H4731" t="s">
        <v>275</v>
      </c>
      <c r="I4731" t="s">
        <v>29</v>
      </c>
      <c r="J4731">
        <v>1</v>
      </c>
      <c r="K4731">
        <f>1-866-591-3044</f>
        <v>-4500</v>
      </c>
      <c r="L4731" t="s">
        <v>14764</v>
      </c>
      <c r="M4731" t="s">
        <v>14765</v>
      </c>
      <c r="N4731" t="s">
        <v>278</v>
      </c>
      <c r="O4731" t="s">
        <v>134</v>
      </c>
      <c r="P4731" t="s">
        <v>292</v>
      </c>
      <c r="Q4731">
        <v>49</v>
      </c>
      <c r="R4731">
        <v>2.3473220000000001</v>
      </c>
    </row>
    <row r="4732" spans="1:18" x14ac:dyDescent="0.2">
      <c r="A4732" t="s">
        <v>270</v>
      </c>
      <c r="B4732" t="s">
        <v>1638</v>
      </c>
      <c r="C4732">
        <v>1</v>
      </c>
      <c r="D4732" s="1">
        <v>44052.910810185182</v>
      </c>
      <c r="E4732" t="s">
        <v>14766</v>
      </c>
      <c r="F4732" t="s">
        <v>273</v>
      </c>
      <c r="G4732" t="s">
        <v>14529</v>
      </c>
      <c r="H4732" t="s">
        <v>275</v>
      </c>
      <c r="I4732" t="s">
        <v>29</v>
      </c>
      <c r="J4732">
        <v>1</v>
      </c>
      <c r="K4732">
        <f>1-888-530-2151</f>
        <v>-3568</v>
      </c>
      <c r="L4732" t="s">
        <v>14767</v>
      </c>
      <c r="M4732" t="s">
        <v>14768</v>
      </c>
      <c r="N4732" t="s">
        <v>278</v>
      </c>
      <c r="O4732" t="s">
        <v>134</v>
      </c>
      <c r="P4732" t="s">
        <v>292</v>
      </c>
      <c r="Q4732">
        <v>49</v>
      </c>
      <c r="R4732">
        <v>2.3473220000000001</v>
      </c>
    </row>
    <row r="4733" spans="1:18" x14ac:dyDescent="0.2">
      <c r="A4733" t="s">
        <v>663</v>
      </c>
      <c r="B4733" t="s">
        <v>664</v>
      </c>
      <c r="C4733">
        <v>44</v>
      </c>
      <c r="D4733" s="1">
        <v>44060.545011574075</v>
      </c>
      <c r="E4733" t="s">
        <v>14769</v>
      </c>
      <c r="F4733" t="s">
        <v>666</v>
      </c>
      <c r="G4733" t="s">
        <v>14770</v>
      </c>
      <c r="H4733" t="s">
        <v>667</v>
      </c>
      <c r="I4733" t="s">
        <v>618</v>
      </c>
      <c r="J4733">
        <v>44</v>
      </c>
      <c r="K4733">
        <f>44-800-51-3726</f>
        <v>-4533</v>
      </c>
      <c r="L4733" t="s">
        <v>14771</v>
      </c>
      <c r="M4733" t="s">
        <v>14772</v>
      </c>
      <c r="N4733" t="s">
        <v>1645</v>
      </c>
      <c r="O4733" t="s">
        <v>28</v>
      </c>
      <c r="P4733" t="s">
        <v>29</v>
      </c>
      <c r="Q4733">
        <v>37</v>
      </c>
      <c r="R4733">
        <v>-99.999999000000003</v>
      </c>
    </row>
    <row r="4734" spans="1:18" x14ac:dyDescent="0.2">
      <c r="A4734" t="s">
        <v>439</v>
      </c>
      <c r="B4734" t="s">
        <v>3094</v>
      </c>
      <c r="C4734">
        <v>1</v>
      </c>
      <c r="D4734" s="1">
        <v>44052.964062500003</v>
      </c>
      <c r="E4734" t="s">
        <v>14773</v>
      </c>
      <c r="F4734" t="s">
        <v>442</v>
      </c>
      <c r="G4734" t="s">
        <v>14774</v>
      </c>
      <c r="H4734" t="s">
        <v>444</v>
      </c>
      <c r="I4734" t="s">
        <v>29</v>
      </c>
      <c r="J4734">
        <v>1</v>
      </c>
      <c r="K4734">
        <f>1-866-538-4993</f>
        <v>-6396</v>
      </c>
      <c r="L4734" t="s">
        <v>14775</v>
      </c>
      <c r="M4734" t="s">
        <v>14776</v>
      </c>
      <c r="N4734" t="s">
        <v>447</v>
      </c>
      <c r="O4734" t="s">
        <v>28</v>
      </c>
      <c r="P4734" t="s">
        <v>2268</v>
      </c>
      <c r="Q4734">
        <v>46</v>
      </c>
      <c r="R4734">
        <v>-73.567300000000003</v>
      </c>
    </row>
    <row r="4735" spans="1:18" x14ac:dyDescent="0.2">
      <c r="A4735" t="s">
        <v>663</v>
      </c>
      <c r="B4735" t="s">
        <v>5337</v>
      </c>
      <c r="C4735">
        <v>61</v>
      </c>
      <c r="D4735" s="1">
        <v>44053.126273148147</v>
      </c>
      <c r="E4735" t="s">
        <v>14777</v>
      </c>
      <c r="F4735" t="s">
        <v>666</v>
      </c>
      <c r="G4735" t="s">
        <v>14778</v>
      </c>
      <c r="H4735" t="s">
        <v>667</v>
      </c>
      <c r="I4735" t="s">
        <v>782</v>
      </c>
      <c r="J4735">
        <v>61</v>
      </c>
      <c r="K4735">
        <f>61-1800-572-283</f>
        <v>-2594</v>
      </c>
      <c r="L4735" t="s">
        <v>14779</v>
      </c>
      <c r="M4735" t="s">
        <v>14780</v>
      </c>
      <c r="N4735" t="s">
        <v>1645</v>
      </c>
      <c r="O4735" t="s">
        <v>28</v>
      </c>
      <c r="P4735" t="s">
        <v>29</v>
      </c>
      <c r="Q4735">
        <v>38</v>
      </c>
      <c r="R4735">
        <v>-99.999999000000003</v>
      </c>
    </row>
    <row r="4736" spans="1:18" x14ac:dyDescent="0.2">
      <c r="A4736" t="s">
        <v>439</v>
      </c>
      <c r="B4736" t="s">
        <v>3094</v>
      </c>
      <c r="C4736">
        <v>1</v>
      </c>
      <c r="D4736" s="1">
        <v>44053.127638888887</v>
      </c>
      <c r="E4736" t="s">
        <v>14781</v>
      </c>
      <c r="F4736" t="s">
        <v>442</v>
      </c>
      <c r="G4736" t="s">
        <v>14782</v>
      </c>
      <c r="H4736" t="s">
        <v>444</v>
      </c>
      <c r="I4736" t="s">
        <v>29</v>
      </c>
      <c r="J4736">
        <v>1</v>
      </c>
      <c r="K4736">
        <f>1-866-469-8140</f>
        <v>-9474</v>
      </c>
      <c r="L4736" t="s">
        <v>14783</v>
      </c>
      <c r="M4736" t="s">
        <v>14784</v>
      </c>
      <c r="N4736" t="s">
        <v>674</v>
      </c>
      <c r="O4736" t="s">
        <v>28</v>
      </c>
      <c r="P4736" t="s">
        <v>2268</v>
      </c>
      <c r="Q4736">
        <v>46</v>
      </c>
      <c r="R4736">
        <v>-73.567300000000003</v>
      </c>
    </row>
    <row r="4737" spans="1:18" x14ac:dyDescent="0.2">
      <c r="A4737" t="s">
        <v>663</v>
      </c>
      <c r="B4737" t="s">
        <v>664</v>
      </c>
      <c r="C4737">
        <v>1</v>
      </c>
      <c r="D4737" s="1">
        <v>44057.134664351855</v>
      </c>
      <c r="E4737" t="s">
        <v>14785</v>
      </c>
      <c r="F4737" t="s">
        <v>666</v>
      </c>
      <c r="G4737" t="s">
        <v>14786</v>
      </c>
      <c r="H4737" t="s">
        <v>667</v>
      </c>
      <c r="I4737" t="s">
        <v>29</v>
      </c>
      <c r="J4737">
        <v>1</v>
      </c>
      <c r="K4737">
        <f t="shared" ref="K4737:K4743" si="33">1-844-945-2645</f>
        <v>-4433</v>
      </c>
      <c r="L4737" t="s">
        <v>14787</v>
      </c>
      <c r="M4737" t="s">
        <v>14788</v>
      </c>
      <c r="N4737" t="s">
        <v>213</v>
      </c>
      <c r="O4737" t="s">
        <v>28</v>
      </c>
      <c r="P4737" t="s">
        <v>29</v>
      </c>
      <c r="Q4737">
        <v>37</v>
      </c>
      <c r="R4737">
        <v>-99.999999000000003</v>
      </c>
    </row>
    <row r="4738" spans="1:18" x14ac:dyDescent="0.2">
      <c r="A4738" t="s">
        <v>663</v>
      </c>
      <c r="B4738" t="s">
        <v>664</v>
      </c>
      <c r="C4738">
        <v>1</v>
      </c>
      <c r="D4738" s="1">
        <v>44057.13449074074</v>
      </c>
      <c r="E4738" t="s">
        <v>14789</v>
      </c>
      <c r="F4738" t="s">
        <v>666</v>
      </c>
      <c r="G4738" t="s">
        <v>14786</v>
      </c>
      <c r="H4738" t="s">
        <v>667</v>
      </c>
      <c r="I4738" t="s">
        <v>29</v>
      </c>
      <c r="J4738">
        <v>1</v>
      </c>
      <c r="K4738">
        <f t="shared" si="33"/>
        <v>-4433</v>
      </c>
      <c r="L4738" t="s">
        <v>14790</v>
      </c>
      <c r="M4738" t="s">
        <v>14791</v>
      </c>
      <c r="N4738" t="s">
        <v>213</v>
      </c>
      <c r="O4738" t="s">
        <v>28</v>
      </c>
      <c r="P4738" t="s">
        <v>29</v>
      </c>
      <c r="Q4738">
        <v>37</v>
      </c>
      <c r="R4738">
        <v>-99.999999000000003</v>
      </c>
    </row>
    <row r="4739" spans="1:18" x14ac:dyDescent="0.2">
      <c r="A4739" t="s">
        <v>663</v>
      </c>
      <c r="B4739" t="s">
        <v>664</v>
      </c>
      <c r="C4739">
        <v>1</v>
      </c>
      <c r="D4739" s="1">
        <v>44057.133877314816</v>
      </c>
      <c r="E4739" t="s">
        <v>14792</v>
      </c>
      <c r="F4739" t="s">
        <v>666</v>
      </c>
      <c r="G4739" t="s">
        <v>14786</v>
      </c>
      <c r="H4739" t="s">
        <v>667</v>
      </c>
      <c r="I4739" t="s">
        <v>29</v>
      </c>
      <c r="J4739">
        <v>1</v>
      </c>
      <c r="K4739">
        <f t="shared" si="33"/>
        <v>-4433</v>
      </c>
      <c r="L4739" t="s">
        <v>14793</v>
      </c>
      <c r="M4739" t="s">
        <v>14794</v>
      </c>
      <c r="N4739" t="s">
        <v>213</v>
      </c>
      <c r="O4739" t="s">
        <v>28</v>
      </c>
      <c r="P4739" t="s">
        <v>29</v>
      </c>
      <c r="Q4739">
        <v>37</v>
      </c>
      <c r="R4739">
        <v>-99.999999000000003</v>
      </c>
    </row>
    <row r="4740" spans="1:18" x14ac:dyDescent="0.2">
      <c r="A4740" t="s">
        <v>663</v>
      </c>
      <c r="B4740" t="s">
        <v>664</v>
      </c>
      <c r="C4740">
        <v>1</v>
      </c>
      <c r="D4740" s="1">
        <v>44057.13318287037</v>
      </c>
      <c r="E4740" t="s">
        <v>14795</v>
      </c>
      <c r="F4740" t="s">
        <v>666</v>
      </c>
      <c r="G4740" t="s">
        <v>14786</v>
      </c>
      <c r="H4740" t="s">
        <v>667</v>
      </c>
      <c r="I4740" t="s">
        <v>29</v>
      </c>
      <c r="J4740">
        <v>1</v>
      </c>
      <c r="K4740">
        <f t="shared" si="33"/>
        <v>-4433</v>
      </c>
      <c r="L4740" t="s">
        <v>14796</v>
      </c>
      <c r="M4740" t="s">
        <v>14797</v>
      </c>
      <c r="N4740" t="s">
        <v>213</v>
      </c>
      <c r="O4740" t="s">
        <v>28</v>
      </c>
      <c r="P4740" t="s">
        <v>29</v>
      </c>
      <c r="Q4740">
        <v>37</v>
      </c>
      <c r="R4740">
        <v>-99.999999000000003</v>
      </c>
    </row>
    <row r="4741" spans="1:18" x14ac:dyDescent="0.2">
      <c r="A4741" t="s">
        <v>663</v>
      </c>
      <c r="B4741" t="s">
        <v>664</v>
      </c>
      <c r="C4741">
        <v>1</v>
      </c>
      <c r="D4741" s="1">
        <v>44057.132789351854</v>
      </c>
      <c r="E4741" t="s">
        <v>14798</v>
      </c>
      <c r="F4741" t="s">
        <v>666</v>
      </c>
      <c r="G4741" t="s">
        <v>14786</v>
      </c>
      <c r="H4741" t="s">
        <v>667</v>
      </c>
      <c r="I4741" t="s">
        <v>29</v>
      </c>
      <c r="J4741">
        <v>1</v>
      </c>
      <c r="K4741">
        <f t="shared" si="33"/>
        <v>-4433</v>
      </c>
      <c r="L4741" t="s">
        <v>14799</v>
      </c>
      <c r="M4741" t="s">
        <v>14800</v>
      </c>
      <c r="N4741" t="s">
        <v>213</v>
      </c>
      <c r="O4741" t="s">
        <v>28</v>
      </c>
      <c r="P4741" t="s">
        <v>29</v>
      </c>
      <c r="Q4741">
        <v>37</v>
      </c>
      <c r="R4741">
        <v>-99.999999000000003</v>
      </c>
    </row>
    <row r="4742" spans="1:18" x14ac:dyDescent="0.2">
      <c r="A4742" t="s">
        <v>663</v>
      </c>
      <c r="B4742" t="s">
        <v>664</v>
      </c>
      <c r="C4742">
        <v>1</v>
      </c>
      <c r="D4742" s="1">
        <v>44057.132465277777</v>
      </c>
      <c r="E4742" t="s">
        <v>14801</v>
      </c>
      <c r="F4742" t="s">
        <v>666</v>
      </c>
      <c r="G4742" t="s">
        <v>14786</v>
      </c>
      <c r="H4742" t="s">
        <v>667</v>
      </c>
      <c r="I4742" t="s">
        <v>29</v>
      </c>
      <c r="J4742">
        <v>1</v>
      </c>
      <c r="K4742">
        <f t="shared" si="33"/>
        <v>-4433</v>
      </c>
      <c r="L4742" t="s">
        <v>14802</v>
      </c>
      <c r="M4742" t="s">
        <v>14803</v>
      </c>
      <c r="N4742" t="s">
        <v>213</v>
      </c>
      <c r="O4742" t="s">
        <v>28</v>
      </c>
      <c r="P4742" t="s">
        <v>29</v>
      </c>
      <c r="Q4742">
        <v>37</v>
      </c>
      <c r="R4742">
        <v>-99.999999000000003</v>
      </c>
    </row>
    <row r="4743" spans="1:18" x14ac:dyDescent="0.2">
      <c r="A4743" t="s">
        <v>663</v>
      </c>
      <c r="B4743" t="s">
        <v>664</v>
      </c>
      <c r="C4743">
        <v>1</v>
      </c>
      <c r="D4743" s="1">
        <v>44056.975254629629</v>
      </c>
      <c r="E4743" t="s">
        <v>14804</v>
      </c>
      <c r="F4743" t="s">
        <v>666</v>
      </c>
      <c r="G4743" t="s">
        <v>14786</v>
      </c>
      <c r="H4743" t="s">
        <v>667</v>
      </c>
      <c r="I4743" t="s">
        <v>29</v>
      </c>
      <c r="J4743">
        <v>1</v>
      </c>
      <c r="K4743">
        <f t="shared" si="33"/>
        <v>-4433</v>
      </c>
      <c r="L4743" t="s">
        <v>14805</v>
      </c>
      <c r="M4743" t="s">
        <v>14806</v>
      </c>
      <c r="N4743" t="s">
        <v>213</v>
      </c>
      <c r="O4743" t="s">
        <v>28</v>
      </c>
      <c r="P4743" t="s">
        <v>29</v>
      </c>
      <c r="Q4743">
        <v>37</v>
      </c>
      <c r="R4743">
        <v>-99.999999000000003</v>
      </c>
    </row>
    <row r="4744" spans="1:18" x14ac:dyDescent="0.2">
      <c r="A4744" t="s">
        <v>3420</v>
      </c>
      <c r="B4744" t="s">
        <v>3094</v>
      </c>
      <c r="C4744">
        <v>1</v>
      </c>
      <c r="D4744" s="1">
        <v>44061.555983796294</v>
      </c>
      <c r="E4744" t="s">
        <v>14807</v>
      </c>
      <c r="F4744" t="s">
        <v>3422</v>
      </c>
      <c r="G4744" t="s">
        <v>14808</v>
      </c>
      <c r="H4744" t="s">
        <v>3423</v>
      </c>
      <c r="I4744" t="s">
        <v>29</v>
      </c>
      <c r="J4744">
        <v>1</v>
      </c>
      <c r="K4744">
        <f>1-855-262-8303</f>
        <v>-9419</v>
      </c>
      <c r="L4744" t="s">
        <v>14809</v>
      </c>
      <c r="M4744" t="s">
        <v>14810</v>
      </c>
      <c r="N4744" t="s">
        <v>5354</v>
      </c>
      <c r="O4744" t="s">
        <v>134</v>
      </c>
      <c r="P4744" t="s">
        <v>2268</v>
      </c>
      <c r="Q4744">
        <v>46</v>
      </c>
      <c r="R4744">
        <v>-73.567300000000003</v>
      </c>
    </row>
    <row r="4745" spans="1:18" x14ac:dyDescent="0.2">
      <c r="A4745" t="s">
        <v>270</v>
      </c>
      <c r="B4745" t="s">
        <v>440</v>
      </c>
      <c r="C4745">
        <v>1</v>
      </c>
      <c r="D4745" s="1">
        <v>44145.797384259262</v>
      </c>
      <c r="E4745" t="s">
        <v>14811</v>
      </c>
      <c r="F4745" t="s">
        <v>273</v>
      </c>
      <c r="G4745" t="s">
        <v>14812</v>
      </c>
      <c r="H4745" t="s">
        <v>275</v>
      </c>
      <c r="I4745" t="s">
        <v>29</v>
      </c>
      <c r="J4745">
        <v>1</v>
      </c>
      <c r="K4745">
        <f>1-844-295-6539</f>
        <v>-7677</v>
      </c>
      <c r="L4745" t="s">
        <v>14813</v>
      </c>
      <c r="M4745" t="s">
        <v>14814</v>
      </c>
      <c r="N4745" t="s">
        <v>278</v>
      </c>
      <c r="O4745" t="s">
        <v>28</v>
      </c>
      <c r="P4745" t="s">
        <v>29</v>
      </c>
      <c r="Q4745">
        <v>39</v>
      </c>
      <c r="R4745">
        <v>-77.487399999999994</v>
      </c>
    </row>
    <row r="4746" spans="1:18" x14ac:dyDescent="0.2">
      <c r="A4746" t="s">
        <v>270</v>
      </c>
      <c r="B4746" t="s">
        <v>440</v>
      </c>
      <c r="C4746">
        <v>1</v>
      </c>
      <c r="D4746" s="1">
        <v>44134.775682870371</v>
      </c>
      <c r="E4746" t="s">
        <v>14815</v>
      </c>
      <c r="F4746" t="s">
        <v>273</v>
      </c>
      <c r="G4746" t="s">
        <v>14812</v>
      </c>
      <c r="H4746" t="s">
        <v>275</v>
      </c>
      <c r="I4746" t="s">
        <v>29</v>
      </c>
      <c r="J4746">
        <v>1</v>
      </c>
      <c r="K4746">
        <f>1-888-249-4125</f>
        <v>-5261</v>
      </c>
      <c r="L4746" t="s">
        <v>14816</v>
      </c>
      <c r="M4746" t="s">
        <v>14817</v>
      </c>
      <c r="N4746" t="s">
        <v>278</v>
      </c>
      <c r="O4746" t="s">
        <v>28</v>
      </c>
      <c r="P4746" t="s">
        <v>29</v>
      </c>
      <c r="Q4746">
        <v>39</v>
      </c>
      <c r="R4746">
        <v>-77.487399999999994</v>
      </c>
    </row>
    <row r="4747" spans="1:18" x14ac:dyDescent="0.2">
      <c r="A4747" t="s">
        <v>270</v>
      </c>
      <c r="B4747" t="s">
        <v>440</v>
      </c>
      <c r="C4747">
        <v>1</v>
      </c>
      <c r="D4747" s="1">
        <v>44124.879837962966</v>
      </c>
      <c r="E4747" t="s">
        <v>14818</v>
      </c>
      <c r="F4747" t="s">
        <v>273</v>
      </c>
      <c r="G4747" t="s">
        <v>14812</v>
      </c>
      <c r="H4747" t="s">
        <v>275</v>
      </c>
      <c r="I4747" t="s">
        <v>29</v>
      </c>
      <c r="J4747">
        <v>1</v>
      </c>
      <c r="K4747">
        <f>1-888-351-9458</f>
        <v>-10696</v>
      </c>
      <c r="L4747" t="s">
        <v>14819</v>
      </c>
      <c r="M4747" t="s">
        <v>14820</v>
      </c>
      <c r="N4747" t="s">
        <v>278</v>
      </c>
      <c r="O4747" t="s">
        <v>28</v>
      </c>
      <c r="P4747" t="s">
        <v>29</v>
      </c>
      <c r="Q4747">
        <v>39</v>
      </c>
      <c r="R4747">
        <v>-77.487399999999994</v>
      </c>
    </row>
    <row r="4748" spans="1:18" x14ac:dyDescent="0.2">
      <c r="A4748" t="s">
        <v>270</v>
      </c>
      <c r="B4748" t="s">
        <v>440</v>
      </c>
      <c r="C4748">
        <v>1</v>
      </c>
      <c r="D4748" s="1">
        <v>44103.763043981482</v>
      </c>
      <c r="E4748" t="s">
        <v>14821</v>
      </c>
      <c r="F4748" t="s">
        <v>273</v>
      </c>
      <c r="G4748" t="s">
        <v>14812</v>
      </c>
      <c r="H4748" t="s">
        <v>275</v>
      </c>
      <c r="I4748" t="s">
        <v>29</v>
      </c>
      <c r="J4748">
        <v>1</v>
      </c>
      <c r="K4748">
        <f>1-888-210-6654</f>
        <v>-7751</v>
      </c>
      <c r="L4748" t="s">
        <v>14822</v>
      </c>
      <c r="M4748" t="s">
        <v>14823</v>
      </c>
      <c r="N4748" t="s">
        <v>278</v>
      </c>
      <c r="O4748" t="s">
        <v>134</v>
      </c>
      <c r="P4748" t="s">
        <v>29</v>
      </c>
      <c r="Q4748">
        <v>39</v>
      </c>
      <c r="R4748">
        <v>-77.487399999999994</v>
      </c>
    </row>
    <row r="4749" spans="1:18" x14ac:dyDescent="0.2">
      <c r="A4749" t="s">
        <v>270</v>
      </c>
      <c r="B4749" t="s">
        <v>440</v>
      </c>
      <c r="C4749">
        <v>1</v>
      </c>
      <c r="D4749" s="1">
        <v>44102.822893518518</v>
      </c>
      <c r="E4749" t="s">
        <v>14824</v>
      </c>
      <c r="F4749" t="s">
        <v>273</v>
      </c>
      <c r="G4749" t="s">
        <v>14812</v>
      </c>
      <c r="H4749" t="s">
        <v>275</v>
      </c>
      <c r="I4749" t="s">
        <v>29</v>
      </c>
      <c r="J4749">
        <v>1</v>
      </c>
      <c r="K4749">
        <f>1-888-252-7514</f>
        <v>-8653</v>
      </c>
      <c r="L4749" t="s">
        <v>14825</v>
      </c>
      <c r="M4749" t="s">
        <v>14826</v>
      </c>
      <c r="N4749" t="s">
        <v>278</v>
      </c>
      <c r="O4749" t="s">
        <v>28</v>
      </c>
      <c r="P4749" t="s">
        <v>29</v>
      </c>
      <c r="Q4749">
        <v>39</v>
      </c>
      <c r="R4749">
        <v>-77.487399999999994</v>
      </c>
    </row>
    <row r="4750" spans="1:18" x14ac:dyDescent="0.2">
      <c r="A4750" t="s">
        <v>270</v>
      </c>
      <c r="B4750" t="s">
        <v>440</v>
      </c>
      <c r="C4750">
        <v>1</v>
      </c>
      <c r="D4750" s="1">
        <v>44096.369756944441</v>
      </c>
      <c r="E4750" t="s">
        <v>14827</v>
      </c>
      <c r="F4750" t="s">
        <v>273</v>
      </c>
      <c r="G4750" t="s">
        <v>14812</v>
      </c>
      <c r="H4750" t="s">
        <v>275</v>
      </c>
      <c r="I4750" t="s">
        <v>29</v>
      </c>
      <c r="J4750">
        <v>1</v>
      </c>
      <c r="K4750">
        <f>1-844-316-9077</f>
        <v>-10236</v>
      </c>
      <c r="L4750" t="s">
        <v>14828</v>
      </c>
      <c r="M4750" t="s">
        <v>14829</v>
      </c>
      <c r="N4750" t="s">
        <v>278</v>
      </c>
      <c r="O4750" t="s">
        <v>28</v>
      </c>
      <c r="P4750" t="s">
        <v>29</v>
      </c>
      <c r="Q4750">
        <v>39</v>
      </c>
      <c r="R4750">
        <v>-77.487399999999994</v>
      </c>
    </row>
    <row r="4751" spans="1:18" x14ac:dyDescent="0.2">
      <c r="A4751" t="s">
        <v>270</v>
      </c>
      <c r="B4751" t="s">
        <v>440</v>
      </c>
      <c r="C4751">
        <v>1</v>
      </c>
      <c r="D4751" s="1">
        <v>44096.367152777777</v>
      </c>
      <c r="E4751" t="s">
        <v>14830</v>
      </c>
      <c r="F4751" t="s">
        <v>273</v>
      </c>
      <c r="G4751" t="s">
        <v>14812</v>
      </c>
      <c r="H4751" t="s">
        <v>275</v>
      </c>
      <c r="I4751" t="s">
        <v>29</v>
      </c>
      <c r="J4751">
        <v>1</v>
      </c>
      <c r="K4751">
        <f>1-844-309-2423</f>
        <v>-3575</v>
      </c>
      <c r="L4751" t="s">
        <v>14831</v>
      </c>
      <c r="M4751" t="s">
        <v>14832</v>
      </c>
      <c r="N4751" t="s">
        <v>278</v>
      </c>
      <c r="O4751" t="s">
        <v>28</v>
      </c>
      <c r="P4751" t="s">
        <v>29</v>
      </c>
      <c r="Q4751">
        <v>39</v>
      </c>
      <c r="R4751">
        <v>-77.487399999999994</v>
      </c>
    </row>
    <row r="4752" spans="1:18" x14ac:dyDescent="0.2">
      <c r="A4752" t="s">
        <v>270</v>
      </c>
      <c r="B4752" t="s">
        <v>440</v>
      </c>
      <c r="C4752">
        <v>1</v>
      </c>
      <c r="D4752" s="1">
        <v>44096.365868055553</v>
      </c>
      <c r="E4752" t="s">
        <v>14833</v>
      </c>
      <c r="F4752" t="s">
        <v>273</v>
      </c>
      <c r="G4752" t="s">
        <v>14812</v>
      </c>
      <c r="H4752" t="s">
        <v>275</v>
      </c>
      <c r="I4752" t="s">
        <v>29</v>
      </c>
      <c r="J4752">
        <v>1</v>
      </c>
      <c r="K4752">
        <f>1-844-290-1224</f>
        <v>-2357</v>
      </c>
      <c r="L4752" t="s">
        <v>14834</v>
      </c>
      <c r="M4752" t="s">
        <v>14835</v>
      </c>
      <c r="N4752" t="s">
        <v>278</v>
      </c>
      <c r="O4752" t="s">
        <v>28</v>
      </c>
      <c r="P4752" t="s">
        <v>29</v>
      </c>
      <c r="Q4752">
        <v>39</v>
      </c>
      <c r="R4752">
        <v>-77.487399999999994</v>
      </c>
    </row>
    <row r="4753" spans="1:18" x14ac:dyDescent="0.2">
      <c r="A4753" t="s">
        <v>270</v>
      </c>
      <c r="B4753" t="s">
        <v>440</v>
      </c>
      <c r="C4753">
        <v>1</v>
      </c>
      <c r="D4753" s="1">
        <v>44067.446620370371</v>
      </c>
      <c r="E4753" t="s">
        <v>14836</v>
      </c>
      <c r="F4753" t="s">
        <v>273</v>
      </c>
      <c r="G4753" t="s">
        <v>14812</v>
      </c>
      <c r="H4753" t="s">
        <v>275</v>
      </c>
      <c r="I4753" t="s">
        <v>29</v>
      </c>
      <c r="J4753">
        <v>1</v>
      </c>
      <c r="K4753">
        <f>1-888-529-6205</f>
        <v>-7621</v>
      </c>
      <c r="L4753" t="s">
        <v>14837</v>
      </c>
      <c r="M4753" t="s">
        <v>14838</v>
      </c>
      <c r="N4753" t="s">
        <v>278</v>
      </c>
      <c r="O4753" t="s">
        <v>134</v>
      </c>
      <c r="P4753" t="s">
        <v>29</v>
      </c>
      <c r="Q4753">
        <v>39</v>
      </c>
      <c r="R4753">
        <v>-77.487399999999994</v>
      </c>
    </row>
    <row r="4754" spans="1:18" x14ac:dyDescent="0.2">
      <c r="A4754" t="s">
        <v>270</v>
      </c>
      <c r="B4754" t="s">
        <v>440</v>
      </c>
      <c r="C4754">
        <v>1</v>
      </c>
      <c r="D4754" s="1">
        <v>44053.285844907405</v>
      </c>
      <c r="E4754" t="s">
        <v>14839</v>
      </c>
      <c r="F4754" t="s">
        <v>273</v>
      </c>
      <c r="G4754" t="s">
        <v>14812</v>
      </c>
      <c r="H4754" t="s">
        <v>275</v>
      </c>
      <c r="I4754" t="s">
        <v>29</v>
      </c>
      <c r="J4754">
        <v>1</v>
      </c>
      <c r="K4754">
        <f>1-866-788-5605</f>
        <v>-7258</v>
      </c>
      <c r="L4754" t="s">
        <v>14840</v>
      </c>
      <c r="M4754" t="s">
        <v>14841</v>
      </c>
      <c r="N4754" t="s">
        <v>278</v>
      </c>
      <c r="O4754" t="s">
        <v>134</v>
      </c>
      <c r="P4754" t="s">
        <v>29</v>
      </c>
      <c r="Q4754">
        <v>39</v>
      </c>
      <c r="R4754">
        <v>-77.487399999999994</v>
      </c>
    </row>
    <row r="4755" spans="1:18" x14ac:dyDescent="0.2">
      <c r="A4755" t="s">
        <v>270</v>
      </c>
      <c r="B4755" t="s">
        <v>440</v>
      </c>
      <c r="C4755">
        <v>1</v>
      </c>
      <c r="D4755" s="1">
        <v>44103.839085648149</v>
      </c>
      <c r="E4755" t="s">
        <v>14842</v>
      </c>
      <c r="F4755" t="s">
        <v>273</v>
      </c>
      <c r="G4755" t="s">
        <v>14843</v>
      </c>
      <c r="H4755" t="s">
        <v>275</v>
      </c>
      <c r="I4755" t="s">
        <v>29</v>
      </c>
      <c r="J4755">
        <v>1</v>
      </c>
      <c r="K4755">
        <f>1-888-211-8144</f>
        <v>-9242</v>
      </c>
      <c r="L4755" t="s">
        <v>14844</v>
      </c>
      <c r="M4755" t="s">
        <v>14845</v>
      </c>
      <c r="N4755" t="s">
        <v>278</v>
      </c>
      <c r="O4755" t="s">
        <v>28</v>
      </c>
      <c r="P4755" t="s">
        <v>29</v>
      </c>
      <c r="Q4755">
        <v>39</v>
      </c>
      <c r="R4755">
        <v>-77.487399999999994</v>
      </c>
    </row>
    <row r="4756" spans="1:18" x14ac:dyDescent="0.2">
      <c r="A4756" t="s">
        <v>270</v>
      </c>
      <c r="B4756" t="s">
        <v>440</v>
      </c>
      <c r="C4756">
        <v>1</v>
      </c>
      <c r="D4756" s="1">
        <v>44098.853564814817</v>
      </c>
      <c r="E4756" t="s">
        <v>9482</v>
      </c>
      <c r="F4756" t="s">
        <v>273</v>
      </c>
      <c r="G4756" t="s">
        <v>14843</v>
      </c>
      <c r="H4756" t="s">
        <v>275</v>
      </c>
      <c r="I4756" t="s">
        <v>29</v>
      </c>
      <c r="J4756">
        <v>1</v>
      </c>
      <c r="K4756">
        <f>1-888-254-1267</f>
        <v>-2408</v>
      </c>
      <c r="L4756" t="s">
        <v>14846</v>
      </c>
      <c r="M4756" t="s">
        <v>14847</v>
      </c>
      <c r="N4756" t="s">
        <v>278</v>
      </c>
      <c r="O4756" t="s">
        <v>28</v>
      </c>
      <c r="P4756" t="s">
        <v>29</v>
      </c>
      <c r="Q4756">
        <v>39</v>
      </c>
      <c r="R4756">
        <v>-77.487399999999994</v>
      </c>
    </row>
    <row r="4757" spans="1:18" x14ac:dyDescent="0.2">
      <c r="A4757" t="s">
        <v>270</v>
      </c>
      <c r="B4757" t="s">
        <v>440</v>
      </c>
      <c r="C4757">
        <v>1</v>
      </c>
      <c r="D4757" s="1">
        <v>44096.369791666664</v>
      </c>
      <c r="E4757" t="s">
        <v>14848</v>
      </c>
      <c r="F4757" t="s">
        <v>273</v>
      </c>
      <c r="G4757" t="s">
        <v>14843</v>
      </c>
      <c r="H4757" t="s">
        <v>275</v>
      </c>
      <c r="I4757" t="s">
        <v>29</v>
      </c>
      <c r="J4757">
        <v>1</v>
      </c>
      <c r="K4757">
        <f>1-844-316-9077</f>
        <v>-10236</v>
      </c>
      <c r="L4757" t="s">
        <v>14849</v>
      </c>
      <c r="M4757" t="s">
        <v>14850</v>
      </c>
      <c r="N4757" t="s">
        <v>278</v>
      </c>
      <c r="O4757" t="s">
        <v>28</v>
      </c>
      <c r="P4757" t="s">
        <v>29</v>
      </c>
      <c r="Q4757">
        <v>39</v>
      </c>
      <c r="R4757">
        <v>-77.487399999999994</v>
      </c>
    </row>
    <row r="4758" spans="1:18" x14ac:dyDescent="0.2">
      <c r="A4758" t="s">
        <v>270</v>
      </c>
      <c r="B4758" t="s">
        <v>440</v>
      </c>
      <c r="C4758">
        <v>1</v>
      </c>
      <c r="D4758" s="1">
        <v>44096.36923611111</v>
      </c>
      <c r="E4758" t="s">
        <v>14851</v>
      </c>
      <c r="F4758" t="s">
        <v>273</v>
      </c>
      <c r="G4758" t="s">
        <v>14843</v>
      </c>
      <c r="H4758" t="s">
        <v>275</v>
      </c>
      <c r="I4758" t="s">
        <v>29</v>
      </c>
      <c r="J4758">
        <v>1</v>
      </c>
      <c r="K4758">
        <f>1-844-312-611</f>
        <v>-1766</v>
      </c>
      <c r="L4758" t="s">
        <v>14852</v>
      </c>
      <c r="M4758" t="s">
        <v>14853</v>
      </c>
      <c r="N4758" t="s">
        <v>278</v>
      </c>
      <c r="O4758" t="s">
        <v>28</v>
      </c>
      <c r="P4758" t="s">
        <v>29</v>
      </c>
      <c r="Q4758">
        <v>39</v>
      </c>
      <c r="R4758">
        <v>-77.487399999999994</v>
      </c>
    </row>
    <row r="4759" spans="1:18" x14ac:dyDescent="0.2">
      <c r="A4759" t="s">
        <v>270</v>
      </c>
      <c r="B4759" t="s">
        <v>440</v>
      </c>
      <c r="C4759">
        <v>1</v>
      </c>
      <c r="D4759" s="1">
        <v>44096.365844907406</v>
      </c>
      <c r="E4759" t="s">
        <v>14854</v>
      </c>
      <c r="F4759" t="s">
        <v>273</v>
      </c>
      <c r="G4759" t="s">
        <v>14843</v>
      </c>
      <c r="H4759" t="s">
        <v>275</v>
      </c>
      <c r="I4759" t="s">
        <v>29</v>
      </c>
      <c r="J4759">
        <v>1</v>
      </c>
      <c r="K4759">
        <f>1-844-290-1224</f>
        <v>-2357</v>
      </c>
      <c r="L4759" t="s">
        <v>14855</v>
      </c>
      <c r="M4759" t="s">
        <v>14856</v>
      </c>
      <c r="N4759" t="s">
        <v>278</v>
      </c>
      <c r="O4759" t="s">
        <v>28</v>
      </c>
      <c r="P4759" t="s">
        <v>29</v>
      </c>
      <c r="Q4759">
        <v>39</v>
      </c>
      <c r="R4759">
        <v>-77.487399999999994</v>
      </c>
    </row>
    <row r="4760" spans="1:18" x14ac:dyDescent="0.2">
      <c r="A4760" t="s">
        <v>270</v>
      </c>
      <c r="B4760" t="s">
        <v>440</v>
      </c>
      <c r="C4760">
        <v>1</v>
      </c>
      <c r="D4760" s="1">
        <v>44088.940636574072</v>
      </c>
      <c r="E4760" t="s">
        <v>14857</v>
      </c>
      <c r="F4760" t="s">
        <v>273</v>
      </c>
      <c r="G4760" t="s">
        <v>14843</v>
      </c>
      <c r="H4760" t="s">
        <v>275</v>
      </c>
      <c r="I4760" t="s">
        <v>29</v>
      </c>
      <c r="J4760">
        <v>1</v>
      </c>
      <c r="K4760">
        <f>1-844-210-4337</f>
        <v>-5390</v>
      </c>
      <c r="L4760" t="s">
        <v>14858</v>
      </c>
      <c r="M4760" t="s">
        <v>14859</v>
      </c>
      <c r="N4760" t="s">
        <v>278</v>
      </c>
      <c r="O4760" t="s">
        <v>28</v>
      </c>
      <c r="P4760" t="s">
        <v>29</v>
      </c>
      <c r="Q4760">
        <v>39</v>
      </c>
      <c r="R4760">
        <v>-77.487399999999994</v>
      </c>
    </row>
    <row r="4761" spans="1:18" x14ac:dyDescent="0.2">
      <c r="A4761" t="s">
        <v>270</v>
      </c>
      <c r="B4761" t="s">
        <v>440</v>
      </c>
      <c r="C4761">
        <v>1</v>
      </c>
      <c r="D4761" s="1">
        <v>44088.77511574074</v>
      </c>
      <c r="E4761" t="s">
        <v>14860</v>
      </c>
      <c r="F4761" t="s">
        <v>273</v>
      </c>
      <c r="G4761" t="s">
        <v>14843</v>
      </c>
      <c r="H4761" t="s">
        <v>275</v>
      </c>
      <c r="I4761" t="s">
        <v>29</v>
      </c>
      <c r="J4761">
        <v>1</v>
      </c>
      <c r="K4761">
        <f>1-844-212-7353</f>
        <v>-8408</v>
      </c>
      <c r="L4761" t="s">
        <v>14861</v>
      </c>
      <c r="M4761" t="s">
        <v>14862</v>
      </c>
      <c r="N4761" t="s">
        <v>278</v>
      </c>
      <c r="O4761" t="s">
        <v>28</v>
      </c>
      <c r="P4761" t="s">
        <v>29</v>
      </c>
      <c r="Q4761">
        <v>39</v>
      </c>
      <c r="R4761">
        <v>-77.487399999999994</v>
      </c>
    </row>
    <row r="4762" spans="1:18" x14ac:dyDescent="0.2">
      <c r="A4762" t="s">
        <v>270</v>
      </c>
      <c r="B4762" t="s">
        <v>440</v>
      </c>
      <c r="C4762">
        <v>1</v>
      </c>
      <c r="D4762" s="1">
        <v>44084.782060185185</v>
      </c>
      <c r="E4762" t="s">
        <v>14863</v>
      </c>
      <c r="F4762" t="s">
        <v>273</v>
      </c>
      <c r="G4762" t="s">
        <v>14843</v>
      </c>
      <c r="H4762" t="s">
        <v>275</v>
      </c>
      <c r="I4762" t="s">
        <v>29</v>
      </c>
      <c r="J4762">
        <v>1</v>
      </c>
      <c r="K4762">
        <f>1-888-608-5109</f>
        <v>-6604</v>
      </c>
      <c r="L4762" t="s">
        <v>14864</v>
      </c>
      <c r="M4762" t="s">
        <v>14865</v>
      </c>
      <c r="N4762" t="s">
        <v>278</v>
      </c>
      <c r="O4762" t="s">
        <v>28</v>
      </c>
      <c r="P4762" t="s">
        <v>29</v>
      </c>
      <c r="Q4762">
        <v>39</v>
      </c>
      <c r="R4762">
        <v>-77.487399999999994</v>
      </c>
    </row>
    <row r="4763" spans="1:18" x14ac:dyDescent="0.2">
      <c r="A4763" t="s">
        <v>270</v>
      </c>
      <c r="B4763" t="s">
        <v>440</v>
      </c>
      <c r="C4763">
        <v>1</v>
      </c>
      <c r="D4763" s="1">
        <v>44083.918124999997</v>
      </c>
      <c r="E4763" t="s">
        <v>14866</v>
      </c>
      <c r="F4763" t="s">
        <v>273</v>
      </c>
      <c r="G4763" t="s">
        <v>14843</v>
      </c>
      <c r="H4763" t="s">
        <v>275</v>
      </c>
      <c r="I4763" t="s">
        <v>29</v>
      </c>
      <c r="J4763">
        <v>1</v>
      </c>
      <c r="K4763">
        <f>1-888-585-4129</f>
        <v>-5601</v>
      </c>
      <c r="L4763" t="s">
        <v>14867</v>
      </c>
      <c r="M4763" t="s">
        <v>14868</v>
      </c>
      <c r="N4763" t="s">
        <v>278</v>
      </c>
      <c r="O4763" t="s">
        <v>28</v>
      </c>
      <c r="P4763" t="s">
        <v>29</v>
      </c>
      <c r="Q4763">
        <v>39</v>
      </c>
      <c r="R4763">
        <v>-77.487399999999994</v>
      </c>
    </row>
    <row r="4764" spans="1:18" x14ac:dyDescent="0.2">
      <c r="A4764" t="s">
        <v>270</v>
      </c>
      <c r="B4764" t="s">
        <v>440</v>
      </c>
      <c r="C4764">
        <v>1</v>
      </c>
      <c r="D4764" s="1">
        <v>44083.829930555556</v>
      </c>
      <c r="E4764" t="s">
        <v>14869</v>
      </c>
      <c r="F4764" t="s">
        <v>273</v>
      </c>
      <c r="G4764" t="s">
        <v>14843</v>
      </c>
      <c r="H4764" t="s">
        <v>275</v>
      </c>
      <c r="I4764" t="s">
        <v>29</v>
      </c>
      <c r="J4764">
        <v>1</v>
      </c>
      <c r="K4764">
        <f>1-888-585-6916</f>
        <v>-8388</v>
      </c>
      <c r="L4764" t="s">
        <v>14870</v>
      </c>
      <c r="M4764" t="s">
        <v>14871</v>
      </c>
      <c r="N4764" t="s">
        <v>278</v>
      </c>
      <c r="O4764" t="s">
        <v>28</v>
      </c>
      <c r="P4764" t="s">
        <v>29</v>
      </c>
      <c r="Q4764">
        <v>39</v>
      </c>
      <c r="R4764">
        <v>-77.487399999999994</v>
      </c>
    </row>
    <row r="4765" spans="1:18" x14ac:dyDescent="0.2">
      <c r="A4765" t="s">
        <v>270</v>
      </c>
      <c r="B4765" t="s">
        <v>440</v>
      </c>
      <c r="C4765">
        <v>1</v>
      </c>
      <c r="D4765" s="1">
        <v>44083.801296296297</v>
      </c>
      <c r="E4765" t="s">
        <v>14872</v>
      </c>
      <c r="F4765" t="s">
        <v>273</v>
      </c>
      <c r="G4765" t="s">
        <v>14843</v>
      </c>
      <c r="H4765" t="s">
        <v>275</v>
      </c>
      <c r="I4765" t="s">
        <v>29</v>
      </c>
      <c r="J4765">
        <v>1</v>
      </c>
      <c r="K4765">
        <f>1-888-599-5036</f>
        <v>-6522</v>
      </c>
      <c r="L4765" t="s">
        <v>14873</v>
      </c>
      <c r="M4765" t="s">
        <v>14874</v>
      </c>
      <c r="N4765" t="s">
        <v>278</v>
      </c>
      <c r="O4765" t="s">
        <v>28</v>
      </c>
      <c r="P4765" t="s">
        <v>29</v>
      </c>
      <c r="Q4765">
        <v>39</v>
      </c>
      <c r="R4765">
        <v>-77.487399999999994</v>
      </c>
    </row>
    <row r="4766" spans="1:18" x14ac:dyDescent="0.2">
      <c r="A4766" t="s">
        <v>270</v>
      </c>
      <c r="B4766" t="s">
        <v>440</v>
      </c>
      <c r="C4766">
        <v>1</v>
      </c>
      <c r="D4766" s="1">
        <v>44078.857418981483</v>
      </c>
      <c r="E4766" t="s">
        <v>14875</v>
      </c>
      <c r="F4766" t="s">
        <v>273</v>
      </c>
      <c r="G4766" t="s">
        <v>14843</v>
      </c>
      <c r="H4766" t="s">
        <v>275</v>
      </c>
      <c r="I4766" t="s">
        <v>29</v>
      </c>
      <c r="J4766">
        <v>1</v>
      </c>
      <c r="K4766">
        <f>1-888-530-1472</f>
        <v>-2889</v>
      </c>
      <c r="L4766" t="s">
        <v>14876</v>
      </c>
      <c r="M4766" t="s">
        <v>14877</v>
      </c>
      <c r="N4766" t="s">
        <v>278</v>
      </c>
      <c r="O4766" t="s">
        <v>134</v>
      </c>
      <c r="P4766" t="s">
        <v>29</v>
      </c>
      <c r="Q4766">
        <v>39</v>
      </c>
      <c r="R4766">
        <v>-77.487399999999994</v>
      </c>
    </row>
    <row r="4767" spans="1:18" x14ac:dyDescent="0.2">
      <c r="A4767" t="s">
        <v>270</v>
      </c>
      <c r="B4767" t="s">
        <v>440</v>
      </c>
      <c r="C4767">
        <v>1</v>
      </c>
      <c r="D4767" s="1">
        <v>44078.850358796299</v>
      </c>
      <c r="E4767" t="s">
        <v>14878</v>
      </c>
      <c r="F4767" t="s">
        <v>273</v>
      </c>
      <c r="G4767" t="s">
        <v>14843</v>
      </c>
      <c r="H4767" t="s">
        <v>275</v>
      </c>
      <c r="I4767" t="s">
        <v>29</v>
      </c>
      <c r="J4767">
        <v>1</v>
      </c>
      <c r="K4767">
        <f>1-866-759-9790</f>
        <v>-11414</v>
      </c>
      <c r="L4767" t="s">
        <v>14879</v>
      </c>
      <c r="M4767" t="s">
        <v>14880</v>
      </c>
      <c r="N4767" t="s">
        <v>278</v>
      </c>
      <c r="O4767" t="s">
        <v>134</v>
      </c>
      <c r="P4767" t="s">
        <v>29</v>
      </c>
      <c r="Q4767">
        <v>39</v>
      </c>
      <c r="R4767">
        <v>-77.487399999999994</v>
      </c>
    </row>
    <row r="4768" spans="1:18" x14ac:dyDescent="0.2">
      <c r="A4768" t="s">
        <v>270</v>
      </c>
      <c r="B4768" t="s">
        <v>440</v>
      </c>
      <c r="C4768">
        <v>1</v>
      </c>
      <c r="D4768" s="1">
        <v>44078.849907407406</v>
      </c>
      <c r="E4768" t="s">
        <v>14881</v>
      </c>
      <c r="F4768" t="s">
        <v>273</v>
      </c>
      <c r="G4768" t="s">
        <v>14843</v>
      </c>
      <c r="H4768" t="s">
        <v>275</v>
      </c>
      <c r="I4768" t="s">
        <v>29</v>
      </c>
      <c r="J4768">
        <v>1</v>
      </c>
      <c r="K4768">
        <f>1-866-640-3439</f>
        <v>-4944</v>
      </c>
      <c r="L4768" t="s">
        <v>14882</v>
      </c>
      <c r="M4768" t="s">
        <v>14883</v>
      </c>
      <c r="N4768" t="s">
        <v>278</v>
      </c>
      <c r="O4768" t="s">
        <v>134</v>
      </c>
      <c r="P4768" t="s">
        <v>29</v>
      </c>
      <c r="Q4768">
        <v>39</v>
      </c>
      <c r="R4768">
        <v>-77.487399999999994</v>
      </c>
    </row>
    <row r="4769" spans="1:18" x14ac:dyDescent="0.2">
      <c r="A4769" t="s">
        <v>270</v>
      </c>
      <c r="B4769" t="s">
        <v>440</v>
      </c>
      <c r="C4769">
        <v>1</v>
      </c>
      <c r="D4769" s="1">
        <v>44073.93986111111</v>
      </c>
      <c r="E4769" t="s">
        <v>14884</v>
      </c>
      <c r="F4769" t="s">
        <v>273</v>
      </c>
      <c r="G4769" t="s">
        <v>14843</v>
      </c>
      <c r="H4769" t="s">
        <v>275</v>
      </c>
      <c r="I4769" t="s">
        <v>29</v>
      </c>
      <c r="J4769">
        <v>1</v>
      </c>
      <c r="K4769">
        <f>1-888-383-551</f>
        <v>-1821</v>
      </c>
      <c r="L4769" t="s">
        <v>14885</v>
      </c>
      <c r="M4769" t="s">
        <v>14886</v>
      </c>
      <c r="N4769" t="s">
        <v>278</v>
      </c>
      <c r="O4769" t="s">
        <v>134</v>
      </c>
      <c r="P4769" t="s">
        <v>29</v>
      </c>
      <c r="Q4769">
        <v>39</v>
      </c>
      <c r="R4769">
        <v>-77.487399999999994</v>
      </c>
    </row>
    <row r="4770" spans="1:18" x14ac:dyDescent="0.2">
      <c r="A4770" t="s">
        <v>270</v>
      </c>
      <c r="B4770" t="s">
        <v>440</v>
      </c>
      <c r="C4770">
        <v>1</v>
      </c>
      <c r="D4770" s="1">
        <v>44073.939282407409</v>
      </c>
      <c r="E4770" t="s">
        <v>14887</v>
      </c>
      <c r="F4770" t="s">
        <v>273</v>
      </c>
      <c r="G4770" t="s">
        <v>14843</v>
      </c>
      <c r="H4770" t="s">
        <v>275</v>
      </c>
      <c r="I4770" t="s">
        <v>29</v>
      </c>
      <c r="J4770">
        <v>1</v>
      </c>
      <c r="K4770">
        <f>1-888-521-2485</f>
        <v>-3893</v>
      </c>
      <c r="L4770" t="s">
        <v>14888</v>
      </c>
      <c r="M4770" t="s">
        <v>14889</v>
      </c>
      <c r="N4770" t="s">
        <v>278</v>
      </c>
      <c r="O4770" t="s">
        <v>134</v>
      </c>
      <c r="P4770" t="s">
        <v>29</v>
      </c>
      <c r="Q4770">
        <v>39</v>
      </c>
      <c r="R4770">
        <v>-77.487399999999994</v>
      </c>
    </row>
    <row r="4771" spans="1:18" x14ac:dyDescent="0.2">
      <c r="A4771" t="s">
        <v>270</v>
      </c>
      <c r="B4771" t="s">
        <v>440</v>
      </c>
      <c r="C4771">
        <v>1</v>
      </c>
      <c r="D4771" s="1">
        <v>44073.930474537039</v>
      </c>
      <c r="E4771" t="s">
        <v>14890</v>
      </c>
      <c r="F4771" t="s">
        <v>273</v>
      </c>
      <c r="G4771" t="s">
        <v>14843</v>
      </c>
      <c r="H4771" t="s">
        <v>275</v>
      </c>
      <c r="I4771" t="s">
        <v>29</v>
      </c>
      <c r="J4771">
        <v>1</v>
      </c>
      <c r="K4771">
        <f>1-888-530-1472</f>
        <v>-2889</v>
      </c>
      <c r="L4771" t="s">
        <v>14891</v>
      </c>
      <c r="M4771" t="s">
        <v>14892</v>
      </c>
      <c r="N4771" t="s">
        <v>278</v>
      </c>
      <c r="O4771" t="s">
        <v>134</v>
      </c>
      <c r="P4771" t="s">
        <v>29</v>
      </c>
      <c r="Q4771">
        <v>39</v>
      </c>
      <c r="R4771">
        <v>-77.487399999999994</v>
      </c>
    </row>
    <row r="4772" spans="1:18" x14ac:dyDescent="0.2">
      <c r="A4772" t="s">
        <v>270</v>
      </c>
      <c r="B4772" t="s">
        <v>440</v>
      </c>
      <c r="C4772">
        <v>1</v>
      </c>
      <c r="D4772" s="1">
        <v>44072.870011574072</v>
      </c>
      <c r="E4772" t="s">
        <v>14893</v>
      </c>
      <c r="F4772" t="s">
        <v>273</v>
      </c>
      <c r="G4772" t="s">
        <v>14843</v>
      </c>
      <c r="H4772" t="s">
        <v>275</v>
      </c>
      <c r="I4772" t="s">
        <v>29</v>
      </c>
      <c r="J4772">
        <v>1</v>
      </c>
      <c r="K4772">
        <f>1-888-662-8133</f>
        <v>-9682</v>
      </c>
      <c r="L4772" t="s">
        <v>14894</v>
      </c>
      <c r="M4772" t="s">
        <v>14895</v>
      </c>
      <c r="N4772" t="s">
        <v>278</v>
      </c>
      <c r="O4772" t="s">
        <v>134</v>
      </c>
      <c r="P4772" t="s">
        <v>29</v>
      </c>
      <c r="Q4772">
        <v>39</v>
      </c>
      <c r="R4772">
        <v>-77.487399999999994</v>
      </c>
    </row>
    <row r="4773" spans="1:18" x14ac:dyDescent="0.2">
      <c r="A4773" t="s">
        <v>270</v>
      </c>
      <c r="B4773" t="s">
        <v>440</v>
      </c>
      <c r="C4773">
        <v>1</v>
      </c>
      <c r="D4773" s="1">
        <v>44071.905486111114</v>
      </c>
      <c r="E4773" t="s">
        <v>14896</v>
      </c>
      <c r="F4773" t="s">
        <v>273</v>
      </c>
      <c r="G4773" t="s">
        <v>14843</v>
      </c>
      <c r="H4773" t="s">
        <v>275</v>
      </c>
      <c r="I4773" t="s">
        <v>29</v>
      </c>
      <c r="J4773">
        <v>1</v>
      </c>
      <c r="K4773">
        <f>1-888-803-850</f>
        <v>-2540</v>
      </c>
      <c r="L4773" t="s">
        <v>14897</v>
      </c>
      <c r="M4773" t="s">
        <v>14898</v>
      </c>
      <c r="N4773" t="s">
        <v>278</v>
      </c>
      <c r="O4773" t="s">
        <v>134</v>
      </c>
      <c r="P4773" t="s">
        <v>29</v>
      </c>
      <c r="Q4773">
        <v>39</v>
      </c>
      <c r="R4773">
        <v>-77.487399999999994</v>
      </c>
    </row>
    <row r="4774" spans="1:18" x14ac:dyDescent="0.2">
      <c r="A4774" t="s">
        <v>270</v>
      </c>
      <c r="B4774" t="s">
        <v>440</v>
      </c>
      <c r="C4774">
        <v>1</v>
      </c>
      <c r="D4774" s="1">
        <v>44071.418680555558</v>
      </c>
      <c r="E4774" t="s">
        <v>14899</v>
      </c>
      <c r="F4774" t="s">
        <v>273</v>
      </c>
      <c r="G4774" t="s">
        <v>14843</v>
      </c>
      <c r="H4774" t="s">
        <v>275</v>
      </c>
      <c r="I4774" t="s">
        <v>29</v>
      </c>
      <c r="J4774">
        <v>1</v>
      </c>
      <c r="K4774">
        <f>1-888-708-1143</f>
        <v>-2738</v>
      </c>
      <c r="L4774" t="s">
        <v>14900</v>
      </c>
      <c r="M4774" t="s">
        <v>14901</v>
      </c>
      <c r="N4774" t="s">
        <v>278</v>
      </c>
      <c r="O4774" t="s">
        <v>134</v>
      </c>
      <c r="P4774" t="s">
        <v>29</v>
      </c>
      <c r="Q4774">
        <v>39</v>
      </c>
      <c r="R4774">
        <v>-77.487399999999994</v>
      </c>
    </row>
    <row r="4775" spans="1:18" x14ac:dyDescent="0.2">
      <c r="A4775" t="s">
        <v>270</v>
      </c>
      <c r="B4775" t="s">
        <v>440</v>
      </c>
      <c r="C4775">
        <v>1</v>
      </c>
      <c r="D4775" s="1">
        <v>44070.582754629628</v>
      </c>
      <c r="E4775" t="s">
        <v>14902</v>
      </c>
      <c r="F4775" t="s">
        <v>273</v>
      </c>
      <c r="G4775" t="s">
        <v>14843</v>
      </c>
      <c r="H4775" t="s">
        <v>275</v>
      </c>
      <c r="I4775" t="s">
        <v>29</v>
      </c>
      <c r="J4775">
        <v>1</v>
      </c>
      <c r="K4775">
        <f>1-866-672-9693</f>
        <v>-11230</v>
      </c>
      <c r="L4775" t="s">
        <v>14903</v>
      </c>
      <c r="M4775" t="s">
        <v>14904</v>
      </c>
      <c r="N4775" t="s">
        <v>278</v>
      </c>
      <c r="O4775" t="s">
        <v>134</v>
      </c>
      <c r="P4775" t="s">
        <v>29</v>
      </c>
      <c r="Q4775">
        <v>39</v>
      </c>
      <c r="R4775">
        <v>-77.487399999999994</v>
      </c>
    </row>
    <row r="4776" spans="1:18" x14ac:dyDescent="0.2">
      <c r="A4776" t="s">
        <v>270</v>
      </c>
      <c r="B4776" t="s">
        <v>440</v>
      </c>
      <c r="C4776">
        <v>1</v>
      </c>
      <c r="D4776" s="1">
        <v>44070.582094907404</v>
      </c>
      <c r="E4776" t="s">
        <v>14905</v>
      </c>
      <c r="F4776" t="s">
        <v>273</v>
      </c>
      <c r="G4776" t="s">
        <v>14843</v>
      </c>
      <c r="H4776" t="s">
        <v>275</v>
      </c>
      <c r="I4776" t="s">
        <v>29</v>
      </c>
      <c r="J4776">
        <v>1</v>
      </c>
      <c r="K4776">
        <f>1-866-672-9693</f>
        <v>-11230</v>
      </c>
      <c r="L4776" t="s">
        <v>14906</v>
      </c>
      <c r="M4776" t="s">
        <v>14907</v>
      </c>
      <c r="N4776" t="s">
        <v>278</v>
      </c>
      <c r="O4776" t="s">
        <v>134</v>
      </c>
      <c r="P4776" t="s">
        <v>29</v>
      </c>
      <c r="Q4776">
        <v>39</v>
      </c>
      <c r="R4776">
        <v>-77.487399999999994</v>
      </c>
    </row>
    <row r="4777" spans="1:18" x14ac:dyDescent="0.2">
      <c r="A4777" t="s">
        <v>270</v>
      </c>
      <c r="B4777" t="s">
        <v>440</v>
      </c>
      <c r="C4777">
        <v>1</v>
      </c>
      <c r="D4777" s="1">
        <v>44068.193449074075</v>
      </c>
      <c r="E4777" t="s">
        <v>14908</v>
      </c>
      <c r="F4777" t="s">
        <v>273</v>
      </c>
      <c r="G4777" t="s">
        <v>14843</v>
      </c>
      <c r="H4777" t="s">
        <v>275</v>
      </c>
      <c r="I4777" t="s">
        <v>29</v>
      </c>
      <c r="J4777">
        <v>1</v>
      </c>
      <c r="K4777">
        <f>1-888-535-4744</f>
        <v>-6166</v>
      </c>
      <c r="L4777" t="s">
        <v>14909</v>
      </c>
      <c r="M4777" t="s">
        <v>14910</v>
      </c>
      <c r="N4777" t="s">
        <v>278</v>
      </c>
      <c r="O4777" t="s">
        <v>134</v>
      </c>
      <c r="P4777" t="s">
        <v>29</v>
      </c>
      <c r="Q4777">
        <v>39</v>
      </c>
      <c r="R4777">
        <v>-77.487399999999994</v>
      </c>
    </row>
    <row r="4778" spans="1:18" x14ac:dyDescent="0.2">
      <c r="A4778" t="s">
        <v>270</v>
      </c>
      <c r="B4778" t="s">
        <v>440</v>
      </c>
      <c r="C4778">
        <v>1</v>
      </c>
      <c r="D4778" s="1">
        <v>44068.05228009259</v>
      </c>
      <c r="E4778" t="s">
        <v>14911</v>
      </c>
      <c r="F4778" t="s">
        <v>273</v>
      </c>
      <c r="G4778" t="s">
        <v>14843</v>
      </c>
      <c r="H4778" t="s">
        <v>275</v>
      </c>
      <c r="I4778" t="s">
        <v>29</v>
      </c>
      <c r="J4778">
        <v>1</v>
      </c>
      <c r="K4778">
        <f>1-888-524-5804</f>
        <v>-7215</v>
      </c>
      <c r="L4778" t="s">
        <v>14912</v>
      </c>
      <c r="M4778" t="s">
        <v>14913</v>
      </c>
      <c r="N4778" t="s">
        <v>278</v>
      </c>
      <c r="O4778" t="s">
        <v>28</v>
      </c>
      <c r="P4778" t="s">
        <v>29</v>
      </c>
      <c r="Q4778">
        <v>39</v>
      </c>
      <c r="R4778">
        <v>-77.487399999999994</v>
      </c>
    </row>
    <row r="4779" spans="1:18" x14ac:dyDescent="0.2">
      <c r="A4779" t="s">
        <v>270</v>
      </c>
      <c r="B4779" t="s">
        <v>440</v>
      </c>
      <c r="C4779">
        <v>1</v>
      </c>
      <c r="D4779" s="1">
        <v>44068.033414351848</v>
      </c>
      <c r="E4779" t="s">
        <v>14914</v>
      </c>
      <c r="F4779" t="s">
        <v>273</v>
      </c>
      <c r="G4779" t="s">
        <v>14843</v>
      </c>
      <c r="H4779" t="s">
        <v>275</v>
      </c>
      <c r="I4779" t="s">
        <v>29</v>
      </c>
      <c r="J4779">
        <v>1</v>
      </c>
      <c r="K4779">
        <f>1-888-965-914</f>
        <v>-2766</v>
      </c>
      <c r="L4779" t="s">
        <v>14915</v>
      </c>
      <c r="M4779" t="s">
        <v>14916</v>
      </c>
      <c r="N4779" t="s">
        <v>278</v>
      </c>
      <c r="O4779" t="s">
        <v>28</v>
      </c>
      <c r="P4779" t="s">
        <v>29</v>
      </c>
      <c r="Q4779">
        <v>39</v>
      </c>
      <c r="R4779">
        <v>-77.487399999999994</v>
      </c>
    </row>
    <row r="4780" spans="1:18" x14ac:dyDescent="0.2">
      <c r="A4780" t="s">
        <v>270</v>
      </c>
      <c r="B4780" t="s">
        <v>440</v>
      </c>
      <c r="C4780">
        <v>1</v>
      </c>
      <c r="D4780" s="1">
        <v>44068.030023148145</v>
      </c>
      <c r="E4780" t="s">
        <v>14917</v>
      </c>
      <c r="F4780" t="s">
        <v>273</v>
      </c>
      <c r="G4780" t="s">
        <v>14843</v>
      </c>
      <c r="H4780" t="s">
        <v>275</v>
      </c>
      <c r="I4780" t="s">
        <v>29</v>
      </c>
      <c r="J4780">
        <v>1</v>
      </c>
      <c r="K4780">
        <f>1-888-965-777</f>
        <v>-2629</v>
      </c>
      <c r="L4780" t="s">
        <v>14918</v>
      </c>
      <c r="M4780" t="s">
        <v>14919</v>
      </c>
      <c r="N4780" t="s">
        <v>278</v>
      </c>
      <c r="O4780" t="s">
        <v>28</v>
      </c>
      <c r="P4780" t="s">
        <v>29</v>
      </c>
      <c r="Q4780">
        <v>39</v>
      </c>
      <c r="R4780">
        <v>-77.487399999999994</v>
      </c>
    </row>
    <row r="4781" spans="1:18" x14ac:dyDescent="0.2">
      <c r="A4781" t="s">
        <v>270</v>
      </c>
      <c r="B4781" t="s">
        <v>440</v>
      </c>
      <c r="C4781">
        <v>1</v>
      </c>
      <c r="D4781" s="1">
        <v>44068.028240740743</v>
      </c>
      <c r="E4781" t="s">
        <v>14920</v>
      </c>
      <c r="F4781" t="s">
        <v>273</v>
      </c>
      <c r="G4781" t="s">
        <v>14843</v>
      </c>
      <c r="H4781" t="s">
        <v>275</v>
      </c>
      <c r="I4781" t="s">
        <v>29</v>
      </c>
      <c r="J4781">
        <v>1</v>
      </c>
      <c r="K4781">
        <f>1-888-690-840</f>
        <v>-2417</v>
      </c>
      <c r="L4781" t="s">
        <v>14921</v>
      </c>
      <c r="M4781" t="s">
        <v>14922</v>
      </c>
      <c r="N4781" t="s">
        <v>278</v>
      </c>
      <c r="O4781" t="s">
        <v>28</v>
      </c>
      <c r="P4781" t="s">
        <v>29</v>
      </c>
      <c r="Q4781">
        <v>39</v>
      </c>
      <c r="R4781">
        <v>-77.487399999999994</v>
      </c>
    </row>
    <row r="4782" spans="1:18" x14ac:dyDescent="0.2">
      <c r="A4782" t="s">
        <v>270</v>
      </c>
      <c r="B4782" t="s">
        <v>440</v>
      </c>
      <c r="C4782">
        <v>1</v>
      </c>
      <c r="D4782" s="1">
        <v>44066.542233796295</v>
      </c>
      <c r="E4782" t="s">
        <v>14923</v>
      </c>
      <c r="F4782" t="s">
        <v>273</v>
      </c>
      <c r="G4782" t="s">
        <v>14843</v>
      </c>
      <c r="H4782" t="s">
        <v>275</v>
      </c>
      <c r="I4782" t="s">
        <v>29</v>
      </c>
      <c r="J4782">
        <v>1</v>
      </c>
      <c r="K4782">
        <f>1-888-531-9415</f>
        <v>-10833</v>
      </c>
      <c r="L4782" t="s">
        <v>14924</v>
      </c>
      <c r="M4782" t="s">
        <v>14925</v>
      </c>
      <c r="N4782" t="s">
        <v>278</v>
      </c>
      <c r="O4782" t="s">
        <v>134</v>
      </c>
      <c r="P4782" t="s">
        <v>29</v>
      </c>
      <c r="Q4782">
        <v>39</v>
      </c>
      <c r="R4782">
        <v>-77.487399999999994</v>
      </c>
    </row>
    <row r="4783" spans="1:18" x14ac:dyDescent="0.2">
      <c r="A4783" t="s">
        <v>270</v>
      </c>
      <c r="B4783" t="s">
        <v>440</v>
      </c>
      <c r="C4783">
        <v>1</v>
      </c>
      <c r="D4783" s="1">
        <v>44064.922627314816</v>
      </c>
      <c r="E4783" t="s">
        <v>14926</v>
      </c>
      <c r="F4783" t="s">
        <v>273</v>
      </c>
      <c r="G4783" t="s">
        <v>14843</v>
      </c>
      <c r="H4783" t="s">
        <v>275</v>
      </c>
      <c r="I4783" t="s">
        <v>29</v>
      </c>
      <c r="J4783">
        <v>1</v>
      </c>
      <c r="K4783">
        <f>1-888-417-4076</f>
        <v>-5380</v>
      </c>
      <c r="L4783" t="s">
        <v>14927</v>
      </c>
      <c r="M4783" t="s">
        <v>14928</v>
      </c>
      <c r="N4783" t="s">
        <v>278</v>
      </c>
      <c r="O4783" t="s">
        <v>134</v>
      </c>
      <c r="P4783" t="s">
        <v>29</v>
      </c>
      <c r="Q4783">
        <v>39</v>
      </c>
      <c r="R4783">
        <v>-77.487399999999994</v>
      </c>
    </row>
    <row r="4784" spans="1:18" x14ac:dyDescent="0.2">
      <c r="A4784" t="s">
        <v>270</v>
      </c>
      <c r="B4784" t="s">
        <v>440</v>
      </c>
      <c r="C4784">
        <v>1</v>
      </c>
      <c r="D4784" s="1">
        <v>44053.822696759256</v>
      </c>
      <c r="E4784" t="s">
        <v>14929</v>
      </c>
      <c r="F4784" t="s">
        <v>273</v>
      </c>
      <c r="G4784" t="s">
        <v>14843</v>
      </c>
      <c r="H4784" t="s">
        <v>275</v>
      </c>
      <c r="I4784" t="s">
        <v>29</v>
      </c>
      <c r="J4784">
        <v>1</v>
      </c>
      <c r="K4784">
        <f>1-888-538-1045</f>
        <v>-2470</v>
      </c>
      <c r="L4784" t="s">
        <v>14930</v>
      </c>
      <c r="M4784" t="s">
        <v>14931</v>
      </c>
      <c r="N4784" t="s">
        <v>278</v>
      </c>
      <c r="O4784" t="s">
        <v>134</v>
      </c>
      <c r="P4784" t="s">
        <v>29</v>
      </c>
      <c r="Q4784">
        <v>39</v>
      </c>
      <c r="R4784">
        <v>-77.487399999999994</v>
      </c>
    </row>
    <row r="4785" spans="1:18" x14ac:dyDescent="0.2">
      <c r="A4785" t="s">
        <v>270</v>
      </c>
      <c r="B4785" t="s">
        <v>440</v>
      </c>
      <c r="C4785">
        <v>1</v>
      </c>
      <c r="D4785" s="1">
        <v>44053.297175925924</v>
      </c>
      <c r="E4785" t="s">
        <v>14932</v>
      </c>
      <c r="F4785" t="s">
        <v>273</v>
      </c>
      <c r="G4785" t="s">
        <v>14843</v>
      </c>
      <c r="H4785" t="s">
        <v>275</v>
      </c>
      <c r="I4785" t="s">
        <v>29</v>
      </c>
      <c r="J4785">
        <v>1</v>
      </c>
      <c r="K4785">
        <f>1-866-754-7703</f>
        <v>-9322</v>
      </c>
      <c r="L4785" t="s">
        <v>14933</v>
      </c>
      <c r="M4785" t="s">
        <v>14934</v>
      </c>
      <c r="N4785" t="s">
        <v>278</v>
      </c>
      <c r="O4785" t="s">
        <v>134</v>
      </c>
      <c r="P4785" t="s">
        <v>29</v>
      </c>
      <c r="Q4785">
        <v>39</v>
      </c>
      <c r="R4785">
        <v>-77.487399999999994</v>
      </c>
    </row>
    <row r="4786" spans="1:18" x14ac:dyDescent="0.2">
      <c r="A4786" t="s">
        <v>270</v>
      </c>
      <c r="B4786" t="s">
        <v>440</v>
      </c>
      <c r="C4786">
        <v>1</v>
      </c>
      <c r="D4786" s="1">
        <v>44053.28601851852</v>
      </c>
      <c r="E4786" t="s">
        <v>14935</v>
      </c>
      <c r="F4786" t="s">
        <v>273</v>
      </c>
      <c r="G4786" t="s">
        <v>14843</v>
      </c>
      <c r="H4786" t="s">
        <v>275</v>
      </c>
      <c r="I4786" t="s">
        <v>29</v>
      </c>
      <c r="J4786">
        <v>1</v>
      </c>
      <c r="K4786">
        <f>1-866-672-9693</f>
        <v>-11230</v>
      </c>
      <c r="L4786" t="s">
        <v>14936</v>
      </c>
      <c r="M4786" t="s">
        <v>14937</v>
      </c>
      <c r="N4786" t="s">
        <v>278</v>
      </c>
      <c r="O4786" t="s">
        <v>134</v>
      </c>
      <c r="P4786" t="s">
        <v>29</v>
      </c>
      <c r="Q4786">
        <v>39</v>
      </c>
      <c r="R4786">
        <v>-77.487399999999994</v>
      </c>
    </row>
    <row r="4787" spans="1:18" x14ac:dyDescent="0.2">
      <c r="A4787" t="s">
        <v>270</v>
      </c>
      <c r="B4787" t="s">
        <v>4321</v>
      </c>
      <c r="C4787">
        <v>1</v>
      </c>
      <c r="D4787" s="1">
        <v>44078.850891203707</v>
      </c>
      <c r="E4787" t="s">
        <v>14938</v>
      </c>
      <c r="F4787" t="s">
        <v>273</v>
      </c>
      <c r="G4787" t="s">
        <v>14939</v>
      </c>
      <c r="H4787" t="s">
        <v>275</v>
      </c>
      <c r="I4787" t="s">
        <v>29</v>
      </c>
      <c r="J4787">
        <v>1</v>
      </c>
      <c r="K4787">
        <f>1-866-517-1982</f>
        <v>-3364</v>
      </c>
      <c r="L4787" t="s">
        <v>14940</v>
      </c>
      <c r="M4787" t="s">
        <v>14941</v>
      </c>
      <c r="N4787" t="s">
        <v>278</v>
      </c>
      <c r="O4787" t="s">
        <v>134</v>
      </c>
      <c r="P4787" t="s">
        <v>29</v>
      </c>
      <c r="Q4787">
        <v>42</v>
      </c>
      <c r="R4787">
        <v>-87.627799999999993</v>
      </c>
    </row>
    <row r="4788" spans="1:18" x14ac:dyDescent="0.2">
      <c r="A4788" t="s">
        <v>270</v>
      </c>
      <c r="B4788" t="s">
        <v>4321</v>
      </c>
      <c r="C4788">
        <v>1</v>
      </c>
      <c r="D4788" s="1">
        <v>44073.943055555559</v>
      </c>
      <c r="E4788" t="s">
        <v>14942</v>
      </c>
      <c r="F4788" t="s">
        <v>273</v>
      </c>
      <c r="G4788" t="s">
        <v>14939</v>
      </c>
      <c r="H4788" t="s">
        <v>275</v>
      </c>
      <c r="I4788" t="s">
        <v>29</v>
      </c>
      <c r="J4788">
        <v>1</v>
      </c>
      <c r="K4788">
        <f>1-888-655-2376</f>
        <v>-3918</v>
      </c>
      <c r="L4788" t="s">
        <v>14943</v>
      </c>
      <c r="M4788" t="s">
        <v>14944</v>
      </c>
      <c r="N4788" t="s">
        <v>278</v>
      </c>
      <c r="O4788" t="s">
        <v>134</v>
      </c>
      <c r="P4788" t="s">
        <v>29</v>
      </c>
      <c r="Q4788">
        <v>42</v>
      </c>
      <c r="R4788">
        <v>-87.627799999999993</v>
      </c>
    </row>
    <row r="4789" spans="1:18" x14ac:dyDescent="0.2">
      <c r="A4789" t="s">
        <v>270</v>
      </c>
      <c r="B4789" t="s">
        <v>4321</v>
      </c>
      <c r="C4789">
        <v>1</v>
      </c>
      <c r="D4789" s="1">
        <v>44073.928263888891</v>
      </c>
      <c r="E4789" t="s">
        <v>14945</v>
      </c>
      <c r="F4789" t="s">
        <v>273</v>
      </c>
      <c r="G4789" t="s">
        <v>14939</v>
      </c>
      <c r="H4789" t="s">
        <v>275</v>
      </c>
      <c r="I4789" t="s">
        <v>29</v>
      </c>
      <c r="J4789">
        <v>1</v>
      </c>
      <c r="K4789">
        <f>1-888-531-9415</f>
        <v>-10833</v>
      </c>
      <c r="L4789" t="s">
        <v>14946</v>
      </c>
      <c r="M4789" t="s">
        <v>14947</v>
      </c>
      <c r="N4789" t="s">
        <v>278</v>
      </c>
      <c r="O4789" t="s">
        <v>134</v>
      </c>
      <c r="P4789" t="s">
        <v>29</v>
      </c>
      <c r="Q4789">
        <v>42</v>
      </c>
      <c r="R4789">
        <v>-87.627799999999993</v>
      </c>
    </row>
    <row r="4790" spans="1:18" x14ac:dyDescent="0.2">
      <c r="A4790" t="s">
        <v>270</v>
      </c>
      <c r="B4790" t="s">
        <v>4321</v>
      </c>
      <c r="C4790">
        <v>1</v>
      </c>
      <c r="D4790" s="1">
        <v>44073.926793981482</v>
      </c>
      <c r="E4790" t="s">
        <v>14948</v>
      </c>
      <c r="F4790" t="s">
        <v>273</v>
      </c>
      <c r="G4790" t="s">
        <v>14939</v>
      </c>
      <c r="H4790" t="s">
        <v>275</v>
      </c>
      <c r="I4790" t="s">
        <v>29</v>
      </c>
      <c r="J4790">
        <v>1</v>
      </c>
      <c r="K4790">
        <f>1-888-526-3661</f>
        <v>-5074</v>
      </c>
      <c r="L4790" t="s">
        <v>14949</v>
      </c>
      <c r="M4790" t="s">
        <v>14950</v>
      </c>
      <c r="N4790" t="s">
        <v>278</v>
      </c>
      <c r="O4790" t="s">
        <v>134</v>
      </c>
      <c r="P4790" t="s">
        <v>29</v>
      </c>
      <c r="Q4790">
        <v>42</v>
      </c>
      <c r="R4790">
        <v>-87.627799999999993</v>
      </c>
    </row>
    <row r="4791" spans="1:18" x14ac:dyDescent="0.2">
      <c r="A4791" t="s">
        <v>270</v>
      </c>
      <c r="B4791" t="s">
        <v>4321</v>
      </c>
      <c r="C4791">
        <v>1</v>
      </c>
      <c r="D4791" s="1">
        <v>44073.062847222223</v>
      </c>
      <c r="E4791" t="s">
        <v>14951</v>
      </c>
      <c r="F4791" t="s">
        <v>273</v>
      </c>
      <c r="G4791" t="s">
        <v>14939</v>
      </c>
      <c r="H4791" t="s">
        <v>275</v>
      </c>
      <c r="I4791" t="s">
        <v>29</v>
      </c>
      <c r="J4791">
        <v>1</v>
      </c>
      <c r="K4791">
        <f>1-888-705-881</f>
        <v>-2473</v>
      </c>
      <c r="L4791" t="s">
        <v>14952</v>
      </c>
      <c r="M4791" t="s">
        <v>14953</v>
      </c>
      <c r="N4791" t="s">
        <v>278</v>
      </c>
      <c r="O4791" t="s">
        <v>134</v>
      </c>
      <c r="P4791" t="s">
        <v>29</v>
      </c>
      <c r="Q4791">
        <v>42</v>
      </c>
      <c r="R4791">
        <v>-87.627799999999993</v>
      </c>
    </row>
    <row r="4792" spans="1:18" x14ac:dyDescent="0.2">
      <c r="A4792" t="s">
        <v>270</v>
      </c>
      <c r="B4792" t="s">
        <v>4321</v>
      </c>
      <c r="C4792">
        <v>1</v>
      </c>
      <c r="D4792" s="1">
        <v>44071.974143518521</v>
      </c>
      <c r="E4792" t="s">
        <v>14954</v>
      </c>
      <c r="F4792" t="s">
        <v>273</v>
      </c>
      <c r="G4792" t="s">
        <v>14939</v>
      </c>
      <c r="H4792" t="s">
        <v>275</v>
      </c>
      <c r="I4792" t="s">
        <v>29</v>
      </c>
      <c r="J4792">
        <v>1</v>
      </c>
      <c r="K4792">
        <f>1-888-909-1270</f>
        <v>-3066</v>
      </c>
      <c r="L4792" t="s">
        <v>14955</v>
      </c>
      <c r="M4792" t="s">
        <v>14956</v>
      </c>
      <c r="N4792" t="s">
        <v>278</v>
      </c>
      <c r="O4792" t="s">
        <v>134</v>
      </c>
      <c r="P4792" t="s">
        <v>29</v>
      </c>
      <c r="Q4792">
        <v>42</v>
      </c>
      <c r="R4792">
        <v>-87.627799999999993</v>
      </c>
    </row>
    <row r="4793" spans="1:18" x14ac:dyDescent="0.2">
      <c r="A4793" t="s">
        <v>270</v>
      </c>
      <c r="B4793" t="s">
        <v>4321</v>
      </c>
      <c r="C4793">
        <v>1</v>
      </c>
      <c r="D4793" s="1">
        <v>44071.905069444445</v>
      </c>
      <c r="E4793" t="s">
        <v>14957</v>
      </c>
      <c r="F4793" t="s">
        <v>273</v>
      </c>
      <c r="G4793" t="s">
        <v>14939</v>
      </c>
      <c r="H4793" t="s">
        <v>275</v>
      </c>
      <c r="I4793" t="s">
        <v>29</v>
      </c>
      <c r="J4793">
        <v>1</v>
      </c>
      <c r="K4793">
        <f>1-888-803-850</f>
        <v>-2540</v>
      </c>
      <c r="L4793" t="s">
        <v>14958</v>
      </c>
      <c r="M4793" t="s">
        <v>14959</v>
      </c>
      <c r="N4793" t="s">
        <v>278</v>
      </c>
      <c r="O4793" t="s">
        <v>134</v>
      </c>
      <c r="P4793" t="s">
        <v>29</v>
      </c>
      <c r="Q4793">
        <v>42</v>
      </c>
      <c r="R4793">
        <v>-87.627799999999993</v>
      </c>
    </row>
    <row r="4794" spans="1:18" x14ac:dyDescent="0.2">
      <c r="A4794" t="s">
        <v>270</v>
      </c>
      <c r="B4794" t="s">
        <v>4321</v>
      </c>
      <c r="C4794">
        <v>1</v>
      </c>
      <c r="D4794" s="1">
        <v>44071.90353009259</v>
      </c>
      <c r="E4794" t="s">
        <v>14960</v>
      </c>
      <c r="F4794" t="s">
        <v>273</v>
      </c>
      <c r="G4794" t="s">
        <v>14939</v>
      </c>
      <c r="H4794" t="s">
        <v>275</v>
      </c>
      <c r="I4794" t="s">
        <v>29</v>
      </c>
      <c r="J4794">
        <v>1</v>
      </c>
      <c r="K4794">
        <f>1-888-909-1327</f>
        <v>-3123</v>
      </c>
      <c r="L4794" t="s">
        <v>14961</v>
      </c>
      <c r="M4794" t="s">
        <v>14962</v>
      </c>
      <c r="N4794" t="s">
        <v>278</v>
      </c>
      <c r="O4794" t="s">
        <v>134</v>
      </c>
      <c r="P4794" t="s">
        <v>29</v>
      </c>
      <c r="Q4794">
        <v>42</v>
      </c>
      <c r="R4794">
        <v>-87.627799999999993</v>
      </c>
    </row>
    <row r="4795" spans="1:18" x14ac:dyDescent="0.2">
      <c r="A4795" t="s">
        <v>270</v>
      </c>
      <c r="B4795" t="s">
        <v>4321</v>
      </c>
      <c r="C4795">
        <v>1</v>
      </c>
      <c r="D4795" s="1">
        <v>44071.902743055558</v>
      </c>
      <c r="E4795" t="s">
        <v>14963</v>
      </c>
      <c r="F4795" t="s">
        <v>273</v>
      </c>
      <c r="G4795" t="s">
        <v>14939</v>
      </c>
      <c r="H4795" t="s">
        <v>275</v>
      </c>
      <c r="I4795" t="s">
        <v>29</v>
      </c>
      <c r="J4795">
        <v>1</v>
      </c>
      <c r="K4795">
        <f>1-888-803-850</f>
        <v>-2540</v>
      </c>
      <c r="L4795" t="s">
        <v>14964</v>
      </c>
      <c r="M4795" t="s">
        <v>14965</v>
      </c>
      <c r="N4795" t="s">
        <v>278</v>
      </c>
      <c r="O4795" t="s">
        <v>134</v>
      </c>
      <c r="P4795" t="s">
        <v>29</v>
      </c>
      <c r="Q4795">
        <v>42</v>
      </c>
      <c r="R4795">
        <v>-87.627799999999993</v>
      </c>
    </row>
    <row r="4796" spans="1:18" x14ac:dyDescent="0.2">
      <c r="A4796" t="s">
        <v>270</v>
      </c>
      <c r="B4796" t="s">
        <v>4321</v>
      </c>
      <c r="C4796">
        <v>1</v>
      </c>
      <c r="D4796" s="1">
        <v>44071.417743055557</v>
      </c>
      <c r="E4796" t="s">
        <v>14966</v>
      </c>
      <c r="F4796" t="s">
        <v>273</v>
      </c>
      <c r="G4796" t="s">
        <v>14939</v>
      </c>
      <c r="H4796" t="s">
        <v>275</v>
      </c>
      <c r="I4796" t="s">
        <v>29</v>
      </c>
      <c r="J4796">
        <v>1</v>
      </c>
      <c r="K4796">
        <f>1-888-803-850</f>
        <v>-2540</v>
      </c>
      <c r="L4796" t="s">
        <v>14967</v>
      </c>
      <c r="M4796" t="s">
        <v>14968</v>
      </c>
      <c r="N4796" t="s">
        <v>278</v>
      </c>
      <c r="O4796" t="s">
        <v>134</v>
      </c>
      <c r="P4796" t="s">
        <v>29</v>
      </c>
      <c r="Q4796">
        <v>42</v>
      </c>
      <c r="R4796">
        <v>-87.627799999999993</v>
      </c>
    </row>
    <row r="4797" spans="1:18" x14ac:dyDescent="0.2">
      <c r="A4797" t="s">
        <v>270</v>
      </c>
      <c r="B4797" t="s">
        <v>4321</v>
      </c>
      <c r="C4797">
        <v>1</v>
      </c>
      <c r="D4797" s="1">
        <v>44071.416203703702</v>
      </c>
      <c r="E4797" t="s">
        <v>14969</v>
      </c>
      <c r="F4797" t="s">
        <v>273</v>
      </c>
      <c r="G4797" t="s">
        <v>14939</v>
      </c>
      <c r="H4797" t="s">
        <v>275</v>
      </c>
      <c r="I4797" t="s">
        <v>29</v>
      </c>
      <c r="J4797">
        <v>1</v>
      </c>
      <c r="K4797">
        <f>1-888-417-4090</f>
        <v>-5394</v>
      </c>
      <c r="L4797" t="s">
        <v>14970</v>
      </c>
      <c r="M4797" t="s">
        <v>14971</v>
      </c>
      <c r="N4797" t="s">
        <v>278</v>
      </c>
      <c r="O4797" t="s">
        <v>134</v>
      </c>
      <c r="P4797" t="s">
        <v>29</v>
      </c>
      <c r="Q4797">
        <v>42</v>
      </c>
      <c r="R4797">
        <v>-87.627799999999993</v>
      </c>
    </row>
    <row r="4798" spans="1:18" x14ac:dyDescent="0.2">
      <c r="A4798" t="s">
        <v>270</v>
      </c>
      <c r="B4798" t="s">
        <v>4321</v>
      </c>
      <c r="C4798">
        <v>1</v>
      </c>
      <c r="D4798" s="1">
        <v>44070.739872685182</v>
      </c>
      <c r="E4798" t="s">
        <v>14972</v>
      </c>
      <c r="F4798" t="s">
        <v>273</v>
      </c>
      <c r="G4798" t="s">
        <v>14939</v>
      </c>
      <c r="H4798" t="s">
        <v>275</v>
      </c>
      <c r="I4798" t="s">
        <v>29</v>
      </c>
      <c r="J4798">
        <v>1</v>
      </c>
      <c r="K4798">
        <f>1-888-655-2343</f>
        <v>-3885</v>
      </c>
      <c r="L4798" t="s">
        <v>14973</v>
      </c>
      <c r="M4798" t="s">
        <v>14974</v>
      </c>
      <c r="N4798" t="s">
        <v>278</v>
      </c>
      <c r="O4798" t="s">
        <v>134</v>
      </c>
      <c r="P4798" t="s">
        <v>29</v>
      </c>
      <c r="Q4798">
        <v>42</v>
      </c>
      <c r="R4798">
        <v>-87.627799999999993</v>
      </c>
    </row>
    <row r="4799" spans="1:18" x14ac:dyDescent="0.2">
      <c r="A4799" t="s">
        <v>270</v>
      </c>
      <c r="B4799" t="s">
        <v>4321</v>
      </c>
      <c r="C4799">
        <v>1</v>
      </c>
      <c r="D4799" s="1">
        <v>44070.603472222225</v>
      </c>
      <c r="E4799" t="s">
        <v>14975</v>
      </c>
      <c r="F4799" t="s">
        <v>273</v>
      </c>
      <c r="G4799" t="s">
        <v>14939</v>
      </c>
      <c r="H4799" t="s">
        <v>275</v>
      </c>
      <c r="I4799" t="s">
        <v>29</v>
      </c>
      <c r="J4799">
        <v>1</v>
      </c>
      <c r="K4799">
        <f>1-888-527-4189</f>
        <v>-5603</v>
      </c>
      <c r="L4799" t="s">
        <v>14976</v>
      </c>
      <c r="M4799" t="s">
        <v>14977</v>
      </c>
      <c r="N4799" t="s">
        <v>278</v>
      </c>
      <c r="O4799" t="s">
        <v>134</v>
      </c>
      <c r="P4799" t="s">
        <v>29</v>
      </c>
      <c r="Q4799">
        <v>42</v>
      </c>
      <c r="R4799">
        <v>-87.627799999999993</v>
      </c>
    </row>
    <row r="4800" spans="1:18" x14ac:dyDescent="0.2">
      <c r="A4800" t="s">
        <v>270</v>
      </c>
      <c r="B4800" t="s">
        <v>4321</v>
      </c>
      <c r="C4800">
        <v>1</v>
      </c>
      <c r="D4800" s="1">
        <v>44070.600393518522</v>
      </c>
      <c r="E4800" t="s">
        <v>14978</v>
      </c>
      <c r="F4800" t="s">
        <v>273</v>
      </c>
      <c r="G4800" t="s">
        <v>14939</v>
      </c>
      <c r="H4800" t="s">
        <v>275</v>
      </c>
      <c r="I4800" t="s">
        <v>29</v>
      </c>
      <c r="J4800">
        <v>1</v>
      </c>
      <c r="K4800">
        <f>1-888-527-4189</f>
        <v>-5603</v>
      </c>
      <c r="L4800" t="s">
        <v>14979</v>
      </c>
      <c r="M4800" t="s">
        <v>14980</v>
      </c>
      <c r="N4800" t="s">
        <v>278</v>
      </c>
      <c r="O4800" t="s">
        <v>134</v>
      </c>
      <c r="P4800" t="s">
        <v>29</v>
      </c>
      <c r="Q4800">
        <v>42</v>
      </c>
      <c r="R4800">
        <v>-87.627799999999993</v>
      </c>
    </row>
    <row r="4801" spans="1:18" x14ac:dyDescent="0.2">
      <c r="A4801" t="s">
        <v>270</v>
      </c>
      <c r="B4801" t="s">
        <v>4321</v>
      </c>
      <c r="C4801">
        <v>1</v>
      </c>
      <c r="D4801" s="1">
        <v>44068.195613425924</v>
      </c>
      <c r="E4801" t="s">
        <v>14981</v>
      </c>
      <c r="F4801" t="s">
        <v>273</v>
      </c>
      <c r="G4801" t="s">
        <v>14939</v>
      </c>
      <c r="H4801" t="s">
        <v>275</v>
      </c>
      <c r="I4801" t="s">
        <v>29</v>
      </c>
      <c r="J4801">
        <v>1</v>
      </c>
      <c r="K4801">
        <f>1-888-530-6238</f>
        <v>-7655</v>
      </c>
      <c r="L4801" t="s">
        <v>14982</v>
      </c>
      <c r="M4801" t="s">
        <v>14983</v>
      </c>
      <c r="N4801" t="s">
        <v>278</v>
      </c>
      <c r="O4801" t="s">
        <v>134</v>
      </c>
      <c r="P4801" t="s">
        <v>29</v>
      </c>
      <c r="Q4801">
        <v>42</v>
      </c>
      <c r="R4801">
        <v>-87.627799999999993</v>
      </c>
    </row>
    <row r="4802" spans="1:18" x14ac:dyDescent="0.2">
      <c r="A4802" t="s">
        <v>270</v>
      </c>
      <c r="B4802" t="s">
        <v>4321</v>
      </c>
      <c r="C4802">
        <v>1</v>
      </c>
      <c r="D4802" s="1">
        <v>44068.194328703707</v>
      </c>
      <c r="E4802" t="s">
        <v>14984</v>
      </c>
      <c r="F4802" t="s">
        <v>273</v>
      </c>
      <c r="G4802" t="s">
        <v>14939</v>
      </c>
      <c r="H4802" t="s">
        <v>275</v>
      </c>
      <c r="I4802" t="s">
        <v>29</v>
      </c>
      <c r="J4802">
        <v>1</v>
      </c>
      <c r="K4802">
        <f>1-888-530-6238</f>
        <v>-7655</v>
      </c>
      <c r="L4802" t="s">
        <v>14985</v>
      </c>
      <c r="M4802" t="s">
        <v>14986</v>
      </c>
      <c r="N4802" t="s">
        <v>278</v>
      </c>
      <c r="O4802" t="s">
        <v>134</v>
      </c>
      <c r="P4802" t="s">
        <v>29</v>
      </c>
      <c r="Q4802">
        <v>42</v>
      </c>
      <c r="R4802">
        <v>-87.627799999999993</v>
      </c>
    </row>
    <row r="4803" spans="1:18" x14ac:dyDescent="0.2">
      <c r="A4803" t="s">
        <v>270</v>
      </c>
      <c r="B4803" t="s">
        <v>4321</v>
      </c>
      <c r="C4803">
        <v>1</v>
      </c>
      <c r="D4803" s="1">
        <v>44053.300694444442</v>
      </c>
      <c r="E4803" t="s">
        <v>14987</v>
      </c>
      <c r="F4803" t="s">
        <v>273</v>
      </c>
      <c r="G4803" t="s">
        <v>14939</v>
      </c>
      <c r="H4803" t="s">
        <v>275</v>
      </c>
      <c r="I4803" t="s">
        <v>29</v>
      </c>
      <c r="J4803">
        <v>1</v>
      </c>
      <c r="K4803">
        <f>1-866-801-5549</f>
        <v>-7215</v>
      </c>
      <c r="L4803" t="s">
        <v>14988</v>
      </c>
      <c r="M4803" t="s">
        <v>14989</v>
      </c>
      <c r="N4803" t="s">
        <v>278</v>
      </c>
      <c r="O4803" t="s">
        <v>134</v>
      </c>
      <c r="P4803" t="s">
        <v>29</v>
      </c>
      <c r="Q4803">
        <v>42</v>
      </c>
      <c r="R4803">
        <v>-87.627799999999993</v>
      </c>
    </row>
    <row r="4804" spans="1:18" x14ac:dyDescent="0.2">
      <c r="A4804" t="s">
        <v>270</v>
      </c>
      <c r="B4804" t="s">
        <v>4321</v>
      </c>
      <c r="C4804">
        <v>1</v>
      </c>
      <c r="D4804" s="1">
        <v>44053.286458333336</v>
      </c>
      <c r="E4804" t="s">
        <v>14990</v>
      </c>
      <c r="F4804" t="s">
        <v>273</v>
      </c>
      <c r="G4804" t="s">
        <v>14939</v>
      </c>
      <c r="H4804" t="s">
        <v>275</v>
      </c>
      <c r="I4804" t="s">
        <v>29</v>
      </c>
      <c r="J4804">
        <v>1</v>
      </c>
      <c r="K4804">
        <f>1-888-524-5804</f>
        <v>-7215</v>
      </c>
      <c r="L4804" t="s">
        <v>14991</v>
      </c>
      <c r="M4804" t="s">
        <v>14992</v>
      </c>
      <c r="N4804" t="s">
        <v>278</v>
      </c>
      <c r="O4804" t="s">
        <v>134</v>
      </c>
      <c r="P4804" t="s">
        <v>29</v>
      </c>
      <c r="Q4804">
        <v>42</v>
      </c>
      <c r="R4804">
        <v>-87.627799999999993</v>
      </c>
    </row>
    <row r="4805" spans="1:18" x14ac:dyDescent="0.2">
      <c r="A4805" t="s">
        <v>270</v>
      </c>
      <c r="B4805" t="s">
        <v>271</v>
      </c>
      <c r="C4805">
        <v>1</v>
      </c>
      <c r="D4805" s="1">
        <v>44053.286805555559</v>
      </c>
      <c r="E4805" t="s">
        <v>14993</v>
      </c>
      <c r="F4805" t="s">
        <v>273</v>
      </c>
      <c r="G4805" t="s">
        <v>14994</v>
      </c>
      <c r="H4805" t="s">
        <v>275</v>
      </c>
      <c r="I4805" t="s">
        <v>29</v>
      </c>
      <c r="J4805">
        <v>1</v>
      </c>
      <c r="K4805">
        <f>1-866-740-1209</f>
        <v>-2814</v>
      </c>
      <c r="L4805" t="s">
        <v>14995</v>
      </c>
      <c r="M4805" t="s">
        <v>14996</v>
      </c>
      <c r="N4805" t="s">
        <v>278</v>
      </c>
      <c r="O4805" t="s">
        <v>134</v>
      </c>
      <c r="P4805" t="s">
        <v>29</v>
      </c>
      <c r="Q4805">
        <v>42</v>
      </c>
      <c r="R4805">
        <v>-93.620800000000003</v>
      </c>
    </row>
    <row r="4806" spans="1:18" x14ac:dyDescent="0.2">
      <c r="A4806" t="s">
        <v>270</v>
      </c>
      <c r="B4806" t="s">
        <v>1212</v>
      </c>
      <c r="C4806">
        <v>1</v>
      </c>
      <c r="D4806" s="1">
        <v>44149.122974537036</v>
      </c>
      <c r="E4806" t="s">
        <v>14997</v>
      </c>
      <c r="F4806" t="s">
        <v>273</v>
      </c>
      <c r="G4806" t="s">
        <v>14998</v>
      </c>
      <c r="H4806" t="s">
        <v>275</v>
      </c>
      <c r="I4806" t="s">
        <v>29</v>
      </c>
      <c r="J4806">
        <v>1</v>
      </c>
      <c r="K4806">
        <f>1-844-290-7339</f>
        <v>-8472</v>
      </c>
      <c r="L4806" t="s">
        <v>14999</v>
      </c>
      <c r="M4806" t="s">
        <v>15000</v>
      </c>
      <c r="N4806" t="s">
        <v>278</v>
      </c>
      <c r="O4806" t="s">
        <v>134</v>
      </c>
      <c r="P4806" t="s">
        <v>618</v>
      </c>
      <c r="Q4806">
        <v>52</v>
      </c>
      <c r="R4806">
        <v>-7.9212000000000005E-2</v>
      </c>
    </row>
    <row r="4807" spans="1:18" x14ac:dyDescent="0.2">
      <c r="A4807" t="s">
        <v>270</v>
      </c>
      <c r="B4807" t="s">
        <v>1212</v>
      </c>
      <c r="C4807">
        <v>1</v>
      </c>
      <c r="D4807" s="1">
        <v>44145.800219907411</v>
      </c>
      <c r="E4807" t="s">
        <v>15001</v>
      </c>
      <c r="F4807" t="s">
        <v>273</v>
      </c>
      <c r="G4807" t="s">
        <v>14998</v>
      </c>
      <c r="H4807" t="s">
        <v>275</v>
      </c>
      <c r="I4807" t="s">
        <v>29</v>
      </c>
      <c r="J4807">
        <v>1</v>
      </c>
      <c r="K4807">
        <f>1-844-295-6539</f>
        <v>-7677</v>
      </c>
      <c r="L4807" t="s">
        <v>15002</v>
      </c>
      <c r="M4807" t="s">
        <v>15003</v>
      </c>
      <c r="N4807" t="s">
        <v>278</v>
      </c>
      <c r="O4807" t="s">
        <v>28</v>
      </c>
      <c r="P4807" t="s">
        <v>618</v>
      </c>
      <c r="Q4807">
        <v>52</v>
      </c>
      <c r="R4807">
        <v>-7.9212000000000005E-2</v>
      </c>
    </row>
    <row r="4808" spans="1:18" x14ac:dyDescent="0.2">
      <c r="A4808" t="s">
        <v>270</v>
      </c>
      <c r="B4808" t="s">
        <v>1212</v>
      </c>
      <c r="C4808">
        <v>1</v>
      </c>
      <c r="D4808" s="1">
        <v>44140.78025462963</v>
      </c>
      <c r="E4808" t="s">
        <v>15004</v>
      </c>
      <c r="F4808" t="s">
        <v>273</v>
      </c>
      <c r="G4808" t="s">
        <v>14998</v>
      </c>
      <c r="H4808" t="s">
        <v>275</v>
      </c>
      <c r="I4808" t="s">
        <v>29</v>
      </c>
      <c r="J4808">
        <v>1</v>
      </c>
      <c r="K4808">
        <f>1-888-397-7606</f>
        <v>-8890</v>
      </c>
      <c r="L4808" t="s">
        <v>15005</v>
      </c>
      <c r="M4808" t="s">
        <v>15006</v>
      </c>
      <c r="N4808" t="s">
        <v>278</v>
      </c>
      <c r="O4808" t="s">
        <v>28</v>
      </c>
      <c r="P4808" t="s">
        <v>618</v>
      </c>
      <c r="Q4808">
        <v>52</v>
      </c>
      <c r="R4808">
        <v>-7.9212000000000005E-2</v>
      </c>
    </row>
    <row r="4809" spans="1:18" x14ac:dyDescent="0.2">
      <c r="A4809" t="s">
        <v>270</v>
      </c>
      <c r="B4809" t="s">
        <v>1212</v>
      </c>
      <c r="C4809">
        <v>1</v>
      </c>
      <c r="D4809" s="1">
        <v>44112.760787037034</v>
      </c>
      <c r="E4809" t="s">
        <v>15007</v>
      </c>
      <c r="F4809" t="s">
        <v>273</v>
      </c>
      <c r="G4809" t="s">
        <v>14998</v>
      </c>
      <c r="H4809" t="s">
        <v>275</v>
      </c>
      <c r="I4809" t="s">
        <v>29</v>
      </c>
      <c r="J4809">
        <v>1</v>
      </c>
      <c r="K4809">
        <f>1-888-334-1316</f>
        <v>-2537</v>
      </c>
      <c r="L4809" t="s">
        <v>15008</v>
      </c>
      <c r="M4809" t="s">
        <v>15009</v>
      </c>
      <c r="N4809" t="s">
        <v>278</v>
      </c>
      <c r="O4809" t="s">
        <v>28</v>
      </c>
      <c r="P4809" t="s">
        <v>618</v>
      </c>
      <c r="Q4809">
        <v>52</v>
      </c>
      <c r="R4809">
        <v>-7.9212000000000005E-2</v>
      </c>
    </row>
    <row r="4810" spans="1:18" x14ac:dyDescent="0.2">
      <c r="A4810" t="s">
        <v>270</v>
      </c>
      <c r="B4810" t="s">
        <v>1212</v>
      </c>
      <c r="C4810">
        <v>1</v>
      </c>
      <c r="D4810" s="1">
        <v>44109.906527777777</v>
      </c>
      <c r="E4810" t="s">
        <v>15010</v>
      </c>
      <c r="F4810" t="s">
        <v>273</v>
      </c>
      <c r="G4810" t="s">
        <v>14998</v>
      </c>
      <c r="H4810" t="s">
        <v>275</v>
      </c>
      <c r="I4810" t="s">
        <v>29</v>
      </c>
      <c r="J4810">
        <v>1</v>
      </c>
      <c r="K4810">
        <f>1-888-298-6326</f>
        <v>-7511</v>
      </c>
      <c r="L4810" t="s">
        <v>15011</v>
      </c>
      <c r="M4810" t="s">
        <v>15012</v>
      </c>
      <c r="N4810" t="s">
        <v>278</v>
      </c>
      <c r="O4810" t="s">
        <v>28</v>
      </c>
      <c r="P4810" t="s">
        <v>618</v>
      </c>
      <c r="Q4810">
        <v>52</v>
      </c>
      <c r="R4810">
        <v>-7.9212000000000005E-2</v>
      </c>
    </row>
    <row r="4811" spans="1:18" x14ac:dyDescent="0.2">
      <c r="A4811" t="s">
        <v>270</v>
      </c>
      <c r="B4811" t="s">
        <v>1212</v>
      </c>
      <c r="C4811">
        <v>1</v>
      </c>
      <c r="D4811" s="1">
        <v>44105.883773148147</v>
      </c>
      <c r="E4811" t="s">
        <v>15013</v>
      </c>
      <c r="F4811" t="s">
        <v>273</v>
      </c>
      <c r="G4811" t="s">
        <v>14998</v>
      </c>
      <c r="H4811" t="s">
        <v>275</v>
      </c>
      <c r="I4811" t="s">
        <v>29</v>
      </c>
      <c r="J4811">
        <v>1</v>
      </c>
      <c r="K4811">
        <f>1-888-203-9443</f>
        <v>-10533</v>
      </c>
      <c r="L4811" t="s">
        <v>15014</v>
      </c>
      <c r="M4811" t="s">
        <v>15015</v>
      </c>
      <c r="N4811" t="s">
        <v>278</v>
      </c>
      <c r="O4811" t="s">
        <v>28</v>
      </c>
      <c r="P4811" t="s">
        <v>618</v>
      </c>
      <c r="Q4811">
        <v>52</v>
      </c>
      <c r="R4811">
        <v>-7.9212000000000005E-2</v>
      </c>
    </row>
    <row r="4812" spans="1:18" x14ac:dyDescent="0.2">
      <c r="A4812" t="s">
        <v>270</v>
      </c>
      <c r="B4812" t="s">
        <v>1212</v>
      </c>
      <c r="C4812">
        <v>1</v>
      </c>
      <c r="D4812" s="1">
        <v>44103.839432870373</v>
      </c>
      <c r="E4812" t="s">
        <v>15016</v>
      </c>
      <c r="F4812" t="s">
        <v>273</v>
      </c>
      <c r="G4812" t="s">
        <v>14998</v>
      </c>
      <c r="H4812" t="s">
        <v>275</v>
      </c>
      <c r="I4812" t="s">
        <v>29</v>
      </c>
      <c r="J4812">
        <v>1</v>
      </c>
      <c r="K4812">
        <f>1-888-223-1452</f>
        <v>-2562</v>
      </c>
      <c r="L4812" t="s">
        <v>15017</v>
      </c>
      <c r="M4812" t="s">
        <v>15018</v>
      </c>
      <c r="N4812" t="s">
        <v>278</v>
      </c>
      <c r="O4812" t="s">
        <v>28</v>
      </c>
      <c r="P4812" t="s">
        <v>618</v>
      </c>
      <c r="Q4812">
        <v>52</v>
      </c>
      <c r="R4812">
        <v>-7.9212000000000005E-2</v>
      </c>
    </row>
    <row r="4813" spans="1:18" x14ac:dyDescent="0.2">
      <c r="A4813" t="s">
        <v>270</v>
      </c>
      <c r="B4813" t="s">
        <v>1212</v>
      </c>
      <c r="C4813">
        <v>1</v>
      </c>
      <c r="D4813" s="1">
        <v>44102.82298611111</v>
      </c>
      <c r="E4813" t="s">
        <v>15019</v>
      </c>
      <c r="F4813" t="s">
        <v>273</v>
      </c>
      <c r="G4813" t="s">
        <v>14998</v>
      </c>
      <c r="H4813" t="s">
        <v>275</v>
      </c>
      <c r="I4813" t="s">
        <v>29</v>
      </c>
      <c r="J4813">
        <v>1</v>
      </c>
      <c r="K4813">
        <f>1-888-252-7514</f>
        <v>-8653</v>
      </c>
      <c r="L4813" t="s">
        <v>15020</v>
      </c>
      <c r="M4813" t="s">
        <v>15021</v>
      </c>
      <c r="N4813" t="s">
        <v>278</v>
      </c>
      <c r="O4813" t="s">
        <v>28</v>
      </c>
      <c r="P4813" t="s">
        <v>618</v>
      </c>
      <c r="Q4813">
        <v>52</v>
      </c>
      <c r="R4813">
        <v>-7.9212000000000005E-2</v>
      </c>
    </row>
    <row r="4814" spans="1:18" x14ac:dyDescent="0.2">
      <c r="A4814" t="s">
        <v>270</v>
      </c>
      <c r="B4814" t="s">
        <v>1212</v>
      </c>
      <c r="C4814">
        <v>1</v>
      </c>
      <c r="D4814" s="1">
        <v>44102.817627314813</v>
      </c>
      <c r="E4814" t="s">
        <v>15022</v>
      </c>
      <c r="F4814" t="s">
        <v>273</v>
      </c>
      <c r="G4814" t="s">
        <v>14998</v>
      </c>
      <c r="H4814" t="s">
        <v>275</v>
      </c>
      <c r="I4814" t="s">
        <v>29</v>
      </c>
      <c r="J4814">
        <v>1</v>
      </c>
      <c r="K4814">
        <f>1-888-241-5082</f>
        <v>-6210</v>
      </c>
      <c r="L4814" t="s">
        <v>15023</v>
      </c>
      <c r="M4814" t="s">
        <v>15024</v>
      </c>
      <c r="N4814" t="s">
        <v>278</v>
      </c>
      <c r="O4814" t="s">
        <v>28</v>
      </c>
      <c r="P4814" t="s">
        <v>618</v>
      </c>
      <c r="Q4814">
        <v>52</v>
      </c>
      <c r="R4814">
        <v>-7.9212000000000005E-2</v>
      </c>
    </row>
    <row r="4815" spans="1:18" x14ac:dyDescent="0.2">
      <c r="A4815" t="s">
        <v>270</v>
      </c>
      <c r="B4815" t="s">
        <v>1212</v>
      </c>
      <c r="C4815">
        <v>1</v>
      </c>
      <c r="D4815" s="1">
        <v>44098.825972222221</v>
      </c>
      <c r="E4815" t="s">
        <v>1295</v>
      </c>
      <c r="F4815" t="s">
        <v>273</v>
      </c>
      <c r="G4815" t="s">
        <v>14998</v>
      </c>
      <c r="H4815" t="s">
        <v>275</v>
      </c>
      <c r="I4815" t="s">
        <v>29</v>
      </c>
      <c r="J4815">
        <v>1</v>
      </c>
      <c r="K4815">
        <f>1-888-264-1242</f>
        <v>-2393</v>
      </c>
      <c r="L4815" t="s">
        <v>15025</v>
      </c>
      <c r="M4815" t="s">
        <v>15026</v>
      </c>
      <c r="N4815" t="s">
        <v>278</v>
      </c>
      <c r="O4815" t="s">
        <v>28</v>
      </c>
      <c r="P4815" t="s">
        <v>618</v>
      </c>
      <c r="Q4815">
        <v>52</v>
      </c>
      <c r="R4815">
        <v>-7.9212000000000005E-2</v>
      </c>
    </row>
    <row r="4816" spans="1:18" x14ac:dyDescent="0.2">
      <c r="A4816" t="s">
        <v>270</v>
      </c>
      <c r="B4816" t="s">
        <v>1212</v>
      </c>
      <c r="C4816">
        <v>1</v>
      </c>
      <c r="D4816" s="1">
        <v>44096.369525462964</v>
      </c>
      <c r="E4816" t="s">
        <v>15027</v>
      </c>
      <c r="F4816" t="s">
        <v>273</v>
      </c>
      <c r="G4816" t="s">
        <v>14998</v>
      </c>
      <c r="H4816" t="s">
        <v>275</v>
      </c>
      <c r="I4816" t="s">
        <v>29</v>
      </c>
      <c r="J4816">
        <v>1</v>
      </c>
      <c r="K4816">
        <f>1-844-316-9077</f>
        <v>-10236</v>
      </c>
      <c r="L4816" t="s">
        <v>15028</v>
      </c>
      <c r="M4816" t="s">
        <v>15029</v>
      </c>
      <c r="N4816" t="s">
        <v>278</v>
      </c>
      <c r="O4816" t="s">
        <v>28</v>
      </c>
      <c r="P4816" t="s">
        <v>618</v>
      </c>
      <c r="Q4816">
        <v>52</v>
      </c>
      <c r="R4816">
        <v>-7.9212000000000005E-2</v>
      </c>
    </row>
    <row r="4817" spans="1:18" x14ac:dyDescent="0.2">
      <c r="A4817" t="s">
        <v>270</v>
      </c>
      <c r="B4817" t="s">
        <v>1212</v>
      </c>
      <c r="C4817">
        <v>1</v>
      </c>
      <c r="D4817" s="1">
        <v>44096.368877314817</v>
      </c>
      <c r="E4817" t="s">
        <v>15030</v>
      </c>
      <c r="F4817" t="s">
        <v>273</v>
      </c>
      <c r="G4817" t="s">
        <v>14998</v>
      </c>
      <c r="H4817" t="s">
        <v>275</v>
      </c>
      <c r="I4817" t="s">
        <v>29</v>
      </c>
      <c r="J4817">
        <v>1</v>
      </c>
      <c r="K4817">
        <f>1-844-312-611</f>
        <v>-1766</v>
      </c>
      <c r="L4817" t="s">
        <v>15031</v>
      </c>
      <c r="M4817" t="s">
        <v>15032</v>
      </c>
      <c r="N4817" t="s">
        <v>278</v>
      </c>
      <c r="O4817" t="s">
        <v>28</v>
      </c>
      <c r="P4817" t="s">
        <v>618</v>
      </c>
      <c r="Q4817">
        <v>52</v>
      </c>
      <c r="R4817">
        <v>-7.9212000000000005E-2</v>
      </c>
    </row>
    <row r="4818" spans="1:18" x14ac:dyDescent="0.2">
      <c r="A4818" t="s">
        <v>270</v>
      </c>
      <c r="B4818" t="s">
        <v>1212</v>
      </c>
      <c r="C4818">
        <v>1</v>
      </c>
      <c r="D4818" s="1">
        <v>44096.368854166663</v>
      </c>
      <c r="E4818" t="s">
        <v>15033</v>
      </c>
      <c r="F4818" t="s">
        <v>273</v>
      </c>
      <c r="G4818" t="s">
        <v>14998</v>
      </c>
      <c r="H4818" t="s">
        <v>275</v>
      </c>
      <c r="I4818" t="s">
        <v>29</v>
      </c>
      <c r="J4818">
        <v>1</v>
      </c>
      <c r="K4818">
        <f>1-844-318-5957</f>
        <v>-7118</v>
      </c>
      <c r="L4818" t="s">
        <v>15034</v>
      </c>
      <c r="M4818" t="s">
        <v>15035</v>
      </c>
      <c r="N4818" t="s">
        <v>278</v>
      </c>
      <c r="O4818" t="s">
        <v>28</v>
      </c>
      <c r="P4818" t="s">
        <v>618</v>
      </c>
      <c r="Q4818">
        <v>52</v>
      </c>
      <c r="R4818">
        <v>-7.9212000000000005E-2</v>
      </c>
    </row>
    <row r="4819" spans="1:18" x14ac:dyDescent="0.2">
      <c r="A4819" t="s">
        <v>270</v>
      </c>
      <c r="B4819" t="s">
        <v>1212</v>
      </c>
      <c r="C4819">
        <v>1</v>
      </c>
      <c r="D4819" s="1">
        <v>44096.366006944445</v>
      </c>
      <c r="E4819" t="s">
        <v>15036</v>
      </c>
      <c r="F4819" t="s">
        <v>273</v>
      </c>
      <c r="G4819" t="s">
        <v>14998</v>
      </c>
      <c r="H4819" t="s">
        <v>275</v>
      </c>
      <c r="I4819" t="s">
        <v>29</v>
      </c>
      <c r="J4819">
        <v>1</v>
      </c>
      <c r="K4819">
        <f>1-844-290-1224</f>
        <v>-2357</v>
      </c>
      <c r="L4819" t="s">
        <v>15037</v>
      </c>
      <c r="M4819" t="s">
        <v>15038</v>
      </c>
      <c r="N4819" t="s">
        <v>278</v>
      </c>
      <c r="O4819" t="s">
        <v>28</v>
      </c>
      <c r="P4819" t="s">
        <v>618</v>
      </c>
      <c r="Q4819">
        <v>52</v>
      </c>
      <c r="R4819">
        <v>-7.9212000000000005E-2</v>
      </c>
    </row>
    <row r="4820" spans="1:18" x14ac:dyDescent="0.2">
      <c r="A4820" t="s">
        <v>270</v>
      </c>
      <c r="B4820" t="s">
        <v>1212</v>
      </c>
      <c r="C4820">
        <v>1</v>
      </c>
      <c r="D4820" s="1">
        <v>44095.783831018518</v>
      </c>
      <c r="E4820" t="s">
        <v>15039</v>
      </c>
      <c r="F4820" t="s">
        <v>273</v>
      </c>
      <c r="G4820" t="s">
        <v>14998</v>
      </c>
      <c r="H4820" t="s">
        <v>275</v>
      </c>
      <c r="I4820" t="s">
        <v>29</v>
      </c>
      <c r="J4820">
        <v>1</v>
      </c>
      <c r="K4820">
        <f>1-844-288-9111</f>
        <v>-10242</v>
      </c>
      <c r="L4820" t="s">
        <v>15040</v>
      </c>
      <c r="M4820" t="s">
        <v>15041</v>
      </c>
      <c r="N4820" t="s">
        <v>278</v>
      </c>
      <c r="O4820" t="s">
        <v>28</v>
      </c>
      <c r="P4820" t="s">
        <v>618</v>
      </c>
      <c r="Q4820">
        <v>52</v>
      </c>
      <c r="R4820">
        <v>-7.9212000000000005E-2</v>
      </c>
    </row>
    <row r="4821" spans="1:18" x14ac:dyDescent="0.2">
      <c r="A4821" t="s">
        <v>270</v>
      </c>
      <c r="B4821" t="s">
        <v>1212</v>
      </c>
      <c r="C4821">
        <v>1</v>
      </c>
      <c r="D4821" s="1">
        <v>44095.778275462966</v>
      </c>
      <c r="E4821" t="s">
        <v>15042</v>
      </c>
      <c r="F4821" t="s">
        <v>273</v>
      </c>
      <c r="G4821" t="s">
        <v>14998</v>
      </c>
      <c r="H4821" t="s">
        <v>275</v>
      </c>
      <c r="I4821" t="s">
        <v>29</v>
      </c>
      <c r="J4821">
        <v>1</v>
      </c>
      <c r="K4821">
        <f>1-844-316-9077</f>
        <v>-10236</v>
      </c>
      <c r="L4821" t="s">
        <v>15043</v>
      </c>
      <c r="M4821" t="s">
        <v>15044</v>
      </c>
      <c r="N4821" t="s">
        <v>278</v>
      </c>
      <c r="O4821" t="s">
        <v>28</v>
      </c>
      <c r="P4821" t="s">
        <v>618</v>
      </c>
      <c r="Q4821">
        <v>52</v>
      </c>
      <c r="R4821">
        <v>-7.9212000000000005E-2</v>
      </c>
    </row>
    <row r="4822" spans="1:18" x14ac:dyDescent="0.2">
      <c r="A4822" t="s">
        <v>270</v>
      </c>
      <c r="B4822" t="s">
        <v>1212</v>
      </c>
      <c r="C4822">
        <v>1</v>
      </c>
      <c r="D4822" s="1">
        <v>44089.826736111114</v>
      </c>
      <c r="E4822" t="s">
        <v>15045</v>
      </c>
      <c r="F4822" t="s">
        <v>273</v>
      </c>
      <c r="G4822" t="s">
        <v>14998</v>
      </c>
      <c r="H4822" t="s">
        <v>275</v>
      </c>
      <c r="I4822" t="s">
        <v>29</v>
      </c>
      <c r="J4822">
        <v>1</v>
      </c>
      <c r="K4822">
        <f>1-844-233-1380</f>
        <v>-2456</v>
      </c>
      <c r="L4822" t="s">
        <v>15046</v>
      </c>
      <c r="M4822" t="s">
        <v>15047</v>
      </c>
      <c r="N4822" t="s">
        <v>278</v>
      </c>
      <c r="O4822" t="s">
        <v>28</v>
      </c>
      <c r="P4822" t="s">
        <v>618</v>
      </c>
      <c r="Q4822">
        <v>52</v>
      </c>
      <c r="R4822">
        <v>-7.9212000000000005E-2</v>
      </c>
    </row>
    <row r="4823" spans="1:18" x14ac:dyDescent="0.2">
      <c r="A4823" t="s">
        <v>270</v>
      </c>
      <c r="B4823" t="s">
        <v>1212</v>
      </c>
      <c r="C4823">
        <v>1</v>
      </c>
      <c r="D4823" s="1">
        <v>44089.756273148145</v>
      </c>
      <c r="E4823" t="s">
        <v>15048</v>
      </c>
      <c r="F4823" t="s">
        <v>273</v>
      </c>
      <c r="G4823" t="s">
        <v>14998</v>
      </c>
      <c r="H4823" t="s">
        <v>275</v>
      </c>
      <c r="I4823" t="s">
        <v>29</v>
      </c>
      <c r="J4823">
        <v>1</v>
      </c>
      <c r="K4823">
        <f>1-844-287-1059</f>
        <v>-2189</v>
      </c>
      <c r="L4823" t="s">
        <v>15049</v>
      </c>
      <c r="M4823" t="s">
        <v>15050</v>
      </c>
      <c r="N4823" t="s">
        <v>278</v>
      </c>
      <c r="O4823" t="s">
        <v>28</v>
      </c>
      <c r="P4823" t="s">
        <v>618</v>
      </c>
      <c r="Q4823">
        <v>52</v>
      </c>
      <c r="R4823">
        <v>-7.9212000000000005E-2</v>
      </c>
    </row>
    <row r="4824" spans="1:18" x14ac:dyDescent="0.2">
      <c r="A4824" t="s">
        <v>270</v>
      </c>
      <c r="B4824" t="s">
        <v>1212</v>
      </c>
      <c r="C4824">
        <v>1</v>
      </c>
      <c r="D4824" s="1">
        <v>44088.99523148148</v>
      </c>
      <c r="E4824" t="s">
        <v>15051</v>
      </c>
      <c r="F4824" t="s">
        <v>273</v>
      </c>
      <c r="G4824" t="s">
        <v>14998</v>
      </c>
      <c r="H4824" t="s">
        <v>275</v>
      </c>
      <c r="I4824" t="s">
        <v>29</v>
      </c>
      <c r="J4824">
        <v>1</v>
      </c>
      <c r="K4824">
        <f>1-844-210-4337</f>
        <v>-5390</v>
      </c>
      <c r="L4824" t="s">
        <v>15052</v>
      </c>
      <c r="M4824" t="s">
        <v>15053</v>
      </c>
      <c r="N4824" t="s">
        <v>278</v>
      </c>
      <c r="O4824" t="s">
        <v>28</v>
      </c>
      <c r="P4824" t="s">
        <v>618</v>
      </c>
      <c r="Q4824">
        <v>52</v>
      </c>
      <c r="R4824">
        <v>-7.9212000000000005E-2</v>
      </c>
    </row>
    <row r="4825" spans="1:18" x14ac:dyDescent="0.2">
      <c r="A4825" t="s">
        <v>270</v>
      </c>
      <c r="B4825" t="s">
        <v>1212</v>
      </c>
      <c r="C4825">
        <v>1</v>
      </c>
      <c r="D4825" s="1">
        <v>44088.940682870372</v>
      </c>
      <c r="E4825" t="s">
        <v>15054</v>
      </c>
      <c r="F4825" t="s">
        <v>273</v>
      </c>
      <c r="G4825" t="s">
        <v>14998</v>
      </c>
      <c r="H4825" t="s">
        <v>275</v>
      </c>
      <c r="I4825" t="s">
        <v>29</v>
      </c>
      <c r="J4825">
        <v>1</v>
      </c>
      <c r="K4825">
        <f>1-844-210-4337</f>
        <v>-5390</v>
      </c>
      <c r="L4825" t="s">
        <v>15055</v>
      </c>
      <c r="M4825" t="s">
        <v>15056</v>
      </c>
      <c r="N4825" t="s">
        <v>278</v>
      </c>
      <c r="O4825" t="s">
        <v>28</v>
      </c>
      <c r="P4825" t="s">
        <v>618</v>
      </c>
      <c r="Q4825">
        <v>52</v>
      </c>
      <c r="R4825">
        <v>-7.9212000000000005E-2</v>
      </c>
    </row>
    <row r="4826" spans="1:18" x14ac:dyDescent="0.2">
      <c r="A4826" t="s">
        <v>270</v>
      </c>
      <c r="B4826" t="s">
        <v>1212</v>
      </c>
      <c r="C4826">
        <v>1</v>
      </c>
      <c r="D4826" s="1">
        <v>44088.771921296298</v>
      </c>
      <c r="E4826" t="s">
        <v>15057</v>
      </c>
      <c r="F4826" t="s">
        <v>273</v>
      </c>
      <c r="G4826" t="s">
        <v>14998</v>
      </c>
      <c r="H4826" t="s">
        <v>275</v>
      </c>
      <c r="I4826" t="s">
        <v>29</v>
      </c>
      <c r="J4826">
        <v>1</v>
      </c>
      <c r="K4826">
        <f>1-844-212-7353</f>
        <v>-8408</v>
      </c>
      <c r="L4826" t="s">
        <v>15058</v>
      </c>
      <c r="M4826" t="s">
        <v>15059</v>
      </c>
      <c r="N4826" t="s">
        <v>278</v>
      </c>
      <c r="O4826" t="s">
        <v>28</v>
      </c>
      <c r="P4826" t="s">
        <v>618</v>
      </c>
      <c r="Q4826">
        <v>52</v>
      </c>
      <c r="R4826">
        <v>-7.9212000000000005E-2</v>
      </c>
    </row>
    <row r="4827" spans="1:18" x14ac:dyDescent="0.2">
      <c r="A4827" t="s">
        <v>270</v>
      </c>
      <c r="B4827" t="s">
        <v>1212</v>
      </c>
      <c r="C4827">
        <v>1</v>
      </c>
      <c r="D4827" s="1">
        <v>44084.784120370372</v>
      </c>
      <c r="E4827" t="s">
        <v>15060</v>
      </c>
      <c r="F4827" t="s">
        <v>273</v>
      </c>
      <c r="G4827" t="s">
        <v>14998</v>
      </c>
      <c r="H4827" t="s">
        <v>275</v>
      </c>
      <c r="I4827" t="s">
        <v>29</v>
      </c>
      <c r="J4827">
        <v>1</v>
      </c>
      <c r="K4827">
        <f>1-844-318-7909</f>
        <v>-9070</v>
      </c>
      <c r="L4827" t="s">
        <v>15061</v>
      </c>
      <c r="M4827" t="s">
        <v>15062</v>
      </c>
      <c r="N4827" t="s">
        <v>278</v>
      </c>
      <c r="O4827" t="s">
        <v>28</v>
      </c>
      <c r="P4827" t="s">
        <v>618</v>
      </c>
      <c r="Q4827">
        <v>52</v>
      </c>
      <c r="R4827">
        <v>-7.9212000000000005E-2</v>
      </c>
    </row>
    <row r="4828" spans="1:18" x14ac:dyDescent="0.2">
      <c r="A4828" t="s">
        <v>270</v>
      </c>
      <c r="B4828" t="s">
        <v>1212</v>
      </c>
      <c r="C4828">
        <v>1</v>
      </c>
      <c r="D4828" s="1">
        <v>44083.82885416667</v>
      </c>
      <c r="E4828" t="s">
        <v>15063</v>
      </c>
      <c r="F4828" t="s">
        <v>273</v>
      </c>
      <c r="G4828" t="s">
        <v>14998</v>
      </c>
      <c r="H4828" t="s">
        <v>275</v>
      </c>
      <c r="I4828" t="s">
        <v>29</v>
      </c>
      <c r="J4828">
        <v>1</v>
      </c>
      <c r="K4828">
        <f>1-888-585-7516</f>
        <v>-8988</v>
      </c>
      <c r="L4828" t="s">
        <v>15064</v>
      </c>
      <c r="M4828" t="s">
        <v>15065</v>
      </c>
      <c r="N4828" t="s">
        <v>278</v>
      </c>
      <c r="O4828" t="s">
        <v>28</v>
      </c>
      <c r="P4828" t="s">
        <v>618</v>
      </c>
      <c r="Q4828">
        <v>52</v>
      </c>
      <c r="R4828">
        <v>-7.9212000000000005E-2</v>
      </c>
    </row>
    <row r="4829" spans="1:18" x14ac:dyDescent="0.2">
      <c r="A4829" t="s">
        <v>270</v>
      </c>
      <c r="B4829" t="s">
        <v>1212</v>
      </c>
      <c r="C4829">
        <v>1</v>
      </c>
      <c r="D4829" s="1">
        <v>44083.803796296299</v>
      </c>
      <c r="E4829" t="s">
        <v>15066</v>
      </c>
      <c r="F4829" t="s">
        <v>273</v>
      </c>
      <c r="G4829" t="s">
        <v>14998</v>
      </c>
      <c r="H4829" t="s">
        <v>275</v>
      </c>
      <c r="I4829" t="s">
        <v>29</v>
      </c>
      <c r="J4829">
        <v>1</v>
      </c>
      <c r="K4829">
        <f>1-888-592-7014</f>
        <v>-8493</v>
      </c>
      <c r="L4829" t="s">
        <v>15067</v>
      </c>
      <c r="M4829" t="s">
        <v>15068</v>
      </c>
      <c r="N4829" t="s">
        <v>278</v>
      </c>
      <c r="O4829" t="s">
        <v>28</v>
      </c>
      <c r="P4829" t="s">
        <v>618</v>
      </c>
      <c r="Q4829">
        <v>52</v>
      </c>
      <c r="R4829">
        <v>-7.9212000000000005E-2</v>
      </c>
    </row>
    <row r="4830" spans="1:18" x14ac:dyDescent="0.2">
      <c r="A4830" t="s">
        <v>270</v>
      </c>
      <c r="B4830" t="s">
        <v>1212</v>
      </c>
      <c r="C4830">
        <v>1</v>
      </c>
      <c r="D4830" s="1">
        <v>44078.850775462961</v>
      </c>
      <c r="E4830" t="s">
        <v>15069</v>
      </c>
      <c r="F4830" t="s">
        <v>273</v>
      </c>
      <c r="G4830" t="s">
        <v>14998</v>
      </c>
      <c r="H4830" t="s">
        <v>275</v>
      </c>
      <c r="I4830" t="s">
        <v>29</v>
      </c>
      <c r="J4830">
        <v>1</v>
      </c>
      <c r="K4830">
        <f>1-866-517-1982</f>
        <v>-3364</v>
      </c>
      <c r="L4830" t="s">
        <v>15070</v>
      </c>
      <c r="M4830" t="s">
        <v>15071</v>
      </c>
      <c r="N4830" t="s">
        <v>278</v>
      </c>
      <c r="O4830" t="s">
        <v>134</v>
      </c>
      <c r="P4830" t="s">
        <v>618</v>
      </c>
      <c r="Q4830">
        <v>52</v>
      </c>
      <c r="R4830">
        <v>-7.9212000000000005E-2</v>
      </c>
    </row>
    <row r="4831" spans="1:18" x14ac:dyDescent="0.2">
      <c r="A4831" t="s">
        <v>270</v>
      </c>
      <c r="B4831" t="s">
        <v>1212</v>
      </c>
      <c r="C4831">
        <v>1</v>
      </c>
      <c r="D4831" s="1">
        <v>44078.849687499998</v>
      </c>
      <c r="E4831" t="s">
        <v>15072</v>
      </c>
      <c r="F4831" t="s">
        <v>273</v>
      </c>
      <c r="G4831" t="s">
        <v>14998</v>
      </c>
      <c r="H4831" t="s">
        <v>275</v>
      </c>
      <c r="I4831" t="s">
        <v>29</v>
      </c>
      <c r="J4831">
        <v>1</v>
      </c>
      <c r="K4831">
        <f>1-866-586-2110</f>
        <v>-3561</v>
      </c>
      <c r="L4831" t="s">
        <v>15073</v>
      </c>
      <c r="M4831" t="s">
        <v>15074</v>
      </c>
      <c r="N4831" t="s">
        <v>278</v>
      </c>
      <c r="O4831" t="s">
        <v>134</v>
      </c>
      <c r="P4831" t="s">
        <v>618</v>
      </c>
      <c r="Q4831">
        <v>52</v>
      </c>
      <c r="R4831">
        <v>-7.9212000000000005E-2</v>
      </c>
    </row>
    <row r="4832" spans="1:18" x14ac:dyDescent="0.2">
      <c r="A4832" t="s">
        <v>270</v>
      </c>
      <c r="B4832" t="s">
        <v>1212</v>
      </c>
      <c r="C4832">
        <v>1</v>
      </c>
      <c r="D4832" s="1">
        <v>44073.942939814813</v>
      </c>
      <c r="E4832" t="s">
        <v>15075</v>
      </c>
      <c r="F4832" t="s">
        <v>273</v>
      </c>
      <c r="G4832" t="s">
        <v>14998</v>
      </c>
      <c r="H4832" t="s">
        <v>275</v>
      </c>
      <c r="I4832" t="s">
        <v>29</v>
      </c>
      <c r="J4832">
        <v>1</v>
      </c>
      <c r="K4832">
        <f>1-888-655-2376</f>
        <v>-3918</v>
      </c>
      <c r="L4832" t="s">
        <v>15076</v>
      </c>
      <c r="M4832" t="s">
        <v>15077</v>
      </c>
      <c r="N4832" t="s">
        <v>278</v>
      </c>
      <c r="O4832" t="s">
        <v>134</v>
      </c>
      <c r="P4832" t="s">
        <v>618</v>
      </c>
      <c r="Q4832">
        <v>52</v>
      </c>
      <c r="R4832">
        <v>-7.9212000000000005E-2</v>
      </c>
    </row>
    <row r="4833" spans="1:18" x14ac:dyDescent="0.2">
      <c r="A4833" t="s">
        <v>270</v>
      </c>
      <c r="B4833" t="s">
        <v>1212</v>
      </c>
      <c r="C4833">
        <v>1</v>
      </c>
      <c r="D4833" s="1">
        <v>44073.939641203702</v>
      </c>
      <c r="E4833" t="s">
        <v>15078</v>
      </c>
      <c r="F4833" t="s">
        <v>273</v>
      </c>
      <c r="G4833" t="s">
        <v>14998</v>
      </c>
      <c r="H4833" t="s">
        <v>275</v>
      </c>
      <c r="I4833" t="s">
        <v>29</v>
      </c>
      <c r="J4833">
        <v>1</v>
      </c>
      <c r="K4833">
        <f>1-888-291-215</f>
        <v>-1393</v>
      </c>
      <c r="L4833" t="s">
        <v>15079</v>
      </c>
      <c r="M4833" t="s">
        <v>15080</v>
      </c>
      <c r="N4833" t="s">
        <v>278</v>
      </c>
      <c r="O4833" t="s">
        <v>134</v>
      </c>
      <c r="P4833" t="s">
        <v>618</v>
      </c>
      <c r="Q4833">
        <v>52</v>
      </c>
      <c r="R4833">
        <v>-7.9212000000000005E-2</v>
      </c>
    </row>
    <row r="4834" spans="1:18" x14ac:dyDescent="0.2">
      <c r="A4834" t="s">
        <v>270</v>
      </c>
      <c r="B4834" t="s">
        <v>1212</v>
      </c>
      <c r="C4834">
        <v>1</v>
      </c>
      <c r="D4834" s="1">
        <v>44073.063020833331</v>
      </c>
      <c r="E4834" t="s">
        <v>15081</v>
      </c>
      <c r="F4834" t="s">
        <v>273</v>
      </c>
      <c r="G4834" t="s">
        <v>14998</v>
      </c>
      <c r="H4834" t="s">
        <v>275</v>
      </c>
      <c r="I4834" t="s">
        <v>29</v>
      </c>
      <c r="J4834">
        <v>1</v>
      </c>
      <c r="K4834">
        <f>1-888-705-881</f>
        <v>-2473</v>
      </c>
      <c r="L4834" t="s">
        <v>15082</v>
      </c>
      <c r="M4834" t="s">
        <v>15083</v>
      </c>
      <c r="N4834" t="s">
        <v>278</v>
      </c>
      <c r="O4834" t="s">
        <v>134</v>
      </c>
      <c r="P4834" t="s">
        <v>618</v>
      </c>
      <c r="Q4834">
        <v>52</v>
      </c>
      <c r="R4834">
        <v>-7.9212000000000005E-2</v>
      </c>
    </row>
    <row r="4835" spans="1:18" x14ac:dyDescent="0.2">
      <c r="A4835" t="s">
        <v>270</v>
      </c>
      <c r="B4835" t="s">
        <v>1212</v>
      </c>
      <c r="C4835">
        <v>1</v>
      </c>
      <c r="D4835" s="1">
        <v>44073.026620370372</v>
      </c>
      <c r="E4835" t="s">
        <v>15084</v>
      </c>
      <c r="F4835" t="s">
        <v>273</v>
      </c>
      <c r="G4835" t="s">
        <v>14998</v>
      </c>
      <c r="H4835" t="s">
        <v>275</v>
      </c>
      <c r="I4835" t="s">
        <v>29</v>
      </c>
      <c r="J4835">
        <v>1</v>
      </c>
      <c r="K4835">
        <f>1-888-909-1336</f>
        <v>-3132</v>
      </c>
      <c r="L4835" t="s">
        <v>15085</v>
      </c>
      <c r="M4835" t="s">
        <v>15086</v>
      </c>
      <c r="N4835" t="s">
        <v>278</v>
      </c>
      <c r="O4835" t="s">
        <v>134</v>
      </c>
      <c r="P4835" t="s">
        <v>618</v>
      </c>
      <c r="Q4835">
        <v>52</v>
      </c>
      <c r="R4835">
        <v>-7.9212000000000005E-2</v>
      </c>
    </row>
    <row r="4836" spans="1:18" x14ac:dyDescent="0.2">
      <c r="A4836" t="s">
        <v>270</v>
      </c>
      <c r="B4836" t="s">
        <v>1212</v>
      </c>
      <c r="C4836">
        <v>1</v>
      </c>
      <c r="D4836" s="1">
        <v>44071.836770833332</v>
      </c>
      <c r="E4836" t="s">
        <v>15087</v>
      </c>
      <c r="F4836" t="s">
        <v>273</v>
      </c>
      <c r="G4836" t="s">
        <v>14998</v>
      </c>
      <c r="H4836" t="s">
        <v>275</v>
      </c>
      <c r="I4836" t="s">
        <v>29</v>
      </c>
      <c r="J4836">
        <v>1</v>
      </c>
      <c r="K4836">
        <f>1-888-607-419</f>
        <v>-1913</v>
      </c>
      <c r="L4836" t="s">
        <v>15088</v>
      </c>
      <c r="M4836" t="s">
        <v>15089</v>
      </c>
      <c r="N4836" t="s">
        <v>278</v>
      </c>
      <c r="O4836" t="s">
        <v>28</v>
      </c>
      <c r="P4836" t="s">
        <v>618</v>
      </c>
      <c r="Q4836">
        <v>52</v>
      </c>
      <c r="R4836">
        <v>-7.9212000000000005E-2</v>
      </c>
    </row>
    <row r="4837" spans="1:18" x14ac:dyDescent="0.2">
      <c r="A4837" t="s">
        <v>270</v>
      </c>
      <c r="B4837" t="s">
        <v>1212</v>
      </c>
      <c r="C4837">
        <v>1</v>
      </c>
      <c r="D4837" s="1">
        <v>44071.835150462961</v>
      </c>
      <c r="E4837" t="s">
        <v>15090</v>
      </c>
      <c r="F4837" t="s">
        <v>273</v>
      </c>
      <c r="G4837" t="s">
        <v>14998</v>
      </c>
      <c r="H4837" t="s">
        <v>275</v>
      </c>
      <c r="I4837" t="s">
        <v>29</v>
      </c>
      <c r="J4837">
        <v>1</v>
      </c>
      <c r="K4837">
        <f>1-888-607-419</f>
        <v>-1913</v>
      </c>
      <c r="L4837" t="s">
        <v>15091</v>
      </c>
      <c r="M4837" t="s">
        <v>15092</v>
      </c>
      <c r="N4837" t="s">
        <v>278</v>
      </c>
      <c r="O4837" t="s">
        <v>28</v>
      </c>
      <c r="P4837" t="s">
        <v>618</v>
      </c>
      <c r="Q4837">
        <v>52</v>
      </c>
      <c r="R4837">
        <v>-7.9212000000000005E-2</v>
      </c>
    </row>
    <row r="4838" spans="1:18" x14ac:dyDescent="0.2">
      <c r="A4838" t="s">
        <v>270</v>
      </c>
      <c r="B4838" t="s">
        <v>1212</v>
      </c>
      <c r="C4838">
        <v>1</v>
      </c>
      <c r="D4838" s="1">
        <v>44071.416365740741</v>
      </c>
      <c r="E4838" t="s">
        <v>15093</v>
      </c>
      <c r="F4838" t="s">
        <v>273</v>
      </c>
      <c r="G4838" t="s">
        <v>14998</v>
      </c>
      <c r="H4838" t="s">
        <v>275</v>
      </c>
      <c r="I4838" t="s">
        <v>29</v>
      </c>
      <c r="J4838">
        <v>1</v>
      </c>
      <c r="K4838">
        <f>1-888-417-4090</f>
        <v>-5394</v>
      </c>
      <c r="L4838" t="s">
        <v>15094</v>
      </c>
      <c r="M4838" t="s">
        <v>15095</v>
      </c>
      <c r="N4838" t="s">
        <v>278</v>
      </c>
      <c r="O4838" t="s">
        <v>134</v>
      </c>
      <c r="P4838" t="s">
        <v>618</v>
      </c>
      <c r="Q4838">
        <v>52</v>
      </c>
      <c r="R4838">
        <v>-7.9212000000000005E-2</v>
      </c>
    </row>
    <row r="4839" spans="1:18" x14ac:dyDescent="0.2">
      <c r="A4839" t="s">
        <v>270</v>
      </c>
      <c r="B4839" t="s">
        <v>1212</v>
      </c>
      <c r="C4839">
        <v>1</v>
      </c>
      <c r="D4839" s="1">
        <v>44070.586712962962</v>
      </c>
      <c r="E4839" t="s">
        <v>15096</v>
      </c>
      <c r="F4839" t="s">
        <v>273</v>
      </c>
      <c r="G4839" t="s">
        <v>14998</v>
      </c>
      <c r="H4839" t="s">
        <v>275</v>
      </c>
      <c r="I4839" t="s">
        <v>29</v>
      </c>
      <c r="J4839">
        <v>1</v>
      </c>
      <c r="K4839">
        <f>1-888-690-842</f>
        <v>-2419</v>
      </c>
      <c r="L4839" t="s">
        <v>15097</v>
      </c>
      <c r="M4839" t="s">
        <v>15098</v>
      </c>
      <c r="N4839" t="s">
        <v>278</v>
      </c>
      <c r="O4839" t="s">
        <v>134</v>
      </c>
      <c r="P4839" t="s">
        <v>618</v>
      </c>
      <c r="Q4839">
        <v>52</v>
      </c>
      <c r="R4839">
        <v>-7.9212000000000005E-2</v>
      </c>
    </row>
    <row r="4840" spans="1:18" x14ac:dyDescent="0.2">
      <c r="A4840" t="s">
        <v>270</v>
      </c>
      <c r="B4840" t="s">
        <v>1212</v>
      </c>
      <c r="C4840">
        <v>1</v>
      </c>
      <c r="D4840" s="1">
        <v>44068.195057870369</v>
      </c>
      <c r="E4840" t="s">
        <v>15099</v>
      </c>
      <c r="F4840" t="s">
        <v>273</v>
      </c>
      <c r="G4840" t="s">
        <v>14998</v>
      </c>
      <c r="H4840" t="s">
        <v>275</v>
      </c>
      <c r="I4840" t="s">
        <v>29</v>
      </c>
      <c r="J4840">
        <v>1</v>
      </c>
      <c r="K4840">
        <f>1-888-530-6238</f>
        <v>-7655</v>
      </c>
      <c r="L4840" t="s">
        <v>15100</v>
      </c>
      <c r="M4840" t="s">
        <v>15101</v>
      </c>
      <c r="N4840" t="s">
        <v>278</v>
      </c>
      <c r="O4840" t="s">
        <v>134</v>
      </c>
      <c r="P4840" t="s">
        <v>618</v>
      </c>
      <c r="Q4840">
        <v>52</v>
      </c>
      <c r="R4840">
        <v>-7.9212000000000005E-2</v>
      </c>
    </row>
    <row r="4841" spans="1:18" x14ac:dyDescent="0.2">
      <c r="A4841" t="s">
        <v>270</v>
      </c>
      <c r="B4841" t="s">
        <v>1212</v>
      </c>
      <c r="C4841">
        <v>1</v>
      </c>
      <c r="D4841" s="1">
        <v>44068.185879629629</v>
      </c>
      <c r="E4841" t="s">
        <v>15102</v>
      </c>
      <c r="F4841" t="s">
        <v>273</v>
      </c>
      <c r="G4841" t="s">
        <v>14998</v>
      </c>
      <c r="H4841" t="s">
        <v>275</v>
      </c>
      <c r="I4841" t="s">
        <v>29</v>
      </c>
      <c r="J4841">
        <v>1</v>
      </c>
      <c r="K4841">
        <f>1-888-523-5728</f>
        <v>-7138</v>
      </c>
      <c r="L4841" t="s">
        <v>15103</v>
      </c>
      <c r="M4841" t="s">
        <v>15104</v>
      </c>
      <c r="N4841" t="s">
        <v>278</v>
      </c>
      <c r="O4841" t="s">
        <v>134</v>
      </c>
      <c r="P4841" t="s">
        <v>618</v>
      </c>
      <c r="Q4841">
        <v>52</v>
      </c>
      <c r="R4841">
        <v>-7.9212000000000005E-2</v>
      </c>
    </row>
    <row r="4842" spans="1:18" x14ac:dyDescent="0.2">
      <c r="A4842" t="s">
        <v>270</v>
      </c>
      <c r="B4842" t="s">
        <v>1212</v>
      </c>
      <c r="C4842">
        <v>1</v>
      </c>
      <c r="D4842" s="1">
        <v>44068.072025462963</v>
      </c>
      <c r="E4842" t="s">
        <v>15105</v>
      </c>
      <c r="F4842" t="s">
        <v>273</v>
      </c>
      <c r="G4842" t="s">
        <v>14998</v>
      </c>
      <c r="H4842" t="s">
        <v>275</v>
      </c>
      <c r="I4842" t="s">
        <v>29</v>
      </c>
      <c r="J4842">
        <v>1</v>
      </c>
      <c r="K4842">
        <f>1-888-291-57</f>
        <v>-1235</v>
      </c>
      <c r="L4842" t="s">
        <v>15106</v>
      </c>
      <c r="M4842" t="s">
        <v>15107</v>
      </c>
      <c r="N4842" t="s">
        <v>278</v>
      </c>
      <c r="O4842" t="s">
        <v>28</v>
      </c>
      <c r="P4842" t="s">
        <v>618</v>
      </c>
      <c r="Q4842">
        <v>52</v>
      </c>
      <c r="R4842">
        <v>-7.9212000000000005E-2</v>
      </c>
    </row>
    <row r="4843" spans="1:18" x14ac:dyDescent="0.2">
      <c r="A4843" t="s">
        <v>270</v>
      </c>
      <c r="B4843" t="s">
        <v>1212</v>
      </c>
      <c r="C4843">
        <v>1</v>
      </c>
      <c r="D4843" s="1">
        <v>44068.028981481482</v>
      </c>
      <c r="E4843" t="s">
        <v>15108</v>
      </c>
      <c r="F4843" t="s">
        <v>273</v>
      </c>
      <c r="G4843" t="s">
        <v>14998</v>
      </c>
      <c r="H4843" t="s">
        <v>275</v>
      </c>
      <c r="I4843" t="s">
        <v>29</v>
      </c>
      <c r="J4843">
        <v>1</v>
      </c>
      <c r="K4843">
        <f>1-888-690-840</f>
        <v>-2417</v>
      </c>
      <c r="L4843" t="s">
        <v>15109</v>
      </c>
      <c r="M4843" t="s">
        <v>15110</v>
      </c>
      <c r="N4843" t="s">
        <v>278</v>
      </c>
      <c r="O4843" t="s">
        <v>28</v>
      </c>
      <c r="P4843" t="s">
        <v>618</v>
      </c>
      <c r="Q4843">
        <v>52</v>
      </c>
      <c r="R4843">
        <v>-7.9212000000000005E-2</v>
      </c>
    </row>
    <row r="4844" spans="1:18" x14ac:dyDescent="0.2">
      <c r="A4844" t="s">
        <v>270</v>
      </c>
      <c r="B4844" t="s">
        <v>1212</v>
      </c>
      <c r="C4844">
        <v>1</v>
      </c>
      <c r="D4844" s="1">
        <v>44068.027418981481</v>
      </c>
      <c r="E4844" t="s">
        <v>15111</v>
      </c>
      <c r="F4844" t="s">
        <v>273</v>
      </c>
      <c r="G4844" t="s">
        <v>14998</v>
      </c>
      <c r="H4844" t="s">
        <v>275</v>
      </c>
      <c r="I4844" t="s">
        <v>29</v>
      </c>
      <c r="J4844">
        <v>1</v>
      </c>
      <c r="K4844">
        <f>1-888-690-840</f>
        <v>-2417</v>
      </c>
      <c r="L4844" t="s">
        <v>15112</v>
      </c>
      <c r="M4844" t="s">
        <v>15113</v>
      </c>
      <c r="N4844" t="s">
        <v>278</v>
      </c>
      <c r="O4844" t="s">
        <v>28</v>
      </c>
      <c r="P4844" t="s">
        <v>618</v>
      </c>
      <c r="Q4844">
        <v>52</v>
      </c>
      <c r="R4844">
        <v>-7.9212000000000005E-2</v>
      </c>
    </row>
    <row r="4845" spans="1:18" x14ac:dyDescent="0.2">
      <c r="A4845" t="s">
        <v>270</v>
      </c>
      <c r="B4845" t="s">
        <v>1212</v>
      </c>
      <c r="C4845">
        <v>1</v>
      </c>
      <c r="D4845" s="1">
        <v>44068.023287037038</v>
      </c>
      <c r="E4845" t="s">
        <v>15114</v>
      </c>
      <c r="F4845" t="s">
        <v>273</v>
      </c>
      <c r="G4845" t="s">
        <v>14998</v>
      </c>
      <c r="H4845" t="s">
        <v>275</v>
      </c>
      <c r="I4845" t="s">
        <v>29</v>
      </c>
      <c r="J4845">
        <v>1</v>
      </c>
      <c r="K4845">
        <f>1-888-706-1246</f>
        <v>-2839</v>
      </c>
      <c r="L4845" t="s">
        <v>15115</v>
      </c>
      <c r="M4845" t="s">
        <v>15116</v>
      </c>
      <c r="N4845" t="s">
        <v>278</v>
      </c>
      <c r="O4845" t="s">
        <v>28</v>
      </c>
      <c r="P4845" t="s">
        <v>618</v>
      </c>
      <c r="Q4845">
        <v>52</v>
      </c>
      <c r="R4845">
        <v>-7.9212000000000005E-2</v>
      </c>
    </row>
    <row r="4846" spans="1:18" x14ac:dyDescent="0.2">
      <c r="A4846" t="s">
        <v>270</v>
      </c>
      <c r="B4846" t="s">
        <v>1212</v>
      </c>
      <c r="C4846">
        <v>1</v>
      </c>
      <c r="D4846" s="1">
        <v>44053.300763888888</v>
      </c>
      <c r="E4846" t="s">
        <v>15117</v>
      </c>
      <c r="F4846" t="s">
        <v>273</v>
      </c>
      <c r="G4846" t="s">
        <v>14998</v>
      </c>
      <c r="H4846" t="s">
        <v>275</v>
      </c>
      <c r="I4846" t="s">
        <v>29</v>
      </c>
      <c r="J4846">
        <v>1</v>
      </c>
      <c r="K4846">
        <f>1-866-801-5549</f>
        <v>-7215</v>
      </c>
      <c r="L4846" t="s">
        <v>15118</v>
      </c>
      <c r="M4846" t="s">
        <v>15119</v>
      </c>
      <c r="N4846" t="s">
        <v>278</v>
      </c>
      <c r="O4846" t="s">
        <v>134</v>
      </c>
      <c r="P4846" t="s">
        <v>618</v>
      </c>
      <c r="Q4846">
        <v>52</v>
      </c>
      <c r="R4846">
        <v>-7.9212000000000005E-2</v>
      </c>
    </row>
    <row r="4847" spans="1:18" x14ac:dyDescent="0.2">
      <c r="A4847" t="s">
        <v>270</v>
      </c>
      <c r="B4847" t="s">
        <v>1212</v>
      </c>
      <c r="C4847">
        <v>1</v>
      </c>
      <c r="D4847" s="1">
        <v>44053.289618055554</v>
      </c>
      <c r="E4847" t="s">
        <v>15120</v>
      </c>
      <c r="F4847" t="s">
        <v>273</v>
      </c>
      <c r="G4847" t="s">
        <v>14998</v>
      </c>
      <c r="H4847" t="s">
        <v>275</v>
      </c>
      <c r="I4847" t="s">
        <v>29</v>
      </c>
      <c r="J4847">
        <v>1</v>
      </c>
      <c r="K4847">
        <f>1-888-524-5804</f>
        <v>-7215</v>
      </c>
      <c r="L4847" t="s">
        <v>15121</v>
      </c>
      <c r="M4847" t="s">
        <v>15122</v>
      </c>
      <c r="N4847" t="s">
        <v>278</v>
      </c>
      <c r="O4847" t="s">
        <v>134</v>
      </c>
      <c r="P4847" t="s">
        <v>618</v>
      </c>
      <c r="Q4847">
        <v>52</v>
      </c>
      <c r="R4847">
        <v>-7.9212000000000005E-2</v>
      </c>
    </row>
    <row r="4848" spans="1:18" x14ac:dyDescent="0.2">
      <c r="A4848" t="s">
        <v>270</v>
      </c>
      <c r="B4848" t="s">
        <v>15123</v>
      </c>
      <c r="C4848">
        <v>1</v>
      </c>
      <c r="D4848" s="1">
        <v>44149.154305555552</v>
      </c>
      <c r="E4848" t="s">
        <v>15124</v>
      </c>
      <c r="F4848" t="s">
        <v>273</v>
      </c>
      <c r="G4848" t="s">
        <v>15125</v>
      </c>
      <c r="H4848" t="s">
        <v>275</v>
      </c>
      <c r="I4848" t="s">
        <v>29</v>
      </c>
      <c r="J4848">
        <v>1</v>
      </c>
      <c r="K4848">
        <f>1-844-275-1730</f>
        <v>-2848</v>
      </c>
      <c r="L4848" t="s">
        <v>15126</v>
      </c>
      <c r="M4848" t="s">
        <v>15127</v>
      </c>
      <c r="N4848" t="s">
        <v>278</v>
      </c>
      <c r="O4848" t="s">
        <v>134</v>
      </c>
      <c r="P4848" t="s">
        <v>618</v>
      </c>
      <c r="Q4848">
        <v>51</v>
      </c>
      <c r="R4848">
        <v>-3.1780650000000001</v>
      </c>
    </row>
    <row r="4849" spans="1:18" x14ac:dyDescent="0.2">
      <c r="A4849" t="s">
        <v>270</v>
      </c>
      <c r="B4849" t="s">
        <v>15123</v>
      </c>
      <c r="C4849">
        <v>1</v>
      </c>
      <c r="D4849" s="1">
        <v>44149.13689814815</v>
      </c>
      <c r="E4849" t="s">
        <v>15128</v>
      </c>
      <c r="F4849" t="s">
        <v>273</v>
      </c>
      <c r="G4849" t="s">
        <v>15125</v>
      </c>
      <c r="H4849" t="s">
        <v>275</v>
      </c>
      <c r="I4849" t="s">
        <v>29</v>
      </c>
      <c r="J4849">
        <v>1</v>
      </c>
      <c r="K4849">
        <f>1-844-288-9125</f>
        <v>-10256</v>
      </c>
      <c r="L4849" t="s">
        <v>15129</v>
      </c>
      <c r="M4849" t="s">
        <v>15130</v>
      </c>
      <c r="N4849" t="s">
        <v>278</v>
      </c>
      <c r="O4849" t="s">
        <v>134</v>
      </c>
      <c r="P4849" t="s">
        <v>618</v>
      </c>
      <c r="Q4849">
        <v>51</v>
      </c>
      <c r="R4849">
        <v>-3.1780650000000001</v>
      </c>
    </row>
    <row r="4850" spans="1:18" x14ac:dyDescent="0.2">
      <c r="A4850" t="s">
        <v>270</v>
      </c>
      <c r="B4850" t="s">
        <v>15123</v>
      </c>
      <c r="C4850">
        <v>1</v>
      </c>
      <c r="D4850" s="1">
        <v>44149.135844907411</v>
      </c>
      <c r="E4850" t="s">
        <v>15131</v>
      </c>
      <c r="F4850" t="s">
        <v>273</v>
      </c>
      <c r="G4850" t="s">
        <v>15125</v>
      </c>
      <c r="H4850" t="s">
        <v>275</v>
      </c>
      <c r="I4850" t="s">
        <v>29</v>
      </c>
      <c r="J4850">
        <v>1</v>
      </c>
      <c r="K4850">
        <f>1-844-288-9125</f>
        <v>-10256</v>
      </c>
      <c r="L4850" t="s">
        <v>15132</v>
      </c>
      <c r="M4850" t="s">
        <v>15133</v>
      </c>
      <c r="N4850" t="s">
        <v>278</v>
      </c>
      <c r="O4850" t="s">
        <v>134</v>
      </c>
      <c r="P4850" t="s">
        <v>618</v>
      </c>
      <c r="Q4850">
        <v>51</v>
      </c>
      <c r="R4850">
        <v>-3.1780650000000001</v>
      </c>
    </row>
    <row r="4851" spans="1:18" x14ac:dyDescent="0.2">
      <c r="A4851" t="s">
        <v>270</v>
      </c>
      <c r="B4851" t="s">
        <v>15123</v>
      </c>
      <c r="C4851">
        <v>1</v>
      </c>
      <c r="D4851" s="1">
        <v>44149.123368055552</v>
      </c>
      <c r="E4851" t="s">
        <v>15134</v>
      </c>
      <c r="F4851" t="s">
        <v>273</v>
      </c>
      <c r="G4851" t="s">
        <v>15125</v>
      </c>
      <c r="H4851" t="s">
        <v>275</v>
      </c>
      <c r="I4851" t="s">
        <v>29</v>
      </c>
      <c r="J4851">
        <v>1</v>
      </c>
      <c r="K4851">
        <f>1-844-290-7339</f>
        <v>-8472</v>
      </c>
      <c r="L4851" t="s">
        <v>15135</v>
      </c>
      <c r="M4851" t="s">
        <v>15136</v>
      </c>
      <c r="N4851" t="s">
        <v>278</v>
      </c>
      <c r="O4851" t="s">
        <v>134</v>
      </c>
      <c r="P4851" t="s">
        <v>618</v>
      </c>
      <c r="Q4851">
        <v>51</v>
      </c>
      <c r="R4851">
        <v>-3.1780650000000001</v>
      </c>
    </row>
    <row r="4852" spans="1:18" x14ac:dyDescent="0.2">
      <c r="A4852" t="s">
        <v>270</v>
      </c>
      <c r="B4852" t="s">
        <v>15123</v>
      </c>
      <c r="C4852">
        <v>1</v>
      </c>
      <c r="D4852" s="1">
        <v>44145.760567129626</v>
      </c>
      <c r="E4852" t="s">
        <v>15137</v>
      </c>
      <c r="F4852" t="s">
        <v>273</v>
      </c>
      <c r="G4852" t="s">
        <v>15125</v>
      </c>
      <c r="H4852" t="s">
        <v>275</v>
      </c>
      <c r="I4852" t="s">
        <v>29</v>
      </c>
      <c r="J4852">
        <v>1</v>
      </c>
      <c r="K4852">
        <f>1-844-295-7543</f>
        <v>-8681</v>
      </c>
      <c r="L4852" t="s">
        <v>15138</v>
      </c>
      <c r="M4852" t="s">
        <v>15139</v>
      </c>
      <c r="N4852" t="s">
        <v>278</v>
      </c>
      <c r="O4852" t="s">
        <v>28</v>
      </c>
      <c r="P4852" t="s">
        <v>618</v>
      </c>
      <c r="Q4852">
        <v>51</v>
      </c>
      <c r="R4852">
        <v>-3.1780650000000001</v>
      </c>
    </row>
    <row r="4853" spans="1:18" x14ac:dyDescent="0.2">
      <c r="A4853" t="s">
        <v>270</v>
      </c>
      <c r="B4853" t="s">
        <v>15123</v>
      </c>
      <c r="C4853">
        <v>1</v>
      </c>
      <c r="D4853" s="1">
        <v>44140.78019675926</v>
      </c>
      <c r="E4853" t="s">
        <v>15140</v>
      </c>
      <c r="F4853" t="s">
        <v>273</v>
      </c>
      <c r="G4853" t="s">
        <v>15125</v>
      </c>
      <c r="H4853" t="s">
        <v>275</v>
      </c>
      <c r="I4853" t="s">
        <v>29</v>
      </c>
      <c r="J4853">
        <v>1</v>
      </c>
      <c r="K4853">
        <f>1-888-397-7606</f>
        <v>-8890</v>
      </c>
      <c r="L4853" t="s">
        <v>15141</v>
      </c>
      <c r="M4853" t="s">
        <v>15142</v>
      </c>
      <c r="N4853" t="s">
        <v>278</v>
      </c>
      <c r="O4853" t="s">
        <v>28</v>
      </c>
      <c r="P4853" t="s">
        <v>618</v>
      </c>
      <c r="Q4853">
        <v>51</v>
      </c>
      <c r="R4853">
        <v>-3.1780650000000001</v>
      </c>
    </row>
    <row r="4854" spans="1:18" x14ac:dyDescent="0.2">
      <c r="A4854" t="s">
        <v>270</v>
      </c>
      <c r="B4854" t="s">
        <v>15123</v>
      </c>
      <c r="C4854">
        <v>1</v>
      </c>
      <c r="D4854" s="1">
        <v>44139.841446759259</v>
      </c>
      <c r="E4854" t="s">
        <v>15143</v>
      </c>
      <c r="F4854" t="s">
        <v>273</v>
      </c>
      <c r="G4854" t="s">
        <v>15125</v>
      </c>
      <c r="H4854" t="s">
        <v>275</v>
      </c>
      <c r="I4854" t="s">
        <v>29</v>
      </c>
      <c r="J4854">
        <v>1</v>
      </c>
      <c r="K4854">
        <f>1-888-386-8562</f>
        <v>-9835</v>
      </c>
      <c r="L4854" t="s">
        <v>15144</v>
      </c>
      <c r="M4854" t="s">
        <v>15145</v>
      </c>
      <c r="N4854" t="s">
        <v>278</v>
      </c>
      <c r="O4854" t="s">
        <v>28</v>
      </c>
      <c r="P4854" t="s">
        <v>618</v>
      </c>
      <c r="Q4854">
        <v>51</v>
      </c>
      <c r="R4854">
        <v>-3.1780650000000001</v>
      </c>
    </row>
    <row r="4855" spans="1:18" x14ac:dyDescent="0.2">
      <c r="A4855" t="s">
        <v>270</v>
      </c>
      <c r="B4855" t="s">
        <v>15123</v>
      </c>
      <c r="C4855">
        <v>1</v>
      </c>
      <c r="D4855" s="1">
        <v>44131.728229166663</v>
      </c>
      <c r="E4855" t="s">
        <v>15146</v>
      </c>
      <c r="F4855" t="s">
        <v>273</v>
      </c>
      <c r="G4855" t="s">
        <v>15125</v>
      </c>
      <c r="H4855" t="s">
        <v>275</v>
      </c>
      <c r="I4855" t="s">
        <v>29</v>
      </c>
      <c r="J4855">
        <v>1</v>
      </c>
      <c r="K4855">
        <f>1-888-401-4080</f>
        <v>-5368</v>
      </c>
      <c r="L4855" t="s">
        <v>15147</v>
      </c>
      <c r="M4855" t="s">
        <v>15148</v>
      </c>
      <c r="N4855" t="s">
        <v>278</v>
      </c>
      <c r="O4855" t="s">
        <v>28</v>
      </c>
      <c r="P4855" t="s">
        <v>618</v>
      </c>
      <c r="Q4855">
        <v>51</v>
      </c>
      <c r="R4855">
        <v>-3.1780650000000001</v>
      </c>
    </row>
    <row r="4856" spans="1:18" x14ac:dyDescent="0.2">
      <c r="A4856" t="s">
        <v>270</v>
      </c>
      <c r="B4856" t="s">
        <v>15123</v>
      </c>
      <c r="C4856">
        <v>1</v>
      </c>
      <c r="D4856" s="1">
        <v>44112.760798611111</v>
      </c>
      <c r="E4856" t="s">
        <v>15149</v>
      </c>
      <c r="F4856" t="s">
        <v>273</v>
      </c>
      <c r="G4856" t="s">
        <v>15125</v>
      </c>
      <c r="H4856" t="s">
        <v>275</v>
      </c>
      <c r="I4856" t="s">
        <v>29</v>
      </c>
      <c r="J4856">
        <v>1</v>
      </c>
      <c r="K4856">
        <f>1-888-334-1316</f>
        <v>-2537</v>
      </c>
      <c r="L4856" t="s">
        <v>15150</v>
      </c>
      <c r="M4856" t="s">
        <v>15151</v>
      </c>
      <c r="N4856" t="s">
        <v>278</v>
      </c>
      <c r="O4856" t="s">
        <v>28</v>
      </c>
      <c r="P4856" t="s">
        <v>618</v>
      </c>
      <c r="Q4856">
        <v>51</v>
      </c>
      <c r="R4856">
        <v>-3.1780650000000001</v>
      </c>
    </row>
    <row r="4857" spans="1:18" x14ac:dyDescent="0.2">
      <c r="A4857" t="s">
        <v>270</v>
      </c>
      <c r="B4857" t="s">
        <v>15123</v>
      </c>
      <c r="C4857">
        <v>1</v>
      </c>
      <c r="D4857" s="1">
        <v>44112.760775462964</v>
      </c>
      <c r="E4857" t="s">
        <v>15152</v>
      </c>
      <c r="F4857" t="s">
        <v>273</v>
      </c>
      <c r="G4857" t="s">
        <v>15125</v>
      </c>
      <c r="H4857" t="s">
        <v>275</v>
      </c>
      <c r="I4857" t="s">
        <v>29</v>
      </c>
      <c r="J4857">
        <v>1</v>
      </c>
      <c r="K4857">
        <f>1-888-334-1316</f>
        <v>-2537</v>
      </c>
      <c r="L4857" t="s">
        <v>15153</v>
      </c>
      <c r="M4857" t="s">
        <v>15154</v>
      </c>
      <c r="N4857" t="s">
        <v>278</v>
      </c>
      <c r="O4857" t="s">
        <v>28</v>
      </c>
      <c r="P4857" t="s">
        <v>618</v>
      </c>
      <c r="Q4857">
        <v>51</v>
      </c>
      <c r="R4857">
        <v>-3.1780650000000001</v>
      </c>
    </row>
    <row r="4858" spans="1:18" x14ac:dyDescent="0.2">
      <c r="A4858" t="s">
        <v>270</v>
      </c>
      <c r="B4858" t="s">
        <v>15123</v>
      </c>
      <c r="C4858">
        <v>1</v>
      </c>
      <c r="D4858" s="1">
        <v>44103.839421296296</v>
      </c>
      <c r="E4858" t="s">
        <v>15155</v>
      </c>
      <c r="F4858" t="s">
        <v>273</v>
      </c>
      <c r="G4858" t="s">
        <v>15125</v>
      </c>
      <c r="H4858" t="s">
        <v>275</v>
      </c>
      <c r="I4858" t="s">
        <v>29</v>
      </c>
      <c r="J4858">
        <v>1</v>
      </c>
      <c r="K4858">
        <f>1-888-223-1452</f>
        <v>-2562</v>
      </c>
      <c r="L4858" t="s">
        <v>15156</v>
      </c>
      <c r="M4858" t="s">
        <v>15157</v>
      </c>
      <c r="N4858" t="s">
        <v>278</v>
      </c>
      <c r="O4858" t="s">
        <v>28</v>
      </c>
      <c r="P4858" t="s">
        <v>618</v>
      </c>
      <c r="Q4858">
        <v>51</v>
      </c>
      <c r="R4858">
        <v>-3.1780650000000001</v>
      </c>
    </row>
    <row r="4859" spans="1:18" x14ac:dyDescent="0.2">
      <c r="A4859" t="s">
        <v>270</v>
      </c>
      <c r="B4859" t="s">
        <v>15123</v>
      </c>
      <c r="C4859">
        <v>1</v>
      </c>
      <c r="D4859" s="1">
        <v>44102.822638888887</v>
      </c>
      <c r="E4859" t="s">
        <v>15158</v>
      </c>
      <c r="F4859" t="s">
        <v>273</v>
      </c>
      <c r="G4859" t="s">
        <v>15125</v>
      </c>
      <c r="H4859" t="s">
        <v>275</v>
      </c>
      <c r="I4859" t="s">
        <v>29</v>
      </c>
      <c r="J4859">
        <v>1</v>
      </c>
      <c r="K4859">
        <f>1-888-228-8619</f>
        <v>-9734</v>
      </c>
      <c r="L4859" t="s">
        <v>15159</v>
      </c>
      <c r="M4859" t="s">
        <v>15160</v>
      </c>
      <c r="N4859" t="s">
        <v>278</v>
      </c>
      <c r="O4859" t="s">
        <v>28</v>
      </c>
      <c r="P4859" t="s">
        <v>618</v>
      </c>
      <c r="Q4859">
        <v>51</v>
      </c>
      <c r="R4859">
        <v>-3.1780650000000001</v>
      </c>
    </row>
    <row r="4860" spans="1:18" x14ac:dyDescent="0.2">
      <c r="A4860" t="s">
        <v>270</v>
      </c>
      <c r="B4860" t="s">
        <v>15123</v>
      </c>
      <c r="C4860">
        <v>1</v>
      </c>
      <c r="D4860" s="1">
        <v>44096.366770833331</v>
      </c>
      <c r="E4860" t="s">
        <v>15161</v>
      </c>
      <c r="F4860" t="s">
        <v>273</v>
      </c>
      <c r="G4860" t="s">
        <v>15125</v>
      </c>
      <c r="H4860" t="s">
        <v>275</v>
      </c>
      <c r="I4860" t="s">
        <v>29</v>
      </c>
      <c r="J4860">
        <v>1</v>
      </c>
      <c r="K4860">
        <f>1-844-309-2655</f>
        <v>-3807</v>
      </c>
      <c r="L4860" t="s">
        <v>15162</v>
      </c>
      <c r="M4860" t="s">
        <v>15163</v>
      </c>
      <c r="N4860" t="s">
        <v>278</v>
      </c>
      <c r="O4860" t="s">
        <v>28</v>
      </c>
      <c r="P4860" t="s">
        <v>618</v>
      </c>
      <c r="Q4860">
        <v>51</v>
      </c>
      <c r="R4860">
        <v>-3.1780650000000001</v>
      </c>
    </row>
    <row r="4861" spans="1:18" x14ac:dyDescent="0.2">
      <c r="A4861" t="s">
        <v>270</v>
      </c>
      <c r="B4861" t="s">
        <v>15123</v>
      </c>
      <c r="C4861">
        <v>1</v>
      </c>
      <c r="D4861" s="1">
        <v>44096.365995370368</v>
      </c>
      <c r="E4861" t="s">
        <v>15164</v>
      </c>
      <c r="F4861" t="s">
        <v>273</v>
      </c>
      <c r="G4861" t="s">
        <v>15125</v>
      </c>
      <c r="H4861" t="s">
        <v>275</v>
      </c>
      <c r="I4861" t="s">
        <v>29</v>
      </c>
      <c r="J4861">
        <v>1</v>
      </c>
      <c r="K4861">
        <f>1-844-290-1224</f>
        <v>-2357</v>
      </c>
      <c r="L4861" t="s">
        <v>15165</v>
      </c>
      <c r="M4861" t="s">
        <v>15166</v>
      </c>
      <c r="N4861" t="s">
        <v>278</v>
      </c>
      <c r="O4861" t="s">
        <v>28</v>
      </c>
      <c r="P4861" t="s">
        <v>618</v>
      </c>
      <c r="Q4861">
        <v>51</v>
      </c>
      <c r="R4861">
        <v>-3.1780650000000001</v>
      </c>
    </row>
    <row r="4862" spans="1:18" x14ac:dyDescent="0.2">
      <c r="A4862" t="s">
        <v>270</v>
      </c>
      <c r="B4862" t="s">
        <v>15123</v>
      </c>
      <c r="C4862">
        <v>1</v>
      </c>
      <c r="D4862" s="1">
        <v>44095.784861111111</v>
      </c>
      <c r="E4862" t="s">
        <v>15167</v>
      </c>
      <c r="F4862" t="s">
        <v>273</v>
      </c>
      <c r="G4862" t="s">
        <v>15125</v>
      </c>
      <c r="H4862" t="s">
        <v>275</v>
      </c>
      <c r="I4862" t="s">
        <v>29</v>
      </c>
      <c r="J4862">
        <v>1</v>
      </c>
      <c r="K4862">
        <f>1-844-301-8222</f>
        <v>-9366</v>
      </c>
      <c r="L4862" t="s">
        <v>15168</v>
      </c>
      <c r="M4862" t="s">
        <v>15169</v>
      </c>
      <c r="N4862" t="s">
        <v>278</v>
      </c>
      <c r="O4862" t="s">
        <v>28</v>
      </c>
      <c r="P4862" t="s">
        <v>618</v>
      </c>
      <c r="Q4862">
        <v>51</v>
      </c>
      <c r="R4862">
        <v>-3.1780650000000001</v>
      </c>
    </row>
    <row r="4863" spans="1:18" x14ac:dyDescent="0.2">
      <c r="A4863" t="s">
        <v>270</v>
      </c>
      <c r="B4863" t="s">
        <v>15123</v>
      </c>
      <c r="C4863">
        <v>1</v>
      </c>
      <c r="D4863" s="1">
        <v>44095.783900462964</v>
      </c>
      <c r="E4863" t="s">
        <v>15170</v>
      </c>
      <c r="F4863" t="s">
        <v>273</v>
      </c>
      <c r="G4863" t="s">
        <v>15125</v>
      </c>
      <c r="H4863" t="s">
        <v>275</v>
      </c>
      <c r="I4863" t="s">
        <v>29</v>
      </c>
      <c r="J4863">
        <v>1</v>
      </c>
      <c r="K4863">
        <f>1-844-288-9111</f>
        <v>-10242</v>
      </c>
      <c r="L4863" t="s">
        <v>15171</v>
      </c>
      <c r="M4863" t="s">
        <v>15172</v>
      </c>
      <c r="N4863" t="s">
        <v>278</v>
      </c>
      <c r="O4863" t="s">
        <v>28</v>
      </c>
      <c r="P4863" t="s">
        <v>618</v>
      </c>
      <c r="Q4863">
        <v>51</v>
      </c>
      <c r="R4863">
        <v>-3.1780650000000001</v>
      </c>
    </row>
    <row r="4864" spans="1:18" x14ac:dyDescent="0.2">
      <c r="A4864" t="s">
        <v>270</v>
      </c>
      <c r="B4864" t="s">
        <v>15123</v>
      </c>
      <c r="C4864">
        <v>1</v>
      </c>
      <c r="D4864" s="1">
        <v>44090.801585648151</v>
      </c>
      <c r="E4864" t="s">
        <v>15173</v>
      </c>
      <c r="F4864" t="s">
        <v>273</v>
      </c>
      <c r="G4864" t="s">
        <v>15125</v>
      </c>
      <c r="H4864" t="s">
        <v>275</v>
      </c>
      <c r="I4864" t="s">
        <v>29</v>
      </c>
      <c r="J4864">
        <v>1</v>
      </c>
      <c r="K4864">
        <f>1-844-216-845</f>
        <v>-1904</v>
      </c>
      <c r="L4864" t="s">
        <v>15174</v>
      </c>
      <c r="M4864" t="s">
        <v>15175</v>
      </c>
      <c r="N4864" t="s">
        <v>278</v>
      </c>
      <c r="O4864" t="s">
        <v>28</v>
      </c>
      <c r="P4864" t="s">
        <v>618</v>
      </c>
      <c r="Q4864">
        <v>51</v>
      </c>
      <c r="R4864">
        <v>-3.1780650000000001</v>
      </c>
    </row>
    <row r="4865" spans="1:18" x14ac:dyDescent="0.2">
      <c r="A4865" t="s">
        <v>270</v>
      </c>
      <c r="B4865" t="s">
        <v>15123</v>
      </c>
      <c r="C4865">
        <v>1</v>
      </c>
      <c r="D4865" s="1">
        <v>44090.798402777778</v>
      </c>
      <c r="E4865" t="s">
        <v>15176</v>
      </c>
      <c r="F4865" t="s">
        <v>273</v>
      </c>
      <c r="G4865" t="s">
        <v>15125</v>
      </c>
      <c r="H4865" t="s">
        <v>275</v>
      </c>
      <c r="I4865" t="s">
        <v>29</v>
      </c>
      <c r="J4865">
        <v>1</v>
      </c>
      <c r="K4865">
        <f>1-844-243-4064</f>
        <v>-5150</v>
      </c>
      <c r="L4865" t="s">
        <v>15177</v>
      </c>
      <c r="M4865" t="s">
        <v>15178</v>
      </c>
      <c r="N4865" t="s">
        <v>278</v>
      </c>
      <c r="O4865" t="s">
        <v>28</v>
      </c>
      <c r="P4865" t="s">
        <v>618</v>
      </c>
      <c r="Q4865">
        <v>51</v>
      </c>
      <c r="R4865">
        <v>-3.1780650000000001</v>
      </c>
    </row>
    <row r="4866" spans="1:18" x14ac:dyDescent="0.2">
      <c r="A4866" t="s">
        <v>270</v>
      </c>
      <c r="B4866" t="s">
        <v>15123</v>
      </c>
      <c r="C4866">
        <v>1</v>
      </c>
      <c r="D4866" s="1">
        <v>44090.797384259262</v>
      </c>
      <c r="E4866" t="s">
        <v>15179</v>
      </c>
      <c r="F4866" t="s">
        <v>273</v>
      </c>
      <c r="G4866" t="s">
        <v>15125</v>
      </c>
      <c r="H4866" t="s">
        <v>275</v>
      </c>
      <c r="I4866" t="s">
        <v>29</v>
      </c>
      <c r="J4866">
        <v>1</v>
      </c>
      <c r="K4866">
        <f>1-844-243-4064</f>
        <v>-5150</v>
      </c>
      <c r="L4866" t="s">
        <v>15180</v>
      </c>
      <c r="M4866" t="s">
        <v>15181</v>
      </c>
      <c r="N4866" t="s">
        <v>278</v>
      </c>
      <c r="O4866" t="s">
        <v>28</v>
      </c>
      <c r="P4866" t="s">
        <v>618</v>
      </c>
      <c r="Q4866">
        <v>51</v>
      </c>
      <c r="R4866">
        <v>-3.1780650000000001</v>
      </c>
    </row>
    <row r="4867" spans="1:18" x14ac:dyDescent="0.2">
      <c r="A4867" t="s">
        <v>270</v>
      </c>
      <c r="B4867" t="s">
        <v>15123</v>
      </c>
      <c r="C4867">
        <v>1</v>
      </c>
      <c r="D4867" s="1">
        <v>44090.416631944441</v>
      </c>
      <c r="E4867" t="s">
        <v>15182</v>
      </c>
      <c r="F4867" t="s">
        <v>273</v>
      </c>
      <c r="G4867" t="s">
        <v>15125</v>
      </c>
      <c r="H4867" t="s">
        <v>275</v>
      </c>
      <c r="I4867" t="s">
        <v>29</v>
      </c>
      <c r="J4867">
        <v>1</v>
      </c>
      <c r="K4867">
        <f>1-844-318-8589</f>
        <v>-9750</v>
      </c>
      <c r="L4867" t="s">
        <v>15183</v>
      </c>
      <c r="M4867" t="s">
        <v>15184</v>
      </c>
      <c r="N4867" t="s">
        <v>278</v>
      </c>
      <c r="O4867" t="s">
        <v>28</v>
      </c>
      <c r="P4867" t="s">
        <v>618</v>
      </c>
      <c r="Q4867">
        <v>51</v>
      </c>
      <c r="R4867">
        <v>-3.1780650000000001</v>
      </c>
    </row>
    <row r="4868" spans="1:18" x14ac:dyDescent="0.2">
      <c r="A4868" t="s">
        <v>270</v>
      </c>
      <c r="B4868" t="s">
        <v>15123</v>
      </c>
      <c r="C4868">
        <v>1</v>
      </c>
      <c r="D4868" s="1">
        <v>44090.416284722225</v>
      </c>
      <c r="E4868" t="s">
        <v>15185</v>
      </c>
      <c r="F4868" t="s">
        <v>273</v>
      </c>
      <c r="G4868" t="s">
        <v>15125</v>
      </c>
      <c r="H4868" t="s">
        <v>275</v>
      </c>
      <c r="I4868" t="s">
        <v>29</v>
      </c>
      <c r="J4868">
        <v>1</v>
      </c>
      <c r="K4868">
        <f>1-844-318-8589</f>
        <v>-9750</v>
      </c>
      <c r="L4868" t="s">
        <v>15186</v>
      </c>
      <c r="M4868" t="s">
        <v>15187</v>
      </c>
      <c r="N4868" t="s">
        <v>278</v>
      </c>
      <c r="O4868" t="s">
        <v>28</v>
      </c>
      <c r="P4868" t="s">
        <v>618</v>
      </c>
      <c r="Q4868">
        <v>51</v>
      </c>
      <c r="R4868">
        <v>-3.1780650000000001</v>
      </c>
    </row>
    <row r="4869" spans="1:18" x14ac:dyDescent="0.2">
      <c r="A4869" t="s">
        <v>270</v>
      </c>
      <c r="B4869" t="s">
        <v>15123</v>
      </c>
      <c r="C4869">
        <v>1</v>
      </c>
      <c r="D4869" s="1">
        <v>44090.41547453704</v>
      </c>
      <c r="E4869" t="s">
        <v>15188</v>
      </c>
      <c r="F4869" t="s">
        <v>273</v>
      </c>
      <c r="G4869" t="s">
        <v>15125</v>
      </c>
      <c r="H4869" t="s">
        <v>275</v>
      </c>
      <c r="I4869" t="s">
        <v>29</v>
      </c>
      <c r="J4869">
        <v>1</v>
      </c>
      <c r="K4869">
        <f>1-844-293-8713</f>
        <v>-9849</v>
      </c>
      <c r="L4869" t="s">
        <v>15189</v>
      </c>
      <c r="M4869" t="s">
        <v>15190</v>
      </c>
      <c r="N4869" t="s">
        <v>278</v>
      </c>
      <c r="O4869" t="s">
        <v>28</v>
      </c>
      <c r="P4869" t="s">
        <v>618</v>
      </c>
      <c r="Q4869">
        <v>51</v>
      </c>
      <c r="R4869">
        <v>-3.1780650000000001</v>
      </c>
    </row>
    <row r="4870" spans="1:18" x14ac:dyDescent="0.2">
      <c r="A4870" t="s">
        <v>270</v>
      </c>
      <c r="B4870" t="s">
        <v>15123</v>
      </c>
      <c r="C4870">
        <v>1</v>
      </c>
      <c r="D4870" s="1">
        <v>44089.432245370372</v>
      </c>
      <c r="E4870" t="s">
        <v>15191</v>
      </c>
      <c r="F4870" t="s">
        <v>273</v>
      </c>
      <c r="G4870" t="s">
        <v>15125</v>
      </c>
      <c r="H4870" t="s">
        <v>275</v>
      </c>
      <c r="I4870" t="s">
        <v>29</v>
      </c>
      <c r="J4870">
        <v>1</v>
      </c>
      <c r="K4870">
        <f>1-844-210-4337</f>
        <v>-5390</v>
      </c>
      <c r="L4870" t="s">
        <v>15192</v>
      </c>
      <c r="M4870" t="s">
        <v>15193</v>
      </c>
      <c r="N4870" t="s">
        <v>278</v>
      </c>
      <c r="O4870" t="s">
        <v>28</v>
      </c>
      <c r="P4870" t="s">
        <v>618</v>
      </c>
      <c r="Q4870">
        <v>51</v>
      </c>
      <c r="R4870">
        <v>-3.1780650000000001</v>
      </c>
    </row>
    <row r="4871" spans="1:18" x14ac:dyDescent="0.2">
      <c r="A4871" t="s">
        <v>270</v>
      </c>
      <c r="B4871" t="s">
        <v>15123</v>
      </c>
      <c r="C4871">
        <v>1</v>
      </c>
      <c r="D4871" s="1">
        <v>44088.940532407411</v>
      </c>
      <c r="E4871" t="s">
        <v>15194</v>
      </c>
      <c r="F4871" t="s">
        <v>273</v>
      </c>
      <c r="G4871" t="s">
        <v>15125</v>
      </c>
      <c r="H4871" t="s">
        <v>275</v>
      </c>
      <c r="I4871" t="s">
        <v>29</v>
      </c>
      <c r="J4871">
        <v>1</v>
      </c>
      <c r="K4871">
        <f>1-844-210-4337</f>
        <v>-5390</v>
      </c>
      <c r="L4871" t="s">
        <v>15195</v>
      </c>
      <c r="M4871" t="s">
        <v>15196</v>
      </c>
      <c r="N4871" t="s">
        <v>278</v>
      </c>
      <c r="O4871" t="s">
        <v>28</v>
      </c>
      <c r="P4871" t="s">
        <v>618</v>
      </c>
      <c r="Q4871">
        <v>51</v>
      </c>
      <c r="R4871">
        <v>-3.1780650000000001</v>
      </c>
    </row>
    <row r="4872" spans="1:18" x14ac:dyDescent="0.2">
      <c r="A4872" t="s">
        <v>270</v>
      </c>
      <c r="B4872" t="s">
        <v>15123</v>
      </c>
      <c r="C4872">
        <v>1</v>
      </c>
      <c r="D4872" s="1">
        <v>44088.789201388892</v>
      </c>
      <c r="E4872" t="s">
        <v>15197</v>
      </c>
      <c r="F4872" t="s">
        <v>273</v>
      </c>
      <c r="G4872" t="s">
        <v>15125</v>
      </c>
      <c r="H4872" t="s">
        <v>275</v>
      </c>
      <c r="I4872" t="s">
        <v>29</v>
      </c>
      <c r="J4872">
        <v>1</v>
      </c>
      <c r="K4872">
        <f>1-844-212-1446</f>
        <v>-2501</v>
      </c>
      <c r="L4872" t="s">
        <v>15198</v>
      </c>
      <c r="M4872" t="s">
        <v>15199</v>
      </c>
      <c r="N4872" t="s">
        <v>278</v>
      </c>
      <c r="O4872" t="s">
        <v>28</v>
      </c>
      <c r="P4872" t="s">
        <v>618</v>
      </c>
      <c r="Q4872">
        <v>51</v>
      </c>
      <c r="R4872">
        <v>-3.1780650000000001</v>
      </c>
    </row>
    <row r="4873" spans="1:18" x14ac:dyDescent="0.2">
      <c r="A4873" t="s">
        <v>270</v>
      </c>
      <c r="B4873" t="s">
        <v>15123</v>
      </c>
      <c r="C4873">
        <v>1</v>
      </c>
      <c r="D4873" s="1">
        <v>44088.771967592591</v>
      </c>
      <c r="E4873" t="s">
        <v>15200</v>
      </c>
      <c r="F4873" t="s">
        <v>273</v>
      </c>
      <c r="G4873" t="s">
        <v>15125</v>
      </c>
      <c r="H4873" t="s">
        <v>275</v>
      </c>
      <c r="I4873" t="s">
        <v>29</v>
      </c>
      <c r="J4873">
        <v>1</v>
      </c>
      <c r="K4873">
        <f>1-844-212-7353</f>
        <v>-8408</v>
      </c>
      <c r="L4873" t="s">
        <v>15201</v>
      </c>
      <c r="M4873" t="s">
        <v>15202</v>
      </c>
      <c r="N4873" t="s">
        <v>278</v>
      </c>
      <c r="O4873" t="s">
        <v>28</v>
      </c>
      <c r="P4873" t="s">
        <v>618</v>
      </c>
      <c r="Q4873">
        <v>51</v>
      </c>
      <c r="R4873">
        <v>-3.1780650000000001</v>
      </c>
    </row>
    <row r="4874" spans="1:18" x14ac:dyDescent="0.2">
      <c r="A4874" t="s">
        <v>270</v>
      </c>
      <c r="B4874" t="s">
        <v>15123</v>
      </c>
      <c r="C4874">
        <v>1</v>
      </c>
      <c r="D4874" s="1">
        <v>44084.782569444447</v>
      </c>
      <c r="E4874" t="s">
        <v>15203</v>
      </c>
      <c r="F4874" t="s">
        <v>273</v>
      </c>
      <c r="G4874" t="s">
        <v>15125</v>
      </c>
      <c r="H4874" t="s">
        <v>275</v>
      </c>
      <c r="I4874" t="s">
        <v>29</v>
      </c>
      <c r="J4874">
        <v>1</v>
      </c>
      <c r="K4874">
        <f>1-888-608-5109</f>
        <v>-6604</v>
      </c>
      <c r="L4874" t="s">
        <v>15204</v>
      </c>
      <c r="M4874" t="s">
        <v>15205</v>
      </c>
      <c r="N4874" t="s">
        <v>278</v>
      </c>
      <c r="O4874" t="s">
        <v>28</v>
      </c>
      <c r="P4874" t="s">
        <v>618</v>
      </c>
      <c r="Q4874">
        <v>51</v>
      </c>
      <c r="R4874">
        <v>-3.1780650000000001</v>
      </c>
    </row>
    <row r="4875" spans="1:18" x14ac:dyDescent="0.2">
      <c r="A4875" t="s">
        <v>270</v>
      </c>
      <c r="B4875" t="s">
        <v>15123</v>
      </c>
      <c r="C4875">
        <v>1</v>
      </c>
      <c r="D4875" s="1">
        <v>44084.780578703707</v>
      </c>
      <c r="E4875" t="s">
        <v>15206</v>
      </c>
      <c r="F4875" t="s">
        <v>273</v>
      </c>
      <c r="G4875" t="s">
        <v>15125</v>
      </c>
      <c r="H4875" t="s">
        <v>275</v>
      </c>
      <c r="I4875" t="s">
        <v>29</v>
      </c>
      <c r="J4875">
        <v>1</v>
      </c>
      <c r="K4875">
        <f>1-844-318-7909</f>
        <v>-9070</v>
      </c>
      <c r="L4875" t="s">
        <v>15207</v>
      </c>
      <c r="M4875" t="s">
        <v>15208</v>
      </c>
      <c r="N4875" t="s">
        <v>278</v>
      </c>
      <c r="O4875" t="s">
        <v>28</v>
      </c>
      <c r="P4875" t="s">
        <v>618</v>
      </c>
      <c r="Q4875">
        <v>51</v>
      </c>
      <c r="R4875">
        <v>-3.1780650000000001</v>
      </c>
    </row>
    <row r="4876" spans="1:18" x14ac:dyDescent="0.2">
      <c r="A4876" t="s">
        <v>270</v>
      </c>
      <c r="B4876" t="s">
        <v>15123</v>
      </c>
      <c r="C4876">
        <v>1</v>
      </c>
      <c r="D4876" s="1">
        <v>44083.912905092591</v>
      </c>
      <c r="E4876" t="s">
        <v>15209</v>
      </c>
      <c r="F4876" t="s">
        <v>273</v>
      </c>
      <c r="G4876" t="s">
        <v>15125</v>
      </c>
      <c r="H4876" t="s">
        <v>275</v>
      </c>
      <c r="I4876" t="s">
        <v>29</v>
      </c>
      <c r="J4876">
        <v>1</v>
      </c>
      <c r="K4876">
        <f>1-888-585-4129</f>
        <v>-5601</v>
      </c>
      <c r="L4876" t="s">
        <v>15210</v>
      </c>
      <c r="M4876" t="s">
        <v>15211</v>
      </c>
      <c r="N4876" t="s">
        <v>278</v>
      </c>
      <c r="O4876" t="s">
        <v>28</v>
      </c>
      <c r="P4876" t="s">
        <v>618</v>
      </c>
      <c r="Q4876">
        <v>51</v>
      </c>
      <c r="R4876">
        <v>-3.1780650000000001</v>
      </c>
    </row>
    <row r="4877" spans="1:18" x14ac:dyDescent="0.2">
      <c r="A4877" t="s">
        <v>270</v>
      </c>
      <c r="B4877" t="s">
        <v>15123</v>
      </c>
      <c r="C4877">
        <v>1</v>
      </c>
      <c r="D4877" s="1">
        <v>44083.829652777778</v>
      </c>
      <c r="E4877" t="s">
        <v>15212</v>
      </c>
      <c r="F4877" t="s">
        <v>273</v>
      </c>
      <c r="G4877" t="s">
        <v>15125</v>
      </c>
      <c r="H4877" t="s">
        <v>275</v>
      </c>
      <c r="I4877" t="s">
        <v>29</v>
      </c>
      <c r="J4877">
        <v>1</v>
      </c>
      <c r="K4877">
        <f>1-888-592-7014</f>
        <v>-8493</v>
      </c>
      <c r="L4877" t="s">
        <v>15213</v>
      </c>
      <c r="M4877" t="s">
        <v>15214</v>
      </c>
      <c r="N4877" t="s">
        <v>278</v>
      </c>
      <c r="O4877" t="s">
        <v>28</v>
      </c>
      <c r="P4877" t="s">
        <v>618</v>
      </c>
      <c r="Q4877">
        <v>51</v>
      </c>
      <c r="R4877">
        <v>-3.1780650000000001</v>
      </c>
    </row>
    <row r="4878" spans="1:18" x14ac:dyDescent="0.2">
      <c r="A4878" t="s">
        <v>270</v>
      </c>
      <c r="B4878" t="s">
        <v>15123</v>
      </c>
      <c r="C4878">
        <v>1</v>
      </c>
      <c r="D4878" s="1">
        <v>44083.828831018516</v>
      </c>
      <c r="E4878" t="s">
        <v>15215</v>
      </c>
      <c r="F4878" t="s">
        <v>273</v>
      </c>
      <c r="G4878" t="s">
        <v>15125</v>
      </c>
      <c r="H4878" t="s">
        <v>275</v>
      </c>
      <c r="I4878" t="s">
        <v>29</v>
      </c>
      <c r="J4878">
        <v>1</v>
      </c>
      <c r="K4878">
        <f>1-888-585-7516</f>
        <v>-8988</v>
      </c>
      <c r="L4878" t="s">
        <v>15216</v>
      </c>
      <c r="M4878" t="s">
        <v>15217</v>
      </c>
      <c r="N4878" t="s">
        <v>278</v>
      </c>
      <c r="O4878" t="s">
        <v>28</v>
      </c>
      <c r="P4878" t="s">
        <v>618</v>
      </c>
      <c r="Q4878">
        <v>51</v>
      </c>
      <c r="R4878">
        <v>-3.1780650000000001</v>
      </c>
    </row>
    <row r="4879" spans="1:18" x14ac:dyDescent="0.2">
      <c r="A4879" t="s">
        <v>270</v>
      </c>
      <c r="B4879" t="s">
        <v>15123</v>
      </c>
      <c r="C4879">
        <v>1</v>
      </c>
      <c r="D4879" s="1">
        <v>44078.852905092594</v>
      </c>
      <c r="E4879" t="s">
        <v>15218</v>
      </c>
      <c r="F4879" t="s">
        <v>273</v>
      </c>
      <c r="G4879" t="s">
        <v>15125</v>
      </c>
      <c r="H4879" t="s">
        <v>275</v>
      </c>
      <c r="I4879" t="s">
        <v>29</v>
      </c>
      <c r="J4879">
        <v>1</v>
      </c>
      <c r="K4879">
        <f>1-866-591-3044</f>
        <v>-4500</v>
      </c>
      <c r="L4879" t="s">
        <v>15219</v>
      </c>
      <c r="M4879" t="s">
        <v>15220</v>
      </c>
      <c r="N4879" t="s">
        <v>278</v>
      </c>
      <c r="O4879" t="s">
        <v>134</v>
      </c>
      <c r="P4879" t="s">
        <v>618</v>
      </c>
      <c r="Q4879">
        <v>51</v>
      </c>
      <c r="R4879">
        <v>-3.1780650000000001</v>
      </c>
    </row>
    <row r="4880" spans="1:18" x14ac:dyDescent="0.2">
      <c r="A4880" t="s">
        <v>270</v>
      </c>
      <c r="B4880" t="s">
        <v>15123</v>
      </c>
      <c r="C4880">
        <v>1</v>
      </c>
      <c r="D4880" s="1">
        <v>44078.851817129631</v>
      </c>
      <c r="E4880" t="s">
        <v>15221</v>
      </c>
      <c r="F4880" t="s">
        <v>273</v>
      </c>
      <c r="G4880" t="s">
        <v>15125</v>
      </c>
      <c r="H4880" t="s">
        <v>275</v>
      </c>
      <c r="I4880" t="s">
        <v>29</v>
      </c>
      <c r="J4880">
        <v>1</v>
      </c>
      <c r="K4880">
        <f>1-866-754-7703</f>
        <v>-9322</v>
      </c>
      <c r="L4880" t="s">
        <v>15222</v>
      </c>
      <c r="M4880" t="s">
        <v>15223</v>
      </c>
      <c r="N4880" t="s">
        <v>278</v>
      </c>
      <c r="O4880" t="s">
        <v>134</v>
      </c>
      <c r="P4880" t="s">
        <v>618</v>
      </c>
      <c r="Q4880">
        <v>51</v>
      </c>
      <c r="R4880">
        <v>-3.1780650000000001</v>
      </c>
    </row>
    <row r="4881" spans="1:18" x14ac:dyDescent="0.2">
      <c r="A4881" t="s">
        <v>270</v>
      </c>
      <c r="B4881" t="s">
        <v>15123</v>
      </c>
      <c r="C4881">
        <v>1</v>
      </c>
      <c r="D4881" s="1">
        <v>44078.850729166668</v>
      </c>
      <c r="E4881" t="s">
        <v>15224</v>
      </c>
      <c r="F4881" t="s">
        <v>273</v>
      </c>
      <c r="G4881" t="s">
        <v>15125</v>
      </c>
      <c r="H4881" t="s">
        <v>275</v>
      </c>
      <c r="I4881" t="s">
        <v>29</v>
      </c>
      <c r="J4881">
        <v>1</v>
      </c>
      <c r="K4881">
        <f>1-866-517-1982</f>
        <v>-3364</v>
      </c>
      <c r="L4881" t="s">
        <v>15225</v>
      </c>
      <c r="M4881" t="s">
        <v>15226</v>
      </c>
      <c r="N4881" t="s">
        <v>278</v>
      </c>
      <c r="O4881" t="s">
        <v>134</v>
      </c>
      <c r="P4881" t="s">
        <v>618</v>
      </c>
      <c r="Q4881">
        <v>51</v>
      </c>
      <c r="R4881">
        <v>-3.1780650000000001</v>
      </c>
    </row>
    <row r="4882" spans="1:18" x14ac:dyDescent="0.2">
      <c r="A4882" t="s">
        <v>270</v>
      </c>
      <c r="B4882" t="s">
        <v>15123</v>
      </c>
      <c r="C4882">
        <v>1</v>
      </c>
      <c r="D4882" s="1">
        <v>44072.869733796295</v>
      </c>
      <c r="E4882" t="s">
        <v>15227</v>
      </c>
      <c r="F4882" t="s">
        <v>273</v>
      </c>
      <c r="G4882" t="s">
        <v>15125</v>
      </c>
      <c r="H4882" t="s">
        <v>275</v>
      </c>
      <c r="I4882" t="s">
        <v>29</v>
      </c>
      <c r="J4882">
        <v>1</v>
      </c>
      <c r="K4882">
        <f>1-888-662-8133</f>
        <v>-9682</v>
      </c>
      <c r="L4882" t="s">
        <v>15228</v>
      </c>
      <c r="M4882" t="s">
        <v>15229</v>
      </c>
      <c r="N4882" t="s">
        <v>278</v>
      </c>
      <c r="O4882" t="s">
        <v>134</v>
      </c>
      <c r="P4882" t="s">
        <v>618</v>
      </c>
      <c r="Q4882">
        <v>51</v>
      </c>
      <c r="R4882">
        <v>-3.1780650000000001</v>
      </c>
    </row>
    <row r="4883" spans="1:18" x14ac:dyDescent="0.2">
      <c r="A4883" t="s">
        <v>270</v>
      </c>
      <c r="B4883" t="s">
        <v>15123</v>
      </c>
      <c r="C4883">
        <v>1</v>
      </c>
      <c r="D4883" s="1">
        <v>44072.868668981479</v>
      </c>
      <c r="E4883" t="s">
        <v>15230</v>
      </c>
      <c r="F4883" t="s">
        <v>273</v>
      </c>
      <c r="G4883" t="s">
        <v>15125</v>
      </c>
      <c r="H4883" t="s">
        <v>275</v>
      </c>
      <c r="I4883" t="s">
        <v>29</v>
      </c>
      <c r="J4883">
        <v>1</v>
      </c>
      <c r="K4883">
        <f>1-888-609-3819</f>
        <v>-5315</v>
      </c>
      <c r="L4883" t="s">
        <v>15231</v>
      </c>
      <c r="M4883" t="s">
        <v>15232</v>
      </c>
      <c r="N4883" t="s">
        <v>278</v>
      </c>
      <c r="O4883" t="s">
        <v>134</v>
      </c>
      <c r="P4883" t="s">
        <v>618</v>
      </c>
      <c r="Q4883">
        <v>51</v>
      </c>
      <c r="R4883">
        <v>-3.1780650000000001</v>
      </c>
    </row>
    <row r="4884" spans="1:18" x14ac:dyDescent="0.2">
      <c r="A4884" t="s">
        <v>270</v>
      </c>
      <c r="B4884" t="s">
        <v>15123</v>
      </c>
      <c r="C4884">
        <v>1</v>
      </c>
      <c r="D4884" s="1">
        <v>44072.868125000001</v>
      </c>
      <c r="E4884" t="s">
        <v>15233</v>
      </c>
      <c r="F4884" t="s">
        <v>273</v>
      </c>
      <c r="G4884" t="s">
        <v>15125</v>
      </c>
      <c r="H4884" t="s">
        <v>275</v>
      </c>
      <c r="I4884" t="s">
        <v>29</v>
      </c>
      <c r="J4884">
        <v>1</v>
      </c>
      <c r="K4884">
        <f>1-888-619-5735</f>
        <v>-7241</v>
      </c>
      <c r="L4884" t="s">
        <v>15234</v>
      </c>
      <c r="M4884" t="s">
        <v>15235</v>
      </c>
      <c r="N4884" t="s">
        <v>278</v>
      </c>
      <c r="O4884" t="s">
        <v>134</v>
      </c>
      <c r="P4884" t="s">
        <v>618</v>
      </c>
      <c r="Q4884">
        <v>51</v>
      </c>
      <c r="R4884">
        <v>-3.1780650000000001</v>
      </c>
    </row>
    <row r="4885" spans="1:18" x14ac:dyDescent="0.2">
      <c r="A4885" t="s">
        <v>270</v>
      </c>
      <c r="B4885" t="s">
        <v>15123</v>
      </c>
      <c r="C4885">
        <v>1</v>
      </c>
      <c r="D4885" s="1">
        <v>44072.866620370369</v>
      </c>
      <c r="E4885" t="s">
        <v>15236</v>
      </c>
      <c r="F4885" t="s">
        <v>273</v>
      </c>
      <c r="G4885" t="s">
        <v>15125</v>
      </c>
      <c r="H4885" t="s">
        <v>275</v>
      </c>
      <c r="I4885" t="s">
        <v>29</v>
      </c>
      <c r="J4885">
        <v>1</v>
      </c>
      <c r="K4885">
        <f>1-888-604-806</f>
        <v>-2297</v>
      </c>
      <c r="L4885" t="s">
        <v>15237</v>
      </c>
      <c r="M4885" t="s">
        <v>15238</v>
      </c>
      <c r="N4885" t="s">
        <v>278</v>
      </c>
      <c r="O4885" t="s">
        <v>134</v>
      </c>
      <c r="P4885" t="s">
        <v>618</v>
      </c>
      <c r="Q4885">
        <v>51</v>
      </c>
      <c r="R4885">
        <v>-3.1780650000000001</v>
      </c>
    </row>
    <row r="4886" spans="1:18" x14ac:dyDescent="0.2">
      <c r="A4886" t="s">
        <v>270</v>
      </c>
      <c r="B4886" t="s">
        <v>15123</v>
      </c>
      <c r="C4886">
        <v>1</v>
      </c>
      <c r="D4886" s="1">
        <v>44071.905902777777</v>
      </c>
      <c r="E4886" t="s">
        <v>15239</v>
      </c>
      <c r="F4886" t="s">
        <v>273</v>
      </c>
      <c r="G4886" t="s">
        <v>15125</v>
      </c>
      <c r="H4886" t="s">
        <v>275</v>
      </c>
      <c r="I4886" t="s">
        <v>29</v>
      </c>
      <c r="J4886">
        <v>1</v>
      </c>
      <c r="K4886">
        <f>1-888-803-850</f>
        <v>-2540</v>
      </c>
      <c r="L4886" t="s">
        <v>15240</v>
      </c>
      <c r="M4886" t="s">
        <v>15241</v>
      </c>
      <c r="N4886" t="s">
        <v>278</v>
      </c>
      <c r="O4886" t="s">
        <v>134</v>
      </c>
      <c r="P4886" t="s">
        <v>618</v>
      </c>
      <c r="Q4886">
        <v>51</v>
      </c>
      <c r="R4886">
        <v>-3.1780650000000001</v>
      </c>
    </row>
    <row r="4887" spans="1:18" x14ac:dyDescent="0.2">
      <c r="A4887" t="s">
        <v>270</v>
      </c>
      <c r="B4887" t="s">
        <v>15123</v>
      </c>
      <c r="C4887">
        <v>1</v>
      </c>
      <c r="D4887" s="1">
        <v>44070.869837962964</v>
      </c>
      <c r="E4887" t="s">
        <v>15242</v>
      </c>
      <c r="F4887" t="s">
        <v>273</v>
      </c>
      <c r="G4887" t="s">
        <v>15125</v>
      </c>
      <c r="H4887" t="s">
        <v>275</v>
      </c>
      <c r="I4887" t="s">
        <v>29</v>
      </c>
      <c r="J4887">
        <v>1</v>
      </c>
      <c r="K4887">
        <f>1-888-441-3235</f>
        <v>-4563</v>
      </c>
      <c r="L4887" t="s">
        <v>15243</v>
      </c>
      <c r="M4887" t="s">
        <v>15244</v>
      </c>
      <c r="N4887" t="s">
        <v>278</v>
      </c>
      <c r="O4887" t="s">
        <v>134</v>
      </c>
      <c r="P4887" t="s">
        <v>618</v>
      </c>
      <c r="Q4887">
        <v>51</v>
      </c>
      <c r="R4887">
        <v>-3.1780650000000001</v>
      </c>
    </row>
    <row r="4888" spans="1:18" x14ac:dyDescent="0.2">
      <c r="A4888" t="s">
        <v>270</v>
      </c>
      <c r="B4888" t="s">
        <v>15123</v>
      </c>
      <c r="C4888">
        <v>1</v>
      </c>
      <c r="D4888" s="1">
        <v>44070.600335648145</v>
      </c>
      <c r="E4888" t="s">
        <v>15245</v>
      </c>
      <c r="F4888" t="s">
        <v>273</v>
      </c>
      <c r="G4888" t="s">
        <v>15125</v>
      </c>
      <c r="H4888" t="s">
        <v>275</v>
      </c>
      <c r="I4888" t="s">
        <v>29</v>
      </c>
      <c r="J4888">
        <v>1</v>
      </c>
      <c r="K4888">
        <f>1-888-526-3661</f>
        <v>-5074</v>
      </c>
      <c r="L4888" t="s">
        <v>15246</v>
      </c>
      <c r="M4888" t="s">
        <v>15247</v>
      </c>
      <c r="N4888" t="s">
        <v>278</v>
      </c>
      <c r="O4888" t="s">
        <v>134</v>
      </c>
      <c r="P4888" t="s">
        <v>618</v>
      </c>
      <c r="Q4888">
        <v>51</v>
      </c>
      <c r="R4888">
        <v>-3.1780650000000001</v>
      </c>
    </row>
    <row r="4889" spans="1:18" x14ac:dyDescent="0.2">
      <c r="A4889" t="s">
        <v>270</v>
      </c>
      <c r="B4889" t="s">
        <v>15123</v>
      </c>
      <c r="C4889">
        <v>1</v>
      </c>
      <c r="D4889" s="1">
        <v>44070.586655092593</v>
      </c>
      <c r="E4889" t="s">
        <v>15248</v>
      </c>
      <c r="F4889" t="s">
        <v>273</v>
      </c>
      <c r="G4889" t="s">
        <v>15125</v>
      </c>
      <c r="H4889" t="s">
        <v>275</v>
      </c>
      <c r="I4889" t="s">
        <v>29</v>
      </c>
      <c r="J4889">
        <v>1</v>
      </c>
      <c r="K4889">
        <f>1-888-690-842</f>
        <v>-2419</v>
      </c>
      <c r="L4889" t="s">
        <v>15249</v>
      </c>
      <c r="M4889" t="s">
        <v>15250</v>
      </c>
      <c r="N4889" t="s">
        <v>278</v>
      </c>
      <c r="O4889" t="s">
        <v>134</v>
      </c>
      <c r="P4889" t="s">
        <v>618</v>
      </c>
      <c r="Q4889">
        <v>51</v>
      </c>
      <c r="R4889">
        <v>-3.1780650000000001</v>
      </c>
    </row>
    <row r="4890" spans="1:18" x14ac:dyDescent="0.2">
      <c r="A4890" t="s">
        <v>270</v>
      </c>
      <c r="B4890" t="s">
        <v>15123</v>
      </c>
      <c r="C4890">
        <v>1</v>
      </c>
      <c r="D4890" s="1">
        <v>44070.582361111112</v>
      </c>
      <c r="E4890" t="s">
        <v>15251</v>
      </c>
      <c r="F4890" t="s">
        <v>273</v>
      </c>
      <c r="G4890" t="s">
        <v>15125</v>
      </c>
      <c r="H4890" t="s">
        <v>275</v>
      </c>
      <c r="I4890" t="s">
        <v>29</v>
      </c>
      <c r="J4890">
        <v>1</v>
      </c>
      <c r="K4890">
        <f>1-866-672-9693</f>
        <v>-11230</v>
      </c>
      <c r="L4890" t="s">
        <v>15252</v>
      </c>
      <c r="M4890" t="s">
        <v>15253</v>
      </c>
      <c r="N4890" t="s">
        <v>278</v>
      </c>
      <c r="O4890" t="s">
        <v>134</v>
      </c>
      <c r="P4890" t="s">
        <v>618</v>
      </c>
      <c r="Q4890">
        <v>51</v>
      </c>
      <c r="R4890">
        <v>-3.1780650000000001</v>
      </c>
    </row>
    <row r="4891" spans="1:18" x14ac:dyDescent="0.2">
      <c r="A4891" t="s">
        <v>270</v>
      </c>
      <c r="B4891" t="s">
        <v>15123</v>
      </c>
      <c r="C4891">
        <v>1</v>
      </c>
      <c r="D4891" s="1">
        <v>44068.194027777776</v>
      </c>
      <c r="E4891" t="s">
        <v>15254</v>
      </c>
      <c r="F4891" t="s">
        <v>273</v>
      </c>
      <c r="G4891" t="s">
        <v>15125</v>
      </c>
      <c r="H4891" t="s">
        <v>275</v>
      </c>
      <c r="I4891" t="s">
        <v>29</v>
      </c>
      <c r="J4891">
        <v>1</v>
      </c>
      <c r="K4891">
        <f>1-888-530-6238</f>
        <v>-7655</v>
      </c>
      <c r="L4891" t="s">
        <v>15255</v>
      </c>
      <c r="M4891" t="s">
        <v>15256</v>
      </c>
      <c r="N4891" t="s">
        <v>278</v>
      </c>
      <c r="O4891" t="s">
        <v>134</v>
      </c>
      <c r="P4891" t="s">
        <v>618</v>
      </c>
      <c r="Q4891">
        <v>51</v>
      </c>
      <c r="R4891">
        <v>-3.1780650000000001</v>
      </c>
    </row>
    <row r="4892" spans="1:18" x14ac:dyDescent="0.2">
      <c r="A4892" t="s">
        <v>270</v>
      </c>
      <c r="B4892" t="s">
        <v>15123</v>
      </c>
      <c r="C4892">
        <v>1</v>
      </c>
      <c r="D4892" s="1">
        <v>44068.185624999998</v>
      </c>
      <c r="E4892" t="s">
        <v>15257</v>
      </c>
      <c r="F4892" t="s">
        <v>273</v>
      </c>
      <c r="G4892" t="s">
        <v>15125</v>
      </c>
      <c r="H4892" t="s">
        <v>275</v>
      </c>
      <c r="I4892" t="s">
        <v>29</v>
      </c>
      <c r="J4892">
        <v>1</v>
      </c>
      <c r="K4892">
        <f>1-888-523-5728</f>
        <v>-7138</v>
      </c>
      <c r="L4892" t="s">
        <v>15258</v>
      </c>
      <c r="M4892" t="s">
        <v>15259</v>
      </c>
      <c r="N4892" t="s">
        <v>278</v>
      </c>
      <c r="O4892" t="s">
        <v>134</v>
      </c>
      <c r="P4892" t="s">
        <v>618</v>
      </c>
      <c r="Q4892">
        <v>51</v>
      </c>
      <c r="R4892">
        <v>-3.1780650000000001</v>
      </c>
    </row>
    <row r="4893" spans="1:18" x14ac:dyDescent="0.2">
      <c r="A4893" t="s">
        <v>270</v>
      </c>
      <c r="B4893" t="s">
        <v>15123</v>
      </c>
      <c r="C4893">
        <v>1</v>
      </c>
      <c r="D4893" s="1">
        <v>44068.050370370373</v>
      </c>
      <c r="E4893" t="s">
        <v>15260</v>
      </c>
      <c r="F4893" t="s">
        <v>273</v>
      </c>
      <c r="G4893" t="s">
        <v>15125</v>
      </c>
      <c r="H4893" t="s">
        <v>275</v>
      </c>
      <c r="I4893" t="s">
        <v>29</v>
      </c>
      <c r="J4893">
        <v>1</v>
      </c>
      <c r="K4893">
        <f>1-888-532-188</f>
        <v>-1607</v>
      </c>
      <c r="L4893" t="s">
        <v>15261</v>
      </c>
      <c r="M4893" t="s">
        <v>15262</v>
      </c>
      <c r="N4893" t="s">
        <v>278</v>
      </c>
      <c r="O4893" t="s">
        <v>28</v>
      </c>
      <c r="P4893" t="s">
        <v>618</v>
      </c>
      <c r="Q4893">
        <v>51</v>
      </c>
      <c r="R4893">
        <v>-3.1780650000000001</v>
      </c>
    </row>
    <row r="4894" spans="1:18" x14ac:dyDescent="0.2">
      <c r="A4894" t="s">
        <v>270</v>
      </c>
      <c r="B4894" t="s">
        <v>15123</v>
      </c>
      <c r="C4894">
        <v>1</v>
      </c>
      <c r="D4894" s="1">
        <v>44068.029085648152</v>
      </c>
      <c r="E4894" t="s">
        <v>15263</v>
      </c>
      <c r="F4894" t="s">
        <v>273</v>
      </c>
      <c r="G4894" t="s">
        <v>15125</v>
      </c>
      <c r="H4894" t="s">
        <v>275</v>
      </c>
      <c r="I4894" t="s">
        <v>29</v>
      </c>
      <c r="J4894">
        <v>1</v>
      </c>
      <c r="K4894">
        <f>1-888-690-840</f>
        <v>-2417</v>
      </c>
      <c r="L4894" t="s">
        <v>15264</v>
      </c>
      <c r="M4894" t="s">
        <v>15265</v>
      </c>
      <c r="N4894" t="s">
        <v>278</v>
      </c>
      <c r="O4894" t="s">
        <v>28</v>
      </c>
      <c r="P4894" t="s">
        <v>618</v>
      </c>
      <c r="Q4894">
        <v>51</v>
      </c>
      <c r="R4894">
        <v>-3.1780650000000001</v>
      </c>
    </row>
    <row r="4895" spans="1:18" x14ac:dyDescent="0.2">
      <c r="A4895" t="s">
        <v>270</v>
      </c>
      <c r="B4895" t="s">
        <v>15123</v>
      </c>
      <c r="C4895">
        <v>1</v>
      </c>
      <c r="D4895" s="1">
        <v>44068.027314814812</v>
      </c>
      <c r="E4895" t="s">
        <v>15266</v>
      </c>
      <c r="F4895" t="s">
        <v>273</v>
      </c>
      <c r="G4895" t="s">
        <v>15125</v>
      </c>
      <c r="H4895" t="s">
        <v>275</v>
      </c>
      <c r="I4895" t="s">
        <v>29</v>
      </c>
      <c r="J4895">
        <v>1</v>
      </c>
      <c r="K4895">
        <f>1-888-690-840</f>
        <v>-2417</v>
      </c>
      <c r="L4895" t="s">
        <v>15267</v>
      </c>
      <c r="M4895" t="s">
        <v>15268</v>
      </c>
      <c r="N4895" t="s">
        <v>278</v>
      </c>
      <c r="O4895" t="s">
        <v>28</v>
      </c>
      <c r="P4895" t="s">
        <v>618</v>
      </c>
      <c r="Q4895">
        <v>51</v>
      </c>
      <c r="R4895">
        <v>-3.1780650000000001</v>
      </c>
    </row>
    <row r="4896" spans="1:18" x14ac:dyDescent="0.2">
      <c r="A4896" t="s">
        <v>270</v>
      </c>
      <c r="B4896" t="s">
        <v>15123</v>
      </c>
      <c r="C4896">
        <v>1</v>
      </c>
      <c r="D4896" s="1">
        <v>44067.75271990741</v>
      </c>
      <c r="E4896" t="s">
        <v>15269</v>
      </c>
      <c r="F4896" t="s">
        <v>273</v>
      </c>
      <c r="G4896" t="s">
        <v>15125</v>
      </c>
      <c r="H4896" t="s">
        <v>275</v>
      </c>
      <c r="I4896" t="s">
        <v>29</v>
      </c>
      <c r="J4896">
        <v>1</v>
      </c>
      <c r="K4896">
        <f>1-888-909-1270</f>
        <v>-3066</v>
      </c>
      <c r="L4896" t="s">
        <v>15270</v>
      </c>
      <c r="M4896" t="s">
        <v>15271</v>
      </c>
      <c r="N4896" t="s">
        <v>278</v>
      </c>
      <c r="O4896" t="s">
        <v>134</v>
      </c>
      <c r="P4896" t="s">
        <v>618</v>
      </c>
      <c r="Q4896">
        <v>51</v>
      </c>
      <c r="R4896">
        <v>-3.1780650000000001</v>
      </c>
    </row>
    <row r="4897" spans="1:18" x14ac:dyDescent="0.2">
      <c r="A4897" t="s">
        <v>270</v>
      </c>
      <c r="B4897" t="s">
        <v>15123</v>
      </c>
      <c r="C4897">
        <v>1</v>
      </c>
      <c r="D4897" s="1">
        <v>44067.752256944441</v>
      </c>
      <c r="E4897" t="s">
        <v>15272</v>
      </c>
      <c r="F4897" t="s">
        <v>273</v>
      </c>
      <c r="G4897" t="s">
        <v>15125</v>
      </c>
      <c r="H4897" t="s">
        <v>275</v>
      </c>
      <c r="I4897" t="s">
        <v>29</v>
      </c>
      <c r="J4897">
        <v>1</v>
      </c>
      <c r="K4897">
        <f>1-888-538-267</f>
        <v>-1692</v>
      </c>
      <c r="L4897" t="s">
        <v>15273</v>
      </c>
      <c r="M4897" t="s">
        <v>15274</v>
      </c>
      <c r="N4897" t="s">
        <v>278</v>
      </c>
      <c r="O4897" t="s">
        <v>134</v>
      </c>
      <c r="P4897" t="s">
        <v>618</v>
      </c>
      <c r="Q4897">
        <v>51</v>
      </c>
      <c r="R4897">
        <v>-3.1780650000000001</v>
      </c>
    </row>
    <row r="4898" spans="1:18" x14ac:dyDescent="0.2">
      <c r="A4898" t="s">
        <v>270</v>
      </c>
      <c r="B4898" t="s">
        <v>15123</v>
      </c>
      <c r="C4898">
        <v>1</v>
      </c>
      <c r="D4898" s="1">
        <v>44067.7499537037</v>
      </c>
      <c r="E4898" t="s">
        <v>15275</v>
      </c>
      <c r="F4898" t="s">
        <v>273</v>
      </c>
      <c r="G4898" t="s">
        <v>15125</v>
      </c>
      <c r="H4898" t="s">
        <v>275</v>
      </c>
      <c r="I4898" t="s">
        <v>29</v>
      </c>
      <c r="J4898">
        <v>1</v>
      </c>
      <c r="K4898">
        <f>1-888-534-316</f>
        <v>-1737</v>
      </c>
      <c r="L4898" t="s">
        <v>15276</v>
      </c>
      <c r="M4898" t="s">
        <v>15277</v>
      </c>
      <c r="N4898" t="s">
        <v>278</v>
      </c>
      <c r="O4898" t="s">
        <v>134</v>
      </c>
      <c r="P4898" t="s">
        <v>618</v>
      </c>
      <c r="Q4898">
        <v>51</v>
      </c>
      <c r="R4898">
        <v>-3.1780650000000001</v>
      </c>
    </row>
    <row r="4899" spans="1:18" x14ac:dyDescent="0.2">
      <c r="A4899" t="s">
        <v>270</v>
      </c>
      <c r="B4899" t="s">
        <v>15123</v>
      </c>
      <c r="C4899">
        <v>1</v>
      </c>
      <c r="D4899" s="1">
        <v>44062.688576388886</v>
      </c>
      <c r="E4899" t="s">
        <v>15278</v>
      </c>
      <c r="F4899" t="s">
        <v>273</v>
      </c>
      <c r="G4899" t="s">
        <v>15125</v>
      </c>
      <c r="H4899" t="s">
        <v>275</v>
      </c>
      <c r="I4899" t="s">
        <v>29</v>
      </c>
      <c r="J4899">
        <v>1</v>
      </c>
      <c r="K4899">
        <f>1-888-803-850</f>
        <v>-2540</v>
      </c>
      <c r="L4899" t="s">
        <v>15279</v>
      </c>
      <c r="M4899" t="s">
        <v>15280</v>
      </c>
      <c r="N4899" t="s">
        <v>278</v>
      </c>
      <c r="O4899" t="s">
        <v>134</v>
      </c>
      <c r="P4899" t="s">
        <v>618</v>
      </c>
      <c r="Q4899">
        <v>51</v>
      </c>
      <c r="R4899">
        <v>-3.1780650000000001</v>
      </c>
    </row>
    <row r="4900" spans="1:18" x14ac:dyDescent="0.2">
      <c r="A4900" t="s">
        <v>270</v>
      </c>
      <c r="B4900" t="s">
        <v>15123</v>
      </c>
      <c r="C4900">
        <v>1</v>
      </c>
      <c r="D4900" s="1">
        <v>44062.688518518517</v>
      </c>
      <c r="E4900" t="s">
        <v>15281</v>
      </c>
      <c r="F4900" t="s">
        <v>273</v>
      </c>
      <c r="G4900" t="s">
        <v>15125</v>
      </c>
      <c r="H4900" t="s">
        <v>275</v>
      </c>
      <c r="I4900" t="s">
        <v>29</v>
      </c>
      <c r="J4900">
        <v>1</v>
      </c>
      <c r="K4900">
        <f>1-888-803-828</f>
        <v>-2518</v>
      </c>
      <c r="L4900" t="s">
        <v>15282</v>
      </c>
      <c r="M4900" t="s">
        <v>15283</v>
      </c>
      <c r="N4900" t="s">
        <v>278</v>
      </c>
      <c r="O4900" t="s">
        <v>134</v>
      </c>
      <c r="P4900" t="s">
        <v>618</v>
      </c>
      <c r="Q4900">
        <v>51</v>
      </c>
      <c r="R4900">
        <v>-3.1780650000000001</v>
      </c>
    </row>
    <row r="4901" spans="1:18" x14ac:dyDescent="0.2">
      <c r="A4901" t="s">
        <v>270</v>
      </c>
      <c r="B4901" t="s">
        <v>15123</v>
      </c>
      <c r="C4901">
        <v>1</v>
      </c>
      <c r="D4901" s="1">
        <v>44062.688321759262</v>
      </c>
      <c r="E4901" t="s">
        <v>15284</v>
      </c>
      <c r="F4901" t="s">
        <v>273</v>
      </c>
      <c r="G4901" t="s">
        <v>15125</v>
      </c>
      <c r="H4901" t="s">
        <v>275</v>
      </c>
      <c r="I4901" t="s">
        <v>29</v>
      </c>
      <c r="J4901">
        <v>1</v>
      </c>
      <c r="K4901">
        <f>1-888-383-569</f>
        <v>-1839</v>
      </c>
      <c r="L4901" t="s">
        <v>15285</v>
      </c>
      <c r="M4901" t="s">
        <v>15286</v>
      </c>
      <c r="N4901" t="s">
        <v>278</v>
      </c>
      <c r="O4901" t="s">
        <v>134</v>
      </c>
      <c r="P4901" t="s">
        <v>618</v>
      </c>
      <c r="Q4901">
        <v>51</v>
      </c>
      <c r="R4901">
        <v>-3.1780650000000001</v>
      </c>
    </row>
    <row r="4902" spans="1:18" x14ac:dyDescent="0.2">
      <c r="A4902" t="s">
        <v>270</v>
      </c>
      <c r="B4902" t="s">
        <v>15123</v>
      </c>
      <c r="C4902">
        <v>1</v>
      </c>
      <c r="D4902" s="1">
        <v>44062.505439814813</v>
      </c>
      <c r="E4902" t="s">
        <v>15287</v>
      </c>
      <c r="F4902" t="s">
        <v>273</v>
      </c>
      <c r="G4902" t="s">
        <v>15125</v>
      </c>
      <c r="H4902" t="s">
        <v>275</v>
      </c>
      <c r="I4902" t="s">
        <v>29</v>
      </c>
      <c r="J4902">
        <v>1</v>
      </c>
      <c r="K4902">
        <f>1-888-708-1143</f>
        <v>-2738</v>
      </c>
      <c r="L4902" t="s">
        <v>15288</v>
      </c>
      <c r="M4902" t="s">
        <v>15289</v>
      </c>
      <c r="N4902" t="s">
        <v>278</v>
      </c>
      <c r="O4902" t="s">
        <v>134</v>
      </c>
      <c r="P4902" t="s">
        <v>618</v>
      </c>
      <c r="Q4902">
        <v>51</v>
      </c>
      <c r="R4902">
        <v>-3.1780650000000001</v>
      </c>
    </row>
    <row r="4903" spans="1:18" x14ac:dyDescent="0.2">
      <c r="A4903" t="s">
        <v>270</v>
      </c>
      <c r="B4903" t="s">
        <v>15123</v>
      </c>
      <c r="C4903">
        <v>1</v>
      </c>
      <c r="D4903" s="1">
        <v>44061.694479166668</v>
      </c>
      <c r="E4903" t="s">
        <v>15290</v>
      </c>
      <c r="F4903" t="s">
        <v>273</v>
      </c>
      <c r="G4903" t="s">
        <v>15125</v>
      </c>
      <c r="H4903" t="s">
        <v>275</v>
      </c>
      <c r="I4903" t="s">
        <v>29</v>
      </c>
      <c r="J4903">
        <v>1</v>
      </c>
      <c r="K4903">
        <f>1-888-538-1045</f>
        <v>-2470</v>
      </c>
      <c r="L4903" t="s">
        <v>15291</v>
      </c>
      <c r="M4903" t="s">
        <v>15292</v>
      </c>
      <c r="N4903" t="s">
        <v>278</v>
      </c>
      <c r="O4903" t="s">
        <v>134</v>
      </c>
      <c r="P4903" t="s">
        <v>618</v>
      </c>
      <c r="Q4903">
        <v>51</v>
      </c>
      <c r="R4903">
        <v>-3.1780650000000001</v>
      </c>
    </row>
    <row r="4904" spans="1:18" x14ac:dyDescent="0.2">
      <c r="A4904" t="s">
        <v>270</v>
      </c>
      <c r="B4904" t="s">
        <v>15123</v>
      </c>
      <c r="C4904">
        <v>1</v>
      </c>
      <c r="D4904" s="1">
        <v>44053.291377314818</v>
      </c>
      <c r="E4904" t="s">
        <v>15293</v>
      </c>
      <c r="F4904" t="s">
        <v>273</v>
      </c>
      <c r="G4904" t="s">
        <v>15125</v>
      </c>
      <c r="H4904" t="s">
        <v>275</v>
      </c>
      <c r="I4904" t="s">
        <v>29</v>
      </c>
      <c r="J4904">
        <v>1</v>
      </c>
      <c r="K4904">
        <f>1-866-788-5605</f>
        <v>-7258</v>
      </c>
      <c r="L4904" t="s">
        <v>15294</v>
      </c>
      <c r="M4904" t="s">
        <v>15295</v>
      </c>
      <c r="N4904" t="s">
        <v>278</v>
      </c>
      <c r="O4904" t="s">
        <v>134</v>
      </c>
      <c r="P4904" t="s">
        <v>618</v>
      </c>
      <c r="Q4904">
        <v>51</v>
      </c>
      <c r="R4904">
        <v>-3.1780650000000001</v>
      </c>
    </row>
    <row r="4905" spans="1:18" x14ac:dyDescent="0.2">
      <c r="A4905" t="s">
        <v>270</v>
      </c>
      <c r="B4905" t="s">
        <v>15123</v>
      </c>
      <c r="C4905">
        <v>1</v>
      </c>
      <c r="D4905" s="1">
        <v>44053.289652777778</v>
      </c>
      <c r="E4905" t="s">
        <v>15296</v>
      </c>
      <c r="F4905" t="s">
        <v>273</v>
      </c>
      <c r="G4905" t="s">
        <v>15125</v>
      </c>
      <c r="H4905" t="s">
        <v>275</v>
      </c>
      <c r="I4905" t="s">
        <v>29</v>
      </c>
      <c r="J4905">
        <v>1</v>
      </c>
      <c r="K4905">
        <f>1-888-524-5804</f>
        <v>-7215</v>
      </c>
      <c r="L4905" t="s">
        <v>15297</v>
      </c>
      <c r="M4905" t="s">
        <v>15298</v>
      </c>
      <c r="N4905" t="s">
        <v>278</v>
      </c>
      <c r="O4905" t="s">
        <v>134</v>
      </c>
      <c r="P4905" t="s">
        <v>618</v>
      </c>
      <c r="Q4905">
        <v>51</v>
      </c>
      <c r="R4905">
        <v>-3.1780650000000001</v>
      </c>
    </row>
    <row r="4906" spans="1:18" x14ac:dyDescent="0.2">
      <c r="A4906" t="s">
        <v>270</v>
      </c>
      <c r="B4906" t="s">
        <v>5337</v>
      </c>
      <c r="C4906">
        <v>1</v>
      </c>
      <c r="D4906" s="1">
        <v>44149.124050925922</v>
      </c>
      <c r="E4906" t="s">
        <v>15299</v>
      </c>
      <c r="F4906" t="s">
        <v>273</v>
      </c>
      <c r="G4906" t="s">
        <v>15300</v>
      </c>
      <c r="H4906" t="s">
        <v>275</v>
      </c>
      <c r="I4906" t="s">
        <v>29</v>
      </c>
      <c r="J4906">
        <v>1</v>
      </c>
      <c r="K4906">
        <f>1-844-295-7543</f>
        <v>-8681</v>
      </c>
      <c r="L4906" t="s">
        <v>15301</v>
      </c>
      <c r="M4906" t="s">
        <v>15302</v>
      </c>
      <c r="N4906" t="s">
        <v>278</v>
      </c>
      <c r="O4906" t="s">
        <v>134</v>
      </c>
      <c r="P4906" t="s">
        <v>29</v>
      </c>
      <c r="Q4906">
        <v>38</v>
      </c>
      <c r="R4906">
        <v>-99.999999000000003</v>
      </c>
    </row>
    <row r="4907" spans="1:18" x14ac:dyDescent="0.2">
      <c r="A4907" t="s">
        <v>270</v>
      </c>
      <c r="B4907" t="s">
        <v>5337</v>
      </c>
      <c r="C4907">
        <v>1</v>
      </c>
      <c r="D4907" s="1">
        <v>44144.729155092595</v>
      </c>
      <c r="E4907" t="s">
        <v>15303</v>
      </c>
      <c r="F4907" t="s">
        <v>273</v>
      </c>
      <c r="G4907" t="s">
        <v>15300</v>
      </c>
      <c r="H4907" t="s">
        <v>275</v>
      </c>
      <c r="I4907" t="s">
        <v>29</v>
      </c>
      <c r="J4907">
        <v>1</v>
      </c>
      <c r="K4907">
        <f>1-844-280-7415</f>
        <v>-8538</v>
      </c>
      <c r="L4907" t="s">
        <v>15304</v>
      </c>
      <c r="M4907" t="s">
        <v>15305</v>
      </c>
      <c r="N4907" t="s">
        <v>278</v>
      </c>
      <c r="O4907" t="s">
        <v>28</v>
      </c>
      <c r="P4907" t="s">
        <v>29</v>
      </c>
      <c r="Q4907">
        <v>38</v>
      </c>
      <c r="R4907">
        <v>-99.999999000000003</v>
      </c>
    </row>
    <row r="4908" spans="1:18" x14ac:dyDescent="0.2">
      <c r="A4908" t="s">
        <v>270</v>
      </c>
      <c r="B4908" t="s">
        <v>5337</v>
      </c>
      <c r="C4908">
        <v>1</v>
      </c>
      <c r="D4908" s="1">
        <v>44111.748888888891</v>
      </c>
      <c r="E4908" t="s">
        <v>15306</v>
      </c>
      <c r="F4908" t="s">
        <v>273</v>
      </c>
      <c r="G4908" t="s">
        <v>15300</v>
      </c>
      <c r="H4908" t="s">
        <v>275</v>
      </c>
      <c r="I4908" t="s">
        <v>29</v>
      </c>
      <c r="J4908">
        <v>1</v>
      </c>
      <c r="K4908">
        <f>1-888-315-4509</f>
        <v>-5711</v>
      </c>
      <c r="L4908" t="s">
        <v>15307</v>
      </c>
      <c r="M4908" t="s">
        <v>15308</v>
      </c>
      <c r="N4908" t="s">
        <v>278</v>
      </c>
      <c r="O4908" t="s">
        <v>28</v>
      </c>
      <c r="P4908" t="s">
        <v>29</v>
      </c>
      <c r="Q4908">
        <v>38</v>
      </c>
      <c r="R4908">
        <v>-99.999999000000003</v>
      </c>
    </row>
    <row r="4909" spans="1:18" x14ac:dyDescent="0.2">
      <c r="A4909" t="s">
        <v>270</v>
      </c>
      <c r="B4909" t="s">
        <v>5337</v>
      </c>
      <c r="C4909">
        <v>1</v>
      </c>
      <c r="D4909" s="1">
        <v>44106.825902777775</v>
      </c>
      <c r="E4909" t="s">
        <v>15309</v>
      </c>
      <c r="F4909" t="s">
        <v>273</v>
      </c>
      <c r="G4909" t="s">
        <v>15300</v>
      </c>
      <c r="H4909" t="s">
        <v>275</v>
      </c>
      <c r="I4909" t="s">
        <v>29</v>
      </c>
      <c r="J4909">
        <v>1</v>
      </c>
      <c r="K4909">
        <f>1-888-304-9499</f>
        <v>-10690</v>
      </c>
      <c r="L4909" t="s">
        <v>15310</v>
      </c>
      <c r="M4909" t="s">
        <v>15311</v>
      </c>
      <c r="N4909" t="s">
        <v>278</v>
      </c>
      <c r="O4909" t="s">
        <v>28</v>
      </c>
      <c r="P4909" t="s">
        <v>29</v>
      </c>
      <c r="Q4909">
        <v>38</v>
      </c>
      <c r="R4909">
        <v>-99.999999000000003</v>
      </c>
    </row>
    <row r="4910" spans="1:18" x14ac:dyDescent="0.2">
      <c r="A4910" t="s">
        <v>270</v>
      </c>
      <c r="B4910" t="s">
        <v>5337</v>
      </c>
      <c r="C4910">
        <v>1</v>
      </c>
      <c r="D4910" s="1">
        <v>44103.762743055559</v>
      </c>
      <c r="E4910" t="s">
        <v>15312</v>
      </c>
      <c r="F4910" t="s">
        <v>273</v>
      </c>
      <c r="G4910" t="s">
        <v>15300</v>
      </c>
      <c r="H4910" t="s">
        <v>275</v>
      </c>
      <c r="I4910" t="s">
        <v>29</v>
      </c>
      <c r="J4910">
        <v>1</v>
      </c>
      <c r="K4910">
        <f>1-888-210-6654</f>
        <v>-7751</v>
      </c>
      <c r="L4910" t="s">
        <v>15313</v>
      </c>
      <c r="M4910" t="s">
        <v>15314</v>
      </c>
      <c r="N4910" t="s">
        <v>278</v>
      </c>
      <c r="O4910" t="s">
        <v>134</v>
      </c>
      <c r="P4910" t="s">
        <v>29</v>
      </c>
      <c r="Q4910">
        <v>38</v>
      </c>
      <c r="R4910">
        <v>-99.999999000000003</v>
      </c>
    </row>
    <row r="4911" spans="1:18" x14ac:dyDescent="0.2">
      <c r="A4911" t="s">
        <v>270</v>
      </c>
      <c r="B4911" t="s">
        <v>5337</v>
      </c>
      <c r="C4911">
        <v>1</v>
      </c>
      <c r="D4911" s="1">
        <v>44102.817754629628</v>
      </c>
      <c r="E4911" t="s">
        <v>15315</v>
      </c>
      <c r="F4911" t="s">
        <v>273</v>
      </c>
      <c r="G4911" t="s">
        <v>15300</v>
      </c>
      <c r="H4911" t="s">
        <v>275</v>
      </c>
      <c r="I4911" t="s">
        <v>29</v>
      </c>
      <c r="J4911">
        <v>1</v>
      </c>
      <c r="K4911">
        <f>1-888-228-8619</f>
        <v>-9734</v>
      </c>
      <c r="L4911" t="s">
        <v>15316</v>
      </c>
      <c r="M4911" t="s">
        <v>15317</v>
      </c>
      <c r="N4911" t="s">
        <v>278</v>
      </c>
      <c r="O4911" t="s">
        <v>28</v>
      </c>
      <c r="P4911" t="s">
        <v>29</v>
      </c>
      <c r="Q4911">
        <v>38</v>
      </c>
      <c r="R4911">
        <v>-99.999999000000003</v>
      </c>
    </row>
    <row r="4912" spans="1:18" x14ac:dyDescent="0.2">
      <c r="A4912" t="s">
        <v>270</v>
      </c>
      <c r="B4912" t="s">
        <v>5337</v>
      </c>
      <c r="C4912">
        <v>1</v>
      </c>
      <c r="D4912" s="1">
        <v>44097.466423611113</v>
      </c>
      <c r="E4912" t="s">
        <v>15318</v>
      </c>
      <c r="F4912" t="s">
        <v>273</v>
      </c>
      <c r="G4912" t="s">
        <v>15300</v>
      </c>
      <c r="H4912" t="s">
        <v>275</v>
      </c>
      <c r="I4912" t="s">
        <v>29</v>
      </c>
      <c r="J4912">
        <v>1</v>
      </c>
      <c r="K4912">
        <f>1-888-266-8340</f>
        <v>-9493</v>
      </c>
      <c r="L4912" t="s">
        <v>15319</v>
      </c>
      <c r="M4912" t="s">
        <v>15320</v>
      </c>
      <c r="N4912" t="s">
        <v>278</v>
      </c>
      <c r="O4912" t="s">
        <v>28</v>
      </c>
      <c r="P4912" t="s">
        <v>29</v>
      </c>
      <c r="Q4912">
        <v>38</v>
      </c>
      <c r="R4912">
        <v>-99.999999000000003</v>
      </c>
    </row>
    <row r="4913" spans="1:18" x14ac:dyDescent="0.2">
      <c r="A4913" t="s">
        <v>270</v>
      </c>
      <c r="B4913" t="s">
        <v>5337</v>
      </c>
      <c r="C4913">
        <v>1</v>
      </c>
      <c r="D4913" s="1">
        <v>44096.366770833331</v>
      </c>
      <c r="E4913" t="s">
        <v>15321</v>
      </c>
      <c r="F4913" t="s">
        <v>273</v>
      </c>
      <c r="G4913" t="s">
        <v>15300</v>
      </c>
      <c r="H4913" t="s">
        <v>275</v>
      </c>
      <c r="I4913" t="s">
        <v>29</v>
      </c>
      <c r="J4913">
        <v>1</v>
      </c>
      <c r="K4913">
        <f>1-844-309-2655</f>
        <v>-3807</v>
      </c>
      <c r="L4913" t="s">
        <v>15322</v>
      </c>
      <c r="M4913" t="s">
        <v>15323</v>
      </c>
      <c r="N4913" t="s">
        <v>278</v>
      </c>
      <c r="O4913" t="s">
        <v>28</v>
      </c>
      <c r="P4913" t="s">
        <v>29</v>
      </c>
      <c r="Q4913">
        <v>38</v>
      </c>
      <c r="R4913">
        <v>-99.999999000000003</v>
      </c>
    </row>
    <row r="4914" spans="1:18" x14ac:dyDescent="0.2">
      <c r="A4914" t="s">
        <v>270</v>
      </c>
      <c r="B4914" t="s">
        <v>5337</v>
      </c>
      <c r="C4914">
        <v>1</v>
      </c>
      <c r="D4914" s="1">
        <v>44090.992546296293</v>
      </c>
      <c r="E4914" t="s">
        <v>15324</v>
      </c>
      <c r="F4914" t="s">
        <v>273</v>
      </c>
      <c r="G4914" t="s">
        <v>15300</v>
      </c>
      <c r="H4914" t="s">
        <v>275</v>
      </c>
      <c r="I4914" t="s">
        <v>29</v>
      </c>
      <c r="J4914">
        <v>1</v>
      </c>
      <c r="K4914">
        <f>1-844-242-3148</f>
        <v>-4233</v>
      </c>
      <c r="L4914" t="s">
        <v>15325</v>
      </c>
      <c r="M4914" t="s">
        <v>15326</v>
      </c>
      <c r="N4914" t="s">
        <v>278</v>
      </c>
      <c r="O4914" t="s">
        <v>28</v>
      </c>
      <c r="P4914" t="s">
        <v>29</v>
      </c>
      <c r="Q4914">
        <v>38</v>
      </c>
      <c r="R4914">
        <v>-99.999999000000003</v>
      </c>
    </row>
    <row r="4915" spans="1:18" x14ac:dyDescent="0.2">
      <c r="A4915" t="s">
        <v>270</v>
      </c>
      <c r="B4915" t="s">
        <v>5337</v>
      </c>
      <c r="C4915">
        <v>1</v>
      </c>
      <c r="D4915" s="1">
        <v>44090.991249999999</v>
      </c>
      <c r="E4915" t="s">
        <v>15327</v>
      </c>
      <c r="F4915" t="s">
        <v>273</v>
      </c>
      <c r="G4915" t="s">
        <v>15300</v>
      </c>
      <c r="H4915" t="s">
        <v>275</v>
      </c>
      <c r="I4915" t="s">
        <v>29</v>
      </c>
      <c r="J4915">
        <v>1</v>
      </c>
      <c r="K4915">
        <f>1-844-242-3148</f>
        <v>-4233</v>
      </c>
      <c r="L4915" t="s">
        <v>15328</v>
      </c>
      <c r="M4915" t="s">
        <v>15329</v>
      </c>
      <c r="N4915" t="s">
        <v>278</v>
      </c>
      <c r="O4915" t="s">
        <v>28</v>
      </c>
      <c r="P4915" t="s">
        <v>29</v>
      </c>
      <c r="Q4915">
        <v>38</v>
      </c>
      <c r="R4915">
        <v>-99.999999000000003</v>
      </c>
    </row>
    <row r="4916" spans="1:18" x14ac:dyDescent="0.2">
      <c r="A4916" t="s">
        <v>270</v>
      </c>
      <c r="B4916" t="s">
        <v>5337</v>
      </c>
      <c r="C4916">
        <v>1</v>
      </c>
      <c r="D4916" s="1">
        <v>44090.798506944448</v>
      </c>
      <c r="E4916" t="s">
        <v>15330</v>
      </c>
      <c r="F4916" t="s">
        <v>273</v>
      </c>
      <c r="G4916" t="s">
        <v>15300</v>
      </c>
      <c r="H4916" t="s">
        <v>275</v>
      </c>
      <c r="I4916" t="s">
        <v>29</v>
      </c>
      <c r="J4916">
        <v>1</v>
      </c>
      <c r="K4916">
        <f>1-844-221-1452</f>
        <v>-2516</v>
      </c>
      <c r="L4916" t="s">
        <v>15331</v>
      </c>
      <c r="M4916" t="s">
        <v>15332</v>
      </c>
      <c r="N4916" t="s">
        <v>278</v>
      </c>
      <c r="O4916" t="s">
        <v>28</v>
      </c>
      <c r="P4916" t="s">
        <v>29</v>
      </c>
      <c r="Q4916">
        <v>38</v>
      </c>
      <c r="R4916">
        <v>-99.999999000000003</v>
      </c>
    </row>
    <row r="4917" spans="1:18" x14ac:dyDescent="0.2">
      <c r="A4917" t="s">
        <v>270</v>
      </c>
      <c r="B4917" t="s">
        <v>5337</v>
      </c>
      <c r="C4917">
        <v>1</v>
      </c>
      <c r="D4917" s="1">
        <v>44090.416689814818</v>
      </c>
      <c r="E4917" t="s">
        <v>15333</v>
      </c>
      <c r="F4917" t="s">
        <v>273</v>
      </c>
      <c r="G4917" t="s">
        <v>15300</v>
      </c>
      <c r="H4917" t="s">
        <v>275</v>
      </c>
      <c r="I4917" t="s">
        <v>29</v>
      </c>
      <c r="J4917">
        <v>1</v>
      </c>
      <c r="K4917">
        <f>1-844-318-8589</f>
        <v>-9750</v>
      </c>
      <c r="L4917" t="s">
        <v>15334</v>
      </c>
      <c r="M4917" t="s">
        <v>15335</v>
      </c>
      <c r="N4917" t="s">
        <v>278</v>
      </c>
      <c r="O4917" t="s">
        <v>28</v>
      </c>
      <c r="P4917" t="s">
        <v>29</v>
      </c>
      <c r="Q4917">
        <v>38</v>
      </c>
      <c r="R4917">
        <v>-99.999999000000003</v>
      </c>
    </row>
    <row r="4918" spans="1:18" x14ac:dyDescent="0.2">
      <c r="A4918" t="s">
        <v>270</v>
      </c>
      <c r="B4918" t="s">
        <v>5337</v>
      </c>
      <c r="C4918">
        <v>1</v>
      </c>
      <c r="D4918" s="1">
        <v>44090.415509259263</v>
      </c>
      <c r="E4918" t="s">
        <v>15336</v>
      </c>
      <c r="F4918" t="s">
        <v>273</v>
      </c>
      <c r="G4918" t="s">
        <v>15300</v>
      </c>
      <c r="H4918" t="s">
        <v>275</v>
      </c>
      <c r="I4918" t="s">
        <v>29</v>
      </c>
      <c r="J4918">
        <v>1</v>
      </c>
      <c r="K4918">
        <f>1-844-293-8713</f>
        <v>-9849</v>
      </c>
      <c r="L4918" t="s">
        <v>15337</v>
      </c>
      <c r="M4918" t="s">
        <v>15338</v>
      </c>
      <c r="N4918" t="s">
        <v>278</v>
      </c>
      <c r="O4918" t="s">
        <v>28</v>
      </c>
      <c r="P4918" t="s">
        <v>29</v>
      </c>
      <c r="Q4918">
        <v>38</v>
      </c>
      <c r="R4918">
        <v>-99.999999000000003</v>
      </c>
    </row>
    <row r="4919" spans="1:18" x14ac:dyDescent="0.2">
      <c r="A4919" t="s">
        <v>270</v>
      </c>
      <c r="B4919" t="s">
        <v>5337</v>
      </c>
      <c r="C4919">
        <v>1</v>
      </c>
      <c r="D4919" s="1">
        <v>44078.850636574076</v>
      </c>
      <c r="E4919" t="s">
        <v>15339</v>
      </c>
      <c r="F4919" t="s">
        <v>273</v>
      </c>
      <c r="G4919" t="s">
        <v>15300</v>
      </c>
      <c r="H4919" t="s">
        <v>275</v>
      </c>
      <c r="I4919" t="s">
        <v>29</v>
      </c>
      <c r="J4919">
        <v>1</v>
      </c>
      <c r="K4919">
        <f>1-866-674-6552</f>
        <v>-8091</v>
      </c>
      <c r="L4919" t="s">
        <v>15340</v>
      </c>
      <c r="M4919" t="s">
        <v>15341</v>
      </c>
      <c r="N4919" t="s">
        <v>278</v>
      </c>
      <c r="O4919" t="s">
        <v>134</v>
      </c>
      <c r="P4919" t="s">
        <v>29</v>
      </c>
      <c r="Q4919">
        <v>38</v>
      </c>
      <c r="R4919">
        <v>-99.999999000000003</v>
      </c>
    </row>
    <row r="4920" spans="1:18" x14ac:dyDescent="0.2">
      <c r="A4920" t="s">
        <v>270</v>
      </c>
      <c r="B4920" t="s">
        <v>5337</v>
      </c>
      <c r="C4920">
        <v>1</v>
      </c>
      <c r="D4920" s="1">
        <v>44074.931203703702</v>
      </c>
      <c r="E4920" t="s">
        <v>15342</v>
      </c>
      <c r="F4920" t="s">
        <v>273</v>
      </c>
      <c r="G4920" t="s">
        <v>15300</v>
      </c>
      <c r="H4920" t="s">
        <v>275</v>
      </c>
      <c r="I4920" t="s">
        <v>29</v>
      </c>
      <c r="J4920">
        <v>1</v>
      </c>
      <c r="K4920">
        <f>1-888-658-268</f>
        <v>-1813</v>
      </c>
      <c r="L4920" t="s">
        <v>15343</v>
      </c>
      <c r="M4920" t="s">
        <v>15344</v>
      </c>
      <c r="N4920" t="s">
        <v>278</v>
      </c>
      <c r="O4920" t="s">
        <v>28</v>
      </c>
      <c r="P4920" t="s">
        <v>29</v>
      </c>
      <c r="Q4920">
        <v>38</v>
      </c>
      <c r="R4920">
        <v>-99.999999000000003</v>
      </c>
    </row>
    <row r="4921" spans="1:18" x14ac:dyDescent="0.2">
      <c r="A4921" t="s">
        <v>270</v>
      </c>
      <c r="B4921" t="s">
        <v>5337</v>
      </c>
      <c r="C4921">
        <v>1</v>
      </c>
      <c r="D4921" s="1">
        <v>44074.929375</v>
      </c>
      <c r="E4921" t="s">
        <v>15345</v>
      </c>
      <c r="F4921" t="s">
        <v>273</v>
      </c>
      <c r="G4921" t="s">
        <v>15300</v>
      </c>
      <c r="H4921" t="s">
        <v>275</v>
      </c>
      <c r="I4921" t="s">
        <v>29</v>
      </c>
      <c r="J4921">
        <v>1</v>
      </c>
      <c r="K4921">
        <f>1-888-632-364</f>
        <v>-1883</v>
      </c>
      <c r="L4921" t="s">
        <v>15346</v>
      </c>
      <c r="M4921" t="s">
        <v>15347</v>
      </c>
      <c r="N4921" t="s">
        <v>278</v>
      </c>
      <c r="O4921" t="s">
        <v>28</v>
      </c>
      <c r="P4921" t="s">
        <v>29</v>
      </c>
      <c r="Q4921">
        <v>38</v>
      </c>
      <c r="R4921">
        <v>-99.999999000000003</v>
      </c>
    </row>
    <row r="4922" spans="1:18" x14ac:dyDescent="0.2">
      <c r="A4922" t="s">
        <v>270</v>
      </c>
      <c r="B4922" t="s">
        <v>5337</v>
      </c>
      <c r="C4922">
        <v>1</v>
      </c>
      <c r="D4922" s="1">
        <v>44073.929085648146</v>
      </c>
      <c r="E4922" t="s">
        <v>15348</v>
      </c>
      <c r="F4922" t="s">
        <v>273</v>
      </c>
      <c r="G4922" t="s">
        <v>15300</v>
      </c>
      <c r="H4922" t="s">
        <v>275</v>
      </c>
      <c r="I4922" t="s">
        <v>29</v>
      </c>
      <c r="J4922">
        <v>1</v>
      </c>
      <c r="K4922">
        <f>1-888-530-2072</f>
        <v>-3489</v>
      </c>
      <c r="L4922" t="s">
        <v>15349</v>
      </c>
      <c r="M4922" t="s">
        <v>15350</v>
      </c>
      <c r="N4922" t="s">
        <v>278</v>
      </c>
      <c r="O4922" t="s">
        <v>134</v>
      </c>
      <c r="P4922" t="s">
        <v>29</v>
      </c>
      <c r="Q4922">
        <v>38</v>
      </c>
      <c r="R4922">
        <v>-99.999999000000003</v>
      </c>
    </row>
    <row r="4923" spans="1:18" x14ac:dyDescent="0.2">
      <c r="A4923" t="s">
        <v>270</v>
      </c>
      <c r="B4923" t="s">
        <v>5337</v>
      </c>
      <c r="C4923">
        <v>1</v>
      </c>
      <c r="D4923" s="1">
        <v>44073.926932870374</v>
      </c>
      <c r="E4923" t="s">
        <v>15351</v>
      </c>
      <c r="F4923" t="s">
        <v>273</v>
      </c>
      <c r="G4923" t="s">
        <v>15300</v>
      </c>
      <c r="H4923" t="s">
        <v>275</v>
      </c>
      <c r="I4923" t="s">
        <v>29</v>
      </c>
      <c r="J4923">
        <v>1</v>
      </c>
      <c r="K4923">
        <f>1-888-524-3582</f>
        <v>-4993</v>
      </c>
      <c r="L4923" t="s">
        <v>15352</v>
      </c>
      <c r="M4923" t="s">
        <v>15353</v>
      </c>
      <c r="N4923" t="s">
        <v>278</v>
      </c>
      <c r="O4923" t="s">
        <v>134</v>
      </c>
      <c r="P4923" t="s">
        <v>29</v>
      </c>
      <c r="Q4923">
        <v>38</v>
      </c>
      <c r="R4923">
        <v>-99.999999000000003</v>
      </c>
    </row>
    <row r="4924" spans="1:18" x14ac:dyDescent="0.2">
      <c r="A4924" t="s">
        <v>270</v>
      </c>
      <c r="B4924" t="s">
        <v>5337</v>
      </c>
      <c r="C4924">
        <v>1</v>
      </c>
      <c r="D4924" s="1">
        <v>44073.026516203703</v>
      </c>
      <c r="E4924" t="s">
        <v>15354</v>
      </c>
      <c r="F4924" t="s">
        <v>273</v>
      </c>
      <c r="G4924" t="s">
        <v>15300</v>
      </c>
      <c r="H4924" t="s">
        <v>275</v>
      </c>
      <c r="I4924" t="s">
        <v>29</v>
      </c>
      <c r="J4924">
        <v>1</v>
      </c>
      <c r="K4924">
        <f>1-888-598-1511</f>
        <v>-2996</v>
      </c>
      <c r="L4924" t="s">
        <v>15355</v>
      </c>
      <c r="M4924" t="s">
        <v>15356</v>
      </c>
      <c r="N4924" t="s">
        <v>278</v>
      </c>
      <c r="O4924" t="s">
        <v>134</v>
      </c>
      <c r="P4924" t="s">
        <v>29</v>
      </c>
      <c r="Q4924">
        <v>38</v>
      </c>
      <c r="R4924">
        <v>-99.999999000000003</v>
      </c>
    </row>
    <row r="4925" spans="1:18" x14ac:dyDescent="0.2">
      <c r="A4925" t="s">
        <v>270</v>
      </c>
      <c r="B4925" t="s">
        <v>5337</v>
      </c>
      <c r="C4925">
        <v>1</v>
      </c>
      <c r="D4925" s="1">
        <v>44072.868576388886</v>
      </c>
      <c r="E4925" t="s">
        <v>15357</v>
      </c>
      <c r="F4925" t="s">
        <v>273</v>
      </c>
      <c r="G4925" t="s">
        <v>15300</v>
      </c>
      <c r="H4925" t="s">
        <v>275</v>
      </c>
      <c r="I4925" t="s">
        <v>29</v>
      </c>
      <c r="J4925">
        <v>1</v>
      </c>
      <c r="K4925">
        <f>1-888-609-3819</f>
        <v>-5315</v>
      </c>
      <c r="L4925" t="s">
        <v>15358</v>
      </c>
      <c r="M4925" t="s">
        <v>15359</v>
      </c>
      <c r="N4925" t="s">
        <v>278</v>
      </c>
      <c r="O4925" t="s">
        <v>134</v>
      </c>
      <c r="P4925" t="s">
        <v>29</v>
      </c>
      <c r="Q4925">
        <v>38</v>
      </c>
      <c r="R4925">
        <v>-99.999999000000003</v>
      </c>
    </row>
    <row r="4926" spans="1:18" x14ac:dyDescent="0.2">
      <c r="A4926" t="s">
        <v>270</v>
      </c>
      <c r="B4926" t="s">
        <v>5337</v>
      </c>
      <c r="C4926">
        <v>1</v>
      </c>
      <c r="D4926" s="1">
        <v>44071.976631944446</v>
      </c>
      <c r="E4926" t="s">
        <v>15360</v>
      </c>
      <c r="F4926" t="s">
        <v>273</v>
      </c>
      <c r="G4926" t="s">
        <v>15300</v>
      </c>
      <c r="H4926" t="s">
        <v>275</v>
      </c>
      <c r="I4926" t="s">
        <v>29</v>
      </c>
      <c r="J4926">
        <v>1</v>
      </c>
      <c r="K4926">
        <f>1-888-690-842</f>
        <v>-2419</v>
      </c>
      <c r="L4926" t="s">
        <v>15361</v>
      </c>
      <c r="M4926" t="s">
        <v>15362</v>
      </c>
      <c r="N4926" t="s">
        <v>278</v>
      </c>
      <c r="O4926" t="s">
        <v>134</v>
      </c>
      <c r="P4926" t="s">
        <v>29</v>
      </c>
      <c r="Q4926">
        <v>38</v>
      </c>
      <c r="R4926">
        <v>-99.999999000000003</v>
      </c>
    </row>
    <row r="4927" spans="1:18" x14ac:dyDescent="0.2">
      <c r="A4927" t="s">
        <v>270</v>
      </c>
      <c r="B4927" t="s">
        <v>5337</v>
      </c>
      <c r="C4927">
        <v>1</v>
      </c>
      <c r="D4927" s="1">
        <v>44071.833437499998</v>
      </c>
      <c r="E4927" t="s">
        <v>15363</v>
      </c>
      <c r="F4927" t="s">
        <v>273</v>
      </c>
      <c r="G4927" t="s">
        <v>15300</v>
      </c>
      <c r="H4927" t="s">
        <v>275</v>
      </c>
      <c r="I4927" t="s">
        <v>29</v>
      </c>
      <c r="J4927">
        <v>1</v>
      </c>
      <c r="K4927">
        <f>1-888-607-419</f>
        <v>-1913</v>
      </c>
      <c r="L4927" t="s">
        <v>15364</v>
      </c>
      <c r="M4927" t="s">
        <v>15365</v>
      </c>
      <c r="N4927" t="s">
        <v>278</v>
      </c>
      <c r="O4927" t="s">
        <v>28</v>
      </c>
      <c r="P4927" t="s">
        <v>29</v>
      </c>
      <c r="Q4927">
        <v>38</v>
      </c>
      <c r="R4927">
        <v>-99.999999000000003</v>
      </c>
    </row>
    <row r="4928" spans="1:18" x14ac:dyDescent="0.2">
      <c r="A4928" t="s">
        <v>270</v>
      </c>
      <c r="B4928" t="s">
        <v>5337</v>
      </c>
      <c r="C4928">
        <v>1</v>
      </c>
      <c r="D4928" s="1">
        <v>44071.424756944441</v>
      </c>
      <c r="E4928" t="s">
        <v>15366</v>
      </c>
      <c r="F4928" t="s">
        <v>273</v>
      </c>
      <c r="G4928" t="s">
        <v>15300</v>
      </c>
      <c r="H4928" t="s">
        <v>275</v>
      </c>
      <c r="I4928" t="s">
        <v>29</v>
      </c>
      <c r="J4928">
        <v>1</v>
      </c>
      <c r="K4928">
        <f>1-888-417-4090</f>
        <v>-5394</v>
      </c>
      <c r="L4928" t="s">
        <v>15367</v>
      </c>
      <c r="M4928" t="s">
        <v>15368</v>
      </c>
      <c r="N4928" t="s">
        <v>278</v>
      </c>
      <c r="O4928" t="s">
        <v>134</v>
      </c>
      <c r="P4928" t="s">
        <v>29</v>
      </c>
      <c r="Q4928">
        <v>38</v>
      </c>
      <c r="R4928">
        <v>-99.999999000000003</v>
      </c>
    </row>
    <row r="4929" spans="1:18" x14ac:dyDescent="0.2">
      <c r="A4929" t="s">
        <v>270</v>
      </c>
      <c r="B4929" t="s">
        <v>5337</v>
      </c>
      <c r="C4929">
        <v>1</v>
      </c>
      <c r="D4929" s="1">
        <v>44070.739814814813</v>
      </c>
      <c r="E4929" t="s">
        <v>15369</v>
      </c>
      <c r="F4929" t="s">
        <v>273</v>
      </c>
      <c r="G4929" t="s">
        <v>15300</v>
      </c>
      <c r="H4929" t="s">
        <v>275</v>
      </c>
      <c r="I4929" t="s">
        <v>29</v>
      </c>
      <c r="J4929">
        <v>1</v>
      </c>
      <c r="K4929">
        <f>1-888-909-1270</f>
        <v>-3066</v>
      </c>
      <c r="L4929" t="s">
        <v>15370</v>
      </c>
      <c r="M4929" t="s">
        <v>15371</v>
      </c>
      <c r="N4929" t="s">
        <v>278</v>
      </c>
      <c r="O4929" t="s">
        <v>134</v>
      </c>
      <c r="P4929" t="s">
        <v>29</v>
      </c>
      <c r="Q4929">
        <v>38</v>
      </c>
      <c r="R4929">
        <v>-99.999999000000003</v>
      </c>
    </row>
    <row r="4930" spans="1:18" x14ac:dyDescent="0.2">
      <c r="A4930" t="s">
        <v>270</v>
      </c>
      <c r="B4930" t="s">
        <v>5337</v>
      </c>
      <c r="C4930">
        <v>1</v>
      </c>
      <c r="D4930" s="1">
        <v>44068.18513888889</v>
      </c>
      <c r="E4930" t="s">
        <v>15372</v>
      </c>
      <c r="F4930" t="s">
        <v>273</v>
      </c>
      <c r="G4930" t="s">
        <v>15300</v>
      </c>
      <c r="H4930" t="s">
        <v>275</v>
      </c>
      <c r="I4930" t="s">
        <v>29</v>
      </c>
      <c r="J4930">
        <v>1</v>
      </c>
      <c r="K4930">
        <f>1-888-523-5728</f>
        <v>-7138</v>
      </c>
      <c r="L4930" t="s">
        <v>15373</v>
      </c>
      <c r="M4930" t="s">
        <v>15374</v>
      </c>
      <c r="N4930" t="s">
        <v>278</v>
      </c>
      <c r="O4930" t="s">
        <v>134</v>
      </c>
      <c r="P4930" t="s">
        <v>29</v>
      </c>
      <c r="Q4930">
        <v>38</v>
      </c>
      <c r="R4930">
        <v>-99.999999000000003</v>
      </c>
    </row>
    <row r="4931" spans="1:18" x14ac:dyDescent="0.2">
      <c r="A4931" t="s">
        <v>270</v>
      </c>
      <c r="B4931" t="s">
        <v>5337</v>
      </c>
      <c r="C4931">
        <v>1</v>
      </c>
      <c r="D4931" s="1">
        <v>44068.02140046296</v>
      </c>
      <c r="E4931" t="s">
        <v>15375</v>
      </c>
      <c r="F4931" t="s">
        <v>273</v>
      </c>
      <c r="G4931" t="s">
        <v>15300</v>
      </c>
      <c r="H4931" t="s">
        <v>275</v>
      </c>
      <c r="I4931" t="s">
        <v>29</v>
      </c>
      <c r="J4931">
        <v>1</v>
      </c>
      <c r="K4931">
        <f>1-888-965-777</f>
        <v>-2629</v>
      </c>
      <c r="L4931" t="s">
        <v>15376</v>
      </c>
      <c r="M4931" t="s">
        <v>15377</v>
      </c>
      <c r="N4931" t="s">
        <v>278</v>
      </c>
      <c r="O4931" t="s">
        <v>28</v>
      </c>
      <c r="P4931" t="s">
        <v>29</v>
      </c>
      <c r="Q4931">
        <v>38</v>
      </c>
      <c r="R4931">
        <v>-99.999999000000003</v>
      </c>
    </row>
    <row r="4932" spans="1:18" x14ac:dyDescent="0.2">
      <c r="A4932" t="s">
        <v>270</v>
      </c>
      <c r="B4932" t="s">
        <v>5337</v>
      </c>
      <c r="C4932">
        <v>1</v>
      </c>
      <c r="D4932" s="1">
        <v>44053.289722222224</v>
      </c>
      <c r="E4932" t="s">
        <v>15378</v>
      </c>
      <c r="F4932" t="s">
        <v>273</v>
      </c>
      <c r="G4932" t="s">
        <v>15300</v>
      </c>
      <c r="H4932" t="s">
        <v>275</v>
      </c>
      <c r="I4932" t="s">
        <v>29</v>
      </c>
      <c r="J4932">
        <v>1</v>
      </c>
      <c r="K4932">
        <f>1-888-524-5804</f>
        <v>-7215</v>
      </c>
      <c r="L4932" t="s">
        <v>15379</v>
      </c>
      <c r="M4932" t="s">
        <v>15380</v>
      </c>
      <c r="N4932" t="s">
        <v>278</v>
      </c>
      <c r="O4932" t="s">
        <v>134</v>
      </c>
      <c r="P4932" t="s">
        <v>29</v>
      </c>
      <c r="Q4932">
        <v>38</v>
      </c>
      <c r="R4932">
        <v>-99.999999000000003</v>
      </c>
    </row>
    <row r="4933" spans="1:18" x14ac:dyDescent="0.2">
      <c r="A4933" t="s">
        <v>270</v>
      </c>
      <c r="B4933" t="s">
        <v>440</v>
      </c>
      <c r="C4933">
        <v>1</v>
      </c>
      <c r="D4933" s="1">
        <v>44111.810706018521</v>
      </c>
      <c r="E4933" t="s">
        <v>15381</v>
      </c>
      <c r="F4933" t="s">
        <v>273</v>
      </c>
      <c r="G4933" t="s">
        <v>15382</v>
      </c>
      <c r="H4933" t="s">
        <v>275</v>
      </c>
      <c r="I4933" t="s">
        <v>29</v>
      </c>
      <c r="J4933">
        <v>1</v>
      </c>
      <c r="K4933">
        <f>1-888-319-9280</f>
        <v>-10486</v>
      </c>
      <c r="L4933" t="s">
        <v>15383</v>
      </c>
      <c r="M4933" t="s">
        <v>15384</v>
      </c>
      <c r="N4933" t="s">
        <v>278</v>
      </c>
      <c r="O4933" t="s">
        <v>28</v>
      </c>
      <c r="P4933" t="s">
        <v>29</v>
      </c>
      <c r="Q4933">
        <v>39</v>
      </c>
      <c r="R4933">
        <v>-77.487399999999994</v>
      </c>
    </row>
    <row r="4934" spans="1:18" x14ac:dyDescent="0.2">
      <c r="A4934" t="s">
        <v>270</v>
      </c>
      <c r="B4934" t="s">
        <v>440</v>
      </c>
      <c r="C4934">
        <v>1</v>
      </c>
      <c r="D4934" s="1">
        <v>44106.935393518521</v>
      </c>
      <c r="E4934" t="s">
        <v>15385</v>
      </c>
      <c r="F4934" t="s">
        <v>273</v>
      </c>
      <c r="G4934" t="s">
        <v>15382</v>
      </c>
      <c r="H4934" t="s">
        <v>275</v>
      </c>
      <c r="I4934" t="s">
        <v>29</v>
      </c>
      <c r="J4934">
        <v>1</v>
      </c>
      <c r="K4934">
        <f>1-888-278-9830</f>
        <v>-10995</v>
      </c>
      <c r="L4934" t="s">
        <v>15386</v>
      </c>
      <c r="M4934" t="s">
        <v>15387</v>
      </c>
      <c r="N4934" t="s">
        <v>278</v>
      </c>
      <c r="O4934" t="s">
        <v>28</v>
      </c>
      <c r="P4934" t="s">
        <v>29</v>
      </c>
      <c r="Q4934">
        <v>39</v>
      </c>
      <c r="R4934">
        <v>-77.487399999999994</v>
      </c>
    </row>
    <row r="4935" spans="1:18" x14ac:dyDescent="0.2">
      <c r="A4935" t="s">
        <v>270</v>
      </c>
      <c r="B4935" t="s">
        <v>440</v>
      </c>
      <c r="C4935">
        <v>1</v>
      </c>
      <c r="D4935" s="1">
        <v>44105.867349537039</v>
      </c>
      <c r="E4935" t="s">
        <v>15388</v>
      </c>
      <c r="F4935" t="s">
        <v>273</v>
      </c>
      <c r="G4935" t="s">
        <v>15382</v>
      </c>
      <c r="H4935" t="s">
        <v>275</v>
      </c>
      <c r="I4935" t="s">
        <v>29</v>
      </c>
      <c r="J4935">
        <v>1</v>
      </c>
      <c r="K4935">
        <f>1-888-210-3317</f>
        <v>-4414</v>
      </c>
      <c r="L4935" t="s">
        <v>15389</v>
      </c>
      <c r="M4935" t="s">
        <v>15390</v>
      </c>
      <c r="N4935" t="s">
        <v>278</v>
      </c>
      <c r="O4935" t="s">
        <v>28</v>
      </c>
      <c r="P4935" t="s">
        <v>29</v>
      </c>
      <c r="Q4935">
        <v>39</v>
      </c>
      <c r="R4935">
        <v>-77.487399999999994</v>
      </c>
    </row>
    <row r="4936" spans="1:18" x14ac:dyDescent="0.2">
      <c r="A4936" t="s">
        <v>270</v>
      </c>
      <c r="B4936" t="s">
        <v>440</v>
      </c>
      <c r="C4936">
        <v>1</v>
      </c>
      <c r="D4936" s="1">
        <v>44106.821967592594</v>
      </c>
      <c r="E4936" t="s">
        <v>15391</v>
      </c>
      <c r="F4936" t="s">
        <v>273</v>
      </c>
      <c r="G4936" t="s">
        <v>15382</v>
      </c>
      <c r="H4936" t="s">
        <v>275</v>
      </c>
      <c r="I4936" t="s">
        <v>29</v>
      </c>
      <c r="J4936">
        <v>1</v>
      </c>
      <c r="K4936">
        <f>1-888-202-4596</f>
        <v>-5685</v>
      </c>
      <c r="L4936" t="s">
        <v>15392</v>
      </c>
      <c r="M4936" t="s">
        <v>15393</v>
      </c>
      <c r="N4936" t="s">
        <v>278</v>
      </c>
      <c r="O4936" t="s">
        <v>28</v>
      </c>
      <c r="P4936" t="s">
        <v>29</v>
      </c>
      <c r="Q4936">
        <v>39</v>
      </c>
      <c r="R4936">
        <v>-77.487399999999994</v>
      </c>
    </row>
    <row r="4937" spans="1:18" x14ac:dyDescent="0.2">
      <c r="A4937" t="s">
        <v>270</v>
      </c>
      <c r="B4937" t="s">
        <v>440</v>
      </c>
      <c r="C4937">
        <v>1</v>
      </c>
      <c r="D4937" s="1">
        <v>44103.762002314812</v>
      </c>
      <c r="E4937" t="s">
        <v>15394</v>
      </c>
      <c r="F4937" t="s">
        <v>273</v>
      </c>
      <c r="G4937" t="s">
        <v>15382</v>
      </c>
      <c r="H4937" t="s">
        <v>275</v>
      </c>
      <c r="I4937" t="s">
        <v>29</v>
      </c>
      <c r="J4937">
        <v>1</v>
      </c>
      <c r="K4937">
        <f>1-888-210-6654</f>
        <v>-7751</v>
      </c>
      <c r="L4937" t="s">
        <v>15395</v>
      </c>
      <c r="M4937" t="s">
        <v>15396</v>
      </c>
      <c r="N4937" t="s">
        <v>278</v>
      </c>
      <c r="O4937" t="s">
        <v>134</v>
      </c>
      <c r="P4937" t="s">
        <v>29</v>
      </c>
      <c r="Q4937">
        <v>39</v>
      </c>
      <c r="R4937">
        <v>-77.487399999999994</v>
      </c>
    </row>
    <row r="4938" spans="1:18" x14ac:dyDescent="0.2">
      <c r="A4938" t="s">
        <v>270</v>
      </c>
      <c r="B4938" t="s">
        <v>440</v>
      </c>
      <c r="C4938">
        <v>1</v>
      </c>
      <c r="D4938" s="1">
        <v>44102.822708333333</v>
      </c>
      <c r="E4938" t="s">
        <v>15397</v>
      </c>
      <c r="F4938" t="s">
        <v>273</v>
      </c>
      <c r="G4938" t="s">
        <v>15382</v>
      </c>
      <c r="H4938" t="s">
        <v>275</v>
      </c>
      <c r="I4938" t="s">
        <v>29</v>
      </c>
      <c r="J4938">
        <v>1</v>
      </c>
      <c r="K4938">
        <f>1-888-228-8619</f>
        <v>-9734</v>
      </c>
      <c r="L4938" t="s">
        <v>15398</v>
      </c>
      <c r="M4938" t="s">
        <v>15399</v>
      </c>
      <c r="N4938" t="s">
        <v>278</v>
      </c>
      <c r="O4938" t="s">
        <v>28</v>
      </c>
      <c r="P4938" t="s">
        <v>29</v>
      </c>
      <c r="Q4938">
        <v>39</v>
      </c>
      <c r="R4938">
        <v>-77.487399999999994</v>
      </c>
    </row>
    <row r="4939" spans="1:18" x14ac:dyDescent="0.2">
      <c r="A4939" t="s">
        <v>270</v>
      </c>
      <c r="B4939" t="s">
        <v>440</v>
      </c>
      <c r="C4939">
        <v>1</v>
      </c>
      <c r="D4939" s="1">
        <v>44096.369467592594</v>
      </c>
      <c r="E4939" t="s">
        <v>15400</v>
      </c>
      <c r="F4939" t="s">
        <v>273</v>
      </c>
      <c r="G4939" t="s">
        <v>15382</v>
      </c>
      <c r="H4939" t="s">
        <v>275</v>
      </c>
      <c r="I4939" t="s">
        <v>29</v>
      </c>
      <c r="J4939">
        <v>1</v>
      </c>
      <c r="K4939">
        <f>1-844-316-9077</f>
        <v>-10236</v>
      </c>
      <c r="L4939" t="s">
        <v>15401</v>
      </c>
      <c r="M4939" t="s">
        <v>15402</v>
      </c>
      <c r="N4939" t="s">
        <v>278</v>
      </c>
      <c r="O4939" t="s">
        <v>28</v>
      </c>
      <c r="P4939" t="s">
        <v>29</v>
      </c>
      <c r="Q4939">
        <v>39</v>
      </c>
      <c r="R4939">
        <v>-77.487399999999994</v>
      </c>
    </row>
    <row r="4940" spans="1:18" x14ac:dyDescent="0.2">
      <c r="A4940" t="s">
        <v>270</v>
      </c>
      <c r="B4940" t="s">
        <v>440</v>
      </c>
      <c r="C4940">
        <v>1</v>
      </c>
      <c r="D4940" s="1">
        <v>44096.367905092593</v>
      </c>
      <c r="E4940" t="s">
        <v>15403</v>
      </c>
      <c r="F4940" t="s">
        <v>273</v>
      </c>
      <c r="G4940" t="s">
        <v>15382</v>
      </c>
      <c r="H4940" t="s">
        <v>275</v>
      </c>
      <c r="I4940" t="s">
        <v>29</v>
      </c>
      <c r="J4940">
        <v>1</v>
      </c>
      <c r="K4940">
        <f>1-844-305-9953</f>
        <v>-11101</v>
      </c>
      <c r="L4940" t="s">
        <v>15404</v>
      </c>
      <c r="M4940" t="s">
        <v>15405</v>
      </c>
      <c r="N4940" t="s">
        <v>278</v>
      </c>
      <c r="O4940" t="s">
        <v>28</v>
      </c>
      <c r="P4940" t="s">
        <v>29</v>
      </c>
      <c r="Q4940">
        <v>39</v>
      </c>
      <c r="R4940">
        <v>-77.487399999999994</v>
      </c>
    </row>
    <row r="4941" spans="1:18" x14ac:dyDescent="0.2">
      <c r="A4941" t="s">
        <v>270</v>
      </c>
      <c r="B4941" t="s">
        <v>440</v>
      </c>
      <c r="C4941">
        <v>1</v>
      </c>
      <c r="D4941" s="1">
        <v>44096.367662037039</v>
      </c>
      <c r="E4941" t="s">
        <v>15406</v>
      </c>
      <c r="F4941" t="s">
        <v>273</v>
      </c>
      <c r="G4941" t="s">
        <v>15382</v>
      </c>
      <c r="H4941" t="s">
        <v>275</v>
      </c>
      <c r="I4941" t="s">
        <v>29</v>
      </c>
      <c r="J4941">
        <v>1</v>
      </c>
      <c r="K4941">
        <f>1-844-305-9953</f>
        <v>-11101</v>
      </c>
      <c r="L4941" t="s">
        <v>15407</v>
      </c>
      <c r="M4941" t="s">
        <v>15408</v>
      </c>
      <c r="N4941" t="s">
        <v>278</v>
      </c>
      <c r="O4941" t="s">
        <v>28</v>
      </c>
      <c r="P4941" t="s">
        <v>29</v>
      </c>
      <c r="Q4941">
        <v>39</v>
      </c>
      <c r="R4941">
        <v>-77.487399999999994</v>
      </c>
    </row>
    <row r="4942" spans="1:18" x14ac:dyDescent="0.2">
      <c r="A4942" t="s">
        <v>270</v>
      </c>
      <c r="B4942" t="s">
        <v>440</v>
      </c>
      <c r="C4942">
        <v>1</v>
      </c>
      <c r="D4942" s="1">
        <v>44096.367164351854</v>
      </c>
      <c r="E4942" t="s">
        <v>15409</v>
      </c>
      <c r="F4942" t="s">
        <v>273</v>
      </c>
      <c r="G4942" t="s">
        <v>15382</v>
      </c>
      <c r="H4942" t="s">
        <v>275</v>
      </c>
      <c r="I4942" t="s">
        <v>29</v>
      </c>
      <c r="J4942">
        <v>1</v>
      </c>
      <c r="K4942">
        <f>1-844-309-2423</f>
        <v>-3575</v>
      </c>
      <c r="L4942" t="s">
        <v>15410</v>
      </c>
      <c r="M4942" t="s">
        <v>15411</v>
      </c>
      <c r="N4942" t="s">
        <v>278</v>
      </c>
      <c r="O4942" t="s">
        <v>28</v>
      </c>
      <c r="P4942" t="s">
        <v>29</v>
      </c>
      <c r="Q4942">
        <v>39</v>
      </c>
      <c r="R4942">
        <v>-77.487399999999994</v>
      </c>
    </row>
    <row r="4943" spans="1:18" x14ac:dyDescent="0.2">
      <c r="A4943" t="s">
        <v>270</v>
      </c>
      <c r="B4943" t="s">
        <v>440</v>
      </c>
      <c r="C4943">
        <v>1</v>
      </c>
      <c r="D4943" s="1">
        <v>44090.993495370371</v>
      </c>
      <c r="E4943" t="s">
        <v>15412</v>
      </c>
      <c r="F4943" t="s">
        <v>273</v>
      </c>
      <c r="G4943" t="s">
        <v>15382</v>
      </c>
      <c r="H4943" t="s">
        <v>275</v>
      </c>
      <c r="I4943" t="s">
        <v>29</v>
      </c>
      <c r="J4943">
        <v>1</v>
      </c>
      <c r="K4943">
        <f>1-844-242-3148</f>
        <v>-4233</v>
      </c>
      <c r="L4943" t="s">
        <v>15413</v>
      </c>
      <c r="M4943" t="s">
        <v>15414</v>
      </c>
      <c r="N4943" t="s">
        <v>278</v>
      </c>
      <c r="O4943" t="s">
        <v>28</v>
      </c>
      <c r="P4943" t="s">
        <v>29</v>
      </c>
      <c r="Q4943">
        <v>39</v>
      </c>
      <c r="R4943">
        <v>-77.487399999999994</v>
      </c>
    </row>
    <row r="4944" spans="1:18" x14ac:dyDescent="0.2">
      <c r="A4944" t="s">
        <v>270</v>
      </c>
      <c r="B4944" t="s">
        <v>440</v>
      </c>
      <c r="C4944">
        <v>1</v>
      </c>
      <c r="D4944" s="1">
        <v>44090.992939814816</v>
      </c>
      <c r="E4944" t="s">
        <v>15415</v>
      </c>
      <c r="F4944" t="s">
        <v>273</v>
      </c>
      <c r="G4944" t="s">
        <v>15382</v>
      </c>
      <c r="H4944" t="s">
        <v>275</v>
      </c>
      <c r="I4944" t="s">
        <v>29</v>
      </c>
      <c r="J4944">
        <v>1</v>
      </c>
      <c r="K4944">
        <f>1-844-242-3148</f>
        <v>-4233</v>
      </c>
      <c r="L4944" t="s">
        <v>15416</v>
      </c>
      <c r="M4944" t="s">
        <v>15417</v>
      </c>
      <c r="N4944" t="s">
        <v>278</v>
      </c>
      <c r="O4944" t="s">
        <v>28</v>
      </c>
      <c r="P4944" t="s">
        <v>29</v>
      </c>
      <c r="Q4944">
        <v>39</v>
      </c>
      <c r="R4944">
        <v>-77.487399999999994</v>
      </c>
    </row>
    <row r="4945" spans="1:18" x14ac:dyDescent="0.2">
      <c r="A4945" t="s">
        <v>270</v>
      </c>
      <c r="B4945" t="s">
        <v>440</v>
      </c>
      <c r="C4945">
        <v>1</v>
      </c>
      <c r="D4945" s="1">
        <v>44090.991782407407</v>
      </c>
      <c r="E4945" t="s">
        <v>15418</v>
      </c>
      <c r="F4945" t="s">
        <v>273</v>
      </c>
      <c r="G4945" t="s">
        <v>15382</v>
      </c>
      <c r="H4945" t="s">
        <v>275</v>
      </c>
      <c r="I4945" t="s">
        <v>29</v>
      </c>
      <c r="J4945">
        <v>1</v>
      </c>
      <c r="K4945">
        <f>1-844-242-3148</f>
        <v>-4233</v>
      </c>
      <c r="L4945" t="s">
        <v>15419</v>
      </c>
      <c r="M4945" t="s">
        <v>15420</v>
      </c>
      <c r="N4945" t="s">
        <v>278</v>
      </c>
      <c r="O4945" t="s">
        <v>28</v>
      </c>
      <c r="P4945" t="s">
        <v>29</v>
      </c>
      <c r="Q4945">
        <v>39</v>
      </c>
      <c r="R4945">
        <v>-77.487399999999994</v>
      </c>
    </row>
    <row r="4946" spans="1:18" x14ac:dyDescent="0.2">
      <c r="A4946" t="s">
        <v>270</v>
      </c>
      <c r="B4946" t="s">
        <v>440</v>
      </c>
      <c r="C4946">
        <v>1</v>
      </c>
      <c r="D4946" s="1">
        <v>44090.414502314816</v>
      </c>
      <c r="E4946" t="s">
        <v>10192</v>
      </c>
      <c r="F4946" t="s">
        <v>273</v>
      </c>
      <c r="G4946" t="s">
        <v>15382</v>
      </c>
      <c r="H4946" t="s">
        <v>275</v>
      </c>
      <c r="I4946" t="s">
        <v>29</v>
      </c>
      <c r="J4946">
        <v>1</v>
      </c>
      <c r="K4946">
        <f>1-844-311-7591</f>
        <v>-8745</v>
      </c>
      <c r="L4946" t="s">
        <v>15421</v>
      </c>
      <c r="M4946" t="s">
        <v>15422</v>
      </c>
      <c r="N4946" t="s">
        <v>278</v>
      </c>
      <c r="O4946" t="s">
        <v>28</v>
      </c>
      <c r="P4946" t="s">
        <v>29</v>
      </c>
      <c r="Q4946">
        <v>39</v>
      </c>
      <c r="R4946">
        <v>-77.487399999999994</v>
      </c>
    </row>
    <row r="4947" spans="1:18" x14ac:dyDescent="0.2">
      <c r="A4947" t="s">
        <v>270</v>
      </c>
      <c r="B4947" t="s">
        <v>440</v>
      </c>
      <c r="C4947">
        <v>1</v>
      </c>
      <c r="D4947" s="1">
        <v>44088.941134259258</v>
      </c>
      <c r="E4947" t="s">
        <v>15423</v>
      </c>
      <c r="F4947" t="s">
        <v>273</v>
      </c>
      <c r="G4947" t="s">
        <v>15382</v>
      </c>
      <c r="H4947" t="s">
        <v>275</v>
      </c>
      <c r="I4947" t="s">
        <v>29</v>
      </c>
      <c r="J4947">
        <v>1</v>
      </c>
      <c r="K4947">
        <f>1-844-225-7967</f>
        <v>-9035</v>
      </c>
      <c r="L4947" t="s">
        <v>15424</v>
      </c>
      <c r="M4947" t="s">
        <v>15425</v>
      </c>
      <c r="N4947" t="s">
        <v>278</v>
      </c>
      <c r="O4947" t="s">
        <v>28</v>
      </c>
      <c r="P4947" t="s">
        <v>29</v>
      </c>
      <c r="Q4947">
        <v>39</v>
      </c>
      <c r="R4947">
        <v>-77.487399999999994</v>
      </c>
    </row>
    <row r="4948" spans="1:18" x14ac:dyDescent="0.2">
      <c r="A4948" t="s">
        <v>270</v>
      </c>
      <c r="B4948" t="s">
        <v>440</v>
      </c>
      <c r="C4948">
        <v>1</v>
      </c>
      <c r="D4948" s="1">
        <v>44083.801620370374</v>
      </c>
      <c r="E4948" t="s">
        <v>15426</v>
      </c>
      <c r="F4948" t="s">
        <v>273</v>
      </c>
      <c r="G4948" t="s">
        <v>15382</v>
      </c>
      <c r="H4948" t="s">
        <v>275</v>
      </c>
      <c r="I4948" t="s">
        <v>29</v>
      </c>
      <c r="J4948">
        <v>1</v>
      </c>
      <c r="K4948">
        <f>1-888-585-7516</f>
        <v>-8988</v>
      </c>
      <c r="L4948" t="s">
        <v>15427</v>
      </c>
      <c r="M4948" t="s">
        <v>15428</v>
      </c>
      <c r="N4948" t="s">
        <v>278</v>
      </c>
      <c r="O4948" t="s">
        <v>28</v>
      </c>
      <c r="P4948" t="s">
        <v>29</v>
      </c>
      <c r="Q4948">
        <v>39</v>
      </c>
      <c r="R4948">
        <v>-77.487399999999994</v>
      </c>
    </row>
    <row r="4949" spans="1:18" x14ac:dyDescent="0.2">
      <c r="A4949" t="s">
        <v>270</v>
      </c>
      <c r="B4949" t="s">
        <v>440</v>
      </c>
      <c r="C4949">
        <v>1</v>
      </c>
      <c r="D4949" s="1">
        <v>44078.857893518521</v>
      </c>
      <c r="E4949" t="s">
        <v>15429</v>
      </c>
      <c r="F4949" t="s">
        <v>273</v>
      </c>
      <c r="G4949" t="s">
        <v>15382</v>
      </c>
      <c r="H4949" t="s">
        <v>275</v>
      </c>
      <c r="I4949" t="s">
        <v>29</v>
      </c>
      <c r="J4949">
        <v>1</v>
      </c>
      <c r="K4949">
        <f>1-888-534-8036</f>
        <v>-9457</v>
      </c>
      <c r="L4949" t="s">
        <v>15430</v>
      </c>
      <c r="M4949" t="s">
        <v>15431</v>
      </c>
      <c r="N4949" t="s">
        <v>278</v>
      </c>
      <c r="O4949" t="s">
        <v>134</v>
      </c>
      <c r="P4949" t="s">
        <v>29</v>
      </c>
      <c r="Q4949">
        <v>39</v>
      </c>
      <c r="R4949">
        <v>-77.487399999999994</v>
      </c>
    </row>
    <row r="4950" spans="1:18" x14ac:dyDescent="0.2">
      <c r="A4950" t="s">
        <v>270</v>
      </c>
      <c r="B4950" t="s">
        <v>440</v>
      </c>
      <c r="C4950">
        <v>1</v>
      </c>
      <c r="D4950" s="1">
        <v>44074.933206018519</v>
      </c>
      <c r="E4950" t="s">
        <v>15432</v>
      </c>
      <c r="F4950" t="s">
        <v>273</v>
      </c>
      <c r="G4950" t="s">
        <v>15382</v>
      </c>
      <c r="H4950" t="s">
        <v>275</v>
      </c>
      <c r="I4950" t="s">
        <v>29</v>
      </c>
      <c r="J4950">
        <v>1</v>
      </c>
      <c r="K4950">
        <f>1-888-851-705</f>
        <v>-2443</v>
      </c>
      <c r="L4950" t="s">
        <v>15433</v>
      </c>
      <c r="M4950" t="s">
        <v>15434</v>
      </c>
      <c r="N4950" t="s">
        <v>278</v>
      </c>
      <c r="O4950" t="s">
        <v>134</v>
      </c>
      <c r="P4950" t="s">
        <v>29</v>
      </c>
      <c r="Q4950">
        <v>39</v>
      </c>
      <c r="R4950">
        <v>-77.487399999999994</v>
      </c>
    </row>
    <row r="4951" spans="1:18" x14ac:dyDescent="0.2">
      <c r="A4951" t="s">
        <v>270</v>
      </c>
      <c r="B4951" t="s">
        <v>440</v>
      </c>
      <c r="C4951">
        <v>1</v>
      </c>
      <c r="D4951" s="1">
        <v>44074.930983796294</v>
      </c>
      <c r="E4951" t="s">
        <v>15435</v>
      </c>
      <c r="F4951" t="s">
        <v>273</v>
      </c>
      <c r="G4951" t="s">
        <v>15382</v>
      </c>
      <c r="H4951" t="s">
        <v>275</v>
      </c>
      <c r="I4951" t="s">
        <v>29</v>
      </c>
      <c r="J4951">
        <v>1</v>
      </c>
      <c r="K4951">
        <f>1-888-658-268</f>
        <v>-1813</v>
      </c>
      <c r="L4951" t="s">
        <v>15436</v>
      </c>
      <c r="M4951" t="s">
        <v>15437</v>
      </c>
      <c r="N4951" t="s">
        <v>278</v>
      </c>
      <c r="O4951" t="s">
        <v>28</v>
      </c>
      <c r="P4951" t="s">
        <v>29</v>
      </c>
      <c r="Q4951">
        <v>39</v>
      </c>
      <c r="R4951">
        <v>-77.487399999999994</v>
      </c>
    </row>
    <row r="4952" spans="1:18" x14ac:dyDescent="0.2">
      <c r="A4952" t="s">
        <v>270</v>
      </c>
      <c r="B4952" t="s">
        <v>440</v>
      </c>
      <c r="C4952">
        <v>1</v>
      </c>
      <c r="D4952" s="1">
        <v>44074.930937500001</v>
      </c>
      <c r="E4952" t="s">
        <v>15435</v>
      </c>
      <c r="F4952" t="s">
        <v>273</v>
      </c>
      <c r="G4952" t="s">
        <v>15382</v>
      </c>
      <c r="H4952" t="s">
        <v>275</v>
      </c>
      <c r="I4952" t="s">
        <v>29</v>
      </c>
      <c r="J4952">
        <v>1</v>
      </c>
      <c r="K4952">
        <f>1-888-658-268</f>
        <v>-1813</v>
      </c>
      <c r="L4952" t="s">
        <v>15438</v>
      </c>
      <c r="M4952" t="s">
        <v>15437</v>
      </c>
      <c r="N4952" t="s">
        <v>278</v>
      </c>
      <c r="O4952" t="s">
        <v>28</v>
      </c>
      <c r="P4952" t="s">
        <v>29</v>
      </c>
      <c r="Q4952">
        <v>39</v>
      </c>
      <c r="R4952">
        <v>-77.487399999999994</v>
      </c>
    </row>
    <row r="4953" spans="1:18" x14ac:dyDescent="0.2">
      <c r="A4953" t="s">
        <v>270</v>
      </c>
      <c r="B4953" t="s">
        <v>440</v>
      </c>
      <c r="C4953">
        <v>1</v>
      </c>
      <c r="D4953" s="1">
        <v>44073.943622685183</v>
      </c>
      <c r="E4953" t="s">
        <v>15439</v>
      </c>
      <c r="F4953" t="s">
        <v>273</v>
      </c>
      <c r="G4953" t="s">
        <v>15382</v>
      </c>
      <c r="H4953" t="s">
        <v>275</v>
      </c>
      <c r="I4953" t="s">
        <v>29</v>
      </c>
      <c r="J4953">
        <v>1</v>
      </c>
      <c r="K4953">
        <f>1-888-417-4066</f>
        <v>-5370</v>
      </c>
      <c r="L4953" t="s">
        <v>15440</v>
      </c>
      <c r="M4953" t="s">
        <v>15441</v>
      </c>
      <c r="N4953" t="s">
        <v>278</v>
      </c>
      <c r="O4953" t="s">
        <v>134</v>
      </c>
      <c r="P4953" t="s">
        <v>29</v>
      </c>
      <c r="Q4953">
        <v>39</v>
      </c>
      <c r="R4953">
        <v>-77.487399999999994</v>
      </c>
    </row>
    <row r="4954" spans="1:18" x14ac:dyDescent="0.2">
      <c r="A4954" t="s">
        <v>270</v>
      </c>
      <c r="B4954" t="s">
        <v>440</v>
      </c>
      <c r="C4954">
        <v>1</v>
      </c>
      <c r="D4954" s="1">
        <v>44073.927349537036</v>
      </c>
      <c r="E4954" t="s">
        <v>15442</v>
      </c>
      <c r="F4954" t="s">
        <v>273</v>
      </c>
      <c r="G4954" t="s">
        <v>15382</v>
      </c>
      <c r="H4954" t="s">
        <v>275</v>
      </c>
      <c r="I4954" t="s">
        <v>29</v>
      </c>
      <c r="J4954">
        <v>1</v>
      </c>
      <c r="K4954">
        <f>1-888-529-6205</f>
        <v>-7621</v>
      </c>
      <c r="L4954" t="s">
        <v>15443</v>
      </c>
      <c r="M4954" t="s">
        <v>15444</v>
      </c>
      <c r="N4954" t="s">
        <v>278</v>
      </c>
      <c r="O4954" t="s">
        <v>134</v>
      </c>
      <c r="P4954" t="s">
        <v>29</v>
      </c>
      <c r="Q4954">
        <v>39</v>
      </c>
      <c r="R4954">
        <v>-77.487399999999994</v>
      </c>
    </row>
    <row r="4955" spans="1:18" x14ac:dyDescent="0.2">
      <c r="A4955" t="s">
        <v>270</v>
      </c>
      <c r="B4955" t="s">
        <v>440</v>
      </c>
      <c r="C4955">
        <v>1</v>
      </c>
      <c r="D4955" s="1">
        <v>44073.062581018516</v>
      </c>
      <c r="E4955" t="s">
        <v>15445</v>
      </c>
      <c r="F4955" t="s">
        <v>273</v>
      </c>
      <c r="G4955" t="s">
        <v>15382</v>
      </c>
      <c r="H4955" t="s">
        <v>275</v>
      </c>
      <c r="I4955" t="s">
        <v>29</v>
      </c>
      <c r="J4955">
        <v>1</v>
      </c>
      <c r="K4955">
        <f>1-888-705-881</f>
        <v>-2473</v>
      </c>
      <c r="L4955" t="s">
        <v>15446</v>
      </c>
      <c r="M4955" t="s">
        <v>15447</v>
      </c>
      <c r="N4955" t="s">
        <v>278</v>
      </c>
      <c r="O4955" t="s">
        <v>134</v>
      </c>
      <c r="P4955" t="s">
        <v>29</v>
      </c>
      <c r="Q4955">
        <v>39</v>
      </c>
      <c r="R4955">
        <v>-77.487399999999994</v>
      </c>
    </row>
    <row r="4956" spans="1:18" x14ac:dyDescent="0.2">
      <c r="A4956" t="s">
        <v>270</v>
      </c>
      <c r="B4956" t="s">
        <v>440</v>
      </c>
      <c r="C4956">
        <v>1</v>
      </c>
      <c r="D4956" s="1">
        <v>44073.060613425929</v>
      </c>
      <c r="E4956" t="s">
        <v>15448</v>
      </c>
      <c r="F4956" t="s">
        <v>273</v>
      </c>
      <c r="G4956" t="s">
        <v>15382</v>
      </c>
      <c r="H4956" t="s">
        <v>275</v>
      </c>
      <c r="I4956" t="s">
        <v>29</v>
      </c>
      <c r="J4956">
        <v>1</v>
      </c>
      <c r="K4956">
        <f>1-888-541-8493</f>
        <v>-9921</v>
      </c>
      <c r="L4956" t="s">
        <v>15449</v>
      </c>
      <c r="M4956" t="s">
        <v>15450</v>
      </c>
      <c r="N4956" t="s">
        <v>278</v>
      </c>
      <c r="O4956" t="s">
        <v>134</v>
      </c>
      <c r="P4956" t="s">
        <v>29</v>
      </c>
      <c r="Q4956">
        <v>39</v>
      </c>
      <c r="R4956">
        <v>-77.487399999999994</v>
      </c>
    </row>
    <row r="4957" spans="1:18" x14ac:dyDescent="0.2">
      <c r="A4957" t="s">
        <v>270</v>
      </c>
      <c r="B4957" t="s">
        <v>440</v>
      </c>
      <c r="C4957">
        <v>1</v>
      </c>
      <c r="D4957" s="1">
        <v>44073.018043981479</v>
      </c>
      <c r="E4957" t="s">
        <v>15451</v>
      </c>
      <c r="F4957" t="s">
        <v>273</v>
      </c>
      <c r="G4957" t="s">
        <v>15382</v>
      </c>
      <c r="H4957" t="s">
        <v>275</v>
      </c>
      <c r="I4957" t="s">
        <v>29</v>
      </c>
      <c r="J4957">
        <v>1</v>
      </c>
      <c r="K4957">
        <f>1-888-909-1336</f>
        <v>-3132</v>
      </c>
      <c r="L4957" t="s">
        <v>15452</v>
      </c>
      <c r="M4957" t="s">
        <v>15453</v>
      </c>
      <c r="N4957" t="s">
        <v>278</v>
      </c>
      <c r="O4957" t="s">
        <v>134</v>
      </c>
      <c r="P4957" t="s">
        <v>29</v>
      </c>
      <c r="Q4957">
        <v>39</v>
      </c>
      <c r="R4957">
        <v>-77.487399999999994</v>
      </c>
    </row>
    <row r="4958" spans="1:18" x14ac:dyDescent="0.2">
      <c r="A4958" t="s">
        <v>270</v>
      </c>
      <c r="B4958" t="s">
        <v>440</v>
      </c>
      <c r="C4958">
        <v>1</v>
      </c>
      <c r="D4958" s="1">
        <v>44072.868958333333</v>
      </c>
      <c r="E4958" t="s">
        <v>15454</v>
      </c>
      <c r="F4958" t="s">
        <v>273</v>
      </c>
      <c r="G4958" t="s">
        <v>15382</v>
      </c>
      <c r="H4958" t="s">
        <v>275</v>
      </c>
      <c r="I4958" t="s">
        <v>29</v>
      </c>
      <c r="J4958">
        <v>1</v>
      </c>
      <c r="K4958">
        <f>1-888-609-3819</f>
        <v>-5315</v>
      </c>
      <c r="L4958" t="s">
        <v>15455</v>
      </c>
      <c r="M4958" t="s">
        <v>15456</v>
      </c>
      <c r="N4958" t="s">
        <v>278</v>
      </c>
      <c r="O4958" t="s">
        <v>134</v>
      </c>
      <c r="P4958" t="s">
        <v>29</v>
      </c>
      <c r="Q4958">
        <v>39</v>
      </c>
      <c r="R4958">
        <v>-77.487399999999994</v>
      </c>
    </row>
    <row r="4959" spans="1:18" x14ac:dyDescent="0.2">
      <c r="A4959" t="s">
        <v>270</v>
      </c>
      <c r="B4959" t="s">
        <v>440</v>
      </c>
      <c r="C4959">
        <v>1</v>
      </c>
      <c r="D4959" s="1">
        <v>44072.862754629627</v>
      </c>
      <c r="E4959" t="s">
        <v>15457</v>
      </c>
      <c r="F4959" t="s">
        <v>273</v>
      </c>
      <c r="G4959" t="s">
        <v>15382</v>
      </c>
      <c r="H4959" t="s">
        <v>275</v>
      </c>
      <c r="I4959" t="s">
        <v>29</v>
      </c>
      <c r="J4959">
        <v>1</v>
      </c>
      <c r="K4959">
        <f>1-888-658-5805</f>
        <v>-7350</v>
      </c>
      <c r="L4959" t="s">
        <v>15458</v>
      </c>
      <c r="M4959" t="s">
        <v>15459</v>
      </c>
      <c r="N4959" t="s">
        <v>278</v>
      </c>
      <c r="O4959" t="s">
        <v>134</v>
      </c>
      <c r="P4959" t="s">
        <v>29</v>
      </c>
      <c r="Q4959">
        <v>39</v>
      </c>
      <c r="R4959">
        <v>-77.487399999999994</v>
      </c>
    </row>
    <row r="4960" spans="1:18" x14ac:dyDescent="0.2">
      <c r="A4960" t="s">
        <v>270</v>
      </c>
      <c r="B4960" t="s">
        <v>440</v>
      </c>
      <c r="C4960">
        <v>1</v>
      </c>
      <c r="D4960" s="1">
        <v>44071.974791666667</v>
      </c>
      <c r="E4960" t="s">
        <v>15460</v>
      </c>
      <c r="F4960" t="s">
        <v>273</v>
      </c>
      <c r="G4960" t="s">
        <v>15382</v>
      </c>
      <c r="H4960" t="s">
        <v>275</v>
      </c>
      <c r="I4960" t="s">
        <v>29</v>
      </c>
      <c r="J4960">
        <v>1</v>
      </c>
      <c r="K4960">
        <f>1-888-690-842</f>
        <v>-2419</v>
      </c>
      <c r="L4960" t="s">
        <v>15461</v>
      </c>
      <c r="M4960" t="s">
        <v>15462</v>
      </c>
      <c r="N4960" t="s">
        <v>278</v>
      </c>
      <c r="O4960" t="s">
        <v>134</v>
      </c>
      <c r="P4960" t="s">
        <v>29</v>
      </c>
      <c r="Q4960">
        <v>39</v>
      </c>
      <c r="R4960">
        <v>-77.487399999999994</v>
      </c>
    </row>
    <row r="4961" spans="1:18" x14ac:dyDescent="0.2">
      <c r="A4961" t="s">
        <v>270</v>
      </c>
      <c r="B4961" t="s">
        <v>440</v>
      </c>
      <c r="C4961">
        <v>1</v>
      </c>
      <c r="D4961" s="1">
        <v>44071.973622685182</v>
      </c>
      <c r="E4961" t="s">
        <v>15463</v>
      </c>
      <c r="F4961" t="s">
        <v>273</v>
      </c>
      <c r="G4961" t="s">
        <v>15382</v>
      </c>
      <c r="H4961" t="s">
        <v>275</v>
      </c>
      <c r="I4961" t="s">
        <v>29</v>
      </c>
      <c r="J4961">
        <v>1</v>
      </c>
      <c r="K4961">
        <f>1-888-909-1270</f>
        <v>-3066</v>
      </c>
      <c r="L4961" t="s">
        <v>15464</v>
      </c>
      <c r="M4961" t="s">
        <v>15465</v>
      </c>
      <c r="N4961" t="s">
        <v>278</v>
      </c>
      <c r="O4961" t="s">
        <v>134</v>
      </c>
      <c r="P4961" t="s">
        <v>29</v>
      </c>
      <c r="Q4961">
        <v>39</v>
      </c>
      <c r="R4961">
        <v>-77.487399999999994</v>
      </c>
    </row>
    <row r="4962" spans="1:18" x14ac:dyDescent="0.2">
      <c r="A4962" t="s">
        <v>270</v>
      </c>
      <c r="B4962" t="s">
        <v>440</v>
      </c>
      <c r="C4962">
        <v>1</v>
      </c>
      <c r="D4962" s="1">
        <v>44071.915636574071</v>
      </c>
      <c r="E4962" t="s">
        <v>15466</v>
      </c>
      <c r="F4962" t="s">
        <v>273</v>
      </c>
      <c r="G4962" t="s">
        <v>15382</v>
      </c>
      <c r="H4962" t="s">
        <v>275</v>
      </c>
      <c r="I4962" t="s">
        <v>29</v>
      </c>
      <c r="J4962">
        <v>1</v>
      </c>
      <c r="K4962">
        <f>1-888-706-1244</f>
        <v>-2837</v>
      </c>
      <c r="L4962" t="s">
        <v>15467</v>
      </c>
      <c r="M4962" t="s">
        <v>15468</v>
      </c>
      <c r="N4962" t="s">
        <v>278</v>
      </c>
      <c r="O4962" t="s">
        <v>134</v>
      </c>
      <c r="P4962" t="s">
        <v>29</v>
      </c>
      <c r="Q4962">
        <v>39</v>
      </c>
      <c r="R4962">
        <v>-77.487399999999994</v>
      </c>
    </row>
    <row r="4963" spans="1:18" x14ac:dyDescent="0.2">
      <c r="A4963" t="s">
        <v>270</v>
      </c>
      <c r="B4963" t="s">
        <v>440</v>
      </c>
      <c r="C4963">
        <v>1</v>
      </c>
      <c r="D4963" s="1">
        <v>44071.837256944447</v>
      </c>
      <c r="E4963" t="s">
        <v>15469</v>
      </c>
      <c r="F4963" t="s">
        <v>273</v>
      </c>
      <c r="G4963" t="s">
        <v>15382</v>
      </c>
      <c r="H4963" t="s">
        <v>275</v>
      </c>
      <c r="I4963" t="s">
        <v>29</v>
      </c>
      <c r="J4963">
        <v>1</v>
      </c>
      <c r="K4963">
        <f>1-888-650-4670</f>
        <v>-6207</v>
      </c>
      <c r="L4963" t="s">
        <v>15470</v>
      </c>
      <c r="M4963" t="s">
        <v>15471</v>
      </c>
      <c r="N4963" t="s">
        <v>278</v>
      </c>
      <c r="O4963" t="s">
        <v>28</v>
      </c>
      <c r="P4963" t="s">
        <v>29</v>
      </c>
      <c r="Q4963">
        <v>39</v>
      </c>
      <c r="R4963">
        <v>-77.487399999999994</v>
      </c>
    </row>
    <row r="4964" spans="1:18" x14ac:dyDescent="0.2">
      <c r="A4964" t="s">
        <v>270</v>
      </c>
      <c r="B4964" t="s">
        <v>440</v>
      </c>
      <c r="C4964">
        <v>1</v>
      </c>
      <c r="D4964" s="1">
        <v>44071.837233796294</v>
      </c>
      <c r="E4964" t="s">
        <v>15469</v>
      </c>
      <c r="F4964" t="s">
        <v>273</v>
      </c>
      <c r="G4964" t="s">
        <v>15382</v>
      </c>
      <c r="H4964" t="s">
        <v>275</v>
      </c>
      <c r="I4964" t="s">
        <v>29</v>
      </c>
      <c r="J4964">
        <v>1</v>
      </c>
      <c r="K4964">
        <f>1-888-650-4670</f>
        <v>-6207</v>
      </c>
      <c r="L4964" t="s">
        <v>15472</v>
      </c>
      <c r="M4964" t="s">
        <v>15471</v>
      </c>
      <c r="N4964" t="s">
        <v>278</v>
      </c>
      <c r="O4964" t="s">
        <v>28</v>
      </c>
      <c r="P4964" t="s">
        <v>29</v>
      </c>
      <c r="Q4964">
        <v>39</v>
      </c>
      <c r="R4964">
        <v>-77.487399999999994</v>
      </c>
    </row>
    <row r="4965" spans="1:18" x14ac:dyDescent="0.2">
      <c r="A4965" t="s">
        <v>270</v>
      </c>
      <c r="B4965" t="s">
        <v>440</v>
      </c>
      <c r="C4965">
        <v>1</v>
      </c>
      <c r="D4965" s="1">
        <v>44070.870706018519</v>
      </c>
      <c r="E4965" t="s">
        <v>15473</v>
      </c>
      <c r="F4965" t="s">
        <v>273</v>
      </c>
      <c r="G4965" t="s">
        <v>15382</v>
      </c>
      <c r="H4965" t="s">
        <v>275</v>
      </c>
      <c r="I4965" t="s">
        <v>29</v>
      </c>
      <c r="J4965">
        <v>1</v>
      </c>
      <c r="K4965">
        <f>1-888-597-1445</f>
        <v>-2929</v>
      </c>
      <c r="L4965" t="s">
        <v>15474</v>
      </c>
      <c r="M4965" t="s">
        <v>15475</v>
      </c>
      <c r="N4965" t="s">
        <v>278</v>
      </c>
      <c r="O4965" t="s">
        <v>134</v>
      </c>
      <c r="P4965" t="s">
        <v>29</v>
      </c>
      <c r="Q4965">
        <v>39</v>
      </c>
      <c r="R4965">
        <v>-77.487399999999994</v>
      </c>
    </row>
    <row r="4966" spans="1:18" x14ac:dyDescent="0.2">
      <c r="A4966" t="s">
        <v>270</v>
      </c>
      <c r="B4966" t="s">
        <v>440</v>
      </c>
      <c r="C4966">
        <v>1</v>
      </c>
      <c r="D4966" s="1">
        <v>44070.600462962961</v>
      </c>
      <c r="E4966" t="s">
        <v>15476</v>
      </c>
      <c r="F4966" t="s">
        <v>273</v>
      </c>
      <c r="G4966" t="s">
        <v>15382</v>
      </c>
      <c r="H4966" t="s">
        <v>275</v>
      </c>
      <c r="I4966" t="s">
        <v>29</v>
      </c>
      <c r="J4966">
        <v>1</v>
      </c>
      <c r="K4966">
        <f>1-888-527-4189</f>
        <v>-5603</v>
      </c>
      <c r="L4966" t="s">
        <v>15477</v>
      </c>
      <c r="M4966" t="s">
        <v>15478</v>
      </c>
      <c r="N4966" t="s">
        <v>278</v>
      </c>
      <c r="O4966" t="s">
        <v>134</v>
      </c>
      <c r="P4966" t="s">
        <v>29</v>
      </c>
      <c r="Q4966">
        <v>39</v>
      </c>
      <c r="R4966">
        <v>-77.487399999999994</v>
      </c>
    </row>
    <row r="4967" spans="1:18" x14ac:dyDescent="0.2">
      <c r="A4967" t="s">
        <v>270</v>
      </c>
      <c r="B4967" t="s">
        <v>440</v>
      </c>
      <c r="C4967">
        <v>1</v>
      </c>
      <c r="D4967" s="1">
        <v>44068.189074074071</v>
      </c>
      <c r="E4967" t="s">
        <v>15479</v>
      </c>
      <c r="F4967" t="s">
        <v>273</v>
      </c>
      <c r="G4967" t="s">
        <v>15382</v>
      </c>
      <c r="H4967" t="s">
        <v>275</v>
      </c>
      <c r="I4967" t="s">
        <v>29</v>
      </c>
      <c r="J4967">
        <v>1</v>
      </c>
      <c r="K4967">
        <f>1-888-535-4744</f>
        <v>-6166</v>
      </c>
      <c r="L4967" t="s">
        <v>15480</v>
      </c>
      <c r="M4967" t="s">
        <v>15481</v>
      </c>
      <c r="N4967" t="s">
        <v>278</v>
      </c>
      <c r="O4967" t="s">
        <v>134</v>
      </c>
      <c r="P4967" t="s">
        <v>29</v>
      </c>
      <c r="Q4967">
        <v>39</v>
      </c>
      <c r="R4967">
        <v>-77.487399999999994</v>
      </c>
    </row>
    <row r="4968" spans="1:18" x14ac:dyDescent="0.2">
      <c r="A4968" t="s">
        <v>270</v>
      </c>
      <c r="B4968" t="s">
        <v>440</v>
      </c>
      <c r="C4968">
        <v>1</v>
      </c>
      <c r="D4968" s="1">
        <v>44068.063298611109</v>
      </c>
      <c r="E4968" t="s">
        <v>15482</v>
      </c>
      <c r="F4968" t="s">
        <v>273</v>
      </c>
      <c r="G4968" t="s">
        <v>15382</v>
      </c>
      <c r="H4968" t="s">
        <v>275</v>
      </c>
      <c r="I4968" t="s">
        <v>29</v>
      </c>
      <c r="J4968">
        <v>1</v>
      </c>
      <c r="K4968">
        <f>1-888-851-676</f>
        <v>-2414</v>
      </c>
      <c r="L4968" t="s">
        <v>15483</v>
      </c>
      <c r="M4968" t="s">
        <v>15484</v>
      </c>
      <c r="N4968" t="s">
        <v>278</v>
      </c>
      <c r="O4968" t="s">
        <v>28</v>
      </c>
      <c r="P4968" t="s">
        <v>29</v>
      </c>
      <c r="Q4968">
        <v>39</v>
      </c>
      <c r="R4968">
        <v>-77.487399999999994</v>
      </c>
    </row>
    <row r="4969" spans="1:18" x14ac:dyDescent="0.2">
      <c r="A4969" t="s">
        <v>270</v>
      </c>
      <c r="B4969" t="s">
        <v>440</v>
      </c>
      <c r="C4969">
        <v>1</v>
      </c>
      <c r="D4969" s="1">
        <v>44068.05945601852</v>
      </c>
      <c r="E4969" t="s">
        <v>15485</v>
      </c>
      <c r="F4969" t="s">
        <v>273</v>
      </c>
      <c r="G4969" t="s">
        <v>15382</v>
      </c>
      <c r="H4969" t="s">
        <v>275</v>
      </c>
      <c r="I4969" t="s">
        <v>29</v>
      </c>
      <c r="J4969">
        <v>1</v>
      </c>
      <c r="K4969">
        <f>1-888-527-5177</f>
        <v>-6591</v>
      </c>
      <c r="L4969" t="s">
        <v>15486</v>
      </c>
      <c r="M4969" t="s">
        <v>15487</v>
      </c>
      <c r="N4969" t="s">
        <v>278</v>
      </c>
      <c r="O4969" t="s">
        <v>28</v>
      </c>
      <c r="P4969" t="s">
        <v>29</v>
      </c>
      <c r="Q4969">
        <v>39</v>
      </c>
      <c r="R4969">
        <v>-77.487399999999994</v>
      </c>
    </row>
    <row r="4970" spans="1:18" x14ac:dyDescent="0.2">
      <c r="A4970" t="s">
        <v>270</v>
      </c>
      <c r="B4970" t="s">
        <v>440</v>
      </c>
      <c r="C4970">
        <v>1</v>
      </c>
      <c r="D4970" s="1">
        <v>44068.048321759263</v>
      </c>
      <c r="E4970" t="s">
        <v>15488</v>
      </c>
      <c r="F4970" t="s">
        <v>273</v>
      </c>
      <c r="G4970" t="s">
        <v>15382</v>
      </c>
      <c r="H4970" t="s">
        <v>275</v>
      </c>
      <c r="I4970" t="s">
        <v>29</v>
      </c>
      <c r="J4970">
        <v>1</v>
      </c>
      <c r="K4970">
        <f>1-888-534-8036</f>
        <v>-9457</v>
      </c>
      <c r="L4970" t="s">
        <v>15489</v>
      </c>
      <c r="M4970" t="s">
        <v>15490</v>
      </c>
      <c r="N4970" t="s">
        <v>278</v>
      </c>
      <c r="O4970" t="s">
        <v>28</v>
      </c>
      <c r="P4970" t="s">
        <v>29</v>
      </c>
      <c r="Q4970">
        <v>39</v>
      </c>
      <c r="R4970">
        <v>-77.487399999999994</v>
      </c>
    </row>
    <row r="4971" spans="1:18" x14ac:dyDescent="0.2">
      <c r="A4971" t="s">
        <v>270</v>
      </c>
      <c r="B4971" t="s">
        <v>440</v>
      </c>
      <c r="C4971">
        <v>1</v>
      </c>
      <c r="D4971" s="1">
        <v>44068.026203703703</v>
      </c>
      <c r="E4971" t="s">
        <v>15491</v>
      </c>
      <c r="F4971" t="s">
        <v>273</v>
      </c>
      <c r="G4971" t="s">
        <v>15382</v>
      </c>
      <c r="H4971" t="s">
        <v>275</v>
      </c>
      <c r="I4971" t="s">
        <v>29</v>
      </c>
      <c r="J4971">
        <v>1</v>
      </c>
      <c r="K4971">
        <f>1-888-851-511</f>
        <v>-2249</v>
      </c>
      <c r="L4971" t="s">
        <v>15492</v>
      </c>
      <c r="M4971" t="s">
        <v>15493</v>
      </c>
      <c r="N4971" t="s">
        <v>278</v>
      </c>
      <c r="O4971" t="s">
        <v>28</v>
      </c>
      <c r="P4971" t="s">
        <v>29</v>
      </c>
      <c r="Q4971">
        <v>39</v>
      </c>
      <c r="R4971">
        <v>-77.487399999999994</v>
      </c>
    </row>
    <row r="4972" spans="1:18" x14ac:dyDescent="0.2">
      <c r="A4972" t="s">
        <v>270</v>
      </c>
      <c r="B4972" t="s">
        <v>440</v>
      </c>
      <c r="C4972">
        <v>1</v>
      </c>
      <c r="D4972" s="1">
        <v>44068.020196759258</v>
      </c>
      <c r="E4972" t="s">
        <v>15494</v>
      </c>
      <c r="F4972" t="s">
        <v>273</v>
      </c>
      <c r="G4972" t="s">
        <v>15382</v>
      </c>
      <c r="H4972" t="s">
        <v>275</v>
      </c>
      <c r="I4972" t="s">
        <v>29</v>
      </c>
      <c r="J4972">
        <v>1</v>
      </c>
      <c r="K4972">
        <f>1-888-965-777</f>
        <v>-2629</v>
      </c>
      <c r="L4972" t="s">
        <v>15495</v>
      </c>
      <c r="M4972" t="s">
        <v>15496</v>
      </c>
      <c r="N4972" t="s">
        <v>278</v>
      </c>
      <c r="O4972" t="s">
        <v>28</v>
      </c>
      <c r="P4972" t="s">
        <v>29</v>
      </c>
      <c r="Q4972">
        <v>39</v>
      </c>
      <c r="R4972">
        <v>-77.487399999999994</v>
      </c>
    </row>
    <row r="4973" spans="1:18" x14ac:dyDescent="0.2">
      <c r="A4973" t="s">
        <v>270</v>
      </c>
      <c r="B4973" t="s">
        <v>440</v>
      </c>
      <c r="C4973">
        <v>1</v>
      </c>
      <c r="D4973" s="1">
        <v>44053.301319444443</v>
      </c>
      <c r="E4973" t="s">
        <v>15497</v>
      </c>
      <c r="F4973" t="s">
        <v>273</v>
      </c>
      <c r="G4973" t="s">
        <v>15382</v>
      </c>
      <c r="H4973" t="s">
        <v>275</v>
      </c>
      <c r="I4973" t="s">
        <v>29</v>
      </c>
      <c r="J4973">
        <v>1</v>
      </c>
      <c r="K4973">
        <f>1-866-801-5549</f>
        <v>-7215</v>
      </c>
      <c r="L4973" t="s">
        <v>15498</v>
      </c>
      <c r="M4973" t="s">
        <v>15499</v>
      </c>
      <c r="N4973" t="s">
        <v>278</v>
      </c>
      <c r="O4973" t="s">
        <v>134</v>
      </c>
      <c r="P4973" t="s">
        <v>29</v>
      </c>
      <c r="Q4973">
        <v>39</v>
      </c>
      <c r="R4973">
        <v>-77.487399999999994</v>
      </c>
    </row>
    <row r="4974" spans="1:18" x14ac:dyDescent="0.2">
      <c r="A4974" t="s">
        <v>270</v>
      </c>
      <c r="B4974" t="s">
        <v>440</v>
      </c>
      <c r="C4974">
        <v>1</v>
      </c>
      <c r="D4974" s="1">
        <v>44053.29</v>
      </c>
      <c r="E4974" t="s">
        <v>15500</v>
      </c>
      <c r="F4974" t="s">
        <v>273</v>
      </c>
      <c r="G4974" t="s">
        <v>15382</v>
      </c>
      <c r="H4974" t="s">
        <v>275</v>
      </c>
      <c r="I4974" t="s">
        <v>29</v>
      </c>
      <c r="J4974">
        <v>1</v>
      </c>
      <c r="K4974">
        <f>1-888-524-5804</f>
        <v>-7215</v>
      </c>
      <c r="L4974" t="s">
        <v>15501</v>
      </c>
      <c r="M4974" t="s">
        <v>15502</v>
      </c>
      <c r="N4974" t="s">
        <v>278</v>
      </c>
      <c r="O4974" t="s">
        <v>134</v>
      </c>
      <c r="P4974" t="s">
        <v>29</v>
      </c>
      <c r="Q4974">
        <v>39</v>
      </c>
      <c r="R4974">
        <v>-77.487399999999994</v>
      </c>
    </row>
    <row r="4975" spans="1:18" x14ac:dyDescent="0.2">
      <c r="A4975" t="s">
        <v>270</v>
      </c>
      <c r="B4975" t="s">
        <v>5337</v>
      </c>
      <c r="C4975">
        <v>1</v>
      </c>
      <c r="D4975" s="1">
        <v>44096.369583333333</v>
      </c>
      <c r="E4975" t="s">
        <v>15503</v>
      </c>
      <c r="F4975" t="s">
        <v>273</v>
      </c>
      <c r="G4975" t="s">
        <v>15504</v>
      </c>
      <c r="H4975" t="s">
        <v>275</v>
      </c>
      <c r="I4975" t="s">
        <v>29</v>
      </c>
      <c r="J4975">
        <v>1</v>
      </c>
      <c r="K4975">
        <f>1-844-316-9077</f>
        <v>-10236</v>
      </c>
      <c r="L4975" t="s">
        <v>15505</v>
      </c>
      <c r="M4975" t="s">
        <v>15506</v>
      </c>
      <c r="N4975" t="s">
        <v>278</v>
      </c>
      <c r="O4975" t="s">
        <v>28</v>
      </c>
      <c r="P4975" t="s">
        <v>29</v>
      </c>
      <c r="Q4975">
        <v>38</v>
      </c>
      <c r="R4975">
        <v>-99.999999000000003</v>
      </c>
    </row>
    <row r="4976" spans="1:18" x14ac:dyDescent="0.2">
      <c r="A4976" t="s">
        <v>270</v>
      </c>
      <c r="B4976" t="s">
        <v>5337</v>
      </c>
      <c r="C4976">
        <v>1</v>
      </c>
      <c r="D4976" s="1">
        <v>44096.369108796294</v>
      </c>
      <c r="E4976" t="s">
        <v>15507</v>
      </c>
      <c r="F4976" t="s">
        <v>273</v>
      </c>
      <c r="G4976" t="s">
        <v>15504</v>
      </c>
      <c r="H4976" t="s">
        <v>275</v>
      </c>
      <c r="I4976" t="s">
        <v>29</v>
      </c>
      <c r="J4976">
        <v>1</v>
      </c>
      <c r="K4976">
        <f>1-844-312-611</f>
        <v>-1766</v>
      </c>
      <c r="L4976" t="s">
        <v>15508</v>
      </c>
      <c r="M4976" t="s">
        <v>15509</v>
      </c>
      <c r="N4976" t="s">
        <v>278</v>
      </c>
      <c r="O4976" t="s">
        <v>28</v>
      </c>
      <c r="P4976" t="s">
        <v>29</v>
      </c>
      <c r="Q4976">
        <v>38</v>
      </c>
      <c r="R4976">
        <v>-99.999999000000003</v>
      </c>
    </row>
    <row r="4977" spans="1:18" x14ac:dyDescent="0.2">
      <c r="A4977" t="s">
        <v>270</v>
      </c>
      <c r="B4977" t="s">
        <v>5337</v>
      </c>
      <c r="C4977">
        <v>1</v>
      </c>
      <c r="D4977" s="1">
        <v>44096.36891203704</v>
      </c>
      <c r="E4977" t="s">
        <v>15510</v>
      </c>
      <c r="F4977" t="s">
        <v>273</v>
      </c>
      <c r="G4977" t="s">
        <v>15504</v>
      </c>
      <c r="H4977" t="s">
        <v>275</v>
      </c>
      <c r="I4977" t="s">
        <v>29</v>
      </c>
      <c r="J4977">
        <v>1</v>
      </c>
      <c r="K4977">
        <f>1-844-305-9953</f>
        <v>-11101</v>
      </c>
      <c r="L4977" t="s">
        <v>15511</v>
      </c>
      <c r="M4977" t="s">
        <v>15512</v>
      </c>
      <c r="N4977" t="s">
        <v>278</v>
      </c>
      <c r="O4977" t="s">
        <v>28</v>
      </c>
      <c r="P4977" t="s">
        <v>29</v>
      </c>
      <c r="Q4977">
        <v>38</v>
      </c>
      <c r="R4977">
        <v>-99.999999000000003</v>
      </c>
    </row>
    <row r="4978" spans="1:18" x14ac:dyDescent="0.2">
      <c r="A4978" t="s">
        <v>270</v>
      </c>
      <c r="B4978" t="s">
        <v>5337</v>
      </c>
      <c r="C4978">
        <v>1</v>
      </c>
      <c r="D4978" s="1">
        <v>44096.365995370368</v>
      </c>
      <c r="E4978" t="s">
        <v>15513</v>
      </c>
      <c r="F4978" t="s">
        <v>273</v>
      </c>
      <c r="G4978" t="s">
        <v>15504</v>
      </c>
      <c r="H4978" t="s">
        <v>275</v>
      </c>
      <c r="I4978" t="s">
        <v>29</v>
      </c>
      <c r="J4978">
        <v>1</v>
      </c>
      <c r="K4978">
        <f>1-844-290-1224</f>
        <v>-2357</v>
      </c>
      <c r="L4978" t="s">
        <v>15514</v>
      </c>
      <c r="M4978" t="s">
        <v>15515</v>
      </c>
      <c r="N4978" t="s">
        <v>278</v>
      </c>
      <c r="O4978" t="s">
        <v>28</v>
      </c>
      <c r="P4978" t="s">
        <v>29</v>
      </c>
      <c r="Q4978">
        <v>38</v>
      </c>
      <c r="R4978">
        <v>-99.999999000000003</v>
      </c>
    </row>
    <row r="4979" spans="1:18" x14ac:dyDescent="0.2">
      <c r="A4979" t="s">
        <v>270</v>
      </c>
      <c r="B4979" t="s">
        <v>5337</v>
      </c>
      <c r="C4979">
        <v>1</v>
      </c>
      <c r="D4979" s="1">
        <v>44089.821527777778</v>
      </c>
      <c r="E4979" t="s">
        <v>15516</v>
      </c>
      <c r="F4979" t="s">
        <v>273</v>
      </c>
      <c r="G4979" t="s">
        <v>15504</v>
      </c>
      <c r="H4979" t="s">
        <v>275</v>
      </c>
      <c r="I4979" t="s">
        <v>29</v>
      </c>
      <c r="J4979">
        <v>1</v>
      </c>
      <c r="K4979">
        <f>1-844-233-1380</f>
        <v>-2456</v>
      </c>
      <c r="L4979" t="s">
        <v>15517</v>
      </c>
      <c r="M4979" t="s">
        <v>15518</v>
      </c>
      <c r="N4979" t="s">
        <v>278</v>
      </c>
      <c r="O4979" t="s">
        <v>28</v>
      </c>
      <c r="P4979" t="s">
        <v>29</v>
      </c>
      <c r="Q4979">
        <v>38</v>
      </c>
      <c r="R4979">
        <v>-99.999999000000003</v>
      </c>
    </row>
    <row r="4980" spans="1:18" x14ac:dyDescent="0.2">
      <c r="A4980" t="s">
        <v>270</v>
      </c>
      <c r="B4980" t="s">
        <v>5337</v>
      </c>
      <c r="C4980">
        <v>1</v>
      </c>
      <c r="D4980" s="1">
        <v>44088.864537037036</v>
      </c>
      <c r="E4980" t="s">
        <v>15519</v>
      </c>
      <c r="F4980" t="s">
        <v>273</v>
      </c>
      <c r="G4980" t="s">
        <v>15504</v>
      </c>
      <c r="H4980" t="s">
        <v>275</v>
      </c>
      <c r="I4980" t="s">
        <v>29</v>
      </c>
      <c r="J4980">
        <v>1</v>
      </c>
      <c r="K4980">
        <f>1-844-225-7967</f>
        <v>-9035</v>
      </c>
      <c r="L4980" t="s">
        <v>15520</v>
      </c>
      <c r="M4980" t="s">
        <v>15521</v>
      </c>
      <c r="N4980" t="s">
        <v>278</v>
      </c>
      <c r="O4980" t="s">
        <v>28</v>
      </c>
      <c r="P4980" t="s">
        <v>29</v>
      </c>
      <c r="Q4980">
        <v>38</v>
      </c>
      <c r="R4980">
        <v>-99.999999000000003</v>
      </c>
    </row>
    <row r="4981" spans="1:18" x14ac:dyDescent="0.2">
      <c r="A4981" t="s">
        <v>270</v>
      </c>
      <c r="B4981" t="s">
        <v>5337</v>
      </c>
      <c r="C4981">
        <v>1</v>
      </c>
      <c r="D4981" s="1">
        <v>44088.787916666668</v>
      </c>
      <c r="E4981" t="s">
        <v>15522</v>
      </c>
      <c r="F4981" t="s">
        <v>273</v>
      </c>
      <c r="G4981" t="s">
        <v>15504</v>
      </c>
      <c r="H4981" t="s">
        <v>275</v>
      </c>
      <c r="I4981" t="s">
        <v>29</v>
      </c>
      <c r="J4981">
        <v>1</v>
      </c>
      <c r="K4981">
        <f>1-844-212-1446</f>
        <v>-2501</v>
      </c>
      <c r="L4981" t="s">
        <v>15523</v>
      </c>
      <c r="M4981" t="s">
        <v>15524</v>
      </c>
      <c r="N4981" t="s">
        <v>278</v>
      </c>
      <c r="O4981" t="s">
        <v>28</v>
      </c>
      <c r="P4981" t="s">
        <v>29</v>
      </c>
      <c r="Q4981">
        <v>38</v>
      </c>
      <c r="R4981">
        <v>-99.999999000000003</v>
      </c>
    </row>
    <row r="4982" spans="1:18" x14ac:dyDescent="0.2">
      <c r="A4982" t="s">
        <v>270</v>
      </c>
      <c r="B4982" t="s">
        <v>5337</v>
      </c>
      <c r="C4982">
        <v>1</v>
      </c>
      <c r="D4982" s="1">
        <v>44084.783888888887</v>
      </c>
      <c r="E4982" t="s">
        <v>15525</v>
      </c>
      <c r="F4982" t="s">
        <v>273</v>
      </c>
      <c r="G4982" t="s">
        <v>15504</v>
      </c>
      <c r="H4982" t="s">
        <v>275</v>
      </c>
      <c r="I4982" t="s">
        <v>29</v>
      </c>
      <c r="J4982">
        <v>1</v>
      </c>
      <c r="K4982">
        <f>1-844-318-7909</f>
        <v>-9070</v>
      </c>
      <c r="L4982" t="s">
        <v>15526</v>
      </c>
      <c r="M4982" t="s">
        <v>15527</v>
      </c>
      <c r="N4982" t="s">
        <v>278</v>
      </c>
      <c r="O4982" t="s">
        <v>28</v>
      </c>
      <c r="P4982" t="s">
        <v>29</v>
      </c>
      <c r="Q4982">
        <v>38</v>
      </c>
      <c r="R4982">
        <v>-99.999999000000003</v>
      </c>
    </row>
    <row r="4983" spans="1:18" x14ac:dyDescent="0.2">
      <c r="A4983" t="s">
        <v>270</v>
      </c>
      <c r="B4983" t="s">
        <v>5337</v>
      </c>
      <c r="C4983">
        <v>1</v>
      </c>
      <c r="D4983" s="1">
        <v>44084.782453703701</v>
      </c>
      <c r="E4983" t="s">
        <v>15528</v>
      </c>
      <c r="F4983" t="s">
        <v>273</v>
      </c>
      <c r="G4983" t="s">
        <v>15504</v>
      </c>
      <c r="H4983" t="s">
        <v>275</v>
      </c>
      <c r="I4983" t="s">
        <v>29</v>
      </c>
      <c r="J4983">
        <v>1</v>
      </c>
      <c r="K4983">
        <f>1-888-608-5109</f>
        <v>-6604</v>
      </c>
      <c r="L4983" t="s">
        <v>15529</v>
      </c>
      <c r="M4983" t="s">
        <v>15530</v>
      </c>
      <c r="N4983" t="s">
        <v>278</v>
      </c>
      <c r="O4983" t="s">
        <v>28</v>
      </c>
      <c r="P4983" t="s">
        <v>29</v>
      </c>
      <c r="Q4983">
        <v>38</v>
      </c>
      <c r="R4983">
        <v>-99.999999000000003</v>
      </c>
    </row>
    <row r="4984" spans="1:18" x14ac:dyDescent="0.2">
      <c r="A4984" t="s">
        <v>270</v>
      </c>
      <c r="B4984" t="s">
        <v>5337</v>
      </c>
      <c r="C4984">
        <v>1</v>
      </c>
      <c r="D4984" s="1">
        <v>44084.776539351849</v>
      </c>
      <c r="E4984" t="s">
        <v>15531</v>
      </c>
      <c r="F4984" t="s">
        <v>273</v>
      </c>
      <c r="G4984" t="s">
        <v>15504</v>
      </c>
      <c r="H4984" t="s">
        <v>275</v>
      </c>
      <c r="I4984" t="s">
        <v>29</v>
      </c>
      <c r="J4984">
        <v>1</v>
      </c>
      <c r="K4984">
        <f>1-844-318-7909</f>
        <v>-9070</v>
      </c>
      <c r="L4984" t="s">
        <v>15532</v>
      </c>
      <c r="M4984" t="s">
        <v>15533</v>
      </c>
      <c r="N4984" t="s">
        <v>278</v>
      </c>
      <c r="O4984" t="s">
        <v>28</v>
      </c>
      <c r="P4984" t="s">
        <v>29</v>
      </c>
      <c r="Q4984">
        <v>38</v>
      </c>
      <c r="R4984">
        <v>-99.999999000000003</v>
      </c>
    </row>
    <row r="4985" spans="1:18" x14ac:dyDescent="0.2">
      <c r="A4985" t="s">
        <v>270</v>
      </c>
      <c r="B4985" t="s">
        <v>5337</v>
      </c>
      <c r="C4985">
        <v>1</v>
      </c>
      <c r="D4985" s="1">
        <v>44083.829583333332</v>
      </c>
      <c r="E4985" t="s">
        <v>15534</v>
      </c>
      <c r="F4985" t="s">
        <v>273</v>
      </c>
      <c r="G4985" t="s">
        <v>15504</v>
      </c>
      <c r="H4985" t="s">
        <v>275</v>
      </c>
      <c r="I4985" t="s">
        <v>29</v>
      </c>
      <c r="J4985">
        <v>1</v>
      </c>
      <c r="K4985">
        <f>1-888-592-7014</f>
        <v>-8493</v>
      </c>
      <c r="L4985" t="s">
        <v>15535</v>
      </c>
      <c r="M4985" t="s">
        <v>15536</v>
      </c>
      <c r="N4985" t="s">
        <v>278</v>
      </c>
      <c r="O4985" t="s">
        <v>28</v>
      </c>
      <c r="P4985" t="s">
        <v>29</v>
      </c>
      <c r="Q4985">
        <v>38</v>
      </c>
      <c r="R4985">
        <v>-99.999999000000003</v>
      </c>
    </row>
    <row r="4986" spans="1:18" x14ac:dyDescent="0.2">
      <c r="A4986" t="s">
        <v>270</v>
      </c>
      <c r="B4986" t="s">
        <v>5337</v>
      </c>
      <c r="C4986">
        <v>1</v>
      </c>
      <c r="D4986" s="1">
        <v>44083.828738425924</v>
      </c>
      <c r="E4986" t="s">
        <v>15537</v>
      </c>
      <c r="F4986" t="s">
        <v>273</v>
      </c>
      <c r="G4986" t="s">
        <v>15504</v>
      </c>
      <c r="H4986" t="s">
        <v>275</v>
      </c>
      <c r="I4986" t="s">
        <v>29</v>
      </c>
      <c r="J4986">
        <v>1</v>
      </c>
      <c r="K4986">
        <f>1-888-585-7516</f>
        <v>-8988</v>
      </c>
      <c r="L4986" t="s">
        <v>15538</v>
      </c>
      <c r="M4986" t="s">
        <v>15539</v>
      </c>
      <c r="N4986" t="s">
        <v>278</v>
      </c>
      <c r="O4986" t="s">
        <v>28</v>
      </c>
      <c r="P4986" t="s">
        <v>29</v>
      </c>
      <c r="Q4986">
        <v>38</v>
      </c>
      <c r="R4986">
        <v>-99.999999000000003</v>
      </c>
    </row>
    <row r="4987" spans="1:18" x14ac:dyDescent="0.2">
      <c r="A4987" t="s">
        <v>270</v>
      </c>
      <c r="B4987" t="s">
        <v>5337</v>
      </c>
      <c r="C4987">
        <v>1</v>
      </c>
      <c r="D4987" s="1">
        <v>44082.840613425928</v>
      </c>
      <c r="E4987" t="s">
        <v>15540</v>
      </c>
      <c r="F4987" t="s">
        <v>273</v>
      </c>
      <c r="G4987" t="s">
        <v>15504</v>
      </c>
      <c r="H4987" t="s">
        <v>275</v>
      </c>
      <c r="I4987" t="s">
        <v>29</v>
      </c>
      <c r="J4987">
        <v>1</v>
      </c>
      <c r="K4987">
        <f>1-888-618-225</f>
        <v>-1730</v>
      </c>
      <c r="L4987" t="s">
        <v>15541</v>
      </c>
      <c r="M4987" t="s">
        <v>15542</v>
      </c>
      <c r="N4987" t="s">
        <v>278</v>
      </c>
      <c r="O4987" t="s">
        <v>134</v>
      </c>
      <c r="P4987" t="s">
        <v>29</v>
      </c>
      <c r="Q4987">
        <v>38</v>
      </c>
      <c r="R4987">
        <v>-99.999999000000003</v>
      </c>
    </row>
    <row r="4988" spans="1:18" x14ac:dyDescent="0.2">
      <c r="A4988" t="s">
        <v>270</v>
      </c>
      <c r="B4988" t="s">
        <v>5337</v>
      </c>
      <c r="C4988">
        <v>1</v>
      </c>
      <c r="D4988" s="1">
        <v>44073.943842592591</v>
      </c>
      <c r="E4988" t="s">
        <v>15543</v>
      </c>
      <c r="F4988" t="s">
        <v>273</v>
      </c>
      <c r="G4988" t="s">
        <v>15504</v>
      </c>
      <c r="H4988" t="s">
        <v>275</v>
      </c>
      <c r="I4988" t="s">
        <v>29</v>
      </c>
      <c r="J4988">
        <v>1</v>
      </c>
      <c r="K4988">
        <f>1-888-417-4066</f>
        <v>-5370</v>
      </c>
      <c r="L4988" t="s">
        <v>15544</v>
      </c>
      <c r="M4988" t="s">
        <v>15545</v>
      </c>
      <c r="N4988" t="s">
        <v>278</v>
      </c>
      <c r="O4988" t="s">
        <v>134</v>
      </c>
      <c r="P4988" t="s">
        <v>29</v>
      </c>
      <c r="Q4988">
        <v>38</v>
      </c>
      <c r="R4988">
        <v>-99.999999000000003</v>
      </c>
    </row>
    <row r="4989" spans="1:18" x14ac:dyDescent="0.2">
      <c r="A4989" t="s">
        <v>270</v>
      </c>
      <c r="B4989" t="s">
        <v>5337</v>
      </c>
      <c r="C4989">
        <v>1</v>
      </c>
      <c r="D4989" s="1">
        <v>44073.027615740742</v>
      </c>
      <c r="E4989" t="s">
        <v>15546</v>
      </c>
      <c r="F4989" t="s">
        <v>273</v>
      </c>
      <c r="G4989" t="s">
        <v>15504</v>
      </c>
      <c r="H4989" t="s">
        <v>275</v>
      </c>
      <c r="I4989" t="s">
        <v>29</v>
      </c>
      <c r="J4989">
        <v>1</v>
      </c>
      <c r="K4989">
        <f>1-888-417-4065</f>
        <v>-5369</v>
      </c>
      <c r="L4989" t="s">
        <v>15547</v>
      </c>
      <c r="M4989" t="s">
        <v>15548</v>
      </c>
      <c r="N4989" t="s">
        <v>278</v>
      </c>
      <c r="O4989" t="s">
        <v>134</v>
      </c>
      <c r="P4989" t="s">
        <v>29</v>
      </c>
      <c r="Q4989">
        <v>38</v>
      </c>
      <c r="R4989">
        <v>-99.999999000000003</v>
      </c>
    </row>
    <row r="4990" spans="1:18" x14ac:dyDescent="0.2">
      <c r="A4990" t="s">
        <v>270</v>
      </c>
      <c r="B4990" t="s">
        <v>5337</v>
      </c>
      <c r="C4990">
        <v>1</v>
      </c>
      <c r="D4990" s="1">
        <v>44072.868009259262</v>
      </c>
      <c r="E4990" t="s">
        <v>15549</v>
      </c>
      <c r="F4990" t="s">
        <v>273</v>
      </c>
      <c r="G4990" t="s">
        <v>15504</v>
      </c>
      <c r="H4990" t="s">
        <v>275</v>
      </c>
      <c r="I4990" t="s">
        <v>29</v>
      </c>
      <c r="J4990">
        <v>1</v>
      </c>
      <c r="K4990">
        <f>1-888-619-5735</f>
        <v>-7241</v>
      </c>
      <c r="L4990" t="s">
        <v>15550</v>
      </c>
      <c r="M4990" t="s">
        <v>15551</v>
      </c>
      <c r="N4990" t="s">
        <v>278</v>
      </c>
      <c r="O4990" t="s">
        <v>134</v>
      </c>
      <c r="P4990" t="s">
        <v>29</v>
      </c>
      <c r="Q4990">
        <v>38</v>
      </c>
      <c r="R4990">
        <v>-99.999999000000003</v>
      </c>
    </row>
    <row r="4991" spans="1:18" x14ac:dyDescent="0.2">
      <c r="A4991" t="s">
        <v>270</v>
      </c>
      <c r="B4991" t="s">
        <v>5337</v>
      </c>
      <c r="C4991">
        <v>1</v>
      </c>
      <c r="D4991" s="1">
        <v>44072.866527777776</v>
      </c>
      <c r="E4991" t="s">
        <v>15552</v>
      </c>
      <c r="F4991" t="s">
        <v>273</v>
      </c>
      <c r="G4991" t="s">
        <v>15504</v>
      </c>
      <c r="H4991" t="s">
        <v>275</v>
      </c>
      <c r="I4991" t="s">
        <v>29</v>
      </c>
      <c r="J4991">
        <v>1</v>
      </c>
      <c r="K4991">
        <f>1-888-604-806</f>
        <v>-2297</v>
      </c>
      <c r="L4991" t="s">
        <v>15553</v>
      </c>
      <c r="M4991" t="s">
        <v>15554</v>
      </c>
      <c r="N4991" t="s">
        <v>278</v>
      </c>
      <c r="O4991" t="s">
        <v>134</v>
      </c>
      <c r="P4991" t="s">
        <v>29</v>
      </c>
      <c r="Q4991">
        <v>38</v>
      </c>
      <c r="R4991">
        <v>-99.999999000000003</v>
      </c>
    </row>
    <row r="4992" spans="1:18" x14ac:dyDescent="0.2">
      <c r="A4992" t="s">
        <v>270</v>
      </c>
      <c r="B4992" t="s">
        <v>5337</v>
      </c>
      <c r="C4992">
        <v>1</v>
      </c>
      <c r="D4992" s="1">
        <v>44071.973854166667</v>
      </c>
      <c r="E4992" t="s">
        <v>15555</v>
      </c>
      <c r="F4992" t="s">
        <v>273</v>
      </c>
      <c r="G4992" t="s">
        <v>15504</v>
      </c>
      <c r="H4992" t="s">
        <v>275</v>
      </c>
      <c r="I4992" t="s">
        <v>29</v>
      </c>
      <c r="J4992">
        <v>1</v>
      </c>
      <c r="K4992">
        <f>1-888-909-1270</f>
        <v>-3066</v>
      </c>
      <c r="L4992" t="s">
        <v>15556</v>
      </c>
      <c r="M4992" t="s">
        <v>15557</v>
      </c>
      <c r="N4992" t="s">
        <v>278</v>
      </c>
      <c r="O4992" t="s">
        <v>134</v>
      </c>
      <c r="P4992" t="s">
        <v>29</v>
      </c>
      <c r="Q4992">
        <v>38</v>
      </c>
      <c r="R4992">
        <v>-99.999999000000003</v>
      </c>
    </row>
    <row r="4993" spans="1:18" x14ac:dyDescent="0.2">
      <c r="A4993" t="s">
        <v>270</v>
      </c>
      <c r="B4993" t="s">
        <v>5337</v>
      </c>
      <c r="C4993">
        <v>1</v>
      </c>
      <c r="D4993" s="1">
        <v>44071.90483796296</v>
      </c>
      <c r="E4993" t="s">
        <v>15558</v>
      </c>
      <c r="F4993" t="s">
        <v>273</v>
      </c>
      <c r="G4993" t="s">
        <v>15504</v>
      </c>
      <c r="H4993" t="s">
        <v>275</v>
      </c>
      <c r="I4993" t="s">
        <v>29</v>
      </c>
      <c r="J4993">
        <v>1</v>
      </c>
      <c r="K4993">
        <f>1-888-304-1408</f>
        <v>-2599</v>
      </c>
      <c r="L4993" t="s">
        <v>15559</v>
      </c>
      <c r="M4993" t="s">
        <v>15560</v>
      </c>
      <c r="N4993" t="s">
        <v>278</v>
      </c>
      <c r="O4993" t="s">
        <v>134</v>
      </c>
      <c r="P4993" t="s">
        <v>29</v>
      </c>
      <c r="Q4993">
        <v>38</v>
      </c>
      <c r="R4993">
        <v>-99.999999000000003</v>
      </c>
    </row>
    <row r="4994" spans="1:18" x14ac:dyDescent="0.2">
      <c r="A4994" t="s">
        <v>270</v>
      </c>
      <c r="B4994" t="s">
        <v>5337</v>
      </c>
      <c r="C4994">
        <v>1</v>
      </c>
      <c r="D4994" s="1">
        <v>44071.835196759261</v>
      </c>
      <c r="E4994" t="s">
        <v>15561</v>
      </c>
      <c r="F4994" t="s">
        <v>273</v>
      </c>
      <c r="G4994" t="s">
        <v>15504</v>
      </c>
      <c r="H4994" t="s">
        <v>275</v>
      </c>
      <c r="I4994" t="s">
        <v>29</v>
      </c>
      <c r="J4994">
        <v>1</v>
      </c>
      <c r="K4994">
        <f>1-888-607-419</f>
        <v>-1913</v>
      </c>
      <c r="L4994" t="s">
        <v>15562</v>
      </c>
      <c r="M4994" t="s">
        <v>15563</v>
      </c>
      <c r="N4994" t="s">
        <v>278</v>
      </c>
      <c r="O4994" t="s">
        <v>28</v>
      </c>
      <c r="P4994" t="s">
        <v>29</v>
      </c>
      <c r="Q4994">
        <v>38</v>
      </c>
      <c r="R4994">
        <v>-99.999999000000003</v>
      </c>
    </row>
    <row r="4995" spans="1:18" x14ac:dyDescent="0.2">
      <c r="A4995" t="s">
        <v>270</v>
      </c>
      <c r="B4995" t="s">
        <v>5337</v>
      </c>
      <c r="C4995">
        <v>1</v>
      </c>
      <c r="D4995" s="1">
        <v>44070.869872685187</v>
      </c>
      <c r="E4995" t="s">
        <v>15564</v>
      </c>
      <c r="F4995" t="s">
        <v>273</v>
      </c>
      <c r="G4995" t="s">
        <v>15504</v>
      </c>
      <c r="H4995" t="s">
        <v>275</v>
      </c>
      <c r="I4995" t="s">
        <v>29</v>
      </c>
      <c r="J4995">
        <v>1</v>
      </c>
      <c r="K4995">
        <f>1-888-441-3235</f>
        <v>-4563</v>
      </c>
      <c r="L4995" t="s">
        <v>15565</v>
      </c>
      <c r="M4995" t="s">
        <v>15566</v>
      </c>
      <c r="N4995" t="s">
        <v>278</v>
      </c>
      <c r="O4995" t="s">
        <v>134</v>
      </c>
      <c r="P4995" t="s">
        <v>29</v>
      </c>
      <c r="Q4995">
        <v>38</v>
      </c>
      <c r="R4995">
        <v>-99.999999000000003</v>
      </c>
    </row>
    <row r="4996" spans="1:18" x14ac:dyDescent="0.2">
      <c r="A4996" t="s">
        <v>270</v>
      </c>
      <c r="B4996" t="s">
        <v>5337</v>
      </c>
      <c r="C4996">
        <v>1</v>
      </c>
      <c r="D4996" s="1">
        <v>44070.600162037037</v>
      </c>
      <c r="E4996" t="s">
        <v>15567</v>
      </c>
      <c r="F4996" t="s">
        <v>273</v>
      </c>
      <c r="G4996" t="s">
        <v>15504</v>
      </c>
      <c r="H4996" t="s">
        <v>275</v>
      </c>
      <c r="I4996" t="s">
        <v>29</v>
      </c>
      <c r="J4996">
        <v>1</v>
      </c>
      <c r="K4996">
        <f>1-888-526-3661</f>
        <v>-5074</v>
      </c>
      <c r="L4996" t="s">
        <v>15568</v>
      </c>
      <c r="M4996" t="s">
        <v>15569</v>
      </c>
      <c r="N4996" t="s">
        <v>278</v>
      </c>
      <c r="O4996" t="s">
        <v>134</v>
      </c>
      <c r="P4996" t="s">
        <v>29</v>
      </c>
      <c r="Q4996">
        <v>38</v>
      </c>
      <c r="R4996">
        <v>-99.999999000000003</v>
      </c>
    </row>
    <row r="4997" spans="1:18" x14ac:dyDescent="0.2">
      <c r="A4997" t="s">
        <v>270</v>
      </c>
      <c r="B4997" t="s">
        <v>5337</v>
      </c>
      <c r="C4997">
        <v>1</v>
      </c>
      <c r="D4997" s="1">
        <v>44068.03162037037</v>
      </c>
      <c r="E4997" t="s">
        <v>15570</v>
      </c>
      <c r="F4997" t="s">
        <v>273</v>
      </c>
      <c r="G4997" t="s">
        <v>15504</v>
      </c>
      <c r="H4997" t="s">
        <v>275</v>
      </c>
      <c r="I4997" t="s">
        <v>29</v>
      </c>
      <c r="J4997">
        <v>1</v>
      </c>
      <c r="K4997">
        <f>1-888-965-777</f>
        <v>-2629</v>
      </c>
      <c r="L4997" t="s">
        <v>15571</v>
      </c>
      <c r="M4997" t="s">
        <v>15572</v>
      </c>
      <c r="N4997" t="s">
        <v>278</v>
      </c>
      <c r="O4997" t="s">
        <v>28</v>
      </c>
      <c r="P4997" t="s">
        <v>29</v>
      </c>
      <c r="Q4997">
        <v>38</v>
      </c>
      <c r="R4997">
        <v>-99.999999000000003</v>
      </c>
    </row>
    <row r="4998" spans="1:18" x14ac:dyDescent="0.2">
      <c r="A4998" t="s">
        <v>270</v>
      </c>
      <c r="B4998" t="s">
        <v>5337</v>
      </c>
      <c r="C4998">
        <v>1</v>
      </c>
      <c r="D4998" s="1">
        <v>44068.029386574075</v>
      </c>
      <c r="E4998" t="s">
        <v>15573</v>
      </c>
      <c r="F4998" t="s">
        <v>273</v>
      </c>
      <c r="G4998" t="s">
        <v>15504</v>
      </c>
      <c r="H4998" t="s">
        <v>275</v>
      </c>
      <c r="I4998" t="s">
        <v>29</v>
      </c>
      <c r="J4998">
        <v>1</v>
      </c>
      <c r="K4998">
        <f>1-888-291-197</f>
        <v>-1375</v>
      </c>
      <c r="L4998" t="s">
        <v>15574</v>
      </c>
      <c r="M4998" t="s">
        <v>15575</v>
      </c>
      <c r="N4998" t="s">
        <v>278</v>
      </c>
      <c r="O4998" t="s">
        <v>28</v>
      </c>
      <c r="P4998" t="s">
        <v>29</v>
      </c>
      <c r="Q4998">
        <v>38</v>
      </c>
      <c r="R4998">
        <v>-99.999999000000003</v>
      </c>
    </row>
    <row r="4999" spans="1:18" x14ac:dyDescent="0.2">
      <c r="A4999" t="s">
        <v>270</v>
      </c>
      <c r="B4999" t="s">
        <v>5337</v>
      </c>
      <c r="C4999">
        <v>1</v>
      </c>
      <c r="D4999" s="1">
        <v>44053.715844907405</v>
      </c>
      <c r="E4999" t="s">
        <v>15576</v>
      </c>
      <c r="F4999" t="s">
        <v>273</v>
      </c>
      <c r="G4999" t="s">
        <v>15504</v>
      </c>
      <c r="H4999" t="s">
        <v>275</v>
      </c>
      <c r="I4999" t="s">
        <v>29</v>
      </c>
      <c r="J4999">
        <v>1</v>
      </c>
      <c r="K4999">
        <f>1-888-538-1045</f>
        <v>-2470</v>
      </c>
      <c r="L4999" t="s">
        <v>15577</v>
      </c>
      <c r="M4999" t="s">
        <v>15578</v>
      </c>
      <c r="N4999" t="s">
        <v>278</v>
      </c>
      <c r="O4999" t="s">
        <v>134</v>
      </c>
      <c r="P4999" t="s">
        <v>29</v>
      </c>
      <c r="Q4999">
        <v>38</v>
      </c>
      <c r="R4999">
        <v>-99.999999000000003</v>
      </c>
    </row>
    <row r="5000" spans="1:18" x14ac:dyDescent="0.2">
      <c r="A5000" t="s">
        <v>270</v>
      </c>
      <c r="B5000" t="s">
        <v>5337</v>
      </c>
      <c r="C5000">
        <v>1</v>
      </c>
      <c r="D5000" s="1">
        <v>44053.291273148148</v>
      </c>
      <c r="E5000" t="s">
        <v>15579</v>
      </c>
      <c r="F5000" t="s">
        <v>273</v>
      </c>
      <c r="G5000" t="s">
        <v>15504</v>
      </c>
      <c r="H5000" t="s">
        <v>275</v>
      </c>
      <c r="I5000" t="s">
        <v>29</v>
      </c>
      <c r="J5000">
        <v>1</v>
      </c>
      <c r="K5000">
        <f>1-866-788-5605</f>
        <v>-7258</v>
      </c>
      <c r="L5000" t="s">
        <v>15580</v>
      </c>
      <c r="M5000" t="s">
        <v>15581</v>
      </c>
      <c r="N5000" t="s">
        <v>278</v>
      </c>
      <c r="O5000" t="s">
        <v>134</v>
      </c>
      <c r="P5000" t="s">
        <v>29</v>
      </c>
      <c r="Q5000">
        <v>38</v>
      </c>
      <c r="R5000">
        <v>-99.999999000000003</v>
      </c>
    </row>
    <row r="5001" spans="1:18" x14ac:dyDescent="0.2">
      <c r="A5001" t="s">
        <v>270</v>
      </c>
      <c r="B5001" t="s">
        <v>5337</v>
      </c>
      <c r="C5001">
        <v>1</v>
      </c>
      <c r="D5001" s="1">
        <v>44053.291273148148</v>
      </c>
      <c r="E5001" t="s">
        <v>15579</v>
      </c>
      <c r="F5001" t="s">
        <v>273</v>
      </c>
      <c r="G5001" t="s">
        <v>15504</v>
      </c>
      <c r="H5001" t="s">
        <v>275</v>
      </c>
      <c r="I5001" t="s">
        <v>29</v>
      </c>
      <c r="J5001">
        <v>1</v>
      </c>
      <c r="K5001">
        <f>1-866-788-5605</f>
        <v>-7258</v>
      </c>
      <c r="L5001" t="s">
        <v>15582</v>
      </c>
      <c r="M5001" t="s">
        <v>15581</v>
      </c>
      <c r="N5001" t="s">
        <v>278</v>
      </c>
      <c r="O5001" t="s">
        <v>134</v>
      </c>
      <c r="P5001" t="s">
        <v>29</v>
      </c>
      <c r="Q5001">
        <v>38</v>
      </c>
      <c r="R5001">
        <v>-99.999999000000003</v>
      </c>
    </row>
    <row r="5002" spans="1:18" x14ac:dyDescent="0.2">
      <c r="A5002" t="s">
        <v>439</v>
      </c>
      <c r="B5002" t="s">
        <v>3094</v>
      </c>
      <c r="C5002">
        <v>1</v>
      </c>
      <c r="D5002" s="1">
        <v>44057.630868055552</v>
      </c>
      <c r="E5002" t="s">
        <v>15583</v>
      </c>
      <c r="F5002" t="s">
        <v>442</v>
      </c>
      <c r="G5002" t="s">
        <v>15584</v>
      </c>
      <c r="H5002" t="s">
        <v>444</v>
      </c>
      <c r="I5002" t="s">
        <v>29</v>
      </c>
      <c r="J5002">
        <v>1</v>
      </c>
      <c r="K5002">
        <f>1-888-521-2497</f>
        <v>-3905</v>
      </c>
      <c r="L5002" t="s">
        <v>15585</v>
      </c>
      <c r="M5002" t="s">
        <v>15586</v>
      </c>
      <c r="N5002" t="s">
        <v>213</v>
      </c>
      <c r="O5002" t="s">
        <v>28</v>
      </c>
      <c r="P5002" t="s">
        <v>2268</v>
      </c>
      <c r="Q5002">
        <v>46</v>
      </c>
      <c r="R5002">
        <v>-73.567300000000003</v>
      </c>
    </row>
    <row r="5003" spans="1:18" x14ac:dyDescent="0.2">
      <c r="A5003" t="s">
        <v>439</v>
      </c>
      <c r="B5003" t="s">
        <v>3094</v>
      </c>
      <c r="C5003">
        <v>1</v>
      </c>
      <c r="D5003" s="1">
        <v>44056.323865740742</v>
      </c>
      <c r="E5003" t="s">
        <v>15587</v>
      </c>
      <c r="F5003" t="s">
        <v>442</v>
      </c>
      <c r="G5003" t="s">
        <v>15588</v>
      </c>
      <c r="H5003" t="s">
        <v>444</v>
      </c>
      <c r="I5003" t="s">
        <v>29</v>
      </c>
      <c r="J5003">
        <v>1</v>
      </c>
      <c r="K5003">
        <f>1-888-291-184</f>
        <v>-1362</v>
      </c>
      <c r="L5003" t="s">
        <v>15589</v>
      </c>
      <c r="M5003" t="s">
        <v>15590</v>
      </c>
      <c r="N5003" t="s">
        <v>447</v>
      </c>
      <c r="O5003" t="s">
        <v>28</v>
      </c>
      <c r="P5003" t="s">
        <v>2268</v>
      </c>
      <c r="Q5003">
        <v>46</v>
      </c>
      <c r="R5003">
        <v>-73.567300000000003</v>
      </c>
    </row>
    <row r="5004" spans="1:18" x14ac:dyDescent="0.2">
      <c r="A5004" t="s">
        <v>270</v>
      </c>
      <c r="B5004" t="s">
        <v>15123</v>
      </c>
      <c r="C5004">
        <v>1</v>
      </c>
      <c r="D5004" s="1">
        <v>44263.723900462966</v>
      </c>
      <c r="E5004" t="s">
        <v>15591</v>
      </c>
      <c r="F5004" t="s">
        <v>273</v>
      </c>
      <c r="G5004" t="s">
        <v>15592</v>
      </c>
      <c r="H5004" t="s">
        <v>275</v>
      </c>
      <c r="I5004" t="s">
        <v>29</v>
      </c>
      <c r="J5004">
        <v>1</v>
      </c>
      <c r="K5004">
        <f>1-844-266-7944</f>
        <v>-9053</v>
      </c>
      <c r="L5004" t="s">
        <v>15593</v>
      </c>
      <c r="M5004" t="s">
        <v>15594</v>
      </c>
      <c r="N5004" t="s">
        <v>278</v>
      </c>
      <c r="O5004" t="s">
        <v>28</v>
      </c>
      <c r="P5004" t="s">
        <v>618</v>
      </c>
      <c r="Q5004">
        <v>51</v>
      </c>
      <c r="R5004">
        <v>-3.1780650000000001</v>
      </c>
    </row>
    <row r="5005" spans="1:18" x14ac:dyDescent="0.2">
      <c r="A5005" t="s">
        <v>270</v>
      </c>
      <c r="B5005" t="s">
        <v>15123</v>
      </c>
      <c r="C5005">
        <v>1</v>
      </c>
      <c r="D5005" s="1">
        <v>44203.761504629627</v>
      </c>
      <c r="E5005" t="s">
        <v>15595</v>
      </c>
      <c r="F5005" t="s">
        <v>273</v>
      </c>
      <c r="G5005" t="s">
        <v>15592</v>
      </c>
      <c r="H5005" t="s">
        <v>275</v>
      </c>
      <c r="I5005" t="s">
        <v>29</v>
      </c>
      <c r="J5005">
        <v>1</v>
      </c>
      <c r="K5005">
        <f>1-888-348-5542</f>
        <v>-6777</v>
      </c>
      <c r="L5005" t="s">
        <v>15596</v>
      </c>
      <c r="M5005" t="s">
        <v>15597</v>
      </c>
      <c r="N5005" t="s">
        <v>278</v>
      </c>
      <c r="O5005" t="s">
        <v>28</v>
      </c>
      <c r="P5005" t="s">
        <v>618</v>
      </c>
      <c r="Q5005">
        <v>51</v>
      </c>
      <c r="R5005">
        <v>-3.1780650000000001</v>
      </c>
    </row>
    <row r="5006" spans="1:18" x14ac:dyDescent="0.2">
      <c r="A5006" t="s">
        <v>270</v>
      </c>
      <c r="B5006" t="s">
        <v>15123</v>
      </c>
      <c r="C5006">
        <v>1</v>
      </c>
      <c r="D5006" s="1">
        <v>44149.154826388891</v>
      </c>
      <c r="E5006" t="s">
        <v>15598</v>
      </c>
      <c r="F5006" t="s">
        <v>273</v>
      </c>
      <c r="G5006" t="s">
        <v>15592</v>
      </c>
      <c r="H5006" t="s">
        <v>275</v>
      </c>
      <c r="I5006" t="s">
        <v>29</v>
      </c>
      <c r="J5006">
        <v>1</v>
      </c>
      <c r="K5006">
        <f>1-844-279-115</f>
        <v>-1237</v>
      </c>
      <c r="L5006" t="s">
        <v>15599</v>
      </c>
      <c r="M5006" t="s">
        <v>15600</v>
      </c>
      <c r="N5006" t="s">
        <v>278</v>
      </c>
      <c r="O5006" t="s">
        <v>134</v>
      </c>
      <c r="P5006" t="s">
        <v>618</v>
      </c>
      <c r="Q5006">
        <v>51</v>
      </c>
      <c r="R5006">
        <v>-3.1780650000000001</v>
      </c>
    </row>
    <row r="5007" spans="1:18" x14ac:dyDescent="0.2">
      <c r="A5007" t="s">
        <v>270</v>
      </c>
      <c r="B5007" t="s">
        <v>15123</v>
      </c>
      <c r="C5007">
        <v>1</v>
      </c>
      <c r="D5007" s="1">
        <v>44149.154270833336</v>
      </c>
      <c r="E5007" t="s">
        <v>15601</v>
      </c>
      <c r="F5007" t="s">
        <v>273</v>
      </c>
      <c r="G5007" t="s">
        <v>15592</v>
      </c>
      <c r="H5007" t="s">
        <v>275</v>
      </c>
      <c r="I5007" t="s">
        <v>29</v>
      </c>
      <c r="J5007">
        <v>1</v>
      </c>
      <c r="K5007">
        <f>1-844-275-1730</f>
        <v>-2848</v>
      </c>
      <c r="L5007" t="s">
        <v>15602</v>
      </c>
      <c r="M5007" t="s">
        <v>15603</v>
      </c>
      <c r="N5007" t="s">
        <v>278</v>
      </c>
      <c r="O5007" t="s">
        <v>134</v>
      </c>
      <c r="P5007" t="s">
        <v>618</v>
      </c>
      <c r="Q5007">
        <v>51</v>
      </c>
      <c r="R5007">
        <v>-3.1780650000000001</v>
      </c>
    </row>
    <row r="5008" spans="1:18" x14ac:dyDescent="0.2">
      <c r="A5008" t="s">
        <v>270</v>
      </c>
      <c r="B5008" t="s">
        <v>15123</v>
      </c>
      <c r="C5008">
        <v>1</v>
      </c>
      <c r="D5008" s="1">
        <v>44149.137766203705</v>
      </c>
      <c r="E5008" t="s">
        <v>15604</v>
      </c>
      <c r="F5008" t="s">
        <v>273</v>
      </c>
      <c r="G5008" t="s">
        <v>15592</v>
      </c>
      <c r="H5008" t="s">
        <v>275</v>
      </c>
      <c r="I5008" t="s">
        <v>29</v>
      </c>
      <c r="J5008">
        <v>1</v>
      </c>
      <c r="K5008">
        <f>1-844-293-617</f>
        <v>-1753</v>
      </c>
      <c r="L5008" t="s">
        <v>15605</v>
      </c>
      <c r="M5008" t="s">
        <v>15606</v>
      </c>
      <c r="N5008" t="s">
        <v>278</v>
      </c>
      <c r="O5008" t="s">
        <v>134</v>
      </c>
      <c r="P5008" t="s">
        <v>618</v>
      </c>
      <c r="Q5008">
        <v>51</v>
      </c>
      <c r="R5008">
        <v>-3.1780650000000001</v>
      </c>
    </row>
    <row r="5009" spans="1:18" x14ac:dyDescent="0.2">
      <c r="A5009" t="s">
        <v>270</v>
      </c>
      <c r="B5009" t="s">
        <v>15123</v>
      </c>
      <c r="C5009">
        <v>1</v>
      </c>
      <c r="D5009" s="1">
        <v>44149.122743055559</v>
      </c>
      <c r="E5009" t="s">
        <v>15607</v>
      </c>
      <c r="F5009" t="s">
        <v>273</v>
      </c>
      <c r="G5009" t="s">
        <v>15592</v>
      </c>
      <c r="H5009" t="s">
        <v>275</v>
      </c>
      <c r="I5009" t="s">
        <v>29</v>
      </c>
      <c r="J5009">
        <v>1</v>
      </c>
      <c r="K5009">
        <f>1-844-295-7564</f>
        <v>-8702</v>
      </c>
      <c r="L5009" t="s">
        <v>15608</v>
      </c>
      <c r="M5009" t="s">
        <v>15609</v>
      </c>
      <c r="N5009" t="s">
        <v>278</v>
      </c>
      <c r="O5009" t="s">
        <v>134</v>
      </c>
      <c r="P5009" t="s">
        <v>618</v>
      </c>
      <c r="Q5009">
        <v>51</v>
      </c>
      <c r="R5009">
        <v>-3.1780650000000001</v>
      </c>
    </row>
    <row r="5010" spans="1:18" x14ac:dyDescent="0.2">
      <c r="A5010" t="s">
        <v>270</v>
      </c>
      <c r="B5010" t="s">
        <v>15123</v>
      </c>
      <c r="C5010">
        <v>1</v>
      </c>
      <c r="D5010" s="1">
        <v>44145.800266203703</v>
      </c>
      <c r="E5010" t="s">
        <v>15610</v>
      </c>
      <c r="F5010" t="s">
        <v>273</v>
      </c>
      <c r="G5010" t="s">
        <v>15592</v>
      </c>
      <c r="H5010" t="s">
        <v>275</v>
      </c>
      <c r="I5010" t="s">
        <v>29</v>
      </c>
      <c r="J5010">
        <v>1</v>
      </c>
      <c r="K5010">
        <f>1-844-295-6539</f>
        <v>-7677</v>
      </c>
      <c r="L5010" t="s">
        <v>15611</v>
      </c>
      <c r="M5010" t="s">
        <v>15612</v>
      </c>
      <c r="N5010" t="s">
        <v>278</v>
      </c>
      <c r="O5010" t="s">
        <v>28</v>
      </c>
      <c r="P5010" t="s">
        <v>618</v>
      </c>
      <c r="Q5010">
        <v>51</v>
      </c>
      <c r="R5010">
        <v>-3.1780650000000001</v>
      </c>
    </row>
    <row r="5011" spans="1:18" x14ac:dyDescent="0.2">
      <c r="A5011" t="s">
        <v>270</v>
      </c>
      <c r="B5011" t="s">
        <v>15123</v>
      </c>
      <c r="C5011">
        <v>1</v>
      </c>
      <c r="D5011" s="1">
        <v>44140.776759259257</v>
      </c>
      <c r="E5011" t="s">
        <v>15613</v>
      </c>
      <c r="F5011" t="s">
        <v>273</v>
      </c>
      <c r="G5011" t="s">
        <v>15592</v>
      </c>
      <c r="H5011" t="s">
        <v>275</v>
      </c>
      <c r="I5011" t="s">
        <v>29</v>
      </c>
      <c r="J5011">
        <v>1</v>
      </c>
      <c r="K5011">
        <f>1-888-397-7606</f>
        <v>-8890</v>
      </c>
      <c r="L5011" t="s">
        <v>15614</v>
      </c>
      <c r="M5011" t="s">
        <v>15615</v>
      </c>
      <c r="N5011" t="s">
        <v>278</v>
      </c>
      <c r="O5011" t="s">
        <v>28</v>
      </c>
      <c r="P5011" t="s">
        <v>618</v>
      </c>
      <c r="Q5011">
        <v>51</v>
      </c>
      <c r="R5011">
        <v>-3.1780650000000001</v>
      </c>
    </row>
    <row r="5012" spans="1:18" x14ac:dyDescent="0.2">
      <c r="A5012" t="s">
        <v>270</v>
      </c>
      <c r="B5012" t="s">
        <v>15123</v>
      </c>
      <c r="C5012">
        <v>1</v>
      </c>
      <c r="D5012" s="1">
        <v>44134.738229166665</v>
      </c>
      <c r="E5012" t="s">
        <v>15616</v>
      </c>
      <c r="F5012" t="s">
        <v>273</v>
      </c>
      <c r="G5012" t="s">
        <v>15592</v>
      </c>
      <c r="H5012" t="s">
        <v>275</v>
      </c>
      <c r="I5012" t="s">
        <v>29</v>
      </c>
      <c r="J5012">
        <v>1</v>
      </c>
      <c r="K5012">
        <f>1-888-249-7424</f>
        <v>-8560</v>
      </c>
      <c r="L5012" t="s">
        <v>15617</v>
      </c>
      <c r="M5012" t="s">
        <v>15618</v>
      </c>
      <c r="N5012" t="s">
        <v>278</v>
      </c>
      <c r="O5012" t="s">
        <v>28</v>
      </c>
      <c r="P5012" t="s">
        <v>618</v>
      </c>
      <c r="Q5012">
        <v>51</v>
      </c>
      <c r="R5012">
        <v>-3.1780650000000001</v>
      </c>
    </row>
    <row r="5013" spans="1:18" x14ac:dyDescent="0.2">
      <c r="A5013" t="s">
        <v>270</v>
      </c>
      <c r="B5013" t="s">
        <v>15123</v>
      </c>
      <c r="C5013">
        <v>1</v>
      </c>
      <c r="D5013" s="1">
        <v>44104.930196759262</v>
      </c>
      <c r="E5013" t="s">
        <v>15619</v>
      </c>
      <c r="F5013" t="s">
        <v>273</v>
      </c>
      <c r="G5013" t="s">
        <v>15592</v>
      </c>
      <c r="H5013" t="s">
        <v>275</v>
      </c>
      <c r="I5013" t="s">
        <v>29</v>
      </c>
      <c r="J5013">
        <v>1</v>
      </c>
      <c r="K5013">
        <f>1-888-210-6084</f>
        <v>-7181</v>
      </c>
      <c r="L5013" t="s">
        <v>15620</v>
      </c>
      <c r="M5013" t="s">
        <v>15621</v>
      </c>
      <c r="N5013" t="s">
        <v>278</v>
      </c>
      <c r="O5013" t="s">
        <v>134</v>
      </c>
      <c r="P5013" t="s">
        <v>618</v>
      </c>
      <c r="Q5013">
        <v>51</v>
      </c>
      <c r="R5013">
        <v>-3.1780650000000001</v>
      </c>
    </row>
    <row r="5014" spans="1:18" x14ac:dyDescent="0.2">
      <c r="A5014" t="s">
        <v>270</v>
      </c>
      <c r="B5014" t="s">
        <v>15123</v>
      </c>
      <c r="C5014">
        <v>1</v>
      </c>
      <c r="D5014" s="1">
        <v>44106.825891203705</v>
      </c>
      <c r="E5014" t="s">
        <v>15622</v>
      </c>
      <c r="F5014" t="s">
        <v>273</v>
      </c>
      <c r="G5014" t="s">
        <v>15592</v>
      </c>
      <c r="H5014" t="s">
        <v>275</v>
      </c>
      <c r="I5014" t="s">
        <v>29</v>
      </c>
      <c r="J5014">
        <v>1</v>
      </c>
      <c r="K5014">
        <f>1-888-304-9499</f>
        <v>-10690</v>
      </c>
      <c r="L5014" t="s">
        <v>15623</v>
      </c>
      <c r="M5014" t="s">
        <v>15624</v>
      </c>
      <c r="N5014" t="s">
        <v>278</v>
      </c>
      <c r="O5014" t="s">
        <v>28</v>
      </c>
      <c r="P5014" t="s">
        <v>618</v>
      </c>
      <c r="Q5014">
        <v>51</v>
      </c>
      <c r="R5014">
        <v>-3.1780650000000001</v>
      </c>
    </row>
    <row r="5015" spans="1:18" x14ac:dyDescent="0.2">
      <c r="A5015" t="s">
        <v>270</v>
      </c>
      <c r="B5015" t="s">
        <v>15123</v>
      </c>
      <c r="C5015">
        <v>1</v>
      </c>
      <c r="D5015" s="1">
        <v>44103.762812499997</v>
      </c>
      <c r="E5015" t="s">
        <v>15625</v>
      </c>
      <c r="F5015" t="s">
        <v>273</v>
      </c>
      <c r="G5015" t="s">
        <v>15592</v>
      </c>
      <c r="H5015" t="s">
        <v>275</v>
      </c>
      <c r="I5015" t="s">
        <v>29</v>
      </c>
      <c r="J5015">
        <v>1</v>
      </c>
      <c r="K5015">
        <f>1-888-210-6654</f>
        <v>-7751</v>
      </c>
      <c r="L5015" t="s">
        <v>15626</v>
      </c>
      <c r="M5015" t="s">
        <v>15627</v>
      </c>
      <c r="N5015" t="s">
        <v>278</v>
      </c>
      <c r="O5015" t="s">
        <v>134</v>
      </c>
      <c r="P5015" t="s">
        <v>618</v>
      </c>
      <c r="Q5015">
        <v>51</v>
      </c>
      <c r="R5015">
        <v>-3.1780650000000001</v>
      </c>
    </row>
    <row r="5016" spans="1:18" x14ac:dyDescent="0.2">
      <c r="A5016" t="s">
        <v>270</v>
      </c>
      <c r="B5016" t="s">
        <v>15123</v>
      </c>
      <c r="C5016">
        <v>1</v>
      </c>
      <c r="D5016" s="1">
        <v>44102.822974537034</v>
      </c>
      <c r="E5016" t="s">
        <v>15628</v>
      </c>
      <c r="F5016" t="s">
        <v>273</v>
      </c>
      <c r="G5016" t="s">
        <v>15592</v>
      </c>
      <c r="H5016" t="s">
        <v>275</v>
      </c>
      <c r="I5016" t="s">
        <v>29</v>
      </c>
      <c r="J5016">
        <v>1</v>
      </c>
      <c r="K5016">
        <f>1-888-252-7514</f>
        <v>-8653</v>
      </c>
      <c r="L5016" t="s">
        <v>15629</v>
      </c>
      <c r="M5016" t="s">
        <v>15630</v>
      </c>
      <c r="N5016" t="s">
        <v>278</v>
      </c>
      <c r="O5016" t="s">
        <v>28</v>
      </c>
      <c r="P5016" t="s">
        <v>618</v>
      </c>
      <c r="Q5016">
        <v>51</v>
      </c>
      <c r="R5016">
        <v>-3.1780650000000001</v>
      </c>
    </row>
    <row r="5017" spans="1:18" x14ac:dyDescent="0.2">
      <c r="A5017" t="s">
        <v>270</v>
      </c>
      <c r="B5017" t="s">
        <v>15123</v>
      </c>
      <c r="C5017">
        <v>1</v>
      </c>
      <c r="D5017" s="1">
        <v>44102.817662037036</v>
      </c>
      <c r="E5017" t="s">
        <v>15631</v>
      </c>
      <c r="F5017" t="s">
        <v>273</v>
      </c>
      <c r="G5017" t="s">
        <v>15592</v>
      </c>
      <c r="H5017" t="s">
        <v>275</v>
      </c>
      <c r="I5017" t="s">
        <v>29</v>
      </c>
      <c r="J5017">
        <v>1</v>
      </c>
      <c r="K5017">
        <f>1-888-241-5082</f>
        <v>-6210</v>
      </c>
      <c r="L5017" t="s">
        <v>15632</v>
      </c>
      <c r="M5017" t="s">
        <v>15633</v>
      </c>
      <c r="N5017" t="s">
        <v>278</v>
      </c>
      <c r="O5017" t="s">
        <v>28</v>
      </c>
      <c r="P5017" t="s">
        <v>618</v>
      </c>
      <c r="Q5017">
        <v>51</v>
      </c>
      <c r="R5017">
        <v>-3.1780650000000001</v>
      </c>
    </row>
    <row r="5018" spans="1:18" x14ac:dyDescent="0.2">
      <c r="A5018" t="s">
        <v>270</v>
      </c>
      <c r="B5018" t="s">
        <v>15123</v>
      </c>
      <c r="C5018">
        <v>1</v>
      </c>
      <c r="D5018" s="1">
        <v>44099.903726851851</v>
      </c>
      <c r="E5018" t="s">
        <v>15634</v>
      </c>
      <c r="F5018" t="s">
        <v>273</v>
      </c>
      <c r="G5018" t="s">
        <v>15592</v>
      </c>
      <c r="H5018" t="s">
        <v>275</v>
      </c>
      <c r="I5018" t="s">
        <v>29</v>
      </c>
      <c r="J5018">
        <v>1</v>
      </c>
      <c r="K5018">
        <f>1-888-252-1197</f>
        <v>-2336</v>
      </c>
      <c r="L5018" t="s">
        <v>15635</v>
      </c>
      <c r="M5018" t="s">
        <v>15636</v>
      </c>
      <c r="N5018" t="s">
        <v>278</v>
      </c>
      <c r="O5018" t="s">
        <v>28</v>
      </c>
      <c r="P5018" t="s">
        <v>618</v>
      </c>
      <c r="Q5018">
        <v>51</v>
      </c>
      <c r="R5018">
        <v>-3.1780650000000001</v>
      </c>
    </row>
    <row r="5019" spans="1:18" x14ac:dyDescent="0.2">
      <c r="A5019" t="s">
        <v>270</v>
      </c>
      <c r="B5019" t="s">
        <v>15123</v>
      </c>
      <c r="C5019">
        <v>1</v>
      </c>
      <c r="D5019" s="1">
        <v>44096.836851851855</v>
      </c>
      <c r="E5019" t="s">
        <v>15637</v>
      </c>
      <c r="F5019" t="s">
        <v>273</v>
      </c>
      <c r="G5019" t="s">
        <v>15592</v>
      </c>
      <c r="H5019" t="s">
        <v>275</v>
      </c>
      <c r="I5019" t="s">
        <v>29</v>
      </c>
      <c r="J5019">
        <v>1</v>
      </c>
      <c r="K5019">
        <f>1-888-210-6063</f>
        <v>-7160</v>
      </c>
      <c r="L5019" t="s">
        <v>15638</v>
      </c>
      <c r="M5019" t="s">
        <v>15639</v>
      </c>
      <c r="N5019" t="s">
        <v>278</v>
      </c>
      <c r="O5019" t="s">
        <v>28</v>
      </c>
      <c r="P5019" t="s">
        <v>618</v>
      </c>
      <c r="Q5019">
        <v>51</v>
      </c>
      <c r="R5019">
        <v>-3.1780650000000001</v>
      </c>
    </row>
    <row r="5020" spans="1:18" x14ac:dyDescent="0.2">
      <c r="A5020" t="s">
        <v>270</v>
      </c>
      <c r="B5020" t="s">
        <v>15123</v>
      </c>
      <c r="C5020">
        <v>1</v>
      </c>
      <c r="D5020" s="1">
        <v>44096.369537037041</v>
      </c>
      <c r="E5020" t="s">
        <v>15640</v>
      </c>
      <c r="F5020" t="s">
        <v>273</v>
      </c>
      <c r="G5020" t="s">
        <v>15592</v>
      </c>
      <c r="H5020" t="s">
        <v>275</v>
      </c>
      <c r="I5020" t="s">
        <v>29</v>
      </c>
      <c r="J5020">
        <v>1</v>
      </c>
      <c r="K5020">
        <f>1-844-316-9077</f>
        <v>-10236</v>
      </c>
      <c r="L5020" t="s">
        <v>15641</v>
      </c>
      <c r="M5020" t="s">
        <v>15642</v>
      </c>
      <c r="N5020" t="s">
        <v>278</v>
      </c>
      <c r="O5020" t="s">
        <v>28</v>
      </c>
      <c r="P5020" t="s">
        <v>618</v>
      </c>
      <c r="Q5020">
        <v>51</v>
      </c>
      <c r="R5020">
        <v>-3.1780650000000001</v>
      </c>
    </row>
    <row r="5021" spans="1:18" x14ac:dyDescent="0.2">
      <c r="A5021" t="s">
        <v>270</v>
      </c>
      <c r="B5021" t="s">
        <v>15123</v>
      </c>
      <c r="C5021">
        <v>1</v>
      </c>
      <c r="D5021" s="1">
        <v>44096.368773148148</v>
      </c>
      <c r="E5021" t="s">
        <v>15643</v>
      </c>
      <c r="F5021" t="s">
        <v>273</v>
      </c>
      <c r="G5021" t="s">
        <v>15592</v>
      </c>
      <c r="H5021" t="s">
        <v>275</v>
      </c>
      <c r="I5021" t="s">
        <v>29</v>
      </c>
      <c r="J5021">
        <v>1</v>
      </c>
      <c r="K5021">
        <f>1-844-318-5957</f>
        <v>-7118</v>
      </c>
      <c r="L5021" t="s">
        <v>15644</v>
      </c>
      <c r="M5021" t="s">
        <v>15645</v>
      </c>
      <c r="N5021" t="s">
        <v>278</v>
      </c>
      <c r="O5021" t="s">
        <v>28</v>
      </c>
      <c r="P5021" t="s">
        <v>618</v>
      </c>
      <c r="Q5021">
        <v>51</v>
      </c>
      <c r="R5021">
        <v>-3.1780650000000001</v>
      </c>
    </row>
    <row r="5022" spans="1:18" x14ac:dyDescent="0.2">
      <c r="A5022" t="s">
        <v>270</v>
      </c>
      <c r="B5022" t="s">
        <v>15123</v>
      </c>
      <c r="C5022">
        <v>1</v>
      </c>
      <c r="D5022" s="1">
        <v>44095.777025462965</v>
      </c>
      <c r="E5022" t="s">
        <v>15646</v>
      </c>
      <c r="F5022" t="s">
        <v>273</v>
      </c>
      <c r="G5022" t="s">
        <v>15592</v>
      </c>
      <c r="H5022" t="s">
        <v>275</v>
      </c>
      <c r="I5022" t="s">
        <v>29</v>
      </c>
      <c r="J5022">
        <v>1</v>
      </c>
      <c r="K5022">
        <f>1-844-316-9077</f>
        <v>-10236</v>
      </c>
      <c r="L5022" t="s">
        <v>15647</v>
      </c>
      <c r="M5022" t="s">
        <v>15648</v>
      </c>
      <c r="N5022" t="s">
        <v>278</v>
      </c>
      <c r="O5022" t="s">
        <v>28</v>
      </c>
      <c r="P5022" t="s">
        <v>618</v>
      </c>
      <c r="Q5022">
        <v>51</v>
      </c>
      <c r="R5022">
        <v>-3.1780650000000001</v>
      </c>
    </row>
    <row r="5023" spans="1:18" x14ac:dyDescent="0.2">
      <c r="A5023" t="s">
        <v>270</v>
      </c>
      <c r="B5023" t="s">
        <v>15123</v>
      </c>
      <c r="C5023">
        <v>1</v>
      </c>
      <c r="D5023" s="1">
        <v>44090.992604166669</v>
      </c>
      <c r="E5023" t="s">
        <v>15649</v>
      </c>
      <c r="F5023" t="s">
        <v>273</v>
      </c>
      <c r="G5023" t="s">
        <v>15592</v>
      </c>
      <c r="H5023" t="s">
        <v>275</v>
      </c>
      <c r="I5023" t="s">
        <v>29</v>
      </c>
      <c r="J5023">
        <v>1</v>
      </c>
      <c r="K5023">
        <f>1-844-242-3148</f>
        <v>-4233</v>
      </c>
      <c r="L5023" t="s">
        <v>15650</v>
      </c>
      <c r="M5023" t="s">
        <v>15651</v>
      </c>
      <c r="N5023" t="s">
        <v>278</v>
      </c>
      <c r="O5023" t="s">
        <v>28</v>
      </c>
      <c r="P5023" t="s">
        <v>618</v>
      </c>
      <c r="Q5023">
        <v>51</v>
      </c>
      <c r="R5023">
        <v>-3.1780650000000001</v>
      </c>
    </row>
    <row r="5024" spans="1:18" x14ac:dyDescent="0.2">
      <c r="A5024" t="s">
        <v>270</v>
      </c>
      <c r="B5024" t="s">
        <v>15123</v>
      </c>
      <c r="C5024">
        <v>1</v>
      </c>
      <c r="D5024" s="1">
        <v>44090.991296296299</v>
      </c>
      <c r="E5024" t="s">
        <v>15652</v>
      </c>
      <c r="F5024" t="s">
        <v>273</v>
      </c>
      <c r="G5024" t="s">
        <v>15592</v>
      </c>
      <c r="H5024" t="s">
        <v>275</v>
      </c>
      <c r="I5024" t="s">
        <v>29</v>
      </c>
      <c r="J5024">
        <v>1</v>
      </c>
      <c r="K5024">
        <f>1-844-242-3148</f>
        <v>-4233</v>
      </c>
      <c r="L5024" t="s">
        <v>15653</v>
      </c>
      <c r="M5024" t="s">
        <v>15654</v>
      </c>
      <c r="N5024" t="s">
        <v>278</v>
      </c>
      <c r="O5024" t="s">
        <v>28</v>
      </c>
      <c r="P5024" t="s">
        <v>618</v>
      </c>
      <c r="Q5024">
        <v>51</v>
      </c>
      <c r="R5024">
        <v>-3.1780650000000001</v>
      </c>
    </row>
    <row r="5025" spans="1:18" x14ac:dyDescent="0.2">
      <c r="A5025" t="s">
        <v>270</v>
      </c>
      <c r="B5025" t="s">
        <v>15123</v>
      </c>
      <c r="C5025">
        <v>1</v>
      </c>
      <c r="D5025" s="1">
        <v>44090.41574074074</v>
      </c>
      <c r="E5025" t="s">
        <v>15655</v>
      </c>
      <c r="F5025" t="s">
        <v>273</v>
      </c>
      <c r="G5025" t="s">
        <v>15592</v>
      </c>
      <c r="H5025" t="s">
        <v>275</v>
      </c>
      <c r="I5025" t="s">
        <v>29</v>
      </c>
      <c r="J5025">
        <v>1</v>
      </c>
      <c r="K5025">
        <f>1-844-293-8713</f>
        <v>-9849</v>
      </c>
      <c r="L5025" t="s">
        <v>15656</v>
      </c>
      <c r="M5025" t="s">
        <v>15657</v>
      </c>
      <c r="N5025" t="s">
        <v>278</v>
      </c>
      <c r="O5025" t="s">
        <v>28</v>
      </c>
      <c r="P5025" t="s">
        <v>618</v>
      </c>
      <c r="Q5025">
        <v>51</v>
      </c>
      <c r="R5025">
        <v>-3.1780650000000001</v>
      </c>
    </row>
    <row r="5026" spans="1:18" x14ac:dyDescent="0.2">
      <c r="A5026" t="s">
        <v>270</v>
      </c>
      <c r="B5026" t="s">
        <v>15123</v>
      </c>
      <c r="C5026">
        <v>1</v>
      </c>
      <c r="D5026" s="1">
        <v>44090.414583333331</v>
      </c>
      <c r="E5026" t="s">
        <v>15658</v>
      </c>
      <c r="F5026" t="s">
        <v>273</v>
      </c>
      <c r="G5026" t="s">
        <v>15592</v>
      </c>
      <c r="H5026" t="s">
        <v>275</v>
      </c>
      <c r="I5026" t="s">
        <v>29</v>
      </c>
      <c r="J5026">
        <v>1</v>
      </c>
      <c r="K5026">
        <f>1-844-311-7591</f>
        <v>-8745</v>
      </c>
      <c r="L5026" t="s">
        <v>15659</v>
      </c>
      <c r="M5026" t="s">
        <v>15660</v>
      </c>
      <c r="N5026" t="s">
        <v>278</v>
      </c>
      <c r="O5026" t="s">
        <v>28</v>
      </c>
      <c r="P5026" t="s">
        <v>618</v>
      </c>
      <c r="Q5026">
        <v>51</v>
      </c>
      <c r="R5026">
        <v>-3.1780650000000001</v>
      </c>
    </row>
    <row r="5027" spans="1:18" x14ac:dyDescent="0.2">
      <c r="A5027" t="s">
        <v>270</v>
      </c>
      <c r="B5027" t="s">
        <v>15123</v>
      </c>
      <c r="C5027">
        <v>1</v>
      </c>
      <c r="D5027" s="1">
        <v>44089.430891203701</v>
      </c>
      <c r="E5027" t="s">
        <v>15661</v>
      </c>
      <c r="F5027" t="s">
        <v>273</v>
      </c>
      <c r="G5027" t="s">
        <v>15592</v>
      </c>
      <c r="H5027" t="s">
        <v>275</v>
      </c>
      <c r="I5027" t="s">
        <v>29</v>
      </c>
      <c r="J5027">
        <v>1</v>
      </c>
      <c r="K5027">
        <f>1-844-210-4337</f>
        <v>-5390</v>
      </c>
      <c r="L5027" t="s">
        <v>15662</v>
      </c>
      <c r="M5027" t="s">
        <v>15663</v>
      </c>
      <c r="N5027" t="s">
        <v>278</v>
      </c>
      <c r="O5027" t="s">
        <v>28</v>
      </c>
      <c r="P5027" t="s">
        <v>618</v>
      </c>
      <c r="Q5027">
        <v>51</v>
      </c>
      <c r="R5027">
        <v>-3.1780650000000001</v>
      </c>
    </row>
    <row r="5028" spans="1:18" x14ac:dyDescent="0.2">
      <c r="A5028" t="s">
        <v>270</v>
      </c>
      <c r="B5028" t="s">
        <v>15123</v>
      </c>
      <c r="C5028">
        <v>1</v>
      </c>
      <c r="D5028" s="1">
        <v>44084.784039351849</v>
      </c>
      <c r="E5028" t="s">
        <v>15664</v>
      </c>
      <c r="F5028" t="s">
        <v>273</v>
      </c>
      <c r="G5028" t="s">
        <v>15592</v>
      </c>
      <c r="H5028" t="s">
        <v>275</v>
      </c>
      <c r="I5028" t="s">
        <v>29</v>
      </c>
      <c r="J5028">
        <v>1</v>
      </c>
      <c r="K5028">
        <f>1-844-318-7909</f>
        <v>-9070</v>
      </c>
      <c r="L5028" t="s">
        <v>15665</v>
      </c>
      <c r="M5028" t="s">
        <v>15666</v>
      </c>
      <c r="N5028" t="s">
        <v>278</v>
      </c>
      <c r="O5028" t="s">
        <v>28</v>
      </c>
      <c r="P5028" t="s">
        <v>618</v>
      </c>
      <c r="Q5028">
        <v>51</v>
      </c>
      <c r="R5028">
        <v>-3.1780650000000001</v>
      </c>
    </row>
    <row r="5029" spans="1:18" x14ac:dyDescent="0.2">
      <c r="A5029" t="s">
        <v>270</v>
      </c>
      <c r="B5029" t="s">
        <v>15123</v>
      </c>
      <c r="C5029">
        <v>1</v>
      </c>
      <c r="D5029" s="1">
        <v>44084.781064814815</v>
      </c>
      <c r="E5029" t="s">
        <v>15667</v>
      </c>
      <c r="F5029" t="s">
        <v>273</v>
      </c>
      <c r="G5029" t="s">
        <v>15592</v>
      </c>
      <c r="H5029" t="s">
        <v>275</v>
      </c>
      <c r="I5029" t="s">
        <v>29</v>
      </c>
      <c r="J5029">
        <v>1</v>
      </c>
      <c r="K5029">
        <f>1-888-608-5109</f>
        <v>-6604</v>
      </c>
      <c r="L5029" t="s">
        <v>15668</v>
      </c>
      <c r="M5029" t="s">
        <v>15669</v>
      </c>
      <c r="N5029" t="s">
        <v>278</v>
      </c>
      <c r="O5029" t="s">
        <v>28</v>
      </c>
      <c r="P5029" t="s">
        <v>618</v>
      </c>
      <c r="Q5029">
        <v>51</v>
      </c>
      <c r="R5029">
        <v>-3.1780650000000001</v>
      </c>
    </row>
    <row r="5030" spans="1:18" x14ac:dyDescent="0.2">
      <c r="A5030" t="s">
        <v>270</v>
      </c>
      <c r="B5030" t="s">
        <v>15123</v>
      </c>
      <c r="C5030">
        <v>1</v>
      </c>
      <c r="D5030" s="1">
        <v>44083.801053240742</v>
      </c>
      <c r="E5030" t="s">
        <v>15670</v>
      </c>
      <c r="F5030" t="s">
        <v>273</v>
      </c>
      <c r="G5030" t="s">
        <v>15592</v>
      </c>
      <c r="H5030" t="s">
        <v>275</v>
      </c>
      <c r="I5030" t="s">
        <v>29</v>
      </c>
      <c r="J5030">
        <v>1</v>
      </c>
      <c r="K5030">
        <f>1-888-599-5036</f>
        <v>-6522</v>
      </c>
      <c r="L5030" t="s">
        <v>15671</v>
      </c>
      <c r="M5030" t="s">
        <v>15672</v>
      </c>
      <c r="N5030" t="s">
        <v>278</v>
      </c>
      <c r="O5030" t="s">
        <v>28</v>
      </c>
      <c r="P5030" t="s">
        <v>618</v>
      </c>
      <c r="Q5030">
        <v>51</v>
      </c>
      <c r="R5030">
        <v>-3.1780650000000001</v>
      </c>
    </row>
    <row r="5031" spans="1:18" x14ac:dyDescent="0.2">
      <c r="A5031" t="s">
        <v>270</v>
      </c>
      <c r="B5031" t="s">
        <v>15123</v>
      </c>
      <c r="C5031">
        <v>1</v>
      </c>
      <c r="D5031" s="1">
        <v>44082.946898148148</v>
      </c>
      <c r="E5031" t="s">
        <v>15673</v>
      </c>
      <c r="F5031" t="s">
        <v>273</v>
      </c>
      <c r="G5031" t="s">
        <v>15592</v>
      </c>
      <c r="H5031" t="s">
        <v>275</v>
      </c>
      <c r="I5031" t="s">
        <v>29</v>
      </c>
      <c r="J5031">
        <v>1</v>
      </c>
      <c r="K5031">
        <f>1-888-592-8059</f>
        <v>-9538</v>
      </c>
      <c r="L5031" t="s">
        <v>15674</v>
      </c>
      <c r="M5031" t="s">
        <v>15675</v>
      </c>
      <c r="N5031" t="s">
        <v>278</v>
      </c>
      <c r="O5031" t="s">
        <v>28</v>
      </c>
      <c r="P5031" t="s">
        <v>618</v>
      </c>
      <c r="Q5031">
        <v>51</v>
      </c>
      <c r="R5031">
        <v>-3.1780650000000001</v>
      </c>
    </row>
    <row r="5032" spans="1:18" x14ac:dyDescent="0.2">
      <c r="A5032" t="s">
        <v>270</v>
      </c>
      <c r="B5032" t="s">
        <v>15123</v>
      </c>
      <c r="C5032">
        <v>1</v>
      </c>
      <c r="D5032" s="1">
        <v>44082.84070601852</v>
      </c>
      <c r="E5032" t="s">
        <v>15676</v>
      </c>
      <c r="F5032" t="s">
        <v>273</v>
      </c>
      <c r="G5032" t="s">
        <v>15592</v>
      </c>
      <c r="H5032" t="s">
        <v>275</v>
      </c>
      <c r="I5032" t="s">
        <v>29</v>
      </c>
      <c r="J5032">
        <v>1</v>
      </c>
      <c r="K5032">
        <f>1-888-618-225</f>
        <v>-1730</v>
      </c>
      <c r="L5032" t="s">
        <v>15677</v>
      </c>
      <c r="M5032" t="s">
        <v>15678</v>
      </c>
      <c r="N5032" t="s">
        <v>278</v>
      </c>
      <c r="O5032" t="s">
        <v>134</v>
      </c>
      <c r="P5032" t="s">
        <v>618</v>
      </c>
      <c r="Q5032">
        <v>51</v>
      </c>
      <c r="R5032">
        <v>-3.1780650000000001</v>
      </c>
    </row>
    <row r="5033" spans="1:18" x14ac:dyDescent="0.2">
      <c r="A5033" t="s">
        <v>270</v>
      </c>
      <c r="B5033" t="s">
        <v>15123</v>
      </c>
      <c r="C5033">
        <v>1</v>
      </c>
      <c r="D5033" s="1">
        <v>44082.790011574078</v>
      </c>
      <c r="E5033" t="s">
        <v>15679</v>
      </c>
      <c r="F5033" t="s">
        <v>273</v>
      </c>
      <c r="G5033" t="s">
        <v>15592</v>
      </c>
      <c r="H5033" t="s">
        <v>275</v>
      </c>
      <c r="I5033" t="s">
        <v>29</v>
      </c>
      <c r="J5033">
        <v>1</v>
      </c>
      <c r="K5033">
        <f>1-888-646-615</f>
        <v>-2148</v>
      </c>
      <c r="L5033" t="s">
        <v>15680</v>
      </c>
      <c r="M5033" t="s">
        <v>15681</v>
      </c>
      <c r="N5033" t="s">
        <v>278</v>
      </c>
      <c r="O5033" t="s">
        <v>134</v>
      </c>
      <c r="P5033" t="s">
        <v>618</v>
      </c>
      <c r="Q5033">
        <v>51</v>
      </c>
      <c r="R5033">
        <v>-3.1780650000000001</v>
      </c>
    </row>
    <row r="5034" spans="1:18" x14ac:dyDescent="0.2">
      <c r="A5034" t="s">
        <v>270</v>
      </c>
      <c r="B5034" t="s">
        <v>15123</v>
      </c>
      <c r="C5034">
        <v>1</v>
      </c>
      <c r="D5034" s="1">
        <v>44082.789803240739</v>
      </c>
      <c r="E5034" t="s">
        <v>15682</v>
      </c>
      <c r="F5034" t="s">
        <v>273</v>
      </c>
      <c r="G5034" t="s">
        <v>15592</v>
      </c>
      <c r="H5034" t="s">
        <v>275</v>
      </c>
      <c r="I5034" t="s">
        <v>29</v>
      </c>
      <c r="J5034">
        <v>1</v>
      </c>
      <c r="K5034">
        <f>1-888-606-454</f>
        <v>-1947</v>
      </c>
      <c r="L5034" t="s">
        <v>15683</v>
      </c>
      <c r="M5034" t="s">
        <v>15684</v>
      </c>
      <c r="N5034" t="s">
        <v>278</v>
      </c>
      <c r="O5034" t="s">
        <v>134</v>
      </c>
      <c r="P5034" t="s">
        <v>618</v>
      </c>
      <c r="Q5034">
        <v>51</v>
      </c>
      <c r="R5034">
        <v>-3.1780650000000001</v>
      </c>
    </row>
    <row r="5035" spans="1:18" x14ac:dyDescent="0.2">
      <c r="A5035" t="s">
        <v>270</v>
      </c>
      <c r="B5035" t="s">
        <v>15123</v>
      </c>
      <c r="C5035">
        <v>1</v>
      </c>
      <c r="D5035" s="1">
        <v>44078.849629629629</v>
      </c>
      <c r="E5035" t="s">
        <v>15685</v>
      </c>
      <c r="F5035" t="s">
        <v>273</v>
      </c>
      <c r="G5035" t="s">
        <v>15592</v>
      </c>
      <c r="H5035" t="s">
        <v>275</v>
      </c>
      <c r="I5035" t="s">
        <v>29</v>
      </c>
      <c r="J5035">
        <v>1</v>
      </c>
      <c r="K5035">
        <f>1-866-586-2110</f>
        <v>-3561</v>
      </c>
      <c r="L5035" t="s">
        <v>15686</v>
      </c>
      <c r="M5035" t="s">
        <v>15687</v>
      </c>
      <c r="N5035" t="s">
        <v>278</v>
      </c>
      <c r="O5035" t="s">
        <v>134</v>
      </c>
      <c r="P5035" t="s">
        <v>618</v>
      </c>
      <c r="Q5035">
        <v>51</v>
      </c>
      <c r="R5035">
        <v>-3.1780650000000001</v>
      </c>
    </row>
    <row r="5036" spans="1:18" x14ac:dyDescent="0.2">
      <c r="A5036" t="s">
        <v>270</v>
      </c>
      <c r="B5036" t="s">
        <v>15123</v>
      </c>
      <c r="C5036">
        <v>1</v>
      </c>
      <c r="D5036" s="1">
        <v>44074.931458333333</v>
      </c>
      <c r="E5036" t="s">
        <v>15688</v>
      </c>
      <c r="F5036" t="s">
        <v>273</v>
      </c>
      <c r="G5036" t="s">
        <v>15592</v>
      </c>
      <c r="H5036" t="s">
        <v>275</v>
      </c>
      <c r="I5036" t="s">
        <v>29</v>
      </c>
      <c r="J5036">
        <v>1</v>
      </c>
      <c r="K5036">
        <f>1-888-651-2892</f>
        <v>-4430</v>
      </c>
      <c r="L5036" t="s">
        <v>15689</v>
      </c>
      <c r="M5036" t="s">
        <v>15690</v>
      </c>
      <c r="N5036" t="s">
        <v>278</v>
      </c>
      <c r="O5036" t="s">
        <v>28</v>
      </c>
      <c r="P5036" t="s">
        <v>618</v>
      </c>
      <c r="Q5036">
        <v>51</v>
      </c>
      <c r="R5036">
        <v>-3.1780650000000001</v>
      </c>
    </row>
    <row r="5037" spans="1:18" x14ac:dyDescent="0.2">
      <c r="A5037" t="s">
        <v>270</v>
      </c>
      <c r="B5037" t="s">
        <v>15123</v>
      </c>
      <c r="C5037">
        <v>1</v>
      </c>
      <c r="D5037" s="1">
        <v>44074.930543981478</v>
      </c>
      <c r="E5037" t="s">
        <v>15691</v>
      </c>
      <c r="F5037" t="s">
        <v>273</v>
      </c>
      <c r="G5037" t="s">
        <v>15592</v>
      </c>
      <c r="H5037" t="s">
        <v>275</v>
      </c>
      <c r="I5037" t="s">
        <v>29</v>
      </c>
      <c r="J5037">
        <v>1</v>
      </c>
      <c r="K5037">
        <f>1-888-592-9325</f>
        <v>-10804</v>
      </c>
      <c r="L5037" t="s">
        <v>15692</v>
      </c>
      <c r="M5037" t="s">
        <v>15693</v>
      </c>
      <c r="N5037" t="s">
        <v>278</v>
      </c>
      <c r="O5037" t="s">
        <v>28</v>
      </c>
      <c r="P5037" t="s">
        <v>618</v>
      </c>
      <c r="Q5037">
        <v>51</v>
      </c>
      <c r="R5037">
        <v>-3.1780650000000001</v>
      </c>
    </row>
    <row r="5038" spans="1:18" x14ac:dyDescent="0.2">
      <c r="A5038" t="s">
        <v>270</v>
      </c>
      <c r="B5038" t="s">
        <v>15123</v>
      </c>
      <c r="C5038">
        <v>1</v>
      </c>
      <c r="D5038" s="1">
        <v>44073.943958333337</v>
      </c>
      <c r="E5038" t="s">
        <v>15694</v>
      </c>
      <c r="F5038" t="s">
        <v>273</v>
      </c>
      <c r="G5038" t="s">
        <v>15592</v>
      </c>
      <c r="H5038" t="s">
        <v>275</v>
      </c>
      <c r="I5038" t="s">
        <v>29</v>
      </c>
      <c r="J5038">
        <v>1</v>
      </c>
      <c r="K5038">
        <f>1-888-417-4066</f>
        <v>-5370</v>
      </c>
      <c r="L5038" t="s">
        <v>15695</v>
      </c>
      <c r="M5038" t="s">
        <v>15696</v>
      </c>
      <c r="N5038" t="s">
        <v>278</v>
      </c>
      <c r="O5038" t="s">
        <v>134</v>
      </c>
      <c r="P5038" t="s">
        <v>618</v>
      </c>
      <c r="Q5038">
        <v>51</v>
      </c>
      <c r="R5038">
        <v>-3.1780650000000001</v>
      </c>
    </row>
    <row r="5039" spans="1:18" x14ac:dyDescent="0.2">
      <c r="A5039" t="s">
        <v>270</v>
      </c>
      <c r="B5039" t="s">
        <v>15123</v>
      </c>
      <c r="C5039">
        <v>1</v>
      </c>
      <c r="D5039" s="1">
        <v>44073.942893518521</v>
      </c>
      <c r="E5039" t="s">
        <v>15697</v>
      </c>
      <c r="F5039" t="s">
        <v>273</v>
      </c>
      <c r="G5039" t="s">
        <v>15592</v>
      </c>
      <c r="H5039" t="s">
        <v>275</v>
      </c>
      <c r="I5039" t="s">
        <v>29</v>
      </c>
      <c r="J5039">
        <v>1</v>
      </c>
      <c r="K5039">
        <f>1-888-655-2376</f>
        <v>-3918</v>
      </c>
      <c r="L5039" t="s">
        <v>15698</v>
      </c>
      <c r="M5039" t="s">
        <v>15699</v>
      </c>
      <c r="N5039" t="s">
        <v>278</v>
      </c>
      <c r="O5039" t="s">
        <v>134</v>
      </c>
      <c r="P5039" t="s">
        <v>618</v>
      </c>
      <c r="Q5039">
        <v>51</v>
      </c>
      <c r="R5039">
        <v>-3.1780650000000001</v>
      </c>
    </row>
    <row r="5040" spans="1:18" x14ac:dyDescent="0.2">
      <c r="A5040" t="s">
        <v>270</v>
      </c>
      <c r="B5040" t="s">
        <v>15123</v>
      </c>
      <c r="C5040">
        <v>1</v>
      </c>
      <c r="D5040" s="1">
        <v>44073.928090277775</v>
      </c>
      <c r="E5040" t="s">
        <v>15700</v>
      </c>
      <c r="F5040" t="s">
        <v>273</v>
      </c>
      <c r="G5040" t="s">
        <v>15592</v>
      </c>
      <c r="H5040" t="s">
        <v>275</v>
      </c>
      <c r="I5040" t="s">
        <v>29</v>
      </c>
      <c r="J5040">
        <v>1</v>
      </c>
      <c r="K5040">
        <f>1-888-526-3661</f>
        <v>-5074</v>
      </c>
      <c r="L5040" t="s">
        <v>15701</v>
      </c>
      <c r="M5040" t="s">
        <v>15702</v>
      </c>
      <c r="N5040" t="s">
        <v>278</v>
      </c>
      <c r="O5040" t="s">
        <v>134</v>
      </c>
      <c r="P5040" t="s">
        <v>618</v>
      </c>
      <c r="Q5040">
        <v>51</v>
      </c>
      <c r="R5040">
        <v>-3.1780650000000001</v>
      </c>
    </row>
    <row r="5041" spans="1:18" x14ac:dyDescent="0.2">
      <c r="A5041" t="s">
        <v>270</v>
      </c>
      <c r="B5041" t="s">
        <v>15123</v>
      </c>
      <c r="C5041">
        <v>1</v>
      </c>
      <c r="D5041" s="1">
        <v>44073.92701388889</v>
      </c>
      <c r="E5041" t="s">
        <v>15703</v>
      </c>
      <c r="F5041" t="s">
        <v>273</v>
      </c>
      <c r="G5041" t="s">
        <v>15592</v>
      </c>
      <c r="H5041" t="s">
        <v>275</v>
      </c>
      <c r="I5041" t="s">
        <v>29</v>
      </c>
      <c r="J5041">
        <v>1</v>
      </c>
      <c r="K5041">
        <f>1-888-539-274</f>
        <v>-1700</v>
      </c>
      <c r="L5041" t="s">
        <v>15704</v>
      </c>
      <c r="M5041" t="s">
        <v>15705</v>
      </c>
      <c r="N5041" t="s">
        <v>278</v>
      </c>
      <c r="O5041" t="s">
        <v>134</v>
      </c>
      <c r="P5041" t="s">
        <v>618</v>
      </c>
      <c r="Q5041">
        <v>51</v>
      </c>
      <c r="R5041">
        <v>-3.1780650000000001</v>
      </c>
    </row>
    <row r="5042" spans="1:18" x14ac:dyDescent="0.2">
      <c r="A5042" t="s">
        <v>270</v>
      </c>
      <c r="B5042" t="s">
        <v>15123</v>
      </c>
      <c r="C5042">
        <v>1</v>
      </c>
      <c r="D5042" s="1">
        <v>44073.063101851854</v>
      </c>
      <c r="E5042" t="s">
        <v>15706</v>
      </c>
      <c r="F5042" t="s">
        <v>273</v>
      </c>
      <c r="G5042" t="s">
        <v>15592</v>
      </c>
      <c r="H5042" t="s">
        <v>275</v>
      </c>
      <c r="I5042" t="s">
        <v>29</v>
      </c>
      <c r="J5042">
        <v>1</v>
      </c>
      <c r="K5042">
        <f>1-888-705-881</f>
        <v>-2473</v>
      </c>
      <c r="L5042" t="s">
        <v>15707</v>
      </c>
      <c r="M5042" t="s">
        <v>15708</v>
      </c>
      <c r="N5042" t="s">
        <v>278</v>
      </c>
      <c r="O5042" t="s">
        <v>134</v>
      </c>
      <c r="P5042" t="s">
        <v>618</v>
      </c>
      <c r="Q5042">
        <v>51</v>
      </c>
      <c r="R5042">
        <v>-3.1780650000000001</v>
      </c>
    </row>
    <row r="5043" spans="1:18" x14ac:dyDescent="0.2">
      <c r="A5043" t="s">
        <v>270</v>
      </c>
      <c r="B5043" t="s">
        <v>15123</v>
      </c>
      <c r="C5043">
        <v>1</v>
      </c>
      <c r="D5043" s="1">
        <v>44073.027511574073</v>
      </c>
      <c r="E5043" t="s">
        <v>15709</v>
      </c>
      <c r="F5043" t="s">
        <v>273</v>
      </c>
      <c r="G5043" t="s">
        <v>15592</v>
      </c>
      <c r="H5043" t="s">
        <v>275</v>
      </c>
      <c r="I5043" t="s">
        <v>29</v>
      </c>
      <c r="J5043">
        <v>1</v>
      </c>
      <c r="K5043">
        <f>1-888-597-1445</f>
        <v>-2929</v>
      </c>
      <c r="L5043" t="s">
        <v>15710</v>
      </c>
      <c r="M5043" t="s">
        <v>15711</v>
      </c>
      <c r="N5043" t="s">
        <v>278</v>
      </c>
      <c r="O5043" t="s">
        <v>134</v>
      </c>
      <c r="P5043" t="s">
        <v>618</v>
      </c>
      <c r="Q5043">
        <v>51</v>
      </c>
      <c r="R5043">
        <v>-3.1780650000000001</v>
      </c>
    </row>
    <row r="5044" spans="1:18" x14ac:dyDescent="0.2">
      <c r="A5044" t="s">
        <v>270</v>
      </c>
      <c r="B5044" t="s">
        <v>15123</v>
      </c>
      <c r="C5044">
        <v>1</v>
      </c>
      <c r="D5044" s="1">
        <v>44073.026574074072</v>
      </c>
      <c r="E5044" t="s">
        <v>15712</v>
      </c>
      <c r="F5044" t="s">
        <v>273</v>
      </c>
      <c r="G5044" t="s">
        <v>15592</v>
      </c>
      <c r="H5044" t="s">
        <v>275</v>
      </c>
      <c r="I5044" t="s">
        <v>29</v>
      </c>
      <c r="J5044">
        <v>1</v>
      </c>
      <c r="K5044">
        <f>1-888-598-1511</f>
        <v>-2996</v>
      </c>
      <c r="L5044" t="s">
        <v>15713</v>
      </c>
      <c r="M5044" t="s">
        <v>15714</v>
      </c>
      <c r="N5044" t="s">
        <v>278</v>
      </c>
      <c r="O5044" t="s">
        <v>134</v>
      </c>
      <c r="P5044" t="s">
        <v>618</v>
      </c>
      <c r="Q5044">
        <v>51</v>
      </c>
      <c r="R5044">
        <v>-3.1780650000000001</v>
      </c>
    </row>
    <row r="5045" spans="1:18" x14ac:dyDescent="0.2">
      <c r="A5045" t="s">
        <v>270</v>
      </c>
      <c r="B5045" t="s">
        <v>15123</v>
      </c>
      <c r="C5045">
        <v>1</v>
      </c>
      <c r="D5045" s="1">
        <v>44072.865555555552</v>
      </c>
      <c r="E5045" t="s">
        <v>15715</v>
      </c>
      <c r="F5045" t="s">
        <v>273</v>
      </c>
      <c r="G5045" t="s">
        <v>15592</v>
      </c>
      <c r="H5045" t="s">
        <v>275</v>
      </c>
      <c r="I5045" t="s">
        <v>29</v>
      </c>
      <c r="J5045">
        <v>1</v>
      </c>
      <c r="K5045">
        <f>1-888-604-806</f>
        <v>-2297</v>
      </c>
      <c r="L5045" t="s">
        <v>15716</v>
      </c>
      <c r="M5045" t="s">
        <v>15717</v>
      </c>
      <c r="N5045" t="s">
        <v>278</v>
      </c>
      <c r="O5045" t="s">
        <v>134</v>
      </c>
      <c r="P5045" t="s">
        <v>618</v>
      </c>
      <c r="Q5045">
        <v>51</v>
      </c>
      <c r="R5045">
        <v>-3.1780650000000001</v>
      </c>
    </row>
    <row r="5046" spans="1:18" x14ac:dyDescent="0.2">
      <c r="A5046" t="s">
        <v>270</v>
      </c>
      <c r="B5046" t="s">
        <v>15123</v>
      </c>
      <c r="C5046">
        <v>1</v>
      </c>
      <c r="D5046" s="1">
        <v>44071.973946759259</v>
      </c>
      <c r="E5046" t="s">
        <v>15718</v>
      </c>
      <c r="F5046" t="s">
        <v>273</v>
      </c>
      <c r="G5046" t="s">
        <v>15592</v>
      </c>
      <c r="H5046" t="s">
        <v>275</v>
      </c>
      <c r="I5046" t="s">
        <v>29</v>
      </c>
      <c r="J5046">
        <v>1</v>
      </c>
      <c r="K5046">
        <f>1-888-909-1270</f>
        <v>-3066</v>
      </c>
      <c r="L5046" t="s">
        <v>15719</v>
      </c>
      <c r="M5046" t="s">
        <v>15720</v>
      </c>
      <c r="N5046" t="s">
        <v>278</v>
      </c>
      <c r="O5046" t="s">
        <v>134</v>
      </c>
      <c r="P5046" t="s">
        <v>618</v>
      </c>
      <c r="Q5046">
        <v>51</v>
      </c>
      <c r="R5046">
        <v>-3.1780650000000001</v>
      </c>
    </row>
    <row r="5047" spans="1:18" x14ac:dyDescent="0.2">
      <c r="A5047" t="s">
        <v>270</v>
      </c>
      <c r="B5047" t="s">
        <v>15123</v>
      </c>
      <c r="C5047">
        <v>1</v>
      </c>
      <c r="D5047" s="1">
        <v>44071.833553240744</v>
      </c>
      <c r="E5047" t="s">
        <v>15721</v>
      </c>
      <c r="F5047" t="s">
        <v>273</v>
      </c>
      <c r="G5047" t="s">
        <v>15592</v>
      </c>
      <c r="H5047" t="s">
        <v>275</v>
      </c>
      <c r="I5047" t="s">
        <v>29</v>
      </c>
      <c r="J5047">
        <v>1</v>
      </c>
      <c r="K5047">
        <f>1-888-607-419</f>
        <v>-1913</v>
      </c>
      <c r="L5047" t="s">
        <v>15722</v>
      </c>
      <c r="M5047" t="s">
        <v>15723</v>
      </c>
      <c r="N5047" t="s">
        <v>278</v>
      </c>
      <c r="O5047" t="s">
        <v>28</v>
      </c>
      <c r="P5047" t="s">
        <v>618</v>
      </c>
      <c r="Q5047">
        <v>51</v>
      </c>
      <c r="R5047">
        <v>-3.1780650000000001</v>
      </c>
    </row>
    <row r="5048" spans="1:18" x14ac:dyDescent="0.2">
      <c r="A5048" t="s">
        <v>270</v>
      </c>
      <c r="B5048" t="s">
        <v>15123</v>
      </c>
      <c r="C5048">
        <v>1</v>
      </c>
      <c r="D5048" s="1">
        <v>44071.416435185187</v>
      </c>
      <c r="E5048" t="s">
        <v>15724</v>
      </c>
      <c r="F5048" t="s">
        <v>273</v>
      </c>
      <c r="G5048" t="s">
        <v>15592</v>
      </c>
      <c r="H5048" t="s">
        <v>275</v>
      </c>
      <c r="I5048" t="s">
        <v>29</v>
      </c>
      <c r="J5048">
        <v>1</v>
      </c>
      <c r="K5048">
        <f>1-888-417-4090</f>
        <v>-5394</v>
      </c>
      <c r="L5048" t="s">
        <v>15725</v>
      </c>
      <c r="M5048" t="s">
        <v>15726</v>
      </c>
      <c r="N5048" t="s">
        <v>278</v>
      </c>
      <c r="O5048" t="s">
        <v>134</v>
      </c>
      <c r="P5048" t="s">
        <v>618</v>
      </c>
      <c r="Q5048">
        <v>51</v>
      </c>
      <c r="R5048">
        <v>-3.1780650000000001</v>
      </c>
    </row>
    <row r="5049" spans="1:18" x14ac:dyDescent="0.2">
      <c r="A5049" t="s">
        <v>270</v>
      </c>
      <c r="B5049" t="s">
        <v>15123</v>
      </c>
      <c r="C5049">
        <v>1</v>
      </c>
      <c r="D5049" s="1">
        <v>44068.194965277777</v>
      </c>
      <c r="E5049" t="s">
        <v>15727</v>
      </c>
      <c r="F5049" t="s">
        <v>273</v>
      </c>
      <c r="G5049" t="s">
        <v>15592</v>
      </c>
      <c r="H5049" t="s">
        <v>275</v>
      </c>
      <c r="I5049" t="s">
        <v>29</v>
      </c>
      <c r="J5049">
        <v>1</v>
      </c>
      <c r="K5049">
        <f>1-888-530-6238</f>
        <v>-7655</v>
      </c>
      <c r="L5049" t="s">
        <v>15728</v>
      </c>
      <c r="M5049" t="s">
        <v>15729</v>
      </c>
      <c r="N5049" t="s">
        <v>278</v>
      </c>
      <c r="O5049" t="s">
        <v>134</v>
      </c>
      <c r="P5049" t="s">
        <v>618</v>
      </c>
      <c r="Q5049">
        <v>51</v>
      </c>
      <c r="R5049">
        <v>-3.1780650000000001</v>
      </c>
    </row>
    <row r="5050" spans="1:18" x14ac:dyDescent="0.2">
      <c r="A5050" t="s">
        <v>270</v>
      </c>
      <c r="B5050" t="s">
        <v>15123</v>
      </c>
      <c r="C5050">
        <v>1</v>
      </c>
      <c r="D5050" s="1">
        <v>44068.071932870371</v>
      </c>
      <c r="E5050" t="s">
        <v>15730</v>
      </c>
      <c r="F5050" t="s">
        <v>273</v>
      </c>
      <c r="G5050" t="s">
        <v>15592</v>
      </c>
      <c r="H5050" t="s">
        <v>275</v>
      </c>
      <c r="I5050" t="s">
        <v>29</v>
      </c>
      <c r="J5050">
        <v>1</v>
      </c>
      <c r="K5050">
        <f>1-888-291-57</f>
        <v>-1235</v>
      </c>
      <c r="L5050" t="s">
        <v>15731</v>
      </c>
      <c r="M5050" t="s">
        <v>15732</v>
      </c>
      <c r="N5050" t="s">
        <v>278</v>
      </c>
      <c r="O5050" t="s">
        <v>28</v>
      </c>
      <c r="P5050" t="s">
        <v>618</v>
      </c>
      <c r="Q5050">
        <v>51</v>
      </c>
      <c r="R5050">
        <v>-3.1780650000000001</v>
      </c>
    </row>
    <row r="5051" spans="1:18" x14ac:dyDescent="0.2">
      <c r="A5051" t="s">
        <v>270</v>
      </c>
      <c r="B5051" t="s">
        <v>15123</v>
      </c>
      <c r="C5051">
        <v>1</v>
      </c>
      <c r="D5051" s="1">
        <v>44068.031851851854</v>
      </c>
      <c r="E5051" t="s">
        <v>15733</v>
      </c>
      <c r="F5051" t="s">
        <v>273</v>
      </c>
      <c r="G5051" t="s">
        <v>15592</v>
      </c>
      <c r="H5051" t="s">
        <v>275</v>
      </c>
      <c r="I5051" t="s">
        <v>29</v>
      </c>
      <c r="J5051">
        <v>1</v>
      </c>
      <c r="K5051">
        <f>1-888-965-777</f>
        <v>-2629</v>
      </c>
      <c r="L5051" t="s">
        <v>15734</v>
      </c>
      <c r="M5051" t="s">
        <v>15735</v>
      </c>
      <c r="N5051" t="s">
        <v>278</v>
      </c>
      <c r="O5051" t="s">
        <v>28</v>
      </c>
      <c r="P5051" t="s">
        <v>618</v>
      </c>
      <c r="Q5051">
        <v>51</v>
      </c>
      <c r="R5051">
        <v>-3.1780650000000001</v>
      </c>
    </row>
    <row r="5052" spans="1:18" x14ac:dyDescent="0.2">
      <c r="A5052" t="s">
        <v>270</v>
      </c>
      <c r="B5052" t="s">
        <v>15123</v>
      </c>
      <c r="C5052">
        <v>1</v>
      </c>
      <c r="D5052" s="1">
        <v>44068.023425925923</v>
      </c>
      <c r="E5052" t="s">
        <v>15736</v>
      </c>
      <c r="F5052" t="s">
        <v>273</v>
      </c>
      <c r="G5052" t="s">
        <v>15592</v>
      </c>
      <c r="H5052" t="s">
        <v>275</v>
      </c>
      <c r="I5052" t="s">
        <v>29</v>
      </c>
      <c r="J5052">
        <v>1</v>
      </c>
      <c r="K5052">
        <f>1-888-706-1246</f>
        <v>-2839</v>
      </c>
      <c r="L5052" t="s">
        <v>15737</v>
      </c>
      <c r="M5052" t="s">
        <v>15738</v>
      </c>
      <c r="N5052" t="s">
        <v>278</v>
      </c>
      <c r="O5052" t="s">
        <v>28</v>
      </c>
      <c r="P5052" t="s">
        <v>618</v>
      </c>
      <c r="Q5052">
        <v>51</v>
      </c>
      <c r="R5052">
        <v>-3.1780650000000001</v>
      </c>
    </row>
    <row r="5053" spans="1:18" x14ac:dyDescent="0.2">
      <c r="A5053" t="s">
        <v>270</v>
      </c>
      <c r="B5053" t="s">
        <v>15123</v>
      </c>
      <c r="C5053">
        <v>1</v>
      </c>
      <c r="D5053" s="1">
        <v>44068.020833333336</v>
      </c>
      <c r="E5053" t="s">
        <v>15739</v>
      </c>
      <c r="F5053" t="s">
        <v>273</v>
      </c>
      <c r="G5053" t="s">
        <v>15592</v>
      </c>
      <c r="H5053" t="s">
        <v>275</v>
      </c>
      <c r="I5053" t="s">
        <v>29</v>
      </c>
      <c r="J5053">
        <v>1</v>
      </c>
      <c r="K5053">
        <f>1-888-965-777</f>
        <v>-2629</v>
      </c>
      <c r="L5053" t="s">
        <v>15740</v>
      </c>
      <c r="M5053" t="s">
        <v>15741</v>
      </c>
      <c r="N5053" t="s">
        <v>278</v>
      </c>
      <c r="O5053" t="s">
        <v>28</v>
      </c>
      <c r="P5053" t="s">
        <v>618</v>
      </c>
      <c r="Q5053">
        <v>51</v>
      </c>
      <c r="R5053">
        <v>-3.1780650000000001</v>
      </c>
    </row>
    <row r="5054" spans="1:18" x14ac:dyDescent="0.2">
      <c r="A5054" t="s">
        <v>270</v>
      </c>
      <c r="B5054" t="s">
        <v>15123</v>
      </c>
      <c r="C5054">
        <v>1</v>
      </c>
      <c r="D5054" s="1">
        <v>44066.544259259259</v>
      </c>
      <c r="E5054" t="s">
        <v>15742</v>
      </c>
      <c r="F5054" t="s">
        <v>273</v>
      </c>
      <c r="G5054" t="s">
        <v>15592</v>
      </c>
      <c r="H5054" t="s">
        <v>275</v>
      </c>
      <c r="I5054" t="s">
        <v>29</v>
      </c>
      <c r="J5054">
        <v>1</v>
      </c>
      <c r="K5054">
        <f>1-866-672-9693</f>
        <v>-11230</v>
      </c>
      <c r="L5054" t="s">
        <v>15743</v>
      </c>
      <c r="M5054" t="s">
        <v>15744</v>
      </c>
      <c r="N5054" t="s">
        <v>278</v>
      </c>
      <c r="O5054" t="s">
        <v>134</v>
      </c>
      <c r="P5054" t="s">
        <v>618</v>
      </c>
      <c r="Q5054">
        <v>51</v>
      </c>
      <c r="R5054">
        <v>-3.1780650000000001</v>
      </c>
    </row>
    <row r="5055" spans="1:18" x14ac:dyDescent="0.2">
      <c r="A5055" t="s">
        <v>270</v>
      </c>
      <c r="B5055" t="s">
        <v>15123</v>
      </c>
      <c r="C5055">
        <v>1</v>
      </c>
      <c r="D5055" s="1">
        <v>44053.300833333335</v>
      </c>
      <c r="E5055" t="s">
        <v>15745</v>
      </c>
      <c r="F5055" t="s">
        <v>273</v>
      </c>
      <c r="G5055" t="s">
        <v>15592</v>
      </c>
      <c r="H5055" t="s">
        <v>275</v>
      </c>
      <c r="I5055" t="s">
        <v>29</v>
      </c>
      <c r="J5055">
        <v>1</v>
      </c>
      <c r="K5055">
        <f>1-866-801-5549</f>
        <v>-7215</v>
      </c>
      <c r="L5055" t="s">
        <v>15746</v>
      </c>
      <c r="M5055" t="s">
        <v>15747</v>
      </c>
      <c r="N5055" t="s">
        <v>278</v>
      </c>
      <c r="O5055" t="s">
        <v>134</v>
      </c>
      <c r="P5055" t="s">
        <v>618</v>
      </c>
      <c r="Q5055">
        <v>51</v>
      </c>
      <c r="R5055">
        <v>-3.1780650000000001</v>
      </c>
    </row>
    <row r="5056" spans="1:18" x14ac:dyDescent="0.2">
      <c r="A5056" t="s">
        <v>270</v>
      </c>
      <c r="B5056" t="s">
        <v>8966</v>
      </c>
      <c r="C5056">
        <v>1</v>
      </c>
      <c r="D5056" s="1">
        <v>44377.795729166668</v>
      </c>
      <c r="E5056" t="s">
        <v>15748</v>
      </c>
      <c r="F5056" t="s">
        <v>273</v>
      </c>
      <c r="G5056" t="s">
        <v>15749</v>
      </c>
      <c r="H5056" t="s">
        <v>275</v>
      </c>
      <c r="I5056" t="s">
        <v>29</v>
      </c>
      <c r="J5056">
        <v>1</v>
      </c>
      <c r="K5056">
        <f>1-866-293-6997</f>
        <v>-8155</v>
      </c>
      <c r="L5056" t="s">
        <v>15750</v>
      </c>
      <c r="M5056" t="s">
        <v>15751</v>
      </c>
      <c r="N5056" t="s">
        <v>278</v>
      </c>
      <c r="O5056" t="s">
        <v>28</v>
      </c>
      <c r="P5056" t="s">
        <v>782</v>
      </c>
      <c r="Q5056">
        <v>-38</v>
      </c>
      <c r="R5056">
        <v>99.999999000000003</v>
      </c>
    </row>
    <row r="5057" spans="1:18" x14ac:dyDescent="0.2">
      <c r="A5057" t="s">
        <v>270</v>
      </c>
      <c r="B5057" t="s">
        <v>8966</v>
      </c>
      <c r="C5057">
        <v>1</v>
      </c>
      <c r="D5057" s="1">
        <v>44376.79074074074</v>
      </c>
      <c r="E5057" t="s">
        <v>15752</v>
      </c>
      <c r="F5057" t="s">
        <v>273</v>
      </c>
      <c r="G5057" t="s">
        <v>15749</v>
      </c>
      <c r="H5057" t="s">
        <v>275</v>
      </c>
      <c r="I5057" t="s">
        <v>29</v>
      </c>
      <c r="J5057">
        <v>1</v>
      </c>
      <c r="K5057">
        <f>1-844-216-6739</f>
        <v>-7798</v>
      </c>
      <c r="L5057" t="s">
        <v>15753</v>
      </c>
      <c r="M5057" t="s">
        <v>15754</v>
      </c>
      <c r="N5057" t="s">
        <v>278</v>
      </c>
      <c r="O5057" t="s">
        <v>28</v>
      </c>
      <c r="P5057" t="s">
        <v>782</v>
      </c>
      <c r="Q5057">
        <v>-38</v>
      </c>
      <c r="R5057">
        <v>99.999999000000003</v>
      </c>
    </row>
    <row r="5058" spans="1:18" x14ac:dyDescent="0.2">
      <c r="A5058" t="s">
        <v>270</v>
      </c>
      <c r="B5058" t="s">
        <v>8966</v>
      </c>
      <c r="C5058">
        <v>1</v>
      </c>
      <c r="D5058" s="1">
        <v>44369.802673611113</v>
      </c>
      <c r="E5058" t="s">
        <v>15755</v>
      </c>
      <c r="F5058" t="s">
        <v>273</v>
      </c>
      <c r="G5058" t="s">
        <v>15749</v>
      </c>
      <c r="H5058" t="s">
        <v>275</v>
      </c>
      <c r="I5058" t="s">
        <v>29</v>
      </c>
      <c r="J5058">
        <v>1</v>
      </c>
      <c r="K5058">
        <f>1-866-309-6030</f>
        <v>-7204</v>
      </c>
      <c r="L5058" t="s">
        <v>15756</v>
      </c>
      <c r="M5058" t="s">
        <v>15757</v>
      </c>
      <c r="N5058" t="s">
        <v>278</v>
      </c>
      <c r="O5058" t="s">
        <v>28</v>
      </c>
      <c r="P5058" t="s">
        <v>782</v>
      </c>
      <c r="Q5058">
        <v>-38</v>
      </c>
      <c r="R5058">
        <v>99.999999000000003</v>
      </c>
    </row>
    <row r="5059" spans="1:18" x14ac:dyDescent="0.2">
      <c r="A5059" t="s">
        <v>270</v>
      </c>
      <c r="B5059" t="s">
        <v>8966</v>
      </c>
      <c r="C5059">
        <v>1</v>
      </c>
      <c r="D5059" s="1">
        <v>44368.896053240744</v>
      </c>
      <c r="E5059" t="s">
        <v>15758</v>
      </c>
      <c r="F5059" t="s">
        <v>273</v>
      </c>
      <c r="G5059" t="s">
        <v>15749</v>
      </c>
      <c r="H5059" t="s">
        <v>275</v>
      </c>
      <c r="I5059" t="s">
        <v>29</v>
      </c>
      <c r="J5059">
        <v>1</v>
      </c>
      <c r="K5059">
        <f>1-866-329-2260</f>
        <v>-3454</v>
      </c>
      <c r="L5059" t="s">
        <v>15759</v>
      </c>
      <c r="M5059" t="s">
        <v>15760</v>
      </c>
      <c r="N5059" t="s">
        <v>278</v>
      </c>
      <c r="O5059" t="s">
        <v>28</v>
      </c>
      <c r="P5059" t="s">
        <v>782</v>
      </c>
      <c r="Q5059">
        <v>-38</v>
      </c>
      <c r="R5059">
        <v>99.999999000000003</v>
      </c>
    </row>
    <row r="5060" spans="1:18" x14ac:dyDescent="0.2">
      <c r="A5060" t="s">
        <v>270</v>
      </c>
      <c r="B5060" t="s">
        <v>8966</v>
      </c>
      <c r="C5060">
        <v>1</v>
      </c>
      <c r="D5060" s="1">
        <v>44368.870821759258</v>
      </c>
      <c r="E5060" t="s">
        <v>15761</v>
      </c>
      <c r="F5060" t="s">
        <v>273</v>
      </c>
      <c r="G5060" t="s">
        <v>15749</v>
      </c>
      <c r="H5060" t="s">
        <v>275</v>
      </c>
      <c r="I5060" t="s">
        <v>29</v>
      </c>
      <c r="J5060">
        <v>1</v>
      </c>
      <c r="K5060">
        <f>1-866-328-4432</f>
        <v>-5625</v>
      </c>
      <c r="L5060" t="s">
        <v>15762</v>
      </c>
      <c r="M5060" t="s">
        <v>15763</v>
      </c>
      <c r="N5060" t="s">
        <v>278</v>
      </c>
      <c r="O5060" t="s">
        <v>28</v>
      </c>
      <c r="P5060" t="s">
        <v>782</v>
      </c>
      <c r="Q5060">
        <v>-38</v>
      </c>
      <c r="R5060">
        <v>99.999999000000003</v>
      </c>
    </row>
    <row r="5061" spans="1:18" x14ac:dyDescent="0.2">
      <c r="A5061" t="s">
        <v>270</v>
      </c>
      <c r="B5061" t="s">
        <v>8966</v>
      </c>
      <c r="C5061">
        <v>1</v>
      </c>
      <c r="D5061" s="1">
        <v>44368.861608796295</v>
      </c>
      <c r="E5061" t="s">
        <v>15764</v>
      </c>
      <c r="F5061" t="s">
        <v>273</v>
      </c>
      <c r="G5061" t="s">
        <v>15749</v>
      </c>
      <c r="H5061" t="s">
        <v>275</v>
      </c>
      <c r="I5061" t="s">
        <v>29</v>
      </c>
      <c r="J5061">
        <v>1</v>
      </c>
      <c r="K5061">
        <f>1-866-324-1581</f>
        <v>-2770</v>
      </c>
      <c r="L5061" t="s">
        <v>15765</v>
      </c>
      <c r="M5061" t="s">
        <v>15766</v>
      </c>
      <c r="N5061" t="s">
        <v>278</v>
      </c>
      <c r="O5061" t="s">
        <v>28</v>
      </c>
      <c r="P5061" t="s">
        <v>782</v>
      </c>
      <c r="Q5061">
        <v>-38</v>
      </c>
      <c r="R5061">
        <v>99.999999000000003</v>
      </c>
    </row>
    <row r="5062" spans="1:18" x14ac:dyDescent="0.2">
      <c r="A5062" t="s">
        <v>270</v>
      </c>
      <c r="B5062" t="s">
        <v>8966</v>
      </c>
      <c r="C5062">
        <v>1</v>
      </c>
      <c r="D5062" s="1">
        <v>44368.830300925925</v>
      </c>
      <c r="E5062" t="s">
        <v>15767</v>
      </c>
      <c r="F5062" t="s">
        <v>273</v>
      </c>
      <c r="G5062" t="s">
        <v>15749</v>
      </c>
      <c r="H5062" t="s">
        <v>275</v>
      </c>
      <c r="I5062" t="s">
        <v>29</v>
      </c>
      <c r="J5062">
        <v>1</v>
      </c>
      <c r="K5062">
        <f>1-866-323-7308</f>
        <v>-8496</v>
      </c>
      <c r="L5062" t="s">
        <v>15768</v>
      </c>
      <c r="M5062" t="s">
        <v>15769</v>
      </c>
      <c r="N5062" t="s">
        <v>278</v>
      </c>
      <c r="O5062" t="s">
        <v>28</v>
      </c>
      <c r="P5062" t="s">
        <v>782</v>
      </c>
      <c r="Q5062">
        <v>-38</v>
      </c>
      <c r="R5062">
        <v>99.999999000000003</v>
      </c>
    </row>
    <row r="5063" spans="1:18" x14ac:dyDescent="0.2">
      <c r="A5063" t="s">
        <v>270</v>
      </c>
      <c r="B5063" t="s">
        <v>8966</v>
      </c>
      <c r="C5063">
        <v>1</v>
      </c>
      <c r="D5063" s="1">
        <v>44365.747893518521</v>
      </c>
      <c r="E5063" t="s">
        <v>15770</v>
      </c>
      <c r="F5063" t="s">
        <v>273</v>
      </c>
      <c r="G5063" t="s">
        <v>15749</v>
      </c>
      <c r="H5063" t="s">
        <v>275</v>
      </c>
      <c r="I5063" t="s">
        <v>29</v>
      </c>
      <c r="J5063">
        <v>1</v>
      </c>
      <c r="K5063">
        <f>1-866-349-840</f>
        <v>-2054</v>
      </c>
      <c r="L5063" t="s">
        <v>15771</v>
      </c>
      <c r="M5063" t="s">
        <v>15772</v>
      </c>
      <c r="N5063" t="s">
        <v>278</v>
      </c>
      <c r="O5063" t="s">
        <v>28</v>
      </c>
      <c r="P5063" t="s">
        <v>782</v>
      </c>
      <c r="Q5063">
        <v>-38</v>
      </c>
      <c r="R5063">
        <v>99.999999000000003</v>
      </c>
    </row>
    <row r="5064" spans="1:18" x14ac:dyDescent="0.2">
      <c r="A5064" t="s">
        <v>270</v>
      </c>
      <c r="B5064" t="s">
        <v>8966</v>
      </c>
      <c r="C5064">
        <v>1</v>
      </c>
      <c r="D5064" s="1">
        <v>44364.822268518517</v>
      </c>
      <c r="E5064" t="s">
        <v>15773</v>
      </c>
      <c r="F5064" t="s">
        <v>273</v>
      </c>
      <c r="G5064" t="s">
        <v>15749</v>
      </c>
      <c r="H5064" t="s">
        <v>275</v>
      </c>
      <c r="I5064" t="s">
        <v>29</v>
      </c>
      <c r="J5064">
        <v>1</v>
      </c>
      <c r="K5064">
        <f>1-866-365-8022</f>
        <v>-9252</v>
      </c>
      <c r="L5064" t="s">
        <v>15774</v>
      </c>
      <c r="M5064" t="s">
        <v>15775</v>
      </c>
      <c r="N5064" t="s">
        <v>278</v>
      </c>
      <c r="O5064" t="s">
        <v>28</v>
      </c>
      <c r="P5064" t="s">
        <v>782</v>
      </c>
      <c r="Q5064">
        <v>-38</v>
      </c>
      <c r="R5064">
        <v>99.999999000000003</v>
      </c>
    </row>
    <row r="5065" spans="1:18" x14ac:dyDescent="0.2">
      <c r="A5065" t="s">
        <v>270</v>
      </c>
      <c r="B5065" t="s">
        <v>8966</v>
      </c>
      <c r="C5065">
        <v>1</v>
      </c>
      <c r="D5065" s="1">
        <v>44364.793182870373</v>
      </c>
      <c r="E5065" t="s">
        <v>15776</v>
      </c>
      <c r="F5065" t="s">
        <v>273</v>
      </c>
      <c r="G5065" t="s">
        <v>15749</v>
      </c>
      <c r="H5065" t="s">
        <v>275</v>
      </c>
      <c r="I5065" t="s">
        <v>29</v>
      </c>
      <c r="J5065">
        <v>1</v>
      </c>
      <c r="K5065">
        <f>1-866-369-908</f>
        <v>-2142</v>
      </c>
      <c r="L5065" t="s">
        <v>15777</v>
      </c>
      <c r="M5065" t="s">
        <v>15778</v>
      </c>
      <c r="N5065" t="s">
        <v>278</v>
      </c>
      <c r="O5065" t="s">
        <v>28</v>
      </c>
      <c r="P5065" t="s">
        <v>782</v>
      </c>
      <c r="Q5065">
        <v>-38</v>
      </c>
      <c r="R5065">
        <v>99.999999000000003</v>
      </c>
    </row>
    <row r="5066" spans="1:18" x14ac:dyDescent="0.2">
      <c r="A5066" t="s">
        <v>270</v>
      </c>
      <c r="B5066" t="s">
        <v>8966</v>
      </c>
      <c r="C5066">
        <v>1</v>
      </c>
      <c r="D5066" s="1">
        <v>44364.774525462963</v>
      </c>
      <c r="E5066" t="s">
        <v>15779</v>
      </c>
      <c r="F5066" t="s">
        <v>273</v>
      </c>
      <c r="G5066" t="s">
        <v>15749</v>
      </c>
      <c r="H5066" t="s">
        <v>275</v>
      </c>
      <c r="I5066" t="s">
        <v>29</v>
      </c>
      <c r="J5066">
        <v>1</v>
      </c>
      <c r="K5066">
        <f>1-866-373-8472</f>
        <v>-9710</v>
      </c>
      <c r="L5066" t="s">
        <v>15780</v>
      </c>
      <c r="M5066" t="s">
        <v>15781</v>
      </c>
      <c r="N5066" t="s">
        <v>278</v>
      </c>
      <c r="O5066" t="s">
        <v>28</v>
      </c>
      <c r="P5066" t="s">
        <v>782</v>
      </c>
      <c r="Q5066">
        <v>-38</v>
      </c>
      <c r="R5066">
        <v>99.999999000000003</v>
      </c>
    </row>
    <row r="5067" spans="1:18" x14ac:dyDescent="0.2">
      <c r="A5067" t="s">
        <v>270</v>
      </c>
      <c r="B5067" t="s">
        <v>8966</v>
      </c>
      <c r="C5067">
        <v>1</v>
      </c>
      <c r="D5067" s="1">
        <v>44363.857349537036</v>
      </c>
      <c r="E5067" t="s">
        <v>15782</v>
      </c>
      <c r="F5067" t="s">
        <v>273</v>
      </c>
      <c r="G5067" t="s">
        <v>15749</v>
      </c>
      <c r="H5067" t="s">
        <v>275</v>
      </c>
      <c r="I5067" t="s">
        <v>29</v>
      </c>
      <c r="J5067">
        <v>1</v>
      </c>
      <c r="K5067">
        <f>1-844-388-9875</f>
        <v>-11106</v>
      </c>
      <c r="L5067" t="s">
        <v>15783</v>
      </c>
      <c r="M5067" t="s">
        <v>15784</v>
      </c>
      <c r="N5067" t="s">
        <v>278</v>
      </c>
      <c r="O5067" t="s">
        <v>28</v>
      </c>
      <c r="P5067" t="s">
        <v>782</v>
      </c>
      <c r="Q5067">
        <v>-38</v>
      </c>
      <c r="R5067">
        <v>99.999999000000003</v>
      </c>
    </row>
    <row r="5068" spans="1:18" x14ac:dyDescent="0.2">
      <c r="A5068" t="s">
        <v>270</v>
      </c>
      <c r="B5068" t="s">
        <v>8966</v>
      </c>
      <c r="C5068">
        <v>1</v>
      </c>
      <c r="D5068" s="1">
        <v>44363.845601851855</v>
      </c>
      <c r="E5068" t="s">
        <v>15785</v>
      </c>
      <c r="F5068" t="s">
        <v>273</v>
      </c>
      <c r="G5068" t="s">
        <v>15749</v>
      </c>
      <c r="H5068" t="s">
        <v>275</v>
      </c>
      <c r="I5068" t="s">
        <v>29</v>
      </c>
      <c r="J5068">
        <v>1</v>
      </c>
      <c r="K5068">
        <f>1-888-207-5938</f>
        <v>-7032</v>
      </c>
      <c r="L5068" t="s">
        <v>15786</v>
      </c>
      <c r="M5068" t="s">
        <v>15787</v>
      </c>
      <c r="N5068" t="s">
        <v>278</v>
      </c>
      <c r="O5068" t="s">
        <v>28</v>
      </c>
      <c r="P5068" t="s">
        <v>782</v>
      </c>
      <c r="Q5068">
        <v>-38</v>
      </c>
      <c r="R5068">
        <v>99.999999000000003</v>
      </c>
    </row>
    <row r="5069" spans="1:18" x14ac:dyDescent="0.2">
      <c r="A5069" t="s">
        <v>270</v>
      </c>
      <c r="B5069" t="s">
        <v>8966</v>
      </c>
      <c r="C5069">
        <v>1</v>
      </c>
      <c r="D5069" s="1">
        <v>44363.840833333335</v>
      </c>
      <c r="E5069" t="s">
        <v>15788</v>
      </c>
      <c r="F5069" t="s">
        <v>273</v>
      </c>
      <c r="G5069" t="s">
        <v>15749</v>
      </c>
      <c r="H5069" t="s">
        <v>275</v>
      </c>
      <c r="I5069" t="s">
        <v>29</v>
      </c>
      <c r="J5069">
        <v>1</v>
      </c>
      <c r="K5069">
        <f>1-888-210-3832</f>
        <v>-4929</v>
      </c>
      <c r="L5069" t="s">
        <v>15789</v>
      </c>
      <c r="M5069" t="s">
        <v>15790</v>
      </c>
      <c r="N5069" t="s">
        <v>278</v>
      </c>
      <c r="O5069" t="s">
        <v>28</v>
      </c>
      <c r="P5069" t="s">
        <v>782</v>
      </c>
      <c r="Q5069">
        <v>-38</v>
      </c>
      <c r="R5069">
        <v>99.999999000000003</v>
      </c>
    </row>
    <row r="5070" spans="1:18" x14ac:dyDescent="0.2">
      <c r="A5070" t="s">
        <v>270</v>
      </c>
      <c r="B5070" t="s">
        <v>8966</v>
      </c>
      <c r="C5070">
        <v>1</v>
      </c>
      <c r="D5070" s="1">
        <v>44363.830254629633</v>
      </c>
      <c r="E5070" t="s">
        <v>15791</v>
      </c>
      <c r="F5070" t="s">
        <v>273</v>
      </c>
      <c r="G5070" t="s">
        <v>15749</v>
      </c>
      <c r="H5070" t="s">
        <v>275</v>
      </c>
      <c r="I5070" t="s">
        <v>29</v>
      </c>
      <c r="J5070">
        <v>1</v>
      </c>
      <c r="K5070">
        <f>1-888-211-4453</f>
        <v>-5551</v>
      </c>
      <c r="L5070" t="s">
        <v>15792</v>
      </c>
      <c r="M5070" t="s">
        <v>15793</v>
      </c>
      <c r="N5070" t="s">
        <v>278</v>
      </c>
      <c r="O5070" t="s">
        <v>28</v>
      </c>
      <c r="P5070" t="s">
        <v>782</v>
      </c>
      <c r="Q5070">
        <v>-38</v>
      </c>
      <c r="R5070">
        <v>99.999999000000003</v>
      </c>
    </row>
    <row r="5071" spans="1:18" x14ac:dyDescent="0.2">
      <c r="A5071" t="s">
        <v>270</v>
      </c>
      <c r="B5071" t="s">
        <v>8966</v>
      </c>
      <c r="C5071">
        <v>1</v>
      </c>
      <c r="D5071" s="1">
        <v>44357.966446759259</v>
      </c>
      <c r="E5071" t="s">
        <v>15794</v>
      </c>
      <c r="F5071" t="s">
        <v>273</v>
      </c>
      <c r="G5071" t="s">
        <v>15749</v>
      </c>
      <c r="H5071" t="s">
        <v>275</v>
      </c>
      <c r="I5071" t="s">
        <v>29</v>
      </c>
      <c r="J5071">
        <v>1</v>
      </c>
      <c r="K5071">
        <f>1-888-491-1139</f>
        <v>-2517</v>
      </c>
      <c r="L5071" t="s">
        <v>15795</v>
      </c>
      <c r="M5071" t="s">
        <v>15796</v>
      </c>
      <c r="N5071" t="s">
        <v>278</v>
      </c>
      <c r="O5071" t="s">
        <v>28</v>
      </c>
      <c r="P5071" t="s">
        <v>782</v>
      </c>
      <c r="Q5071">
        <v>-38</v>
      </c>
      <c r="R5071">
        <v>99.999999000000003</v>
      </c>
    </row>
    <row r="5072" spans="1:18" x14ac:dyDescent="0.2">
      <c r="A5072" t="s">
        <v>270</v>
      </c>
      <c r="B5072" t="s">
        <v>8966</v>
      </c>
      <c r="C5072">
        <v>1</v>
      </c>
      <c r="D5072" s="1">
        <v>44357.953831018516</v>
      </c>
      <c r="E5072" t="s">
        <v>15797</v>
      </c>
      <c r="F5072" t="s">
        <v>273</v>
      </c>
      <c r="G5072" t="s">
        <v>15749</v>
      </c>
      <c r="H5072" t="s">
        <v>275</v>
      </c>
      <c r="I5072" t="s">
        <v>29</v>
      </c>
      <c r="J5072">
        <v>1</v>
      </c>
      <c r="K5072">
        <f>1-888-417-4082</f>
        <v>-5386</v>
      </c>
      <c r="L5072" t="s">
        <v>15798</v>
      </c>
      <c r="M5072" t="s">
        <v>15799</v>
      </c>
      <c r="N5072" t="s">
        <v>278</v>
      </c>
      <c r="O5072" t="s">
        <v>28</v>
      </c>
      <c r="P5072" t="s">
        <v>782</v>
      </c>
      <c r="Q5072">
        <v>-38</v>
      </c>
      <c r="R5072">
        <v>99.999999000000003</v>
      </c>
    </row>
    <row r="5073" spans="1:18" x14ac:dyDescent="0.2">
      <c r="A5073" t="s">
        <v>270</v>
      </c>
      <c r="B5073" t="s">
        <v>8966</v>
      </c>
      <c r="C5073">
        <v>1</v>
      </c>
      <c r="D5073" s="1">
        <v>44357.919421296298</v>
      </c>
      <c r="E5073" t="s">
        <v>15800</v>
      </c>
      <c r="F5073" t="s">
        <v>273</v>
      </c>
      <c r="G5073" t="s">
        <v>15749</v>
      </c>
      <c r="H5073" t="s">
        <v>275</v>
      </c>
      <c r="I5073" t="s">
        <v>29</v>
      </c>
      <c r="J5073">
        <v>1</v>
      </c>
      <c r="K5073">
        <f>1-888-392-306</f>
        <v>-1585</v>
      </c>
      <c r="L5073" t="s">
        <v>15801</v>
      </c>
      <c r="M5073" t="s">
        <v>15802</v>
      </c>
      <c r="N5073" t="s">
        <v>278</v>
      </c>
      <c r="O5073" t="s">
        <v>28</v>
      </c>
      <c r="P5073" t="s">
        <v>782</v>
      </c>
      <c r="Q5073">
        <v>-38</v>
      </c>
      <c r="R5073">
        <v>99.999999000000003</v>
      </c>
    </row>
    <row r="5074" spans="1:18" x14ac:dyDescent="0.2">
      <c r="A5074" t="s">
        <v>270</v>
      </c>
      <c r="B5074" t="s">
        <v>8966</v>
      </c>
      <c r="C5074">
        <v>1</v>
      </c>
      <c r="D5074" s="1">
        <v>44357.913055555553</v>
      </c>
      <c r="E5074" t="s">
        <v>15803</v>
      </c>
      <c r="F5074" t="s">
        <v>273</v>
      </c>
      <c r="G5074" t="s">
        <v>15749</v>
      </c>
      <c r="H5074" t="s">
        <v>275</v>
      </c>
      <c r="I5074" t="s">
        <v>29</v>
      </c>
      <c r="J5074">
        <v>1</v>
      </c>
      <c r="K5074">
        <f>1-888-392-306</f>
        <v>-1585</v>
      </c>
      <c r="L5074" t="s">
        <v>15804</v>
      </c>
      <c r="M5074" t="s">
        <v>15805</v>
      </c>
      <c r="N5074" t="s">
        <v>278</v>
      </c>
      <c r="O5074" t="s">
        <v>28</v>
      </c>
      <c r="P5074" t="s">
        <v>782</v>
      </c>
      <c r="Q5074">
        <v>-38</v>
      </c>
      <c r="R5074">
        <v>99.999999000000003</v>
      </c>
    </row>
    <row r="5075" spans="1:18" x14ac:dyDescent="0.2">
      <c r="A5075" t="s">
        <v>270</v>
      </c>
      <c r="B5075" t="s">
        <v>8966</v>
      </c>
      <c r="C5075">
        <v>1</v>
      </c>
      <c r="D5075" s="1">
        <v>44357.908715277779</v>
      </c>
      <c r="E5075" t="s">
        <v>15806</v>
      </c>
      <c r="F5075" t="s">
        <v>273</v>
      </c>
      <c r="G5075" t="s">
        <v>15749</v>
      </c>
      <c r="H5075" t="s">
        <v>275</v>
      </c>
      <c r="I5075" t="s">
        <v>29</v>
      </c>
      <c r="J5075">
        <v>1</v>
      </c>
      <c r="K5075">
        <f>1-888-382-3027</f>
        <v>-4296</v>
      </c>
      <c r="L5075" t="s">
        <v>15807</v>
      </c>
      <c r="M5075" t="s">
        <v>15808</v>
      </c>
      <c r="N5075" t="s">
        <v>278</v>
      </c>
      <c r="O5075" t="s">
        <v>28</v>
      </c>
      <c r="P5075" t="s">
        <v>782</v>
      </c>
      <c r="Q5075">
        <v>-38</v>
      </c>
      <c r="R5075">
        <v>99.999999000000003</v>
      </c>
    </row>
    <row r="5076" spans="1:18" x14ac:dyDescent="0.2">
      <c r="A5076" t="s">
        <v>270</v>
      </c>
      <c r="B5076" t="s">
        <v>8966</v>
      </c>
      <c r="C5076">
        <v>1</v>
      </c>
      <c r="D5076" s="1">
        <v>44355.767754629633</v>
      </c>
      <c r="E5076" t="s">
        <v>15809</v>
      </c>
      <c r="F5076" t="s">
        <v>273</v>
      </c>
      <c r="G5076" t="s">
        <v>15749</v>
      </c>
      <c r="H5076" t="s">
        <v>275</v>
      </c>
      <c r="I5076" t="s">
        <v>29</v>
      </c>
      <c r="J5076">
        <v>1</v>
      </c>
      <c r="K5076">
        <f>1-888-585-8957</f>
        <v>-10429</v>
      </c>
      <c r="L5076" t="s">
        <v>15810</v>
      </c>
      <c r="M5076" t="s">
        <v>15811</v>
      </c>
      <c r="N5076" t="s">
        <v>278</v>
      </c>
      <c r="O5076" t="s">
        <v>28</v>
      </c>
      <c r="P5076" t="s">
        <v>782</v>
      </c>
      <c r="Q5076">
        <v>-38</v>
      </c>
      <c r="R5076">
        <v>99.999999000000003</v>
      </c>
    </row>
    <row r="5077" spans="1:18" x14ac:dyDescent="0.2">
      <c r="A5077" t="s">
        <v>270</v>
      </c>
      <c r="B5077" t="s">
        <v>8966</v>
      </c>
      <c r="C5077">
        <v>1</v>
      </c>
      <c r="D5077" s="1">
        <v>44350.830601851849</v>
      </c>
      <c r="E5077" t="s">
        <v>15812</v>
      </c>
      <c r="F5077" t="s">
        <v>273</v>
      </c>
      <c r="G5077" t="s">
        <v>15749</v>
      </c>
      <c r="H5077" t="s">
        <v>275</v>
      </c>
      <c r="I5077" t="s">
        <v>29</v>
      </c>
      <c r="J5077">
        <v>1</v>
      </c>
      <c r="K5077">
        <f>1-888-655-9646</f>
        <v>-11188</v>
      </c>
      <c r="L5077" t="s">
        <v>15813</v>
      </c>
      <c r="M5077" t="s">
        <v>15814</v>
      </c>
      <c r="N5077" t="s">
        <v>278</v>
      </c>
      <c r="O5077" t="s">
        <v>28</v>
      </c>
      <c r="P5077" t="s">
        <v>782</v>
      </c>
      <c r="Q5077">
        <v>-38</v>
      </c>
      <c r="R5077">
        <v>99.999999000000003</v>
      </c>
    </row>
    <row r="5078" spans="1:18" x14ac:dyDescent="0.2">
      <c r="A5078" t="s">
        <v>270</v>
      </c>
      <c r="B5078" t="s">
        <v>8966</v>
      </c>
      <c r="C5078">
        <v>1</v>
      </c>
      <c r="D5078" s="1">
        <v>44350.83016203704</v>
      </c>
      <c r="E5078" t="s">
        <v>15815</v>
      </c>
      <c r="F5078" t="s">
        <v>273</v>
      </c>
      <c r="G5078" t="s">
        <v>15749</v>
      </c>
      <c r="H5078" t="s">
        <v>275</v>
      </c>
      <c r="I5078" t="s">
        <v>29</v>
      </c>
      <c r="J5078">
        <v>1</v>
      </c>
      <c r="K5078">
        <f>1-888-654-939</f>
        <v>-2480</v>
      </c>
      <c r="L5078" t="s">
        <v>15816</v>
      </c>
      <c r="M5078" t="s">
        <v>15817</v>
      </c>
      <c r="N5078" t="s">
        <v>278</v>
      </c>
      <c r="O5078" t="s">
        <v>28</v>
      </c>
      <c r="P5078" t="s">
        <v>782</v>
      </c>
      <c r="Q5078">
        <v>-38</v>
      </c>
      <c r="R5078">
        <v>99.999999000000003</v>
      </c>
    </row>
    <row r="5079" spans="1:18" x14ac:dyDescent="0.2">
      <c r="A5079" t="s">
        <v>270</v>
      </c>
      <c r="B5079" t="s">
        <v>8966</v>
      </c>
      <c r="C5079">
        <v>1</v>
      </c>
      <c r="D5079" s="1">
        <v>44350.807546296295</v>
      </c>
      <c r="E5079" t="s">
        <v>15818</v>
      </c>
      <c r="F5079" t="s">
        <v>273</v>
      </c>
      <c r="G5079" t="s">
        <v>15749</v>
      </c>
      <c r="H5079" t="s">
        <v>275</v>
      </c>
      <c r="I5079" t="s">
        <v>29</v>
      </c>
      <c r="J5079">
        <v>1</v>
      </c>
      <c r="K5079">
        <f>1-888-652-4083</f>
        <v>-5622</v>
      </c>
      <c r="L5079" t="s">
        <v>15819</v>
      </c>
      <c r="M5079" t="s">
        <v>15820</v>
      </c>
      <c r="N5079" t="s">
        <v>278</v>
      </c>
      <c r="O5079" t="s">
        <v>28</v>
      </c>
      <c r="P5079" t="s">
        <v>782</v>
      </c>
      <c r="Q5079">
        <v>-38</v>
      </c>
      <c r="R5079">
        <v>99.999999000000003</v>
      </c>
    </row>
    <row r="5080" spans="1:18" x14ac:dyDescent="0.2">
      <c r="A5080" t="s">
        <v>270</v>
      </c>
      <c r="B5080" t="s">
        <v>8966</v>
      </c>
      <c r="C5080">
        <v>1</v>
      </c>
      <c r="D5080" s="1">
        <v>44349.901469907411</v>
      </c>
      <c r="E5080" t="s">
        <v>15821</v>
      </c>
      <c r="F5080" t="s">
        <v>273</v>
      </c>
      <c r="G5080" t="s">
        <v>15749</v>
      </c>
      <c r="H5080" t="s">
        <v>275</v>
      </c>
      <c r="I5080" t="s">
        <v>29</v>
      </c>
      <c r="J5080">
        <v>1</v>
      </c>
      <c r="K5080">
        <f>1-844-296-8193</f>
        <v>-9332</v>
      </c>
      <c r="L5080" t="s">
        <v>15822</v>
      </c>
      <c r="M5080" t="s">
        <v>15823</v>
      </c>
      <c r="N5080" t="s">
        <v>278</v>
      </c>
      <c r="O5080" t="s">
        <v>28</v>
      </c>
      <c r="P5080" t="s">
        <v>782</v>
      </c>
      <c r="Q5080">
        <v>-38</v>
      </c>
      <c r="R5080">
        <v>99.999999000000003</v>
      </c>
    </row>
    <row r="5081" spans="1:18" x14ac:dyDescent="0.2">
      <c r="A5081" t="s">
        <v>270</v>
      </c>
      <c r="B5081" t="s">
        <v>8966</v>
      </c>
      <c r="C5081">
        <v>1</v>
      </c>
      <c r="D5081" s="1">
        <v>44349.899282407408</v>
      </c>
      <c r="E5081" t="s">
        <v>15824</v>
      </c>
      <c r="F5081" t="s">
        <v>273</v>
      </c>
      <c r="G5081" t="s">
        <v>15749</v>
      </c>
      <c r="H5081" t="s">
        <v>275</v>
      </c>
      <c r="I5081" t="s">
        <v>29</v>
      </c>
      <c r="J5081">
        <v>1</v>
      </c>
      <c r="K5081">
        <f>1-844-296-8193</f>
        <v>-9332</v>
      </c>
      <c r="L5081" t="s">
        <v>15825</v>
      </c>
      <c r="M5081" t="s">
        <v>15826</v>
      </c>
      <c r="N5081" t="s">
        <v>278</v>
      </c>
      <c r="O5081" t="s">
        <v>28</v>
      </c>
      <c r="P5081" t="s">
        <v>782</v>
      </c>
      <c r="Q5081">
        <v>-38</v>
      </c>
      <c r="R5081">
        <v>99.999999000000003</v>
      </c>
    </row>
    <row r="5082" spans="1:18" x14ac:dyDescent="0.2">
      <c r="A5082" t="s">
        <v>270</v>
      </c>
      <c r="B5082" t="s">
        <v>8966</v>
      </c>
      <c r="C5082">
        <v>1</v>
      </c>
      <c r="D5082" s="1">
        <v>44349.865381944444</v>
      </c>
      <c r="E5082" t="s">
        <v>15827</v>
      </c>
      <c r="F5082" t="s">
        <v>273</v>
      </c>
      <c r="G5082" t="s">
        <v>15749</v>
      </c>
      <c r="H5082" t="s">
        <v>275</v>
      </c>
      <c r="I5082" t="s">
        <v>29</v>
      </c>
      <c r="J5082">
        <v>1</v>
      </c>
      <c r="K5082">
        <f>1-888-690-879</f>
        <v>-2456</v>
      </c>
      <c r="L5082" t="s">
        <v>15828</v>
      </c>
      <c r="M5082" t="s">
        <v>15829</v>
      </c>
      <c r="N5082" t="s">
        <v>278</v>
      </c>
      <c r="O5082" t="s">
        <v>28</v>
      </c>
      <c r="P5082" t="s">
        <v>782</v>
      </c>
      <c r="Q5082">
        <v>-38</v>
      </c>
      <c r="R5082">
        <v>99.999999000000003</v>
      </c>
    </row>
    <row r="5083" spans="1:18" x14ac:dyDescent="0.2">
      <c r="A5083" t="s">
        <v>270</v>
      </c>
      <c r="B5083" t="s">
        <v>8966</v>
      </c>
      <c r="C5083">
        <v>1</v>
      </c>
      <c r="D5083" s="1">
        <v>44349.834282407406</v>
      </c>
      <c r="E5083" t="s">
        <v>15830</v>
      </c>
      <c r="F5083" t="s">
        <v>273</v>
      </c>
      <c r="G5083" t="s">
        <v>15749</v>
      </c>
      <c r="H5083" t="s">
        <v>275</v>
      </c>
      <c r="I5083" t="s">
        <v>29</v>
      </c>
      <c r="J5083">
        <v>1</v>
      </c>
      <c r="K5083">
        <f>1-888-686-474</f>
        <v>-2047</v>
      </c>
      <c r="L5083" t="s">
        <v>15831</v>
      </c>
      <c r="M5083" t="s">
        <v>15832</v>
      </c>
      <c r="N5083" t="s">
        <v>278</v>
      </c>
      <c r="O5083" t="s">
        <v>28</v>
      </c>
      <c r="P5083" t="s">
        <v>782</v>
      </c>
      <c r="Q5083">
        <v>-38</v>
      </c>
      <c r="R5083">
        <v>99.999999000000003</v>
      </c>
    </row>
    <row r="5084" spans="1:18" x14ac:dyDescent="0.2">
      <c r="A5084" t="s">
        <v>270</v>
      </c>
      <c r="B5084" t="s">
        <v>8966</v>
      </c>
      <c r="C5084">
        <v>1</v>
      </c>
      <c r="D5084" s="1">
        <v>44349.822453703702</v>
      </c>
      <c r="E5084" t="s">
        <v>15833</v>
      </c>
      <c r="F5084" t="s">
        <v>273</v>
      </c>
      <c r="G5084" t="s">
        <v>15749</v>
      </c>
      <c r="H5084" t="s">
        <v>275</v>
      </c>
      <c r="I5084" t="s">
        <v>29</v>
      </c>
      <c r="J5084">
        <v>1</v>
      </c>
      <c r="K5084">
        <f>1-888-662-9442</f>
        <v>-10991</v>
      </c>
      <c r="L5084" t="s">
        <v>15834</v>
      </c>
      <c r="M5084" t="s">
        <v>15835</v>
      </c>
      <c r="N5084" t="s">
        <v>278</v>
      </c>
      <c r="O5084" t="s">
        <v>28</v>
      </c>
      <c r="P5084" t="s">
        <v>782</v>
      </c>
      <c r="Q5084">
        <v>-38</v>
      </c>
      <c r="R5084">
        <v>99.999999000000003</v>
      </c>
    </row>
    <row r="5085" spans="1:18" x14ac:dyDescent="0.2">
      <c r="A5085" t="s">
        <v>270</v>
      </c>
      <c r="B5085" t="s">
        <v>8966</v>
      </c>
      <c r="C5085">
        <v>1</v>
      </c>
      <c r="D5085" s="1">
        <v>44343.831342592595</v>
      </c>
      <c r="E5085" t="s">
        <v>15836</v>
      </c>
      <c r="F5085" t="s">
        <v>273</v>
      </c>
      <c r="G5085" t="s">
        <v>15749</v>
      </c>
      <c r="H5085" t="s">
        <v>275</v>
      </c>
      <c r="I5085" t="s">
        <v>29</v>
      </c>
      <c r="J5085">
        <v>1</v>
      </c>
      <c r="K5085">
        <f>1-888-531-1238</f>
        <v>-2656</v>
      </c>
      <c r="L5085" t="s">
        <v>15837</v>
      </c>
      <c r="M5085" t="s">
        <v>15838</v>
      </c>
      <c r="N5085" t="s">
        <v>278</v>
      </c>
      <c r="O5085" t="s">
        <v>28</v>
      </c>
      <c r="P5085" t="s">
        <v>782</v>
      </c>
      <c r="Q5085">
        <v>-38</v>
      </c>
      <c r="R5085">
        <v>99.999999000000003</v>
      </c>
    </row>
    <row r="5086" spans="1:18" x14ac:dyDescent="0.2">
      <c r="A5086" t="s">
        <v>270</v>
      </c>
      <c r="B5086" t="s">
        <v>8966</v>
      </c>
      <c r="C5086">
        <v>1</v>
      </c>
      <c r="D5086" s="1">
        <v>44336.814155092594</v>
      </c>
      <c r="E5086" t="s">
        <v>15839</v>
      </c>
      <c r="F5086" t="s">
        <v>273</v>
      </c>
      <c r="G5086" t="s">
        <v>15749</v>
      </c>
      <c r="H5086" t="s">
        <v>275</v>
      </c>
      <c r="I5086" t="s">
        <v>29</v>
      </c>
      <c r="J5086">
        <v>1</v>
      </c>
      <c r="K5086">
        <f>1-888-784-9244</f>
        <v>-10915</v>
      </c>
      <c r="L5086" t="s">
        <v>15840</v>
      </c>
      <c r="M5086" t="s">
        <v>15841</v>
      </c>
      <c r="N5086" t="s">
        <v>278</v>
      </c>
      <c r="O5086" t="s">
        <v>28</v>
      </c>
      <c r="P5086" t="s">
        <v>782</v>
      </c>
      <c r="Q5086">
        <v>-38</v>
      </c>
      <c r="R5086">
        <v>99.999999000000003</v>
      </c>
    </row>
    <row r="5087" spans="1:18" x14ac:dyDescent="0.2">
      <c r="A5087" t="s">
        <v>270</v>
      </c>
      <c r="B5087" t="s">
        <v>8966</v>
      </c>
      <c r="C5087">
        <v>1</v>
      </c>
      <c r="D5087" s="1">
        <v>44336.790555555555</v>
      </c>
      <c r="E5087" t="s">
        <v>15842</v>
      </c>
      <c r="F5087" t="s">
        <v>273</v>
      </c>
      <c r="G5087" t="s">
        <v>15749</v>
      </c>
      <c r="H5087" t="s">
        <v>275</v>
      </c>
      <c r="I5087" t="s">
        <v>29</v>
      </c>
      <c r="J5087">
        <v>1</v>
      </c>
      <c r="K5087">
        <f>1-888-785-5768</f>
        <v>-7440</v>
      </c>
      <c r="L5087" t="s">
        <v>15843</v>
      </c>
      <c r="M5087" t="s">
        <v>15844</v>
      </c>
      <c r="N5087" t="s">
        <v>278</v>
      </c>
      <c r="O5087" t="s">
        <v>28</v>
      </c>
      <c r="P5087" t="s">
        <v>782</v>
      </c>
      <c r="Q5087">
        <v>-38</v>
      </c>
      <c r="R5087">
        <v>99.999999000000003</v>
      </c>
    </row>
    <row r="5088" spans="1:18" x14ac:dyDescent="0.2">
      <c r="A5088" t="s">
        <v>270</v>
      </c>
      <c r="B5088" t="s">
        <v>8966</v>
      </c>
      <c r="C5088">
        <v>1</v>
      </c>
      <c r="D5088" s="1">
        <v>44336.937523148146</v>
      </c>
      <c r="E5088" t="s">
        <v>15845</v>
      </c>
      <c r="F5088" t="s">
        <v>273</v>
      </c>
      <c r="G5088" t="s">
        <v>15749</v>
      </c>
      <c r="H5088" t="s">
        <v>275</v>
      </c>
      <c r="I5088" t="s">
        <v>29</v>
      </c>
      <c r="J5088">
        <v>1</v>
      </c>
      <c r="K5088">
        <f>1-888-781-2204</f>
        <v>-3872</v>
      </c>
      <c r="L5088" t="s">
        <v>15846</v>
      </c>
      <c r="M5088" t="s">
        <v>15847</v>
      </c>
      <c r="N5088" t="s">
        <v>278</v>
      </c>
      <c r="O5088" t="s">
        <v>28</v>
      </c>
      <c r="P5088" t="s">
        <v>782</v>
      </c>
      <c r="Q5088">
        <v>-38</v>
      </c>
      <c r="R5088">
        <v>99.999999000000003</v>
      </c>
    </row>
    <row r="5089" spans="1:18" x14ac:dyDescent="0.2">
      <c r="A5089" t="s">
        <v>270</v>
      </c>
      <c r="B5089" t="s">
        <v>8966</v>
      </c>
      <c r="C5089">
        <v>1</v>
      </c>
      <c r="D5089" s="1">
        <v>44335.89329861111</v>
      </c>
      <c r="E5089" t="s">
        <v>15848</v>
      </c>
      <c r="F5089" t="s">
        <v>273</v>
      </c>
      <c r="G5089" t="s">
        <v>15749</v>
      </c>
      <c r="H5089" t="s">
        <v>275</v>
      </c>
      <c r="I5089" t="s">
        <v>29</v>
      </c>
      <c r="J5089">
        <v>1</v>
      </c>
      <c r="K5089">
        <f>1-888-780-748</f>
        <v>-2415</v>
      </c>
      <c r="L5089" t="s">
        <v>15849</v>
      </c>
      <c r="M5089" t="s">
        <v>15850</v>
      </c>
      <c r="N5089" t="s">
        <v>278</v>
      </c>
      <c r="O5089" t="s">
        <v>28</v>
      </c>
      <c r="P5089" t="s">
        <v>782</v>
      </c>
      <c r="Q5089">
        <v>-38</v>
      </c>
      <c r="R5089">
        <v>99.999999000000003</v>
      </c>
    </row>
    <row r="5090" spans="1:18" x14ac:dyDescent="0.2">
      <c r="A5090" t="s">
        <v>270</v>
      </c>
      <c r="B5090" t="s">
        <v>8966</v>
      </c>
      <c r="C5090">
        <v>1</v>
      </c>
      <c r="D5090" s="1">
        <v>44335.867974537039</v>
      </c>
      <c r="E5090" t="s">
        <v>15851</v>
      </c>
      <c r="F5090" t="s">
        <v>273</v>
      </c>
      <c r="G5090" t="s">
        <v>15749</v>
      </c>
      <c r="H5090" t="s">
        <v>275</v>
      </c>
      <c r="I5090" t="s">
        <v>29</v>
      </c>
      <c r="J5090">
        <v>1</v>
      </c>
      <c r="K5090">
        <f>1-866-295-1034</f>
        <v>-2194</v>
      </c>
      <c r="L5090" t="s">
        <v>15852</v>
      </c>
      <c r="M5090" t="s">
        <v>15853</v>
      </c>
      <c r="N5090" t="s">
        <v>278</v>
      </c>
      <c r="O5090" t="s">
        <v>28</v>
      </c>
      <c r="P5090" t="s">
        <v>782</v>
      </c>
      <c r="Q5090">
        <v>-38</v>
      </c>
      <c r="R5090">
        <v>99.999999000000003</v>
      </c>
    </row>
    <row r="5091" spans="1:18" x14ac:dyDescent="0.2">
      <c r="A5091" t="s">
        <v>270</v>
      </c>
      <c r="B5091" t="s">
        <v>8966</v>
      </c>
      <c r="C5091">
        <v>1</v>
      </c>
      <c r="D5091" s="1">
        <v>44335.854502314818</v>
      </c>
      <c r="E5091" t="s">
        <v>15854</v>
      </c>
      <c r="F5091" t="s">
        <v>273</v>
      </c>
      <c r="G5091" t="s">
        <v>15749</v>
      </c>
      <c r="H5091" t="s">
        <v>275</v>
      </c>
      <c r="I5091" t="s">
        <v>29</v>
      </c>
      <c r="J5091">
        <v>1</v>
      </c>
      <c r="K5091">
        <f>1-866-295-1034</f>
        <v>-2194</v>
      </c>
      <c r="L5091" t="s">
        <v>15855</v>
      </c>
      <c r="M5091" t="s">
        <v>15856</v>
      </c>
      <c r="N5091" t="s">
        <v>278</v>
      </c>
      <c r="O5091" t="s">
        <v>28</v>
      </c>
      <c r="P5091" t="s">
        <v>782</v>
      </c>
      <c r="Q5091">
        <v>-38</v>
      </c>
      <c r="R5091">
        <v>99.999999000000003</v>
      </c>
    </row>
    <row r="5092" spans="1:18" x14ac:dyDescent="0.2">
      <c r="A5092" t="s">
        <v>270</v>
      </c>
      <c r="B5092" t="s">
        <v>8966</v>
      </c>
      <c r="C5092">
        <v>1</v>
      </c>
      <c r="D5092" s="1">
        <v>44264.858159722222</v>
      </c>
      <c r="E5092" t="s">
        <v>15857</v>
      </c>
      <c r="F5092" t="s">
        <v>273</v>
      </c>
      <c r="G5092" t="s">
        <v>15749</v>
      </c>
      <c r="H5092" t="s">
        <v>275</v>
      </c>
      <c r="I5092" t="s">
        <v>29</v>
      </c>
      <c r="J5092">
        <v>1</v>
      </c>
      <c r="K5092">
        <f>1-844-335-8752</f>
        <v>-9930</v>
      </c>
      <c r="L5092" t="s">
        <v>15858</v>
      </c>
      <c r="M5092" t="s">
        <v>15859</v>
      </c>
      <c r="N5092" t="s">
        <v>278</v>
      </c>
      <c r="O5092" t="s">
        <v>28</v>
      </c>
      <c r="P5092" t="s">
        <v>782</v>
      </c>
      <c r="Q5092">
        <v>-38</v>
      </c>
      <c r="R5092">
        <v>99.999999000000003</v>
      </c>
    </row>
    <row r="5093" spans="1:18" x14ac:dyDescent="0.2">
      <c r="A5093" t="s">
        <v>270</v>
      </c>
      <c r="B5093" t="s">
        <v>8966</v>
      </c>
      <c r="C5093">
        <v>1</v>
      </c>
      <c r="D5093" s="1">
        <v>44263.861932870372</v>
      </c>
      <c r="E5093" t="s">
        <v>15860</v>
      </c>
      <c r="F5093" t="s">
        <v>273</v>
      </c>
      <c r="G5093" t="s">
        <v>15749</v>
      </c>
      <c r="H5093" t="s">
        <v>275</v>
      </c>
      <c r="I5093" t="s">
        <v>29</v>
      </c>
      <c r="J5093">
        <v>1</v>
      </c>
      <c r="K5093">
        <f>1-844-287-2135</f>
        <v>-3265</v>
      </c>
      <c r="L5093" t="s">
        <v>15861</v>
      </c>
      <c r="M5093" t="s">
        <v>15862</v>
      </c>
      <c r="N5093" t="s">
        <v>278</v>
      </c>
      <c r="O5093" t="s">
        <v>28</v>
      </c>
      <c r="P5093" t="s">
        <v>782</v>
      </c>
      <c r="Q5093">
        <v>-38</v>
      </c>
      <c r="R5093">
        <v>99.999999000000003</v>
      </c>
    </row>
    <row r="5094" spans="1:18" x14ac:dyDescent="0.2">
      <c r="A5094" t="s">
        <v>270</v>
      </c>
      <c r="B5094" t="s">
        <v>8966</v>
      </c>
      <c r="C5094">
        <v>1</v>
      </c>
      <c r="D5094" s="1">
        <v>44238.925428240742</v>
      </c>
      <c r="E5094" t="s">
        <v>15863</v>
      </c>
      <c r="F5094" t="s">
        <v>273</v>
      </c>
      <c r="G5094" t="s">
        <v>15749</v>
      </c>
      <c r="H5094" t="s">
        <v>275</v>
      </c>
      <c r="I5094" t="s">
        <v>29</v>
      </c>
      <c r="J5094">
        <v>1</v>
      </c>
      <c r="K5094">
        <f>1-888-597-4414</f>
        <v>-5898</v>
      </c>
      <c r="L5094" t="s">
        <v>15864</v>
      </c>
      <c r="M5094" t="s">
        <v>15865</v>
      </c>
      <c r="N5094" t="s">
        <v>278</v>
      </c>
      <c r="O5094" t="s">
        <v>28</v>
      </c>
      <c r="P5094" t="s">
        <v>782</v>
      </c>
      <c r="Q5094">
        <v>-38</v>
      </c>
      <c r="R5094">
        <v>99.999999000000003</v>
      </c>
    </row>
    <row r="5095" spans="1:18" x14ac:dyDescent="0.2">
      <c r="A5095" t="s">
        <v>270</v>
      </c>
      <c r="B5095" t="s">
        <v>8966</v>
      </c>
      <c r="C5095">
        <v>1</v>
      </c>
      <c r="D5095" s="1">
        <v>44229.871574074074</v>
      </c>
      <c r="E5095" t="s">
        <v>15866</v>
      </c>
      <c r="F5095" t="s">
        <v>273</v>
      </c>
      <c r="G5095" t="s">
        <v>15749</v>
      </c>
      <c r="H5095" t="s">
        <v>275</v>
      </c>
      <c r="I5095" t="s">
        <v>29</v>
      </c>
      <c r="J5095">
        <v>1</v>
      </c>
      <c r="K5095">
        <f>1-888-345-9736</f>
        <v>-10968</v>
      </c>
      <c r="L5095" t="s">
        <v>15867</v>
      </c>
      <c r="M5095" t="s">
        <v>15868</v>
      </c>
      <c r="N5095" t="s">
        <v>278</v>
      </c>
      <c r="O5095" t="s">
        <v>28</v>
      </c>
      <c r="P5095" t="s">
        <v>782</v>
      </c>
      <c r="Q5095">
        <v>-38</v>
      </c>
      <c r="R5095">
        <v>99.999999000000003</v>
      </c>
    </row>
    <row r="5096" spans="1:18" x14ac:dyDescent="0.2">
      <c r="A5096" t="s">
        <v>270</v>
      </c>
      <c r="B5096" t="s">
        <v>8966</v>
      </c>
      <c r="C5096">
        <v>1</v>
      </c>
      <c r="D5096" s="1">
        <v>44229.778900462959</v>
      </c>
      <c r="E5096" t="s">
        <v>15869</v>
      </c>
      <c r="F5096" t="s">
        <v>273</v>
      </c>
      <c r="G5096" t="s">
        <v>15749</v>
      </c>
      <c r="H5096" t="s">
        <v>275</v>
      </c>
      <c r="I5096" t="s">
        <v>29</v>
      </c>
      <c r="J5096">
        <v>1</v>
      </c>
      <c r="K5096">
        <f>1-888-396-1801</f>
        <v>-3084</v>
      </c>
      <c r="L5096" t="s">
        <v>15870</v>
      </c>
      <c r="M5096" t="s">
        <v>15871</v>
      </c>
      <c r="N5096" t="s">
        <v>278</v>
      </c>
      <c r="O5096" t="s">
        <v>28</v>
      </c>
      <c r="P5096" t="s">
        <v>782</v>
      </c>
      <c r="Q5096">
        <v>-38</v>
      </c>
      <c r="R5096">
        <v>99.999999000000003</v>
      </c>
    </row>
    <row r="5097" spans="1:18" x14ac:dyDescent="0.2">
      <c r="A5097" t="s">
        <v>270</v>
      </c>
      <c r="B5097" t="s">
        <v>8966</v>
      </c>
      <c r="C5097">
        <v>1</v>
      </c>
      <c r="D5097" s="1">
        <v>44228.816180555557</v>
      </c>
      <c r="E5097" t="s">
        <v>15872</v>
      </c>
      <c r="F5097" t="s">
        <v>273</v>
      </c>
      <c r="G5097" t="s">
        <v>15749</v>
      </c>
      <c r="H5097" t="s">
        <v>275</v>
      </c>
      <c r="I5097" t="s">
        <v>29</v>
      </c>
      <c r="J5097">
        <v>1</v>
      </c>
      <c r="K5097">
        <f>1-888-346-334</f>
        <v>-1567</v>
      </c>
      <c r="L5097" s="2" t="s">
        <v>15873</v>
      </c>
      <c r="M5097" t="s">
        <v>15874</v>
      </c>
      <c r="N5097" t="s">
        <v>278</v>
      </c>
      <c r="O5097" t="s">
        <v>28</v>
      </c>
      <c r="P5097" t="s">
        <v>782</v>
      </c>
      <c r="Q5097">
        <v>-38</v>
      </c>
      <c r="R5097">
        <v>99.999999000000003</v>
      </c>
    </row>
    <row r="5098" spans="1:18" x14ac:dyDescent="0.2">
      <c r="A5098" t="s">
        <v>270</v>
      </c>
      <c r="B5098" t="s">
        <v>8966</v>
      </c>
      <c r="C5098">
        <v>1</v>
      </c>
      <c r="D5098" s="1">
        <v>44225.805798611109</v>
      </c>
      <c r="E5098" t="s">
        <v>15875</v>
      </c>
      <c r="F5098" t="s">
        <v>273</v>
      </c>
      <c r="G5098" t="s">
        <v>15749</v>
      </c>
      <c r="H5098" t="s">
        <v>275</v>
      </c>
      <c r="I5098" t="s">
        <v>29</v>
      </c>
      <c r="J5098">
        <v>1</v>
      </c>
      <c r="K5098">
        <f>1-888-393-9323</f>
        <v>-10603</v>
      </c>
      <c r="L5098" t="s">
        <v>15876</v>
      </c>
      <c r="M5098" t="s">
        <v>15877</v>
      </c>
      <c r="N5098" t="s">
        <v>278</v>
      </c>
      <c r="O5098" t="s">
        <v>28</v>
      </c>
      <c r="P5098" t="s">
        <v>782</v>
      </c>
      <c r="Q5098">
        <v>-38</v>
      </c>
      <c r="R5098">
        <v>99.999999000000003</v>
      </c>
    </row>
    <row r="5099" spans="1:18" x14ac:dyDescent="0.2">
      <c r="A5099" t="s">
        <v>270</v>
      </c>
      <c r="B5099" t="s">
        <v>8966</v>
      </c>
      <c r="C5099">
        <v>1</v>
      </c>
      <c r="D5099" s="1">
        <v>44224.879745370374</v>
      </c>
      <c r="E5099" t="s">
        <v>15878</v>
      </c>
      <c r="F5099" t="s">
        <v>273</v>
      </c>
      <c r="G5099" t="s">
        <v>15749</v>
      </c>
      <c r="H5099" t="s">
        <v>275</v>
      </c>
      <c r="I5099" t="s">
        <v>29</v>
      </c>
      <c r="J5099">
        <v>1</v>
      </c>
      <c r="K5099">
        <f>1-888-340-4748</f>
        <v>-5975</v>
      </c>
      <c r="L5099" t="s">
        <v>15879</v>
      </c>
      <c r="M5099" t="s">
        <v>15880</v>
      </c>
      <c r="N5099" t="s">
        <v>278</v>
      </c>
      <c r="O5099" t="s">
        <v>28</v>
      </c>
      <c r="P5099" t="s">
        <v>782</v>
      </c>
      <c r="Q5099">
        <v>-38</v>
      </c>
      <c r="R5099">
        <v>99.999999000000003</v>
      </c>
    </row>
    <row r="5100" spans="1:18" x14ac:dyDescent="0.2">
      <c r="A5100" t="s">
        <v>270</v>
      </c>
      <c r="B5100" t="s">
        <v>8966</v>
      </c>
      <c r="C5100">
        <v>1</v>
      </c>
      <c r="D5100" s="1">
        <v>44179.795208333337</v>
      </c>
      <c r="E5100" t="s">
        <v>15881</v>
      </c>
      <c r="F5100" t="s">
        <v>273</v>
      </c>
      <c r="G5100" t="s">
        <v>15749</v>
      </c>
      <c r="H5100" t="s">
        <v>275</v>
      </c>
      <c r="I5100" t="s">
        <v>29</v>
      </c>
      <c r="J5100">
        <v>1</v>
      </c>
      <c r="K5100">
        <f>1-888-207-319</f>
        <v>-1413</v>
      </c>
      <c r="L5100" t="s">
        <v>15882</v>
      </c>
      <c r="M5100" t="s">
        <v>15883</v>
      </c>
      <c r="N5100" t="s">
        <v>278</v>
      </c>
      <c r="O5100" t="s">
        <v>28</v>
      </c>
      <c r="P5100" t="s">
        <v>782</v>
      </c>
      <c r="Q5100">
        <v>-38</v>
      </c>
      <c r="R5100">
        <v>99.999999000000003</v>
      </c>
    </row>
    <row r="5101" spans="1:18" x14ac:dyDescent="0.2">
      <c r="A5101" t="s">
        <v>270</v>
      </c>
      <c r="B5101" t="s">
        <v>8966</v>
      </c>
      <c r="C5101">
        <v>1</v>
      </c>
      <c r="D5101" s="1">
        <v>44149.154629629629</v>
      </c>
      <c r="E5101" t="s">
        <v>15884</v>
      </c>
      <c r="F5101" t="s">
        <v>273</v>
      </c>
      <c r="G5101" t="s">
        <v>15749</v>
      </c>
      <c r="H5101" t="s">
        <v>275</v>
      </c>
      <c r="I5101" t="s">
        <v>29</v>
      </c>
      <c r="J5101">
        <v>1</v>
      </c>
      <c r="K5101">
        <f>1-844-279-115</f>
        <v>-1237</v>
      </c>
      <c r="L5101" t="s">
        <v>15885</v>
      </c>
      <c r="M5101" t="s">
        <v>15886</v>
      </c>
      <c r="N5101" t="s">
        <v>278</v>
      </c>
      <c r="O5101" t="s">
        <v>134</v>
      </c>
      <c r="P5101" t="s">
        <v>782</v>
      </c>
      <c r="Q5101">
        <v>-38</v>
      </c>
      <c r="R5101">
        <v>99.999999000000003</v>
      </c>
    </row>
    <row r="5102" spans="1:18" x14ac:dyDescent="0.2">
      <c r="A5102" t="s">
        <v>270</v>
      </c>
      <c r="B5102" t="s">
        <v>8966</v>
      </c>
      <c r="C5102">
        <v>1</v>
      </c>
      <c r="D5102" s="1">
        <v>44149.136319444442</v>
      </c>
      <c r="E5102" t="s">
        <v>15887</v>
      </c>
      <c r="F5102" t="s">
        <v>273</v>
      </c>
      <c r="G5102" t="s">
        <v>15749</v>
      </c>
      <c r="H5102" t="s">
        <v>275</v>
      </c>
      <c r="I5102" t="s">
        <v>29</v>
      </c>
      <c r="J5102">
        <v>1</v>
      </c>
      <c r="K5102">
        <f>1-844-288-9125</f>
        <v>-10256</v>
      </c>
      <c r="L5102" t="s">
        <v>15888</v>
      </c>
      <c r="M5102" t="s">
        <v>15889</v>
      </c>
      <c r="N5102" t="s">
        <v>278</v>
      </c>
      <c r="O5102" t="s">
        <v>134</v>
      </c>
      <c r="P5102" t="s">
        <v>782</v>
      </c>
      <c r="Q5102">
        <v>-38</v>
      </c>
      <c r="R5102">
        <v>99.999999000000003</v>
      </c>
    </row>
    <row r="5103" spans="1:18" x14ac:dyDescent="0.2">
      <c r="A5103" t="s">
        <v>270</v>
      </c>
      <c r="B5103" t="s">
        <v>8966</v>
      </c>
      <c r="C5103">
        <v>1</v>
      </c>
      <c r="D5103" s="1">
        <v>44149.134155092594</v>
      </c>
      <c r="E5103" t="s">
        <v>15890</v>
      </c>
      <c r="F5103" t="s">
        <v>273</v>
      </c>
      <c r="G5103" t="s">
        <v>15749</v>
      </c>
      <c r="H5103" t="s">
        <v>275</v>
      </c>
      <c r="I5103" t="s">
        <v>29</v>
      </c>
      <c r="J5103">
        <v>1</v>
      </c>
      <c r="K5103">
        <f>1-844-294-4812</f>
        <v>-5949</v>
      </c>
      <c r="L5103" t="s">
        <v>15891</v>
      </c>
      <c r="M5103" t="s">
        <v>15892</v>
      </c>
      <c r="N5103" t="s">
        <v>278</v>
      </c>
      <c r="O5103" t="s">
        <v>134</v>
      </c>
      <c r="P5103" t="s">
        <v>782</v>
      </c>
      <c r="Q5103">
        <v>-38</v>
      </c>
      <c r="R5103">
        <v>99.999999000000003</v>
      </c>
    </row>
    <row r="5104" spans="1:18" x14ac:dyDescent="0.2">
      <c r="A5104" t="s">
        <v>270</v>
      </c>
      <c r="B5104" t="s">
        <v>8966</v>
      </c>
      <c r="C5104">
        <v>1</v>
      </c>
      <c r="D5104" s="1">
        <v>44149.123842592591</v>
      </c>
      <c r="E5104" t="s">
        <v>15893</v>
      </c>
      <c r="F5104" t="s">
        <v>273</v>
      </c>
      <c r="G5104" t="s">
        <v>15749</v>
      </c>
      <c r="H5104" t="s">
        <v>275</v>
      </c>
      <c r="I5104" t="s">
        <v>29</v>
      </c>
      <c r="J5104">
        <v>1</v>
      </c>
      <c r="K5104">
        <f>1-844-295-5840</f>
        <v>-6978</v>
      </c>
      <c r="L5104" t="s">
        <v>15894</v>
      </c>
      <c r="M5104" t="s">
        <v>15895</v>
      </c>
      <c r="N5104" t="s">
        <v>278</v>
      </c>
      <c r="O5104" t="s">
        <v>134</v>
      </c>
      <c r="P5104" t="s">
        <v>782</v>
      </c>
      <c r="Q5104">
        <v>-38</v>
      </c>
      <c r="R5104">
        <v>99.999999000000003</v>
      </c>
    </row>
    <row r="5105" spans="1:18" x14ac:dyDescent="0.2">
      <c r="A5105" t="s">
        <v>270</v>
      </c>
      <c r="B5105" t="s">
        <v>8966</v>
      </c>
      <c r="C5105">
        <v>1</v>
      </c>
      <c r="D5105" s="1">
        <v>44149.12295138889</v>
      </c>
      <c r="E5105" t="s">
        <v>15896</v>
      </c>
      <c r="F5105" t="s">
        <v>273</v>
      </c>
      <c r="G5105" t="s">
        <v>15749</v>
      </c>
      <c r="H5105" t="s">
        <v>275</v>
      </c>
      <c r="I5105" t="s">
        <v>29</v>
      </c>
      <c r="J5105">
        <v>1</v>
      </c>
      <c r="K5105">
        <f>1-844-290-7339</f>
        <v>-8472</v>
      </c>
      <c r="L5105" t="s">
        <v>15897</v>
      </c>
      <c r="M5105" t="s">
        <v>15898</v>
      </c>
      <c r="N5105" t="s">
        <v>278</v>
      </c>
      <c r="O5105" t="s">
        <v>134</v>
      </c>
      <c r="P5105" t="s">
        <v>782</v>
      </c>
      <c r="Q5105">
        <v>-38</v>
      </c>
      <c r="R5105">
        <v>99.999999000000003</v>
      </c>
    </row>
    <row r="5106" spans="1:18" x14ac:dyDescent="0.2">
      <c r="A5106" t="s">
        <v>270</v>
      </c>
      <c r="B5106" t="s">
        <v>8966</v>
      </c>
      <c r="C5106">
        <v>1</v>
      </c>
      <c r="D5106" s="1">
        <v>44144.768368055556</v>
      </c>
      <c r="E5106" t="s">
        <v>15899</v>
      </c>
      <c r="F5106" t="s">
        <v>273</v>
      </c>
      <c r="G5106" t="s">
        <v>15749</v>
      </c>
      <c r="H5106" t="s">
        <v>275</v>
      </c>
      <c r="I5106" t="s">
        <v>29</v>
      </c>
      <c r="J5106">
        <v>1</v>
      </c>
      <c r="K5106">
        <f>1-844-279-115</f>
        <v>-1237</v>
      </c>
      <c r="L5106" t="s">
        <v>15900</v>
      </c>
      <c r="M5106" t="s">
        <v>15901</v>
      </c>
      <c r="N5106" t="s">
        <v>278</v>
      </c>
      <c r="O5106" t="s">
        <v>28</v>
      </c>
      <c r="P5106" t="s">
        <v>782</v>
      </c>
      <c r="Q5106">
        <v>-38</v>
      </c>
      <c r="R5106">
        <v>99.999999000000003</v>
      </c>
    </row>
    <row r="5107" spans="1:18" x14ac:dyDescent="0.2">
      <c r="A5107" t="s">
        <v>270</v>
      </c>
      <c r="B5107" t="s">
        <v>8966</v>
      </c>
      <c r="C5107">
        <v>1</v>
      </c>
      <c r="D5107" s="1">
        <v>44140.794386574074</v>
      </c>
      <c r="E5107" t="s">
        <v>15902</v>
      </c>
      <c r="F5107" t="s">
        <v>273</v>
      </c>
      <c r="G5107" t="s">
        <v>15749</v>
      </c>
      <c r="H5107" t="s">
        <v>275</v>
      </c>
      <c r="I5107" t="s">
        <v>29</v>
      </c>
      <c r="J5107">
        <v>1</v>
      </c>
      <c r="K5107">
        <f>1-888-392-7351</f>
        <v>-8630</v>
      </c>
      <c r="L5107" t="s">
        <v>15903</v>
      </c>
      <c r="M5107" t="s">
        <v>15904</v>
      </c>
      <c r="N5107" t="s">
        <v>278</v>
      </c>
      <c r="O5107" t="s">
        <v>28</v>
      </c>
      <c r="P5107" t="s">
        <v>782</v>
      </c>
      <c r="Q5107">
        <v>-38</v>
      </c>
      <c r="R5107">
        <v>99.999999000000003</v>
      </c>
    </row>
    <row r="5108" spans="1:18" x14ac:dyDescent="0.2">
      <c r="A5108" t="s">
        <v>270</v>
      </c>
      <c r="B5108" t="s">
        <v>8966</v>
      </c>
      <c r="C5108">
        <v>1</v>
      </c>
      <c r="D5108" s="1">
        <v>44140.778935185182</v>
      </c>
      <c r="E5108" t="s">
        <v>15905</v>
      </c>
      <c r="F5108" t="s">
        <v>273</v>
      </c>
      <c r="G5108" t="s">
        <v>15749</v>
      </c>
      <c r="H5108" t="s">
        <v>275</v>
      </c>
      <c r="I5108" t="s">
        <v>29</v>
      </c>
      <c r="J5108">
        <v>1</v>
      </c>
      <c r="K5108">
        <f>1-888-397-7606</f>
        <v>-8890</v>
      </c>
      <c r="L5108" t="s">
        <v>15906</v>
      </c>
      <c r="M5108" t="s">
        <v>15907</v>
      </c>
      <c r="N5108" t="s">
        <v>278</v>
      </c>
      <c r="O5108" t="s">
        <v>28</v>
      </c>
      <c r="P5108" t="s">
        <v>782</v>
      </c>
      <c r="Q5108">
        <v>-38</v>
      </c>
      <c r="R5108">
        <v>99.999999000000003</v>
      </c>
    </row>
    <row r="5109" spans="1:18" x14ac:dyDescent="0.2">
      <c r="A5109" t="s">
        <v>270</v>
      </c>
      <c r="B5109" t="s">
        <v>8966</v>
      </c>
      <c r="C5109">
        <v>1</v>
      </c>
      <c r="D5109" s="1">
        <v>44130.785428240742</v>
      </c>
      <c r="E5109" t="s">
        <v>15908</v>
      </c>
      <c r="F5109" t="s">
        <v>273</v>
      </c>
      <c r="G5109" t="s">
        <v>15749</v>
      </c>
      <c r="H5109" t="s">
        <v>275</v>
      </c>
      <c r="I5109" t="s">
        <v>29</v>
      </c>
      <c r="J5109">
        <v>1</v>
      </c>
      <c r="K5109">
        <f>1-888-283-5833</f>
        <v>-7003</v>
      </c>
      <c r="L5109" t="s">
        <v>15909</v>
      </c>
      <c r="M5109" t="s">
        <v>15910</v>
      </c>
      <c r="N5109" t="s">
        <v>278</v>
      </c>
      <c r="O5109" t="s">
        <v>28</v>
      </c>
      <c r="P5109" t="s">
        <v>782</v>
      </c>
      <c r="Q5109">
        <v>-38</v>
      </c>
      <c r="R5109">
        <v>99.999999000000003</v>
      </c>
    </row>
    <row r="5110" spans="1:18" x14ac:dyDescent="0.2">
      <c r="A5110" t="s">
        <v>270</v>
      </c>
      <c r="B5110" t="s">
        <v>8966</v>
      </c>
      <c r="C5110">
        <v>1</v>
      </c>
      <c r="D5110" s="1">
        <v>44103.761863425927</v>
      </c>
      <c r="E5110" t="s">
        <v>15911</v>
      </c>
      <c r="F5110" t="s">
        <v>273</v>
      </c>
      <c r="G5110" t="s">
        <v>15749</v>
      </c>
      <c r="H5110" t="s">
        <v>275</v>
      </c>
      <c r="I5110" t="s">
        <v>29</v>
      </c>
      <c r="J5110">
        <v>1</v>
      </c>
      <c r="K5110">
        <f>1-888-210-6654</f>
        <v>-7751</v>
      </c>
      <c r="L5110" t="s">
        <v>15912</v>
      </c>
      <c r="M5110" t="s">
        <v>15913</v>
      </c>
      <c r="N5110" t="s">
        <v>278</v>
      </c>
      <c r="O5110" t="s">
        <v>134</v>
      </c>
      <c r="P5110" t="s">
        <v>782</v>
      </c>
      <c r="Q5110">
        <v>-38</v>
      </c>
      <c r="R5110">
        <v>99.999999000000003</v>
      </c>
    </row>
    <row r="5111" spans="1:18" x14ac:dyDescent="0.2">
      <c r="A5111" t="s">
        <v>270</v>
      </c>
      <c r="B5111" t="s">
        <v>8966</v>
      </c>
      <c r="C5111">
        <v>1</v>
      </c>
      <c r="D5111" s="1">
        <v>44099.909224537034</v>
      </c>
      <c r="E5111" t="s">
        <v>15914</v>
      </c>
      <c r="F5111" t="s">
        <v>273</v>
      </c>
      <c r="G5111" t="s">
        <v>15749</v>
      </c>
      <c r="H5111" t="s">
        <v>275</v>
      </c>
      <c r="I5111" t="s">
        <v>29</v>
      </c>
      <c r="J5111">
        <v>1</v>
      </c>
      <c r="K5111">
        <f>1-888-252-1197</f>
        <v>-2336</v>
      </c>
      <c r="L5111" t="s">
        <v>15915</v>
      </c>
      <c r="M5111" t="s">
        <v>15916</v>
      </c>
      <c r="N5111" t="s">
        <v>278</v>
      </c>
      <c r="O5111" t="s">
        <v>28</v>
      </c>
      <c r="P5111" t="s">
        <v>782</v>
      </c>
      <c r="Q5111">
        <v>-38</v>
      </c>
      <c r="R5111">
        <v>99.999999000000003</v>
      </c>
    </row>
    <row r="5112" spans="1:18" x14ac:dyDescent="0.2">
      <c r="A5112" t="s">
        <v>270</v>
      </c>
      <c r="B5112" t="s">
        <v>8966</v>
      </c>
      <c r="C5112">
        <v>1</v>
      </c>
      <c r="D5112" s="1">
        <v>44099.358425925922</v>
      </c>
      <c r="E5112" t="s">
        <v>9205</v>
      </c>
      <c r="F5112" t="s">
        <v>273</v>
      </c>
      <c r="G5112" t="s">
        <v>15749</v>
      </c>
      <c r="H5112" t="s">
        <v>275</v>
      </c>
      <c r="I5112" t="s">
        <v>29</v>
      </c>
      <c r="J5112">
        <v>1</v>
      </c>
      <c r="K5112">
        <f>1-888-254-1267</f>
        <v>-2408</v>
      </c>
      <c r="L5112" t="s">
        <v>15917</v>
      </c>
      <c r="M5112" t="s">
        <v>15918</v>
      </c>
      <c r="N5112" t="s">
        <v>278</v>
      </c>
      <c r="O5112" t="s">
        <v>28</v>
      </c>
      <c r="P5112" t="s">
        <v>782</v>
      </c>
      <c r="Q5112">
        <v>-38</v>
      </c>
      <c r="R5112">
        <v>99.999999000000003</v>
      </c>
    </row>
    <row r="5113" spans="1:18" x14ac:dyDescent="0.2">
      <c r="A5113" t="s">
        <v>270</v>
      </c>
      <c r="B5113" t="s">
        <v>8966</v>
      </c>
      <c r="C5113">
        <v>1</v>
      </c>
      <c r="D5113" s="1">
        <v>44098.775601851848</v>
      </c>
      <c r="E5113" t="s">
        <v>15655</v>
      </c>
      <c r="F5113" t="s">
        <v>273</v>
      </c>
      <c r="G5113" t="s">
        <v>15749</v>
      </c>
      <c r="H5113" t="s">
        <v>275</v>
      </c>
      <c r="I5113" t="s">
        <v>29</v>
      </c>
      <c r="J5113">
        <v>1</v>
      </c>
      <c r="K5113">
        <f>1-888-264-344</f>
        <v>-1495</v>
      </c>
      <c r="L5113" t="s">
        <v>15919</v>
      </c>
      <c r="M5113" t="s">
        <v>15920</v>
      </c>
      <c r="N5113" t="s">
        <v>278</v>
      </c>
      <c r="O5113" t="s">
        <v>28</v>
      </c>
      <c r="P5113" t="s">
        <v>782</v>
      </c>
      <c r="Q5113">
        <v>-38</v>
      </c>
      <c r="R5113">
        <v>99.999999000000003</v>
      </c>
    </row>
    <row r="5114" spans="1:18" x14ac:dyDescent="0.2">
      <c r="A5114" t="s">
        <v>270</v>
      </c>
      <c r="B5114" t="s">
        <v>8966</v>
      </c>
      <c r="C5114">
        <v>1</v>
      </c>
      <c r="D5114" s="1">
        <v>44096.837465277778</v>
      </c>
      <c r="E5114" t="s">
        <v>15921</v>
      </c>
      <c r="F5114" t="s">
        <v>273</v>
      </c>
      <c r="G5114" t="s">
        <v>15749</v>
      </c>
      <c r="H5114" t="s">
        <v>275</v>
      </c>
      <c r="I5114" t="s">
        <v>29</v>
      </c>
      <c r="J5114">
        <v>1</v>
      </c>
      <c r="K5114">
        <f>1-888-210-6063</f>
        <v>-7160</v>
      </c>
      <c r="L5114" t="s">
        <v>15922</v>
      </c>
      <c r="M5114" t="s">
        <v>15923</v>
      </c>
      <c r="N5114" t="s">
        <v>278</v>
      </c>
      <c r="O5114" t="s">
        <v>28</v>
      </c>
      <c r="P5114" t="s">
        <v>782</v>
      </c>
      <c r="Q5114">
        <v>-38</v>
      </c>
      <c r="R5114">
        <v>99.999999000000003</v>
      </c>
    </row>
    <row r="5115" spans="1:18" x14ac:dyDescent="0.2">
      <c r="A5115" t="s">
        <v>270</v>
      </c>
      <c r="B5115" t="s">
        <v>8966</v>
      </c>
      <c r="C5115">
        <v>1</v>
      </c>
      <c r="D5115" s="1">
        <v>44096.814930555556</v>
      </c>
      <c r="E5115" t="s">
        <v>15924</v>
      </c>
      <c r="F5115" t="s">
        <v>273</v>
      </c>
      <c r="G5115" t="s">
        <v>15749</v>
      </c>
      <c r="H5115" t="s">
        <v>275</v>
      </c>
      <c r="I5115" t="s">
        <v>29</v>
      </c>
      <c r="J5115">
        <v>1</v>
      </c>
      <c r="K5115">
        <f>1-888-257-2376</f>
        <v>-3520</v>
      </c>
      <c r="L5115" t="s">
        <v>15925</v>
      </c>
      <c r="M5115" t="s">
        <v>15926</v>
      </c>
      <c r="N5115" t="s">
        <v>278</v>
      </c>
      <c r="O5115" t="s">
        <v>28</v>
      </c>
      <c r="P5115" t="s">
        <v>782</v>
      </c>
      <c r="Q5115">
        <v>-38</v>
      </c>
      <c r="R5115">
        <v>99.999999000000003</v>
      </c>
    </row>
    <row r="5116" spans="1:18" x14ac:dyDescent="0.2">
      <c r="A5116" t="s">
        <v>270</v>
      </c>
      <c r="B5116" t="s">
        <v>8966</v>
      </c>
      <c r="C5116">
        <v>1</v>
      </c>
      <c r="D5116" s="1">
        <v>44096.368495370371</v>
      </c>
      <c r="E5116" t="s">
        <v>15927</v>
      </c>
      <c r="F5116" t="s">
        <v>273</v>
      </c>
      <c r="G5116" t="s">
        <v>15749</v>
      </c>
      <c r="H5116" t="s">
        <v>275</v>
      </c>
      <c r="I5116" t="s">
        <v>29</v>
      </c>
      <c r="J5116">
        <v>1</v>
      </c>
      <c r="K5116">
        <f>1-844-305-9953</f>
        <v>-11101</v>
      </c>
      <c r="L5116" t="s">
        <v>15928</v>
      </c>
      <c r="M5116" t="s">
        <v>15929</v>
      </c>
      <c r="N5116" t="s">
        <v>278</v>
      </c>
      <c r="O5116" t="s">
        <v>28</v>
      </c>
      <c r="P5116" t="s">
        <v>782</v>
      </c>
      <c r="Q5116">
        <v>-38</v>
      </c>
      <c r="R5116">
        <v>99.999999000000003</v>
      </c>
    </row>
    <row r="5117" spans="1:18" x14ac:dyDescent="0.2">
      <c r="A5117" t="s">
        <v>270</v>
      </c>
      <c r="B5117" t="s">
        <v>8966</v>
      </c>
      <c r="C5117">
        <v>1</v>
      </c>
      <c r="D5117" s="1">
        <v>44096.367627314816</v>
      </c>
      <c r="E5117" t="s">
        <v>15930</v>
      </c>
      <c r="F5117" t="s">
        <v>273</v>
      </c>
      <c r="G5117" t="s">
        <v>15749</v>
      </c>
      <c r="H5117" t="s">
        <v>275</v>
      </c>
      <c r="I5117" t="s">
        <v>29</v>
      </c>
      <c r="J5117">
        <v>1</v>
      </c>
      <c r="K5117">
        <f>1-844-305-9953</f>
        <v>-11101</v>
      </c>
      <c r="L5117" t="s">
        <v>15931</v>
      </c>
      <c r="M5117" t="s">
        <v>15932</v>
      </c>
      <c r="N5117" t="s">
        <v>278</v>
      </c>
      <c r="O5117" t="s">
        <v>28</v>
      </c>
      <c r="P5117" t="s">
        <v>782</v>
      </c>
      <c r="Q5117">
        <v>-38</v>
      </c>
      <c r="R5117">
        <v>99.999999000000003</v>
      </c>
    </row>
    <row r="5118" spans="1:18" x14ac:dyDescent="0.2">
      <c r="A5118" t="s">
        <v>270</v>
      </c>
      <c r="B5118" t="s">
        <v>8966</v>
      </c>
      <c r="C5118">
        <v>1</v>
      </c>
      <c r="D5118" s="1">
        <v>44096.366585648146</v>
      </c>
      <c r="E5118" t="s">
        <v>15933</v>
      </c>
      <c r="F5118" t="s">
        <v>273</v>
      </c>
      <c r="G5118" t="s">
        <v>15749</v>
      </c>
      <c r="H5118" t="s">
        <v>275</v>
      </c>
      <c r="I5118" t="s">
        <v>29</v>
      </c>
      <c r="J5118">
        <v>1</v>
      </c>
      <c r="K5118">
        <f>1-844-309-2655</f>
        <v>-3807</v>
      </c>
      <c r="L5118" t="s">
        <v>15934</v>
      </c>
      <c r="M5118" t="s">
        <v>15935</v>
      </c>
      <c r="N5118" t="s">
        <v>278</v>
      </c>
      <c r="O5118" t="s">
        <v>28</v>
      </c>
      <c r="P5118" t="s">
        <v>782</v>
      </c>
      <c r="Q5118">
        <v>-38</v>
      </c>
      <c r="R5118">
        <v>99.999999000000003</v>
      </c>
    </row>
    <row r="5119" spans="1:18" x14ac:dyDescent="0.2">
      <c r="A5119" t="s">
        <v>270</v>
      </c>
      <c r="B5119" t="s">
        <v>8966</v>
      </c>
      <c r="C5119">
        <v>1</v>
      </c>
      <c r="D5119" s="1">
        <v>44096.366249999999</v>
      </c>
      <c r="E5119" t="s">
        <v>15936</v>
      </c>
      <c r="F5119" t="s">
        <v>273</v>
      </c>
      <c r="G5119" t="s">
        <v>15749</v>
      </c>
      <c r="H5119" t="s">
        <v>275</v>
      </c>
      <c r="I5119" t="s">
        <v>29</v>
      </c>
      <c r="J5119">
        <v>1</v>
      </c>
      <c r="K5119">
        <f>1-844-318-5957</f>
        <v>-7118</v>
      </c>
      <c r="L5119" t="s">
        <v>15937</v>
      </c>
      <c r="M5119" t="s">
        <v>15938</v>
      </c>
      <c r="N5119" t="s">
        <v>278</v>
      </c>
      <c r="O5119" t="s">
        <v>28</v>
      </c>
      <c r="P5119" t="s">
        <v>782</v>
      </c>
      <c r="Q5119">
        <v>-38</v>
      </c>
      <c r="R5119">
        <v>99.999999000000003</v>
      </c>
    </row>
    <row r="5120" spans="1:18" x14ac:dyDescent="0.2">
      <c r="A5120" t="s">
        <v>270</v>
      </c>
      <c r="B5120" t="s">
        <v>8966</v>
      </c>
      <c r="C5120">
        <v>1</v>
      </c>
      <c r="D5120" s="1">
        <v>44090.99324074074</v>
      </c>
      <c r="E5120" t="s">
        <v>15939</v>
      </c>
      <c r="F5120" t="s">
        <v>273</v>
      </c>
      <c r="G5120" t="s">
        <v>15749</v>
      </c>
      <c r="H5120" t="s">
        <v>275</v>
      </c>
      <c r="I5120" t="s">
        <v>29</v>
      </c>
      <c r="J5120">
        <v>1</v>
      </c>
      <c r="K5120">
        <f>1-844-242-3148</f>
        <v>-4233</v>
      </c>
      <c r="L5120" t="s">
        <v>15940</v>
      </c>
      <c r="M5120" t="s">
        <v>15941</v>
      </c>
      <c r="N5120" t="s">
        <v>278</v>
      </c>
      <c r="O5120" t="s">
        <v>28</v>
      </c>
      <c r="P5120" t="s">
        <v>782</v>
      </c>
      <c r="Q5120">
        <v>-38</v>
      </c>
      <c r="R5120">
        <v>99.999999000000003</v>
      </c>
    </row>
    <row r="5121" spans="1:18" x14ac:dyDescent="0.2">
      <c r="A5121" t="s">
        <v>270</v>
      </c>
      <c r="B5121" t="s">
        <v>8966</v>
      </c>
      <c r="C5121">
        <v>1</v>
      </c>
      <c r="D5121" s="1">
        <v>44090.991539351853</v>
      </c>
      <c r="E5121" t="s">
        <v>15942</v>
      </c>
      <c r="F5121" t="s">
        <v>273</v>
      </c>
      <c r="G5121" t="s">
        <v>15749</v>
      </c>
      <c r="H5121" t="s">
        <v>275</v>
      </c>
      <c r="I5121" t="s">
        <v>29</v>
      </c>
      <c r="J5121">
        <v>1</v>
      </c>
      <c r="K5121">
        <f>1-844-242-3148</f>
        <v>-4233</v>
      </c>
      <c r="L5121" t="s">
        <v>15943</v>
      </c>
      <c r="M5121" t="s">
        <v>15944</v>
      </c>
      <c r="N5121" t="s">
        <v>278</v>
      </c>
      <c r="O5121" t="s">
        <v>28</v>
      </c>
      <c r="P5121" t="s">
        <v>782</v>
      </c>
      <c r="Q5121">
        <v>-38</v>
      </c>
      <c r="R5121">
        <v>99.999999000000003</v>
      </c>
    </row>
    <row r="5122" spans="1:18" x14ac:dyDescent="0.2">
      <c r="A5122" t="s">
        <v>270</v>
      </c>
      <c r="B5122" t="s">
        <v>8966</v>
      </c>
      <c r="C5122">
        <v>1</v>
      </c>
      <c r="D5122" s="1">
        <v>44090.798819444448</v>
      </c>
      <c r="E5122" t="s">
        <v>15945</v>
      </c>
      <c r="F5122" t="s">
        <v>273</v>
      </c>
      <c r="G5122" t="s">
        <v>15749</v>
      </c>
      <c r="H5122" t="s">
        <v>275</v>
      </c>
      <c r="I5122" t="s">
        <v>29</v>
      </c>
      <c r="J5122">
        <v>1</v>
      </c>
      <c r="K5122">
        <f>1-844-221-2340</f>
        <v>-3404</v>
      </c>
      <c r="L5122" t="s">
        <v>15946</v>
      </c>
      <c r="M5122" t="s">
        <v>15947</v>
      </c>
      <c r="N5122" t="s">
        <v>278</v>
      </c>
      <c r="O5122" t="s">
        <v>28</v>
      </c>
      <c r="P5122" t="s">
        <v>782</v>
      </c>
      <c r="Q5122">
        <v>-38</v>
      </c>
      <c r="R5122">
        <v>99.999999000000003</v>
      </c>
    </row>
    <row r="5123" spans="1:18" x14ac:dyDescent="0.2">
      <c r="A5123" t="s">
        <v>270</v>
      </c>
      <c r="B5123" t="s">
        <v>8966</v>
      </c>
      <c r="C5123">
        <v>1</v>
      </c>
      <c r="D5123" s="1">
        <v>44089.987037037034</v>
      </c>
      <c r="E5123" t="s">
        <v>15948</v>
      </c>
      <c r="F5123" t="s">
        <v>273</v>
      </c>
      <c r="G5123" t="s">
        <v>15749</v>
      </c>
      <c r="H5123" t="s">
        <v>275</v>
      </c>
      <c r="I5123" t="s">
        <v>29</v>
      </c>
      <c r="J5123">
        <v>1</v>
      </c>
      <c r="K5123">
        <f>1-844-293-8713</f>
        <v>-9849</v>
      </c>
      <c r="L5123" t="s">
        <v>15949</v>
      </c>
      <c r="M5123" t="s">
        <v>15950</v>
      </c>
      <c r="N5123" t="s">
        <v>278</v>
      </c>
      <c r="O5123" t="s">
        <v>28</v>
      </c>
      <c r="P5123" t="s">
        <v>782</v>
      </c>
      <c r="Q5123">
        <v>-38</v>
      </c>
      <c r="R5123">
        <v>99.999999000000003</v>
      </c>
    </row>
    <row r="5124" spans="1:18" x14ac:dyDescent="0.2">
      <c r="A5124" t="s">
        <v>270</v>
      </c>
      <c r="B5124" t="s">
        <v>8966</v>
      </c>
      <c r="C5124">
        <v>1</v>
      </c>
      <c r="D5124" s="1">
        <v>44089.756631944445</v>
      </c>
      <c r="E5124" t="s">
        <v>15951</v>
      </c>
      <c r="F5124" t="s">
        <v>273</v>
      </c>
      <c r="G5124" t="s">
        <v>15749</v>
      </c>
      <c r="H5124" t="s">
        <v>275</v>
      </c>
      <c r="I5124" t="s">
        <v>29</v>
      </c>
      <c r="J5124">
        <v>1</v>
      </c>
      <c r="K5124">
        <f>1-844-218-3888</f>
        <v>-4949</v>
      </c>
      <c r="L5124" t="s">
        <v>15952</v>
      </c>
      <c r="M5124" t="s">
        <v>15953</v>
      </c>
      <c r="N5124" t="s">
        <v>278</v>
      </c>
      <c r="O5124" t="s">
        <v>28</v>
      </c>
      <c r="P5124" t="s">
        <v>782</v>
      </c>
      <c r="Q5124">
        <v>-38</v>
      </c>
      <c r="R5124">
        <v>99.999999000000003</v>
      </c>
    </row>
    <row r="5125" spans="1:18" x14ac:dyDescent="0.2">
      <c r="A5125" t="s">
        <v>270</v>
      </c>
      <c r="B5125" t="s">
        <v>8966</v>
      </c>
      <c r="C5125">
        <v>1</v>
      </c>
      <c r="D5125" s="1">
        <v>44089.431539351855</v>
      </c>
      <c r="E5125" t="s">
        <v>15954</v>
      </c>
      <c r="F5125" t="s">
        <v>273</v>
      </c>
      <c r="G5125" t="s">
        <v>15749</v>
      </c>
      <c r="H5125" t="s">
        <v>275</v>
      </c>
      <c r="I5125" t="s">
        <v>29</v>
      </c>
      <c r="J5125">
        <v>1</v>
      </c>
      <c r="K5125">
        <f>1-844-210-4337</f>
        <v>-5390</v>
      </c>
      <c r="L5125" t="s">
        <v>15955</v>
      </c>
      <c r="M5125" t="s">
        <v>15956</v>
      </c>
      <c r="N5125" t="s">
        <v>278</v>
      </c>
      <c r="O5125" t="s">
        <v>28</v>
      </c>
      <c r="P5125" t="s">
        <v>782</v>
      </c>
      <c r="Q5125">
        <v>-38</v>
      </c>
      <c r="R5125">
        <v>99.999999000000003</v>
      </c>
    </row>
    <row r="5126" spans="1:18" x14ac:dyDescent="0.2">
      <c r="A5126" t="s">
        <v>270</v>
      </c>
      <c r="B5126" t="s">
        <v>8966</v>
      </c>
      <c r="C5126">
        <v>1</v>
      </c>
      <c r="D5126" s="1">
        <v>44088.77039351852</v>
      </c>
      <c r="E5126" t="s">
        <v>15957</v>
      </c>
      <c r="F5126" t="s">
        <v>273</v>
      </c>
      <c r="G5126" t="s">
        <v>15749</v>
      </c>
      <c r="H5126" t="s">
        <v>275</v>
      </c>
      <c r="I5126" t="s">
        <v>29</v>
      </c>
      <c r="J5126">
        <v>1</v>
      </c>
      <c r="K5126">
        <f>1-844-212-7353</f>
        <v>-8408</v>
      </c>
      <c r="L5126" t="s">
        <v>15958</v>
      </c>
      <c r="M5126" t="s">
        <v>15959</v>
      </c>
      <c r="N5126" t="s">
        <v>278</v>
      </c>
      <c r="O5126" t="s">
        <v>28</v>
      </c>
      <c r="P5126" t="s">
        <v>782</v>
      </c>
      <c r="Q5126">
        <v>-38</v>
      </c>
      <c r="R5126">
        <v>99.999999000000003</v>
      </c>
    </row>
    <row r="5127" spans="1:18" x14ac:dyDescent="0.2">
      <c r="A5127" t="s">
        <v>270</v>
      </c>
      <c r="B5127" t="s">
        <v>8966</v>
      </c>
      <c r="C5127">
        <v>1</v>
      </c>
      <c r="D5127" s="1">
        <v>44089.43068287037</v>
      </c>
      <c r="E5127" t="s">
        <v>15960</v>
      </c>
      <c r="F5127" t="s">
        <v>273</v>
      </c>
      <c r="G5127" t="s">
        <v>15749</v>
      </c>
      <c r="H5127" t="s">
        <v>275</v>
      </c>
      <c r="I5127" t="s">
        <v>29</v>
      </c>
      <c r="J5127">
        <v>1</v>
      </c>
      <c r="K5127">
        <f>1-844-210-4337</f>
        <v>-5390</v>
      </c>
      <c r="L5127" t="s">
        <v>15961</v>
      </c>
      <c r="M5127" t="s">
        <v>15962</v>
      </c>
      <c r="N5127" t="s">
        <v>278</v>
      </c>
      <c r="O5127" t="s">
        <v>28</v>
      </c>
      <c r="P5127" t="s">
        <v>782</v>
      </c>
      <c r="Q5127">
        <v>-38</v>
      </c>
      <c r="R5127">
        <v>99.999999000000003</v>
      </c>
    </row>
    <row r="5128" spans="1:18" x14ac:dyDescent="0.2">
      <c r="A5128" t="s">
        <v>270</v>
      </c>
      <c r="B5128" t="s">
        <v>8966</v>
      </c>
      <c r="C5128">
        <v>1</v>
      </c>
      <c r="D5128" s="1">
        <v>44088.940960648149</v>
      </c>
      <c r="E5128" t="s">
        <v>15963</v>
      </c>
      <c r="F5128" t="s">
        <v>273</v>
      </c>
      <c r="G5128" t="s">
        <v>15749</v>
      </c>
      <c r="H5128" t="s">
        <v>275</v>
      </c>
      <c r="I5128" t="s">
        <v>29</v>
      </c>
      <c r="J5128">
        <v>1</v>
      </c>
      <c r="K5128">
        <f>1-844-225-7967</f>
        <v>-9035</v>
      </c>
      <c r="L5128" t="s">
        <v>15964</v>
      </c>
      <c r="M5128" t="s">
        <v>15965</v>
      </c>
      <c r="N5128" t="s">
        <v>278</v>
      </c>
      <c r="O5128" t="s">
        <v>28</v>
      </c>
      <c r="P5128" t="s">
        <v>782</v>
      </c>
      <c r="Q5128">
        <v>-38</v>
      </c>
      <c r="R5128">
        <v>99.999999000000003</v>
      </c>
    </row>
    <row r="5129" spans="1:18" x14ac:dyDescent="0.2">
      <c r="A5129" t="s">
        <v>270</v>
      </c>
      <c r="B5129" t="s">
        <v>8966</v>
      </c>
      <c r="C5129">
        <v>1</v>
      </c>
      <c r="D5129" s="1">
        <v>44088.941331018519</v>
      </c>
      <c r="E5129" t="s">
        <v>15966</v>
      </c>
      <c r="F5129" t="s">
        <v>273</v>
      </c>
      <c r="G5129" t="s">
        <v>15749</v>
      </c>
      <c r="H5129" t="s">
        <v>275</v>
      </c>
      <c r="I5129" t="s">
        <v>29</v>
      </c>
      <c r="J5129">
        <v>1</v>
      </c>
      <c r="K5129">
        <f>1-844-225-7967</f>
        <v>-9035</v>
      </c>
      <c r="L5129" t="s">
        <v>15967</v>
      </c>
      <c r="M5129" t="s">
        <v>15968</v>
      </c>
      <c r="N5129" t="s">
        <v>278</v>
      </c>
      <c r="O5129" t="s">
        <v>28</v>
      </c>
      <c r="P5129" t="s">
        <v>782</v>
      </c>
      <c r="Q5129">
        <v>-38</v>
      </c>
      <c r="R5129">
        <v>99.999999000000003</v>
      </c>
    </row>
    <row r="5130" spans="1:18" x14ac:dyDescent="0.2">
      <c r="A5130" t="s">
        <v>270</v>
      </c>
      <c r="B5130" t="s">
        <v>8966</v>
      </c>
      <c r="C5130">
        <v>1</v>
      </c>
      <c r="D5130" s="1">
        <v>44084.78329861111</v>
      </c>
      <c r="E5130" t="s">
        <v>15969</v>
      </c>
      <c r="F5130" t="s">
        <v>273</v>
      </c>
      <c r="G5130" t="s">
        <v>15749</v>
      </c>
      <c r="H5130" t="s">
        <v>275</v>
      </c>
      <c r="I5130" t="s">
        <v>29</v>
      </c>
      <c r="J5130">
        <v>1</v>
      </c>
      <c r="K5130">
        <f>1-888-608-5109</f>
        <v>-6604</v>
      </c>
      <c r="L5130" t="s">
        <v>15970</v>
      </c>
      <c r="M5130" t="s">
        <v>15971</v>
      </c>
      <c r="N5130" t="s">
        <v>278</v>
      </c>
      <c r="O5130" t="s">
        <v>28</v>
      </c>
      <c r="P5130" t="s">
        <v>782</v>
      </c>
      <c r="Q5130">
        <v>-38</v>
      </c>
      <c r="R5130">
        <v>99.999999000000003</v>
      </c>
    </row>
    <row r="5131" spans="1:18" x14ac:dyDescent="0.2">
      <c r="A5131" t="s">
        <v>270</v>
      </c>
      <c r="B5131" t="s">
        <v>8966</v>
      </c>
      <c r="C5131">
        <v>1</v>
      </c>
      <c r="D5131" s="1">
        <v>44084.78025462963</v>
      </c>
      <c r="E5131" t="s">
        <v>15972</v>
      </c>
      <c r="F5131" t="s">
        <v>273</v>
      </c>
      <c r="G5131" t="s">
        <v>15749</v>
      </c>
      <c r="H5131" t="s">
        <v>275</v>
      </c>
      <c r="I5131" t="s">
        <v>29</v>
      </c>
      <c r="J5131">
        <v>1</v>
      </c>
      <c r="K5131">
        <f>1-888-608-5109</f>
        <v>-6604</v>
      </c>
      <c r="L5131" t="s">
        <v>15973</v>
      </c>
      <c r="M5131" t="s">
        <v>15974</v>
      </c>
      <c r="N5131" t="s">
        <v>278</v>
      </c>
      <c r="O5131" t="s">
        <v>28</v>
      </c>
      <c r="P5131" t="s">
        <v>782</v>
      </c>
      <c r="Q5131">
        <v>-38</v>
      </c>
      <c r="R5131">
        <v>99.999999000000003</v>
      </c>
    </row>
    <row r="5132" spans="1:18" x14ac:dyDescent="0.2">
      <c r="A5132" t="s">
        <v>270</v>
      </c>
      <c r="B5132" t="s">
        <v>8966</v>
      </c>
      <c r="C5132">
        <v>1</v>
      </c>
      <c r="D5132" s="1">
        <v>44083.829224537039</v>
      </c>
      <c r="E5132" t="s">
        <v>15975</v>
      </c>
      <c r="F5132" t="s">
        <v>273</v>
      </c>
      <c r="G5132" t="s">
        <v>15749</v>
      </c>
      <c r="H5132" t="s">
        <v>275</v>
      </c>
      <c r="I5132" t="s">
        <v>29</v>
      </c>
      <c r="J5132">
        <v>1</v>
      </c>
      <c r="K5132">
        <f>1-888-592-7014</f>
        <v>-8493</v>
      </c>
      <c r="L5132" t="s">
        <v>15976</v>
      </c>
      <c r="M5132" t="s">
        <v>15977</v>
      </c>
      <c r="N5132" t="s">
        <v>278</v>
      </c>
      <c r="O5132" t="s">
        <v>28</v>
      </c>
      <c r="P5132" t="s">
        <v>782</v>
      </c>
      <c r="Q5132">
        <v>-38</v>
      </c>
      <c r="R5132">
        <v>99.999999000000003</v>
      </c>
    </row>
    <row r="5133" spans="1:18" x14ac:dyDescent="0.2">
      <c r="A5133" t="s">
        <v>270</v>
      </c>
      <c r="B5133" t="s">
        <v>8966</v>
      </c>
      <c r="C5133">
        <v>1</v>
      </c>
      <c r="D5133" s="1">
        <v>44083.815254629626</v>
      </c>
      <c r="E5133" t="s">
        <v>15978</v>
      </c>
      <c r="F5133" t="s">
        <v>273</v>
      </c>
      <c r="G5133" t="s">
        <v>15749</v>
      </c>
      <c r="H5133" t="s">
        <v>275</v>
      </c>
      <c r="I5133" t="s">
        <v>29</v>
      </c>
      <c r="J5133">
        <v>1</v>
      </c>
      <c r="K5133">
        <f>1-888-585-6916</f>
        <v>-8388</v>
      </c>
      <c r="L5133" t="s">
        <v>15979</v>
      </c>
      <c r="M5133" t="s">
        <v>15980</v>
      </c>
      <c r="N5133" t="s">
        <v>278</v>
      </c>
      <c r="O5133" t="s">
        <v>28</v>
      </c>
      <c r="P5133" t="s">
        <v>782</v>
      </c>
      <c r="Q5133">
        <v>-38</v>
      </c>
      <c r="R5133">
        <v>99.999999000000003</v>
      </c>
    </row>
    <row r="5134" spans="1:18" x14ac:dyDescent="0.2">
      <c r="A5134" t="s">
        <v>270</v>
      </c>
      <c r="B5134" t="s">
        <v>8966</v>
      </c>
      <c r="C5134">
        <v>1</v>
      </c>
      <c r="D5134" s="1">
        <v>44083.801481481481</v>
      </c>
      <c r="E5134" t="s">
        <v>15981</v>
      </c>
      <c r="F5134" t="s">
        <v>273</v>
      </c>
      <c r="G5134" t="s">
        <v>15749</v>
      </c>
      <c r="H5134" t="s">
        <v>275</v>
      </c>
      <c r="I5134" t="s">
        <v>29</v>
      </c>
      <c r="J5134">
        <v>1</v>
      </c>
      <c r="K5134">
        <f>1-888-585-5441</f>
        <v>-6913</v>
      </c>
      <c r="L5134" t="s">
        <v>15982</v>
      </c>
      <c r="M5134" t="s">
        <v>15983</v>
      </c>
      <c r="N5134" t="s">
        <v>278</v>
      </c>
      <c r="O5134" t="s">
        <v>28</v>
      </c>
      <c r="P5134" t="s">
        <v>782</v>
      </c>
      <c r="Q5134">
        <v>-38</v>
      </c>
      <c r="R5134">
        <v>99.999999000000003</v>
      </c>
    </row>
    <row r="5135" spans="1:18" x14ac:dyDescent="0.2">
      <c r="A5135" t="s">
        <v>270</v>
      </c>
      <c r="B5135" t="s">
        <v>8966</v>
      </c>
      <c r="C5135">
        <v>1</v>
      </c>
      <c r="D5135" s="1">
        <v>44082.937569444446</v>
      </c>
      <c r="E5135" t="s">
        <v>15984</v>
      </c>
      <c r="F5135" t="s">
        <v>273</v>
      </c>
      <c r="G5135" t="s">
        <v>15749</v>
      </c>
      <c r="H5135" t="s">
        <v>275</v>
      </c>
      <c r="I5135" t="s">
        <v>29</v>
      </c>
      <c r="J5135">
        <v>1</v>
      </c>
      <c r="K5135">
        <f>1-888-599-8076</f>
        <v>-9562</v>
      </c>
      <c r="L5135" t="s">
        <v>15985</v>
      </c>
      <c r="M5135" t="s">
        <v>15986</v>
      </c>
      <c r="N5135" t="s">
        <v>278</v>
      </c>
      <c r="O5135" t="s">
        <v>28</v>
      </c>
      <c r="P5135" t="s">
        <v>782</v>
      </c>
      <c r="Q5135">
        <v>-38</v>
      </c>
      <c r="R5135">
        <v>99.999999000000003</v>
      </c>
    </row>
    <row r="5136" spans="1:18" x14ac:dyDescent="0.2">
      <c r="A5136" t="s">
        <v>270</v>
      </c>
      <c r="B5136" t="s">
        <v>8966</v>
      </c>
      <c r="C5136">
        <v>1</v>
      </c>
      <c r="D5136" s="1">
        <v>44075.760462962964</v>
      </c>
      <c r="E5136" t="s">
        <v>15987</v>
      </c>
      <c r="F5136" t="s">
        <v>273</v>
      </c>
      <c r="G5136" t="s">
        <v>15749</v>
      </c>
      <c r="H5136" t="s">
        <v>275</v>
      </c>
      <c r="I5136" t="s">
        <v>29</v>
      </c>
      <c r="J5136">
        <v>1</v>
      </c>
      <c r="K5136">
        <f>1-888-708-1143</f>
        <v>-2738</v>
      </c>
      <c r="L5136" t="s">
        <v>15988</v>
      </c>
      <c r="M5136" t="s">
        <v>15989</v>
      </c>
      <c r="N5136" t="s">
        <v>278</v>
      </c>
      <c r="O5136" t="s">
        <v>134</v>
      </c>
      <c r="P5136" t="s">
        <v>782</v>
      </c>
      <c r="Q5136">
        <v>-38</v>
      </c>
      <c r="R5136">
        <v>99.999999000000003</v>
      </c>
    </row>
    <row r="5137" spans="1:18" x14ac:dyDescent="0.2">
      <c r="A5137" t="s">
        <v>270</v>
      </c>
      <c r="B5137" t="s">
        <v>8966</v>
      </c>
      <c r="C5137">
        <v>1</v>
      </c>
      <c r="D5137" s="1">
        <v>44074.929849537039</v>
      </c>
      <c r="E5137" t="s">
        <v>15990</v>
      </c>
      <c r="F5137" t="s">
        <v>273</v>
      </c>
      <c r="G5137" t="s">
        <v>15749</v>
      </c>
      <c r="H5137" t="s">
        <v>275</v>
      </c>
      <c r="I5137" t="s">
        <v>29</v>
      </c>
      <c r="J5137">
        <v>1</v>
      </c>
      <c r="K5137">
        <f>1-888-654-8048</f>
        <v>-9589</v>
      </c>
      <c r="L5137" t="s">
        <v>15991</v>
      </c>
      <c r="M5137" t="s">
        <v>15992</v>
      </c>
      <c r="N5137" t="s">
        <v>278</v>
      </c>
      <c r="O5137" t="s">
        <v>28</v>
      </c>
      <c r="P5137" t="s">
        <v>782</v>
      </c>
      <c r="Q5137">
        <v>-38</v>
      </c>
      <c r="R5137">
        <v>99.999999000000003</v>
      </c>
    </row>
    <row r="5138" spans="1:18" x14ac:dyDescent="0.2">
      <c r="A5138" t="s">
        <v>270</v>
      </c>
      <c r="B5138" t="s">
        <v>8966</v>
      </c>
      <c r="C5138">
        <v>1</v>
      </c>
      <c r="D5138" s="1">
        <v>44073.942314814813</v>
      </c>
      <c r="E5138" t="s">
        <v>15993</v>
      </c>
      <c r="F5138" t="s">
        <v>273</v>
      </c>
      <c r="G5138" t="s">
        <v>15749</v>
      </c>
      <c r="H5138" t="s">
        <v>275</v>
      </c>
      <c r="I5138" t="s">
        <v>29</v>
      </c>
      <c r="J5138">
        <v>1</v>
      </c>
      <c r="K5138">
        <f>1-888-690-903</f>
        <v>-2480</v>
      </c>
      <c r="L5138" t="s">
        <v>15994</v>
      </c>
      <c r="M5138" t="s">
        <v>15995</v>
      </c>
      <c r="N5138" t="s">
        <v>278</v>
      </c>
      <c r="O5138" t="s">
        <v>134</v>
      </c>
      <c r="P5138" t="s">
        <v>782</v>
      </c>
      <c r="Q5138">
        <v>-38</v>
      </c>
      <c r="R5138">
        <v>99.999999000000003</v>
      </c>
    </row>
    <row r="5139" spans="1:18" x14ac:dyDescent="0.2">
      <c r="A5139" t="s">
        <v>270</v>
      </c>
      <c r="B5139" t="s">
        <v>8966</v>
      </c>
      <c r="C5139">
        <v>1</v>
      </c>
      <c r="D5139" s="1">
        <v>44073.930231481485</v>
      </c>
      <c r="E5139" t="s">
        <v>15996</v>
      </c>
      <c r="F5139" t="s">
        <v>273</v>
      </c>
      <c r="G5139" t="s">
        <v>15749</v>
      </c>
      <c r="H5139" t="s">
        <v>275</v>
      </c>
      <c r="I5139" t="s">
        <v>29</v>
      </c>
      <c r="J5139">
        <v>1</v>
      </c>
      <c r="K5139">
        <f>1-888-534-316</f>
        <v>-1737</v>
      </c>
      <c r="L5139" t="s">
        <v>15997</v>
      </c>
      <c r="M5139" t="s">
        <v>15998</v>
      </c>
      <c r="N5139" t="s">
        <v>278</v>
      </c>
      <c r="O5139" t="s">
        <v>134</v>
      </c>
      <c r="P5139" t="s">
        <v>782</v>
      </c>
      <c r="Q5139">
        <v>-38</v>
      </c>
      <c r="R5139">
        <v>99.999999000000003</v>
      </c>
    </row>
    <row r="5140" spans="1:18" x14ac:dyDescent="0.2">
      <c r="A5140" t="s">
        <v>270</v>
      </c>
      <c r="B5140" t="s">
        <v>8966</v>
      </c>
      <c r="C5140">
        <v>1</v>
      </c>
      <c r="D5140" s="1">
        <v>44073.02784722222</v>
      </c>
      <c r="E5140" t="s">
        <v>15999</v>
      </c>
      <c r="F5140" t="s">
        <v>273</v>
      </c>
      <c r="G5140" t="s">
        <v>15749</v>
      </c>
      <c r="H5140" t="s">
        <v>275</v>
      </c>
      <c r="I5140" t="s">
        <v>29</v>
      </c>
      <c r="J5140">
        <v>1</v>
      </c>
      <c r="K5140">
        <f>1-888-441-3235</f>
        <v>-4563</v>
      </c>
      <c r="L5140" t="s">
        <v>16000</v>
      </c>
      <c r="M5140" t="s">
        <v>16001</v>
      </c>
      <c r="N5140" t="s">
        <v>278</v>
      </c>
      <c r="O5140" t="s">
        <v>134</v>
      </c>
      <c r="P5140" t="s">
        <v>782</v>
      </c>
      <c r="Q5140">
        <v>-38</v>
      </c>
      <c r="R5140">
        <v>99.999999000000003</v>
      </c>
    </row>
    <row r="5141" spans="1:18" x14ac:dyDescent="0.2">
      <c r="A5141" t="s">
        <v>270</v>
      </c>
      <c r="B5141" t="s">
        <v>8966</v>
      </c>
      <c r="C5141">
        <v>1</v>
      </c>
      <c r="D5141" s="1">
        <v>44073.026990740742</v>
      </c>
      <c r="E5141" t="s">
        <v>16002</v>
      </c>
      <c r="F5141" t="s">
        <v>273</v>
      </c>
      <c r="G5141" t="s">
        <v>15749</v>
      </c>
      <c r="H5141" t="s">
        <v>275</v>
      </c>
      <c r="I5141" t="s">
        <v>29</v>
      </c>
      <c r="J5141">
        <v>1</v>
      </c>
      <c r="K5141">
        <f>1-888-909-1336</f>
        <v>-3132</v>
      </c>
      <c r="L5141" t="s">
        <v>16003</v>
      </c>
      <c r="M5141" t="s">
        <v>16004</v>
      </c>
      <c r="N5141" t="s">
        <v>278</v>
      </c>
      <c r="O5141" t="s">
        <v>134</v>
      </c>
      <c r="P5141" t="s">
        <v>782</v>
      </c>
      <c r="Q5141">
        <v>-38</v>
      </c>
      <c r="R5141">
        <v>99.999999000000003</v>
      </c>
    </row>
    <row r="5142" spans="1:18" x14ac:dyDescent="0.2">
      <c r="A5142" t="s">
        <v>270</v>
      </c>
      <c r="B5142" t="s">
        <v>8966</v>
      </c>
      <c r="C5142">
        <v>1</v>
      </c>
      <c r="D5142" s="1">
        <v>44073.026145833333</v>
      </c>
      <c r="E5142" t="s">
        <v>16005</v>
      </c>
      <c r="F5142" t="s">
        <v>273</v>
      </c>
      <c r="G5142" t="s">
        <v>15749</v>
      </c>
      <c r="H5142" t="s">
        <v>275</v>
      </c>
      <c r="I5142" t="s">
        <v>29</v>
      </c>
      <c r="J5142">
        <v>1</v>
      </c>
      <c r="K5142">
        <f>1-888-598-1511</f>
        <v>-2996</v>
      </c>
      <c r="L5142" t="s">
        <v>16006</v>
      </c>
      <c r="M5142" t="s">
        <v>16007</v>
      </c>
      <c r="N5142" t="s">
        <v>278</v>
      </c>
      <c r="O5142" t="s">
        <v>134</v>
      </c>
      <c r="P5142" t="s">
        <v>782</v>
      </c>
      <c r="Q5142">
        <v>-38</v>
      </c>
      <c r="R5142">
        <v>99.999999000000003</v>
      </c>
    </row>
    <row r="5143" spans="1:18" x14ac:dyDescent="0.2">
      <c r="A5143" t="s">
        <v>270</v>
      </c>
      <c r="B5143" t="s">
        <v>8966</v>
      </c>
      <c r="C5143">
        <v>1</v>
      </c>
      <c r="D5143" s="1">
        <v>44072.869212962964</v>
      </c>
      <c r="E5143" t="s">
        <v>16008</v>
      </c>
      <c r="F5143" t="s">
        <v>273</v>
      </c>
      <c r="G5143" t="s">
        <v>15749</v>
      </c>
      <c r="H5143" t="s">
        <v>275</v>
      </c>
      <c r="I5143" t="s">
        <v>29</v>
      </c>
      <c r="J5143">
        <v>1</v>
      </c>
      <c r="K5143">
        <f>1-888-609-3819</f>
        <v>-5315</v>
      </c>
      <c r="L5143" t="s">
        <v>16009</v>
      </c>
      <c r="M5143" t="s">
        <v>16010</v>
      </c>
      <c r="N5143" t="s">
        <v>278</v>
      </c>
      <c r="O5143" t="s">
        <v>134</v>
      </c>
      <c r="P5143" t="s">
        <v>782</v>
      </c>
      <c r="Q5143">
        <v>-38</v>
      </c>
      <c r="R5143">
        <v>99.999999000000003</v>
      </c>
    </row>
    <row r="5144" spans="1:18" x14ac:dyDescent="0.2">
      <c r="A5144" t="s">
        <v>270</v>
      </c>
      <c r="B5144" t="s">
        <v>8966</v>
      </c>
      <c r="C5144">
        <v>1</v>
      </c>
      <c r="D5144" s="1">
        <v>44073.057974537034</v>
      </c>
      <c r="E5144" t="s">
        <v>16011</v>
      </c>
      <c r="F5144" t="s">
        <v>273</v>
      </c>
      <c r="G5144" t="s">
        <v>15749</v>
      </c>
      <c r="H5144" t="s">
        <v>275</v>
      </c>
      <c r="I5144" t="s">
        <v>29</v>
      </c>
      <c r="J5144">
        <v>1</v>
      </c>
      <c r="K5144">
        <f>1-888-541-8493</f>
        <v>-9921</v>
      </c>
      <c r="L5144" t="s">
        <v>16012</v>
      </c>
      <c r="M5144" t="s">
        <v>16013</v>
      </c>
      <c r="N5144" t="s">
        <v>278</v>
      </c>
      <c r="O5144" t="s">
        <v>134</v>
      </c>
      <c r="P5144" t="s">
        <v>782</v>
      </c>
      <c r="Q5144">
        <v>-38</v>
      </c>
      <c r="R5144">
        <v>99.999999000000003</v>
      </c>
    </row>
    <row r="5145" spans="1:18" x14ac:dyDescent="0.2">
      <c r="A5145" t="s">
        <v>270</v>
      </c>
      <c r="B5145" t="s">
        <v>8966</v>
      </c>
      <c r="C5145">
        <v>1</v>
      </c>
      <c r="D5145" s="1">
        <v>44072.867569444446</v>
      </c>
      <c r="E5145" t="s">
        <v>16014</v>
      </c>
      <c r="F5145" t="s">
        <v>273</v>
      </c>
      <c r="G5145" t="s">
        <v>15749</v>
      </c>
      <c r="H5145" t="s">
        <v>275</v>
      </c>
      <c r="I5145" t="s">
        <v>29</v>
      </c>
      <c r="J5145">
        <v>1</v>
      </c>
      <c r="K5145">
        <f>1-888-604-806</f>
        <v>-2297</v>
      </c>
      <c r="L5145" t="s">
        <v>16015</v>
      </c>
      <c r="M5145" t="s">
        <v>16016</v>
      </c>
      <c r="N5145" t="s">
        <v>278</v>
      </c>
      <c r="O5145" t="s">
        <v>134</v>
      </c>
      <c r="P5145" t="s">
        <v>782</v>
      </c>
      <c r="Q5145">
        <v>-38</v>
      </c>
      <c r="R5145">
        <v>99.999999000000003</v>
      </c>
    </row>
    <row r="5146" spans="1:18" x14ac:dyDescent="0.2">
      <c r="A5146" t="s">
        <v>270</v>
      </c>
      <c r="B5146" t="s">
        <v>8966</v>
      </c>
      <c r="C5146">
        <v>1</v>
      </c>
      <c r="D5146" s="1">
        <v>44072.866041666668</v>
      </c>
      <c r="E5146" t="s">
        <v>16017</v>
      </c>
      <c r="F5146" t="s">
        <v>273</v>
      </c>
      <c r="G5146" t="s">
        <v>15749</v>
      </c>
      <c r="H5146" t="s">
        <v>275</v>
      </c>
      <c r="I5146" t="s">
        <v>29</v>
      </c>
      <c r="J5146">
        <v>1</v>
      </c>
      <c r="K5146">
        <f>1-888-604-806</f>
        <v>-2297</v>
      </c>
      <c r="L5146" t="s">
        <v>16018</v>
      </c>
      <c r="M5146" t="s">
        <v>16019</v>
      </c>
      <c r="N5146" t="s">
        <v>278</v>
      </c>
      <c r="O5146" t="s">
        <v>134</v>
      </c>
      <c r="P5146" t="s">
        <v>782</v>
      </c>
      <c r="Q5146">
        <v>-38</v>
      </c>
      <c r="R5146">
        <v>99.999999000000003</v>
      </c>
    </row>
    <row r="5147" spans="1:18" x14ac:dyDescent="0.2">
      <c r="A5147" t="s">
        <v>270</v>
      </c>
      <c r="B5147" t="s">
        <v>8966</v>
      </c>
      <c r="C5147">
        <v>1</v>
      </c>
      <c r="D5147" s="1">
        <v>44072.864606481482</v>
      </c>
      <c r="E5147" t="s">
        <v>16020</v>
      </c>
      <c r="F5147" t="s">
        <v>273</v>
      </c>
      <c r="G5147" t="s">
        <v>15749</v>
      </c>
      <c r="H5147" t="s">
        <v>275</v>
      </c>
      <c r="I5147" t="s">
        <v>29</v>
      </c>
      <c r="J5147">
        <v>1</v>
      </c>
      <c r="K5147">
        <f>1-888-650-4670</f>
        <v>-6207</v>
      </c>
      <c r="L5147" t="s">
        <v>16021</v>
      </c>
      <c r="M5147" t="s">
        <v>16022</v>
      </c>
      <c r="N5147" t="s">
        <v>278</v>
      </c>
      <c r="O5147" t="s">
        <v>134</v>
      </c>
      <c r="P5147" t="s">
        <v>782</v>
      </c>
      <c r="Q5147">
        <v>-38</v>
      </c>
      <c r="R5147">
        <v>99.999999000000003</v>
      </c>
    </row>
    <row r="5148" spans="1:18" x14ac:dyDescent="0.2">
      <c r="A5148" t="s">
        <v>270</v>
      </c>
      <c r="B5148" t="s">
        <v>8966</v>
      </c>
      <c r="C5148">
        <v>1</v>
      </c>
      <c r="D5148" s="1">
        <v>44072.859756944446</v>
      </c>
      <c r="E5148" t="s">
        <v>16023</v>
      </c>
      <c r="F5148" t="s">
        <v>273</v>
      </c>
      <c r="G5148" t="s">
        <v>15749</v>
      </c>
      <c r="H5148" t="s">
        <v>275</v>
      </c>
      <c r="I5148" t="s">
        <v>29</v>
      </c>
      <c r="J5148">
        <v>1</v>
      </c>
      <c r="K5148">
        <f>1-888-658-5805</f>
        <v>-7350</v>
      </c>
      <c r="L5148" t="s">
        <v>16024</v>
      </c>
      <c r="M5148" t="s">
        <v>16025</v>
      </c>
      <c r="N5148" t="s">
        <v>278</v>
      </c>
      <c r="O5148" t="s">
        <v>134</v>
      </c>
      <c r="P5148" t="s">
        <v>782</v>
      </c>
      <c r="Q5148">
        <v>-38</v>
      </c>
      <c r="R5148">
        <v>99.999999000000003</v>
      </c>
    </row>
    <row r="5149" spans="1:18" x14ac:dyDescent="0.2">
      <c r="A5149" t="s">
        <v>270</v>
      </c>
      <c r="B5149" t="s">
        <v>8966</v>
      </c>
      <c r="C5149">
        <v>1</v>
      </c>
      <c r="D5149" s="1">
        <v>44071.974537037036</v>
      </c>
      <c r="E5149" t="s">
        <v>16026</v>
      </c>
      <c r="F5149" t="s">
        <v>273</v>
      </c>
      <c r="G5149" t="s">
        <v>15749</v>
      </c>
      <c r="H5149" t="s">
        <v>275</v>
      </c>
      <c r="I5149" t="s">
        <v>29</v>
      </c>
      <c r="J5149">
        <v>1</v>
      </c>
      <c r="K5149">
        <f>1-888-851-676</f>
        <v>-2414</v>
      </c>
      <c r="L5149" t="s">
        <v>16027</v>
      </c>
      <c r="M5149" t="s">
        <v>16028</v>
      </c>
      <c r="N5149" t="s">
        <v>278</v>
      </c>
      <c r="O5149" t="s">
        <v>134</v>
      </c>
      <c r="P5149" t="s">
        <v>782</v>
      </c>
      <c r="Q5149">
        <v>-38</v>
      </c>
      <c r="R5149">
        <v>99.999999000000003</v>
      </c>
    </row>
    <row r="5150" spans="1:18" x14ac:dyDescent="0.2">
      <c r="A5150" t="s">
        <v>270</v>
      </c>
      <c r="B5150" t="s">
        <v>8966</v>
      </c>
      <c r="C5150">
        <v>1</v>
      </c>
      <c r="D5150" s="1">
        <v>44071.973310185182</v>
      </c>
      <c r="E5150" t="s">
        <v>16029</v>
      </c>
      <c r="F5150" t="s">
        <v>273</v>
      </c>
      <c r="G5150" t="s">
        <v>15749</v>
      </c>
      <c r="H5150" t="s">
        <v>275</v>
      </c>
      <c r="I5150" t="s">
        <v>29</v>
      </c>
      <c r="J5150">
        <v>1</v>
      </c>
      <c r="K5150">
        <f>1-888-291-57</f>
        <v>-1235</v>
      </c>
      <c r="L5150" t="s">
        <v>16030</v>
      </c>
      <c r="M5150" t="s">
        <v>16031</v>
      </c>
      <c r="N5150" t="s">
        <v>278</v>
      </c>
      <c r="O5150" t="s">
        <v>134</v>
      </c>
      <c r="P5150" t="s">
        <v>782</v>
      </c>
      <c r="Q5150">
        <v>-38</v>
      </c>
      <c r="R5150">
        <v>99.999999000000003</v>
      </c>
    </row>
    <row r="5151" spans="1:18" x14ac:dyDescent="0.2">
      <c r="A5151" t="s">
        <v>270</v>
      </c>
      <c r="B5151" t="s">
        <v>8966</v>
      </c>
      <c r="C5151">
        <v>1</v>
      </c>
      <c r="D5151" s="1">
        <v>44071.417303240742</v>
      </c>
      <c r="E5151" t="s">
        <v>16032</v>
      </c>
      <c r="F5151" t="s">
        <v>273</v>
      </c>
      <c r="G5151" t="s">
        <v>15749</v>
      </c>
      <c r="H5151" t="s">
        <v>275</v>
      </c>
      <c r="I5151" t="s">
        <v>29</v>
      </c>
      <c r="J5151">
        <v>1</v>
      </c>
      <c r="K5151">
        <f>1-888-851-587</f>
        <v>-2325</v>
      </c>
      <c r="L5151" t="s">
        <v>16033</v>
      </c>
      <c r="M5151" t="s">
        <v>16034</v>
      </c>
      <c r="N5151" t="s">
        <v>278</v>
      </c>
      <c r="O5151" t="s">
        <v>134</v>
      </c>
      <c r="P5151" t="s">
        <v>782</v>
      </c>
      <c r="Q5151">
        <v>-38</v>
      </c>
      <c r="R5151">
        <v>99.999999000000003</v>
      </c>
    </row>
    <row r="5152" spans="1:18" x14ac:dyDescent="0.2">
      <c r="A5152" t="s">
        <v>270</v>
      </c>
      <c r="B5152" t="s">
        <v>8966</v>
      </c>
      <c r="C5152">
        <v>1</v>
      </c>
      <c r="D5152" s="1">
        <v>44071.416828703703</v>
      </c>
      <c r="E5152" t="s">
        <v>16035</v>
      </c>
      <c r="F5152" t="s">
        <v>273</v>
      </c>
      <c r="G5152" t="s">
        <v>15749</v>
      </c>
      <c r="H5152" t="s">
        <v>275</v>
      </c>
      <c r="I5152" t="s">
        <v>29</v>
      </c>
      <c r="J5152">
        <v>1</v>
      </c>
      <c r="K5152">
        <f>1-888-417-4090</f>
        <v>-5394</v>
      </c>
      <c r="L5152" t="s">
        <v>16036</v>
      </c>
      <c r="M5152" t="s">
        <v>16037</v>
      </c>
      <c r="N5152" t="s">
        <v>278</v>
      </c>
      <c r="O5152" t="s">
        <v>134</v>
      </c>
      <c r="P5152" t="s">
        <v>782</v>
      </c>
      <c r="Q5152">
        <v>-38</v>
      </c>
      <c r="R5152">
        <v>99.999999000000003</v>
      </c>
    </row>
    <row r="5153" spans="1:18" x14ac:dyDescent="0.2">
      <c r="A5153" t="s">
        <v>270</v>
      </c>
      <c r="B5153" t="s">
        <v>8966</v>
      </c>
      <c r="C5153">
        <v>1</v>
      </c>
      <c r="D5153" s="1">
        <v>44070.601481481484</v>
      </c>
      <c r="E5153" t="s">
        <v>16038</v>
      </c>
      <c r="F5153" t="s">
        <v>273</v>
      </c>
      <c r="G5153" t="s">
        <v>15749</v>
      </c>
      <c r="H5153" t="s">
        <v>275</v>
      </c>
      <c r="I5153" t="s">
        <v>29</v>
      </c>
      <c r="J5153">
        <v>1</v>
      </c>
      <c r="K5153">
        <f>1-888-527-4189</f>
        <v>-5603</v>
      </c>
      <c r="L5153" t="s">
        <v>16039</v>
      </c>
      <c r="M5153" t="s">
        <v>16040</v>
      </c>
      <c r="N5153" t="s">
        <v>278</v>
      </c>
      <c r="O5153" t="s">
        <v>134</v>
      </c>
      <c r="P5153" t="s">
        <v>782</v>
      </c>
      <c r="Q5153">
        <v>-38</v>
      </c>
      <c r="R5153">
        <v>99.999999000000003</v>
      </c>
    </row>
    <row r="5154" spans="1:18" x14ac:dyDescent="0.2">
      <c r="A5154" t="s">
        <v>270</v>
      </c>
      <c r="B5154" t="s">
        <v>8966</v>
      </c>
      <c r="C5154">
        <v>1</v>
      </c>
      <c r="D5154" s="1">
        <v>44068.192766203705</v>
      </c>
      <c r="E5154" t="s">
        <v>16041</v>
      </c>
      <c r="F5154" t="s">
        <v>273</v>
      </c>
      <c r="G5154" t="s">
        <v>15749</v>
      </c>
      <c r="H5154" t="s">
        <v>275</v>
      </c>
      <c r="I5154" t="s">
        <v>29</v>
      </c>
      <c r="J5154">
        <v>1</v>
      </c>
      <c r="K5154">
        <f>1-888-530-4241</f>
        <v>-5658</v>
      </c>
      <c r="L5154" t="s">
        <v>16042</v>
      </c>
      <c r="M5154" t="s">
        <v>16043</v>
      </c>
      <c r="N5154" t="s">
        <v>278</v>
      </c>
      <c r="O5154" t="s">
        <v>134</v>
      </c>
      <c r="P5154" t="s">
        <v>782</v>
      </c>
      <c r="Q5154">
        <v>-38</v>
      </c>
      <c r="R5154">
        <v>99.999999000000003</v>
      </c>
    </row>
    <row r="5155" spans="1:18" x14ac:dyDescent="0.2">
      <c r="A5155" t="s">
        <v>270</v>
      </c>
      <c r="B5155" t="s">
        <v>8966</v>
      </c>
      <c r="C5155">
        <v>1</v>
      </c>
      <c r="D5155" s="1">
        <v>44068.189918981479</v>
      </c>
      <c r="E5155" t="s">
        <v>16044</v>
      </c>
      <c r="F5155" t="s">
        <v>273</v>
      </c>
      <c r="G5155" t="s">
        <v>15749</v>
      </c>
      <c r="H5155" t="s">
        <v>275</v>
      </c>
      <c r="I5155" t="s">
        <v>29</v>
      </c>
      <c r="J5155">
        <v>1</v>
      </c>
      <c r="K5155">
        <f>1-888-523-6448</f>
        <v>-7858</v>
      </c>
      <c r="L5155" t="s">
        <v>16045</v>
      </c>
      <c r="M5155" t="s">
        <v>16046</v>
      </c>
      <c r="N5155" t="s">
        <v>278</v>
      </c>
      <c r="O5155" t="s">
        <v>134</v>
      </c>
      <c r="P5155" t="s">
        <v>782</v>
      </c>
      <c r="Q5155">
        <v>-38</v>
      </c>
      <c r="R5155">
        <v>99.999999000000003</v>
      </c>
    </row>
    <row r="5156" spans="1:18" x14ac:dyDescent="0.2">
      <c r="A5156" t="s">
        <v>270</v>
      </c>
      <c r="B5156" t="s">
        <v>8966</v>
      </c>
      <c r="C5156">
        <v>1</v>
      </c>
      <c r="D5156" s="1">
        <v>44068.187939814816</v>
      </c>
      <c r="E5156" t="s">
        <v>16047</v>
      </c>
      <c r="F5156" t="s">
        <v>273</v>
      </c>
      <c r="G5156" t="s">
        <v>15749</v>
      </c>
      <c r="H5156" t="s">
        <v>275</v>
      </c>
      <c r="I5156" t="s">
        <v>29</v>
      </c>
      <c r="J5156">
        <v>1</v>
      </c>
      <c r="K5156">
        <f>1-888-535-4744</f>
        <v>-6166</v>
      </c>
      <c r="L5156" t="s">
        <v>16048</v>
      </c>
      <c r="M5156" t="s">
        <v>16049</v>
      </c>
      <c r="N5156" t="s">
        <v>278</v>
      </c>
      <c r="O5156" t="s">
        <v>134</v>
      </c>
      <c r="P5156" t="s">
        <v>782</v>
      </c>
      <c r="Q5156">
        <v>-38</v>
      </c>
      <c r="R5156">
        <v>99.999999000000003</v>
      </c>
    </row>
    <row r="5157" spans="1:18" x14ac:dyDescent="0.2">
      <c r="A5157" t="s">
        <v>270</v>
      </c>
      <c r="B5157" t="s">
        <v>8966</v>
      </c>
      <c r="C5157">
        <v>1</v>
      </c>
      <c r="D5157" s="1">
        <v>44068.074282407404</v>
      </c>
      <c r="E5157" t="s">
        <v>16050</v>
      </c>
      <c r="F5157" t="s">
        <v>273</v>
      </c>
      <c r="G5157" t="s">
        <v>15749</v>
      </c>
      <c r="H5157" t="s">
        <v>275</v>
      </c>
      <c r="I5157" t="s">
        <v>29</v>
      </c>
      <c r="J5157">
        <v>1</v>
      </c>
      <c r="K5157">
        <f>1-888-851-676</f>
        <v>-2414</v>
      </c>
      <c r="L5157" t="s">
        <v>16051</v>
      </c>
      <c r="M5157" t="s">
        <v>16052</v>
      </c>
      <c r="N5157" t="s">
        <v>278</v>
      </c>
      <c r="O5157" t="s">
        <v>28</v>
      </c>
      <c r="P5157" t="s">
        <v>782</v>
      </c>
      <c r="Q5157">
        <v>-38</v>
      </c>
      <c r="R5157">
        <v>99.999999000000003</v>
      </c>
    </row>
    <row r="5158" spans="1:18" x14ac:dyDescent="0.2">
      <c r="A5158" t="s">
        <v>270</v>
      </c>
      <c r="B5158" t="s">
        <v>8966</v>
      </c>
      <c r="C5158">
        <v>1</v>
      </c>
      <c r="D5158" s="1">
        <v>44068.058738425927</v>
      </c>
      <c r="E5158" t="s">
        <v>16053</v>
      </c>
      <c r="F5158" t="s">
        <v>273</v>
      </c>
      <c r="G5158" t="s">
        <v>15749</v>
      </c>
      <c r="H5158" t="s">
        <v>275</v>
      </c>
      <c r="I5158" t="s">
        <v>29</v>
      </c>
      <c r="J5158">
        <v>1</v>
      </c>
      <c r="K5158">
        <f>1-888-523-6511</f>
        <v>-7921</v>
      </c>
      <c r="L5158" t="s">
        <v>16054</v>
      </c>
      <c r="M5158" t="s">
        <v>16055</v>
      </c>
      <c r="N5158" t="s">
        <v>278</v>
      </c>
      <c r="O5158" t="s">
        <v>28</v>
      </c>
      <c r="P5158" t="s">
        <v>782</v>
      </c>
      <c r="Q5158">
        <v>-38</v>
      </c>
      <c r="R5158">
        <v>99.999999000000003</v>
      </c>
    </row>
    <row r="5159" spans="1:18" x14ac:dyDescent="0.2">
      <c r="A5159" t="s">
        <v>270</v>
      </c>
      <c r="B5159" t="s">
        <v>8966</v>
      </c>
      <c r="C5159">
        <v>1</v>
      </c>
      <c r="D5159" s="1">
        <v>44068.043819444443</v>
      </c>
      <c r="E5159" t="s">
        <v>16056</v>
      </c>
      <c r="F5159" t="s">
        <v>273</v>
      </c>
      <c r="G5159" t="s">
        <v>15749</v>
      </c>
      <c r="H5159" t="s">
        <v>275</v>
      </c>
      <c r="I5159" t="s">
        <v>29</v>
      </c>
      <c r="J5159">
        <v>1</v>
      </c>
      <c r="K5159">
        <f>1-888-534-8036</f>
        <v>-9457</v>
      </c>
      <c r="L5159" t="s">
        <v>16057</v>
      </c>
      <c r="M5159" t="s">
        <v>16058</v>
      </c>
      <c r="N5159" t="s">
        <v>278</v>
      </c>
      <c r="O5159" t="s">
        <v>28</v>
      </c>
      <c r="P5159" t="s">
        <v>782</v>
      </c>
      <c r="Q5159">
        <v>-38</v>
      </c>
      <c r="R5159">
        <v>99.999999000000003</v>
      </c>
    </row>
    <row r="5160" spans="1:18" x14ac:dyDescent="0.2">
      <c r="A5160" t="s">
        <v>270</v>
      </c>
      <c r="B5160" t="s">
        <v>8966</v>
      </c>
      <c r="C5160">
        <v>1</v>
      </c>
      <c r="D5160" s="1">
        <v>44068.031122685185</v>
      </c>
      <c r="E5160" t="s">
        <v>16059</v>
      </c>
      <c r="F5160" t="s">
        <v>273</v>
      </c>
      <c r="G5160" t="s">
        <v>15749</v>
      </c>
      <c r="H5160" t="s">
        <v>275</v>
      </c>
      <c r="I5160" t="s">
        <v>29</v>
      </c>
      <c r="J5160">
        <v>1</v>
      </c>
      <c r="K5160">
        <f>1-888-965-777</f>
        <v>-2629</v>
      </c>
      <c r="L5160" t="s">
        <v>16060</v>
      </c>
      <c r="M5160" t="s">
        <v>16061</v>
      </c>
      <c r="N5160" t="s">
        <v>278</v>
      </c>
      <c r="O5160" t="s">
        <v>28</v>
      </c>
      <c r="P5160" t="s">
        <v>782</v>
      </c>
      <c r="Q5160">
        <v>-38</v>
      </c>
      <c r="R5160">
        <v>99.999999000000003</v>
      </c>
    </row>
    <row r="5161" spans="1:18" x14ac:dyDescent="0.2">
      <c r="A5161" t="s">
        <v>270</v>
      </c>
      <c r="B5161" t="s">
        <v>8966</v>
      </c>
      <c r="C5161">
        <v>1</v>
      </c>
      <c r="D5161" s="1">
        <v>44068.022175925929</v>
      </c>
      <c r="E5161" t="s">
        <v>16062</v>
      </c>
      <c r="F5161" t="s">
        <v>273</v>
      </c>
      <c r="G5161" t="s">
        <v>15749</v>
      </c>
      <c r="H5161" t="s">
        <v>275</v>
      </c>
      <c r="I5161" t="s">
        <v>29</v>
      </c>
      <c r="J5161">
        <v>1</v>
      </c>
      <c r="K5161">
        <f>1-888-965-777</f>
        <v>-2629</v>
      </c>
      <c r="L5161" t="s">
        <v>16063</v>
      </c>
      <c r="M5161" t="s">
        <v>16064</v>
      </c>
      <c r="N5161" t="s">
        <v>278</v>
      </c>
      <c r="O5161" t="s">
        <v>28</v>
      </c>
      <c r="P5161" t="s">
        <v>782</v>
      </c>
      <c r="Q5161">
        <v>-38</v>
      </c>
      <c r="R5161">
        <v>99.999999000000003</v>
      </c>
    </row>
    <row r="5162" spans="1:18" x14ac:dyDescent="0.2">
      <c r="A5162" t="s">
        <v>270</v>
      </c>
      <c r="B5162" t="s">
        <v>8966</v>
      </c>
      <c r="C5162">
        <v>1</v>
      </c>
      <c r="D5162" s="1">
        <v>44068.019097222219</v>
      </c>
      <c r="E5162" t="s">
        <v>16065</v>
      </c>
      <c r="F5162" t="s">
        <v>273</v>
      </c>
      <c r="G5162" t="s">
        <v>15749</v>
      </c>
      <c r="H5162" t="s">
        <v>275</v>
      </c>
      <c r="I5162" t="s">
        <v>29</v>
      </c>
      <c r="J5162">
        <v>1</v>
      </c>
      <c r="K5162">
        <f>1-888-706-1246</f>
        <v>-2839</v>
      </c>
      <c r="L5162" t="s">
        <v>16066</v>
      </c>
      <c r="M5162" t="s">
        <v>16067</v>
      </c>
      <c r="N5162" t="s">
        <v>278</v>
      </c>
      <c r="O5162" t="s">
        <v>28</v>
      </c>
      <c r="P5162" t="s">
        <v>782</v>
      </c>
      <c r="Q5162">
        <v>-38</v>
      </c>
      <c r="R5162">
        <v>99.999999000000003</v>
      </c>
    </row>
    <row r="5163" spans="1:18" x14ac:dyDescent="0.2">
      <c r="A5163" t="s">
        <v>270</v>
      </c>
      <c r="B5163" t="s">
        <v>8966</v>
      </c>
      <c r="C5163">
        <v>1</v>
      </c>
      <c r="D5163" s="1">
        <v>44068.015682870369</v>
      </c>
      <c r="E5163" t="s">
        <v>16068</v>
      </c>
      <c r="F5163" t="s">
        <v>273</v>
      </c>
      <c r="G5163" t="s">
        <v>15749</v>
      </c>
      <c r="H5163" t="s">
        <v>275</v>
      </c>
      <c r="I5163" t="s">
        <v>29</v>
      </c>
      <c r="J5163">
        <v>1</v>
      </c>
      <c r="K5163">
        <f>1-888-851-511</f>
        <v>-2249</v>
      </c>
      <c r="L5163" t="s">
        <v>16069</v>
      </c>
      <c r="M5163" t="s">
        <v>16070</v>
      </c>
      <c r="N5163" t="s">
        <v>278</v>
      </c>
      <c r="O5163" t="s">
        <v>28</v>
      </c>
      <c r="P5163" t="s">
        <v>782</v>
      </c>
      <c r="Q5163">
        <v>-38</v>
      </c>
      <c r="R5163">
        <v>99.999999000000003</v>
      </c>
    </row>
    <row r="5164" spans="1:18" x14ac:dyDescent="0.2">
      <c r="A5164" t="s">
        <v>270</v>
      </c>
      <c r="B5164" t="s">
        <v>8966</v>
      </c>
      <c r="C5164">
        <v>1</v>
      </c>
      <c r="D5164" s="1">
        <v>44068.013333333336</v>
      </c>
      <c r="E5164" t="s">
        <v>16071</v>
      </c>
      <c r="F5164" t="s">
        <v>273</v>
      </c>
      <c r="G5164" t="s">
        <v>15749</v>
      </c>
      <c r="H5164" t="s">
        <v>275</v>
      </c>
      <c r="I5164" t="s">
        <v>29</v>
      </c>
      <c r="J5164">
        <v>1</v>
      </c>
      <c r="K5164">
        <f>1-888-851-511</f>
        <v>-2249</v>
      </c>
      <c r="L5164" t="s">
        <v>16072</v>
      </c>
      <c r="M5164" t="s">
        <v>16073</v>
      </c>
      <c r="N5164" t="s">
        <v>278</v>
      </c>
      <c r="O5164" t="s">
        <v>28</v>
      </c>
      <c r="P5164" t="s">
        <v>782</v>
      </c>
      <c r="Q5164">
        <v>-38</v>
      </c>
      <c r="R5164">
        <v>99.999999000000003</v>
      </c>
    </row>
    <row r="5165" spans="1:18" x14ac:dyDescent="0.2">
      <c r="A5165" t="s">
        <v>270</v>
      </c>
      <c r="B5165" t="s">
        <v>8966</v>
      </c>
      <c r="C5165">
        <v>1</v>
      </c>
      <c r="D5165" s="1">
        <v>44065.59479166667</v>
      </c>
      <c r="E5165" t="s">
        <v>16074</v>
      </c>
      <c r="F5165" t="s">
        <v>273</v>
      </c>
      <c r="G5165" t="s">
        <v>15749</v>
      </c>
      <c r="H5165" t="s">
        <v>275</v>
      </c>
      <c r="I5165" t="s">
        <v>29</v>
      </c>
      <c r="J5165">
        <v>1</v>
      </c>
      <c r="K5165">
        <f>1-888-525-636</f>
        <v>-2048</v>
      </c>
      <c r="L5165" t="s">
        <v>16075</v>
      </c>
      <c r="M5165" t="s">
        <v>16076</v>
      </c>
      <c r="N5165" t="s">
        <v>278</v>
      </c>
      <c r="O5165" t="s">
        <v>134</v>
      </c>
      <c r="P5165" t="s">
        <v>782</v>
      </c>
      <c r="Q5165">
        <v>-38</v>
      </c>
      <c r="R5165">
        <v>99.999999000000003</v>
      </c>
    </row>
    <row r="5166" spans="1:18" x14ac:dyDescent="0.2">
      <c r="A5166" t="s">
        <v>270</v>
      </c>
      <c r="B5166" t="s">
        <v>8966</v>
      </c>
      <c r="C5166">
        <v>1</v>
      </c>
      <c r="D5166" s="1">
        <v>44062.756597222222</v>
      </c>
      <c r="E5166" t="s">
        <v>16077</v>
      </c>
      <c r="F5166" t="s">
        <v>273</v>
      </c>
      <c r="G5166" t="s">
        <v>15749</v>
      </c>
      <c r="H5166" t="s">
        <v>275</v>
      </c>
      <c r="I5166" t="s">
        <v>29</v>
      </c>
      <c r="J5166">
        <v>1</v>
      </c>
      <c r="K5166">
        <f>1-888-527-4189</f>
        <v>-5603</v>
      </c>
      <c r="L5166" t="s">
        <v>16078</v>
      </c>
      <c r="M5166" t="s">
        <v>16079</v>
      </c>
      <c r="N5166" t="s">
        <v>278</v>
      </c>
      <c r="O5166" t="s">
        <v>134</v>
      </c>
      <c r="P5166" t="s">
        <v>782</v>
      </c>
      <c r="Q5166">
        <v>-38</v>
      </c>
      <c r="R5166">
        <v>99.999999000000003</v>
      </c>
    </row>
    <row r="5167" spans="1:18" x14ac:dyDescent="0.2">
      <c r="A5167" t="s">
        <v>270</v>
      </c>
      <c r="B5167" t="s">
        <v>8966</v>
      </c>
      <c r="C5167">
        <v>1</v>
      </c>
      <c r="D5167" s="1">
        <v>44061.67664351852</v>
      </c>
      <c r="E5167" t="s">
        <v>16080</v>
      </c>
      <c r="F5167" t="s">
        <v>273</v>
      </c>
      <c r="G5167" t="s">
        <v>15749</v>
      </c>
      <c r="H5167" t="s">
        <v>275</v>
      </c>
      <c r="I5167" t="s">
        <v>29</v>
      </c>
      <c r="J5167">
        <v>1</v>
      </c>
      <c r="K5167">
        <f>1-888-690-883</f>
        <v>-2460</v>
      </c>
      <c r="L5167" t="s">
        <v>16081</v>
      </c>
      <c r="M5167" t="s">
        <v>16082</v>
      </c>
      <c r="N5167" t="s">
        <v>278</v>
      </c>
      <c r="O5167" t="s">
        <v>134</v>
      </c>
      <c r="P5167" t="s">
        <v>782</v>
      </c>
      <c r="Q5167">
        <v>-38</v>
      </c>
      <c r="R5167">
        <v>99.999999000000003</v>
      </c>
    </row>
    <row r="5168" spans="1:18" x14ac:dyDescent="0.2">
      <c r="A5168" t="s">
        <v>270</v>
      </c>
      <c r="B5168" t="s">
        <v>8966</v>
      </c>
      <c r="C5168">
        <v>1</v>
      </c>
      <c r="D5168" s="1">
        <v>44053.30159722222</v>
      </c>
      <c r="E5168" t="s">
        <v>16083</v>
      </c>
      <c r="F5168" t="s">
        <v>273</v>
      </c>
      <c r="G5168" t="s">
        <v>15749</v>
      </c>
      <c r="H5168" t="s">
        <v>275</v>
      </c>
      <c r="I5168" t="s">
        <v>29</v>
      </c>
      <c r="J5168">
        <v>1</v>
      </c>
      <c r="K5168">
        <f>1-866-801-5549</f>
        <v>-7215</v>
      </c>
      <c r="L5168" t="s">
        <v>16084</v>
      </c>
      <c r="M5168" t="s">
        <v>16085</v>
      </c>
      <c r="N5168" t="s">
        <v>278</v>
      </c>
      <c r="O5168" t="s">
        <v>134</v>
      </c>
      <c r="P5168" t="s">
        <v>782</v>
      </c>
      <c r="Q5168">
        <v>-38</v>
      </c>
      <c r="R5168">
        <v>99.999999000000003</v>
      </c>
    </row>
    <row r="5169" spans="1:18" x14ac:dyDescent="0.2">
      <c r="A5169" t="s">
        <v>439</v>
      </c>
      <c r="B5169" t="s">
        <v>3094</v>
      </c>
      <c r="C5169">
        <v>1</v>
      </c>
      <c r="D5169" s="1">
        <v>44053.600266203706</v>
      </c>
      <c r="E5169" t="s">
        <v>16086</v>
      </c>
      <c r="F5169" t="s">
        <v>442</v>
      </c>
      <c r="G5169" t="s">
        <v>16087</v>
      </c>
      <c r="H5169" t="s">
        <v>444</v>
      </c>
      <c r="I5169" t="s">
        <v>29</v>
      </c>
      <c r="J5169">
        <v>1</v>
      </c>
      <c r="K5169">
        <f>1-866-789-4504</f>
        <v>-6158</v>
      </c>
      <c r="L5169" t="s">
        <v>16088</v>
      </c>
      <c r="M5169" t="s">
        <v>16089</v>
      </c>
      <c r="N5169" t="s">
        <v>447</v>
      </c>
      <c r="O5169" t="s">
        <v>28</v>
      </c>
      <c r="P5169" t="s">
        <v>2268</v>
      </c>
      <c r="Q5169">
        <v>46</v>
      </c>
      <c r="R5169">
        <v>-73.567300000000003</v>
      </c>
    </row>
    <row r="5170" spans="1:18" x14ac:dyDescent="0.2">
      <c r="A5170" t="s">
        <v>663</v>
      </c>
      <c r="B5170" t="s">
        <v>5337</v>
      </c>
      <c r="C5170">
        <v>44</v>
      </c>
      <c r="D5170" s="1">
        <v>44053.600590277776</v>
      </c>
      <c r="E5170" t="s">
        <v>16090</v>
      </c>
      <c r="F5170" t="s">
        <v>666</v>
      </c>
      <c r="G5170" t="s">
        <v>16091</v>
      </c>
      <c r="H5170" t="s">
        <v>667</v>
      </c>
      <c r="I5170" t="s">
        <v>618</v>
      </c>
      <c r="J5170">
        <v>44</v>
      </c>
      <c r="K5170">
        <f>44-800-51-3726</f>
        <v>-4533</v>
      </c>
      <c r="L5170" t="s">
        <v>16092</v>
      </c>
      <c r="M5170" t="s">
        <v>16093</v>
      </c>
      <c r="N5170" t="s">
        <v>1645</v>
      </c>
      <c r="O5170" t="s">
        <v>28</v>
      </c>
      <c r="P5170" t="s">
        <v>29</v>
      </c>
      <c r="Q5170">
        <v>38</v>
      </c>
      <c r="R5170">
        <v>-99.999999000000003</v>
      </c>
    </row>
    <row r="5171" spans="1:18" x14ac:dyDescent="0.2">
      <c r="A5171" t="s">
        <v>439</v>
      </c>
      <c r="B5171" t="s">
        <v>3094</v>
      </c>
      <c r="C5171">
        <v>1</v>
      </c>
      <c r="D5171" s="1">
        <v>44053.651608796295</v>
      </c>
      <c r="E5171" t="s">
        <v>16094</v>
      </c>
      <c r="F5171" t="s">
        <v>442</v>
      </c>
      <c r="G5171" t="s">
        <v>16095</v>
      </c>
      <c r="H5171" t="s">
        <v>444</v>
      </c>
      <c r="I5171" t="s">
        <v>29</v>
      </c>
      <c r="J5171">
        <v>1</v>
      </c>
      <c r="K5171">
        <f>1-866-475-5687</f>
        <v>-7027</v>
      </c>
      <c r="L5171" t="s">
        <v>16096</v>
      </c>
      <c r="M5171" t="s">
        <v>16097</v>
      </c>
      <c r="N5171" t="s">
        <v>213</v>
      </c>
      <c r="O5171" t="s">
        <v>28</v>
      </c>
      <c r="P5171" t="s">
        <v>2268</v>
      </c>
      <c r="Q5171">
        <v>46</v>
      </c>
      <c r="R5171">
        <v>-73.567300000000003</v>
      </c>
    </row>
    <row r="5172" spans="1:18" x14ac:dyDescent="0.2">
      <c r="A5172" t="s">
        <v>439</v>
      </c>
      <c r="B5172" t="s">
        <v>3094</v>
      </c>
      <c r="C5172">
        <v>47</v>
      </c>
      <c r="D5172" s="1">
        <v>44053.691527777781</v>
      </c>
      <c r="E5172" t="s">
        <v>16098</v>
      </c>
      <c r="F5172" t="s">
        <v>442</v>
      </c>
      <c r="G5172" t="s">
        <v>16099</v>
      </c>
      <c r="H5172" t="s">
        <v>444</v>
      </c>
      <c r="I5172" t="s">
        <v>6185</v>
      </c>
      <c r="J5172">
        <v>47</v>
      </c>
      <c r="K5172">
        <f>47-800-62-665</f>
        <v>-1480</v>
      </c>
      <c r="L5172" t="s">
        <v>16100</v>
      </c>
      <c r="M5172" t="s">
        <v>16101</v>
      </c>
      <c r="N5172" t="s">
        <v>213</v>
      </c>
      <c r="O5172" t="s">
        <v>28</v>
      </c>
      <c r="P5172" t="s">
        <v>2268</v>
      </c>
      <c r="Q5172">
        <v>46</v>
      </c>
      <c r="R5172">
        <v>-73.567300000000003</v>
      </c>
    </row>
    <row r="5173" spans="1:18" x14ac:dyDescent="0.2">
      <c r="A5173" t="s">
        <v>439</v>
      </c>
      <c r="B5173" t="s">
        <v>3094</v>
      </c>
      <c r="C5173">
        <v>1</v>
      </c>
      <c r="D5173" s="1">
        <v>44053.763981481483</v>
      </c>
      <c r="E5173" t="s">
        <v>16102</v>
      </c>
      <c r="F5173" t="s">
        <v>442</v>
      </c>
      <c r="G5173" t="s">
        <v>16103</v>
      </c>
      <c r="H5173" t="s">
        <v>444</v>
      </c>
      <c r="I5173" t="s">
        <v>29</v>
      </c>
      <c r="J5173">
        <v>1</v>
      </c>
      <c r="K5173">
        <f>1-888-525-795</f>
        <v>-2207</v>
      </c>
      <c r="L5173" t="s">
        <v>16104</v>
      </c>
      <c r="M5173" t="s">
        <v>16105</v>
      </c>
      <c r="N5173" t="s">
        <v>447</v>
      </c>
      <c r="O5173" t="s">
        <v>28</v>
      </c>
      <c r="P5173" t="s">
        <v>2268</v>
      </c>
      <c r="Q5173">
        <v>46</v>
      </c>
      <c r="R5173">
        <v>-73.567300000000003</v>
      </c>
    </row>
    <row r="5174" spans="1:18" x14ac:dyDescent="0.2">
      <c r="A5174" t="s">
        <v>270</v>
      </c>
      <c r="B5174" t="s">
        <v>271</v>
      </c>
      <c r="C5174">
        <v>1</v>
      </c>
      <c r="D5174" s="1">
        <v>44053.768229166664</v>
      </c>
      <c r="E5174" t="s">
        <v>16106</v>
      </c>
      <c r="F5174" t="s">
        <v>273</v>
      </c>
      <c r="G5174" t="s">
        <v>16107</v>
      </c>
      <c r="H5174" t="s">
        <v>275</v>
      </c>
      <c r="I5174" t="s">
        <v>29</v>
      </c>
      <c r="J5174">
        <v>1</v>
      </c>
      <c r="K5174">
        <f>1-888-381-5256</f>
        <v>-6524</v>
      </c>
      <c r="L5174" t="s">
        <v>16108</v>
      </c>
      <c r="M5174" t="s">
        <v>16109</v>
      </c>
      <c r="N5174" t="s">
        <v>278</v>
      </c>
      <c r="O5174" t="s">
        <v>134</v>
      </c>
      <c r="P5174" t="s">
        <v>29</v>
      </c>
      <c r="Q5174">
        <v>42</v>
      </c>
      <c r="R5174">
        <v>-93.620800000000003</v>
      </c>
    </row>
    <row r="5175" spans="1:18" x14ac:dyDescent="0.2">
      <c r="A5175" t="s">
        <v>663</v>
      </c>
      <c r="B5175" t="s">
        <v>3385</v>
      </c>
      <c r="C5175">
        <v>1</v>
      </c>
      <c r="D5175" s="1">
        <v>44055.983634259261</v>
      </c>
      <c r="E5175" t="s">
        <v>16110</v>
      </c>
      <c r="F5175" t="s">
        <v>2495</v>
      </c>
      <c r="G5175" t="s">
        <v>16111</v>
      </c>
      <c r="H5175" t="s">
        <v>667</v>
      </c>
      <c r="I5175" t="s">
        <v>29</v>
      </c>
      <c r="J5175">
        <v>1</v>
      </c>
      <c r="K5175">
        <f>1-877-644-3423</f>
        <v>-4943</v>
      </c>
      <c r="L5175" t="s">
        <v>16112</v>
      </c>
      <c r="M5175" t="s">
        <v>16113</v>
      </c>
      <c r="N5175" t="s">
        <v>213</v>
      </c>
      <c r="O5175" t="s">
        <v>28</v>
      </c>
      <c r="P5175" t="s">
        <v>29</v>
      </c>
      <c r="Q5175">
        <v>41</v>
      </c>
      <c r="R5175">
        <v>-74.006600000000006</v>
      </c>
    </row>
    <row r="5176" spans="1:18" x14ac:dyDescent="0.2">
      <c r="A5176" t="s">
        <v>663</v>
      </c>
      <c r="B5176" t="s">
        <v>3385</v>
      </c>
      <c r="C5176">
        <v>1</v>
      </c>
      <c r="D5176" s="1">
        <v>44054.971122685187</v>
      </c>
      <c r="E5176" t="s">
        <v>16114</v>
      </c>
      <c r="F5176" t="s">
        <v>2495</v>
      </c>
      <c r="G5176" t="s">
        <v>16111</v>
      </c>
      <c r="H5176" t="s">
        <v>667</v>
      </c>
      <c r="I5176" t="s">
        <v>29</v>
      </c>
      <c r="J5176">
        <v>1</v>
      </c>
      <c r="K5176">
        <f>1-877-633-1792</f>
        <v>-3301</v>
      </c>
      <c r="L5176" t="s">
        <v>16115</v>
      </c>
      <c r="M5176" t="s">
        <v>16116</v>
      </c>
      <c r="N5176" t="s">
        <v>447</v>
      </c>
      <c r="O5176" t="s">
        <v>28</v>
      </c>
      <c r="P5176" t="s">
        <v>29</v>
      </c>
      <c r="Q5176">
        <v>41</v>
      </c>
      <c r="R5176">
        <v>-74.006600000000006</v>
      </c>
    </row>
    <row r="5177" spans="1:18" x14ac:dyDescent="0.2">
      <c r="A5177" t="s">
        <v>663</v>
      </c>
      <c r="B5177" t="s">
        <v>3385</v>
      </c>
      <c r="C5177">
        <v>1</v>
      </c>
      <c r="D5177" s="1">
        <v>44054.801215277781</v>
      </c>
      <c r="E5177" t="s">
        <v>16117</v>
      </c>
      <c r="F5177" t="s">
        <v>2495</v>
      </c>
      <c r="G5177" t="s">
        <v>16111</v>
      </c>
      <c r="H5177" t="s">
        <v>667</v>
      </c>
      <c r="I5177" t="s">
        <v>29</v>
      </c>
      <c r="J5177">
        <v>1</v>
      </c>
      <c r="K5177">
        <f>1-844-949-3640</f>
        <v>-5432</v>
      </c>
      <c r="L5177" t="s">
        <v>16118</v>
      </c>
      <c r="M5177" t="s">
        <v>16119</v>
      </c>
      <c r="N5177" t="s">
        <v>213</v>
      </c>
      <c r="O5177" t="s">
        <v>28</v>
      </c>
      <c r="P5177" t="s">
        <v>29</v>
      </c>
      <c r="Q5177">
        <v>41</v>
      </c>
      <c r="R5177">
        <v>-74.006600000000006</v>
      </c>
    </row>
    <row r="5178" spans="1:18" x14ac:dyDescent="0.2">
      <c r="A5178" t="s">
        <v>663</v>
      </c>
      <c r="B5178" t="s">
        <v>3385</v>
      </c>
      <c r="C5178">
        <v>1</v>
      </c>
      <c r="D5178" s="1">
        <v>44053.993750000001</v>
      </c>
      <c r="E5178" t="s">
        <v>16120</v>
      </c>
      <c r="F5178" t="s">
        <v>2495</v>
      </c>
      <c r="G5178" t="s">
        <v>16111</v>
      </c>
      <c r="H5178" t="s">
        <v>667</v>
      </c>
      <c r="I5178" t="s">
        <v>29</v>
      </c>
      <c r="J5178">
        <v>1</v>
      </c>
      <c r="K5178">
        <f>1-800-832-1084</f>
        <v>-2715</v>
      </c>
      <c r="L5178" t="s">
        <v>16121</v>
      </c>
      <c r="M5178" t="s">
        <v>16122</v>
      </c>
      <c r="N5178" t="s">
        <v>674</v>
      </c>
      <c r="O5178" t="s">
        <v>28</v>
      </c>
      <c r="P5178" t="s">
        <v>29</v>
      </c>
      <c r="Q5178">
        <v>41</v>
      </c>
      <c r="R5178">
        <v>-74.006600000000006</v>
      </c>
    </row>
    <row r="5179" spans="1:18" x14ac:dyDescent="0.2">
      <c r="A5179" t="s">
        <v>663</v>
      </c>
      <c r="B5179" t="s">
        <v>3385</v>
      </c>
      <c r="C5179">
        <v>1</v>
      </c>
      <c r="D5179" s="1">
        <v>44053.861157407409</v>
      </c>
      <c r="E5179" t="s">
        <v>16123</v>
      </c>
      <c r="F5179" t="s">
        <v>2495</v>
      </c>
      <c r="G5179" t="s">
        <v>16111</v>
      </c>
      <c r="H5179" t="s">
        <v>667</v>
      </c>
      <c r="I5179" t="s">
        <v>29</v>
      </c>
      <c r="J5179">
        <v>1</v>
      </c>
      <c r="K5179">
        <f>1-800-689-4293</f>
        <v>-5781</v>
      </c>
      <c r="L5179" t="s">
        <v>16124</v>
      </c>
      <c r="M5179" t="s">
        <v>16125</v>
      </c>
      <c r="N5179" t="s">
        <v>674</v>
      </c>
      <c r="O5179" t="s">
        <v>28</v>
      </c>
      <c r="P5179" t="s">
        <v>29</v>
      </c>
      <c r="Q5179">
        <v>41</v>
      </c>
      <c r="R5179">
        <v>-74.006600000000006</v>
      </c>
    </row>
    <row r="5180" spans="1:18" x14ac:dyDescent="0.2">
      <c r="A5180" t="s">
        <v>663</v>
      </c>
      <c r="B5180" t="s">
        <v>5337</v>
      </c>
      <c r="C5180">
        <v>1</v>
      </c>
      <c r="D5180" s="1">
        <v>44053.898819444446</v>
      </c>
      <c r="E5180" t="s">
        <v>16126</v>
      </c>
      <c r="F5180" t="s">
        <v>666</v>
      </c>
      <c r="G5180" t="s">
        <v>16127</v>
      </c>
      <c r="H5180" t="s">
        <v>667</v>
      </c>
      <c r="I5180" t="s">
        <v>29</v>
      </c>
      <c r="J5180">
        <v>1</v>
      </c>
      <c r="K5180">
        <f>1-855-503-427</f>
        <v>-1784</v>
      </c>
      <c r="L5180" t="s">
        <v>16128</v>
      </c>
      <c r="M5180" t="s">
        <v>16129</v>
      </c>
      <c r="N5180" t="s">
        <v>1645</v>
      </c>
      <c r="O5180" t="s">
        <v>28</v>
      </c>
      <c r="P5180" t="s">
        <v>29</v>
      </c>
      <c r="Q5180">
        <v>38</v>
      </c>
      <c r="R5180">
        <v>-99.999999000000003</v>
      </c>
    </row>
    <row r="5181" spans="1:18" x14ac:dyDescent="0.2">
      <c r="A5181" t="s">
        <v>439</v>
      </c>
      <c r="B5181" t="s">
        <v>3094</v>
      </c>
      <c r="C5181">
        <v>1</v>
      </c>
      <c r="D5181" s="1">
        <v>44053.929375</v>
      </c>
      <c r="E5181" t="s">
        <v>16130</v>
      </c>
      <c r="F5181" t="s">
        <v>442</v>
      </c>
      <c r="G5181" t="s">
        <v>16131</v>
      </c>
      <c r="H5181" t="s">
        <v>444</v>
      </c>
      <c r="I5181" t="s">
        <v>29</v>
      </c>
      <c r="J5181">
        <v>1</v>
      </c>
      <c r="K5181">
        <f>1-888-382-212</f>
        <v>-1481</v>
      </c>
      <c r="L5181" t="s">
        <v>16132</v>
      </c>
      <c r="M5181" t="s">
        <v>16133</v>
      </c>
      <c r="N5181" t="s">
        <v>36</v>
      </c>
      <c r="O5181" t="s">
        <v>28</v>
      </c>
      <c r="P5181" t="s">
        <v>2268</v>
      </c>
      <c r="Q5181">
        <v>46</v>
      </c>
      <c r="R5181">
        <v>-73.567300000000003</v>
      </c>
    </row>
    <row r="5182" spans="1:18" x14ac:dyDescent="0.2">
      <c r="A5182" t="s">
        <v>663</v>
      </c>
      <c r="B5182" t="s">
        <v>5337</v>
      </c>
      <c r="C5182">
        <v>1</v>
      </c>
      <c r="D5182" s="1">
        <v>44053.948611111111</v>
      </c>
      <c r="E5182" t="s">
        <v>16134</v>
      </c>
      <c r="F5182" t="s">
        <v>666</v>
      </c>
      <c r="G5182" t="s">
        <v>16134</v>
      </c>
      <c r="H5182" t="s">
        <v>667</v>
      </c>
      <c r="I5182" t="s">
        <v>29</v>
      </c>
      <c r="J5182">
        <v>1</v>
      </c>
      <c r="K5182">
        <f>1-888-538-165</f>
        <v>-1590</v>
      </c>
      <c r="L5182" t="s">
        <v>16135</v>
      </c>
      <c r="M5182" t="s">
        <v>16136</v>
      </c>
      <c r="N5182">
        <v>242</v>
      </c>
      <c r="O5182" t="s">
        <v>134</v>
      </c>
      <c r="P5182" t="s">
        <v>29</v>
      </c>
      <c r="Q5182">
        <v>38</v>
      </c>
      <c r="R5182">
        <v>-99.999999000000003</v>
      </c>
    </row>
    <row r="5183" spans="1:18" x14ac:dyDescent="0.2">
      <c r="A5183" t="s">
        <v>439</v>
      </c>
      <c r="B5183" t="s">
        <v>3094</v>
      </c>
      <c r="C5183">
        <v>1</v>
      </c>
      <c r="D5183" s="1">
        <v>44054.057916666665</v>
      </c>
      <c r="E5183" t="s">
        <v>16137</v>
      </c>
      <c r="F5183" t="s">
        <v>442</v>
      </c>
      <c r="G5183" t="s">
        <v>16138</v>
      </c>
      <c r="H5183" t="s">
        <v>444</v>
      </c>
      <c r="I5183" t="s">
        <v>29</v>
      </c>
      <c r="J5183">
        <v>1</v>
      </c>
      <c r="K5183">
        <f>1-888-525-795</f>
        <v>-2207</v>
      </c>
      <c r="L5183" t="s">
        <v>16139</v>
      </c>
      <c r="M5183" t="s">
        <v>16140</v>
      </c>
      <c r="N5183" t="s">
        <v>674</v>
      </c>
      <c r="O5183" t="s">
        <v>28</v>
      </c>
      <c r="P5183" t="s">
        <v>2268</v>
      </c>
      <c r="Q5183">
        <v>46</v>
      </c>
      <c r="R5183">
        <v>-73.567300000000003</v>
      </c>
    </row>
    <row r="5184" spans="1:18" x14ac:dyDescent="0.2">
      <c r="A5184" t="s">
        <v>439</v>
      </c>
      <c r="B5184" t="s">
        <v>3094</v>
      </c>
      <c r="C5184">
        <v>1</v>
      </c>
      <c r="D5184" s="1">
        <v>44054.557824074072</v>
      </c>
      <c r="E5184" t="s">
        <v>16141</v>
      </c>
      <c r="F5184" t="s">
        <v>442</v>
      </c>
      <c r="G5184" t="s">
        <v>16142</v>
      </c>
      <c r="H5184" t="s">
        <v>444</v>
      </c>
      <c r="I5184" t="s">
        <v>29</v>
      </c>
      <c r="J5184">
        <v>1</v>
      </c>
      <c r="K5184">
        <f>1-888-533-836</f>
        <v>-2256</v>
      </c>
      <c r="L5184" t="s">
        <v>16143</v>
      </c>
      <c r="M5184" t="s">
        <v>16144</v>
      </c>
      <c r="N5184" t="s">
        <v>213</v>
      </c>
      <c r="O5184" t="s">
        <v>28</v>
      </c>
      <c r="P5184" t="s">
        <v>2268</v>
      </c>
      <c r="Q5184">
        <v>46</v>
      </c>
      <c r="R5184">
        <v>-73.567300000000003</v>
      </c>
    </row>
    <row r="5185" spans="1:18" x14ac:dyDescent="0.2">
      <c r="A5185" t="s">
        <v>439</v>
      </c>
      <c r="B5185" t="s">
        <v>3094</v>
      </c>
      <c r="C5185">
        <v>47</v>
      </c>
      <c r="D5185" s="1">
        <v>44054.558240740742</v>
      </c>
      <c r="E5185" t="s">
        <v>16145</v>
      </c>
      <c r="F5185" t="s">
        <v>442</v>
      </c>
      <c r="G5185" t="s">
        <v>16146</v>
      </c>
      <c r="H5185" t="s">
        <v>444</v>
      </c>
      <c r="I5185" t="s">
        <v>6185</v>
      </c>
      <c r="J5185">
        <v>47</v>
      </c>
      <c r="K5185">
        <f>47-800-62-665</f>
        <v>-1480</v>
      </c>
      <c r="L5185" t="s">
        <v>16147</v>
      </c>
      <c r="M5185" t="s">
        <v>16148</v>
      </c>
      <c r="N5185" t="s">
        <v>213</v>
      </c>
      <c r="O5185" t="s">
        <v>28</v>
      </c>
      <c r="P5185" t="s">
        <v>2268</v>
      </c>
      <c r="Q5185">
        <v>46</v>
      </c>
      <c r="R5185">
        <v>-73.567300000000003</v>
      </c>
    </row>
    <row r="5186" spans="1:18" x14ac:dyDescent="0.2">
      <c r="A5186" t="s">
        <v>2349</v>
      </c>
      <c r="B5186" t="s">
        <v>10634</v>
      </c>
      <c r="C5186">
        <v>49</v>
      </c>
      <c r="D5186" s="1">
        <v>44054.565613425926</v>
      </c>
      <c r="E5186" t="s">
        <v>16149</v>
      </c>
      <c r="F5186" t="s">
        <v>2352</v>
      </c>
      <c r="G5186" t="s">
        <v>16149</v>
      </c>
      <c r="H5186" t="s">
        <v>2353</v>
      </c>
      <c r="I5186" t="s">
        <v>24</v>
      </c>
      <c r="J5186">
        <v>49</v>
      </c>
      <c r="K5186">
        <f>49-322-2109-2416</f>
        <v>-4798</v>
      </c>
      <c r="L5186" t="s">
        <v>16150</v>
      </c>
      <c r="M5186" t="s">
        <v>16151</v>
      </c>
      <c r="N5186">
        <v>26</v>
      </c>
      <c r="O5186" t="s">
        <v>134</v>
      </c>
      <c r="P5186" t="s">
        <v>292</v>
      </c>
      <c r="Q5186">
        <v>49</v>
      </c>
      <c r="R5186">
        <v>2.3868999999999998</v>
      </c>
    </row>
    <row r="5187" spans="1:18" x14ac:dyDescent="0.2">
      <c r="A5187" t="s">
        <v>675</v>
      </c>
      <c r="B5187" t="s">
        <v>676</v>
      </c>
      <c r="C5187">
        <v>1</v>
      </c>
      <c r="D5187" s="1">
        <v>44054.757638888892</v>
      </c>
      <c r="E5187" t="s">
        <v>16152</v>
      </c>
      <c r="F5187" t="s">
        <v>3107</v>
      </c>
      <c r="G5187" t="s">
        <v>16153</v>
      </c>
      <c r="H5187" t="s">
        <v>680</v>
      </c>
      <c r="I5187" t="s">
        <v>29</v>
      </c>
      <c r="J5187">
        <v>1</v>
      </c>
      <c r="K5187">
        <f>1-800-656-8553</f>
        <v>-10008</v>
      </c>
      <c r="L5187" t="s">
        <v>16154</v>
      </c>
      <c r="M5187" t="s">
        <v>16155</v>
      </c>
      <c r="N5187" t="s">
        <v>683</v>
      </c>
      <c r="O5187" t="s">
        <v>28</v>
      </c>
      <c r="P5187" t="s">
        <v>29</v>
      </c>
      <c r="Q5187">
        <v>33</v>
      </c>
      <c r="R5187">
        <v>-99.999999000000003</v>
      </c>
    </row>
    <row r="5188" spans="1:18" x14ac:dyDescent="0.2">
      <c r="A5188" t="s">
        <v>439</v>
      </c>
      <c r="B5188" t="s">
        <v>3094</v>
      </c>
      <c r="C5188">
        <v>1</v>
      </c>
      <c r="D5188" s="1">
        <v>44054.709444444445</v>
      </c>
      <c r="E5188" t="s">
        <v>16156</v>
      </c>
      <c r="F5188" t="s">
        <v>442</v>
      </c>
      <c r="G5188" t="s">
        <v>16157</v>
      </c>
      <c r="H5188" t="s">
        <v>444</v>
      </c>
      <c r="I5188" t="s">
        <v>29</v>
      </c>
      <c r="J5188">
        <v>1</v>
      </c>
      <c r="K5188">
        <f>1-888-528-191</f>
        <v>-1606</v>
      </c>
      <c r="L5188" t="s">
        <v>16158</v>
      </c>
      <c r="M5188" t="s">
        <v>16159</v>
      </c>
      <c r="N5188" t="s">
        <v>213</v>
      </c>
      <c r="O5188" t="s">
        <v>28</v>
      </c>
      <c r="P5188" t="s">
        <v>2268</v>
      </c>
      <c r="Q5188">
        <v>46</v>
      </c>
      <c r="R5188">
        <v>-73.567300000000003</v>
      </c>
    </row>
    <row r="5189" spans="1:18" x14ac:dyDescent="0.2">
      <c r="A5189" t="s">
        <v>439</v>
      </c>
      <c r="B5189" t="s">
        <v>3094</v>
      </c>
      <c r="C5189">
        <v>1</v>
      </c>
      <c r="D5189" s="1">
        <v>44054.758055555554</v>
      </c>
      <c r="E5189" t="s">
        <v>16160</v>
      </c>
      <c r="F5189" t="s">
        <v>442</v>
      </c>
      <c r="G5189" t="s">
        <v>16161</v>
      </c>
      <c r="H5189" t="s">
        <v>444</v>
      </c>
      <c r="I5189" t="s">
        <v>29</v>
      </c>
      <c r="J5189">
        <v>1</v>
      </c>
      <c r="K5189">
        <f>1-844-487-4658</f>
        <v>-5988</v>
      </c>
      <c r="L5189" t="s">
        <v>16162</v>
      </c>
      <c r="M5189" t="s">
        <v>16163</v>
      </c>
      <c r="N5189" t="s">
        <v>213</v>
      </c>
      <c r="O5189" t="s">
        <v>28</v>
      </c>
      <c r="P5189" t="s">
        <v>2268</v>
      </c>
      <c r="Q5189">
        <v>46</v>
      </c>
      <c r="R5189">
        <v>-73.567300000000003</v>
      </c>
    </row>
    <row r="5190" spans="1:18" x14ac:dyDescent="0.2">
      <c r="A5190" t="s">
        <v>663</v>
      </c>
      <c r="B5190" t="s">
        <v>3385</v>
      </c>
      <c r="C5190">
        <v>1</v>
      </c>
      <c r="D5190" s="1">
        <v>44054.768391203703</v>
      </c>
      <c r="E5190" t="s">
        <v>16164</v>
      </c>
      <c r="F5190" t="s">
        <v>666</v>
      </c>
      <c r="G5190" t="s">
        <v>16164</v>
      </c>
      <c r="H5190" t="s">
        <v>667</v>
      </c>
      <c r="I5190" t="s">
        <v>29</v>
      </c>
      <c r="J5190">
        <v>1</v>
      </c>
      <c r="K5190">
        <f>1-888-531-1598</f>
        <v>-3016</v>
      </c>
      <c r="L5190" t="s">
        <v>16165</v>
      </c>
      <c r="M5190" t="s">
        <v>16166</v>
      </c>
      <c r="N5190">
        <v>246</v>
      </c>
      <c r="O5190" t="s">
        <v>134</v>
      </c>
      <c r="P5190" t="s">
        <v>29</v>
      </c>
      <c r="Q5190">
        <v>41</v>
      </c>
      <c r="R5190">
        <v>-73.996600000000001</v>
      </c>
    </row>
    <row r="5191" spans="1:18" x14ac:dyDescent="0.2">
      <c r="A5191" t="s">
        <v>663</v>
      </c>
      <c r="B5191" t="s">
        <v>2493</v>
      </c>
      <c r="C5191">
        <v>1</v>
      </c>
      <c r="D5191" s="1">
        <v>44054.794733796298</v>
      </c>
      <c r="E5191" t="s">
        <v>16167</v>
      </c>
      <c r="F5191" t="s">
        <v>666</v>
      </c>
      <c r="G5191" t="s">
        <v>16167</v>
      </c>
      <c r="H5191" t="s">
        <v>667</v>
      </c>
      <c r="I5191" t="s">
        <v>29</v>
      </c>
      <c r="J5191">
        <v>1</v>
      </c>
      <c r="K5191">
        <f>1-888-531-1598</f>
        <v>-3016</v>
      </c>
      <c r="L5191" t="s">
        <v>16168</v>
      </c>
      <c r="M5191" t="s">
        <v>16169</v>
      </c>
      <c r="N5191">
        <v>117</v>
      </c>
      <c r="O5191" t="s">
        <v>134</v>
      </c>
      <c r="P5191" t="s">
        <v>29</v>
      </c>
      <c r="Q5191">
        <v>41</v>
      </c>
      <c r="R5191">
        <v>-74.024699999999996</v>
      </c>
    </row>
    <row r="5192" spans="1:18" x14ac:dyDescent="0.2">
      <c r="A5192" t="s">
        <v>663</v>
      </c>
      <c r="B5192" t="s">
        <v>3385</v>
      </c>
      <c r="C5192">
        <v>1</v>
      </c>
      <c r="D5192" s="1">
        <v>44054.831504629627</v>
      </c>
      <c r="E5192" t="s">
        <v>16170</v>
      </c>
      <c r="F5192" t="s">
        <v>666</v>
      </c>
      <c r="G5192" t="s">
        <v>16170</v>
      </c>
      <c r="H5192" t="s">
        <v>667</v>
      </c>
      <c r="I5192" t="s">
        <v>29</v>
      </c>
      <c r="J5192">
        <v>1</v>
      </c>
      <c r="K5192">
        <f>1-888-655-2584</f>
        <v>-4126</v>
      </c>
      <c r="L5192" t="s">
        <v>16171</v>
      </c>
      <c r="M5192" t="s">
        <v>16172</v>
      </c>
      <c r="N5192">
        <v>227</v>
      </c>
      <c r="O5192" t="s">
        <v>134</v>
      </c>
      <c r="P5192" t="s">
        <v>29</v>
      </c>
      <c r="Q5192">
        <v>41</v>
      </c>
      <c r="R5192">
        <v>-74.006600000000006</v>
      </c>
    </row>
    <row r="5193" spans="1:18" x14ac:dyDescent="0.2">
      <c r="A5193" t="s">
        <v>439</v>
      </c>
      <c r="B5193" t="s">
        <v>3094</v>
      </c>
      <c r="C5193">
        <v>1</v>
      </c>
      <c r="D5193" s="1">
        <v>44054.832754629628</v>
      </c>
      <c r="E5193" t="s">
        <v>16173</v>
      </c>
      <c r="F5193" t="s">
        <v>442</v>
      </c>
      <c r="G5193" t="s">
        <v>16174</v>
      </c>
      <c r="H5193" t="s">
        <v>444</v>
      </c>
      <c r="I5193" t="s">
        <v>29</v>
      </c>
      <c r="J5193">
        <v>1</v>
      </c>
      <c r="K5193">
        <f>1-866-639-9691</f>
        <v>-11195</v>
      </c>
      <c r="L5193" t="s">
        <v>16175</v>
      </c>
      <c r="M5193" t="s">
        <v>16176</v>
      </c>
      <c r="N5193" t="s">
        <v>36</v>
      </c>
      <c r="O5193" t="s">
        <v>28</v>
      </c>
      <c r="P5193" t="s">
        <v>2268</v>
      </c>
      <c r="Q5193">
        <v>46</v>
      </c>
      <c r="R5193">
        <v>-73.567300000000003</v>
      </c>
    </row>
    <row r="5194" spans="1:18" x14ac:dyDescent="0.2">
      <c r="A5194" t="s">
        <v>2349</v>
      </c>
      <c r="B5194" t="s">
        <v>6134</v>
      </c>
      <c r="C5194">
        <v>1</v>
      </c>
      <c r="D5194" s="1">
        <v>44054.835949074077</v>
      </c>
      <c r="E5194" t="s">
        <v>16177</v>
      </c>
      <c r="F5194" t="s">
        <v>2352</v>
      </c>
      <c r="G5194" t="s">
        <v>16178</v>
      </c>
      <c r="H5194" t="s">
        <v>2353</v>
      </c>
      <c r="I5194" t="s">
        <v>29</v>
      </c>
      <c r="J5194">
        <v>1</v>
      </c>
      <c r="K5194">
        <f>1-866-220-1222</f>
        <v>-2307</v>
      </c>
      <c r="L5194" t="s">
        <v>16179</v>
      </c>
      <c r="M5194" t="s">
        <v>16180</v>
      </c>
      <c r="N5194" t="s">
        <v>5986</v>
      </c>
      <c r="O5194" t="s">
        <v>28</v>
      </c>
      <c r="P5194" t="s">
        <v>29</v>
      </c>
      <c r="Q5194">
        <v>33</v>
      </c>
      <c r="R5194">
        <v>-96.802099999999996</v>
      </c>
    </row>
    <row r="5195" spans="1:18" x14ac:dyDescent="0.2">
      <c r="A5195" t="s">
        <v>663</v>
      </c>
      <c r="B5195" t="s">
        <v>2493</v>
      </c>
      <c r="C5195">
        <v>1</v>
      </c>
      <c r="D5195" s="1">
        <v>44054.855358796296</v>
      </c>
      <c r="E5195" t="s">
        <v>16181</v>
      </c>
      <c r="F5195" t="s">
        <v>666</v>
      </c>
      <c r="G5195" t="s">
        <v>16181</v>
      </c>
      <c r="H5195" t="s">
        <v>667</v>
      </c>
      <c r="I5195" t="s">
        <v>29</v>
      </c>
      <c r="J5195">
        <v>1</v>
      </c>
      <c r="K5195">
        <f>1-888-441-3285</f>
        <v>-4613</v>
      </c>
      <c r="L5195" t="s">
        <v>16182</v>
      </c>
      <c r="M5195" t="s">
        <v>16183</v>
      </c>
      <c r="N5195">
        <v>171</v>
      </c>
      <c r="O5195" t="s">
        <v>134</v>
      </c>
      <c r="P5195" t="s">
        <v>29</v>
      </c>
      <c r="Q5195">
        <v>41</v>
      </c>
      <c r="R5195">
        <v>-74.024699999999996</v>
      </c>
    </row>
    <row r="5196" spans="1:18" x14ac:dyDescent="0.2">
      <c r="A5196" t="s">
        <v>663</v>
      </c>
      <c r="B5196" t="s">
        <v>664</v>
      </c>
      <c r="C5196">
        <v>1</v>
      </c>
      <c r="D5196" s="1">
        <v>44054.861817129633</v>
      </c>
      <c r="E5196" t="s">
        <v>16184</v>
      </c>
      <c r="F5196" t="s">
        <v>666</v>
      </c>
      <c r="G5196" t="s">
        <v>16184</v>
      </c>
      <c r="H5196" t="s">
        <v>667</v>
      </c>
      <c r="I5196" t="s">
        <v>29</v>
      </c>
      <c r="J5196">
        <v>1</v>
      </c>
      <c r="K5196">
        <f>1-888-521-2452</f>
        <v>-3860</v>
      </c>
      <c r="L5196" t="s">
        <v>16185</v>
      </c>
      <c r="M5196" t="s">
        <v>16186</v>
      </c>
      <c r="N5196">
        <v>94</v>
      </c>
      <c r="O5196" t="s">
        <v>134</v>
      </c>
      <c r="P5196" t="s">
        <v>29</v>
      </c>
      <c r="Q5196">
        <v>37</v>
      </c>
      <c r="R5196">
        <v>-99.999999000000003</v>
      </c>
    </row>
    <row r="5197" spans="1:18" x14ac:dyDescent="0.2">
      <c r="A5197" t="s">
        <v>439</v>
      </c>
      <c r="B5197" t="s">
        <v>3094</v>
      </c>
      <c r="C5197">
        <v>1</v>
      </c>
      <c r="D5197" s="1">
        <v>44054.866550925923</v>
      </c>
      <c r="E5197" t="s">
        <v>16187</v>
      </c>
      <c r="F5197" t="s">
        <v>442</v>
      </c>
      <c r="G5197" t="s">
        <v>16188</v>
      </c>
      <c r="H5197" t="s">
        <v>444</v>
      </c>
      <c r="I5197" t="s">
        <v>29</v>
      </c>
      <c r="J5197">
        <v>1</v>
      </c>
      <c r="K5197">
        <f>1-888-535-2312</f>
        <v>-3734</v>
      </c>
      <c r="L5197" t="s">
        <v>16189</v>
      </c>
      <c r="M5197" t="s">
        <v>16190</v>
      </c>
      <c r="N5197" t="s">
        <v>36</v>
      </c>
      <c r="O5197" t="s">
        <v>28</v>
      </c>
      <c r="P5197" t="s">
        <v>2268</v>
      </c>
      <c r="Q5197">
        <v>46</v>
      </c>
      <c r="R5197">
        <v>-73.567300000000003</v>
      </c>
    </row>
    <row r="5198" spans="1:18" x14ac:dyDescent="0.2">
      <c r="A5198" t="s">
        <v>663</v>
      </c>
      <c r="B5198" t="s">
        <v>664</v>
      </c>
      <c r="C5198">
        <v>1</v>
      </c>
      <c r="D5198" s="1">
        <v>44054.884525462963</v>
      </c>
      <c r="E5198" t="s">
        <v>16191</v>
      </c>
      <c r="F5198" t="s">
        <v>666</v>
      </c>
      <c r="G5198" t="s">
        <v>16191</v>
      </c>
      <c r="H5198" t="s">
        <v>667</v>
      </c>
      <c r="I5198" t="s">
        <v>29</v>
      </c>
      <c r="J5198">
        <v>1</v>
      </c>
      <c r="K5198">
        <f>1-888-909-1305</f>
        <v>-3101</v>
      </c>
      <c r="L5198" t="s">
        <v>16192</v>
      </c>
      <c r="M5198" t="s">
        <v>16193</v>
      </c>
      <c r="N5198">
        <v>251</v>
      </c>
      <c r="O5198" t="s">
        <v>134</v>
      </c>
      <c r="P5198" t="s">
        <v>29</v>
      </c>
      <c r="Q5198">
        <v>37</v>
      </c>
      <c r="R5198">
        <v>-99.999999000000003</v>
      </c>
    </row>
    <row r="5199" spans="1:18" x14ac:dyDescent="0.2">
      <c r="A5199" t="s">
        <v>663</v>
      </c>
      <c r="B5199" t="s">
        <v>2493</v>
      </c>
      <c r="C5199">
        <v>1</v>
      </c>
      <c r="D5199" s="1">
        <v>44054.88653935185</v>
      </c>
      <c r="E5199" t="s">
        <v>16194</v>
      </c>
      <c r="F5199" t="s">
        <v>666</v>
      </c>
      <c r="G5199" t="s">
        <v>16194</v>
      </c>
      <c r="H5199" t="s">
        <v>667</v>
      </c>
      <c r="I5199" t="s">
        <v>29</v>
      </c>
      <c r="J5199">
        <v>1</v>
      </c>
      <c r="K5199">
        <f>1-888-521-2458</f>
        <v>-3866</v>
      </c>
      <c r="L5199" t="s">
        <v>16195</v>
      </c>
      <c r="M5199" t="s">
        <v>16196</v>
      </c>
      <c r="N5199">
        <v>42</v>
      </c>
      <c r="O5199" t="s">
        <v>134</v>
      </c>
      <c r="P5199" t="s">
        <v>29</v>
      </c>
      <c r="Q5199">
        <v>41</v>
      </c>
      <c r="R5199">
        <v>-74.024699999999996</v>
      </c>
    </row>
    <row r="5200" spans="1:18" x14ac:dyDescent="0.2">
      <c r="A5200" t="s">
        <v>3420</v>
      </c>
      <c r="B5200" t="s">
        <v>6921</v>
      </c>
      <c r="C5200">
        <v>1</v>
      </c>
      <c r="D5200" s="1">
        <v>44054.887314814812</v>
      </c>
      <c r="E5200" t="s">
        <v>16197</v>
      </c>
      <c r="F5200" t="s">
        <v>3422</v>
      </c>
      <c r="G5200" t="s">
        <v>16197</v>
      </c>
      <c r="H5200" t="s">
        <v>3423</v>
      </c>
      <c r="I5200" t="s">
        <v>29</v>
      </c>
      <c r="J5200">
        <v>1</v>
      </c>
      <c r="K5200">
        <f>1-844-302-4967</f>
        <v>-6112</v>
      </c>
      <c r="L5200" t="s">
        <v>16198</v>
      </c>
      <c r="M5200" t="s">
        <v>16199</v>
      </c>
      <c r="N5200">
        <v>134</v>
      </c>
      <c r="O5200" t="s">
        <v>134</v>
      </c>
      <c r="P5200" t="s">
        <v>29</v>
      </c>
      <c r="Q5200">
        <v>41</v>
      </c>
      <c r="R5200">
        <v>-95.860799999999998</v>
      </c>
    </row>
    <row r="5201" spans="1:18" x14ac:dyDescent="0.2">
      <c r="A5201" t="s">
        <v>675</v>
      </c>
      <c r="B5201" t="s">
        <v>1412</v>
      </c>
      <c r="C5201">
        <v>1</v>
      </c>
      <c r="D5201" s="1">
        <v>44054.913425925923</v>
      </c>
      <c r="E5201" t="s">
        <v>16200</v>
      </c>
      <c r="F5201" t="s">
        <v>678</v>
      </c>
      <c r="G5201" t="s">
        <v>16201</v>
      </c>
      <c r="H5201" t="s">
        <v>680</v>
      </c>
      <c r="I5201" t="s">
        <v>29</v>
      </c>
      <c r="J5201">
        <v>1</v>
      </c>
      <c r="K5201">
        <f>1-855-970-249</f>
        <v>-2073</v>
      </c>
      <c r="L5201" t="s">
        <v>16202</v>
      </c>
      <c r="M5201" t="s">
        <v>16203</v>
      </c>
      <c r="N5201" t="s">
        <v>452</v>
      </c>
      <c r="O5201" t="s">
        <v>28</v>
      </c>
      <c r="P5201" t="s">
        <v>29</v>
      </c>
      <c r="Q5201">
        <v>41</v>
      </c>
      <c r="R5201">
        <v>-74.172399999999996</v>
      </c>
    </row>
    <row r="5202" spans="1:18" x14ac:dyDescent="0.2">
      <c r="A5202" t="s">
        <v>663</v>
      </c>
      <c r="B5202" t="s">
        <v>2493</v>
      </c>
      <c r="C5202">
        <v>1</v>
      </c>
      <c r="D5202" s="1">
        <v>44054.924722222226</v>
      </c>
      <c r="E5202" t="s">
        <v>16204</v>
      </c>
      <c r="F5202" t="s">
        <v>666</v>
      </c>
      <c r="G5202" t="s">
        <v>16204</v>
      </c>
      <c r="H5202" t="s">
        <v>667</v>
      </c>
      <c r="I5202" t="s">
        <v>29</v>
      </c>
      <c r="J5202">
        <v>1</v>
      </c>
      <c r="K5202">
        <f>1-888-521-2458</f>
        <v>-3866</v>
      </c>
      <c r="L5202" t="s">
        <v>16205</v>
      </c>
      <c r="M5202" t="s">
        <v>16206</v>
      </c>
      <c r="N5202">
        <v>66</v>
      </c>
      <c r="O5202" t="s">
        <v>134</v>
      </c>
      <c r="P5202" t="s">
        <v>29</v>
      </c>
      <c r="Q5202">
        <v>41</v>
      </c>
      <c r="R5202">
        <v>-74.024699999999996</v>
      </c>
    </row>
    <row r="5203" spans="1:18" x14ac:dyDescent="0.2">
      <c r="A5203" t="s">
        <v>675</v>
      </c>
      <c r="B5203" t="s">
        <v>1412</v>
      </c>
      <c r="C5203">
        <v>1</v>
      </c>
      <c r="D5203" s="1">
        <v>44054.924814814818</v>
      </c>
      <c r="E5203" t="s">
        <v>16207</v>
      </c>
      <c r="F5203" t="s">
        <v>678</v>
      </c>
      <c r="G5203" t="s">
        <v>16208</v>
      </c>
      <c r="H5203" t="s">
        <v>680</v>
      </c>
      <c r="I5203" t="s">
        <v>29</v>
      </c>
      <c r="J5203">
        <v>1</v>
      </c>
      <c r="K5203">
        <f>1-855-970-249</f>
        <v>-2073</v>
      </c>
      <c r="L5203" t="s">
        <v>16209</v>
      </c>
      <c r="M5203" t="s">
        <v>16210</v>
      </c>
      <c r="N5203" t="s">
        <v>452</v>
      </c>
      <c r="O5203" t="s">
        <v>28</v>
      </c>
      <c r="P5203" t="s">
        <v>29</v>
      </c>
      <c r="Q5203">
        <v>41</v>
      </c>
      <c r="R5203">
        <v>-74.172399999999996</v>
      </c>
    </row>
    <row r="5204" spans="1:18" x14ac:dyDescent="0.2">
      <c r="A5204" t="s">
        <v>663</v>
      </c>
      <c r="B5204" t="s">
        <v>3385</v>
      </c>
      <c r="C5204">
        <v>1</v>
      </c>
      <c r="D5204" s="1">
        <v>44054.934247685182</v>
      </c>
      <c r="E5204" t="s">
        <v>16211</v>
      </c>
      <c r="F5204" t="s">
        <v>666</v>
      </c>
      <c r="G5204" t="s">
        <v>16211</v>
      </c>
      <c r="H5204" t="s">
        <v>667</v>
      </c>
      <c r="I5204" t="s">
        <v>29</v>
      </c>
      <c r="J5204">
        <v>1</v>
      </c>
      <c r="K5204">
        <f>1-888-521-2458</f>
        <v>-3866</v>
      </c>
      <c r="L5204" t="s">
        <v>16212</v>
      </c>
      <c r="M5204" t="s">
        <v>16213</v>
      </c>
      <c r="N5204">
        <v>214</v>
      </c>
      <c r="O5204" t="s">
        <v>134</v>
      </c>
      <c r="P5204" t="s">
        <v>29</v>
      </c>
      <c r="Q5204">
        <v>41</v>
      </c>
      <c r="R5204">
        <v>-74.006600000000006</v>
      </c>
    </row>
    <row r="5205" spans="1:18" x14ac:dyDescent="0.2">
      <c r="A5205" t="s">
        <v>663</v>
      </c>
      <c r="B5205" t="s">
        <v>2493</v>
      </c>
      <c r="C5205">
        <v>1</v>
      </c>
      <c r="D5205" s="1">
        <v>44054.963078703702</v>
      </c>
      <c r="E5205" t="s">
        <v>16214</v>
      </c>
      <c r="F5205" t="s">
        <v>666</v>
      </c>
      <c r="G5205" t="s">
        <v>16214</v>
      </c>
      <c r="H5205" t="s">
        <v>667</v>
      </c>
      <c r="I5205" t="s">
        <v>29</v>
      </c>
      <c r="J5205">
        <v>1</v>
      </c>
      <c r="K5205">
        <f>1-888-703-318</f>
        <v>-1908</v>
      </c>
      <c r="L5205" t="s">
        <v>16215</v>
      </c>
      <c r="M5205" t="s">
        <v>16216</v>
      </c>
      <c r="N5205">
        <v>84</v>
      </c>
      <c r="O5205" t="s">
        <v>134</v>
      </c>
      <c r="P5205" t="s">
        <v>29</v>
      </c>
      <c r="Q5205">
        <v>41</v>
      </c>
      <c r="R5205">
        <v>-74.024699999999996</v>
      </c>
    </row>
    <row r="5206" spans="1:18" x14ac:dyDescent="0.2">
      <c r="A5206" t="s">
        <v>675</v>
      </c>
      <c r="B5206" t="s">
        <v>1412</v>
      </c>
      <c r="C5206">
        <v>1</v>
      </c>
      <c r="D5206" s="1">
        <v>44055.083194444444</v>
      </c>
      <c r="E5206" t="s">
        <v>16217</v>
      </c>
      <c r="F5206" t="s">
        <v>678</v>
      </c>
      <c r="G5206" t="s">
        <v>16218</v>
      </c>
      <c r="H5206" t="s">
        <v>680</v>
      </c>
      <c r="I5206" t="s">
        <v>29</v>
      </c>
      <c r="J5206">
        <v>1</v>
      </c>
      <c r="K5206">
        <f>1-833-436-7697</f>
        <v>-8965</v>
      </c>
      <c r="L5206" t="s">
        <v>16219</v>
      </c>
      <c r="M5206" t="s">
        <v>16220</v>
      </c>
      <c r="N5206" t="s">
        <v>683</v>
      </c>
      <c r="O5206" t="s">
        <v>28</v>
      </c>
      <c r="P5206" t="s">
        <v>29</v>
      </c>
      <c r="Q5206">
        <v>41</v>
      </c>
      <c r="R5206">
        <v>-74.172399999999996</v>
      </c>
    </row>
    <row r="5207" spans="1:18" x14ac:dyDescent="0.2">
      <c r="A5207" t="s">
        <v>439</v>
      </c>
      <c r="B5207" t="s">
        <v>3094</v>
      </c>
      <c r="C5207">
        <v>1</v>
      </c>
      <c r="D5207" s="1">
        <v>44055.608194444445</v>
      </c>
      <c r="E5207" t="s">
        <v>16221</v>
      </c>
      <c r="F5207" t="s">
        <v>442</v>
      </c>
      <c r="G5207" t="s">
        <v>16222</v>
      </c>
      <c r="H5207" t="s">
        <v>444</v>
      </c>
      <c r="I5207" t="s">
        <v>29</v>
      </c>
      <c r="J5207">
        <v>1</v>
      </c>
      <c r="K5207">
        <f>1-888-534-7137</f>
        <v>-8558</v>
      </c>
      <c r="L5207" t="s">
        <v>16223</v>
      </c>
      <c r="M5207" t="s">
        <v>16224</v>
      </c>
      <c r="N5207" t="s">
        <v>674</v>
      </c>
      <c r="O5207" t="s">
        <v>28</v>
      </c>
      <c r="P5207" t="s">
        <v>2268</v>
      </c>
      <c r="Q5207">
        <v>46</v>
      </c>
      <c r="R5207">
        <v>-73.567300000000003</v>
      </c>
    </row>
    <row r="5208" spans="1:18" x14ac:dyDescent="0.2">
      <c r="A5208" t="s">
        <v>675</v>
      </c>
      <c r="B5208" t="s">
        <v>1412</v>
      </c>
      <c r="C5208">
        <v>1</v>
      </c>
      <c r="D5208" s="1">
        <v>44055.698159722226</v>
      </c>
      <c r="E5208" t="s">
        <v>16225</v>
      </c>
      <c r="F5208" t="s">
        <v>678</v>
      </c>
      <c r="G5208" t="s">
        <v>16226</v>
      </c>
      <c r="H5208" t="s">
        <v>680</v>
      </c>
      <c r="I5208" t="s">
        <v>29</v>
      </c>
      <c r="J5208">
        <v>1</v>
      </c>
      <c r="K5208">
        <f>1-844-743-2471</f>
        <v>-4057</v>
      </c>
      <c r="L5208" t="s">
        <v>16227</v>
      </c>
      <c r="M5208" t="s">
        <v>16228</v>
      </c>
      <c r="N5208" t="s">
        <v>683</v>
      </c>
      <c r="O5208" t="s">
        <v>28</v>
      </c>
      <c r="P5208" t="s">
        <v>29</v>
      </c>
      <c r="Q5208">
        <v>41</v>
      </c>
      <c r="R5208">
        <v>-74.172399999999996</v>
      </c>
    </row>
    <row r="5209" spans="1:18" x14ac:dyDescent="0.2">
      <c r="A5209" t="s">
        <v>2349</v>
      </c>
      <c r="B5209" t="s">
        <v>1651</v>
      </c>
      <c r="C5209">
        <v>44</v>
      </c>
      <c r="D5209" s="1">
        <v>44055.764351851853</v>
      </c>
      <c r="E5209" t="s">
        <v>16229</v>
      </c>
      <c r="F5209" t="s">
        <v>2352</v>
      </c>
      <c r="G5209" t="s">
        <v>16229</v>
      </c>
      <c r="H5209" t="s">
        <v>2353</v>
      </c>
      <c r="I5209" t="s">
        <v>618</v>
      </c>
      <c r="J5209">
        <v>44</v>
      </c>
      <c r="K5209">
        <f>44-800-66-4120</f>
        <v>-4942</v>
      </c>
      <c r="L5209" t="s">
        <v>16230</v>
      </c>
      <c r="M5209" t="s">
        <v>16231</v>
      </c>
      <c r="N5209">
        <v>78</v>
      </c>
      <c r="O5209" t="s">
        <v>134</v>
      </c>
      <c r="P5209" t="s">
        <v>29</v>
      </c>
      <c r="Q5209">
        <v>48</v>
      </c>
      <c r="R5209">
        <v>-99.999999000000003</v>
      </c>
    </row>
    <row r="5210" spans="1:18" x14ac:dyDescent="0.2">
      <c r="A5210" t="s">
        <v>663</v>
      </c>
      <c r="B5210" t="s">
        <v>5337</v>
      </c>
      <c r="C5210">
        <v>1</v>
      </c>
      <c r="D5210" s="1">
        <v>44055.773622685185</v>
      </c>
      <c r="E5210" t="s">
        <v>16232</v>
      </c>
      <c r="F5210" t="s">
        <v>2495</v>
      </c>
      <c r="G5210" t="s">
        <v>16233</v>
      </c>
      <c r="H5210" t="s">
        <v>667</v>
      </c>
      <c r="I5210" t="s">
        <v>29</v>
      </c>
      <c r="J5210">
        <v>1</v>
      </c>
      <c r="K5210">
        <f>1-855-503-427</f>
        <v>-1784</v>
      </c>
      <c r="L5210" t="s">
        <v>16234</v>
      </c>
      <c r="M5210" t="s">
        <v>16235</v>
      </c>
      <c r="N5210" t="s">
        <v>1645</v>
      </c>
      <c r="O5210" t="s">
        <v>28</v>
      </c>
      <c r="P5210" t="s">
        <v>29</v>
      </c>
      <c r="Q5210">
        <v>38</v>
      </c>
      <c r="R5210">
        <v>-99.999999000000003</v>
      </c>
    </row>
    <row r="5211" spans="1:18" x14ac:dyDescent="0.2">
      <c r="A5211" t="s">
        <v>439</v>
      </c>
      <c r="B5211" t="s">
        <v>3094</v>
      </c>
      <c r="C5211">
        <v>1</v>
      </c>
      <c r="D5211" s="1">
        <v>44055.798437500001</v>
      </c>
      <c r="E5211" t="s">
        <v>16236</v>
      </c>
      <c r="F5211" t="s">
        <v>442</v>
      </c>
      <c r="G5211" t="s">
        <v>16237</v>
      </c>
      <c r="H5211" t="s">
        <v>444</v>
      </c>
      <c r="I5211" t="s">
        <v>29</v>
      </c>
      <c r="J5211">
        <v>1</v>
      </c>
      <c r="K5211">
        <f>1-833-323-570</f>
        <v>-1725</v>
      </c>
      <c r="L5211" t="s">
        <v>16238</v>
      </c>
      <c r="M5211" t="s">
        <v>16239</v>
      </c>
      <c r="N5211" t="s">
        <v>447</v>
      </c>
      <c r="O5211" t="s">
        <v>28</v>
      </c>
      <c r="P5211" t="s">
        <v>2268</v>
      </c>
      <c r="Q5211">
        <v>46</v>
      </c>
      <c r="R5211">
        <v>-73.567300000000003</v>
      </c>
    </row>
    <row r="5212" spans="1:18" x14ac:dyDescent="0.2">
      <c r="A5212" t="s">
        <v>439</v>
      </c>
      <c r="B5212" t="s">
        <v>3094</v>
      </c>
      <c r="C5212">
        <v>1</v>
      </c>
      <c r="D5212" s="1">
        <v>44055.911249999997</v>
      </c>
      <c r="E5212" t="s">
        <v>16240</v>
      </c>
      <c r="F5212" t="s">
        <v>442</v>
      </c>
      <c r="G5212" t="s">
        <v>16241</v>
      </c>
      <c r="H5212" t="s">
        <v>444</v>
      </c>
      <c r="I5212" t="s">
        <v>29</v>
      </c>
      <c r="J5212">
        <v>1</v>
      </c>
      <c r="K5212">
        <f>1-888-304-1285</f>
        <v>-2476</v>
      </c>
      <c r="L5212" t="s">
        <v>16242</v>
      </c>
      <c r="M5212" t="s">
        <v>16243</v>
      </c>
      <c r="N5212" t="s">
        <v>36</v>
      </c>
      <c r="O5212" t="s">
        <v>28</v>
      </c>
      <c r="P5212" t="s">
        <v>2268</v>
      </c>
      <c r="Q5212">
        <v>46</v>
      </c>
      <c r="R5212">
        <v>-73.567300000000003</v>
      </c>
    </row>
    <row r="5213" spans="1:18" x14ac:dyDescent="0.2">
      <c r="A5213" t="s">
        <v>439</v>
      </c>
      <c r="B5213" t="s">
        <v>3094</v>
      </c>
      <c r="C5213">
        <v>47</v>
      </c>
      <c r="D5213" s="1">
        <v>44055.92391203704</v>
      </c>
      <c r="E5213" t="s">
        <v>16244</v>
      </c>
      <c r="F5213" t="s">
        <v>442</v>
      </c>
      <c r="G5213" t="s">
        <v>16245</v>
      </c>
      <c r="H5213" t="s">
        <v>444</v>
      </c>
      <c r="I5213" t="s">
        <v>6185</v>
      </c>
      <c r="J5213">
        <v>47</v>
      </c>
      <c r="K5213">
        <f>47-800-62-665</f>
        <v>-1480</v>
      </c>
      <c r="L5213" t="s">
        <v>16246</v>
      </c>
      <c r="M5213" t="s">
        <v>16247</v>
      </c>
      <c r="N5213" t="s">
        <v>447</v>
      </c>
      <c r="O5213" t="s">
        <v>28</v>
      </c>
      <c r="P5213" t="s">
        <v>2268</v>
      </c>
      <c r="Q5213">
        <v>46</v>
      </c>
      <c r="R5213">
        <v>-73.567300000000003</v>
      </c>
    </row>
    <row r="5214" spans="1:18" x14ac:dyDescent="0.2">
      <c r="A5214" t="s">
        <v>439</v>
      </c>
      <c r="B5214" t="s">
        <v>3094</v>
      </c>
      <c r="C5214">
        <v>1</v>
      </c>
      <c r="D5214" s="1">
        <v>44055.942361111112</v>
      </c>
      <c r="E5214" t="s">
        <v>16248</v>
      </c>
      <c r="F5214" t="s">
        <v>442</v>
      </c>
      <c r="G5214" t="s">
        <v>16249</v>
      </c>
      <c r="H5214" t="s">
        <v>444</v>
      </c>
      <c r="I5214" t="s">
        <v>29</v>
      </c>
      <c r="J5214">
        <v>1</v>
      </c>
      <c r="K5214">
        <f>1-888-598-1442</f>
        <v>-2927</v>
      </c>
      <c r="L5214" t="s">
        <v>16250</v>
      </c>
      <c r="M5214" t="s">
        <v>16251</v>
      </c>
      <c r="N5214" t="s">
        <v>36</v>
      </c>
      <c r="O5214" t="s">
        <v>28</v>
      </c>
      <c r="P5214" t="s">
        <v>2268</v>
      </c>
      <c r="Q5214">
        <v>46</v>
      </c>
      <c r="R5214">
        <v>-73.567300000000003</v>
      </c>
    </row>
    <row r="5215" spans="1:18" x14ac:dyDescent="0.2">
      <c r="A5215" t="s">
        <v>439</v>
      </c>
      <c r="B5215" t="s">
        <v>3094</v>
      </c>
      <c r="C5215">
        <v>1</v>
      </c>
      <c r="D5215" s="1">
        <v>44055.98201388889</v>
      </c>
      <c r="E5215" t="s">
        <v>16252</v>
      </c>
      <c r="F5215" t="s">
        <v>442</v>
      </c>
      <c r="G5215" t="s">
        <v>16253</v>
      </c>
      <c r="H5215" t="s">
        <v>444</v>
      </c>
      <c r="I5215" t="s">
        <v>29</v>
      </c>
      <c r="J5215">
        <v>1</v>
      </c>
      <c r="K5215">
        <f>1-888-598-1442</f>
        <v>-2927</v>
      </c>
      <c r="L5215" t="s">
        <v>16254</v>
      </c>
      <c r="M5215" t="s">
        <v>16255</v>
      </c>
      <c r="N5215" t="s">
        <v>36</v>
      </c>
      <c r="O5215" t="s">
        <v>28</v>
      </c>
      <c r="P5215" t="s">
        <v>2268</v>
      </c>
      <c r="Q5215">
        <v>46</v>
      </c>
      <c r="R5215">
        <v>-73.567300000000003</v>
      </c>
    </row>
    <row r="5216" spans="1:18" x14ac:dyDescent="0.2">
      <c r="A5216" t="s">
        <v>439</v>
      </c>
      <c r="B5216" t="s">
        <v>3094</v>
      </c>
      <c r="C5216">
        <v>1</v>
      </c>
      <c r="D5216" s="1">
        <v>44056.150613425925</v>
      </c>
      <c r="E5216" t="s">
        <v>16256</v>
      </c>
      <c r="F5216" t="s">
        <v>442</v>
      </c>
      <c r="G5216" t="s">
        <v>16257</v>
      </c>
      <c r="H5216" t="s">
        <v>444</v>
      </c>
      <c r="I5216" t="s">
        <v>29</v>
      </c>
      <c r="J5216">
        <v>1</v>
      </c>
      <c r="K5216">
        <f>1-888-303-1167</f>
        <v>-2357</v>
      </c>
      <c r="L5216" t="s">
        <v>16258</v>
      </c>
      <c r="M5216" t="s">
        <v>16259</v>
      </c>
      <c r="N5216" t="s">
        <v>447</v>
      </c>
      <c r="O5216" t="s">
        <v>28</v>
      </c>
      <c r="P5216" t="s">
        <v>2268</v>
      </c>
      <c r="Q5216">
        <v>46</v>
      </c>
      <c r="R5216">
        <v>-73.567300000000003</v>
      </c>
    </row>
    <row r="5217" spans="1:18" x14ac:dyDescent="0.2">
      <c r="A5217" t="s">
        <v>439</v>
      </c>
      <c r="B5217" t="s">
        <v>3094</v>
      </c>
      <c r="C5217">
        <v>1</v>
      </c>
      <c r="D5217" s="1">
        <v>44056.011018518519</v>
      </c>
      <c r="E5217" t="s">
        <v>16260</v>
      </c>
      <c r="F5217" t="s">
        <v>442</v>
      </c>
      <c r="G5217" t="s">
        <v>16261</v>
      </c>
      <c r="H5217" t="s">
        <v>444</v>
      </c>
      <c r="I5217" t="s">
        <v>29</v>
      </c>
      <c r="J5217">
        <v>1</v>
      </c>
      <c r="K5217">
        <f>1-888-534-3734</f>
        <v>-5155</v>
      </c>
      <c r="L5217" t="s">
        <v>16262</v>
      </c>
      <c r="M5217" t="s">
        <v>16263</v>
      </c>
      <c r="N5217" t="s">
        <v>447</v>
      </c>
      <c r="O5217" t="s">
        <v>28</v>
      </c>
      <c r="P5217" t="s">
        <v>2268</v>
      </c>
      <c r="Q5217">
        <v>46</v>
      </c>
      <c r="R5217">
        <v>-73.567300000000003</v>
      </c>
    </row>
    <row r="5218" spans="1:18" x14ac:dyDescent="0.2">
      <c r="A5218" t="s">
        <v>439</v>
      </c>
      <c r="B5218" t="s">
        <v>3094</v>
      </c>
      <c r="C5218">
        <v>1</v>
      </c>
      <c r="D5218" s="1">
        <v>44056.058564814812</v>
      </c>
      <c r="E5218" t="s">
        <v>16264</v>
      </c>
      <c r="F5218" t="s">
        <v>442</v>
      </c>
      <c r="G5218" t="s">
        <v>16265</v>
      </c>
      <c r="H5218" t="s">
        <v>444</v>
      </c>
      <c r="I5218" t="s">
        <v>29</v>
      </c>
      <c r="J5218">
        <v>1</v>
      </c>
      <c r="K5218">
        <f>1-888-525-4763</f>
        <v>-6175</v>
      </c>
      <c r="L5218" t="s">
        <v>16266</v>
      </c>
      <c r="M5218" t="s">
        <v>16267</v>
      </c>
      <c r="N5218" t="s">
        <v>5468</v>
      </c>
      <c r="O5218" t="s">
        <v>28</v>
      </c>
      <c r="P5218" t="s">
        <v>2268</v>
      </c>
      <c r="Q5218">
        <v>46</v>
      </c>
      <c r="R5218">
        <v>-73.567300000000003</v>
      </c>
    </row>
    <row r="5219" spans="1:18" x14ac:dyDescent="0.2">
      <c r="A5219" t="s">
        <v>439</v>
      </c>
      <c r="B5219" t="s">
        <v>3094</v>
      </c>
      <c r="C5219">
        <v>1</v>
      </c>
      <c r="D5219" s="1">
        <v>44056.324340277781</v>
      </c>
      <c r="E5219" t="s">
        <v>16268</v>
      </c>
      <c r="F5219" t="s">
        <v>442</v>
      </c>
      <c r="G5219" t="s">
        <v>16269</v>
      </c>
      <c r="H5219" t="s">
        <v>444</v>
      </c>
      <c r="I5219" t="s">
        <v>29</v>
      </c>
      <c r="J5219">
        <v>1</v>
      </c>
      <c r="K5219">
        <f>1-888-207-3459</f>
        <v>-4553</v>
      </c>
      <c r="L5219" t="s">
        <v>16270</v>
      </c>
      <c r="M5219" t="s">
        <v>16271</v>
      </c>
      <c r="N5219" t="s">
        <v>213</v>
      </c>
      <c r="O5219" t="s">
        <v>28</v>
      </c>
      <c r="P5219" t="s">
        <v>2268</v>
      </c>
      <c r="Q5219">
        <v>46</v>
      </c>
      <c r="R5219">
        <v>-73.567300000000003</v>
      </c>
    </row>
    <row r="5220" spans="1:18" x14ac:dyDescent="0.2">
      <c r="A5220" t="s">
        <v>663</v>
      </c>
      <c r="B5220" t="s">
        <v>5337</v>
      </c>
      <c r="C5220">
        <v>1</v>
      </c>
      <c r="D5220" s="1">
        <v>44056.805937500001</v>
      </c>
      <c r="E5220" t="s">
        <v>16272</v>
      </c>
      <c r="F5220" t="s">
        <v>2495</v>
      </c>
      <c r="G5220" t="s">
        <v>16272</v>
      </c>
      <c r="H5220" t="s">
        <v>667</v>
      </c>
      <c r="I5220" t="s">
        <v>29</v>
      </c>
      <c r="J5220">
        <v>1</v>
      </c>
      <c r="K5220">
        <f>1-888-312-1352</f>
        <v>-2551</v>
      </c>
      <c r="L5220" t="s">
        <v>16273</v>
      </c>
      <c r="M5220" t="s">
        <v>16274</v>
      </c>
      <c r="N5220">
        <v>172</v>
      </c>
      <c r="O5220" t="s">
        <v>134</v>
      </c>
      <c r="P5220" t="s">
        <v>29</v>
      </c>
      <c r="Q5220">
        <v>38</v>
      </c>
      <c r="R5220">
        <v>-99.999999000000003</v>
      </c>
    </row>
    <row r="5221" spans="1:18" x14ac:dyDescent="0.2">
      <c r="A5221" t="s">
        <v>2233</v>
      </c>
      <c r="B5221" t="s">
        <v>440</v>
      </c>
      <c r="C5221">
        <v>1</v>
      </c>
      <c r="D5221" s="1">
        <v>44056.825266203705</v>
      </c>
      <c r="E5221" t="s">
        <v>6721</v>
      </c>
      <c r="F5221" t="s">
        <v>2236</v>
      </c>
      <c r="G5221" t="s">
        <v>16275</v>
      </c>
      <c r="H5221" t="s">
        <v>2237</v>
      </c>
      <c r="I5221" t="s">
        <v>29</v>
      </c>
      <c r="J5221">
        <v>1</v>
      </c>
      <c r="K5221">
        <f>1-202-858-6986</f>
        <v>-8045</v>
      </c>
      <c r="L5221" t="s">
        <v>16276</v>
      </c>
      <c r="M5221" t="s">
        <v>16277</v>
      </c>
      <c r="N5221" t="s">
        <v>5354</v>
      </c>
      <c r="O5221" t="s">
        <v>134</v>
      </c>
      <c r="P5221" t="s">
        <v>29</v>
      </c>
      <c r="Q5221">
        <v>39</v>
      </c>
      <c r="R5221">
        <v>-77.487399999999994</v>
      </c>
    </row>
    <row r="5222" spans="1:18" x14ac:dyDescent="0.2">
      <c r="A5222" t="s">
        <v>663</v>
      </c>
      <c r="B5222" t="s">
        <v>5337</v>
      </c>
      <c r="C5222">
        <v>1</v>
      </c>
      <c r="D5222" s="1">
        <v>44056.860289351855</v>
      </c>
      <c r="E5222" t="s">
        <v>16278</v>
      </c>
      <c r="F5222" t="s">
        <v>2495</v>
      </c>
      <c r="G5222" t="s">
        <v>16279</v>
      </c>
      <c r="H5222" t="s">
        <v>667</v>
      </c>
      <c r="I5222" t="s">
        <v>29</v>
      </c>
      <c r="J5222">
        <v>1</v>
      </c>
      <c r="K5222">
        <f>1-855-503-429</f>
        <v>-1786</v>
      </c>
      <c r="L5222" t="s">
        <v>16280</v>
      </c>
      <c r="M5222" t="s">
        <v>16281</v>
      </c>
      <c r="N5222" t="s">
        <v>1645</v>
      </c>
      <c r="O5222" t="s">
        <v>28</v>
      </c>
      <c r="P5222" t="s">
        <v>29</v>
      </c>
      <c r="Q5222">
        <v>38</v>
      </c>
      <c r="R5222">
        <v>-99.999999000000003</v>
      </c>
    </row>
    <row r="5223" spans="1:18" x14ac:dyDescent="0.2">
      <c r="A5223" t="s">
        <v>270</v>
      </c>
      <c r="B5223" t="s">
        <v>271</v>
      </c>
      <c r="C5223">
        <v>1</v>
      </c>
      <c r="D5223" s="1">
        <v>44056.87908564815</v>
      </c>
      <c r="E5223" t="s">
        <v>16282</v>
      </c>
      <c r="F5223" t="s">
        <v>273</v>
      </c>
      <c r="G5223" t="s">
        <v>16283</v>
      </c>
      <c r="H5223" t="s">
        <v>275</v>
      </c>
      <c r="I5223" t="s">
        <v>29</v>
      </c>
      <c r="J5223">
        <v>1</v>
      </c>
      <c r="K5223">
        <f>1-888-523-867</f>
        <v>-2277</v>
      </c>
      <c r="L5223" t="s">
        <v>16284</v>
      </c>
      <c r="M5223" t="s">
        <v>16285</v>
      </c>
      <c r="N5223" t="s">
        <v>278</v>
      </c>
      <c r="O5223" t="s">
        <v>134</v>
      </c>
      <c r="P5223" t="s">
        <v>29</v>
      </c>
      <c r="Q5223">
        <v>42</v>
      </c>
      <c r="R5223">
        <v>-93.620800000000003</v>
      </c>
    </row>
    <row r="5224" spans="1:18" x14ac:dyDescent="0.2">
      <c r="A5224" t="s">
        <v>439</v>
      </c>
      <c r="B5224" t="s">
        <v>3094</v>
      </c>
      <c r="C5224">
        <v>47</v>
      </c>
      <c r="D5224" s="1">
        <v>44057.022152777776</v>
      </c>
      <c r="E5224" t="s">
        <v>16286</v>
      </c>
      <c r="F5224" t="s">
        <v>442</v>
      </c>
      <c r="G5224" t="s">
        <v>16287</v>
      </c>
      <c r="H5224" t="s">
        <v>444</v>
      </c>
      <c r="I5224" t="s">
        <v>6185</v>
      </c>
      <c r="J5224">
        <v>47</v>
      </c>
      <c r="K5224">
        <f>47-800-62-665</f>
        <v>-1480</v>
      </c>
      <c r="L5224" t="s">
        <v>16288</v>
      </c>
      <c r="M5224" t="s">
        <v>16289</v>
      </c>
      <c r="N5224" t="s">
        <v>213</v>
      </c>
      <c r="O5224" t="s">
        <v>28</v>
      </c>
      <c r="P5224" t="s">
        <v>2268</v>
      </c>
      <c r="Q5224">
        <v>46</v>
      </c>
      <c r="R5224">
        <v>-73.567300000000003</v>
      </c>
    </row>
    <row r="5225" spans="1:18" x14ac:dyDescent="0.2">
      <c r="A5225" t="s">
        <v>439</v>
      </c>
      <c r="B5225" t="s">
        <v>3094</v>
      </c>
      <c r="C5225">
        <v>61</v>
      </c>
      <c r="D5225" s="1">
        <v>44057.642951388887</v>
      </c>
      <c r="E5225" t="s">
        <v>16290</v>
      </c>
      <c r="F5225" t="s">
        <v>442</v>
      </c>
      <c r="G5225" t="s">
        <v>16291</v>
      </c>
      <c r="H5225" t="s">
        <v>444</v>
      </c>
      <c r="I5225" t="s">
        <v>782</v>
      </c>
      <c r="J5225">
        <v>61</v>
      </c>
      <c r="K5225">
        <f>61-2-8660-1361</f>
        <v>-9962</v>
      </c>
      <c r="L5225" t="s">
        <v>16292</v>
      </c>
      <c r="M5225" t="s">
        <v>16293</v>
      </c>
      <c r="N5225" t="s">
        <v>447</v>
      </c>
      <c r="O5225" t="s">
        <v>28</v>
      </c>
      <c r="P5225" t="s">
        <v>2268</v>
      </c>
      <c r="Q5225">
        <v>46</v>
      </c>
      <c r="R5225">
        <v>-73.567300000000003</v>
      </c>
    </row>
    <row r="5226" spans="1:18" x14ac:dyDescent="0.2">
      <c r="A5226" t="s">
        <v>439</v>
      </c>
      <c r="B5226" t="s">
        <v>3094</v>
      </c>
      <c r="C5226">
        <v>61</v>
      </c>
      <c r="D5226" s="1">
        <v>44057.647199074076</v>
      </c>
      <c r="E5226" t="s">
        <v>16294</v>
      </c>
      <c r="F5226" t="s">
        <v>442</v>
      </c>
      <c r="G5226" t="s">
        <v>16295</v>
      </c>
      <c r="H5226" t="s">
        <v>444</v>
      </c>
      <c r="I5226" t="s">
        <v>782</v>
      </c>
      <c r="J5226">
        <v>61</v>
      </c>
      <c r="K5226">
        <f>61-2-8660-1361</f>
        <v>-9962</v>
      </c>
      <c r="L5226" t="s">
        <v>16296</v>
      </c>
      <c r="M5226" t="s">
        <v>16297</v>
      </c>
      <c r="N5226" t="s">
        <v>447</v>
      </c>
      <c r="O5226" t="s">
        <v>28</v>
      </c>
      <c r="P5226" t="s">
        <v>2268</v>
      </c>
      <c r="Q5226">
        <v>46</v>
      </c>
      <c r="R5226">
        <v>-73.567300000000003</v>
      </c>
    </row>
    <row r="5227" spans="1:18" x14ac:dyDescent="0.2">
      <c r="A5227" t="s">
        <v>439</v>
      </c>
      <c r="B5227" t="s">
        <v>3094</v>
      </c>
      <c r="C5227">
        <v>1</v>
      </c>
      <c r="D5227" s="1">
        <v>44057.79965277778</v>
      </c>
      <c r="E5227" t="s">
        <v>16298</v>
      </c>
      <c r="F5227" t="s">
        <v>442</v>
      </c>
      <c r="G5227" t="s">
        <v>16299</v>
      </c>
      <c r="H5227" t="s">
        <v>444</v>
      </c>
      <c r="I5227" t="s">
        <v>29</v>
      </c>
      <c r="J5227">
        <v>1</v>
      </c>
      <c r="K5227">
        <f>1-888-690-913</f>
        <v>-2490</v>
      </c>
      <c r="L5227" t="s">
        <v>16300</v>
      </c>
      <c r="M5227" t="s">
        <v>16301</v>
      </c>
      <c r="N5227" t="s">
        <v>674</v>
      </c>
      <c r="O5227" t="s">
        <v>28</v>
      </c>
      <c r="P5227" t="s">
        <v>2268</v>
      </c>
      <c r="Q5227">
        <v>46</v>
      </c>
      <c r="R5227">
        <v>-73.567300000000003</v>
      </c>
    </row>
    <row r="5228" spans="1:18" x14ac:dyDescent="0.2">
      <c r="A5228" t="s">
        <v>439</v>
      </c>
      <c r="B5228" t="s">
        <v>3094</v>
      </c>
      <c r="C5228">
        <v>1</v>
      </c>
      <c r="D5228" s="1">
        <v>44058.029942129629</v>
      </c>
      <c r="E5228" t="s">
        <v>16302</v>
      </c>
      <c r="F5228" t="s">
        <v>442</v>
      </c>
      <c r="G5228" t="s">
        <v>16303</v>
      </c>
      <c r="H5228" t="s">
        <v>444</v>
      </c>
      <c r="I5228" t="s">
        <v>29</v>
      </c>
      <c r="J5228">
        <v>1</v>
      </c>
      <c r="K5228">
        <f>1-888-598-1514</f>
        <v>-2999</v>
      </c>
      <c r="L5228" t="s">
        <v>16304</v>
      </c>
      <c r="M5228" t="s">
        <v>16305</v>
      </c>
      <c r="N5228" t="s">
        <v>447</v>
      </c>
      <c r="O5228" t="s">
        <v>28</v>
      </c>
      <c r="P5228" t="s">
        <v>2268</v>
      </c>
      <c r="Q5228">
        <v>46</v>
      </c>
      <c r="R5228">
        <v>-73.567300000000003</v>
      </c>
    </row>
    <row r="5229" spans="1:18" x14ac:dyDescent="0.2">
      <c r="A5229" t="s">
        <v>439</v>
      </c>
      <c r="B5229" t="s">
        <v>3094</v>
      </c>
      <c r="C5229">
        <v>1</v>
      </c>
      <c r="D5229" s="1">
        <v>44058.161689814813</v>
      </c>
      <c r="E5229" t="s">
        <v>16306</v>
      </c>
      <c r="F5229" t="s">
        <v>442</v>
      </c>
      <c r="G5229" t="s">
        <v>16307</v>
      </c>
      <c r="H5229" t="s">
        <v>444</v>
      </c>
      <c r="I5229" t="s">
        <v>29</v>
      </c>
      <c r="J5229">
        <v>1</v>
      </c>
      <c r="K5229">
        <f>1-888-598-1397</f>
        <v>-2882</v>
      </c>
      <c r="L5229" t="s">
        <v>16308</v>
      </c>
      <c r="M5229" t="s">
        <v>16309</v>
      </c>
      <c r="N5229" t="s">
        <v>674</v>
      </c>
      <c r="O5229" t="s">
        <v>28</v>
      </c>
      <c r="P5229" t="s">
        <v>2268</v>
      </c>
      <c r="Q5229">
        <v>46</v>
      </c>
      <c r="R5229">
        <v>-73.567300000000003</v>
      </c>
    </row>
    <row r="5230" spans="1:18" x14ac:dyDescent="0.2">
      <c r="A5230" t="s">
        <v>439</v>
      </c>
      <c r="B5230" t="s">
        <v>3094</v>
      </c>
      <c r="C5230">
        <v>1</v>
      </c>
      <c r="D5230" s="1">
        <v>44059.812708333331</v>
      </c>
      <c r="E5230" t="s">
        <v>16310</v>
      </c>
      <c r="F5230" t="s">
        <v>442</v>
      </c>
      <c r="G5230" t="s">
        <v>16311</v>
      </c>
      <c r="H5230" t="s">
        <v>444</v>
      </c>
      <c r="I5230" t="s">
        <v>29</v>
      </c>
      <c r="J5230">
        <v>1</v>
      </c>
      <c r="K5230">
        <f>1-800-674-3146</f>
        <v>-4619</v>
      </c>
      <c r="L5230" t="s">
        <v>16312</v>
      </c>
      <c r="M5230" t="s">
        <v>16313</v>
      </c>
      <c r="N5230" t="s">
        <v>447</v>
      </c>
      <c r="O5230" t="s">
        <v>28</v>
      </c>
      <c r="P5230" t="s">
        <v>2268</v>
      </c>
      <c r="Q5230">
        <v>46</v>
      </c>
      <c r="R5230">
        <v>-73.567300000000003</v>
      </c>
    </row>
    <row r="5231" spans="1:18" x14ac:dyDescent="0.2">
      <c r="A5231" t="s">
        <v>439</v>
      </c>
      <c r="B5231" t="s">
        <v>3094</v>
      </c>
      <c r="C5231">
        <v>33</v>
      </c>
      <c r="D5231" s="1">
        <v>44058.067511574074</v>
      </c>
      <c r="E5231" t="s">
        <v>12273</v>
      </c>
      <c r="F5231" t="s">
        <v>442</v>
      </c>
      <c r="G5231" t="s">
        <v>16314</v>
      </c>
      <c r="H5231" t="s">
        <v>444</v>
      </c>
      <c r="I5231" t="s">
        <v>292</v>
      </c>
      <c r="J5231">
        <v>33</v>
      </c>
      <c r="K5231">
        <f>33-9-71-7-79-72</f>
        <v>-205</v>
      </c>
      <c r="L5231" t="s">
        <v>16315</v>
      </c>
      <c r="M5231" t="s">
        <v>16316</v>
      </c>
      <c r="N5231" t="s">
        <v>3454</v>
      </c>
      <c r="O5231" t="s">
        <v>134</v>
      </c>
      <c r="P5231" t="s">
        <v>2268</v>
      </c>
      <c r="Q5231">
        <v>46</v>
      </c>
      <c r="R5231">
        <v>-73.567300000000003</v>
      </c>
    </row>
    <row r="5232" spans="1:18" x14ac:dyDescent="0.2">
      <c r="A5232" t="s">
        <v>439</v>
      </c>
      <c r="B5232" t="s">
        <v>3094</v>
      </c>
      <c r="C5232">
        <v>1</v>
      </c>
      <c r="D5232" s="1">
        <v>44058.786319444444</v>
      </c>
      <c r="E5232" t="s">
        <v>16317</v>
      </c>
      <c r="F5232" t="s">
        <v>442</v>
      </c>
      <c r="G5232" t="s">
        <v>16318</v>
      </c>
      <c r="H5232" t="s">
        <v>444</v>
      </c>
      <c r="I5232" t="s">
        <v>29</v>
      </c>
      <c r="J5232">
        <v>1</v>
      </c>
      <c r="K5232">
        <f>1-888-598-1431</f>
        <v>-2916</v>
      </c>
      <c r="L5232" t="s">
        <v>16319</v>
      </c>
      <c r="M5232" t="s">
        <v>16320</v>
      </c>
      <c r="N5232" t="s">
        <v>213</v>
      </c>
      <c r="O5232" t="s">
        <v>28</v>
      </c>
      <c r="P5232" t="s">
        <v>2268</v>
      </c>
      <c r="Q5232">
        <v>46</v>
      </c>
      <c r="R5232">
        <v>-73.567300000000003</v>
      </c>
    </row>
    <row r="5233" spans="1:18" x14ac:dyDescent="0.2">
      <c r="A5233" t="s">
        <v>439</v>
      </c>
      <c r="B5233" t="s">
        <v>3094</v>
      </c>
      <c r="C5233">
        <v>1</v>
      </c>
      <c r="D5233" s="1">
        <v>44059.052152777775</v>
      </c>
      <c r="E5233" t="s">
        <v>16321</v>
      </c>
      <c r="F5233" t="s">
        <v>442</v>
      </c>
      <c r="G5233" t="s">
        <v>16322</v>
      </c>
      <c r="H5233" t="s">
        <v>444</v>
      </c>
      <c r="I5233" t="s">
        <v>29</v>
      </c>
      <c r="J5233">
        <v>1</v>
      </c>
      <c r="K5233">
        <f>1-888-655-2407</f>
        <v>-3949</v>
      </c>
      <c r="L5233" t="s">
        <v>16323</v>
      </c>
      <c r="M5233" t="s">
        <v>16324</v>
      </c>
      <c r="N5233" t="s">
        <v>213</v>
      </c>
      <c r="O5233" t="s">
        <v>28</v>
      </c>
      <c r="P5233" t="s">
        <v>2268</v>
      </c>
      <c r="Q5233">
        <v>46</v>
      </c>
      <c r="R5233">
        <v>-73.567300000000003</v>
      </c>
    </row>
    <row r="5234" spans="1:18" x14ac:dyDescent="0.2">
      <c r="A5234" t="s">
        <v>439</v>
      </c>
      <c r="B5234" t="s">
        <v>3094</v>
      </c>
      <c r="C5234">
        <v>33</v>
      </c>
      <c r="D5234" s="1">
        <v>44059.792754629627</v>
      </c>
      <c r="E5234" t="s">
        <v>16325</v>
      </c>
      <c r="F5234" t="s">
        <v>442</v>
      </c>
      <c r="G5234" t="s">
        <v>16326</v>
      </c>
      <c r="H5234" t="s">
        <v>444</v>
      </c>
      <c r="I5234" t="s">
        <v>292</v>
      </c>
      <c r="J5234">
        <v>33</v>
      </c>
      <c r="K5234">
        <f>33-1-851-49-603</f>
        <v>-1471</v>
      </c>
      <c r="L5234" t="s">
        <v>16327</v>
      </c>
      <c r="M5234" t="s">
        <v>16328</v>
      </c>
      <c r="N5234" t="s">
        <v>452</v>
      </c>
      <c r="O5234" t="s">
        <v>28</v>
      </c>
      <c r="P5234" t="s">
        <v>2268</v>
      </c>
      <c r="Q5234">
        <v>46</v>
      </c>
      <c r="R5234">
        <v>-73.567300000000003</v>
      </c>
    </row>
    <row r="5235" spans="1:18" x14ac:dyDescent="0.2">
      <c r="A5235" t="s">
        <v>439</v>
      </c>
      <c r="B5235" t="s">
        <v>3094</v>
      </c>
      <c r="C5235">
        <v>33</v>
      </c>
      <c r="D5235" s="1">
        <v>44059.792962962965</v>
      </c>
      <c r="E5235" t="s">
        <v>16329</v>
      </c>
      <c r="F5235" t="s">
        <v>442</v>
      </c>
      <c r="G5235" t="s">
        <v>16330</v>
      </c>
      <c r="H5235" t="s">
        <v>444</v>
      </c>
      <c r="I5235" t="s">
        <v>292</v>
      </c>
      <c r="J5235">
        <v>33</v>
      </c>
      <c r="K5235">
        <f>33-1-851-49-603</f>
        <v>-1471</v>
      </c>
      <c r="L5235" t="s">
        <v>16331</v>
      </c>
      <c r="M5235" t="s">
        <v>16332</v>
      </c>
      <c r="N5235" t="s">
        <v>452</v>
      </c>
      <c r="O5235" t="s">
        <v>28</v>
      </c>
      <c r="P5235" t="s">
        <v>2268</v>
      </c>
      <c r="Q5235">
        <v>46</v>
      </c>
      <c r="R5235">
        <v>-73.567300000000003</v>
      </c>
    </row>
    <row r="5236" spans="1:18" x14ac:dyDescent="0.2">
      <c r="A5236" t="s">
        <v>439</v>
      </c>
      <c r="B5236" t="s">
        <v>3094</v>
      </c>
      <c r="C5236">
        <v>33</v>
      </c>
      <c r="D5236" s="1">
        <v>44059.793298611112</v>
      </c>
      <c r="E5236" t="s">
        <v>16333</v>
      </c>
      <c r="F5236" t="s">
        <v>442</v>
      </c>
      <c r="G5236" t="s">
        <v>16334</v>
      </c>
      <c r="H5236" t="s">
        <v>444</v>
      </c>
      <c r="I5236" t="s">
        <v>292</v>
      </c>
      <c r="J5236">
        <v>33</v>
      </c>
      <c r="K5236">
        <f>33-1-851-49-603</f>
        <v>-1471</v>
      </c>
      <c r="L5236" t="s">
        <v>16335</v>
      </c>
      <c r="M5236" t="s">
        <v>16336</v>
      </c>
      <c r="N5236" t="s">
        <v>452</v>
      </c>
      <c r="O5236" t="s">
        <v>28</v>
      </c>
      <c r="P5236" t="s">
        <v>2268</v>
      </c>
      <c r="Q5236">
        <v>46</v>
      </c>
      <c r="R5236">
        <v>-73.567300000000003</v>
      </c>
    </row>
    <row r="5237" spans="1:18" x14ac:dyDescent="0.2">
      <c r="A5237" t="s">
        <v>663</v>
      </c>
      <c r="B5237" t="s">
        <v>664</v>
      </c>
      <c r="C5237">
        <v>1</v>
      </c>
      <c r="D5237" s="1">
        <v>44059.827511574076</v>
      </c>
      <c r="E5237" t="s">
        <v>16337</v>
      </c>
      <c r="F5237" t="s">
        <v>666</v>
      </c>
      <c r="G5237" t="s">
        <v>16337</v>
      </c>
      <c r="H5237" t="s">
        <v>667</v>
      </c>
      <c r="I5237" t="s">
        <v>29</v>
      </c>
      <c r="J5237">
        <v>1</v>
      </c>
      <c r="K5237">
        <f>1-888-705-898</f>
        <v>-2490</v>
      </c>
      <c r="L5237" t="s">
        <v>16338</v>
      </c>
      <c r="M5237" t="s">
        <v>16339</v>
      </c>
      <c r="N5237">
        <v>192</v>
      </c>
      <c r="O5237" t="s">
        <v>134</v>
      </c>
      <c r="P5237" t="s">
        <v>29</v>
      </c>
      <c r="Q5237">
        <v>37</v>
      </c>
      <c r="R5237">
        <v>-99.999999000000003</v>
      </c>
    </row>
    <row r="5238" spans="1:18" x14ac:dyDescent="0.2">
      <c r="B5238" t="s">
        <v>1412</v>
      </c>
      <c r="C5238">
        <v>1</v>
      </c>
      <c r="D5238" s="1">
        <v>44059.851064814815</v>
      </c>
      <c r="E5238" t="s">
        <v>16340</v>
      </c>
      <c r="F5238" t="s">
        <v>2495</v>
      </c>
      <c r="G5238" t="s">
        <v>16340</v>
      </c>
      <c r="H5238" t="s">
        <v>667</v>
      </c>
      <c r="I5238" t="s">
        <v>29</v>
      </c>
      <c r="J5238">
        <v>1</v>
      </c>
      <c r="K5238">
        <f>1-888-521-2493</f>
        <v>-3901</v>
      </c>
      <c r="L5238" t="s">
        <v>16341</v>
      </c>
      <c r="M5238" t="s">
        <v>16342</v>
      </c>
      <c r="N5238">
        <v>79</v>
      </c>
      <c r="O5238" t="s">
        <v>134</v>
      </c>
      <c r="P5238" t="s">
        <v>29</v>
      </c>
      <c r="Q5238">
        <v>41</v>
      </c>
      <c r="R5238">
        <v>-74.172399999999996</v>
      </c>
    </row>
    <row r="5239" spans="1:18" x14ac:dyDescent="0.2">
      <c r="A5239" t="s">
        <v>663</v>
      </c>
      <c r="B5239" t="s">
        <v>1212</v>
      </c>
      <c r="C5239">
        <v>1</v>
      </c>
      <c r="D5239" s="1">
        <v>44059.864004629628</v>
      </c>
      <c r="E5239" t="s">
        <v>16343</v>
      </c>
      <c r="F5239" t="s">
        <v>666</v>
      </c>
      <c r="G5239" t="s">
        <v>16343</v>
      </c>
      <c r="H5239" t="s">
        <v>667</v>
      </c>
      <c r="I5239" t="s">
        <v>29</v>
      </c>
      <c r="J5239">
        <v>1</v>
      </c>
      <c r="K5239">
        <f>1-888-491-4655</f>
        <v>-6033</v>
      </c>
      <c r="L5239" t="s">
        <v>16344</v>
      </c>
      <c r="M5239" t="s">
        <v>16345</v>
      </c>
      <c r="N5239">
        <v>171</v>
      </c>
      <c r="O5239" t="s">
        <v>134</v>
      </c>
      <c r="P5239" t="s">
        <v>618</v>
      </c>
      <c r="Q5239">
        <v>52</v>
      </c>
      <c r="R5239">
        <v>-0.62150000000000005</v>
      </c>
    </row>
    <row r="5240" spans="1:18" x14ac:dyDescent="0.2">
      <c r="A5240" t="s">
        <v>439</v>
      </c>
      <c r="B5240" t="s">
        <v>3094</v>
      </c>
      <c r="C5240">
        <v>1</v>
      </c>
      <c r="D5240" s="1">
        <v>44060.186666666668</v>
      </c>
      <c r="E5240" t="s">
        <v>16346</v>
      </c>
      <c r="F5240" t="s">
        <v>442</v>
      </c>
      <c r="G5240" t="s">
        <v>16347</v>
      </c>
      <c r="H5240" t="s">
        <v>444</v>
      </c>
      <c r="I5240" t="s">
        <v>29</v>
      </c>
      <c r="J5240">
        <v>1</v>
      </c>
      <c r="K5240">
        <f>1-888-441-3236</f>
        <v>-4564</v>
      </c>
      <c r="L5240" t="s">
        <v>16348</v>
      </c>
      <c r="M5240" t="s">
        <v>16349</v>
      </c>
      <c r="N5240" t="s">
        <v>674</v>
      </c>
      <c r="O5240" t="s">
        <v>28</v>
      </c>
      <c r="P5240" t="s">
        <v>2268</v>
      </c>
      <c r="Q5240">
        <v>46</v>
      </c>
      <c r="R5240">
        <v>-73.567300000000003</v>
      </c>
    </row>
    <row r="5241" spans="1:18" x14ac:dyDescent="0.2">
      <c r="A5241" t="s">
        <v>439</v>
      </c>
      <c r="B5241" t="s">
        <v>3094</v>
      </c>
      <c r="C5241">
        <v>33</v>
      </c>
      <c r="D5241" s="1">
        <v>44060.195509259262</v>
      </c>
      <c r="E5241" t="s">
        <v>12309</v>
      </c>
      <c r="F5241" t="s">
        <v>442</v>
      </c>
      <c r="G5241" t="s">
        <v>16350</v>
      </c>
      <c r="H5241" t="s">
        <v>444</v>
      </c>
      <c r="I5241" t="s">
        <v>292</v>
      </c>
      <c r="J5241">
        <v>33</v>
      </c>
      <c r="K5241">
        <f>33-9-71-7-79-72</f>
        <v>-205</v>
      </c>
      <c r="L5241" t="s">
        <v>16351</v>
      </c>
      <c r="M5241" t="s">
        <v>16352</v>
      </c>
      <c r="N5241" t="s">
        <v>3454</v>
      </c>
      <c r="O5241" t="s">
        <v>134</v>
      </c>
      <c r="P5241" t="s">
        <v>2268</v>
      </c>
      <c r="Q5241">
        <v>46</v>
      </c>
      <c r="R5241">
        <v>-73.567300000000003</v>
      </c>
    </row>
    <row r="5242" spans="1:18" x14ac:dyDescent="0.2">
      <c r="A5242" t="s">
        <v>1200</v>
      </c>
      <c r="B5242" t="s">
        <v>1201</v>
      </c>
      <c r="C5242">
        <v>1</v>
      </c>
      <c r="D5242" s="1">
        <v>44066.551817129628</v>
      </c>
      <c r="E5242" t="s">
        <v>16353</v>
      </c>
      <c r="F5242" t="s">
        <v>1203</v>
      </c>
      <c r="G5242" t="s">
        <v>16354</v>
      </c>
      <c r="H5242" t="s">
        <v>1205</v>
      </c>
      <c r="I5242" t="s">
        <v>29</v>
      </c>
      <c r="J5242">
        <v>1</v>
      </c>
      <c r="K5242">
        <f>1-203-892-6516</f>
        <v>-7610</v>
      </c>
      <c r="L5242" t="s">
        <v>16355</v>
      </c>
      <c r="M5242" t="s">
        <v>16356</v>
      </c>
      <c r="N5242" t="s">
        <v>452</v>
      </c>
      <c r="O5242" t="s">
        <v>134</v>
      </c>
      <c r="P5242" t="s">
        <v>29</v>
      </c>
      <c r="Q5242">
        <v>34</v>
      </c>
      <c r="R5242">
        <v>-99.999999000000003</v>
      </c>
    </row>
    <row r="5243" spans="1:18" x14ac:dyDescent="0.2">
      <c r="A5243" t="s">
        <v>1200</v>
      </c>
      <c r="B5243" t="s">
        <v>1201</v>
      </c>
      <c r="C5243">
        <v>1</v>
      </c>
      <c r="D5243" s="1">
        <v>44060.198101851849</v>
      </c>
      <c r="E5243" t="s">
        <v>16357</v>
      </c>
      <c r="F5243" t="s">
        <v>1203</v>
      </c>
      <c r="G5243" t="s">
        <v>16354</v>
      </c>
      <c r="H5243" t="s">
        <v>1205</v>
      </c>
      <c r="I5243" t="s">
        <v>29</v>
      </c>
      <c r="J5243">
        <v>1</v>
      </c>
      <c r="K5243">
        <f>1-203-892-6516</f>
        <v>-7610</v>
      </c>
      <c r="L5243" t="s">
        <v>16358</v>
      </c>
      <c r="M5243" t="s">
        <v>16359</v>
      </c>
      <c r="N5243" t="s">
        <v>5354</v>
      </c>
      <c r="O5243" t="s">
        <v>134</v>
      </c>
      <c r="P5243" t="s">
        <v>29</v>
      </c>
      <c r="Q5243">
        <v>34</v>
      </c>
      <c r="R5243">
        <v>-99.999999000000003</v>
      </c>
    </row>
    <row r="5244" spans="1:18" x14ac:dyDescent="0.2">
      <c r="A5244" t="s">
        <v>439</v>
      </c>
      <c r="B5244" t="s">
        <v>3094</v>
      </c>
      <c r="C5244">
        <v>1</v>
      </c>
      <c r="D5244" s="1">
        <v>44060.780497685184</v>
      </c>
      <c r="E5244" t="s">
        <v>16360</v>
      </c>
      <c r="F5244" t="s">
        <v>442</v>
      </c>
      <c r="G5244" t="s">
        <v>16361</v>
      </c>
      <c r="H5244" t="s">
        <v>444</v>
      </c>
      <c r="I5244" t="s">
        <v>29</v>
      </c>
      <c r="J5244">
        <v>1</v>
      </c>
      <c r="K5244">
        <f>1-855-925-4217</f>
        <v>-5996</v>
      </c>
      <c r="L5244" t="s">
        <v>16362</v>
      </c>
      <c r="M5244" t="s">
        <v>16363</v>
      </c>
      <c r="N5244" t="s">
        <v>213</v>
      </c>
      <c r="O5244" t="s">
        <v>28</v>
      </c>
      <c r="P5244" t="s">
        <v>2268</v>
      </c>
      <c r="Q5244">
        <v>46</v>
      </c>
      <c r="R5244">
        <v>-73.567300000000003</v>
      </c>
    </row>
    <row r="5245" spans="1:18" x14ac:dyDescent="0.2">
      <c r="A5245" t="s">
        <v>675</v>
      </c>
      <c r="B5245" t="s">
        <v>1412</v>
      </c>
      <c r="C5245">
        <v>1</v>
      </c>
      <c r="D5245" s="1">
        <v>44070.635115740741</v>
      </c>
      <c r="E5245" t="s">
        <v>16364</v>
      </c>
      <c r="F5245" t="s">
        <v>678</v>
      </c>
      <c r="G5245" t="s">
        <v>16365</v>
      </c>
      <c r="H5245" t="s">
        <v>680</v>
      </c>
      <c r="I5245" t="s">
        <v>29</v>
      </c>
      <c r="J5245">
        <v>1</v>
      </c>
      <c r="K5245">
        <f>1-844-475-4536</f>
        <v>-5854</v>
      </c>
      <c r="L5245" t="s">
        <v>16366</v>
      </c>
      <c r="M5245" t="s">
        <v>16367</v>
      </c>
      <c r="N5245" t="s">
        <v>213</v>
      </c>
      <c r="O5245" t="s">
        <v>28</v>
      </c>
      <c r="P5245" t="s">
        <v>29</v>
      </c>
      <c r="Q5245">
        <v>41</v>
      </c>
      <c r="R5245">
        <v>-74.172399999999996</v>
      </c>
    </row>
    <row r="5246" spans="1:18" x14ac:dyDescent="0.2">
      <c r="A5246" t="s">
        <v>675</v>
      </c>
      <c r="B5246" t="s">
        <v>1412</v>
      </c>
      <c r="C5246">
        <v>61</v>
      </c>
      <c r="D5246" s="1">
        <v>44069.066134259258</v>
      </c>
      <c r="E5246" t="s">
        <v>16368</v>
      </c>
      <c r="F5246" t="s">
        <v>678</v>
      </c>
      <c r="G5246" t="s">
        <v>16365</v>
      </c>
      <c r="H5246" t="s">
        <v>680</v>
      </c>
      <c r="I5246" t="s">
        <v>782</v>
      </c>
      <c r="J5246">
        <v>61</v>
      </c>
      <c r="K5246">
        <f>61-1800-290-954</f>
        <v>-2983</v>
      </c>
      <c r="L5246" t="s">
        <v>16369</v>
      </c>
      <c r="M5246" t="s">
        <v>16370</v>
      </c>
      <c r="N5246" t="s">
        <v>3454</v>
      </c>
      <c r="O5246" t="s">
        <v>28</v>
      </c>
      <c r="P5246" t="s">
        <v>29</v>
      </c>
      <c r="Q5246">
        <v>41</v>
      </c>
      <c r="R5246">
        <v>-74.172399999999996</v>
      </c>
    </row>
    <row r="5247" spans="1:18" x14ac:dyDescent="0.2">
      <c r="A5247" t="s">
        <v>675</v>
      </c>
      <c r="B5247" t="s">
        <v>1412</v>
      </c>
      <c r="C5247">
        <v>1</v>
      </c>
      <c r="D5247" s="1">
        <v>44068.924085648148</v>
      </c>
      <c r="E5247" t="s">
        <v>16371</v>
      </c>
      <c r="F5247" t="s">
        <v>678</v>
      </c>
      <c r="G5247" t="s">
        <v>16365</v>
      </c>
      <c r="H5247" t="s">
        <v>680</v>
      </c>
      <c r="I5247" t="s">
        <v>29</v>
      </c>
      <c r="J5247">
        <v>1</v>
      </c>
      <c r="K5247">
        <f>1-844-475-4536</f>
        <v>-5854</v>
      </c>
      <c r="L5247" t="s">
        <v>16372</v>
      </c>
      <c r="M5247" t="s">
        <v>16373</v>
      </c>
      <c r="N5247" t="s">
        <v>213</v>
      </c>
      <c r="O5247" t="s">
        <v>28</v>
      </c>
      <c r="P5247" t="s">
        <v>29</v>
      </c>
      <c r="Q5247">
        <v>41</v>
      </c>
      <c r="R5247">
        <v>-74.172399999999996</v>
      </c>
    </row>
    <row r="5248" spans="1:18" x14ac:dyDescent="0.2">
      <c r="A5248" t="s">
        <v>675</v>
      </c>
      <c r="B5248" t="s">
        <v>1412</v>
      </c>
      <c r="C5248">
        <v>61</v>
      </c>
      <c r="D5248" s="1">
        <v>44062.705196759256</v>
      </c>
      <c r="E5248" t="s">
        <v>16374</v>
      </c>
      <c r="F5248" t="s">
        <v>678</v>
      </c>
      <c r="G5248" t="s">
        <v>16365</v>
      </c>
      <c r="H5248" t="s">
        <v>680</v>
      </c>
      <c r="I5248" t="s">
        <v>782</v>
      </c>
      <c r="J5248">
        <v>61</v>
      </c>
      <c r="K5248">
        <f>61-1800-290-954</f>
        <v>-2983</v>
      </c>
      <c r="L5248" t="s">
        <v>16375</v>
      </c>
      <c r="M5248" t="s">
        <v>16376</v>
      </c>
      <c r="N5248" t="s">
        <v>3454</v>
      </c>
      <c r="O5248" t="s">
        <v>28</v>
      </c>
      <c r="P5248" t="s">
        <v>29</v>
      </c>
      <c r="Q5248">
        <v>41</v>
      </c>
      <c r="R5248">
        <v>-74.172399999999996</v>
      </c>
    </row>
    <row r="5249" spans="1:18" x14ac:dyDescent="0.2">
      <c r="A5249" t="s">
        <v>675</v>
      </c>
      <c r="B5249" t="s">
        <v>1412</v>
      </c>
      <c r="C5249">
        <v>61</v>
      </c>
      <c r="D5249" s="1">
        <v>44062.704594907409</v>
      </c>
      <c r="E5249" t="s">
        <v>16377</v>
      </c>
      <c r="F5249" t="s">
        <v>678</v>
      </c>
      <c r="G5249" t="s">
        <v>16365</v>
      </c>
      <c r="H5249" t="s">
        <v>680</v>
      </c>
      <c r="I5249" t="s">
        <v>782</v>
      </c>
      <c r="J5249">
        <v>61</v>
      </c>
      <c r="K5249">
        <f>61-1800-572-273</f>
        <v>-2584</v>
      </c>
      <c r="L5249" t="s">
        <v>16378</v>
      </c>
      <c r="M5249" t="s">
        <v>16379</v>
      </c>
      <c r="N5249" t="s">
        <v>674</v>
      </c>
      <c r="O5249" t="s">
        <v>28</v>
      </c>
      <c r="P5249" t="s">
        <v>29</v>
      </c>
      <c r="Q5249">
        <v>41</v>
      </c>
      <c r="R5249">
        <v>-74.172399999999996</v>
      </c>
    </row>
    <row r="5250" spans="1:18" x14ac:dyDescent="0.2">
      <c r="A5250" t="s">
        <v>675</v>
      </c>
      <c r="B5250" t="s">
        <v>1412</v>
      </c>
      <c r="C5250">
        <v>61</v>
      </c>
      <c r="D5250" s="1">
        <v>44062.704502314817</v>
      </c>
      <c r="E5250" t="s">
        <v>16380</v>
      </c>
      <c r="F5250" t="s">
        <v>678</v>
      </c>
      <c r="G5250" t="s">
        <v>16365</v>
      </c>
      <c r="H5250" t="s">
        <v>680</v>
      </c>
      <c r="I5250" t="s">
        <v>782</v>
      </c>
      <c r="J5250">
        <v>61</v>
      </c>
      <c r="K5250">
        <f>61-1800-572-273</f>
        <v>-2584</v>
      </c>
      <c r="L5250" t="s">
        <v>16381</v>
      </c>
      <c r="M5250" t="s">
        <v>16382</v>
      </c>
      <c r="N5250" t="s">
        <v>3441</v>
      </c>
      <c r="O5250" t="s">
        <v>28</v>
      </c>
      <c r="P5250" t="s">
        <v>29</v>
      </c>
      <c r="Q5250">
        <v>41</v>
      </c>
      <c r="R5250">
        <v>-74.172399999999996</v>
      </c>
    </row>
    <row r="5251" spans="1:18" x14ac:dyDescent="0.2">
      <c r="A5251" t="s">
        <v>675</v>
      </c>
      <c r="B5251" t="s">
        <v>1412</v>
      </c>
      <c r="C5251">
        <v>61</v>
      </c>
      <c r="D5251" s="1">
        <v>44062.704328703701</v>
      </c>
      <c r="E5251" t="s">
        <v>16383</v>
      </c>
      <c r="F5251" t="s">
        <v>678</v>
      </c>
      <c r="G5251" t="s">
        <v>16365</v>
      </c>
      <c r="H5251" t="s">
        <v>680</v>
      </c>
      <c r="I5251" t="s">
        <v>782</v>
      </c>
      <c r="J5251">
        <v>61</v>
      </c>
      <c r="K5251">
        <f>61-1800-290-954</f>
        <v>-2983</v>
      </c>
      <c r="L5251" t="s">
        <v>16384</v>
      </c>
      <c r="M5251" t="s">
        <v>16385</v>
      </c>
      <c r="N5251" t="s">
        <v>3454</v>
      </c>
      <c r="O5251" t="s">
        <v>28</v>
      </c>
      <c r="P5251" t="s">
        <v>29</v>
      </c>
      <c r="Q5251">
        <v>41</v>
      </c>
      <c r="R5251">
        <v>-74.172399999999996</v>
      </c>
    </row>
    <row r="5252" spans="1:18" x14ac:dyDescent="0.2">
      <c r="A5252" t="s">
        <v>675</v>
      </c>
      <c r="B5252" t="s">
        <v>1412</v>
      </c>
      <c r="C5252">
        <v>1</v>
      </c>
      <c r="D5252" s="1">
        <v>44062.704016203701</v>
      </c>
      <c r="E5252" t="s">
        <v>16386</v>
      </c>
      <c r="F5252" t="s">
        <v>678</v>
      </c>
      <c r="G5252" t="s">
        <v>16365</v>
      </c>
      <c r="H5252" t="s">
        <v>680</v>
      </c>
      <c r="I5252" t="s">
        <v>29</v>
      </c>
      <c r="J5252">
        <v>1</v>
      </c>
      <c r="K5252">
        <f>1-844-475-4536</f>
        <v>-5854</v>
      </c>
      <c r="L5252" t="s">
        <v>16387</v>
      </c>
      <c r="M5252" t="s">
        <v>16388</v>
      </c>
      <c r="N5252" t="s">
        <v>213</v>
      </c>
      <c r="O5252" t="s">
        <v>28</v>
      </c>
      <c r="P5252" t="s">
        <v>29</v>
      </c>
      <c r="Q5252">
        <v>41</v>
      </c>
      <c r="R5252">
        <v>-74.172399999999996</v>
      </c>
    </row>
    <row r="5253" spans="1:18" x14ac:dyDescent="0.2">
      <c r="A5253" t="s">
        <v>675</v>
      </c>
      <c r="B5253" t="s">
        <v>1412</v>
      </c>
      <c r="C5253">
        <v>1</v>
      </c>
      <c r="D5253" s="1">
        <v>44062.7033912037</v>
      </c>
      <c r="E5253" t="s">
        <v>16389</v>
      </c>
      <c r="F5253" t="s">
        <v>678</v>
      </c>
      <c r="G5253" t="s">
        <v>16365</v>
      </c>
      <c r="H5253" t="s">
        <v>680</v>
      </c>
      <c r="I5253" t="s">
        <v>29</v>
      </c>
      <c r="J5253">
        <v>1</v>
      </c>
      <c r="K5253">
        <f>1-844-475-4536</f>
        <v>-5854</v>
      </c>
      <c r="L5253" t="s">
        <v>16390</v>
      </c>
      <c r="M5253" t="s">
        <v>16391</v>
      </c>
      <c r="N5253" t="s">
        <v>674</v>
      </c>
      <c r="O5253" t="s">
        <v>134</v>
      </c>
      <c r="P5253" t="s">
        <v>29</v>
      </c>
      <c r="Q5253">
        <v>41</v>
      </c>
      <c r="R5253">
        <v>-74.172399999999996</v>
      </c>
    </row>
    <row r="5254" spans="1:18" x14ac:dyDescent="0.2">
      <c r="A5254" t="s">
        <v>675</v>
      </c>
      <c r="B5254" t="s">
        <v>1412</v>
      </c>
      <c r="C5254">
        <v>1</v>
      </c>
      <c r="D5254" s="1">
        <v>44062.703217592592</v>
      </c>
      <c r="E5254" t="s">
        <v>16392</v>
      </c>
      <c r="F5254" t="s">
        <v>678</v>
      </c>
      <c r="G5254" t="s">
        <v>16365</v>
      </c>
      <c r="H5254" t="s">
        <v>680</v>
      </c>
      <c r="I5254" t="s">
        <v>29</v>
      </c>
      <c r="J5254">
        <v>1</v>
      </c>
      <c r="K5254">
        <f>1-844-475-4536</f>
        <v>-5854</v>
      </c>
      <c r="L5254" t="s">
        <v>16393</v>
      </c>
      <c r="M5254" t="s">
        <v>16394</v>
      </c>
      <c r="N5254" t="s">
        <v>3441</v>
      </c>
      <c r="O5254" t="s">
        <v>134</v>
      </c>
      <c r="P5254" t="s">
        <v>29</v>
      </c>
      <c r="Q5254">
        <v>41</v>
      </c>
      <c r="R5254">
        <v>-74.172399999999996</v>
      </c>
    </row>
    <row r="5255" spans="1:18" x14ac:dyDescent="0.2">
      <c r="A5255" t="s">
        <v>675</v>
      </c>
      <c r="B5255" t="s">
        <v>1412</v>
      </c>
      <c r="C5255">
        <v>61</v>
      </c>
      <c r="D5255" s="1">
        <v>44062.703067129631</v>
      </c>
      <c r="E5255" t="s">
        <v>16395</v>
      </c>
      <c r="F5255" t="s">
        <v>678</v>
      </c>
      <c r="G5255" t="s">
        <v>16365</v>
      </c>
      <c r="H5255" t="s">
        <v>680</v>
      </c>
      <c r="I5255" t="s">
        <v>782</v>
      </c>
      <c r="J5255">
        <v>61</v>
      </c>
      <c r="K5255">
        <f>61-1800-572-276</f>
        <v>-2587</v>
      </c>
      <c r="L5255" t="s">
        <v>16396</v>
      </c>
      <c r="M5255" t="s">
        <v>16397</v>
      </c>
      <c r="N5255" t="s">
        <v>213</v>
      </c>
      <c r="O5255" t="s">
        <v>28</v>
      </c>
      <c r="P5255" t="s">
        <v>29</v>
      </c>
      <c r="Q5255">
        <v>41</v>
      </c>
      <c r="R5255">
        <v>-74.172399999999996</v>
      </c>
    </row>
    <row r="5256" spans="1:18" x14ac:dyDescent="0.2">
      <c r="A5256" t="s">
        <v>675</v>
      </c>
      <c r="B5256" t="s">
        <v>1412</v>
      </c>
      <c r="C5256">
        <v>1</v>
      </c>
      <c r="D5256" s="1">
        <v>44062.703020833331</v>
      </c>
      <c r="E5256" t="s">
        <v>16398</v>
      </c>
      <c r="F5256" t="s">
        <v>678</v>
      </c>
      <c r="G5256" t="s">
        <v>16365</v>
      </c>
      <c r="H5256" t="s">
        <v>680</v>
      </c>
      <c r="I5256" t="s">
        <v>29</v>
      </c>
      <c r="J5256">
        <v>1</v>
      </c>
      <c r="K5256">
        <f t="shared" ref="K5256:K5263" si="34">1-844-475-4536</f>
        <v>-5854</v>
      </c>
      <c r="L5256" t="s">
        <v>16399</v>
      </c>
      <c r="M5256" t="s">
        <v>16400</v>
      </c>
      <c r="N5256" t="s">
        <v>3441</v>
      </c>
      <c r="O5256" t="s">
        <v>28</v>
      </c>
      <c r="P5256" t="s">
        <v>29</v>
      </c>
      <c r="Q5256">
        <v>41</v>
      </c>
      <c r="R5256">
        <v>-74.172399999999996</v>
      </c>
    </row>
    <row r="5257" spans="1:18" x14ac:dyDescent="0.2">
      <c r="A5257" t="s">
        <v>675</v>
      </c>
      <c r="B5257" t="s">
        <v>1412</v>
      </c>
      <c r="C5257">
        <v>1</v>
      </c>
      <c r="D5257" s="1">
        <v>44062.702638888892</v>
      </c>
      <c r="E5257" t="s">
        <v>16401</v>
      </c>
      <c r="F5257" t="s">
        <v>678</v>
      </c>
      <c r="G5257" t="s">
        <v>16365</v>
      </c>
      <c r="H5257" t="s">
        <v>680</v>
      </c>
      <c r="I5257" t="s">
        <v>29</v>
      </c>
      <c r="J5257">
        <v>1</v>
      </c>
      <c r="K5257">
        <f t="shared" si="34"/>
        <v>-5854</v>
      </c>
      <c r="L5257" t="s">
        <v>16402</v>
      </c>
      <c r="M5257" t="s">
        <v>16403</v>
      </c>
      <c r="N5257" t="s">
        <v>3454</v>
      </c>
      <c r="O5257" t="s">
        <v>28</v>
      </c>
      <c r="P5257" t="s">
        <v>29</v>
      </c>
      <c r="Q5257">
        <v>41</v>
      </c>
      <c r="R5257">
        <v>-74.172399999999996</v>
      </c>
    </row>
    <row r="5258" spans="1:18" x14ac:dyDescent="0.2">
      <c r="A5258" t="s">
        <v>675</v>
      </c>
      <c r="B5258" t="s">
        <v>1412</v>
      </c>
      <c r="C5258">
        <v>1</v>
      </c>
      <c r="D5258" s="1">
        <v>44062.702511574076</v>
      </c>
      <c r="E5258" t="s">
        <v>16404</v>
      </c>
      <c r="F5258" t="s">
        <v>678</v>
      </c>
      <c r="G5258" t="s">
        <v>16365</v>
      </c>
      <c r="H5258" t="s">
        <v>680</v>
      </c>
      <c r="I5258" t="s">
        <v>29</v>
      </c>
      <c r="J5258">
        <v>1</v>
      </c>
      <c r="K5258">
        <f t="shared" si="34"/>
        <v>-5854</v>
      </c>
      <c r="L5258" t="s">
        <v>16405</v>
      </c>
      <c r="M5258" t="s">
        <v>16406</v>
      </c>
      <c r="N5258" t="s">
        <v>447</v>
      </c>
      <c r="O5258" t="s">
        <v>28</v>
      </c>
      <c r="P5258" t="s">
        <v>29</v>
      </c>
      <c r="Q5258">
        <v>41</v>
      </c>
      <c r="R5258">
        <v>-74.172399999999996</v>
      </c>
    </row>
    <row r="5259" spans="1:18" x14ac:dyDescent="0.2">
      <c r="A5259" t="s">
        <v>675</v>
      </c>
      <c r="B5259" t="s">
        <v>1412</v>
      </c>
      <c r="C5259">
        <v>1</v>
      </c>
      <c r="D5259" s="1">
        <v>44062.702256944445</v>
      </c>
      <c r="E5259" t="s">
        <v>16407</v>
      </c>
      <c r="F5259" t="s">
        <v>678</v>
      </c>
      <c r="G5259" t="s">
        <v>16365</v>
      </c>
      <c r="H5259" t="s">
        <v>680</v>
      </c>
      <c r="I5259" t="s">
        <v>29</v>
      </c>
      <c r="J5259">
        <v>1</v>
      </c>
      <c r="K5259">
        <f t="shared" si="34"/>
        <v>-5854</v>
      </c>
      <c r="L5259" t="s">
        <v>16408</v>
      </c>
      <c r="M5259" t="s">
        <v>16409</v>
      </c>
      <c r="N5259" t="s">
        <v>674</v>
      </c>
      <c r="O5259" t="s">
        <v>28</v>
      </c>
      <c r="P5259" t="s">
        <v>29</v>
      </c>
      <c r="Q5259">
        <v>41</v>
      </c>
      <c r="R5259">
        <v>-74.172399999999996</v>
      </c>
    </row>
    <row r="5260" spans="1:18" x14ac:dyDescent="0.2">
      <c r="A5260" t="s">
        <v>675</v>
      </c>
      <c r="B5260" t="s">
        <v>1412</v>
      </c>
      <c r="C5260">
        <v>1</v>
      </c>
      <c r="D5260" s="1">
        <v>44062.69363425926</v>
      </c>
      <c r="E5260" t="s">
        <v>16410</v>
      </c>
      <c r="F5260" t="s">
        <v>678</v>
      </c>
      <c r="G5260" t="s">
        <v>16365</v>
      </c>
      <c r="H5260" t="s">
        <v>680</v>
      </c>
      <c r="I5260" t="s">
        <v>29</v>
      </c>
      <c r="J5260">
        <v>1</v>
      </c>
      <c r="K5260">
        <f t="shared" si="34"/>
        <v>-5854</v>
      </c>
      <c r="L5260" t="s">
        <v>16411</v>
      </c>
      <c r="M5260" t="s">
        <v>16412</v>
      </c>
      <c r="N5260" t="s">
        <v>3454</v>
      </c>
      <c r="O5260" t="s">
        <v>28</v>
      </c>
      <c r="P5260" t="s">
        <v>29</v>
      </c>
      <c r="Q5260">
        <v>41</v>
      </c>
      <c r="R5260">
        <v>-74.172399999999996</v>
      </c>
    </row>
    <row r="5261" spans="1:18" x14ac:dyDescent="0.2">
      <c r="A5261" t="s">
        <v>675</v>
      </c>
      <c r="B5261" t="s">
        <v>1412</v>
      </c>
      <c r="C5261">
        <v>1</v>
      </c>
      <c r="D5261" s="1">
        <v>44062.693368055552</v>
      </c>
      <c r="E5261" t="s">
        <v>16413</v>
      </c>
      <c r="F5261" t="s">
        <v>678</v>
      </c>
      <c r="G5261" t="s">
        <v>16365</v>
      </c>
      <c r="H5261" t="s">
        <v>680</v>
      </c>
      <c r="I5261" t="s">
        <v>29</v>
      </c>
      <c r="J5261">
        <v>1</v>
      </c>
      <c r="K5261">
        <f t="shared" si="34"/>
        <v>-5854</v>
      </c>
      <c r="L5261" t="s">
        <v>16414</v>
      </c>
      <c r="M5261" t="s">
        <v>16415</v>
      </c>
      <c r="N5261" t="s">
        <v>213</v>
      </c>
      <c r="O5261" t="s">
        <v>28</v>
      </c>
      <c r="P5261" t="s">
        <v>29</v>
      </c>
      <c r="Q5261">
        <v>41</v>
      </c>
      <c r="R5261">
        <v>-74.172399999999996</v>
      </c>
    </row>
    <row r="5262" spans="1:18" x14ac:dyDescent="0.2">
      <c r="A5262" t="s">
        <v>675</v>
      </c>
      <c r="B5262" t="s">
        <v>1412</v>
      </c>
      <c r="C5262">
        <v>1</v>
      </c>
      <c r="D5262" s="1">
        <v>44061.189421296294</v>
      </c>
      <c r="E5262" t="s">
        <v>16416</v>
      </c>
      <c r="F5262" t="s">
        <v>678</v>
      </c>
      <c r="G5262" t="s">
        <v>16365</v>
      </c>
      <c r="H5262" t="s">
        <v>680</v>
      </c>
      <c r="I5262" t="s">
        <v>29</v>
      </c>
      <c r="J5262">
        <v>1</v>
      </c>
      <c r="K5262">
        <f t="shared" si="34"/>
        <v>-5854</v>
      </c>
      <c r="L5262" t="s">
        <v>16417</v>
      </c>
      <c r="M5262" t="s">
        <v>16418</v>
      </c>
      <c r="N5262" t="s">
        <v>3454</v>
      </c>
      <c r="O5262" t="s">
        <v>28</v>
      </c>
      <c r="P5262" t="s">
        <v>29</v>
      </c>
      <c r="Q5262">
        <v>41</v>
      </c>
      <c r="R5262">
        <v>-74.172399999999996</v>
      </c>
    </row>
    <row r="5263" spans="1:18" x14ac:dyDescent="0.2">
      <c r="A5263" t="s">
        <v>675</v>
      </c>
      <c r="B5263" t="s">
        <v>1412</v>
      </c>
      <c r="C5263">
        <v>1</v>
      </c>
      <c r="D5263" s="1">
        <v>44060.682708333334</v>
      </c>
      <c r="E5263" t="s">
        <v>16419</v>
      </c>
      <c r="F5263" t="s">
        <v>678</v>
      </c>
      <c r="G5263" t="s">
        <v>16365</v>
      </c>
      <c r="H5263" t="s">
        <v>680</v>
      </c>
      <c r="I5263" t="s">
        <v>29</v>
      </c>
      <c r="J5263">
        <v>1</v>
      </c>
      <c r="K5263">
        <f t="shared" si="34"/>
        <v>-5854</v>
      </c>
      <c r="L5263" t="s">
        <v>16420</v>
      </c>
      <c r="M5263" t="s">
        <v>16421</v>
      </c>
      <c r="N5263" t="s">
        <v>447</v>
      </c>
      <c r="O5263" t="s">
        <v>28</v>
      </c>
      <c r="P5263" t="s">
        <v>29</v>
      </c>
      <c r="Q5263">
        <v>41</v>
      </c>
      <c r="R5263">
        <v>-74.172399999999996</v>
      </c>
    </row>
    <row r="5264" spans="1:18" x14ac:dyDescent="0.2">
      <c r="A5264" t="s">
        <v>1200</v>
      </c>
      <c r="B5264" t="s">
        <v>1201</v>
      </c>
      <c r="C5264">
        <v>34</v>
      </c>
      <c r="D5264" s="1">
        <v>44077.845254629632</v>
      </c>
      <c r="E5264" t="s">
        <v>16422</v>
      </c>
      <c r="F5264" t="s">
        <v>1203</v>
      </c>
      <c r="G5264" t="s">
        <v>16423</v>
      </c>
      <c r="H5264" t="s">
        <v>1205</v>
      </c>
      <c r="I5264" t="s">
        <v>700</v>
      </c>
      <c r="J5264">
        <v>34</v>
      </c>
      <c r="K5264">
        <f t="shared" ref="K5264:K5303" si="35">34-900-649-672</f>
        <v>-2187</v>
      </c>
      <c r="L5264" t="s">
        <v>16424</v>
      </c>
      <c r="M5264" t="s">
        <v>16425</v>
      </c>
      <c r="N5264" t="s">
        <v>674</v>
      </c>
      <c r="O5264" t="s">
        <v>28</v>
      </c>
      <c r="P5264" t="s">
        <v>29</v>
      </c>
      <c r="Q5264">
        <v>34</v>
      </c>
      <c r="R5264">
        <v>-99.999999000000003</v>
      </c>
    </row>
    <row r="5265" spans="1:18" x14ac:dyDescent="0.2">
      <c r="A5265" t="s">
        <v>1200</v>
      </c>
      <c r="B5265" t="s">
        <v>1201</v>
      </c>
      <c r="C5265">
        <v>34</v>
      </c>
      <c r="D5265" s="1">
        <v>44077.84306712963</v>
      </c>
      <c r="E5265" t="s">
        <v>16426</v>
      </c>
      <c r="F5265" t="s">
        <v>1203</v>
      </c>
      <c r="G5265" t="s">
        <v>16423</v>
      </c>
      <c r="H5265" t="s">
        <v>1205</v>
      </c>
      <c r="I5265" t="s">
        <v>700</v>
      </c>
      <c r="J5265">
        <v>34</v>
      </c>
      <c r="K5265">
        <f t="shared" si="35"/>
        <v>-2187</v>
      </c>
      <c r="L5265" t="s">
        <v>16427</v>
      </c>
      <c r="M5265" t="s">
        <v>16428</v>
      </c>
      <c r="N5265" t="s">
        <v>213</v>
      </c>
      <c r="O5265" t="s">
        <v>134</v>
      </c>
      <c r="P5265" t="s">
        <v>29</v>
      </c>
      <c r="Q5265">
        <v>34</v>
      </c>
      <c r="R5265">
        <v>-99.999999000000003</v>
      </c>
    </row>
    <row r="5266" spans="1:18" x14ac:dyDescent="0.2">
      <c r="A5266" t="s">
        <v>1200</v>
      </c>
      <c r="B5266" t="s">
        <v>1201</v>
      </c>
      <c r="C5266">
        <v>34</v>
      </c>
      <c r="D5266" s="1">
        <v>44077.032430555555</v>
      </c>
      <c r="E5266" t="s">
        <v>16429</v>
      </c>
      <c r="F5266" t="s">
        <v>1203</v>
      </c>
      <c r="G5266" t="s">
        <v>16423</v>
      </c>
      <c r="H5266" t="s">
        <v>1205</v>
      </c>
      <c r="I5266" t="s">
        <v>700</v>
      </c>
      <c r="J5266">
        <v>34</v>
      </c>
      <c r="K5266">
        <f t="shared" si="35"/>
        <v>-2187</v>
      </c>
      <c r="L5266" t="s">
        <v>16430</v>
      </c>
      <c r="M5266" t="s">
        <v>16431</v>
      </c>
      <c r="N5266" t="s">
        <v>674</v>
      </c>
      <c r="O5266" t="s">
        <v>134</v>
      </c>
      <c r="P5266" t="s">
        <v>29</v>
      </c>
      <c r="Q5266">
        <v>34</v>
      </c>
      <c r="R5266">
        <v>-99.999999000000003</v>
      </c>
    </row>
    <row r="5267" spans="1:18" x14ac:dyDescent="0.2">
      <c r="A5267" t="s">
        <v>1200</v>
      </c>
      <c r="B5267" t="s">
        <v>1201</v>
      </c>
      <c r="C5267">
        <v>34</v>
      </c>
      <c r="D5267" s="1">
        <v>44077.032384259262</v>
      </c>
      <c r="E5267" t="s">
        <v>16432</v>
      </c>
      <c r="F5267" t="s">
        <v>1203</v>
      </c>
      <c r="G5267" t="s">
        <v>16423</v>
      </c>
      <c r="H5267" t="s">
        <v>1205</v>
      </c>
      <c r="I5267" t="s">
        <v>700</v>
      </c>
      <c r="J5267">
        <v>34</v>
      </c>
      <c r="K5267">
        <f t="shared" si="35"/>
        <v>-2187</v>
      </c>
      <c r="L5267" t="s">
        <v>16433</v>
      </c>
      <c r="M5267" t="s">
        <v>16434</v>
      </c>
      <c r="N5267" t="s">
        <v>213</v>
      </c>
      <c r="O5267" t="s">
        <v>134</v>
      </c>
      <c r="P5267" t="s">
        <v>29</v>
      </c>
      <c r="Q5267">
        <v>34</v>
      </c>
      <c r="R5267">
        <v>-99.999999000000003</v>
      </c>
    </row>
    <row r="5268" spans="1:18" x14ac:dyDescent="0.2">
      <c r="A5268" t="s">
        <v>1200</v>
      </c>
      <c r="B5268" t="s">
        <v>1201</v>
      </c>
      <c r="C5268">
        <v>34</v>
      </c>
      <c r="D5268" s="1">
        <v>44077.032013888886</v>
      </c>
      <c r="E5268" t="s">
        <v>16435</v>
      </c>
      <c r="F5268" t="s">
        <v>1203</v>
      </c>
      <c r="G5268" t="s">
        <v>16423</v>
      </c>
      <c r="H5268" t="s">
        <v>1205</v>
      </c>
      <c r="I5268" t="s">
        <v>700</v>
      </c>
      <c r="J5268">
        <v>34</v>
      </c>
      <c r="K5268">
        <f t="shared" si="35"/>
        <v>-2187</v>
      </c>
      <c r="L5268" t="s">
        <v>16436</v>
      </c>
      <c r="M5268" t="s">
        <v>16437</v>
      </c>
      <c r="N5268" t="s">
        <v>213</v>
      </c>
      <c r="O5268" t="s">
        <v>134</v>
      </c>
      <c r="P5268" t="s">
        <v>29</v>
      </c>
      <c r="Q5268">
        <v>34</v>
      </c>
      <c r="R5268">
        <v>-99.999999000000003</v>
      </c>
    </row>
    <row r="5269" spans="1:18" x14ac:dyDescent="0.2">
      <c r="A5269" t="s">
        <v>1200</v>
      </c>
      <c r="B5269" t="s">
        <v>1201</v>
      </c>
      <c r="C5269">
        <v>34</v>
      </c>
      <c r="D5269" s="1">
        <v>44077.032002314816</v>
      </c>
      <c r="E5269" t="s">
        <v>16438</v>
      </c>
      <c r="F5269" t="s">
        <v>1203</v>
      </c>
      <c r="G5269" t="s">
        <v>16423</v>
      </c>
      <c r="H5269" t="s">
        <v>1205</v>
      </c>
      <c r="I5269" t="s">
        <v>700</v>
      </c>
      <c r="J5269">
        <v>34</v>
      </c>
      <c r="K5269">
        <f t="shared" si="35"/>
        <v>-2187</v>
      </c>
      <c r="L5269" t="s">
        <v>16439</v>
      </c>
      <c r="M5269" t="s">
        <v>16440</v>
      </c>
      <c r="N5269" t="s">
        <v>674</v>
      </c>
      <c r="O5269" t="s">
        <v>134</v>
      </c>
      <c r="P5269" t="s">
        <v>29</v>
      </c>
      <c r="Q5269">
        <v>34</v>
      </c>
      <c r="R5269">
        <v>-99.999999000000003</v>
      </c>
    </row>
    <row r="5270" spans="1:18" x14ac:dyDescent="0.2">
      <c r="A5270" t="s">
        <v>1200</v>
      </c>
      <c r="B5270" t="s">
        <v>1201</v>
      </c>
      <c r="C5270">
        <v>34</v>
      </c>
      <c r="D5270" s="1">
        <v>44077.031909722224</v>
      </c>
      <c r="E5270" t="s">
        <v>16441</v>
      </c>
      <c r="F5270" t="s">
        <v>1203</v>
      </c>
      <c r="G5270" t="s">
        <v>16423</v>
      </c>
      <c r="H5270" t="s">
        <v>1205</v>
      </c>
      <c r="I5270" t="s">
        <v>700</v>
      </c>
      <c r="J5270">
        <v>34</v>
      </c>
      <c r="K5270">
        <f t="shared" si="35"/>
        <v>-2187</v>
      </c>
      <c r="L5270" t="s">
        <v>16442</v>
      </c>
      <c r="M5270" t="s">
        <v>16443</v>
      </c>
      <c r="N5270" t="s">
        <v>674</v>
      </c>
      <c r="O5270" t="s">
        <v>134</v>
      </c>
      <c r="P5270" t="s">
        <v>29</v>
      </c>
      <c r="Q5270">
        <v>34</v>
      </c>
      <c r="R5270">
        <v>-99.999999000000003</v>
      </c>
    </row>
    <row r="5271" spans="1:18" x14ac:dyDescent="0.2">
      <c r="A5271" t="s">
        <v>1200</v>
      </c>
      <c r="B5271" t="s">
        <v>1201</v>
      </c>
      <c r="C5271">
        <v>34</v>
      </c>
      <c r="D5271" s="1">
        <v>44077.838854166665</v>
      </c>
      <c r="E5271" t="s">
        <v>16444</v>
      </c>
      <c r="F5271" t="s">
        <v>1203</v>
      </c>
      <c r="G5271" t="s">
        <v>16423</v>
      </c>
      <c r="H5271" t="s">
        <v>1205</v>
      </c>
      <c r="I5271" t="s">
        <v>700</v>
      </c>
      <c r="J5271">
        <v>34</v>
      </c>
      <c r="K5271">
        <f t="shared" si="35"/>
        <v>-2187</v>
      </c>
      <c r="L5271" t="s">
        <v>16445</v>
      </c>
      <c r="M5271" t="s">
        <v>16446</v>
      </c>
      <c r="N5271" t="s">
        <v>674</v>
      </c>
      <c r="O5271" t="s">
        <v>134</v>
      </c>
      <c r="P5271" t="s">
        <v>29</v>
      </c>
      <c r="Q5271">
        <v>34</v>
      </c>
      <c r="R5271">
        <v>-99.999999000000003</v>
      </c>
    </row>
    <row r="5272" spans="1:18" x14ac:dyDescent="0.2">
      <c r="A5272" t="s">
        <v>1200</v>
      </c>
      <c r="B5272" t="s">
        <v>1201</v>
      </c>
      <c r="C5272">
        <v>34</v>
      </c>
      <c r="D5272" s="1">
        <v>44077.835543981484</v>
      </c>
      <c r="E5272" t="s">
        <v>16447</v>
      </c>
      <c r="F5272" t="s">
        <v>1203</v>
      </c>
      <c r="G5272" t="s">
        <v>16423</v>
      </c>
      <c r="H5272" t="s">
        <v>1205</v>
      </c>
      <c r="I5272" t="s">
        <v>700</v>
      </c>
      <c r="J5272">
        <v>34</v>
      </c>
      <c r="K5272">
        <f t="shared" si="35"/>
        <v>-2187</v>
      </c>
      <c r="L5272" t="s">
        <v>16448</v>
      </c>
      <c r="M5272" t="s">
        <v>16449</v>
      </c>
      <c r="N5272" t="s">
        <v>213</v>
      </c>
      <c r="O5272" t="s">
        <v>134</v>
      </c>
      <c r="P5272" t="s">
        <v>29</v>
      </c>
      <c r="Q5272">
        <v>34</v>
      </c>
      <c r="R5272">
        <v>-99.999999000000003</v>
      </c>
    </row>
    <row r="5273" spans="1:18" x14ac:dyDescent="0.2">
      <c r="A5273" t="s">
        <v>1200</v>
      </c>
      <c r="B5273" t="s">
        <v>1201</v>
      </c>
      <c r="C5273">
        <v>34</v>
      </c>
      <c r="D5273" s="1">
        <v>44077.834826388891</v>
      </c>
      <c r="E5273" t="s">
        <v>16450</v>
      </c>
      <c r="F5273" t="s">
        <v>1203</v>
      </c>
      <c r="G5273" t="s">
        <v>16423</v>
      </c>
      <c r="H5273" t="s">
        <v>1205</v>
      </c>
      <c r="I5273" t="s">
        <v>700</v>
      </c>
      <c r="J5273">
        <v>34</v>
      </c>
      <c r="K5273">
        <f t="shared" si="35"/>
        <v>-2187</v>
      </c>
      <c r="L5273" t="s">
        <v>16451</v>
      </c>
      <c r="M5273" t="s">
        <v>16452</v>
      </c>
      <c r="N5273" t="s">
        <v>213</v>
      </c>
      <c r="O5273" t="s">
        <v>134</v>
      </c>
      <c r="P5273" t="s">
        <v>29</v>
      </c>
      <c r="Q5273">
        <v>34</v>
      </c>
      <c r="R5273">
        <v>-99.999999000000003</v>
      </c>
    </row>
    <row r="5274" spans="1:18" x14ac:dyDescent="0.2">
      <c r="A5274" t="s">
        <v>1200</v>
      </c>
      <c r="B5274" t="s">
        <v>1201</v>
      </c>
      <c r="C5274">
        <v>34</v>
      </c>
      <c r="D5274" s="1">
        <v>44077.834780092591</v>
      </c>
      <c r="E5274" t="s">
        <v>16453</v>
      </c>
      <c r="F5274" t="s">
        <v>1203</v>
      </c>
      <c r="G5274" t="s">
        <v>16423</v>
      </c>
      <c r="H5274" t="s">
        <v>1205</v>
      </c>
      <c r="I5274" t="s">
        <v>700</v>
      </c>
      <c r="J5274">
        <v>34</v>
      </c>
      <c r="K5274">
        <f t="shared" si="35"/>
        <v>-2187</v>
      </c>
      <c r="L5274" t="s">
        <v>16454</v>
      </c>
      <c r="M5274" t="s">
        <v>16455</v>
      </c>
      <c r="N5274" t="s">
        <v>674</v>
      </c>
      <c r="O5274" t="s">
        <v>134</v>
      </c>
      <c r="P5274" t="s">
        <v>29</v>
      </c>
      <c r="Q5274">
        <v>34</v>
      </c>
      <c r="R5274">
        <v>-99.999999000000003</v>
      </c>
    </row>
    <row r="5275" spans="1:18" x14ac:dyDescent="0.2">
      <c r="A5275" t="s">
        <v>1200</v>
      </c>
      <c r="B5275" t="s">
        <v>1201</v>
      </c>
      <c r="C5275">
        <v>34</v>
      </c>
      <c r="D5275" s="1">
        <v>44077.834687499999</v>
      </c>
      <c r="E5275" t="s">
        <v>16456</v>
      </c>
      <c r="F5275" t="s">
        <v>1203</v>
      </c>
      <c r="G5275" t="s">
        <v>16423</v>
      </c>
      <c r="H5275" t="s">
        <v>1205</v>
      </c>
      <c r="I5275" t="s">
        <v>700</v>
      </c>
      <c r="J5275">
        <v>34</v>
      </c>
      <c r="K5275">
        <f t="shared" si="35"/>
        <v>-2187</v>
      </c>
      <c r="L5275" t="s">
        <v>16457</v>
      </c>
      <c r="M5275" t="s">
        <v>16458</v>
      </c>
      <c r="N5275" t="s">
        <v>674</v>
      </c>
      <c r="O5275" t="s">
        <v>134</v>
      </c>
      <c r="P5275" t="s">
        <v>29</v>
      </c>
      <c r="Q5275">
        <v>34</v>
      </c>
      <c r="R5275">
        <v>-99.999999000000003</v>
      </c>
    </row>
    <row r="5276" spans="1:18" x14ac:dyDescent="0.2">
      <c r="A5276" t="s">
        <v>1200</v>
      </c>
      <c r="B5276" t="s">
        <v>1201</v>
      </c>
      <c r="C5276">
        <v>34</v>
      </c>
      <c r="D5276" s="1">
        <v>44077.83384259259</v>
      </c>
      <c r="E5276" t="s">
        <v>16459</v>
      </c>
      <c r="F5276" t="s">
        <v>1203</v>
      </c>
      <c r="G5276" t="s">
        <v>16423</v>
      </c>
      <c r="H5276" t="s">
        <v>1205</v>
      </c>
      <c r="I5276" t="s">
        <v>700</v>
      </c>
      <c r="J5276">
        <v>34</v>
      </c>
      <c r="K5276">
        <f t="shared" si="35"/>
        <v>-2187</v>
      </c>
      <c r="L5276" t="s">
        <v>16460</v>
      </c>
      <c r="M5276" t="s">
        <v>16461</v>
      </c>
      <c r="N5276" t="s">
        <v>674</v>
      </c>
      <c r="O5276" t="s">
        <v>134</v>
      </c>
      <c r="P5276" t="s">
        <v>29</v>
      </c>
      <c r="Q5276">
        <v>34</v>
      </c>
      <c r="R5276">
        <v>-99.999999000000003</v>
      </c>
    </row>
    <row r="5277" spans="1:18" x14ac:dyDescent="0.2">
      <c r="A5277" t="s">
        <v>1200</v>
      </c>
      <c r="B5277" t="s">
        <v>1201</v>
      </c>
      <c r="C5277">
        <v>34</v>
      </c>
      <c r="D5277" s="1">
        <v>44075.724363425928</v>
      </c>
      <c r="E5277" t="s">
        <v>16462</v>
      </c>
      <c r="F5277" t="s">
        <v>1203</v>
      </c>
      <c r="G5277" t="s">
        <v>16423</v>
      </c>
      <c r="H5277" t="s">
        <v>1205</v>
      </c>
      <c r="I5277" t="s">
        <v>700</v>
      </c>
      <c r="J5277">
        <v>34</v>
      </c>
      <c r="K5277">
        <f t="shared" si="35"/>
        <v>-2187</v>
      </c>
      <c r="L5277" t="s">
        <v>16463</v>
      </c>
      <c r="M5277" t="s">
        <v>16464</v>
      </c>
      <c r="N5277" t="s">
        <v>674</v>
      </c>
      <c r="O5277" t="s">
        <v>134</v>
      </c>
      <c r="P5277" t="s">
        <v>29</v>
      </c>
      <c r="Q5277">
        <v>34</v>
      </c>
      <c r="R5277">
        <v>-99.999999000000003</v>
      </c>
    </row>
    <row r="5278" spans="1:18" x14ac:dyDescent="0.2">
      <c r="A5278" t="s">
        <v>1200</v>
      </c>
      <c r="B5278" t="s">
        <v>1201</v>
      </c>
      <c r="C5278">
        <v>34</v>
      </c>
      <c r="D5278" s="1">
        <v>44074.956875000003</v>
      </c>
      <c r="E5278" t="s">
        <v>16465</v>
      </c>
      <c r="F5278" t="s">
        <v>1203</v>
      </c>
      <c r="G5278" t="s">
        <v>16423</v>
      </c>
      <c r="H5278" t="s">
        <v>1205</v>
      </c>
      <c r="I5278" t="s">
        <v>700</v>
      </c>
      <c r="J5278">
        <v>34</v>
      </c>
      <c r="K5278">
        <f t="shared" si="35"/>
        <v>-2187</v>
      </c>
      <c r="L5278" t="s">
        <v>16466</v>
      </c>
      <c r="M5278" t="s">
        <v>16467</v>
      </c>
      <c r="N5278" t="s">
        <v>213</v>
      </c>
      <c r="O5278" t="s">
        <v>134</v>
      </c>
      <c r="P5278" t="s">
        <v>29</v>
      </c>
      <c r="Q5278">
        <v>34</v>
      </c>
      <c r="R5278">
        <v>-99.999999000000003</v>
      </c>
    </row>
    <row r="5279" spans="1:18" x14ac:dyDescent="0.2">
      <c r="A5279" t="s">
        <v>1200</v>
      </c>
      <c r="B5279" t="s">
        <v>1201</v>
      </c>
      <c r="C5279">
        <v>34</v>
      </c>
      <c r="D5279" s="1">
        <v>44074.956793981481</v>
      </c>
      <c r="E5279" t="s">
        <v>16468</v>
      </c>
      <c r="F5279" t="s">
        <v>1203</v>
      </c>
      <c r="G5279" t="s">
        <v>16423</v>
      </c>
      <c r="H5279" t="s">
        <v>1205</v>
      </c>
      <c r="I5279" t="s">
        <v>700</v>
      </c>
      <c r="J5279">
        <v>34</v>
      </c>
      <c r="K5279">
        <f t="shared" si="35"/>
        <v>-2187</v>
      </c>
      <c r="L5279" t="s">
        <v>16469</v>
      </c>
      <c r="M5279" t="s">
        <v>16470</v>
      </c>
      <c r="N5279" t="s">
        <v>213</v>
      </c>
      <c r="O5279" t="s">
        <v>134</v>
      </c>
      <c r="P5279" t="s">
        <v>29</v>
      </c>
      <c r="Q5279">
        <v>34</v>
      </c>
      <c r="R5279">
        <v>-99.999999000000003</v>
      </c>
    </row>
    <row r="5280" spans="1:18" x14ac:dyDescent="0.2">
      <c r="A5280" t="s">
        <v>1200</v>
      </c>
      <c r="B5280" t="s">
        <v>1201</v>
      </c>
      <c r="C5280">
        <v>34</v>
      </c>
      <c r="D5280" s="1">
        <v>44075.725034722222</v>
      </c>
      <c r="E5280" t="s">
        <v>16471</v>
      </c>
      <c r="F5280" t="s">
        <v>1203</v>
      </c>
      <c r="G5280" t="s">
        <v>16423</v>
      </c>
      <c r="H5280" t="s">
        <v>1205</v>
      </c>
      <c r="I5280" t="s">
        <v>700</v>
      </c>
      <c r="J5280">
        <v>34</v>
      </c>
      <c r="K5280">
        <f t="shared" si="35"/>
        <v>-2187</v>
      </c>
      <c r="L5280" t="s">
        <v>16472</v>
      </c>
      <c r="M5280" t="s">
        <v>16473</v>
      </c>
      <c r="N5280" t="s">
        <v>213</v>
      </c>
      <c r="O5280" t="s">
        <v>134</v>
      </c>
      <c r="P5280" t="s">
        <v>29</v>
      </c>
      <c r="Q5280">
        <v>34</v>
      </c>
      <c r="R5280">
        <v>-99.999999000000003</v>
      </c>
    </row>
    <row r="5281" spans="1:18" x14ac:dyDescent="0.2">
      <c r="A5281" t="s">
        <v>1200</v>
      </c>
      <c r="B5281" t="s">
        <v>1201</v>
      </c>
      <c r="C5281">
        <v>34</v>
      </c>
      <c r="D5281" s="1">
        <v>44075.724386574075</v>
      </c>
      <c r="E5281" t="s">
        <v>16474</v>
      </c>
      <c r="F5281" t="s">
        <v>1203</v>
      </c>
      <c r="G5281" t="s">
        <v>16423</v>
      </c>
      <c r="H5281" t="s">
        <v>1205</v>
      </c>
      <c r="I5281" t="s">
        <v>700</v>
      </c>
      <c r="J5281">
        <v>34</v>
      </c>
      <c r="K5281">
        <f t="shared" si="35"/>
        <v>-2187</v>
      </c>
      <c r="L5281" t="s">
        <v>16475</v>
      </c>
      <c r="M5281" t="s">
        <v>16476</v>
      </c>
      <c r="N5281" t="s">
        <v>674</v>
      </c>
      <c r="O5281" t="s">
        <v>134</v>
      </c>
      <c r="P5281" t="s">
        <v>29</v>
      </c>
      <c r="Q5281">
        <v>34</v>
      </c>
      <c r="R5281">
        <v>-99.999999000000003</v>
      </c>
    </row>
    <row r="5282" spans="1:18" x14ac:dyDescent="0.2">
      <c r="A5282" t="s">
        <v>1200</v>
      </c>
      <c r="B5282" t="s">
        <v>1201</v>
      </c>
      <c r="C5282">
        <v>34</v>
      </c>
      <c r="D5282" s="1">
        <v>44077.833287037036</v>
      </c>
      <c r="E5282" t="s">
        <v>16477</v>
      </c>
      <c r="F5282" t="s">
        <v>1203</v>
      </c>
      <c r="G5282" t="s">
        <v>16423</v>
      </c>
      <c r="H5282" t="s">
        <v>1205</v>
      </c>
      <c r="I5282" t="s">
        <v>700</v>
      </c>
      <c r="J5282">
        <v>34</v>
      </c>
      <c r="K5282">
        <f t="shared" si="35"/>
        <v>-2187</v>
      </c>
      <c r="L5282" t="s">
        <v>16478</v>
      </c>
      <c r="M5282" t="s">
        <v>16479</v>
      </c>
      <c r="N5282" t="s">
        <v>213</v>
      </c>
      <c r="O5282" t="s">
        <v>134</v>
      </c>
      <c r="P5282" t="s">
        <v>29</v>
      </c>
      <c r="Q5282">
        <v>34</v>
      </c>
      <c r="R5282">
        <v>-99.999999000000003</v>
      </c>
    </row>
    <row r="5283" spans="1:18" x14ac:dyDescent="0.2">
      <c r="A5283" t="s">
        <v>1200</v>
      </c>
      <c r="B5283" t="s">
        <v>1201</v>
      </c>
      <c r="C5283">
        <v>34</v>
      </c>
      <c r="D5283" s="1">
        <v>44077.840486111112</v>
      </c>
      <c r="E5283" t="s">
        <v>16480</v>
      </c>
      <c r="F5283" t="s">
        <v>1203</v>
      </c>
      <c r="G5283" t="s">
        <v>16423</v>
      </c>
      <c r="H5283" t="s">
        <v>1205</v>
      </c>
      <c r="I5283" t="s">
        <v>700</v>
      </c>
      <c r="J5283">
        <v>34</v>
      </c>
      <c r="K5283">
        <f t="shared" si="35"/>
        <v>-2187</v>
      </c>
      <c r="L5283" t="s">
        <v>16481</v>
      </c>
      <c r="M5283" t="s">
        <v>16482</v>
      </c>
      <c r="N5283" t="s">
        <v>674</v>
      </c>
      <c r="O5283" t="s">
        <v>134</v>
      </c>
      <c r="P5283" t="s">
        <v>29</v>
      </c>
      <c r="Q5283">
        <v>34</v>
      </c>
      <c r="R5283">
        <v>-99.999999000000003</v>
      </c>
    </row>
    <row r="5284" spans="1:18" x14ac:dyDescent="0.2">
      <c r="A5284" t="s">
        <v>1200</v>
      </c>
      <c r="B5284" t="s">
        <v>1201</v>
      </c>
      <c r="C5284">
        <v>34</v>
      </c>
      <c r="D5284" s="1">
        <v>44073.874988425923</v>
      </c>
      <c r="E5284" t="s">
        <v>16447</v>
      </c>
      <c r="F5284" t="s">
        <v>1203</v>
      </c>
      <c r="G5284" t="s">
        <v>16423</v>
      </c>
      <c r="H5284" t="s">
        <v>1205</v>
      </c>
      <c r="I5284" t="s">
        <v>700</v>
      </c>
      <c r="J5284">
        <v>34</v>
      </c>
      <c r="K5284">
        <f t="shared" si="35"/>
        <v>-2187</v>
      </c>
      <c r="L5284" t="s">
        <v>16483</v>
      </c>
      <c r="M5284" t="s">
        <v>16484</v>
      </c>
      <c r="N5284" t="s">
        <v>213</v>
      </c>
      <c r="O5284" t="s">
        <v>28</v>
      </c>
      <c r="P5284" t="s">
        <v>29</v>
      </c>
      <c r="Q5284">
        <v>34</v>
      </c>
      <c r="R5284">
        <v>-99.999999000000003</v>
      </c>
    </row>
    <row r="5285" spans="1:18" x14ac:dyDescent="0.2">
      <c r="A5285" t="s">
        <v>1200</v>
      </c>
      <c r="B5285" t="s">
        <v>1201</v>
      </c>
      <c r="C5285">
        <v>34</v>
      </c>
      <c r="D5285" s="1">
        <v>44073.874768518515</v>
      </c>
      <c r="E5285" t="s">
        <v>16485</v>
      </c>
      <c r="F5285" t="s">
        <v>1203</v>
      </c>
      <c r="G5285" t="s">
        <v>16423</v>
      </c>
      <c r="H5285" t="s">
        <v>1205</v>
      </c>
      <c r="I5285" t="s">
        <v>700</v>
      </c>
      <c r="J5285">
        <v>34</v>
      </c>
      <c r="K5285">
        <f t="shared" si="35"/>
        <v>-2187</v>
      </c>
      <c r="L5285" t="s">
        <v>16486</v>
      </c>
      <c r="M5285" t="s">
        <v>16487</v>
      </c>
      <c r="N5285" t="s">
        <v>674</v>
      </c>
      <c r="O5285" t="s">
        <v>134</v>
      </c>
      <c r="P5285" t="s">
        <v>29</v>
      </c>
      <c r="Q5285">
        <v>34</v>
      </c>
      <c r="R5285">
        <v>-99.999999000000003</v>
      </c>
    </row>
    <row r="5286" spans="1:18" x14ac:dyDescent="0.2">
      <c r="A5286" t="s">
        <v>1200</v>
      </c>
      <c r="B5286" t="s">
        <v>1201</v>
      </c>
      <c r="C5286">
        <v>34</v>
      </c>
      <c r="D5286" s="1">
        <v>44073.874699074076</v>
      </c>
      <c r="E5286" t="s">
        <v>16488</v>
      </c>
      <c r="F5286" t="s">
        <v>1203</v>
      </c>
      <c r="G5286" t="s">
        <v>16423</v>
      </c>
      <c r="H5286" t="s">
        <v>1205</v>
      </c>
      <c r="I5286" t="s">
        <v>700</v>
      </c>
      <c r="J5286">
        <v>34</v>
      </c>
      <c r="K5286">
        <f t="shared" si="35"/>
        <v>-2187</v>
      </c>
      <c r="L5286" t="s">
        <v>16489</v>
      </c>
      <c r="M5286" t="s">
        <v>16490</v>
      </c>
      <c r="N5286" t="s">
        <v>213</v>
      </c>
      <c r="O5286" t="s">
        <v>134</v>
      </c>
      <c r="P5286" t="s">
        <v>29</v>
      </c>
      <c r="Q5286">
        <v>34</v>
      </c>
      <c r="R5286">
        <v>-99.999999000000003</v>
      </c>
    </row>
    <row r="5287" spans="1:18" x14ac:dyDescent="0.2">
      <c r="A5287" t="s">
        <v>1200</v>
      </c>
      <c r="B5287" t="s">
        <v>1201</v>
      </c>
      <c r="C5287">
        <v>34</v>
      </c>
      <c r="D5287" s="1">
        <v>44073.874571759261</v>
      </c>
      <c r="E5287" t="s">
        <v>16491</v>
      </c>
      <c r="F5287" t="s">
        <v>1203</v>
      </c>
      <c r="G5287" t="s">
        <v>16423</v>
      </c>
      <c r="H5287" t="s">
        <v>1205</v>
      </c>
      <c r="I5287" t="s">
        <v>700</v>
      </c>
      <c r="J5287">
        <v>34</v>
      </c>
      <c r="K5287">
        <f t="shared" si="35"/>
        <v>-2187</v>
      </c>
      <c r="L5287" t="s">
        <v>16492</v>
      </c>
      <c r="M5287" t="s">
        <v>16493</v>
      </c>
      <c r="N5287" t="s">
        <v>674</v>
      </c>
      <c r="O5287" t="s">
        <v>134</v>
      </c>
      <c r="P5287" t="s">
        <v>29</v>
      </c>
      <c r="Q5287">
        <v>34</v>
      </c>
      <c r="R5287">
        <v>-99.999999000000003</v>
      </c>
    </row>
    <row r="5288" spans="1:18" x14ac:dyDescent="0.2">
      <c r="A5288" t="s">
        <v>1200</v>
      </c>
      <c r="B5288" t="s">
        <v>1201</v>
      </c>
      <c r="C5288">
        <v>34</v>
      </c>
      <c r="D5288" s="1">
        <v>44071.776944444442</v>
      </c>
      <c r="E5288" t="s">
        <v>16494</v>
      </c>
      <c r="F5288" t="s">
        <v>1203</v>
      </c>
      <c r="G5288" t="s">
        <v>16423</v>
      </c>
      <c r="H5288" t="s">
        <v>1205</v>
      </c>
      <c r="I5288" t="s">
        <v>700</v>
      </c>
      <c r="J5288">
        <v>34</v>
      </c>
      <c r="K5288">
        <f t="shared" si="35"/>
        <v>-2187</v>
      </c>
      <c r="L5288" t="s">
        <v>16495</v>
      </c>
      <c r="M5288" t="s">
        <v>16496</v>
      </c>
      <c r="N5288" t="s">
        <v>674</v>
      </c>
      <c r="O5288" t="s">
        <v>134</v>
      </c>
      <c r="P5288" t="s">
        <v>29</v>
      </c>
      <c r="Q5288">
        <v>34</v>
      </c>
      <c r="R5288">
        <v>-99.999999000000003</v>
      </c>
    </row>
    <row r="5289" spans="1:18" x14ac:dyDescent="0.2">
      <c r="A5289" t="s">
        <v>1200</v>
      </c>
      <c r="B5289" t="s">
        <v>1201</v>
      </c>
      <c r="C5289">
        <v>34</v>
      </c>
      <c r="D5289" s="1">
        <v>44071.77684027778</v>
      </c>
      <c r="E5289" t="s">
        <v>16497</v>
      </c>
      <c r="F5289" t="s">
        <v>1203</v>
      </c>
      <c r="G5289" t="s">
        <v>16423</v>
      </c>
      <c r="H5289" t="s">
        <v>1205</v>
      </c>
      <c r="I5289" t="s">
        <v>700</v>
      </c>
      <c r="J5289">
        <v>34</v>
      </c>
      <c r="K5289">
        <f t="shared" si="35"/>
        <v>-2187</v>
      </c>
      <c r="L5289" t="s">
        <v>16498</v>
      </c>
      <c r="M5289" t="s">
        <v>16499</v>
      </c>
      <c r="N5289" t="s">
        <v>674</v>
      </c>
      <c r="O5289" t="s">
        <v>134</v>
      </c>
      <c r="P5289" t="s">
        <v>29</v>
      </c>
      <c r="Q5289">
        <v>34</v>
      </c>
      <c r="R5289">
        <v>-99.999999000000003</v>
      </c>
    </row>
    <row r="5290" spans="1:18" x14ac:dyDescent="0.2">
      <c r="A5290" t="s">
        <v>1200</v>
      </c>
      <c r="B5290" t="s">
        <v>1201</v>
      </c>
      <c r="C5290">
        <v>34</v>
      </c>
      <c r="D5290" s="1">
        <v>44071.776747685188</v>
      </c>
      <c r="E5290" t="s">
        <v>16468</v>
      </c>
      <c r="F5290" t="s">
        <v>1203</v>
      </c>
      <c r="G5290" t="s">
        <v>16423</v>
      </c>
      <c r="H5290" t="s">
        <v>1205</v>
      </c>
      <c r="I5290" t="s">
        <v>700</v>
      </c>
      <c r="J5290">
        <v>34</v>
      </c>
      <c r="K5290">
        <f t="shared" si="35"/>
        <v>-2187</v>
      </c>
      <c r="L5290" t="s">
        <v>16500</v>
      </c>
      <c r="M5290" t="s">
        <v>16501</v>
      </c>
      <c r="N5290" t="s">
        <v>213</v>
      </c>
      <c r="O5290" t="s">
        <v>134</v>
      </c>
      <c r="P5290" t="s">
        <v>29</v>
      </c>
      <c r="Q5290">
        <v>34</v>
      </c>
      <c r="R5290">
        <v>-99.999999000000003</v>
      </c>
    </row>
    <row r="5291" spans="1:18" x14ac:dyDescent="0.2">
      <c r="A5291" t="s">
        <v>1200</v>
      </c>
      <c r="B5291" t="s">
        <v>1201</v>
      </c>
      <c r="C5291">
        <v>34</v>
      </c>
      <c r="D5291" s="1">
        <v>44071.776666666665</v>
      </c>
      <c r="E5291" t="s">
        <v>16502</v>
      </c>
      <c r="F5291" t="s">
        <v>1203</v>
      </c>
      <c r="G5291" t="s">
        <v>16423</v>
      </c>
      <c r="H5291" t="s">
        <v>1205</v>
      </c>
      <c r="I5291" t="s">
        <v>700</v>
      </c>
      <c r="J5291">
        <v>34</v>
      </c>
      <c r="K5291">
        <f t="shared" si="35"/>
        <v>-2187</v>
      </c>
      <c r="L5291" t="s">
        <v>16503</v>
      </c>
      <c r="M5291" t="s">
        <v>16504</v>
      </c>
      <c r="N5291" t="s">
        <v>674</v>
      </c>
      <c r="O5291" t="s">
        <v>134</v>
      </c>
      <c r="P5291" t="s">
        <v>29</v>
      </c>
      <c r="Q5291">
        <v>34</v>
      </c>
      <c r="R5291">
        <v>-99.999999000000003</v>
      </c>
    </row>
    <row r="5292" spans="1:18" x14ac:dyDescent="0.2">
      <c r="A5292" t="s">
        <v>1200</v>
      </c>
      <c r="B5292" t="s">
        <v>1201</v>
      </c>
      <c r="C5292">
        <v>34</v>
      </c>
      <c r="D5292" s="1">
        <v>44071.776458333334</v>
      </c>
      <c r="E5292" t="s">
        <v>16505</v>
      </c>
      <c r="F5292" t="s">
        <v>1203</v>
      </c>
      <c r="G5292" t="s">
        <v>16423</v>
      </c>
      <c r="H5292" t="s">
        <v>1205</v>
      </c>
      <c r="I5292" t="s">
        <v>700</v>
      </c>
      <c r="J5292">
        <v>34</v>
      </c>
      <c r="K5292">
        <f t="shared" si="35"/>
        <v>-2187</v>
      </c>
      <c r="L5292" t="s">
        <v>16506</v>
      </c>
      <c r="M5292" t="s">
        <v>16507</v>
      </c>
      <c r="N5292" t="s">
        <v>213</v>
      </c>
      <c r="O5292" t="s">
        <v>134</v>
      </c>
      <c r="P5292" t="s">
        <v>29</v>
      </c>
      <c r="Q5292">
        <v>34</v>
      </c>
      <c r="R5292">
        <v>-99.999999000000003</v>
      </c>
    </row>
    <row r="5293" spans="1:18" x14ac:dyDescent="0.2">
      <c r="A5293" t="s">
        <v>1200</v>
      </c>
      <c r="B5293" t="s">
        <v>1201</v>
      </c>
      <c r="C5293">
        <v>34</v>
      </c>
      <c r="D5293" s="1">
        <v>44071.776238425926</v>
      </c>
      <c r="E5293" t="s">
        <v>16508</v>
      </c>
      <c r="F5293" t="s">
        <v>1203</v>
      </c>
      <c r="G5293" t="s">
        <v>16423</v>
      </c>
      <c r="H5293" t="s">
        <v>1205</v>
      </c>
      <c r="I5293" t="s">
        <v>700</v>
      </c>
      <c r="J5293">
        <v>34</v>
      </c>
      <c r="K5293">
        <f t="shared" si="35"/>
        <v>-2187</v>
      </c>
      <c r="L5293" t="s">
        <v>16509</v>
      </c>
      <c r="M5293" t="s">
        <v>16510</v>
      </c>
      <c r="N5293" t="s">
        <v>674</v>
      </c>
      <c r="O5293" t="s">
        <v>134</v>
      </c>
      <c r="P5293" t="s">
        <v>29</v>
      </c>
      <c r="Q5293">
        <v>34</v>
      </c>
      <c r="R5293">
        <v>-99.999999000000003</v>
      </c>
    </row>
    <row r="5294" spans="1:18" x14ac:dyDescent="0.2">
      <c r="A5294" t="s">
        <v>1200</v>
      </c>
      <c r="B5294" t="s">
        <v>1201</v>
      </c>
      <c r="C5294">
        <v>34</v>
      </c>
      <c r="D5294" s="1">
        <v>44071.775706018518</v>
      </c>
      <c r="E5294" t="s">
        <v>16511</v>
      </c>
      <c r="F5294" t="s">
        <v>1203</v>
      </c>
      <c r="G5294" t="s">
        <v>16423</v>
      </c>
      <c r="H5294" t="s">
        <v>1205</v>
      </c>
      <c r="I5294" t="s">
        <v>700</v>
      </c>
      <c r="J5294">
        <v>34</v>
      </c>
      <c r="K5294">
        <f t="shared" si="35"/>
        <v>-2187</v>
      </c>
      <c r="L5294" t="s">
        <v>16512</v>
      </c>
      <c r="M5294" t="s">
        <v>16513</v>
      </c>
      <c r="N5294" t="s">
        <v>674</v>
      </c>
      <c r="O5294" t="s">
        <v>134</v>
      </c>
      <c r="P5294" t="s">
        <v>29</v>
      </c>
      <c r="Q5294">
        <v>34</v>
      </c>
      <c r="R5294">
        <v>-99.999999000000003</v>
      </c>
    </row>
    <row r="5295" spans="1:18" x14ac:dyDescent="0.2">
      <c r="A5295" t="s">
        <v>1200</v>
      </c>
      <c r="B5295" t="s">
        <v>1201</v>
      </c>
      <c r="C5295">
        <v>34</v>
      </c>
      <c r="D5295" s="1">
        <v>44071.775567129633</v>
      </c>
      <c r="E5295" t="s">
        <v>16514</v>
      </c>
      <c r="F5295" t="s">
        <v>1203</v>
      </c>
      <c r="G5295" t="s">
        <v>16423</v>
      </c>
      <c r="H5295" t="s">
        <v>1205</v>
      </c>
      <c r="I5295" t="s">
        <v>700</v>
      </c>
      <c r="J5295">
        <v>34</v>
      </c>
      <c r="K5295">
        <f t="shared" si="35"/>
        <v>-2187</v>
      </c>
      <c r="L5295" t="s">
        <v>16515</v>
      </c>
      <c r="M5295" t="s">
        <v>16516</v>
      </c>
      <c r="N5295" t="s">
        <v>213</v>
      </c>
      <c r="O5295" t="s">
        <v>134</v>
      </c>
      <c r="P5295" t="s">
        <v>29</v>
      </c>
      <c r="Q5295">
        <v>34</v>
      </c>
      <c r="R5295">
        <v>-99.999999000000003</v>
      </c>
    </row>
    <row r="5296" spans="1:18" x14ac:dyDescent="0.2">
      <c r="A5296" t="s">
        <v>1200</v>
      </c>
      <c r="B5296" t="s">
        <v>1201</v>
      </c>
      <c r="C5296">
        <v>34</v>
      </c>
      <c r="D5296" s="1">
        <v>44071.775312500002</v>
      </c>
      <c r="E5296" t="s">
        <v>16517</v>
      </c>
      <c r="F5296" t="s">
        <v>1203</v>
      </c>
      <c r="G5296" t="s">
        <v>16423</v>
      </c>
      <c r="H5296" t="s">
        <v>1205</v>
      </c>
      <c r="I5296" t="s">
        <v>700</v>
      </c>
      <c r="J5296">
        <v>34</v>
      </c>
      <c r="K5296">
        <f t="shared" si="35"/>
        <v>-2187</v>
      </c>
      <c r="L5296" t="s">
        <v>16518</v>
      </c>
      <c r="M5296" t="s">
        <v>16519</v>
      </c>
      <c r="N5296" t="s">
        <v>674</v>
      </c>
      <c r="O5296" t="s">
        <v>134</v>
      </c>
      <c r="P5296" t="s">
        <v>29</v>
      </c>
      <c r="Q5296">
        <v>34</v>
      </c>
      <c r="R5296">
        <v>-99.999999000000003</v>
      </c>
    </row>
    <row r="5297" spans="1:18" x14ac:dyDescent="0.2">
      <c r="A5297" t="s">
        <v>1200</v>
      </c>
      <c r="B5297" t="s">
        <v>1201</v>
      </c>
      <c r="C5297">
        <v>34</v>
      </c>
      <c r="D5297" s="1">
        <v>44071.775231481479</v>
      </c>
      <c r="E5297" t="s">
        <v>16520</v>
      </c>
      <c r="F5297" t="s">
        <v>1203</v>
      </c>
      <c r="G5297" t="s">
        <v>16423</v>
      </c>
      <c r="H5297" t="s">
        <v>1205</v>
      </c>
      <c r="I5297" t="s">
        <v>700</v>
      </c>
      <c r="J5297">
        <v>34</v>
      </c>
      <c r="K5297">
        <f t="shared" si="35"/>
        <v>-2187</v>
      </c>
      <c r="L5297" t="s">
        <v>16521</v>
      </c>
      <c r="M5297" t="s">
        <v>16522</v>
      </c>
      <c r="N5297" t="s">
        <v>213</v>
      </c>
      <c r="O5297" t="s">
        <v>134</v>
      </c>
      <c r="P5297" t="s">
        <v>29</v>
      </c>
      <c r="Q5297">
        <v>34</v>
      </c>
      <c r="R5297">
        <v>-99.999999000000003</v>
      </c>
    </row>
    <row r="5298" spans="1:18" x14ac:dyDescent="0.2">
      <c r="A5298" t="s">
        <v>1200</v>
      </c>
      <c r="B5298" t="s">
        <v>1201</v>
      </c>
      <c r="C5298">
        <v>34</v>
      </c>
      <c r="D5298" s="1">
        <v>44071.775081018517</v>
      </c>
      <c r="E5298" t="s">
        <v>16523</v>
      </c>
      <c r="F5298" t="s">
        <v>1203</v>
      </c>
      <c r="G5298" t="s">
        <v>16423</v>
      </c>
      <c r="H5298" t="s">
        <v>1205</v>
      </c>
      <c r="I5298" t="s">
        <v>700</v>
      </c>
      <c r="J5298">
        <v>34</v>
      </c>
      <c r="K5298">
        <f t="shared" si="35"/>
        <v>-2187</v>
      </c>
      <c r="L5298" t="s">
        <v>16524</v>
      </c>
      <c r="M5298" t="s">
        <v>16525</v>
      </c>
      <c r="N5298" t="s">
        <v>213</v>
      </c>
      <c r="O5298" t="s">
        <v>134</v>
      </c>
      <c r="P5298" t="s">
        <v>29</v>
      </c>
      <c r="Q5298">
        <v>34</v>
      </c>
      <c r="R5298">
        <v>-99.999999000000003</v>
      </c>
    </row>
    <row r="5299" spans="1:18" x14ac:dyDescent="0.2">
      <c r="A5299" t="s">
        <v>1200</v>
      </c>
      <c r="B5299" t="s">
        <v>1201</v>
      </c>
      <c r="C5299">
        <v>34</v>
      </c>
      <c r="D5299" s="1">
        <v>44071.774699074071</v>
      </c>
      <c r="E5299" t="s">
        <v>16526</v>
      </c>
      <c r="F5299" t="s">
        <v>1203</v>
      </c>
      <c r="G5299" t="s">
        <v>16423</v>
      </c>
      <c r="H5299" t="s">
        <v>1205</v>
      </c>
      <c r="I5299" t="s">
        <v>700</v>
      </c>
      <c r="J5299">
        <v>34</v>
      </c>
      <c r="K5299">
        <f t="shared" si="35"/>
        <v>-2187</v>
      </c>
      <c r="L5299" t="s">
        <v>16527</v>
      </c>
      <c r="M5299" t="s">
        <v>16528</v>
      </c>
      <c r="N5299" t="s">
        <v>213</v>
      </c>
      <c r="O5299" t="s">
        <v>134</v>
      </c>
      <c r="P5299" t="s">
        <v>29</v>
      </c>
      <c r="Q5299">
        <v>34</v>
      </c>
      <c r="R5299">
        <v>-99.999999000000003</v>
      </c>
    </row>
    <row r="5300" spans="1:18" x14ac:dyDescent="0.2">
      <c r="A5300" t="s">
        <v>1200</v>
      </c>
      <c r="B5300" t="s">
        <v>1201</v>
      </c>
      <c r="C5300">
        <v>34</v>
      </c>
      <c r="D5300" s="1">
        <v>44071.774525462963</v>
      </c>
      <c r="E5300" t="s">
        <v>16529</v>
      </c>
      <c r="F5300" t="s">
        <v>1203</v>
      </c>
      <c r="G5300" t="s">
        <v>16423</v>
      </c>
      <c r="H5300" t="s">
        <v>1205</v>
      </c>
      <c r="I5300" t="s">
        <v>700</v>
      </c>
      <c r="J5300">
        <v>34</v>
      </c>
      <c r="K5300">
        <f t="shared" si="35"/>
        <v>-2187</v>
      </c>
      <c r="L5300" t="s">
        <v>16530</v>
      </c>
      <c r="M5300" t="s">
        <v>16531</v>
      </c>
      <c r="N5300" t="s">
        <v>213</v>
      </c>
      <c r="O5300" t="s">
        <v>134</v>
      </c>
      <c r="P5300" t="s">
        <v>29</v>
      </c>
      <c r="Q5300">
        <v>34</v>
      </c>
      <c r="R5300">
        <v>-99.999999000000003</v>
      </c>
    </row>
    <row r="5301" spans="1:18" x14ac:dyDescent="0.2">
      <c r="A5301" t="s">
        <v>1200</v>
      </c>
      <c r="B5301" t="s">
        <v>1201</v>
      </c>
      <c r="C5301">
        <v>34</v>
      </c>
      <c r="D5301" s="1">
        <v>44071.774444444447</v>
      </c>
      <c r="E5301" t="s">
        <v>16456</v>
      </c>
      <c r="F5301" t="s">
        <v>1203</v>
      </c>
      <c r="G5301" t="s">
        <v>16423</v>
      </c>
      <c r="H5301" t="s">
        <v>1205</v>
      </c>
      <c r="I5301" t="s">
        <v>700</v>
      </c>
      <c r="J5301">
        <v>34</v>
      </c>
      <c r="K5301">
        <f t="shared" si="35"/>
        <v>-2187</v>
      </c>
      <c r="L5301" t="s">
        <v>16532</v>
      </c>
      <c r="M5301" t="s">
        <v>16533</v>
      </c>
      <c r="N5301" t="s">
        <v>674</v>
      </c>
      <c r="O5301" t="s">
        <v>134</v>
      </c>
      <c r="P5301" t="s">
        <v>29</v>
      </c>
      <c r="Q5301">
        <v>34</v>
      </c>
      <c r="R5301">
        <v>-99.999999000000003</v>
      </c>
    </row>
    <row r="5302" spans="1:18" x14ac:dyDescent="0.2">
      <c r="A5302" t="s">
        <v>1200</v>
      </c>
      <c r="B5302" t="s">
        <v>1201</v>
      </c>
      <c r="C5302">
        <v>34</v>
      </c>
      <c r="D5302" s="1">
        <v>44071.774375000001</v>
      </c>
      <c r="E5302" t="s">
        <v>16534</v>
      </c>
      <c r="F5302" t="s">
        <v>1203</v>
      </c>
      <c r="G5302" t="s">
        <v>16423</v>
      </c>
      <c r="H5302" t="s">
        <v>1205</v>
      </c>
      <c r="I5302" t="s">
        <v>700</v>
      </c>
      <c r="J5302">
        <v>34</v>
      </c>
      <c r="K5302">
        <f t="shared" si="35"/>
        <v>-2187</v>
      </c>
      <c r="L5302" t="s">
        <v>16535</v>
      </c>
      <c r="M5302" t="s">
        <v>16536</v>
      </c>
      <c r="N5302" t="s">
        <v>213</v>
      </c>
      <c r="O5302" t="s">
        <v>134</v>
      </c>
      <c r="P5302" t="s">
        <v>29</v>
      </c>
      <c r="Q5302">
        <v>34</v>
      </c>
      <c r="R5302">
        <v>-99.999999000000003</v>
      </c>
    </row>
    <row r="5303" spans="1:18" x14ac:dyDescent="0.2">
      <c r="A5303" t="s">
        <v>1200</v>
      </c>
      <c r="B5303" t="s">
        <v>1201</v>
      </c>
      <c r="C5303">
        <v>34</v>
      </c>
      <c r="D5303" s="1">
        <v>44071.774247685185</v>
      </c>
      <c r="E5303" t="s">
        <v>16537</v>
      </c>
      <c r="F5303" t="s">
        <v>1203</v>
      </c>
      <c r="G5303" t="s">
        <v>16423</v>
      </c>
      <c r="H5303" t="s">
        <v>1205</v>
      </c>
      <c r="I5303" t="s">
        <v>700</v>
      </c>
      <c r="J5303">
        <v>34</v>
      </c>
      <c r="K5303">
        <f t="shared" si="35"/>
        <v>-2187</v>
      </c>
      <c r="L5303" t="s">
        <v>16538</v>
      </c>
      <c r="M5303" t="s">
        <v>16539</v>
      </c>
      <c r="N5303" t="s">
        <v>674</v>
      </c>
      <c r="O5303" t="s">
        <v>134</v>
      </c>
      <c r="P5303" t="s">
        <v>29</v>
      </c>
      <c r="Q5303">
        <v>34</v>
      </c>
      <c r="R5303">
        <v>-99.999999000000003</v>
      </c>
    </row>
    <row r="5304" spans="1:18" x14ac:dyDescent="0.2">
      <c r="A5304" t="s">
        <v>1200</v>
      </c>
      <c r="B5304" t="s">
        <v>1201</v>
      </c>
      <c r="C5304">
        <v>34</v>
      </c>
      <c r="D5304" s="1">
        <v>44071.773506944446</v>
      </c>
      <c r="E5304" t="s">
        <v>16540</v>
      </c>
      <c r="F5304" t="s">
        <v>1203</v>
      </c>
      <c r="G5304" t="s">
        <v>16423</v>
      </c>
      <c r="H5304" t="s">
        <v>1205</v>
      </c>
      <c r="I5304" t="s">
        <v>700</v>
      </c>
      <c r="J5304">
        <v>34</v>
      </c>
      <c r="K5304">
        <f>34-900-670-25</f>
        <v>-1561</v>
      </c>
      <c r="L5304" t="s">
        <v>16541</v>
      </c>
      <c r="M5304" t="s">
        <v>16542</v>
      </c>
      <c r="N5304" t="s">
        <v>674</v>
      </c>
      <c r="O5304" t="s">
        <v>28</v>
      </c>
      <c r="P5304" t="s">
        <v>29</v>
      </c>
      <c r="Q5304">
        <v>34</v>
      </c>
      <c r="R5304">
        <v>-99.999999000000003</v>
      </c>
    </row>
    <row r="5305" spans="1:18" x14ac:dyDescent="0.2">
      <c r="A5305" t="s">
        <v>1200</v>
      </c>
      <c r="B5305" t="s">
        <v>1201</v>
      </c>
      <c r="C5305">
        <v>34</v>
      </c>
      <c r="D5305" s="1">
        <v>44071.773298611108</v>
      </c>
      <c r="E5305" t="s">
        <v>16543</v>
      </c>
      <c r="F5305" t="s">
        <v>1203</v>
      </c>
      <c r="G5305" t="s">
        <v>16423</v>
      </c>
      <c r="H5305" t="s">
        <v>1205</v>
      </c>
      <c r="I5305" t="s">
        <v>700</v>
      </c>
      <c r="J5305">
        <v>34</v>
      </c>
      <c r="K5305">
        <f t="shared" ref="K5305:K5310" si="36">34-900-649-672</f>
        <v>-2187</v>
      </c>
      <c r="L5305" t="s">
        <v>16544</v>
      </c>
      <c r="M5305" t="s">
        <v>16545</v>
      </c>
      <c r="N5305" t="s">
        <v>213</v>
      </c>
      <c r="O5305" t="s">
        <v>134</v>
      </c>
      <c r="P5305" t="s">
        <v>29</v>
      </c>
      <c r="Q5305">
        <v>34</v>
      </c>
      <c r="R5305">
        <v>-99.999999000000003</v>
      </c>
    </row>
    <row r="5306" spans="1:18" x14ac:dyDescent="0.2">
      <c r="A5306" t="s">
        <v>1200</v>
      </c>
      <c r="B5306" t="s">
        <v>1201</v>
      </c>
      <c r="C5306">
        <v>34</v>
      </c>
      <c r="D5306" s="1">
        <v>44071.773055555554</v>
      </c>
      <c r="E5306" t="s">
        <v>16546</v>
      </c>
      <c r="F5306" t="s">
        <v>1203</v>
      </c>
      <c r="G5306" t="s">
        <v>16423</v>
      </c>
      <c r="H5306" t="s">
        <v>1205</v>
      </c>
      <c r="I5306" t="s">
        <v>700</v>
      </c>
      <c r="J5306">
        <v>34</v>
      </c>
      <c r="K5306">
        <f t="shared" si="36"/>
        <v>-2187</v>
      </c>
      <c r="L5306" t="s">
        <v>16547</v>
      </c>
      <c r="M5306" t="s">
        <v>16548</v>
      </c>
      <c r="N5306" t="s">
        <v>674</v>
      </c>
      <c r="O5306" t="s">
        <v>134</v>
      </c>
      <c r="P5306" t="s">
        <v>29</v>
      </c>
      <c r="Q5306">
        <v>34</v>
      </c>
      <c r="R5306">
        <v>-99.999999000000003</v>
      </c>
    </row>
    <row r="5307" spans="1:18" x14ac:dyDescent="0.2">
      <c r="A5307" t="s">
        <v>1200</v>
      </c>
      <c r="B5307" t="s">
        <v>1201</v>
      </c>
      <c r="C5307">
        <v>34</v>
      </c>
      <c r="D5307" s="1">
        <v>44071.771956018521</v>
      </c>
      <c r="E5307" t="s">
        <v>16549</v>
      </c>
      <c r="F5307" t="s">
        <v>1203</v>
      </c>
      <c r="G5307" t="s">
        <v>16423</v>
      </c>
      <c r="H5307" t="s">
        <v>1205</v>
      </c>
      <c r="I5307" t="s">
        <v>700</v>
      </c>
      <c r="J5307">
        <v>34</v>
      </c>
      <c r="K5307">
        <f t="shared" si="36"/>
        <v>-2187</v>
      </c>
      <c r="L5307" t="s">
        <v>16550</v>
      </c>
      <c r="M5307" t="s">
        <v>16551</v>
      </c>
      <c r="N5307" t="s">
        <v>674</v>
      </c>
      <c r="O5307" t="s">
        <v>134</v>
      </c>
      <c r="P5307" t="s">
        <v>29</v>
      </c>
      <c r="Q5307">
        <v>34</v>
      </c>
      <c r="R5307">
        <v>-99.999999000000003</v>
      </c>
    </row>
    <row r="5308" spans="1:18" x14ac:dyDescent="0.2">
      <c r="A5308" t="s">
        <v>1200</v>
      </c>
      <c r="B5308" t="s">
        <v>1201</v>
      </c>
      <c r="C5308">
        <v>34</v>
      </c>
      <c r="D5308" s="1">
        <v>44071.77175925926</v>
      </c>
      <c r="E5308" t="s">
        <v>16552</v>
      </c>
      <c r="F5308" t="s">
        <v>1203</v>
      </c>
      <c r="G5308" t="s">
        <v>16423</v>
      </c>
      <c r="H5308" t="s">
        <v>1205</v>
      </c>
      <c r="I5308" t="s">
        <v>700</v>
      </c>
      <c r="J5308">
        <v>34</v>
      </c>
      <c r="K5308">
        <f t="shared" si="36"/>
        <v>-2187</v>
      </c>
      <c r="L5308" t="s">
        <v>16553</v>
      </c>
      <c r="M5308" t="s">
        <v>16554</v>
      </c>
      <c r="N5308" t="s">
        <v>213</v>
      </c>
      <c r="O5308" t="s">
        <v>28</v>
      </c>
      <c r="P5308" t="s">
        <v>29</v>
      </c>
      <c r="Q5308">
        <v>34</v>
      </c>
      <c r="R5308">
        <v>-99.999999000000003</v>
      </c>
    </row>
    <row r="5309" spans="1:18" x14ac:dyDescent="0.2">
      <c r="A5309" t="s">
        <v>1200</v>
      </c>
      <c r="B5309" t="s">
        <v>1201</v>
      </c>
      <c r="C5309">
        <v>34</v>
      </c>
      <c r="D5309" s="1">
        <v>44071.771701388891</v>
      </c>
      <c r="E5309" t="s">
        <v>16465</v>
      </c>
      <c r="F5309" t="s">
        <v>1203</v>
      </c>
      <c r="G5309" t="s">
        <v>16423</v>
      </c>
      <c r="H5309" t="s">
        <v>1205</v>
      </c>
      <c r="I5309" t="s">
        <v>700</v>
      </c>
      <c r="J5309">
        <v>34</v>
      </c>
      <c r="K5309">
        <f t="shared" si="36"/>
        <v>-2187</v>
      </c>
      <c r="L5309" t="s">
        <v>16555</v>
      </c>
      <c r="M5309" t="s">
        <v>16556</v>
      </c>
      <c r="N5309" t="s">
        <v>213</v>
      </c>
      <c r="O5309" t="s">
        <v>134</v>
      </c>
      <c r="P5309" t="s">
        <v>29</v>
      </c>
      <c r="Q5309">
        <v>34</v>
      </c>
      <c r="R5309">
        <v>-99.999999000000003</v>
      </c>
    </row>
    <row r="5310" spans="1:18" x14ac:dyDescent="0.2">
      <c r="A5310" t="s">
        <v>1200</v>
      </c>
      <c r="B5310" t="s">
        <v>1201</v>
      </c>
      <c r="C5310">
        <v>34</v>
      </c>
      <c r="D5310" s="1">
        <v>44071.771562499998</v>
      </c>
      <c r="E5310" t="s">
        <v>16557</v>
      </c>
      <c r="F5310" t="s">
        <v>1203</v>
      </c>
      <c r="G5310" t="s">
        <v>16423</v>
      </c>
      <c r="H5310" t="s">
        <v>1205</v>
      </c>
      <c r="I5310" t="s">
        <v>700</v>
      </c>
      <c r="J5310">
        <v>34</v>
      </c>
      <c r="K5310">
        <f t="shared" si="36"/>
        <v>-2187</v>
      </c>
      <c r="L5310" t="s">
        <v>16558</v>
      </c>
      <c r="M5310" t="s">
        <v>16559</v>
      </c>
      <c r="N5310" t="s">
        <v>213</v>
      </c>
      <c r="O5310" t="s">
        <v>28</v>
      </c>
      <c r="P5310" t="s">
        <v>29</v>
      </c>
      <c r="Q5310">
        <v>34</v>
      </c>
      <c r="R5310">
        <v>-99.999999000000003</v>
      </c>
    </row>
    <row r="5311" spans="1:18" x14ac:dyDescent="0.2">
      <c r="A5311" t="s">
        <v>1200</v>
      </c>
      <c r="B5311" t="s">
        <v>1201</v>
      </c>
      <c r="C5311">
        <v>34</v>
      </c>
      <c r="D5311" s="1">
        <v>44071.771412037036</v>
      </c>
      <c r="E5311" t="s">
        <v>16560</v>
      </c>
      <c r="F5311" t="s">
        <v>1203</v>
      </c>
      <c r="G5311" t="s">
        <v>16423</v>
      </c>
      <c r="H5311" t="s">
        <v>1205</v>
      </c>
      <c r="I5311" t="s">
        <v>700</v>
      </c>
      <c r="J5311">
        <v>34</v>
      </c>
      <c r="K5311">
        <f>34-900-670-25</f>
        <v>-1561</v>
      </c>
      <c r="L5311" t="s">
        <v>16561</v>
      </c>
      <c r="M5311" t="s">
        <v>16562</v>
      </c>
      <c r="N5311" t="s">
        <v>213</v>
      </c>
      <c r="O5311" t="s">
        <v>28</v>
      </c>
      <c r="P5311" t="s">
        <v>29</v>
      </c>
      <c r="Q5311">
        <v>34</v>
      </c>
      <c r="R5311">
        <v>-99.999999000000003</v>
      </c>
    </row>
    <row r="5312" spans="1:18" x14ac:dyDescent="0.2">
      <c r="A5312" t="s">
        <v>1200</v>
      </c>
      <c r="B5312" t="s">
        <v>1201</v>
      </c>
      <c r="C5312">
        <v>34</v>
      </c>
      <c r="D5312" s="1">
        <v>44071.771168981482</v>
      </c>
      <c r="E5312" t="s">
        <v>16563</v>
      </c>
      <c r="F5312" t="s">
        <v>1203</v>
      </c>
      <c r="G5312" t="s">
        <v>16423</v>
      </c>
      <c r="H5312" t="s">
        <v>1205</v>
      </c>
      <c r="I5312" t="s">
        <v>700</v>
      </c>
      <c r="J5312">
        <v>34</v>
      </c>
      <c r="K5312">
        <f t="shared" ref="K5312:K5343" si="37">34-900-649-672</f>
        <v>-2187</v>
      </c>
      <c r="L5312" t="s">
        <v>16564</v>
      </c>
      <c r="M5312" t="s">
        <v>16565</v>
      </c>
      <c r="N5312" t="s">
        <v>674</v>
      </c>
      <c r="O5312" t="s">
        <v>28</v>
      </c>
      <c r="P5312" t="s">
        <v>29</v>
      </c>
      <c r="Q5312">
        <v>34</v>
      </c>
      <c r="R5312">
        <v>-99.999999000000003</v>
      </c>
    </row>
    <row r="5313" spans="1:18" x14ac:dyDescent="0.2">
      <c r="A5313" t="s">
        <v>1200</v>
      </c>
      <c r="B5313" t="s">
        <v>1201</v>
      </c>
      <c r="C5313">
        <v>34</v>
      </c>
      <c r="D5313" s="1">
        <v>44071.770624999997</v>
      </c>
      <c r="E5313" t="s">
        <v>16566</v>
      </c>
      <c r="F5313" t="s">
        <v>1203</v>
      </c>
      <c r="G5313" t="s">
        <v>16423</v>
      </c>
      <c r="H5313" t="s">
        <v>1205</v>
      </c>
      <c r="I5313" t="s">
        <v>700</v>
      </c>
      <c r="J5313">
        <v>34</v>
      </c>
      <c r="K5313">
        <f t="shared" si="37"/>
        <v>-2187</v>
      </c>
      <c r="L5313" t="s">
        <v>16567</v>
      </c>
      <c r="M5313" t="s">
        <v>16568</v>
      </c>
      <c r="N5313" t="s">
        <v>674</v>
      </c>
      <c r="O5313" t="s">
        <v>28</v>
      </c>
      <c r="P5313" t="s">
        <v>29</v>
      </c>
      <c r="Q5313">
        <v>34</v>
      </c>
      <c r="R5313">
        <v>-99.999999000000003</v>
      </c>
    </row>
    <row r="5314" spans="1:18" x14ac:dyDescent="0.2">
      <c r="A5314" t="s">
        <v>1200</v>
      </c>
      <c r="B5314" t="s">
        <v>1201</v>
      </c>
      <c r="C5314">
        <v>34</v>
      </c>
      <c r="D5314" s="1">
        <v>44071.770567129628</v>
      </c>
      <c r="E5314" t="s">
        <v>16422</v>
      </c>
      <c r="F5314" t="s">
        <v>1203</v>
      </c>
      <c r="G5314" t="s">
        <v>16423</v>
      </c>
      <c r="H5314" t="s">
        <v>1205</v>
      </c>
      <c r="I5314" t="s">
        <v>700</v>
      </c>
      <c r="J5314">
        <v>34</v>
      </c>
      <c r="K5314">
        <f t="shared" si="37"/>
        <v>-2187</v>
      </c>
      <c r="L5314" t="s">
        <v>16569</v>
      </c>
      <c r="M5314" t="s">
        <v>16570</v>
      </c>
      <c r="N5314" t="s">
        <v>674</v>
      </c>
      <c r="O5314" t="s">
        <v>28</v>
      </c>
      <c r="P5314" t="s">
        <v>29</v>
      </c>
      <c r="Q5314">
        <v>34</v>
      </c>
      <c r="R5314">
        <v>-99.999999000000003</v>
      </c>
    </row>
    <row r="5315" spans="1:18" x14ac:dyDescent="0.2">
      <c r="A5315" t="s">
        <v>1200</v>
      </c>
      <c r="B5315" t="s">
        <v>1201</v>
      </c>
      <c r="C5315">
        <v>34</v>
      </c>
      <c r="D5315" s="1">
        <v>44071.770474537036</v>
      </c>
      <c r="E5315" t="s">
        <v>16571</v>
      </c>
      <c r="F5315" t="s">
        <v>1203</v>
      </c>
      <c r="G5315" t="s">
        <v>16423</v>
      </c>
      <c r="H5315" t="s">
        <v>1205</v>
      </c>
      <c r="I5315" t="s">
        <v>700</v>
      </c>
      <c r="J5315">
        <v>34</v>
      </c>
      <c r="K5315">
        <f t="shared" si="37"/>
        <v>-2187</v>
      </c>
      <c r="L5315" t="s">
        <v>16572</v>
      </c>
      <c r="M5315" t="s">
        <v>16573</v>
      </c>
      <c r="N5315" t="s">
        <v>213</v>
      </c>
      <c r="O5315" t="s">
        <v>28</v>
      </c>
      <c r="P5315" t="s">
        <v>29</v>
      </c>
      <c r="Q5315">
        <v>34</v>
      </c>
      <c r="R5315">
        <v>-99.999999000000003</v>
      </c>
    </row>
    <row r="5316" spans="1:18" x14ac:dyDescent="0.2">
      <c r="A5316" t="s">
        <v>1200</v>
      </c>
      <c r="B5316" t="s">
        <v>1201</v>
      </c>
      <c r="C5316">
        <v>34</v>
      </c>
      <c r="D5316" s="1">
        <v>44071.770335648151</v>
      </c>
      <c r="E5316" t="s">
        <v>16574</v>
      </c>
      <c r="F5316" t="s">
        <v>1203</v>
      </c>
      <c r="G5316" t="s">
        <v>16423</v>
      </c>
      <c r="H5316" t="s">
        <v>1205</v>
      </c>
      <c r="I5316" t="s">
        <v>700</v>
      </c>
      <c r="J5316">
        <v>34</v>
      </c>
      <c r="K5316">
        <f t="shared" si="37"/>
        <v>-2187</v>
      </c>
      <c r="L5316" t="s">
        <v>16575</v>
      </c>
      <c r="M5316" t="s">
        <v>16576</v>
      </c>
      <c r="N5316" t="s">
        <v>674</v>
      </c>
      <c r="O5316" t="s">
        <v>28</v>
      </c>
      <c r="P5316" t="s">
        <v>29</v>
      </c>
      <c r="Q5316">
        <v>34</v>
      </c>
      <c r="R5316">
        <v>-99.999999000000003</v>
      </c>
    </row>
    <row r="5317" spans="1:18" x14ac:dyDescent="0.2">
      <c r="A5317" t="s">
        <v>1200</v>
      </c>
      <c r="B5317" t="s">
        <v>1201</v>
      </c>
      <c r="C5317">
        <v>34</v>
      </c>
      <c r="D5317" s="1">
        <v>44071.762986111113</v>
      </c>
      <c r="E5317" t="s">
        <v>16577</v>
      </c>
      <c r="F5317" t="s">
        <v>1203</v>
      </c>
      <c r="G5317" t="s">
        <v>16423</v>
      </c>
      <c r="H5317" t="s">
        <v>1205</v>
      </c>
      <c r="I5317" t="s">
        <v>700</v>
      </c>
      <c r="J5317">
        <v>34</v>
      </c>
      <c r="K5317">
        <f t="shared" si="37"/>
        <v>-2187</v>
      </c>
      <c r="L5317" t="s">
        <v>16578</v>
      </c>
      <c r="M5317" t="s">
        <v>16579</v>
      </c>
      <c r="N5317" t="s">
        <v>674</v>
      </c>
      <c r="O5317" t="s">
        <v>28</v>
      </c>
      <c r="P5317" t="s">
        <v>29</v>
      </c>
      <c r="Q5317">
        <v>34</v>
      </c>
      <c r="R5317">
        <v>-99.999999000000003</v>
      </c>
    </row>
    <row r="5318" spans="1:18" x14ac:dyDescent="0.2">
      <c r="A5318" t="s">
        <v>1200</v>
      </c>
      <c r="B5318" t="s">
        <v>1201</v>
      </c>
      <c r="C5318">
        <v>34</v>
      </c>
      <c r="D5318" s="1">
        <v>44071.762928240743</v>
      </c>
      <c r="E5318" t="s">
        <v>16580</v>
      </c>
      <c r="F5318" t="s">
        <v>1203</v>
      </c>
      <c r="G5318" t="s">
        <v>16423</v>
      </c>
      <c r="H5318" t="s">
        <v>1205</v>
      </c>
      <c r="I5318" t="s">
        <v>700</v>
      </c>
      <c r="J5318">
        <v>34</v>
      </c>
      <c r="K5318">
        <f t="shared" si="37"/>
        <v>-2187</v>
      </c>
      <c r="L5318" t="s">
        <v>16581</v>
      </c>
      <c r="M5318" t="s">
        <v>16582</v>
      </c>
      <c r="N5318" t="s">
        <v>213</v>
      </c>
      <c r="O5318" t="s">
        <v>134</v>
      </c>
      <c r="P5318" t="s">
        <v>29</v>
      </c>
      <c r="Q5318">
        <v>34</v>
      </c>
      <c r="R5318">
        <v>-99.999999000000003</v>
      </c>
    </row>
    <row r="5319" spans="1:18" x14ac:dyDescent="0.2">
      <c r="A5319" t="s">
        <v>1200</v>
      </c>
      <c r="B5319" t="s">
        <v>1201</v>
      </c>
      <c r="C5319">
        <v>34</v>
      </c>
      <c r="D5319" s="1">
        <v>44071.76284722222</v>
      </c>
      <c r="E5319" t="s">
        <v>16583</v>
      </c>
      <c r="F5319" t="s">
        <v>1203</v>
      </c>
      <c r="G5319" t="s">
        <v>16423</v>
      </c>
      <c r="H5319" t="s">
        <v>1205</v>
      </c>
      <c r="I5319" t="s">
        <v>700</v>
      </c>
      <c r="J5319">
        <v>34</v>
      </c>
      <c r="K5319">
        <f t="shared" si="37"/>
        <v>-2187</v>
      </c>
      <c r="L5319" t="s">
        <v>16584</v>
      </c>
      <c r="M5319" t="s">
        <v>16585</v>
      </c>
      <c r="N5319" t="s">
        <v>674</v>
      </c>
      <c r="O5319" t="s">
        <v>134</v>
      </c>
      <c r="P5319" t="s">
        <v>29</v>
      </c>
      <c r="Q5319">
        <v>34</v>
      </c>
      <c r="R5319">
        <v>-99.999999000000003</v>
      </c>
    </row>
    <row r="5320" spans="1:18" x14ac:dyDescent="0.2">
      <c r="A5320" t="s">
        <v>1200</v>
      </c>
      <c r="B5320" t="s">
        <v>1201</v>
      </c>
      <c r="C5320">
        <v>34</v>
      </c>
      <c r="D5320" s="1">
        <v>44071.757881944446</v>
      </c>
      <c r="E5320" t="s">
        <v>16586</v>
      </c>
      <c r="F5320" t="s">
        <v>1203</v>
      </c>
      <c r="G5320" t="s">
        <v>16423</v>
      </c>
      <c r="H5320" t="s">
        <v>1205</v>
      </c>
      <c r="I5320" t="s">
        <v>700</v>
      </c>
      <c r="J5320">
        <v>34</v>
      </c>
      <c r="K5320">
        <f t="shared" si="37"/>
        <v>-2187</v>
      </c>
      <c r="L5320" t="s">
        <v>16587</v>
      </c>
      <c r="M5320" t="s">
        <v>16588</v>
      </c>
      <c r="N5320" t="s">
        <v>213</v>
      </c>
      <c r="O5320" t="s">
        <v>28</v>
      </c>
      <c r="P5320" t="s">
        <v>29</v>
      </c>
      <c r="Q5320">
        <v>34</v>
      </c>
      <c r="R5320">
        <v>-99.999999000000003</v>
      </c>
    </row>
    <row r="5321" spans="1:18" x14ac:dyDescent="0.2">
      <c r="A5321" t="s">
        <v>1200</v>
      </c>
      <c r="B5321" t="s">
        <v>1201</v>
      </c>
      <c r="C5321">
        <v>34</v>
      </c>
      <c r="D5321" s="1">
        <v>44071.757777777777</v>
      </c>
      <c r="E5321" t="s">
        <v>16589</v>
      </c>
      <c r="F5321" t="s">
        <v>1203</v>
      </c>
      <c r="G5321" t="s">
        <v>16423</v>
      </c>
      <c r="H5321" t="s">
        <v>1205</v>
      </c>
      <c r="I5321" t="s">
        <v>700</v>
      </c>
      <c r="J5321">
        <v>34</v>
      </c>
      <c r="K5321">
        <f t="shared" si="37"/>
        <v>-2187</v>
      </c>
      <c r="L5321" t="s">
        <v>16590</v>
      </c>
      <c r="M5321" t="s">
        <v>16591</v>
      </c>
      <c r="N5321" t="s">
        <v>674</v>
      </c>
      <c r="O5321" t="s">
        <v>28</v>
      </c>
      <c r="P5321" t="s">
        <v>29</v>
      </c>
      <c r="Q5321">
        <v>34</v>
      </c>
      <c r="R5321">
        <v>-99.999999000000003</v>
      </c>
    </row>
    <row r="5322" spans="1:18" x14ac:dyDescent="0.2">
      <c r="A5322" t="s">
        <v>1200</v>
      </c>
      <c r="B5322" t="s">
        <v>1201</v>
      </c>
      <c r="C5322">
        <v>34</v>
      </c>
      <c r="D5322" s="1">
        <v>44071.757685185185</v>
      </c>
      <c r="E5322" t="s">
        <v>16592</v>
      </c>
      <c r="F5322" t="s">
        <v>1203</v>
      </c>
      <c r="G5322" t="s">
        <v>16423</v>
      </c>
      <c r="H5322" t="s">
        <v>1205</v>
      </c>
      <c r="I5322" t="s">
        <v>700</v>
      </c>
      <c r="J5322">
        <v>34</v>
      </c>
      <c r="K5322">
        <f t="shared" si="37"/>
        <v>-2187</v>
      </c>
      <c r="L5322" t="s">
        <v>16593</v>
      </c>
      <c r="M5322" t="s">
        <v>16594</v>
      </c>
      <c r="N5322" t="s">
        <v>674</v>
      </c>
      <c r="O5322" t="s">
        <v>134</v>
      </c>
      <c r="P5322" t="s">
        <v>29</v>
      </c>
      <c r="Q5322">
        <v>34</v>
      </c>
      <c r="R5322">
        <v>-99.999999000000003</v>
      </c>
    </row>
    <row r="5323" spans="1:18" x14ac:dyDescent="0.2">
      <c r="A5323" t="s">
        <v>1200</v>
      </c>
      <c r="B5323" t="s">
        <v>1201</v>
      </c>
      <c r="C5323">
        <v>34</v>
      </c>
      <c r="D5323" s="1">
        <v>44071.757534722223</v>
      </c>
      <c r="E5323" t="s">
        <v>16595</v>
      </c>
      <c r="F5323" t="s">
        <v>1203</v>
      </c>
      <c r="G5323" t="s">
        <v>16423</v>
      </c>
      <c r="H5323" t="s">
        <v>1205</v>
      </c>
      <c r="I5323" t="s">
        <v>700</v>
      </c>
      <c r="J5323">
        <v>34</v>
      </c>
      <c r="K5323">
        <f t="shared" si="37"/>
        <v>-2187</v>
      </c>
      <c r="L5323" t="s">
        <v>16596</v>
      </c>
      <c r="M5323" t="s">
        <v>16597</v>
      </c>
      <c r="N5323" t="s">
        <v>213</v>
      </c>
      <c r="O5323" t="s">
        <v>28</v>
      </c>
      <c r="P5323" t="s">
        <v>29</v>
      </c>
      <c r="Q5323">
        <v>34</v>
      </c>
      <c r="R5323">
        <v>-99.999999000000003</v>
      </c>
    </row>
    <row r="5324" spans="1:18" x14ac:dyDescent="0.2">
      <c r="A5324" t="s">
        <v>1200</v>
      </c>
      <c r="B5324" t="s">
        <v>1201</v>
      </c>
      <c r="C5324">
        <v>34</v>
      </c>
      <c r="D5324" s="1">
        <v>44071.757465277777</v>
      </c>
      <c r="E5324" t="s">
        <v>16598</v>
      </c>
      <c r="F5324" t="s">
        <v>1203</v>
      </c>
      <c r="G5324" t="s">
        <v>16423</v>
      </c>
      <c r="H5324" t="s">
        <v>1205</v>
      </c>
      <c r="I5324" t="s">
        <v>700</v>
      </c>
      <c r="J5324">
        <v>34</v>
      </c>
      <c r="K5324">
        <f t="shared" si="37"/>
        <v>-2187</v>
      </c>
      <c r="L5324" t="s">
        <v>16599</v>
      </c>
      <c r="M5324" t="s">
        <v>16600</v>
      </c>
      <c r="N5324" t="s">
        <v>213</v>
      </c>
      <c r="O5324" t="s">
        <v>134</v>
      </c>
      <c r="P5324" t="s">
        <v>29</v>
      </c>
      <c r="Q5324">
        <v>34</v>
      </c>
      <c r="R5324">
        <v>-99.999999000000003</v>
      </c>
    </row>
    <row r="5325" spans="1:18" x14ac:dyDescent="0.2">
      <c r="A5325" t="s">
        <v>1200</v>
      </c>
      <c r="B5325" t="s">
        <v>1201</v>
      </c>
      <c r="C5325">
        <v>34</v>
      </c>
      <c r="D5325" s="1">
        <v>44071.757337962961</v>
      </c>
      <c r="E5325" t="s">
        <v>16601</v>
      </c>
      <c r="F5325" t="s">
        <v>1203</v>
      </c>
      <c r="G5325" t="s">
        <v>16423</v>
      </c>
      <c r="H5325" t="s">
        <v>1205</v>
      </c>
      <c r="I5325" t="s">
        <v>700</v>
      </c>
      <c r="J5325">
        <v>34</v>
      </c>
      <c r="K5325">
        <f t="shared" si="37"/>
        <v>-2187</v>
      </c>
      <c r="L5325" t="s">
        <v>16602</v>
      </c>
      <c r="M5325" t="s">
        <v>16603</v>
      </c>
      <c r="N5325" t="s">
        <v>674</v>
      </c>
      <c r="O5325" t="s">
        <v>28</v>
      </c>
      <c r="P5325" t="s">
        <v>29</v>
      </c>
      <c r="Q5325">
        <v>34</v>
      </c>
      <c r="R5325">
        <v>-99.999999000000003</v>
      </c>
    </row>
    <row r="5326" spans="1:18" x14ac:dyDescent="0.2">
      <c r="A5326" t="s">
        <v>1200</v>
      </c>
      <c r="B5326" t="s">
        <v>1201</v>
      </c>
      <c r="C5326">
        <v>34</v>
      </c>
      <c r="D5326" s="1">
        <v>44071.757233796299</v>
      </c>
      <c r="E5326" t="s">
        <v>16604</v>
      </c>
      <c r="F5326" t="s">
        <v>1203</v>
      </c>
      <c r="G5326" t="s">
        <v>16423</v>
      </c>
      <c r="H5326" t="s">
        <v>1205</v>
      </c>
      <c r="I5326" t="s">
        <v>700</v>
      </c>
      <c r="J5326">
        <v>34</v>
      </c>
      <c r="K5326">
        <f t="shared" si="37"/>
        <v>-2187</v>
      </c>
      <c r="L5326" t="s">
        <v>16605</v>
      </c>
      <c r="M5326" t="s">
        <v>16606</v>
      </c>
      <c r="N5326" t="s">
        <v>674</v>
      </c>
      <c r="O5326" t="s">
        <v>28</v>
      </c>
      <c r="P5326" t="s">
        <v>29</v>
      </c>
      <c r="Q5326">
        <v>34</v>
      </c>
      <c r="R5326">
        <v>-99.999999000000003</v>
      </c>
    </row>
    <row r="5327" spans="1:18" x14ac:dyDescent="0.2">
      <c r="A5327" t="s">
        <v>1200</v>
      </c>
      <c r="B5327" t="s">
        <v>1201</v>
      </c>
      <c r="C5327">
        <v>34</v>
      </c>
      <c r="D5327" s="1">
        <v>44071.757164351853</v>
      </c>
      <c r="E5327" t="s">
        <v>16607</v>
      </c>
      <c r="F5327" t="s">
        <v>1203</v>
      </c>
      <c r="G5327" t="s">
        <v>16423</v>
      </c>
      <c r="H5327" t="s">
        <v>1205</v>
      </c>
      <c r="I5327" t="s">
        <v>700</v>
      </c>
      <c r="J5327">
        <v>34</v>
      </c>
      <c r="K5327">
        <f t="shared" si="37"/>
        <v>-2187</v>
      </c>
      <c r="L5327" t="s">
        <v>16608</v>
      </c>
      <c r="M5327" t="s">
        <v>16609</v>
      </c>
      <c r="N5327" t="s">
        <v>674</v>
      </c>
      <c r="O5327" t="s">
        <v>134</v>
      </c>
      <c r="P5327" t="s">
        <v>29</v>
      </c>
      <c r="Q5327">
        <v>34</v>
      </c>
      <c r="R5327">
        <v>-99.999999000000003</v>
      </c>
    </row>
    <row r="5328" spans="1:18" x14ac:dyDescent="0.2">
      <c r="A5328" t="s">
        <v>1200</v>
      </c>
      <c r="B5328" t="s">
        <v>1201</v>
      </c>
      <c r="C5328">
        <v>34</v>
      </c>
      <c r="D5328" s="1">
        <v>44071.757094907407</v>
      </c>
      <c r="E5328" t="s">
        <v>16610</v>
      </c>
      <c r="F5328" t="s">
        <v>1203</v>
      </c>
      <c r="G5328" t="s">
        <v>16423</v>
      </c>
      <c r="H5328" t="s">
        <v>1205</v>
      </c>
      <c r="I5328" t="s">
        <v>700</v>
      </c>
      <c r="J5328">
        <v>34</v>
      </c>
      <c r="K5328">
        <f t="shared" si="37"/>
        <v>-2187</v>
      </c>
      <c r="L5328" t="s">
        <v>16611</v>
      </c>
      <c r="M5328" t="s">
        <v>16612</v>
      </c>
      <c r="N5328" t="s">
        <v>674</v>
      </c>
      <c r="O5328" t="s">
        <v>134</v>
      </c>
      <c r="P5328" t="s">
        <v>29</v>
      </c>
      <c r="Q5328">
        <v>34</v>
      </c>
      <c r="R5328">
        <v>-99.999999000000003</v>
      </c>
    </row>
    <row r="5329" spans="1:18" x14ac:dyDescent="0.2">
      <c r="A5329" t="s">
        <v>1200</v>
      </c>
      <c r="B5329" t="s">
        <v>1201</v>
      </c>
      <c r="C5329">
        <v>34</v>
      </c>
      <c r="D5329" s="1">
        <v>44071.756979166668</v>
      </c>
      <c r="E5329" t="s">
        <v>16613</v>
      </c>
      <c r="F5329" t="s">
        <v>1203</v>
      </c>
      <c r="G5329" t="s">
        <v>16423</v>
      </c>
      <c r="H5329" t="s">
        <v>1205</v>
      </c>
      <c r="I5329" t="s">
        <v>700</v>
      </c>
      <c r="J5329">
        <v>34</v>
      </c>
      <c r="K5329">
        <f t="shared" si="37"/>
        <v>-2187</v>
      </c>
      <c r="L5329" t="s">
        <v>16614</v>
      </c>
      <c r="M5329" t="s">
        <v>16615</v>
      </c>
      <c r="N5329" t="s">
        <v>213</v>
      </c>
      <c r="O5329" t="s">
        <v>134</v>
      </c>
      <c r="P5329" t="s">
        <v>29</v>
      </c>
      <c r="Q5329">
        <v>34</v>
      </c>
      <c r="R5329">
        <v>-99.999999000000003</v>
      </c>
    </row>
    <row r="5330" spans="1:18" x14ac:dyDescent="0.2">
      <c r="A5330" t="s">
        <v>1200</v>
      </c>
      <c r="B5330" t="s">
        <v>1201</v>
      </c>
      <c r="C5330">
        <v>34</v>
      </c>
      <c r="D5330" s="1">
        <v>44071.756898148145</v>
      </c>
      <c r="E5330" t="s">
        <v>16616</v>
      </c>
      <c r="F5330" t="s">
        <v>1203</v>
      </c>
      <c r="G5330" t="s">
        <v>16423</v>
      </c>
      <c r="H5330" t="s">
        <v>1205</v>
      </c>
      <c r="I5330" t="s">
        <v>700</v>
      </c>
      <c r="J5330">
        <v>34</v>
      </c>
      <c r="K5330">
        <f t="shared" si="37"/>
        <v>-2187</v>
      </c>
      <c r="L5330" t="s">
        <v>16617</v>
      </c>
      <c r="M5330" t="s">
        <v>16618</v>
      </c>
      <c r="N5330" t="s">
        <v>213</v>
      </c>
      <c r="O5330" t="s">
        <v>134</v>
      </c>
      <c r="P5330" t="s">
        <v>29</v>
      </c>
      <c r="Q5330">
        <v>34</v>
      </c>
      <c r="R5330">
        <v>-99.999999000000003</v>
      </c>
    </row>
    <row r="5331" spans="1:18" x14ac:dyDescent="0.2">
      <c r="A5331" t="s">
        <v>1200</v>
      </c>
      <c r="B5331" t="s">
        <v>1201</v>
      </c>
      <c r="C5331">
        <v>34</v>
      </c>
      <c r="D5331" s="1">
        <v>44071.756828703707</v>
      </c>
      <c r="E5331" t="s">
        <v>16619</v>
      </c>
      <c r="F5331" t="s">
        <v>1203</v>
      </c>
      <c r="G5331" t="s">
        <v>16423</v>
      </c>
      <c r="H5331" t="s">
        <v>1205</v>
      </c>
      <c r="I5331" t="s">
        <v>700</v>
      </c>
      <c r="J5331">
        <v>34</v>
      </c>
      <c r="K5331">
        <f t="shared" si="37"/>
        <v>-2187</v>
      </c>
      <c r="L5331" t="s">
        <v>16620</v>
      </c>
      <c r="M5331" t="s">
        <v>16621</v>
      </c>
      <c r="N5331" t="s">
        <v>674</v>
      </c>
      <c r="O5331" t="s">
        <v>134</v>
      </c>
      <c r="P5331" t="s">
        <v>29</v>
      </c>
      <c r="Q5331">
        <v>34</v>
      </c>
      <c r="R5331">
        <v>-99.999999000000003</v>
      </c>
    </row>
    <row r="5332" spans="1:18" x14ac:dyDescent="0.2">
      <c r="A5332" t="s">
        <v>1200</v>
      </c>
      <c r="B5332" t="s">
        <v>1201</v>
      </c>
      <c r="C5332">
        <v>34</v>
      </c>
      <c r="D5332" s="1">
        <v>44071.75675925926</v>
      </c>
      <c r="E5332" t="s">
        <v>16480</v>
      </c>
      <c r="F5332" t="s">
        <v>1203</v>
      </c>
      <c r="G5332" t="s">
        <v>16423</v>
      </c>
      <c r="H5332" t="s">
        <v>1205</v>
      </c>
      <c r="I5332" t="s">
        <v>700</v>
      </c>
      <c r="J5332">
        <v>34</v>
      </c>
      <c r="K5332">
        <f t="shared" si="37"/>
        <v>-2187</v>
      </c>
      <c r="L5332" t="s">
        <v>16622</v>
      </c>
      <c r="M5332" t="s">
        <v>16623</v>
      </c>
      <c r="N5332" t="s">
        <v>674</v>
      </c>
      <c r="O5332" t="s">
        <v>134</v>
      </c>
      <c r="P5332" t="s">
        <v>29</v>
      </c>
      <c r="Q5332">
        <v>34</v>
      </c>
      <c r="R5332">
        <v>-99.999999000000003</v>
      </c>
    </row>
    <row r="5333" spans="1:18" x14ac:dyDescent="0.2">
      <c r="A5333" t="s">
        <v>1200</v>
      </c>
      <c r="B5333" t="s">
        <v>1201</v>
      </c>
      <c r="C5333">
        <v>34</v>
      </c>
      <c r="D5333" s="1">
        <v>44071.756701388891</v>
      </c>
      <c r="E5333" t="s">
        <v>16624</v>
      </c>
      <c r="F5333" t="s">
        <v>1203</v>
      </c>
      <c r="G5333" t="s">
        <v>16423</v>
      </c>
      <c r="H5333" t="s">
        <v>1205</v>
      </c>
      <c r="I5333" t="s">
        <v>700</v>
      </c>
      <c r="J5333">
        <v>34</v>
      </c>
      <c r="K5333">
        <f t="shared" si="37"/>
        <v>-2187</v>
      </c>
      <c r="L5333" t="s">
        <v>16625</v>
      </c>
      <c r="M5333" t="s">
        <v>16626</v>
      </c>
      <c r="N5333" t="s">
        <v>213</v>
      </c>
      <c r="O5333" t="s">
        <v>134</v>
      </c>
      <c r="P5333" t="s">
        <v>29</v>
      </c>
      <c r="Q5333">
        <v>34</v>
      </c>
      <c r="R5333">
        <v>-99.999999000000003</v>
      </c>
    </row>
    <row r="5334" spans="1:18" x14ac:dyDescent="0.2">
      <c r="A5334" t="s">
        <v>1200</v>
      </c>
      <c r="B5334" t="s">
        <v>1201</v>
      </c>
      <c r="C5334">
        <v>34</v>
      </c>
      <c r="D5334" s="1">
        <v>44071.756631944445</v>
      </c>
      <c r="E5334" t="s">
        <v>16477</v>
      </c>
      <c r="F5334" t="s">
        <v>1203</v>
      </c>
      <c r="G5334" t="s">
        <v>16423</v>
      </c>
      <c r="H5334" t="s">
        <v>1205</v>
      </c>
      <c r="I5334" t="s">
        <v>700</v>
      </c>
      <c r="J5334">
        <v>34</v>
      </c>
      <c r="K5334">
        <f t="shared" si="37"/>
        <v>-2187</v>
      </c>
      <c r="L5334" t="s">
        <v>16627</v>
      </c>
      <c r="M5334" t="s">
        <v>16628</v>
      </c>
      <c r="N5334" t="s">
        <v>213</v>
      </c>
      <c r="O5334" t="s">
        <v>134</v>
      </c>
      <c r="P5334" t="s">
        <v>29</v>
      </c>
      <c r="Q5334">
        <v>34</v>
      </c>
      <c r="R5334">
        <v>-99.999999000000003</v>
      </c>
    </row>
    <row r="5335" spans="1:18" x14ac:dyDescent="0.2">
      <c r="A5335" t="s">
        <v>1200</v>
      </c>
      <c r="B5335" t="s">
        <v>1201</v>
      </c>
      <c r="C5335">
        <v>34</v>
      </c>
      <c r="D5335" s="1">
        <v>44071.756504629629</v>
      </c>
      <c r="E5335" t="s">
        <v>16629</v>
      </c>
      <c r="F5335" t="s">
        <v>1203</v>
      </c>
      <c r="G5335" t="s">
        <v>16423</v>
      </c>
      <c r="H5335" t="s">
        <v>1205</v>
      </c>
      <c r="I5335" t="s">
        <v>700</v>
      </c>
      <c r="J5335">
        <v>34</v>
      </c>
      <c r="K5335">
        <f t="shared" si="37"/>
        <v>-2187</v>
      </c>
      <c r="L5335" t="s">
        <v>16630</v>
      </c>
      <c r="M5335" t="s">
        <v>16631</v>
      </c>
      <c r="N5335" t="s">
        <v>674</v>
      </c>
      <c r="O5335" t="s">
        <v>134</v>
      </c>
      <c r="P5335" t="s">
        <v>29</v>
      </c>
      <c r="Q5335">
        <v>34</v>
      </c>
      <c r="R5335">
        <v>-99.999999000000003</v>
      </c>
    </row>
    <row r="5336" spans="1:18" x14ac:dyDescent="0.2">
      <c r="A5336" t="s">
        <v>1200</v>
      </c>
      <c r="B5336" t="s">
        <v>1201</v>
      </c>
      <c r="C5336">
        <v>34</v>
      </c>
      <c r="D5336" s="1">
        <v>44071.756342592591</v>
      </c>
      <c r="E5336" t="s">
        <v>16632</v>
      </c>
      <c r="F5336" t="s">
        <v>1203</v>
      </c>
      <c r="G5336" t="s">
        <v>16423</v>
      </c>
      <c r="H5336" t="s">
        <v>1205</v>
      </c>
      <c r="I5336" t="s">
        <v>700</v>
      </c>
      <c r="J5336">
        <v>34</v>
      </c>
      <c r="K5336">
        <f t="shared" si="37"/>
        <v>-2187</v>
      </c>
      <c r="L5336" t="s">
        <v>16633</v>
      </c>
      <c r="M5336" t="s">
        <v>16634</v>
      </c>
      <c r="N5336" t="s">
        <v>674</v>
      </c>
      <c r="O5336" t="s">
        <v>134</v>
      </c>
      <c r="P5336" t="s">
        <v>29</v>
      </c>
      <c r="Q5336">
        <v>34</v>
      </c>
      <c r="R5336">
        <v>-99.999999000000003</v>
      </c>
    </row>
    <row r="5337" spans="1:18" x14ac:dyDescent="0.2">
      <c r="A5337" t="s">
        <v>1200</v>
      </c>
      <c r="B5337" t="s">
        <v>1201</v>
      </c>
      <c r="C5337">
        <v>34</v>
      </c>
      <c r="D5337" s="1">
        <v>44071.756284722222</v>
      </c>
      <c r="E5337" t="s">
        <v>16635</v>
      </c>
      <c r="F5337" t="s">
        <v>1203</v>
      </c>
      <c r="G5337" t="s">
        <v>16423</v>
      </c>
      <c r="H5337" t="s">
        <v>1205</v>
      </c>
      <c r="I5337" t="s">
        <v>700</v>
      </c>
      <c r="J5337">
        <v>34</v>
      </c>
      <c r="K5337">
        <f t="shared" si="37"/>
        <v>-2187</v>
      </c>
      <c r="L5337" t="s">
        <v>16636</v>
      </c>
      <c r="M5337" t="s">
        <v>16637</v>
      </c>
      <c r="N5337" t="s">
        <v>674</v>
      </c>
      <c r="O5337" t="s">
        <v>134</v>
      </c>
      <c r="P5337" t="s">
        <v>29</v>
      </c>
      <c r="Q5337">
        <v>34</v>
      </c>
      <c r="R5337">
        <v>-99.999999000000003</v>
      </c>
    </row>
    <row r="5338" spans="1:18" x14ac:dyDescent="0.2">
      <c r="A5338" t="s">
        <v>1200</v>
      </c>
      <c r="B5338" t="s">
        <v>1201</v>
      </c>
      <c r="C5338">
        <v>34</v>
      </c>
      <c r="D5338" s="1">
        <v>44071.756226851852</v>
      </c>
      <c r="E5338" t="s">
        <v>16444</v>
      </c>
      <c r="F5338" t="s">
        <v>1203</v>
      </c>
      <c r="G5338" t="s">
        <v>16423</v>
      </c>
      <c r="H5338" t="s">
        <v>1205</v>
      </c>
      <c r="I5338" t="s">
        <v>700</v>
      </c>
      <c r="J5338">
        <v>34</v>
      </c>
      <c r="K5338">
        <f t="shared" si="37"/>
        <v>-2187</v>
      </c>
      <c r="L5338" t="s">
        <v>16638</v>
      </c>
      <c r="M5338" t="s">
        <v>16639</v>
      </c>
      <c r="N5338" t="s">
        <v>674</v>
      </c>
      <c r="O5338" t="s">
        <v>134</v>
      </c>
      <c r="P5338" t="s">
        <v>29</v>
      </c>
      <c r="Q5338">
        <v>34</v>
      </c>
      <c r="R5338">
        <v>-99.999999000000003</v>
      </c>
    </row>
    <row r="5339" spans="1:18" x14ac:dyDescent="0.2">
      <c r="A5339" t="s">
        <v>1200</v>
      </c>
      <c r="B5339" t="s">
        <v>1201</v>
      </c>
      <c r="C5339">
        <v>34</v>
      </c>
      <c r="D5339" s="1">
        <v>44071.756157407406</v>
      </c>
      <c r="E5339" t="s">
        <v>16640</v>
      </c>
      <c r="F5339" t="s">
        <v>1203</v>
      </c>
      <c r="G5339" t="s">
        <v>16423</v>
      </c>
      <c r="H5339" t="s">
        <v>1205</v>
      </c>
      <c r="I5339" t="s">
        <v>700</v>
      </c>
      <c r="J5339">
        <v>34</v>
      </c>
      <c r="K5339">
        <f t="shared" si="37"/>
        <v>-2187</v>
      </c>
      <c r="L5339" t="s">
        <v>16641</v>
      </c>
      <c r="M5339" t="s">
        <v>16642</v>
      </c>
      <c r="N5339" t="s">
        <v>674</v>
      </c>
      <c r="O5339" t="s">
        <v>134</v>
      </c>
      <c r="P5339" t="s">
        <v>29</v>
      </c>
      <c r="Q5339">
        <v>34</v>
      </c>
      <c r="R5339">
        <v>-99.999999000000003</v>
      </c>
    </row>
    <row r="5340" spans="1:18" x14ac:dyDescent="0.2">
      <c r="A5340" t="s">
        <v>1200</v>
      </c>
      <c r="B5340" t="s">
        <v>1201</v>
      </c>
      <c r="C5340">
        <v>34</v>
      </c>
      <c r="D5340" s="1">
        <v>44071.746145833335</v>
      </c>
      <c r="E5340" t="s">
        <v>16643</v>
      </c>
      <c r="F5340" t="s">
        <v>1203</v>
      </c>
      <c r="G5340" t="s">
        <v>16423</v>
      </c>
      <c r="H5340" t="s">
        <v>1205</v>
      </c>
      <c r="I5340" t="s">
        <v>700</v>
      </c>
      <c r="J5340">
        <v>34</v>
      </c>
      <c r="K5340">
        <f t="shared" si="37"/>
        <v>-2187</v>
      </c>
      <c r="L5340" t="s">
        <v>16644</v>
      </c>
      <c r="M5340" t="s">
        <v>16645</v>
      </c>
      <c r="N5340" t="s">
        <v>674</v>
      </c>
      <c r="O5340" t="s">
        <v>28</v>
      </c>
      <c r="P5340" t="s">
        <v>29</v>
      </c>
      <c r="Q5340">
        <v>34</v>
      </c>
      <c r="R5340">
        <v>-99.999999000000003</v>
      </c>
    </row>
    <row r="5341" spans="1:18" x14ac:dyDescent="0.2">
      <c r="A5341" t="s">
        <v>1200</v>
      </c>
      <c r="B5341" t="s">
        <v>1201</v>
      </c>
      <c r="C5341">
        <v>34</v>
      </c>
      <c r="D5341" s="1">
        <v>44071.746041666665</v>
      </c>
      <c r="E5341" t="s">
        <v>16646</v>
      </c>
      <c r="F5341" t="s">
        <v>1203</v>
      </c>
      <c r="G5341" t="s">
        <v>16423</v>
      </c>
      <c r="H5341" t="s">
        <v>1205</v>
      </c>
      <c r="I5341" t="s">
        <v>700</v>
      </c>
      <c r="J5341">
        <v>34</v>
      </c>
      <c r="K5341">
        <f t="shared" si="37"/>
        <v>-2187</v>
      </c>
      <c r="L5341" t="s">
        <v>16647</v>
      </c>
      <c r="M5341" t="s">
        <v>16648</v>
      </c>
      <c r="N5341" t="s">
        <v>674</v>
      </c>
      <c r="O5341" t="s">
        <v>134</v>
      </c>
      <c r="P5341" t="s">
        <v>29</v>
      </c>
      <c r="Q5341">
        <v>34</v>
      </c>
      <c r="R5341">
        <v>-99.999999000000003</v>
      </c>
    </row>
    <row r="5342" spans="1:18" x14ac:dyDescent="0.2">
      <c r="A5342" t="s">
        <v>1200</v>
      </c>
      <c r="B5342" t="s">
        <v>1201</v>
      </c>
      <c r="C5342">
        <v>34</v>
      </c>
      <c r="D5342" s="1">
        <v>44071.741469907407</v>
      </c>
      <c r="E5342" t="s">
        <v>16649</v>
      </c>
      <c r="F5342" t="s">
        <v>1203</v>
      </c>
      <c r="G5342" t="s">
        <v>16423</v>
      </c>
      <c r="H5342" t="s">
        <v>1205</v>
      </c>
      <c r="I5342" t="s">
        <v>700</v>
      </c>
      <c r="J5342">
        <v>34</v>
      </c>
      <c r="K5342">
        <f t="shared" si="37"/>
        <v>-2187</v>
      </c>
      <c r="L5342" t="s">
        <v>16650</v>
      </c>
      <c r="M5342" t="s">
        <v>16651</v>
      </c>
      <c r="N5342" t="s">
        <v>213</v>
      </c>
      <c r="O5342" t="s">
        <v>28</v>
      </c>
      <c r="P5342" t="s">
        <v>29</v>
      </c>
      <c r="Q5342">
        <v>34</v>
      </c>
      <c r="R5342">
        <v>-99.999999000000003</v>
      </c>
    </row>
    <row r="5343" spans="1:18" x14ac:dyDescent="0.2">
      <c r="A5343" t="s">
        <v>1200</v>
      </c>
      <c r="B5343" t="s">
        <v>1201</v>
      </c>
      <c r="C5343">
        <v>34</v>
      </c>
      <c r="D5343" s="1">
        <v>44071.741319444445</v>
      </c>
      <c r="E5343" t="s">
        <v>16652</v>
      </c>
      <c r="F5343" t="s">
        <v>1203</v>
      </c>
      <c r="G5343" t="s">
        <v>16423</v>
      </c>
      <c r="H5343" t="s">
        <v>1205</v>
      </c>
      <c r="I5343" t="s">
        <v>700</v>
      </c>
      <c r="J5343">
        <v>34</v>
      </c>
      <c r="K5343">
        <f t="shared" si="37"/>
        <v>-2187</v>
      </c>
      <c r="L5343" t="s">
        <v>16653</v>
      </c>
      <c r="M5343" t="s">
        <v>16654</v>
      </c>
      <c r="N5343" t="s">
        <v>674</v>
      </c>
      <c r="O5343" t="s">
        <v>28</v>
      </c>
      <c r="P5343" t="s">
        <v>29</v>
      </c>
      <c r="Q5343">
        <v>34</v>
      </c>
      <c r="R5343">
        <v>-99.999999000000003</v>
      </c>
    </row>
    <row r="5344" spans="1:18" x14ac:dyDescent="0.2">
      <c r="A5344" t="s">
        <v>1200</v>
      </c>
      <c r="B5344" t="s">
        <v>1201</v>
      </c>
      <c r="C5344">
        <v>34</v>
      </c>
      <c r="D5344" s="1">
        <v>44071.741168981483</v>
      </c>
      <c r="E5344" t="s">
        <v>16655</v>
      </c>
      <c r="F5344" t="s">
        <v>1203</v>
      </c>
      <c r="G5344" t="s">
        <v>16423</v>
      </c>
      <c r="H5344" t="s">
        <v>1205</v>
      </c>
      <c r="I5344" t="s">
        <v>700</v>
      </c>
      <c r="J5344">
        <v>34</v>
      </c>
      <c r="K5344">
        <f t="shared" ref="K5344:K5375" si="38">34-900-649-672</f>
        <v>-2187</v>
      </c>
      <c r="L5344" t="s">
        <v>16656</v>
      </c>
      <c r="M5344" t="s">
        <v>16657</v>
      </c>
      <c r="N5344" t="s">
        <v>674</v>
      </c>
      <c r="O5344" t="s">
        <v>28</v>
      </c>
      <c r="P5344" t="s">
        <v>29</v>
      </c>
      <c r="Q5344">
        <v>34</v>
      </c>
      <c r="R5344">
        <v>-99.999999000000003</v>
      </c>
    </row>
    <row r="5345" spans="1:18" x14ac:dyDescent="0.2">
      <c r="A5345" t="s">
        <v>1200</v>
      </c>
      <c r="B5345" t="s">
        <v>1201</v>
      </c>
      <c r="C5345">
        <v>34</v>
      </c>
      <c r="D5345" s="1">
        <v>44071.740833333337</v>
      </c>
      <c r="E5345" t="s">
        <v>16658</v>
      </c>
      <c r="F5345" t="s">
        <v>1203</v>
      </c>
      <c r="G5345" t="s">
        <v>16423</v>
      </c>
      <c r="H5345" t="s">
        <v>1205</v>
      </c>
      <c r="I5345" t="s">
        <v>700</v>
      </c>
      <c r="J5345">
        <v>34</v>
      </c>
      <c r="K5345">
        <f t="shared" si="38"/>
        <v>-2187</v>
      </c>
      <c r="L5345" t="s">
        <v>16659</v>
      </c>
      <c r="M5345" t="s">
        <v>16660</v>
      </c>
      <c r="N5345" t="s">
        <v>213</v>
      </c>
      <c r="O5345" t="s">
        <v>28</v>
      </c>
      <c r="P5345" t="s">
        <v>29</v>
      </c>
      <c r="Q5345">
        <v>34</v>
      </c>
      <c r="R5345">
        <v>-99.999999000000003</v>
      </c>
    </row>
    <row r="5346" spans="1:18" x14ac:dyDescent="0.2">
      <c r="A5346" t="s">
        <v>1200</v>
      </c>
      <c r="B5346" t="s">
        <v>1201</v>
      </c>
      <c r="C5346">
        <v>34</v>
      </c>
      <c r="D5346" s="1">
        <v>44071.73641203704</v>
      </c>
      <c r="E5346" t="s">
        <v>16661</v>
      </c>
      <c r="F5346" t="s">
        <v>1203</v>
      </c>
      <c r="G5346" t="s">
        <v>16423</v>
      </c>
      <c r="H5346" t="s">
        <v>1205</v>
      </c>
      <c r="I5346" t="s">
        <v>700</v>
      </c>
      <c r="J5346">
        <v>34</v>
      </c>
      <c r="K5346">
        <f t="shared" si="38"/>
        <v>-2187</v>
      </c>
      <c r="L5346" t="s">
        <v>16662</v>
      </c>
      <c r="M5346" t="s">
        <v>16663</v>
      </c>
      <c r="N5346" t="s">
        <v>674</v>
      </c>
      <c r="O5346" t="s">
        <v>28</v>
      </c>
      <c r="P5346" t="s">
        <v>29</v>
      </c>
      <c r="Q5346">
        <v>34</v>
      </c>
      <c r="R5346">
        <v>-99.999999000000003</v>
      </c>
    </row>
    <row r="5347" spans="1:18" x14ac:dyDescent="0.2">
      <c r="A5347" t="s">
        <v>1200</v>
      </c>
      <c r="B5347" t="s">
        <v>1201</v>
      </c>
      <c r="C5347">
        <v>34</v>
      </c>
      <c r="D5347" s="1">
        <v>44071.735972222225</v>
      </c>
      <c r="E5347" t="s">
        <v>16664</v>
      </c>
      <c r="F5347" t="s">
        <v>1203</v>
      </c>
      <c r="G5347" t="s">
        <v>16423</v>
      </c>
      <c r="H5347" t="s">
        <v>1205</v>
      </c>
      <c r="I5347" t="s">
        <v>700</v>
      </c>
      <c r="J5347">
        <v>34</v>
      </c>
      <c r="K5347">
        <f t="shared" si="38"/>
        <v>-2187</v>
      </c>
      <c r="L5347" t="s">
        <v>16665</v>
      </c>
      <c r="M5347" t="s">
        <v>16666</v>
      </c>
      <c r="N5347" t="s">
        <v>674</v>
      </c>
      <c r="O5347" t="s">
        <v>134</v>
      </c>
      <c r="P5347" t="s">
        <v>29</v>
      </c>
      <c r="Q5347">
        <v>34</v>
      </c>
      <c r="R5347">
        <v>-99.999999000000003</v>
      </c>
    </row>
    <row r="5348" spans="1:18" x14ac:dyDescent="0.2">
      <c r="A5348" t="s">
        <v>1200</v>
      </c>
      <c r="B5348" t="s">
        <v>1201</v>
      </c>
      <c r="C5348">
        <v>34</v>
      </c>
      <c r="D5348" s="1">
        <v>44071.735567129632</v>
      </c>
      <c r="E5348" t="s">
        <v>16667</v>
      </c>
      <c r="F5348" t="s">
        <v>1203</v>
      </c>
      <c r="G5348" t="s">
        <v>16423</v>
      </c>
      <c r="H5348" t="s">
        <v>1205</v>
      </c>
      <c r="I5348" t="s">
        <v>700</v>
      </c>
      <c r="J5348">
        <v>34</v>
      </c>
      <c r="K5348">
        <f t="shared" si="38"/>
        <v>-2187</v>
      </c>
      <c r="L5348" t="s">
        <v>16668</v>
      </c>
      <c r="M5348" t="s">
        <v>16669</v>
      </c>
      <c r="N5348" t="s">
        <v>213</v>
      </c>
      <c r="O5348" t="s">
        <v>28</v>
      </c>
      <c r="P5348" t="s">
        <v>29</v>
      </c>
      <c r="Q5348">
        <v>34</v>
      </c>
      <c r="R5348">
        <v>-99.999999000000003</v>
      </c>
    </row>
    <row r="5349" spans="1:18" x14ac:dyDescent="0.2">
      <c r="A5349" t="s">
        <v>1200</v>
      </c>
      <c r="B5349" t="s">
        <v>1201</v>
      </c>
      <c r="C5349">
        <v>34</v>
      </c>
      <c r="D5349" s="1">
        <v>44071.734976851854</v>
      </c>
      <c r="E5349" t="s">
        <v>16670</v>
      </c>
      <c r="F5349" t="s">
        <v>1203</v>
      </c>
      <c r="G5349" t="s">
        <v>16423</v>
      </c>
      <c r="H5349" t="s">
        <v>1205</v>
      </c>
      <c r="I5349" t="s">
        <v>700</v>
      </c>
      <c r="J5349">
        <v>34</v>
      </c>
      <c r="K5349">
        <f t="shared" si="38"/>
        <v>-2187</v>
      </c>
      <c r="L5349" t="s">
        <v>16671</v>
      </c>
      <c r="M5349" t="s">
        <v>16672</v>
      </c>
      <c r="N5349" t="s">
        <v>674</v>
      </c>
      <c r="O5349" t="s">
        <v>134</v>
      </c>
      <c r="P5349" t="s">
        <v>29</v>
      </c>
      <c r="Q5349">
        <v>34</v>
      </c>
      <c r="R5349">
        <v>-99.999999000000003</v>
      </c>
    </row>
    <row r="5350" spans="1:18" x14ac:dyDescent="0.2">
      <c r="A5350" t="s">
        <v>1200</v>
      </c>
      <c r="B5350" t="s">
        <v>1201</v>
      </c>
      <c r="C5350">
        <v>34</v>
      </c>
      <c r="D5350" s="1">
        <v>44071.734571759262</v>
      </c>
      <c r="E5350" t="s">
        <v>16673</v>
      </c>
      <c r="F5350" t="s">
        <v>1203</v>
      </c>
      <c r="G5350" t="s">
        <v>16423</v>
      </c>
      <c r="H5350" t="s">
        <v>1205</v>
      </c>
      <c r="I5350" t="s">
        <v>700</v>
      </c>
      <c r="J5350">
        <v>34</v>
      </c>
      <c r="K5350">
        <f t="shared" si="38"/>
        <v>-2187</v>
      </c>
      <c r="L5350" t="s">
        <v>16674</v>
      </c>
      <c r="M5350" t="s">
        <v>16675</v>
      </c>
      <c r="N5350" t="s">
        <v>213</v>
      </c>
      <c r="O5350" t="s">
        <v>28</v>
      </c>
      <c r="P5350" t="s">
        <v>29</v>
      </c>
      <c r="Q5350">
        <v>34</v>
      </c>
      <c r="R5350">
        <v>-99.999999000000003</v>
      </c>
    </row>
    <row r="5351" spans="1:18" x14ac:dyDescent="0.2">
      <c r="A5351" t="s">
        <v>1200</v>
      </c>
      <c r="B5351" t="s">
        <v>1201</v>
      </c>
      <c r="C5351">
        <v>34</v>
      </c>
      <c r="D5351" s="1">
        <v>44071.125902777778</v>
      </c>
      <c r="E5351" t="s">
        <v>16566</v>
      </c>
      <c r="F5351" t="s">
        <v>1203</v>
      </c>
      <c r="G5351" t="s">
        <v>16423</v>
      </c>
      <c r="H5351" t="s">
        <v>1205</v>
      </c>
      <c r="I5351" t="s">
        <v>700</v>
      </c>
      <c r="J5351">
        <v>34</v>
      </c>
      <c r="K5351">
        <f t="shared" si="38"/>
        <v>-2187</v>
      </c>
      <c r="L5351" t="s">
        <v>16676</v>
      </c>
      <c r="M5351" t="s">
        <v>16677</v>
      </c>
      <c r="N5351" t="s">
        <v>674</v>
      </c>
      <c r="O5351" t="s">
        <v>134</v>
      </c>
      <c r="P5351" t="s">
        <v>29</v>
      </c>
      <c r="Q5351">
        <v>34</v>
      </c>
      <c r="R5351">
        <v>-99.999999000000003</v>
      </c>
    </row>
    <row r="5352" spans="1:18" x14ac:dyDescent="0.2">
      <c r="A5352" t="s">
        <v>1200</v>
      </c>
      <c r="B5352" t="s">
        <v>1201</v>
      </c>
      <c r="C5352">
        <v>34</v>
      </c>
      <c r="D5352" s="1">
        <v>44071.125833333332</v>
      </c>
      <c r="E5352" t="s">
        <v>16583</v>
      </c>
      <c r="F5352" t="s">
        <v>1203</v>
      </c>
      <c r="G5352" t="s">
        <v>16423</v>
      </c>
      <c r="H5352" t="s">
        <v>1205</v>
      </c>
      <c r="I5352" t="s">
        <v>700</v>
      </c>
      <c r="J5352">
        <v>34</v>
      </c>
      <c r="K5352">
        <f t="shared" si="38"/>
        <v>-2187</v>
      </c>
      <c r="L5352" t="s">
        <v>16678</v>
      </c>
      <c r="M5352" t="s">
        <v>16679</v>
      </c>
      <c r="N5352" t="s">
        <v>674</v>
      </c>
      <c r="O5352" t="s">
        <v>134</v>
      </c>
      <c r="P5352" t="s">
        <v>29</v>
      </c>
      <c r="Q5352">
        <v>34</v>
      </c>
      <c r="R5352">
        <v>-99.999999000000003</v>
      </c>
    </row>
    <row r="5353" spans="1:18" x14ac:dyDescent="0.2">
      <c r="A5353" t="s">
        <v>1200</v>
      </c>
      <c r="B5353" t="s">
        <v>1201</v>
      </c>
      <c r="C5353">
        <v>34</v>
      </c>
      <c r="D5353" s="1">
        <v>44071.125775462962</v>
      </c>
      <c r="E5353" t="s">
        <v>16580</v>
      </c>
      <c r="F5353" t="s">
        <v>1203</v>
      </c>
      <c r="G5353" t="s">
        <v>16423</v>
      </c>
      <c r="H5353" t="s">
        <v>1205</v>
      </c>
      <c r="I5353" t="s">
        <v>700</v>
      </c>
      <c r="J5353">
        <v>34</v>
      </c>
      <c r="K5353">
        <f t="shared" si="38"/>
        <v>-2187</v>
      </c>
      <c r="L5353" t="s">
        <v>16680</v>
      </c>
      <c r="M5353" t="s">
        <v>16681</v>
      </c>
      <c r="N5353" t="s">
        <v>213</v>
      </c>
      <c r="O5353" t="s">
        <v>134</v>
      </c>
      <c r="P5353" t="s">
        <v>29</v>
      </c>
      <c r="Q5353">
        <v>34</v>
      </c>
      <c r="R5353">
        <v>-99.999999000000003</v>
      </c>
    </row>
    <row r="5354" spans="1:18" x14ac:dyDescent="0.2">
      <c r="A5354" t="s">
        <v>1200</v>
      </c>
      <c r="B5354" t="s">
        <v>1201</v>
      </c>
      <c r="C5354">
        <v>34</v>
      </c>
      <c r="D5354" s="1">
        <v>44071.12572916667</v>
      </c>
      <c r="E5354" t="s">
        <v>16577</v>
      </c>
      <c r="F5354" t="s">
        <v>1203</v>
      </c>
      <c r="G5354" t="s">
        <v>16423</v>
      </c>
      <c r="H5354" t="s">
        <v>1205</v>
      </c>
      <c r="I5354" t="s">
        <v>700</v>
      </c>
      <c r="J5354">
        <v>34</v>
      </c>
      <c r="K5354">
        <f t="shared" si="38"/>
        <v>-2187</v>
      </c>
      <c r="L5354" t="s">
        <v>16682</v>
      </c>
      <c r="M5354" t="s">
        <v>16683</v>
      </c>
      <c r="N5354" t="s">
        <v>674</v>
      </c>
      <c r="O5354" t="s">
        <v>134</v>
      </c>
      <c r="P5354" t="s">
        <v>29</v>
      </c>
      <c r="Q5354">
        <v>34</v>
      </c>
      <c r="R5354">
        <v>-99.999999000000003</v>
      </c>
    </row>
    <row r="5355" spans="1:18" x14ac:dyDescent="0.2">
      <c r="A5355" t="s">
        <v>1200</v>
      </c>
      <c r="B5355" t="s">
        <v>1201</v>
      </c>
      <c r="C5355">
        <v>34</v>
      </c>
      <c r="D5355" s="1">
        <v>44071.125601851854</v>
      </c>
      <c r="E5355" t="s">
        <v>16684</v>
      </c>
      <c r="F5355" t="s">
        <v>1203</v>
      </c>
      <c r="G5355" t="s">
        <v>16423</v>
      </c>
      <c r="H5355" t="s">
        <v>1205</v>
      </c>
      <c r="I5355" t="s">
        <v>700</v>
      </c>
      <c r="J5355">
        <v>34</v>
      </c>
      <c r="K5355">
        <f t="shared" si="38"/>
        <v>-2187</v>
      </c>
      <c r="L5355" t="s">
        <v>16685</v>
      </c>
      <c r="M5355" t="s">
        <v>16686</v>
      </c>
      <c r="N5355" t="s">
        <v>674</v>
      </c>
      <c r="O5355" t="s">
        <v>134</v>
      </c>
      <c r="P5355" t="s">
        <v>29</v>
      </c>
      <c r="Q5355">
        <v>34</v>
      </c>
      <c r="R5355">
        <v>-99.999999000000003</v>
      </c>
    </row>
    <row r="5356" spans="1:18" x14ac:dyDescent="0.2">
      <c r="A5356" t="s">
        <v>1200</v>
      </c>
      <c r="B5356" t="s">
        <v>1201</v>
      </c>
      <c r="C5356">
        <v>34</v>
      </c>
      <c r="D5356" s="1">
        <v>44071.125520833331</v>
      </c>
      <c r="E5356" t="s">
        <v>16640</v>
      </c>
      <c r="F5356" t="s">
        <v>1203</v>
      </c>
      <c r="G5356" t="s">
        <v>16423</v>
      </c>
      <c r="H5356" t="s">
        <v>1205</v>
      </c>
      <c r="I5356" t="s">
        <v>700</v>
      </c>
      <c r="J5356">
        <v>34</v>
      </c>
      <c r="K5356">
        <f t="shared" si="38"/>
        <v>-2187</v>
      </c>
      <c r="L5356" t="s">
        <v>16687</v>
      </c>
      <c r="M5356" t="s">
        <v>16688</v>
      </c>
      <c r="N5356" t="s">
        <v>674</v>
      </c>
      <c r="O5356" t="s">
        <v>134</v>
      </c>
      <c r="P5356" t="s">
        <v>29</v>
      </c>
      <c r="Q5356">
        <v>34</v>
      </c>
      <c r="R5356">
        <v>-99.999999000000003</v>
      </c>
    </row>
    <row r="5357" spans="1:18" x14ac:dyDescent="0.2">
      <c r="A5357" t="s">
        <v>1200</v>
      </c>
      <c r="B5357" t="s">
        <v>1201</v>
      </c>
      <c r="C5357">
        <v>34</v>
      </c>
      <c r="D5357" s="1">
        <v>44071.125451388885</v>
      </c>
      <c r="E5357" t="s">
        <v>16444</v>
      </c>
      <c r="F5357" t="s">
        <v>1203</v>
      </c>
      <c r="G5357" t="s">
        <v>16423</v>
      </c>
      <c r="H5357" t="s">
        <v>1205</v>
      </c>
      <c r="I5357" t="s">
        <v>700</v>
      </c>
      <c r="J5357">
        <v>34</v>
      </c>
      <c r="K5357">
        <f t="shared" si="38"/>
        <v>-2187</v>
      </c>
      <c r="L5357" t="s">
        <v>16689</v>
      </c>
      <c r="M5357" t="s">
        <v>16690</v>
      </c>
      <c r="N5357" t="s">
        <v>674</v>
      </c>
      <c r="O5357" t="s">
        <v>134</v>
      </c>
      <c r="P5357" t="s">
        <v>29</v>
      </c>
      <c r="Q5357">
        <v>34</v>
      </c>
      <c r="R5357">
        <v>-99.999999000000003</v>
      </c>
    </row>
    <row r="5358" spans="1:18" x14ac:dyDescent="0.2">
      <c r="A5358" t="s">
        <v>1200</v>
      </c>
      <c r="B5358" t="s">
        <v>1201</v>
      </c>
      <c r="C5358">
        <v>34</v>
      </c>
      <c r="D5358" s="1">
        <v>44071.125393518516</v>
      </c>
      <c r="E5358" t="s">
        <v>16635</v>
      </c>
      <c r="F5358" t="s">
        <v>1203</v>
      </c>
      <c r="G5358" t="s">
        <v>16423</v>
      </c>
      <c r="H5358" t="s">
        <v>1205</v>
      </c>
      <c r="I5358" t="s">
        <v>700</v>
      </c>
      <c r="J5358">
        <v>34</v>
      </c>
      <c r="K5358">
        <f t="shared" si="38"/>
        <v>-2187</v>
      </c>
      <c r="L5358" t="s">
        <v>16691</v>
      </c>
      <c r="M5358" t="s">
        <v>16692</v>
      </c>
      <c r="N5358" t="s">
        <v>674</v>
      </c>
      <c r="O5358" t="s">
        <v>134</v>
      </c>
      <c r="P5358" t="s">
        <v>29</v>
      </c>
      <c r="Q5358">
        <v>34</v>
      </c>
      <c r="R5358">
        <v>-99.999999000000003</v>
      </c>
    </row>
    <row r="5359" spans="1:18" x14ac:dyDescent="0.2">
      <c r="A5359" t="s">
        <v>1200</v>
      </c>
      <c r="B5359" t="s">
        <v>1201</v>
      </c>
      <c r="C5359">
        <v>34</v>
      </c>
      <c r="D5359" s="1">
        <v>44071.125335648147</v>
      </c>
      <c r="E5359" t="s">
        <v>16632</v>
      </c>
      <c r="F5359" t="s">
        <v>1203</v>
      </c>
      <c r="G5359" t="s">
        <v>16423</v>
      </c>
      <c r="H5359" t="s">
        <v>1205</v>
      </c>
      <c r="I5359" t="s">
        <v>700</v>
      </c>
      <c r="J5359">
        <v>34</v>
      </c>
      <c r="K5359">
        <f t="shared" si="38"/>
        <v>-2187</v>
      </c>
      <c r="L5359" t="s">
        <v>16693</v>
      </c>
      <c r="M5359" t="s">
        <v>16694</v>
      </c>
      <c r="N5359" t="s">
        <v>674</v>
      </c>
      <c r="O5359" t="s">
        <v>134</v>
      </c>
      <c r="P5359" t="s">
        <v>29</v>
      </c>
      <c r="Q5359">
        <v>34</v>
      </c>
      <c r="R5359">
        <v>-99.999999000000003</v>
      </c>
    </row>
    <row r="5360" spans="1:18" x14ac:dyDescent="0.2">
      <c r="A5360" t="s">
        <v>1200</v>
      </c>
      <c r="B5360" t="s">
        <v>1201</v>
      </c>
      <c r="C5360">
        <v>34</v>
      </c>
      <c r="D5360" s="1">
        <v>44071.1252662037</v>
      </c>
      <c r="E5360" t="s">
        <v>16629</v>
      </c>
      <c r="F5360" t="s">
        <v>1203</v>
      </c>
      <c r="G5360" t="s">
        <v>16423</v>
      </c>
      <c r="H5360" t="s">
        <v>1205</v>
      </c>
      <c r="I5360" t="s">
        <v>700</v>
      </c>
      <c r="J5360">
        <v>34</v>
      </c>
      <c r="K5360">
        <f t="shared" si="38"/>
        <v>-2187</v>
      </c>
      <c r="L5360" t="s">
        <v>16695</v>
      </c>
      <c r="M5360" t="s">
        <v>16696</v>
      </c>
      <c r="N5360" t="s">
        <v>674</v>
      </c>
      <c r="O5360" t="s">
        <v>134</v>
      </c>
      <c r="P5360" t="s">
        <v>29</v>
      </c>
      <c r="Q5360">
        <v>34</v>
      </c>
      <c r="R5360">
        <v>-99.999999000000003</v>
      </c>
    </row>
    <row r="5361" spans="1:18" x14ac:dyDescent="0.2">
      <c r="A5361" t="s">
        <v>1200</v>
      </c>
      <c r="B5361" t="s">
        <v>1201</v>
      </c>
      <c r="C5361">
        <v>34</v>
      </c>
      <c r="D5361" s="1">
        <v>44071.125127314815</v>
      </c>
      <c r="E5361" t="s">
        <v>16477</v>
      </c>
      <c r="F5361" t="s">
        <v>1203</v>
      </c>
      <c r="G5361" t="s">
        <v>16423</v>
      </c>
      <c r="H5361" t="s">
        <v>1205</v>
      </c>
      <c r="I5361" t="s">
        <v>700</v>
      </c>
      <c r="J5361">
        <v>34</v>
      </c>
      <c r="K5361">
        <f t="shared" si="38"/>
        <v>-2187</v>
      </c>
      <c r="L5361" t="s">
        <v>16697</v>
      </c>
      <c r="M5361" t="s">
        <v>16698</v>
      </c>
      <c r="N5361" t="s">
        <v>213</v>
      </c>
      <c r="O5361" t="s">
        <v>134</v>
      </c>
      <c r="P5361" t="s">
        <v>29</v>
      </c>
      <c r="Q5361">
        <v>34</v>
      </c>
      <c r="R5361">
        <v>-99.999999000000003</v>
      </c>
    </row>
    <row r="5362" spans="1:18" x14ac:dyDescent="0.2">
      <c r="A5362" t="s">
        <v>1200</v>
      </c>
      <c r="B5362" t="s">
        <v>1201</v>
      </c>
      <c r="C5362">
        <v>34</v>
      </c>
      <c r="D5362" s="1">
        <v>44071.125069444446</v>
      </c>
      <c r="E5362" t="s">
        <v>16624</v>
      </c>
      <c r="F5362" t="s">
        <v>1203</v>
      </c>
      <c r="G5362" t="s">
        <v>16423</v>
      </c>
      <c r="H5362" t="s">
        <v>1205</v>
      </c>
      <c r="I5362" t="s">
        <v>700</v>
      </c>
      <c r="J5362">
        <v>34</v>
      </c>
      <c r="K5362">
        <f t="shared" si="38"/>
        <v>-2187</v>
      </c>
      <c r="L5362" t="s">
        <v>16699</v>
      </c>
      <c r="M5362" t="s">
        <v>16700</v>
      </c>
      <c r="N5362" t="s">
        <v>213</v>
      </c>
      <c r="O5362" t="s">
        <v>134</v>
      </c>
      <c r="P5362" t="s">
        <v>29</v>
      </c>
      <c r="Q5362">
        <v>34</v>
      </c>
      <c r="R5362">
        <v>-99.999999000000003</v>
      </c>
    </row>
    <row r="5363" spans="1:18" x14ac:dyDescent="0.2">
      <c r="A5363" t="s">
        <v>1200</v>
      </c>
      <c r="B5363" t="s">
        <v>1201</v>
      </c>
      <c r="C5363">
        <v>34</v>
      </c>
      <c r="D5363" s="1">
        <v>44071.125</v>
      </c>
      <c r="E5363" t="s">
        <v>16480</v>
      </c>
      <c r="F5363" t="s">
        <v>1203</v>
      </c>
      <c r="G5363" t="s">
        <v>16423</v>
      </c>
      <c r="H5363" t="s">
        <v>1205</v>
      </c>
      <c r="I5363" t="s">
        <v>700</v>
      </c>
      <c r="J5363">
        <v>34</v>
      </c>
      <c r="K5363">
        <f t="shared" si="38"/>
        <v>-2187</v>
      </c>
      <c r="L5363" t="s">
        <v>16701</v>
      </c>
      <c r="M5363" t="s">
        <v>16702</v>
      </c>
      <c r="N5363" t="s">
        <v>674</v>
      </c>
      <c r="O5363" t="s">
        <v>134</v>
      </c>
      <c r="P5363" t="s">
        <v>29</v>
      </c>
      <c r="Q5363">
        <v>34</v>
      </c>
      <c r="R5363">
        <v>-99.999999000000003</v>
      </c>
    </row>
    <row r="5364" spans="1:18" x14ac:dyDescent="0.2">
      <c r="A5364" t="s">
        <v>1200</v>
      </c>
      <c r="B5364" t="s">
        <v>1201</v>
      </c>
      <c r="C5364">
        <v>34</v>
      </c>
      <c r="D5364" s="1">
        <v>44071.124918981484</v>
      </c>
      <c r="E5364" t="s">
        <v>16619</v>
      </c>
      <c r="F5364" t="s">
        <v>1203</v>
      </c>
      <c r="G5364" t="s">
        <v>16423</v>
      </c>
      <c r="H5364" t="s">
        <v>1205</v>
      </c>
      <c r="I5364" t="s">
        <v>700</v>
      </c>
      <c r="J5364">
        <v>34</v>
      </c>
      <c r="K5364">
        <f t="shared" si="38"/>
        <v>-2187</v>
      </c>
      <c r="L5364" t="s">
        <v>16703</v>
      </c>
      <c r="M5364" t="s">
        <v>16704</v>
      </c>
      <c r="N5364" t="s">
        <v>674</v>
      </c>
      <c r="O5364" t="s">
        <v>134</v>
      </c>
      <c r="P5364" t="s">
        <v>29</v>
      </c>
      <c r="Q5364">
        <v>34</v>
      </c>
      <c r="R5364">
        <v>-99.999999000000003</v>
      </c>
    </row>
    <row r="5365" spans="1:18" x14ac:dyDescent="0.2">
      <c r="A5365" t="s">
        <v>1200</v>
      </c>
      <c r="B5365" t="s">
        <v>1201</v>
      </c>
      <c r="C5365">
        <v>34</v>
      </c>
      <c r="D5365" s="1">
        <v>44071.124837962961</v>
      </c>
      <c r="E5365" t="s">
        <v>16616</v>
      </c>
      <c r="F5365" t="s">
        <v>1203</v>
      </c>
      <c r="G5365" t="s">
        <v>16423</v>
      </c>
      <c r="H5365" t="s">
        <v>1205</v>
      </c>
      <c r="I5365" t="s">
        <v>700</v>
      </c>
      <c r="J5365">
        <v>34</v>
      </c>
      <c r="K5365">
        <f t="shared" si="38"/>
        <v>-2187</v>
      </c>
      <c r="L5365" t="s">
        <v>16705</v>
      </c>
      <c r="M5365" t="s">
        <v>16706</v>
      </c>
      <c r="N5365" t="s">
        <v>213</v>
      </c>
      <c r="O5365" t="s">
        <v>134</v>
      </c>
      <c r="P5365" t="s">
        <v>29</v>
      </c>
      <c r="Q5365">
        <v>34</v>
      </c>
      <c r="R5365">
        <v>-99.999999000000003</v>
      </c>
    </row>
    <row r="5366" spans="1:18" x14ac:dyDescent="0.2">
      <c r="A5366" t="s">
        <v>1200</v>
      </c>
      <c r="B5366" t="s">
        <v>1201</v>
      </c>
      <c r="C5366">
        <v>34</v>
      </c>
      <c r="D5366" s="1">
        <v>44071.124618055554</v>
      </c>
      <c r="E5366" t="s">
        <v>16610</v>
      </c>
      <c r="F5366" t="s">
        <v>1203</v>
      </c>
      <c r="G5366" t="s">
        <v>16423</v>
      </c>
      <c r="H5366" t="s">
        <v>1205</v>
      </c>
      <c r="I5366" t="s">
        <v>700</v>
      </c>
      <c r="J5366">
        <v>34</v>
      </c>
      <c r="K5366">
        <f t="shared" si="38"/>
        <v>-2187</v>
      </c>
      <c r="L5366" t="s">
        <v>16707</v>
      </c>
      <c r="M5366" t="s">
        <v>16708</v>
      </c>
      <c r="N5366" t="s">
        <v>674</v>
      </c>
      <c r="O5366" t="s">
        <v>134</v>
      </c>
      <c r="P5366" t="s">
        <v>29</v>
      </c>
      <c r="Q5366">
        <v>34</v>
      </c>
      <c r="R5366">
        <v>-99.999999000000003</v>
      </c>
    </row>
    <row r="5367" spans="1:18" x14ac:dyDescent="0.2">
      <c r="A5367" t="s">
        <v>1200</v>
      </c>
      <c r="B5367" t="s">
        <v>1201</v>
      </c>
      <c r="C5367">
        <v>34</v>
      </c>
      <c r="D5367" s="1">
        <v>44071.124537037038</v>
      </c>
      <c r="E5367" t="s">
        <v>16607</v>
      </c>
      <c r="F5367" t="s">
        <v>1203</v>
      </c>
      <c r="G5367" t="s">
        <v>16423</v>
      </c>
      <c r="H5367" t="s">
        <v>1205</v>
      </c>
      <c r="I5367" t="s">
        <v>700</v>
      </c>
      <c r="J5367">
        <v>34</v>
      </c>
      <c r="K5367">
        <f t="shared" si="38"/>
        <v>-2187</v>
      </c>
      <c r="L5367" t="s">
        <v>16709</v>
      </c>
      <c r="M5367" t="s">
        <v>16710</v>
      </c>
      <c r="N5367" t="s">
        <v>674</v>
      </c>
      <c r="O5367" t="s">
        <v>134</v>
      </c>
      <c r="P5367" t="s">
        <v>29</v>
      </c>
      <c r="Q5367">
        <v>34</v>
      </c>
      <c r="R5367">
        <v>-99.999999000000003</v>
      </c>
    </row>
    <row r="5368" spans="1:18" x14ac:dyDescent="0.2">
      <c r="A5368" t="s">
        <v>1200</v>
      </c>
      <c r="B5368" t="s">
        <v>1201</v>
      </c>
      <c r="C5368">
        <v>34</v>
      </c>
      <c r="D5368" s="1">
        <v>44071.124398148146</v>
      </c>
      <c r="E5368" t="s">
        <v>16601</v>
      </c>
      <c r="F5368" t="s">
        <v>1203</v>
      </c>
      <c r="G5368" t="s">
        <v>16423</v>
      </c>
      <c r="H5368" t="s">
        <v>1205</v>
      </c>
      <c r="I5368" t="s">
        <v>700</v>
      </c>
      <c r="J5368">
        <v>34</v>
      </c>
      <c r="K5368">
        <f t="shared" si="38"/>
        <v>-2187</v>
      </c>
      <c r="L5368" t="s">
        <v>16711</v>
      </c>
      <c r="M5368" t="s">
        <v>16712</v>
      </c>
      <c r="N5368" t="s">
        <v>674</v>
      </c>
      <c r="O5368" t="s">
        <v>28</v>
      </c>
      <c r="P5368" t="s">
        <v>29</v>
      </c>
      <c r="Q5368">
        <v>34</v>
      </c>
      <c r="R5368">
        <v>-99.999999000000003</v>
      </c>
    </row>
    <row r="5369" spans="1:18" x14ac:dyDescent="0.2">
      <c r="A5369" t="s">
        <v>1200</v>
      </c>
      <c r="B5369" t="s">
        <v>1201</v>
      </c>
      <c r="C5369">
        <v>34</v>
      </c>
      <c r="D5369" s="1">
        <v>44071.124363425923</v>
      </c>
      <c r="E5369" t="s">
        <v>16604</v>
      </c>
      <c r="F5369" t="s">
        <v>1203</v>
      </c>
      <c r="G5369" t="s">
        <v>16423</v>
      </c>
      <c r="H5369" t="s">
        <v>1205</v>
      </c>
      <c r="I5369" t="s">
        <v>700</v>
      </c>
      <c r="J5369">
        <v>34</v>
      </c>
      <c r="K5369">
        <f t="shared" si="38"/>
        <v>-2187</v>
      </c>
      <c r="L5369" t="s">
        <v>16713</v>
      </c>
      <c r="M5369" t="s">
        <v>16714</v>
      </c>
      <c r="N5369" t="s">
        <v>674</v>
      </c>
      <c r="O5369" t="s">
        <v>28</v>
      </c>
      <c r="P5369" t="s">
        <v>29</v>
      </c>
      <c r="Q5369">
        <v>34</v>
      </c>
      <c r="R5369">
        <v>-99.999999000000003</v>
      </c>
    </row>
    <row r="5370" spans="1:18" x14ac:dyDescent="0.2">
      <c r="A5370" t="s">
        <v>1200</v>
      </c>
      <c r="B5370" t="s">
        <v>1201</v>
      </c>
      <c r="C5370">
        <v>34</v>
      </c>
      <c r="D5370" s="1">
        <v>44071.124305555553</v>
      </c>
      <c r="E5370" t="s">
        <v>16598</v>
      </c>
      <c r="F5370" t="s">
        <v>1203</v>
      </c>
      <c r="G5370" t="s">
        <v>16423</v>
      </c>
      <c r="H5370" t="s">
        <v>1205</v>
      </c>
      <c r="I5370" t="s">
        <v>700</v>
      </c>
      <c r="J5370">
        <v>34</v>
      </c>
      <c r="K5370">
        <f t="shared" si="38"/>
        <v>-2187</v>
      </c>
      <c r="L5370" t="s">
        <v>16715</v>
      </c>
      <c r="M5370" t="s">
        <v>16716</v>
      </c>
      <c r="N5370" t="s">
        <v>213</v>
      </c>
      <c r="O5370" t="s">
        <v>134</v>
      </c>
      <c r="P5370" t="s">
        <v>29</v>
      </c>
      <c r="Q5370">
        <v>34</v>
      </c>
      <c r="R5370">
        <v>-99.999999000000003</v>
      </c>
    </row>
    <row r="5371" spans="1:18" x14ac:dyDescent="0.2">
      <c r="A5371" t="s">
        <v>1200</v>
      </c>
      <c r="B5371" t="s">
        <v>1201</v>
      </c>
      <c r="C5371">
        <v>34</v>
      </c>
      <c r="D5371" s="1">
        <v>44071.123981481483</v>
      </c>
      <c r="E5371" t="s">
        <v>16717</v>
      </c>
      <c r="F5371" t="s">
        <v>1203</v>
      </c>
      <c r="G5371" t="s">
        <v>16423</v>
      </c>
      <c r="H5371" t="s">
        <v>1205</v>
      </c>
      <c r="I5371" t="s">
        <v>700</v>
      </c>
      <c r="J5371">
        <v>34</v>
      </c>
      <c r="K5371">
        <f t="shared" si="38"/>
        <v>-2187</v>
      </c>
      <c r="L5371" t="s">
        <v>16718</v>
      </c>
      <c r="M5371" t="s">
        <v>16719</v>
      </c>
      <c r="N5371" t="s">
        <v>674</v>
      </c>
      <c r="O5371" t="s">
        <v>134</v>
      </c>
      <c r="P5371" t="s">
        <v>29</v>
      </c>
      <c r="Q5371">
        <v>34</v>
      </c>
      <c r="R5371">
        <v>-99.999999000000003</v>
      </c>
    </row>
    <row r="5372" spans="1:18" x14ac:dyDescent="0.2">
      <c r="A5372" t="s">
        <v>1200</v>
      </c>
      <c r="B5372" t="s">
        <v>1201</v>
      </c>
      <c r="C5372">
        <v>34</v>
      </c>
      <c r="D5372" s="1">
        <v>44071.123935185184</v>
      </c>
      <c r="E5372" t="s">
        <v>16720</v>
      </c>
      <c r="F5372" t="s">
        <v>1203</v>
      </c>
      <c r="G5372" t="s">
        <v>16423</v>
      </c>
      <c r="H5372" t="s">
        <v>1205</v>
      </c>
      <c r="I5372" t="s">
        <v>700</v>
      </c>
      <c r="J5372">
        <v>34</v>
      </c>
      <c r="K5372">
        <f t="shared" si="38"/>
        <v>-2187</v>
      </c>
      <c r="L5372" t="s">
        <v>16721</v>
      </c>
      <c r="M5372" t="s">
        <v>16722</v>
      </c>
      <c r="N5372" t="s">
        <v>213</v>
      </c>
      <c r="O5372" t="s">
        <v>134</v>
      </c>
      <c r="P5372" t="s">
        <v>29</v>
      </c>
      <c r="Q5372">
        <v>34</v>
      </c>
      <c r="R5372">
        <v>-99.999999000000003</v>
      </c>
    </row>
    <row r="5373" spans="1:18" x14ac:dyDescent="0.2">
      <c r="A5373" t="s">
        <v>1200</v>
      </c>
      <c r="B5373" t="s">
        <v>1201</v>
      </c>
      <c r="C5373">
        <v>34</v>
      </c>
      <c r="D5373" s="1">
        <v>44071.123888888891</v>
      </c>
      <c r="E5373" t="s">
        <v>16586</v>
      </c>
      <c r="F5373" t="s">
        <v>1203</v>
      </c>
      <c r="G5373" t="s">
        <v>16423</v>
      </c>
      <c r="H5373" t="s">
        <v>1205</v>
      </c>
      <c r="I5373" t="s">
        <v>700</v>
      </c>
      <c r="J5373">
        <v>34</v>
      </c>
      <c r="K5373">
        <f t="shared" si="38"/>
        <v>-2187</v>
      </c>
      <c r="L5373" t="s">
        <v>16723</v>
      </c>
      <c r="M5373" t="s">
        <v>16724</v>
      </c>
      <c r="N5373" t="s">
        <v>213</v>
      </c>
      <c r="O5373" t="s">
        <v>28</v>
      </c>
      <c r="P5373" t="s">
        <v>29</v>
      </c>
      <c r="Q5373">
        <v>34</v>
      </c>
      <c r="R5373">
        <v>-99.999999000000003</v>
      </c>
    </row>
    <row r="5374" spans="1:18" x14ac:dyDescent="0.2">
      <c r="A5374" t="s">
        <v>1200</v>
      </c>
      <c r="B5374" t="s">
        <v>1201</v>
      </c>
      <c r="C5374">
        <v>34</v>
      </c>
      <c r="D5374" s="1">
        <v>44071.123842592591</v>
      </c>
      <c r="E5374" t="s">
        <v>16589</v>
      </c>
      <c r="F5374" t="s">
        <v>1203</v>
      </c>
      <c r="G5374" t="s">
        <v>16423</v>
      </c>
      <c r="H5374" t="s">
        <v>1205</v>
      </c>
      <c r="I5374" t="s">
        <v>700</v>
      </c>
      <c r="J5374">
        <v>34</v>
      </c>
      <c r="K5374">
        <f t="shared" si="38"/>
        <v>-2187</v>
      </c>
      <c r="L5374" t="s">
        <v>16725</v>
      </c>
      <c r="M5374" t="s">
        <v>16726</v>
      </c>
      <c r="N5374" t="s">
        <v>674</v>
      </c>
      <c r="O5374" t="s">
        <v>28</v>
      </c>
      <c r="P5374" t="s">
        <v>29</v>
      </c>
      <c r="Q5374">
        <v>34</v>
      </c>
      <c r="R5374">
        <v>-99.999999000000003</v>
      </c>
    </row>
    <row r="5375" spans="1:18" x14ac:dyDescent="0.2">
      <c r="A5375" t="s">
        <v>1200</v>
      </c>
      <c r="B5375" t="s">
        <v>1201</v>
      </c>
      <c r="C5375">
        <v>34</v>
      </c>
      <c r="D5375" s="1">
        <v>44071.123807870368</v>
      </c>
      <c r="E5375" t="s">
        <v>16727</v>
      </c>
      <c r="F5375" t="s">
        <v>1203</v>
      </c>
      <c r="G5375" t="s">
        <v>16423</v>
      </c>
      <c r="H5375" t="s">
        <v>1205</v>
      </c>
      <c r="I5375" t="s">
        <v>700</v>
      </c>
      <c r="J5375">
        <v>34</v>
      </c>
      <c r="K5375">
        <f t="shared" si="38"/>
        <v>-2187</v>
      </c>
      <c r="L5375" t="s">
        <v>16728</v>
      </c>
      <c r="M5375" t="s">
        <v>16729</v>
      </c>
      <c r="N5375" t="s">
        <v>213</v>
      </c>
      <c r="O5375" t="s">
        <v>28</v>
      </c>
      <c r="P5375" t="s">
        <v>29</v>
      </c>
      <c r="Q5375">
        <v>34</v>
      </c>
      <c r="R5375">
        <v>-99.999999000000003</v>
      </c>
    </row>
    <row r="5376" spans="1:18" x14ac:dyDescent="0.2">
      <c r="A5376" t="s">
        <v>1200</v>
      </c>
      <c r="B5376" t="s">
        <v>1201</v>
      </c>
      <c r="C5376">
        <v>34</v>
      </c>
      <c r="D5376" s="1">
        <v>44071.12290509259</v>
      </c>
      <c r="E5376" t="s">
        <v>16670</v>
      </c>
      <c r="F5376" t="s">
        <v>1203</v>
      </c>
      <c r="G5376" t="s">
        <v>16423</v>
      </c>
      <c r="H5376" t="s">
        <v>1205</v>
      </c>
      <c r="I5376" t="s">
        <v>700</v>
      </c>
      <c r="J5376">
        <v>34</v>
      </c>
      <c r="K5376">
        <f t="shared" ref="K5376:K5386" si="39">34-900-649-672</f>
        <v>-2187</v>
      </c>
      <c r="L5376" t="s">
        <v>16730</v>
      </c>
      <c r="M5376" t="s">
        <v>16731</v>
      </c>
      <c r="N5376" t="s">
        <v>674</v>
      </c>
      <c r="O5376" t="s">
        <v>134</v>
      </c>
      <c r="P5376" t="s">
        <v>29</v>
      </c>
      <c r="Q5376">
        <v>34</v>
      </c>
      <c r="R5376">
        <v>-99.999999000000003</v>
      </c>
    </row>
    <row r="5377" spans="1:18" x14ac:dyDescent="0.2">
      <c r="A5377" t="s">
        <v>1200</v>
      </c>
      <c r="B5377" t="s">
        <v>1201</v>
      </c>
      <c r="C5377">
        <v>34</v>
      </c>
      <c r="D5377" s="1">
        <v>44071.122870370367</v>
      </c>
      <c r="E5377" t="s">
        <v>16732</v>
      </c>
      <c r="F5377" t="s">
        <v>1203</v>
      </c>
      <c r="G5377" t="s">
        <v>16423</v>
      </c>
      <c r="H5377" t="s">
        <v>1205</v>
      </c>
      <c r="I5377" t="s">
        <v>700</v>
      </c>
      <c r="J5377">
        <v>34</v>
      </c>
      <c r="K5377">
        <f t="shared" si="39"/>
        <v>-2187</v>
      </c>
      <c r="L5377" t="s">
        <v>16733</v>
      </c>
      <c r="M5377" t="s">
        <v>16734</v>
      </c>
      <c r="N5377" t="s">
        <v>213</v>
      </c>
      <c r="O5377" t="s">
        <v>134</v>
      </c>
      <c r="P5377" t="s">
        <v>29</v>
      </c>
      <c r="Q5377">
        <v>34</v>
      </c>
      <c r="R5377">
        <v>-99.999999000000003</v>
      </c>
    </row>
    <row r="5378" spans="1:18" x14ac:dyDescent="0.2">
      <c r="A5378" t="s">
        <v>1200</v>
      </c>
      <c r="B5378" t="s">
        <v>1201</v>
      </c>
      <c r="C5378">
        <v>34</v>
      </c>
      <c r="D5378" s="1">
        <v>44071.122847222221</v>
      </c>
      <c r="E5378" t="s">
        <v>16661</v>
      </c>
      <c r="F5378" t="s">
        <v>1203</v>
      </c>
      <c r="G5378" t="s">
        <v>16423</v>
      </c>
      <c r="H5378" t="s">
        <v>1205</v>
      </c>
      <c r="I5378" t="s">
        <v>700</v>
      </c>
      <c r="J5378">
        <v>34</v>
      </c>
      <c r="K5378">
        <f t="shared" si="39"/>
        <v>-2187</v>
      </c>
      <c r="L5378" t="s">
        <v>16735</v>
      </c>
      <c r="M5378" t="s">
        <v>16736</v>
      </c>
      <c r="N5378" t="s">
        <v>674</v>
      </c>
      <c r="O5378" t="s">
        <v>28</v>
      </c>
      <c r="P5378" t="s">
        <v>29</v>
      </c>
      <c r="Q5378">
        <v>34</v>
      </c>
      <c r="R5378">
        <v>-99.999999000000003</v>
      </c>
    </row>
    <row r="5379" spans="1:18" x14ac:dyDescent="0.2">
      <c r="A5379" t="s">
        <v>1200</v>
      </c>
      <c r="B5379" t="s">
        <v>1201</v>
      </c>
      <c r="C5379">
        <v>34</v>
      </c>
      <c r="D5379" s="1">
        <v>44071.122731481482</v>
      </c>
      <c r="E5379" t="s">
        <v>16737</v>
      </c>
      <c r="F5379" t="s">
        <v>1203</v>
      </c>
      <c r="G5379" t="s">
        <v>16423</v>
      </c>
      <c r="H5379" t="s">
        <v>1205</v>
      </c>
      <c r="I5379" t="s">
        <v>700</v>
      </c>
      <c r="J5379">
        <v>34</v>
      </c>
      <c r="K5379">
        <f t="shared" si="39"/>
        <v>-2187</v>
      </c>
      <c r="L5379" t="s">
        <v>16738</v>
      </c>
      <c r="M5379" t="s">
        <v>16739</v>
      </c>
      <c r="N5379" t="s">
        <v>213</v>
      </c>
      <c r="O5379" t="s">
        <v>28</v>
      </c>
      <c r="P5379" t="s">
        <v>29</v>
      </c>
      <c r="Q5379">
        <v>34</v>
      </c>
      <c r="R5379">
        <v>-99.999999000000003</v>
      </c>
    </row>
    <row r="5380" spans="1:18" x14ac:dyDescent="0.2">
      <c r="A5380" t="s">
        <v>1200</v>
      </c>
      <c r="B5380" t="s">
        <v>1201</v>
      </c>
      <c r="C5380">
        <v>34</v>
      </c>
      <c r="D5380" s="1">
        <v>44071.122685185182</v>
      </c>
      <c r="E5380" t="s">
        <v>16740</v>
      </c>
      <c r="F5380" t="s">
        <v>1203</v>
      </c>
      <c r="G5380" t="s">
        <v>16423</v>
      </c>
      <c r="H5380" t="s">
        <v>1205</v>
      </c>
      <c r="I5380" t="s">
        <v>700</v>
      </c>
      <c r="J5380">
        <v>34</v>
      </c>
      <c r="K5380">
        <f t="shared" si="39"/>
        <v>-2187</v>
      </c>
      <c r="L5380" t="s">
        <v>16741</v>
      </c>
      <c r="M5380" t="s">
        <v>16742</v>
      </c>
      <c r="N5380" t="s">
        <v>674</v>
      </c>
      <c r="O5380" t="s">
        <v>134</v>
      </c>
      <c r="P5380" t="s">
        <v>29</v>
      </c>
      <c r="Q5380">
        <v>34</v>
      </c>
      <c r="R5380">
        <v>-99.999999000000003</v>
      </c>
    </row>
    <row r="5381" spans="1:18" x14ac:dyDescent="0.2">
      <c r="A5381" t="s">
        <v>1200</v>
      </c>
      <c r="B5381" t="s">
        <v>1201</v>
      </c>
      <c r="C5381">
        <v>34</v>
      </c>
      <c r="D5381" s="1">
        <v>44071.122650462959</v>
      </c>
      <c r="E5381" t="s">
        <v>16655</v>
      </c>
      <c r="F5381" t="s">
        <v>1203</v>
      </c>
      <c r="G5381" t="s">
        <v>16423</v>
      </c>
      <c r="H5381" t="s">
        <v>1205</v>
      </c>
      <c r="I5381" t="s">
        <v>700</v>
      </c>
      <c r="J5381">
        <v>34</v>
      </c>
      <c r="K5381">
        <f t="shared" si="39"/>
        <v>-2187</v>
      </c>
      <c r="L5381" t="s">
        <v>16743</v>
      </c>
      <c r="M5381" t="s">
        <v>16744</v>
      </c>
      <c r="N5381" t="s">
        <v>674</v>
      </c>
      <c r="O5381" t="s">
        <v>28</v>
      </c>
      <c r="P5381" t="s">
        <v>29</v>
      </c>
      <c r="Q5381">
        <v>34</v>
      </c>
      <c r="R5381">
        <v>-99.999999000000003</v>
      </c>
    </row>
    <row r="5382" spans="1:18" x14ac:dyDescent="0.2">
      <c r="A5382" t="s">
        <v>1200</v>
      </c>
      <c r="B5382" t="s">
        <v>1201</v>
      </c>
      <c r="C5382">
        <v>34</v>
      </c>
      <c r="D5382" s="1">
        <v>44071.12259259259</v>
      </c>
      <c r="E5382" t="s">
        <v>16658</v>
      </c>
      <c r="F5382" t="s">
        <v>1203</v>
      </c>
      <c r="G5382" t="s">
        <v>16423</v>
      </c>
      <c r="H5382" t="s">
        <v>1205</v>
      </c>
      <c r="I5382" t="s">
        <v>700</v>
      </c>
      <c r="J5382">
        <v>34</v>
      </c>
      <c r="K5382">
        <f t="shared" si="39"/>
        <v>-2187</v>
      </c>
      <c r="L5382" t="s">
        <v>16745</v>
      </c>
      <c r="M5382" t="s">
        <v>16746</v>
      </c>
      <c r="N5382" t="s">
        <v>213</v>
      </c>
      <c r="O5382" t="s">
        <v>28</v>
      </c>
      <c r="P5382" t="s">
        <v>29</v>
      </c>
      <c r="Q5382">
        <v>34</v>
      </c>
      <c r="R5382">
        <v>-99.999999000000003</v>
      </c>
    </row>
    <row r="5383" spans="1:18" x14ac:dyDescent="0.2">
      <c r="A5383" t="s">
        <v>1200</v>
      </c>
      <c r="B5383" t="s">
        <v>1201</v>
      </c>
      <c r="C5383">
        <v>34</v>
      </c>
      <c r="D5383" s="1">
        <v>44071.122534722221</v>
      </c>
      <c r="E5383" t="s">
        <v>16652</v>
      </c>
      <c r="F5383" t="s">
        <v>1203</v>
      </c>
      <c r="G5383" t="s">
        <v>16423</v>
      </c>
      <c r="H5383" t="s">
        <v>1205</v>
      </c>
      <c r="I5383" t="s">
        <v>700</v>
      </c>
      <c r="J5383">
        <v>34</v>
      </c>
      <c r="K5383">
        <f t="shared" si="39"/>
        <v>-2187</v>
      </c>
      <c r="L5383" t="s">
        <v>16747</v>
      </c>
      <c r="M5383" t="s">
        <v>16748</v>
      </c>
      <c r="N5383" t="s">
        <v>674</v>
      </c>
      <c r="O5383" t="s">
        <v>28</v>
      </c>
      <c r="P5383" t="s">
        <v>29</v>
      </c>
      <c r="Q5383">
        <v>34</v>
      </c>
      <c r="R5383">
        <v>-99.999999000000003</v>
      </c>
    </row>
    <row r="5384" spans="1:18" x14ac:dyDescent="0.2">
      <c r="A5384" t="s">
        <v>1200</v>
      </c>
      <c r="B5384" t="s">
        <v>1201</v>
      </c>
      <c r="C5384">
        <v>34</v>
      </c>
      <c r="D5384" s="1">
        <v>44071.122465277775</v>
      </c>
      <c r="E5384" t="s">
        <v>16646</v>
      </c>
      <c r="F5384" t="s">
        <v>1203</v>
      </c>
      <c r="G5384" t="s">
        <v>16423</v>
      </c>
      <c r="H5384" t="s">
        <v>1205</v>
      </c>
      <c r="I5384" t="s">
        <v>700</v>
      </c>
      <c r="J5384">
        <v>34</v>
      </c>
      <c r="K5384">
        <f t="shared" si="39"/>
        <v>-2187</v>
      </c>
      <c r="L5384" t="s">
        <v>16749</v>
      </c>
      <c r="M5384" t="s">
        <v>16750</v>
      </c>
      <c r="N5384" t="s">
        <v>674</v>
      </c>
      <c r="O5384" t="s">
        <v>134</v>
      </c>
      <c r="P5384" t="s">
        <v>29</v>
      </c>
      <c r="Q5384">
        <v>34</v>
      </c>
      <c r="R5384">
        <v>-99.999999000000003</v>
      </c>
    </row>
    <row r="5385" spans="1:18" x14ac:dyDescent="0.2">
      <c r="A5385" t="s">
        <v>1200</v>
      </c>
      <c r="B5385" t="s">
        <v>1201</v>
      </c>
      <c r="C5385">
        <v>34</v>
      </c>
      <c r="D5385" s="1">
        <v>44071.122395833336</v>
      </c>
      <c r="E5385" t="s">
        <v>16649</v>
      </c>
      <c r="F5385" t="s">
        <v>1203</v>
      </c>
      <c r="G5385" t="s">
        <v>16423</v>
      </c>
      <c r="H5385" t="s">
        <v>1205</v>
      </c>
      <c r="I5385" t="s">
        <v>700</v>
      </c>
      <c r="J5385">
        <v>34</v>
      </c>
      <c r="K5385">
        <f t="shared" si="39"/>
        <v>-2187</v>
      </c>
      <c r="L5385" t="s">
        <v>16751</v>
      </c>
      <c r="M5385" t="s">
        <v>16752</v>
      </c>
      <c r="N5385" t="s">
        <v>213</v>
      </c>
      <c r="O5385" t="s">
        <v>28</v>
      </c>
      <c r="P5385" t="s">
        <v>29</v>
      </c>
      <c r="Q5385">
        <v>34</v>
      </c>
      <c r="R5385">
        <v>-99.999999000000003</v>
      </c>
    </row>
    <row r="5386" spans="1:18" x14ac:dyDescent="0.2">
      <c r="A5386" t="s">
        <v>1200</v>
      </c>
      <c r="B5386" t="s">
        <v>1201</v>
      </c>
      <c r="C5386">
        <v>34</v>
      </c>
      <c r="D5386" s="1">
        <v>44071.12159722222</v>
      </c>
      <c r="E5386" t="s">
        <v>16613</v>
      </c>
      <c r="F5386" t="s">
        <v>1203</v>
      </c>
      <c r="G5386" t="s">
        <v>16423</v>
      </c>
      <c r="H5386" t="s">
        <v>1205</v>
      </c>
      <c r="I5386" t="s">
        <v>700</v>
      </c>
      <c r="J5386">
        <v>34</v>
      </c>
      <c r="K5386">
        <f t="shared" si="39"/>
        <v>-2187</v>
      </c>
      <c r="L5386" t="s">
        <v>16753</v>
      </c>
      <c r="M5386" t="s">
        <v>16754</v>
      </c>
      <c r="N5386" t="s">
        <v>213</v>
      </c>
      <c r="O5386" t="s">
        <v>134</v>
      </c>
      <c r="P5386" t="s">
        <v>29</v>
      </c>
      <c r="Q5386">
        <v>34</v>
      </c>
      <c r="R5386">
        <v>-99.999999000000003</v>
      </c>
    </row>
    <row r="5387" spans="1:18" x14ac:dyDescent="0.2">
      <c r="A5387" t="s">
        <v>1200</v>
      </c>
      <c r="B5387" t="s">
        <v>1201</v>
      </c>
      <c r="C5387">
        <v>34</v>
      </c>
      <c r="D5387" s="1">
        <v>44062.69258101852</v>
      </c>
      <c r="E5387" t="s">
        <v>16560</v>
      </c>
      <c r="F5387" t="s">
        <v>1203</v>
      </c>
      <c r="G5387" t="s">
        <v>16423</v>
      </c>
      <c r="H5387" t="s">
        <v>1205</v>
      </c>
      <c r="I5387" t="s">
        <v>700</v>
      </c>
      <c r="J5387">
        <v>34</v>
      </c>
      <c r="K5387">
        <f>34-900-670-25</f>
        <v>-1561</v>
      </c>
      <c r="L5387" t="s">
        <v>16755</v>
      </c>
      <c r="M5387" t="s">
        <v>16756</v>
      </c>
      <c r="N5387" t="s">
        <v>213</v>
      </c>
      <c r="O5387" t="s">
        <v>28</v>
      </c>
      <c r="P5387" t="s">
        <v>29</v>
      </c>
      <c r="Q5387">
        <v>34</v>
      </c>
      <c r="R5387">
        <v>-99.999999000000003</v>
      </c>
    </row>
    <row r="5388" spans="1:18" x14ac:dyDescent="0.2">
      <c r="A5388" t="s">
        <v>1200</v>
      </c>
      <c r="B5388" t="s">
        <v>1201</v>
      </c>
      <c r="C5388">
        <v>34</v>
      </c>
      <c r="D5388" s="1">
        <v>44062.692557870374</v>
      </c>
      <c r="E5388" t="s">
        <v>16563</v>
      </c>
      <c r="F5388" t="s">
        <v>1203</v>
      </c>
      <c r="G5388" t="s">
        <v>16423</v>
      </c>
      <c r="H5388" t="s">
        <v>1205</v>
      </c>
      <c r="I5388" t="s">
        <v>700</v>
      </c>
      <c r="J5388">
        <v>34</v>
      </c>
      <c r="K5388">
        <f>34-900-649-672</f>
        <v>-2187</v>
      </c>
      <c r="L5388" t="s">
        <v>16757</v>
      </c>
      <c r="M5388" t="s">
        <v>16758</v>
      </c>
      <c r="N5388" t="s">
        <v>674</v>
      </c>
      <c r="O5388" t="s">
        <v>28</v>
      </c>
      <c r="P5388" t="s">
        <v>29</v>
      </c>
      <c r="Q5388">
        <v>34</v>
      </c>
      <c r="R5388">
        <v>-99.999999000000003</v>
      </c>
    </row>
    <row r="5389" spans="1:18" x14ac:dyDescent="0.2">
      <c r="A5389" t="s">
        <v>1200</v>
      </c>
      <c r="B5389" t="s">
        <v>1201</v>
      </c>
      <c r="C5389">
        <v>34</v>
      </c>
      <c r="D5389" s="1">
        <v>44061.813240740739</v>
      </c>
      <c r="E5389" t="s">
        <v>16560</v>
      </c>
      <c r="F5389" t="s">
        <v>1203</v>
      </c>
      <c r="G5389" t="s">
        <v>16423</v>
      </c>
      <c r="H5389" t="s">
        <v>1205</v>
      </c>
      <c r="I5389" t="s">
        <v>700</v>
      </c>
      <c r="J5389">
        <v>34</v>
      </c>
      <c r="K5389">
        <f t="shared" ref="K5389:K5394" si="40">34-900-670-25</f>
        <v>-1561</v>
      </c>
      <c r="L5389" t="s">
        <v>16759</v>
      </c>
      <c r="M5389" t="s">
        <v>16760</v>
      </c>
      <c r="N5389" t="s">
        <v>213</v>
      </c>
      <c r="O5389" t="s">
        <v>28</v>
      </c>
      <c r="P5389" t="s">
        <v>29</v>
      </c>
      <c r="Q5389">
        <v>34</v>
      </c>
      <c r="R5389">
        <v>-99.999999000000003</v>
      </c>
    </row>
    <row r="5390" spans="1:18" x14ac:dyDescent="0.2">
      <c r="A5390" t="s">
        <v>1200</v>
      </c>
      <c r="B5390" t="s">
        <v>1201</v>
      </c>
      <c r="C5390">
        <v>34</v>
      </c>
      <c r="D5390" s="1">
        <v>44061.812708333331</v>
      </c>
      <c r="E5390" t="s">
        <v>16540</v>
      </c>
      <c r="F5390" t="s">
        <v>1203</v>
      </c>
      <c r="G5390" t="s">
        <v>16423</v>
      </c>
      <c r="H5390" t="s">
        <v>1205</v>
      </c>
      <c r="I5390" t="s">
        <v>700</v>
      </c>
      <c r="J5390">
        <v>34</v>
      </c>
      <c r="K5390">
        <f t="shared" si="40"/>
        <v>-1561</v>
      </c>
      <c r="L5390" t="s">
        <v>16761</v>
      </c>
      <c r="M5390" t="s">
        <v>16762</v>
      </c>
      <c r="N5390" t="s">
        <v>674</v>
      </c>
      <c r="O5390" t="s">
        <v>28</v>
      </c>
      <c r="P5390" t="s">
        <v>29</v>
      </c>
      <c r="Q5390">
        <v>34</v>
      </c>
      <c r="R5390">
        <v>-99.999999000000003</v>
      </c>
    </row>
    <row r="5391" spans="1:18" x14ac:dyDescent="0.2">
      <c r="A5391" t="s">
        <v>1200</v>
      </c>
      <c r="B5391" t="s">
        <v>1201</v>
      </c>
      <c r="C5391">
        <v>34</v>
      </c>
      <c r="D5391" s="1">
        <v>44061.812592592592</v>
      </c>
      <c r="E5391" t="s">
        <v>16763</v>
      </c>
      <c r="F5391" t="s">
        <v>1203</v>
      </c>
      <c r="G5391" t="s">
        <v>16423</v>
      </c>
      <c r="H5391" t="s">
        <v>1205</v>
      </c>
      <c r="I5391" t="s">
        <v>700</v>
      </c>
      <c r="J5391">
        <v>34</v>
      </c>
      <c r="K5391">
        <f t="shared" si="40"/>
        <v>-1561</v>
      </c>
      <c r="L5391" t="s">
        <v>16764</v>
      </c>
      <c r="M5391" t="s">
        <v>16765</v>
      </c>
      <c r="N5391" t="s">
        <v>674</v>
      </c>
      <c r="O5391" t="s">
        <v>28</v>
      </c>
      <c r="P5391" t="s">
        <v>29</v>
      </c>
      <c r="Q5391">
        <v>34</v>
      </c>
      <c r="R5391">
        <v>-99.999999000000003</v>
      </c>
    </row>
    <row r="5392" spans="1:18" x14ac:dyDescent="0.2">
      <c r="A5392" t="s">
        <v>1200</v>
      </c>
      <c r="B5392" t="s">
        <v>1201</v>
      </c>
      <c r="C5392">
        <v>34</v>
      </c>
      <c r="D5392" s="1">
        <v>44061.811631944445</v>
      </c>
      <c r="E5392" t="s">
        <v>16766</v>
      </c>
      <c r="F5392" t="s">
        <v>1203</v>
      </c>
      <c r="G5392" t="s">
        <v>16423</v>
      </c>
      <c r="H5392" t="s">
        <v>1205</v>
      </c>
      <c r="I5392" t="s">
        <v>700</v>
      </c>
      <c r="J5392">
        <v>34</v>
      </c>
      <c r="K5392">
        <f t="shared" si="40"/>
        <v>-1561</v>
      </c>
      <c r="L5392" t="s">
        <v>16767</v>
      </c>
      <c r="M5392" t="s">
        <v>16768</v>
      </c>
      <c r="N5392" t="s">
        <v>213</v>
      </c>
      <c r="O5392" t="s">
        <v>28</v>
      </c>
      <c r="P5392" t="s">
        <v>29</v>
      </c>
      <c r="Q5392">
        <v>34</v>
      </c>
      <c r="R5392">
        <v>-99.999999000000003</v>
      </c>
    </row>
    <row r="5393" spans="1:18" x14ac:dyDescent="0.2">
      <c r="A5393" t="s">
        <v>1200</v>
      </c>
      <c r="B5393" t="s">
        <v>1201</v>
      </c>
      <c r="C5393">
        <v>34</v>
      </c>
      <c r="D5393" s="1">
        <v>44061.811064814814</v>
      </c>
      <c r="E5393" t="s">
        <v>16769</v>
      </c>
      <c r="F5393" t="s">
        <v>1203</v>
      </c>
      <c r="G5393" t="s">
        <v>16423</v>
      </c>
      <c r="H5393" t="s">
        <v>1205</v>
      </c>
      <c r="I5393" t="s">
        <v>700</v>
      </c>
      <c r="J5393">
        <v>34</v>
      </c>
      <c r="K5393">
        <f t="shared" si="40"/>
        <v>-1561</v>
      </c>
      <c r="L5393" t="s">
        <v>16770</v>
      </c>
      <c r="M5393" t="s">
        <v>16771</v>
      </c>
      <c r="N5393" t="s">
        <v>674</v>
      </c>
      <c r="O5393" t="s">
        <v>28</v>
      </c>
      <c r="P5393" t="s">
        <v>29</v>
      </c>
      <c r="Q5393">
        <v>34</v>
      </c>
      <c r="R5393">
        <v>-99.999999000000003</v>
      </c>
    </row>
    <row r="5394" spans="1:18" x14ac:dyDescent="0.2">
      <c r="A5394" t="s">
        <v>1200</v>
      </c>
      <c r="B5394" t="s">
        <v>1201</v>
      </c>
      <c r="C5394">
        <v>34</v>
      </c>
      <c r="D5394" s="1">
        <v>44061.810763888891</v>
      </c>
      <c r="E5394" t="s">
        <v>16772</v>
      </c>
      <c r="F5394" t="s">
        <v>1203</v>
      </c>
      <c r="G5394" t="s">
        <v>16423</v>
      </c>
      <c r="H5394" t="s">
        <v>1205</v>
      </c>
      <c r="I5394" t="s">
        <v>700</v>
      </c>
      <c r="J5394">
        <v>34</v>
      </c>
      <c r="K5394">
        <f t="shared" si="40"/>
        <v>-1561</v>
      </c>
      <c r="L5394" t="s">
        <v>16773</v>
      </c>
      <c r="M5394" t="s">
        <v>16774</v>
      </c>
      <c r="N5394" t="s">
        <v>674</v>
      </c>
      <c r="O5394" t="s">
        <v>28</v>
      </c>
      <c r="P5394" t="s">
        <v>29</v>
      </c>
      <c r="Q5394">
        <v>34</v>
      </c>
      <c r="R5394">
        <v>-99.999999000000003</v>
      </c>
    </row>
    <row r="5395" spans="1:18" x14ac:dyDescent="0.2">
      <c r="A5395" t="s">
        <v>1200</v>
      </c>
      <c r="B5395" t="s">
        <v>1201</v>
      </c>
      <c r="C5395">
        <v>34</v>
      </c>
      <c r="D5395" s="1">
        <v>44061.810532407406</v>
      </c>
      <c r="E5395" t="s">
        <v>16775</v>
      </c>
      <c r="F5395" t="s">
        <v>1203</v>
      </c>
      <c r="G5395" t="s">
        <v>16423</v>
      </c>
      <c r="H5395" t="s">
        <v>1205</v>
      </c>
      <c r="I5395" t="s">
        <v>700</v>
      </c>
      <c r="J5395">
        <v>34</v>
      </c>
      <c r="K5395">
        <f>34-900-649-672</f>
        <v>-2187</v>
      </c>
      <c r="L5395" t="s">
        <v>16776</v>
      </c>
      <c r="M5395" t="s">
        <v>16777</v>
      </c>
      <c r="N5395" t="s">
        <v>674</v>
      </c>
      <c r="O5395" t="s">
        <v>28</v>
      </c>
      <c r="P5395" t="s">
        <v>29</v>
      </c>
      <c r="Q5395">
        <v>34</v>
      </c>
      <c r="R5395">
        <v>-99.999999000000003</v>
      </c>
    </row>
    <row r="5396" spans="1:18" x14ac:dyDescent="0.2">
      <c r="A5396" t="s">
        <v>1200</v>
      </c>
      <c r="B5396" t="s">
        <v>1201</v>
      </c>
      <c r="C5396">
        <v>34</v>
      </c>
      <c r="D5396" s="1">
        <v>44061.810254629629</v>
      </c>
      <c r="E5396" t="s">
        <v>16459</v>
      </c>
      <c r="F5396" t="s">
        <v>1203</v>
      </c>
      <c r="G5396" t="s">
        <v>16423</v>
      </c>
      <c r="H5396" t="s">
        <v>1205</v>
      </c>
      <c r="I5396" t="s">
        <v>700</v>
      </c>
      <c r="J5396">
        <v>34</v>
      </c>
      <c r="K5396">
        <f>34-900-649-672</f>
        <v>-2187</v>
      </c>
      <c r="L5396" t="s">
        <v>16778</v>
      </c>
      <c r="M5396" t="s">
        <v>16779</v>
      </c>
      <c r="N5396" t="s">
        <v>674</v>
      </c>
      <c r="O5396" t="s">
        <v>134</v>
      </c>
      <c r="P5396" t="s">
        <v>29</v>
      </c>
      <c r="Q5396">
        <v>34</v>
      </c>
      <c r="R5396">
        <v>-99.999999000000003</v>
      </c>
    </row>
    <row r="5397" spans="1:18" x14ac:dyDescent="0.2">
      <c r="A5397" t="s">
        <v>1200</v>
      </c>
      <c r="B5397" t="s">
        <v>1201</v>
      </c>
      <c r="C5397">
        <v>34</v>
      </c>
      <c r="D5397" s="1">
        <v>44060.708495370367</v>
      </c>
      <c r="E5397" t="s">
        <v>16780</v>
      </c>
      <c r="F5397" t="s">
        <v>1203</v>
      </c>
      <c r="G5397" t="s">
        <v>16423</v>
      </c>
      <c r="H5397" t="s">
        <v>1205</v>
      </c>
      <c r="I5397" t="s">
        <v>700</v>
      </c>
      <c r="J5397">
        <v>34</v>
      </c>
      <c r="K5397">
        <f>34-900-649-672</f>
        <v>-2187</v>
      </c>
      <c r="L5397" t="s">
        <v>16781</v>
      </c>
      <c r="M5397" t="s">
        <v>16782</v>
      </c>
      <c r="N5397" t="s">
        <v>674</v>
      </c>
      <c r="O5397" t="s">
        <v>134</v>
      </c>
      <c r="P5397" t="s">
        <v>29</v>
      </c>
      <c r="Q5397">
        <v>34</v>
      </c>
      <c r="R5397">
        <v>-99.999999000000003</v>
      </c>
    </row>
    <row r="5398" spans="1:18" x14ac:dyDescent="0.2">
      <c r="A5398" t="s">
        <v>663</v>
      </c>
      <c r="B5398" t="s">
        <v>664</v>
      </c>
      <c r="C5398">
        <v>44</v>
      </c>
      <c r="D5398" s="1">
        <v>44061.590624999997</v>
      </c>
      <c r="E5398" t="s">
        <v>16783</v>
      </c>
      <c r="F5398" t="s">
        <v>666</v>
      </c>
      <c r="G5398" t="s">
        <v>16784</v>
      </c>
      <c r="H5398" t="s">
        <v>667</v>
      </c>
      <c r="I5398" t="s">
        <v>618</v>
      </c>
      <c r="J5398">
        <v>44</v>
      </c>
      <c r="K5398">
        <f>44-800-51-3726</f>
        <v>-4533</v>
      </c>
      <c r="L5398" t="s">
        <v>16785</v>
      </c>
      <c r="M5398" t="s">
        <v>16786</v>
      </c>
      <c r="N5398" t="s">
        <v>1645</v>
      </c>
      <c r="O5398" t="s">
        <v>28</v>
      </c>
      <c r="P5398" t="s">
        <v>29</v>
      </c>
      <c r="Q5398">
        <v>37</v>
      </c>
      <c r="R5398">
        <v>-99.999999000000003</v>
      </c>
    </row>
    <row r="5399" spans="1:18" x14ac:dyDescent="0.2">
      <c r="A5399" t="s">
        <v>663</v>
      </c>
      <c r="B5399" t="s">
        <v>2493</v>
      </c>
      <c r="C5399">
        <v>1</v>
      </c>
      <c r="D5399" s="1">
        <v>44060.832106481481</v>
      </c>
      <c r="E5399" t="s">
        <v>16787</v>
      </c>
      <c r="F5399" t="s">
        <v>666</v>
      </c>
      <c r="G5399" t="s">
        <v>16788</v>
      </c>
      <c r="H5399" t="s">
        <v>667</v>
      </c>
      <c r="I5399" t="s">
        <v>29</v>
      </c>
      <c r="J5399">
        <v>1</v>
      </c>
      <c r="K5399">
        <f>1-844-343-4323</f>
        <v>-5509</v>
      </c>
      <c r="L5399" t="s">
        <v>16789</v>
      </c>
      <c r="M5399" t="s">
        <v>16790</v>
      </c>
      <c r="N5399" t="s">
        <v>447</v>
      </c>
      <c r="O5399" t="s">
        <v>28</v>
      </c>
      <c r="P5399" t="s">
        <v>29</v>
      </c>
      <c r="Q5399">
        <v>41</v>
      </c>
      <c r="R5399">
        <v>-74.024699999999996</v>
      </c>
    </row>
    <row r="5400" spans="1:18" x14ac:dyDescent="0.2">
      <c r="A5400" t="s">
        <v>2233</v>
      </c>
      <c r="B5400" t="s">
        <v>1638</v>
      </c>
      <c r="C5400">
        <v>1</v>
      </c>
      <c r="D5400" s="1">
        <v>44060.832650462966</v>
      </c>
      <c r="E5400" t="s">
        <v>16791</v>
      </c>
      <c r="F5400" t="s">
        <v>6618</v>
      </c>
      <c r="G5400" t="s">
        <v>16792</v>
      </c>
      <c r="H5400" t="s">
        <v>2237</v>
      </c>
      <c r="I5400" t="s">
        <v>29</v>
      </c>
      <c r="J5400">
        <v>1</v>
      </c>
      <c r="K5400">
        <f>1-877-503-7947</f>
        <v>-9326</v>
      </c>
      <c r="L5400" t="s">
        <v>16793</v>
      </c>
      <c r="M5400" t="s">
        <v>16794</v>
      </c>
      <c r="N5400" t="s">
        <v>278</v>
      </c>
      <c r="O5400" t="s">
        <v>28</v>
      </c>
      <c r="P5400" t="s">
        <v>292</v>
      </c>
      <c r="Q5400">
        <v>49</v>
      </c>
      <c r="R5400">
        <v>2.35222</v>
      </c>
    </row>
    <row r="5401" spans="1:18" x14ac:dyDescent="0.2">
      <c r="A5401" t="s">
        <v>663</v>
      </c>
      <c r="B5401" t="s">
        <v>664</v>
      </c>
      <c r="C5401">
        <v>1</v>
      </c>
      <c r="D5401" s="1">
        <v>44060.833287037036</v>
      </c>
      <c r="E5401" t="s">
        <v>16795</v>
      </c>
      <c r="F5401" t="s">
        <v>666</v>
      </c>
      <c r="G5401" t="s">
        <v>16796</v>
      </c>
      <c r="H5401" t="s">
        <v>667</v>
      </c>
      <c r="I5401" t="s">
        <v>29</v>
      </c>
      <c r="J5401">
        <v>1</v>
      </c>
      <c r="K5401">
        <f>1-855-948-4574</f>
        <v>-6376</v>
      </c>
      <c r="L5401" t="s">
        <v>16797</v>
      </c>
      <c r="M5401" t="s">
        <v>16798</v>
      </c>
      <c r="N5401" t="s">
        <v>1645</v>
      </c>
      <c r="O5401" t="s">
        <v>28</v>
      </c>
      <c r="P5401" t="s">
        <v>29</v>
      </c>
      <c r="Q5401">
        <v>37</v>
      </c>
      <c r="R5401">
        <v>-99.999999000000003</v>
      </c>
    </row>
    <row r="5402" spans="1:18" x14ac:dyDescent="0.2">
      <c r="A5402" t="s">
        <v>663</v>
      </c>
      <c r="B5402" t="s">
        <v>5337</v>
      </c>
      <c r="C5402">
        <v>1</v>
      </c>
      <c r="D5402" s="1">
        <v>44060.871249999997</v>
      </c>
      <c r="E5402" t="s">
        <v>16799</v>
      </c>
      <c r="F5402" t="s">
        <v>666</v>
      </c>
      <c r="G5402" t="s">
        <v>16800</v>
      </c>
      <c r="H5402" t="s">
        <v>667</v>
      </c>
      <c r="I5402" t="s">
        <v>29</v>
      </c>
      <c r="J5402">
        <v>1</v>
      </c>
      <c r="K5402">
        <f>1-855-948-4575</f>
        <v>-6377</v>
      </c>
      <c r="L5402" t="s">
        <v>16801</v>
      </c>
      <c r="M5402" t="s">
        <v>16802</v>
      </c>
      <c r="N5402" t="s">
        <v>1645</v>
      </c>
      <c r="O5402" t="s">
        <v>28</v>
      </c>
      <c r="P5402" t="s">
        <v>29</v>
      </c>
      <c r="Q5402">
        <v>38</v>
      </c>
      <c r="R5402">
        <v>-99.999999000000003</v>
      </c>
    </row>
    <row r="5403" spans="1:18" x14ac:dyDescent="0.2">
      <c r="A5403" t="s">
        <v>439</v>
      </c>
      <c r="B5403" t="s">
        <v>3094</v>
      </c>
      <c r="C5403">
        <v>1</v>
      </c>
      <c r="D5403" s="1">
        <v>44061.122384259259</v>
      </c>
      <c r="E5403" t="s">
        <v>16803</v>
      </c>
      <c r="F5403" t="s">
        <v>442</v>
      </c>
      <c r="G5403" t="s">
        <v>16804</v>
      </c>
      <c r="H5403" t="s">
        <v>444</v>
      </c>
      <c r="I5403" t="s">
        <v>29</v>
      </c>
      <c r="J5403">
        <v>1</v>
      </c>
      <c r="K5403">
        <f>1-888-304-1215</f>
        <v>-2406</v>
      </c>
      <c r="L5403" t="s">
        <v>16805</v>
      </c>
      <c r="M5403" t="s">
        <v>16806</v>
      </c>
      <c r="N5403" t="s">
        <v>213</v>
      </c>
      <c r="O5403" t="s">
        <v>28</v>
      </c>
      <c r="P5403" t="s">
        <v>2268</v>
      </c>
      <c r="Q5403">
        <v>46</v>
      </c>
      <c r="R5403">
        <v>-73.567300000000003</v>
      </c>
    </row>
    <row r="5404" spans="1:18" x14ac:dyDescent="0.2">
      <c r="A5404" t="s">
        <v>675</v>
      </c>
      <c r="B5404" t="s">
        <v>676</v>
      </c>
      <c r="C5404">
        <v>61</v>
      </c>
      <c r="D5404" s="1">
        <v>44111.290717592594</v>
      </c>
      <c r="E5404" t="s">
        <v>16807</v>
      </c>
      <c r="F5404" t="s">
        <v>678</v>
      </c>
      <c r="G5404" t="s">
        <v>16808</v>
      </c>
      <c r="H5404" t="s">
        <v>680</v>
      </c>
      <c r="I5404" t="s">
        <v>782</v>
      </c>
      <c r="J5404">
        <v>61</v>
      </c>
      <c r="K5404">
        <f>61-1800-875-294</f>
        <v>-2908</v>
      </c>
      <c r="L5404" t="s">
        <v>16809</v>
      </c>
      <c r="M5404" t="s">
        <v>16810</v>
      </c>
      <c r="N5404" t="s">
        <v>674</v>
      </c>
      <c r="O5404" t="s">
        <v>28</v>
      </c>
      <c r="P5404" t="s">
        <v>29</v>
      </c>
      <c r="Q5404">
        <v>33</v>
      </c>
      <c r="R5404">
        <v>-99.999999000000003</v>
      </c>
    </row>
    <row r="5405" spans="1:18" x14ac:dyDescent="0.2">
      <c r="A5405" t="s">
        <v>675</v>
      </c>
      <c r="B5405" t="s">
        <v>676</v>
      </c>
      <c r="C5405">
        <v>1</v>
      </c>
      <c r="D5405" s="1">
        <v>44071.117210648146</v>
      </c>
      <c r="E5405" t="s">
        <v>16811</v>
      </c>
      <c r="F5405" t="s">
        <v>678</v>
      </c>
      <c r="G5405" t="s">
        <v>16808</v>
      </c>
      <c r="H5405" t="s">
        <v>680</v>
      </c>
      <c r="I5405" t="s">
        <v>29</v>
      </c>
      <c r="J5405">
        <v>1</v>
      </c>
      <c r="K5405">
        <f>1-855-948-3570</f>
        <v>-5372</v>
      </c>
      <c r="L5405" t="s">
        <v>16812</v>
      </c>
      <c r="M5405" t="s">
        <v>16813</v>
      </c>
      <c r="N5405" t="s">
        <v>683</v>
      </c>
      <c r="O5405" t="s">
        <v>28</v>
      </c>
      <c r="P5405" t="s">
        <v>29</v>
      </c>
      <c r="Q5405">
        <v>33</v>
      </c>
      <c r="R5405">
        <v>-99.999999000000003</v>
      </c>
    </row>
    <row r="5406" spans="1:18" x14ac:dyDescent="0.2">
      <c r="A5406" t="s">
        <v>675</v>
      </c>
      <c r="B5406" t="s">
        <v>676</v>
      </c>
      <c r="C5406">
        <v>1</v>
      </c>
      <c r="D5406" s="1">
        <v>44067.79420138889</v>
      </c>
      <c r="E5406" t="s">
        <v>16814</v>
      </c>
      <c r="F5406" t="s">
        <v>678</v>
      </c>
      <c r="G5406" t="s">
        <v>16808</v>
      </c>
      <c r="H5406" t="s">
        <v>680</v>
      </c>
      <c r="I5406" t="s">
        <v>29</v>
      </c>
      <c r="J5406">
        <v>1</v>
      </c>
      <c r="K5406">
        <f>1-855-948-3570</f>
        <v>-5372</v>
      </c>
      <c r="L5406" t="s">
        <v>16815</v>
      </c>
      <c r="M5406" t="s">
        <v>16816</v>
      </c>
      <c r="N5406" t="s">
        <v>683</v>
      </c>
      <c r="O5406" t="s">
        <v>28</v>
      </c>
      <c r="P5406" t="s">
        <v>29</v>
      </c>
      <c r="Q5406">
        <v>33</v>
      </c>
      <c r="R5406">
        <v>-99.999999000000003</v>
      </c>
    </row>
    <row r="5407" spans="1:18" x14ac:dyDescent="0.2">
      <c r="A5407" t="s">
        <v>675</v>
      </c>
      <c r="B5407" t="s">
        <v>676</v>
      </c>
      <c r="C5407">
        <v>1</v>
      </c>
      <c r="D5407" s="1">
        <v>44067.690162037034</v>
      </c>
      <c r="E5407" t="s">
        <v>16817</v>
      </c>
      <c r="F5407" t="s">
        <v>678</v>
      </c>
      <c r="G5407" t="s">
        <v>16808</v>
      </c>
      <c r="H5407" t="s">
        <v>680</v>
      </c>
      <c r="I5407" t="s">
        <v>29</v>
      </c>
      <c r="J5407">
        <v>1</v>
      </c>
      <c r="K5407">
        <f>1-855-956-270</f>
        <v>-2080</v>
      </c>
      <c r="L5407" t="s">
        <v>16818</v>
      </c>
      <c r="M5407" t="s">
        <v>16819</v>
      </c>
      <c r="N5407" t="s">
        <v>683</v>
      </c>
      <c r="O5407" t="s">
        <v>28</v>
      </c>
      <c r="P5407" t="s">
        <v>29</v>
      </c>
      <c r="Q5407">
        <v>33</v>
      </c>
      <c r="R5407">
        <v>-99.999999000000003</v>
      </c>
    </row>
    <row r="5408" spans="1:18" x14ac:dyDescent="0.2">
      <c r="A5408" t="s">
        <v>675</v>
      </c>
      <c r="B5408" t="s">
        <v>676</v>
      </c>
      <c r="C5408">
        <v>1</v>
      </c>
      <c r="D5408" s="1">
        <v>44066.5546412037</v>
      </c>
      <c r="E5408" t="s">
        <v>16820</v>
      </c>
      <c r="F5408" t="s">
        <v>678</v>
      </c>
      <c r="G5408" t="s">
        <v>16808</v>
      </c>
      <c r="H5408" t="s">
        <v>680</v>
      </c>
      <c r="I5408" t="s">
        <v>29</v>
      </c>
      <c r="J5408">
        <v>1</v>
      </c>
      <c r="K5408">
        <f>1-855-956-270</f>
        <v>-2080</v>
      </c>
      <c r="L5408" t="s">
        <v>16821</v>
      </c>
      <c r="M5408" t="s">
        <v>16822</v>
      </c>
      <c r="N5408" t="s">
        <v>683</v>
      </c>
      <c r="O5408" t="s">
        <v>28</v>
      </c>
      <c r="P5408" t="s">
        <v>29</v>
      </c>
      <c r="Q5408">
        <v>33</v>
      </c>
      <c r="R5408">
        <v>-99.999999000000003</v>
      </c>
    </row>
    <row r="5409" spans="1:18" x14ac:dyDescent="0.2">
      <c r="A5409" t="s">
        <v>675</v>
      </c>
      <c r="B5409" t="s">
        <v>676</v>
      </c>
      <c r="C5409">
        <v>1</v>
      </c>
      <c r="D5409" s="1">
        <v>44066.001527777778</v>
      </c>
      <c r="E5409" t="s">
        <v>16823</v>
      </c>
      <c r="F5409" t="s">
        <v>678</v>
      </c>
      <c r="G5409" t="s">
        <v>16808</v>
      </c>
      <c r="H5409" t="s">
        <v>680</v>
      </c>
      <c r="I5409" t="s">
        <v>29</v>
      </c>
      <c r="J5409">
        <v>1</v>
      </c>
      <c r="K5409">
        <f>1-855-956-270</f>
        <v>-2080</v>
      </c>
      <c r="L5409" t="s">
        <v>16824</v>
      </c>
      <c r="M5409" t="s">
        <v>16825</v>
      </c>
      <c r="N5409" t="s">
        <v>683</v>
      </c>
      <c r="O5409" t="s">
        <v>28</v>
      </c>
      <c r="P5409" t="s">
        <v>29</v>
      </c>
      <c r="Q5409">
        <v>33</v>
      </c>
      <c r="R5409">
        <v>-99.999999000000003</v>
      </c>
    </row>
    <row r="5410" spans="1:18" x14ac:dyDescent="0.2">
      <c r="A5410" t="s">
        <v>675</v>
      </c>
      <c r="B5410" t="s">
        <v>676</v>
      </c>
      <c r="C5410">
        <v>1</v>
      </c>
      <c r="D5410" s="1">
        <v>44066.001331018517</v>
      </c>
      <c r="E5410" t="s">
        <v>16826</v>
      </c>
      <c r="F5410" t="s">
        <v>678</v>
      </c>
      <c r="G5410" t="s">
        <v>16808</v>
      </c>
      <c r="H5410" t="s">
        <v>680</v>
      </c>
      <c r="I5410" t="s">
        <v>29</v>
      </c>
      <c r="J5410">
        <v>1</v>
      </c>
      <c r="K5410">
        <f>1-855-956-270</f>
        <v>-2080</v>
      </c>
      <c r="L5410" t="s">
        <v>16827</v>
      </c>
      <c r="M5410" t="s">
        <v>16828</v>
      </c>
      <c r="N5410" t="s">
        <v>683</v>
      </c>
      <c r="O5410" t="s">
        <v>28</v>
      </c>
      <c r="P5410" t="s">
        <v>29</v>
      </c>
      <c r="Q5410">
        <v>33</v>
      </c>
      <c r="R5410">
        <v>-99.999999000000003</v>
      </c>
    </row>
    <row r="5411" spans="1:18" x14ac:dyDescent="0.2">
      <c r="A5411" t="s">
        <v>675</v>
      </c>
      <c r="B5411" t="s">
        <v>676</v>
      </c>
      <c r="C5411">
        <v>1</v>
      </c>
      <c r="D5411" s="1">
        <v>44065.787592592591</v>
      </c>
      <c r="E5411" t="s">
        <v>16829</v>
      </c>
      <c r="F5411" t="s">
        <v>678</v>
      </c>
      <c r="G5411" t="s">
        <v>16808</v>
      </c>
      <c r="H5411" t="s">
        <v>680</v>
      </c>
      <c r="I5411" t="s">
        <v>29</v>
      </c>
      <c r="J5411">
        <v>1</v>
      </c>
      <c r="K5411">
        <f>1-855-956-269</f>
        <v>-2079</v>
      </c>
      <c r="L5411" t="s">
        <v>16830</v>
      </c>
      <c r="M5411" t="s">
        <v>16831</v>
      </c>
      <c r="N5411" t="s">
        <v>683</v>
      </c>
      <c r="O5411" t="s">
        <v>28</v>
      </c>
      <c r="P5411" t="s">
        <v>29</v>
      </c>
      <c r="Q5411">
        <v>33</v>
      </c>
      <c r="R5411">
        <v>-99.999999000000003</v>
      </c>
    </row>
    <row r="5412" spans="1:18" x14ac:dyDescent="0.2">
      <c r="A5412" t="s">
        <v>675</v>
      </c>
      <c r="B5412" t="s">
        <v>676</v>
      </c>
      <c r="C5412">
        <v>1</v>
      </c>
      <c r="D5412" s="1">
        <v>44065.732847222222</v>
      </c>
      <c r="E5412" t="s">
        <v>16832</v>
      </c>
      <c r="F5412" t="s">
        <v>678</v>
      </c>
      <c r="G5412" t="s">
        <v>16808</v>
      </c>
      <c r="H5412" t="s">
        <v>680</v>
      </c>
      <c r="I5412" t="s">
        <v>29</v>
      </c>
      <c r="J5412">
        <v>1</v>
      </c>
      <c r="K5412">
        <f>1-855-956-268</f>
        <v>-2078</v>
      </c>
      <c r="L5412" t="s">
        <v>16833</v>
      </c>
      <c r="M5412" t="s">
        <v>16834</v>
      </c>
      <c r="N5412" t="s">
        <v>683</v>
      </c>
      <c r="O5412" t="s">
        <v>28</v>
      </c>
      <c r="P5412" t="s">
        <v>29</v>
      </c>
      <c r="Q5412">
        <v>33</v>
      </c>
      <c r="R5412">
        <v>-99.999999000000003</v>
      </c>
    </row>
    <row r="5413" spans="1:18" x14ac:dyDescent="0.2">
      <c r="A5413" t="s">
        <v>675</v>
      </c>
      <c r="B5413" t="s">
        <v>676</v>
      </c>
      <c r="C5413">
        <v>1</v>
      </c>
      <c r="D5413" s="1">
        <v>44065.125277777777</v>
      </c>
      <c r="E5413" t="s">
        <v>16835</v>
      </c>
      <c r="F5413" t="s">
        <v>678</v>
      </c>
      <c r="G5413" t="s">
        <v>16808</v>
      </c>
      <c r="H5413" t="s">
        <v>680</v>
      </c>
      <c r="I5413" t="s">
        <v>29</v>
      </c>
      <c r="J5413">
        <v>1</v>
      </c>
      <c r="K5413">
        <f>1-855-954-828</f>
        <v>-2636</v>
      </c>
      <c r="L5413" t="s">
        <v>16836</v>
      </c>
      <c r="M5413" t="s">
        <v>16837</v>
      </c>
      <c r="N5413" t="s">
        <v>683</v>
      </c>
      <c r="O5413" t="s">
        <v>28</v>
      </c>
      <c r="P5413" t="s">
        <v>29</v>
      </c>
      <c r="Q5413">
        <v>33</v>
      </c>
      <c r="R5413">
        <v>-99.999999000000003</v>
      </c>
    </row>
    <row r="5414" spans="1:18" x14ac:dyDescent="0.2">
      <c r="A5414" t="s">
        <v>675</v>
      </c>
      <c r="B5414" t="s">
        <v>676</v>
      </c>
      <c r="C5414">
        <v>1</v>
      </c>
      <c r="D5414" s="1">
        <v>44065.124826388892</v>
      </c>
      <c r="E5414" t="s">
        <v>16838</v>
      </c>
      <c r="F5414" t="s">
        <v>678</v>
      </c>
      <c r="G5414" t="s">
        <v>16808</v>
      </c>
      <c r="H5414" t="s">
        <v>680</v>
      </c>
      <c r="I5414" t="s">
        <v>29</v>
      </c>
      <c r="J5414">
        <v>1</v>
      </c>
      <c r="K5414">
        <f>1-855-954-829</f>
        <v>-2637</v>
      </c>
      <c r="L5414" t="s">
        <v>16839</v>
      </c>
      <c r="M5414" t="s">
        <v>16840</v>
      </c>
      <c r="N5414" t="s">
        <v>683</v>
      </c>
      <c r="O5414" t="s">
        <v>28</v>
      </c>
      <c r="P5414" t="s">
        <v>29</v>
      </c>
      <c r="Q5414">
        <v>33</v>
      </c>
      <c r="R5414">
        <v>-99.999999000000003</v>
      </c>
    </row>
    <row r="5415" spans="1:18" x14ac:dyDescent="0.2">
      <c r="A5415" t="s">
        <v>675</v>
      </c>
      <c r="B5415" t="s">
        <v>676</v>
      </c>
      <c r="C5415">
        <v>1</v>
      </c>
      <c r="D5415" s="1">
        <v>44065.085370370369</v>
      </c>
      <c r="E5415" t="s">
        <v>16841</v>
      </c>
      <c r="F5415" t="s">
        <v>678</v>
      </c>
      <c r="G5415" t="s">
        <v>16808</v>
      </c>
      <c r="H5415" t="s">
        <v>680</v>
      </c>
      <c r="I5415" t="s">
        <v>29</v>
      </c>
      <c r="J5415">
        <v>1</v>
      </c>
      <c r="K5415">
        <f>1-855-954-829</f>
        <v>-2637</v>
      </c>
      <c r="L5415" t="s">
        <v>16842</v>
      </c>
      <c r="M5415" t="s">
        <v>16843</v>
      </c>
      <c r="N5415" t="s">
        <v>683</v>
      </c>
      <c r="O5415" t="s">
        <v>28</v>
      </c>
      <c r="P5415" t="s">
        <v>29</v>
      </c>
      <c r="Q5415">
        <v>33</v>
      </c>
      <c r="R5415">
        <v>-99.999999000000003</v>
      </c>
    </row>
    <row r="5416" spans="1:18" x14ac:dyDescent="0.2">
      <c r="A5416" t="s">
        <v>675</v>
      </c>
      <c r="B5416" t="s">
        <v>676</v>
      </c>
      <c r="C5416">
        <v>1</v>
      </c>
      <c r="D5416" s="1">
        <v>44062.698078703703</v>
      </c>
      <c r="E5416" t="s">
        <v>16844</v>
      </c>
      <c r="F5416" t="s">
        <v>678</v>
      </c>
      <c r="G5416" t="s">
        <v>16808</v>
      </c>
      <c r="H5416" t="s">
        <v>680</v>
      </c>
      <c r="I5416" t="s">
        <v>29</v>
      </c>
      <c r="J5416">
        <v>1</v>
      </c>
      <c r="K5416">
        <f>1-855-658-8516</f>
        <v>-10028</v>
      </c>
      <c r="L5416" t="s">
        <v>16845</v>
      </c>
      <c r="M5416" t="s">
        <v>16846</v>
      </c>
      <c r="N5416" t="s">
        <v>683</v>
      </c>
      <c r="O5416" t="s">
        <v>28</v>
      </c>
      <c r="P5416" t="s">
        <v>29</v>
      </c>
      <c r="Q5416">
        <v>33</v>
      </c>
      <c r="R5416">
        <v>-99.999999000000003</v>
      </c>
    </row>
    <row r="5417" spans="1:18" x14ac:dyDescent="0.2">
      <c r="A5417" t="s">
        <v>675</v>
      </c>
      <c r="B5417" t="s">
        <v>676</v>
      </c>
      <c r="C5417">
        <v>1</v>
      </c>
      <c r="D5417" s="1">
        <v>44062.040902777779</v>
      </c>
      <c r="E5417" t="s">
        <v>16847</v>
      </c>
      <c r="F5417" t="s">
        <v>678</v>
      </c>
      <c r="G5417" t="s">
        <v>16808</v>
      </c>
      <c r="H5417" t="s">
        <v>680</v>
      </c>
      <c r="I5417" t="s">
        <v>29</v>
      </c>
      <c r="J5417">
        <v>1</v>
      </c>
      <c r="K5417">
        <f>1-855-658-8516</f>
        <v>-10028</v>
      </c>
      <c r="L5417" t="s">
        <v>16848</v>
      </c>
      <c r="M5417" t="s">
        <v>16849</v>
      </c>
      <c r="N5417" t="s">
        <v>683</v>
      </c>
      <c r="O5417" t="s">
        <v>28</v>
      </c>
      <c r="P5417" t="s">
        <v>29</v>
      </c>
      <c r="Q5417">
        <v>33</v>
      </c>
      <c r="R5417">
        <v>-99.999999000000003</v>
      </c>
    </row>
    <row r="5418" spans="1:18" x14ac:dyDescent="0.2">
      <c r="A5418" t="s">
        <v>675</v>
      </c>
      <c r="B5418" t="s">
        <v>676</v>
      </c>
      <c r="C5418">
        <v>1</v>
      </c>
      <c r="D5418" s="1">
        <v>44061.757986111108</v>
      </c>
      <c r="E5418" t="s">
        <v>16850</v>
      </c>
      <c r="F5418" t="s">
        <v>678</v>
      </c>
      <c r="G5418" t="s">
        <v>16808</v>
      </c>
      <c r="H5418" t="s">
        <v>680</v>
      </c>
      <c r="I5418" t="s">
        <v>29</v>
      </c>
      <c r="J5418">
        <v>1</v>
      </c>
      <c r="K5418">
        <f>1-855-658-8516</f>
        <v>-10028</v>
      </c>
      <c r="L5418" t="s">
        <v>16851</v>
      </c>
      <c r="M5418" t="s">
        <v>16852</v>
      </c>
      <c r="N5418" t="s">
        <v>683</v>
      </c>
      <c r="O5418" t="s">
        <v>28</v>
      </c>
      <c r="P5418" t="s">
        <v>29</v>
      </c>
      <c r="Q5418">
        <v>33</v>
      </c>
      <c r="R5418">
        <v>-99.999999000000003</v>
      </c>
    </row>
    <row r="5419" spans="1:18" x14ac:dyDescent="0.2">
      <c r="A5419" t="s">
        <v>675</v>
      </c>
      <c r="B5419" t="s">
        <v>676</v>
      </c>
      <c r="C5419">
        <v>1</v>
      </c>
      <c r="D5419" s="1">
        <v>44061.757384259261</v>
      </c>
      <c r="E5419" t="s">
        <v>16853</v>
      </c>
      <c r="F5419" t="s">
        <v>678</v>
      </c>
      <c r="G5419" t="s">
        <v>16808</v>
      </c>
      <c r="H5419" t="s">
        <v>680</v>
      </c>
      <c r="I5419" t="s">
        <v>29</v>
      </c>
      <c r="J5419">
        <v>1</v>
      </c>
      <c r="K5419">
        <f>1-855-560-2111</f>
        <v>-3525</v>
      </c>
      <c r="L5419" t="s">
        <v>16854</v>
      </c>
      <c r="M5419" t="s">
        <v>16855</v>
      </c>
      <c r="N5419" t="s">
        <v>683</v>
      </c>
      <c r="O5419" t="s">
        <v>28</v>
      </c>
      <c r="P5419" t="s">
        <v>29</v>
      </c>
      <c r="Q5419">
        <v>33</v>
      </c>
      <c r="R5419">
        <v>-99.999999000000003</v>
      </c>
    </row>
    <row r="5420" spans="1:18" x14ac:dyDescent="0.2">
      <c r="A5420" t="s">
        <v>675</v>
      </c>
      <c r="B5420" t="s">
        <v>676</v>
      </c>
      <c r="C5420">
        <v>1</v>
      </c>
      <c r="D5420" s="1">
        <v>44061.667638888888</v>
      </c>
      <c r="E5420" t="s">
        <v>16856</v>
      </c>
      <c r="F5420" t="s">
        <v>678</v>
      </c>
      <c r="G5420" t="s">
        <v>16808</v>
      </c>
      <c r="H5420" t="s">
        <v>680</v>
      </c>
      <c r="I5420" t="s">
        <v>29</v>
      </c>
      <c r="J5420">
        <v>1</v>
      </c>
      <c r="K5420">
        <f>1-855-560-2111</f>
        <v>-3525</v>
      </c>
      <c r="L5420" t="s">
        <v>16857</v>
      </c>
      <c r="M5420" t="s">
        <v>16858</v>
      </c>
      <c r="N5420" t="s">
        <v>683</v>
      </c>
      <c r="O5420" t="s">
        <v>28</v>
      </c>
      <c r="P5420" t="s">
        <v>29</v>
      </c>
      <c r="Q5420">
        <v>33</v>
      </c>
      <c r="R5420">
        <v>-99.999999000000003</v>
      </c>
    </row>
    <row r="5421" spans="1:18" x14ac:dyDescent="0.2">
      <c r="A5421" t="s">
        <v>2349</v>
      </c>
      <c r="B5421" t="s">
        <v>1638</v>
      </c>
      <c r="C5421">
        <v>49</v>
      </c>
      <c r="D5421" s="1">
        <v>44062.582141203704</v>
      </c>
      <c r="E5421" t="s">
        <v>16859</v>
      </c>
      <c r="F5421" t="s">
        <v>2352</v>
      </c>
      <c r="G5421" t="s">
        <v>16859</v>
      </c>
      <c r="H5421" t="s">
        <v>2353</v>
      </c>
      <c r="I5421" t="s">
        <v>24</v>
      </c>
      <c r="J5421">
        <v>49</v>
      </c>
      <c r="K5421">
        <f>49-24197798856</f>
        <v>-24197798807</v>
      </c>
      <c r="L5421" t="s">
        <v>16860</v>
      </c>
      <c r="M5421" t="s">
        <v>16861</v>
      </c>
      <c r="N5421">
        <v>215</v>
      </c>
      <c r="O5421" t="s">
        <v>134</v>
      </c>
      <c r="P5421" t="s">
        <v>292</v>
      </c>
      <c r="Q5421">
        <v>49</v>
      </c>
      <c r="R5421">
        <v>2.3281000000000001</v>
      </c>
    </row>
    <row r="5422" spans="1:18" x14ac:dyDescent="0.2">
      <c r="A5422" t="s">
        <v>2349</v>
      </c>
      <c r="B5422" t="s">
        <v>1638</v>
      </c>
      <c r="C5422">
        <v>49</v>
      </c>
      <c r="D5422" s="1">
        <v>44062.496145833335</v>
      </c>
      <c r="E5422" t="s">
        <v>16859</v>
      </c>
      <c r="F5422" t="s">
        <v>2352</v>
      </c>
      <c r="G5422" t="s">
        <v>16859</v>
      </c>
      <c r="H5422" t="s">
        <v>2353</v>
      </c>
      <c r="I5422" t="s">
        <v>24</v>
      </c>
      <c r="J5422">
        <v>49</v>
      </c>
      <c r="K5422">
        <f>49-800-82-6106</f>
        <v>-6939</v>
      </c>
      <c r="L5422" t="s">
        <v>16862</v>
      </c>
      <c r="M5422" t="s">
        <v>16863</v>
      </c>
      <c r="N5422">
        <v>215</v>
      </c>
      <c r="O5422" t="s">
        <v>134</v>
      </c>
      <c r="P5422" t="s">
        <v>292</v>
      </c>
      <c r="Q5422">
        <v>49</v>
      </c>
      <c r="R5422">
        <v>2.3281000000000001</v>
      </c>
    </row>
    <row r="5423" spans="1:18" x14ac:dyDescent="0.2">
      <c r="A5423" t="s">
        <v>1650</v>
      </c>
      <c r="B5423" t="s">
        <v>1651</v>
      </c>
      <c r="C5423">
        <v>1</v>
      </c>
      <c r="D5423" s="1">
        <v>44103.878784722219</v>
      </c>
      <c r="E5423" t="s">
        <v>16864</v>
      </c>
      <c r="F5423" t="s">
        <v>1653</v>
      </c>
      <c r="G5423" t="s">
        <v>16865</v>
      </c>
      <c r="H5423" t="s">
        <v>1655</v>
      </c>
      <c r="I5423" t="s">
        <v>29</v>
      </c>
      <c r="J5423">
        <v>1</v>
      </c>
      <c r="K5423">
        <f>1-800-639-1095</f>
        <v>-2533</v>
      </c>
      <c r="L5423" t="s">
        <v>16866</v>
      </c>
      <c r="M5423" t="s">
        <v>16867</v>
      </c>
      <c r="N5423" t="s">
        <v>452</v>
      </c>
      <c r="O5423" t="s">
        <v>28</v>
      </c>
      <c r="P5423" t="s">
        <v>29</v>
      </c>
      <c r="Q5423">
        <v>47</v>
      </c>
      <c r="R5423">
        <v>-99.999999000000003</v>
      </c>
    </row>
    <row r="5424" spans="1:18" x14ac:dyDescent="0.2">
      <c r="A5424" t="s">
        <v>1650</v>
      </c>
      <c r="B5424" t="s">
        <v>1651</v>
      </c>
      <c r="C5424">
        <v>1</v>
      </c>
      <c r="D5424" s="1">
        <v>44067.849548611113</v>
      </c>
      <c r="E5424" t="s">
        <v>16868</v>
      </c>
      <c r="F5424" t="s">
        <v>1653</v>
      </c>
      <c r="G5424" t="s">
        <v>16865</v>
      </c>
      <c r="H5424" t="s">
        <v>1655</v>
      </c>
      <c r="I5424" t="s">
        <v>29</v>
      </c>
      <c r="J5424">
        <v>1</v>
      </c>
      <c r="K5424">
        <f>1-800-850-1459</f>
        <v>-3108</v>
      </c>
      <c r="L5424" t="s">
        <v>16869</v>
      </c>
      <c r="M5424" t="s">
        <v>16870</v>
      </c>
      <c r="N5424" t="s">
        <v>452</v>
      </c>
      <c r="O5424" t="s">
        <v>28</v>
      </c>
      <c r="P5424" t="s">
        <v>29</v>
      </c>
      <c r="Q5424">
        <v>47</v>
      </c>
      <c r="R5424">
        <v>-99.999999000000003</v>
      </c>
    </row>
    <row r="5425" spans="1:18" x14ac:dyDescent="0.2">
      <c r="A5425" t="s">
        <v>1650</v>
      </c>
      <c r="B5425" t="s">
        <v>1651</v>
      </c>
      <c r="C5425">
        <v>1</v>
      </c>
      <c r="D5425" s="1">
        <v>44065.912372685183</v>
      </c>
      <c r="E5425" t="s">
        <v>16871</v>
      </c>
      <c r="F5425" t="s">
        <v>1653</v>
      </c>
      <c r="G5425" t="s">
        <v>16865</v>
      </c>
      <c r="H5425" t="s">
        <v>1655</v>
      </c>
      <c r="I5425" t="s">
        <v>29</v>
      </c>
      <c r="J5425">
        <v>1</v>
      </c>
      <c r="K5425">
        <f>1-800-410-7882</f>
        <v>-9091</v>
      </c>
      <c r="L5425" t="s">
        <v>16872</v>
      </c>
      <c r="M5425" t="s">
        <v>16873</v>
      </c>
      <c r="N5425" t="s">
        <v>36</v>
      </c>
      <c r="O5425" t="s">
        <v>28</v>
      </c>
      <c r="P5425" t="s">
        <v>29</v>
      </c>
      <c r="Q5425">
        <v>47</v>
      </c>
      <c r="R5425">
        <v>-99.999999000000003</v>
      </c>
    </row>
    <row r="5426" spans="1:18" x14ac:dyDescent="0.2">
      <c r="A5426" t="s">
        <v>1650</v>
      </c>
      <c r="B5426" t="s">
        <v>1651</v>
      </c>
      <c r="C5426">
        <v>1</v>
      </c>
      <c r="D5426" s="1">
        <v>44065.550347222219</v>
      </c>
      <c r="E5426" t="s">
        <v>16874</v>
      </c>
      <c r="F5426" t="s">
        <v>1653</v>
      </c>
      <c r="G5426" t="s">
        <v>16865</v>
      </c>
      <c r="H5426" t="s">
        <v>1655</v>
      </c>
      <c r="I5426" t="s">
        <v>29</v>
      </c>
      <c r="J5426">
        <v>1</v>
      </c>
      <c r="K5426">
        <f>1-800-501-4734</f>
        <v>-6034</v>
      </c>
      <c r="L5426" t="s">
        <v>16875</v>
      </c>
      <c r="M5426" t="s">
        <v>16876</v>
      </c>
      <c r="N5426" t="s">
        <v>36</v>
      </c>
      <c r="O5426" t="s">
        <v>28</v>
      </c>
      <c r="P5426" t="s">
        <v>29</v>
      </c>
      <c r="Q5426">
        <v>47</v>
      </c>
      <c r="R5426">
        <v>-99.999999000000003</v>
      </c>
    </row>
    <row r="5427" spans="1:18" x14ac:dyDescent="0.2">
      <c r="A5427" t="s">
        <v>1650</v>
      </c>
      <c r="B5427" t="s">
        <v>1651</v>
      </c>
      <c r="C5427">
        <v>1</v>
      </c>
      <c r="D5427" s="1">
        <v>44065.028194444443</v>
      </c>
      <c r="E5427" t="s">
        <v>16877</v>
      </c>
      <c r="F5427" t="s">
        <v>1653</v>
      </c>
      <c r="G5427" t="s">
        <v>16865</v>
      </c>
      <c r="H5427" t="s">
        <v>1655</v>
      </c>
      <c r="I5427" t="s">
        <v>29</v>
      </c>
      <c r="J5427">
        <v>1</v>
      </c>
      <c r="K5427">
        <f>1-800-485-3204</f>
        <v>-4488</v>
      </c>
      <c r="L5427" t="s">
        <v>16878</v>
      </c>
      <c r="M5427" t="s">
        <v>16879</v>
      </c>
      <c r="N5427" t="s">
        <v>452</v>
      </c>
      <c r="O5427" t="s">
        <v>28</v>
      </c>
      <c r="P5427" t="s">
        <v>29</v>
      </c>
      <c r="Q5427">
        <v>47</v>
      </c>
      <c r="R5427">
        <v>-99.999999000000003</v>
      </c>
    </row>
    <row r="5428" spans="1:18" x14ac:dyDescent="0.2">
      <c r="A5428" t="s">
        <v>1650</v>
      </c>
      <c r="B5428" t="s">
        <v>1651</v>
      </c>
      <c r="C5428">
        <v>1</v>
      </c>
      <c r="D5428" s="1">
        <v>44064.965624999997</v>
      </c>
      <c r="E5428" t="s">
        <v>16880</v>
      </c>
      <c r="F5428" t="s">
        <v>1653</v>
      </c>
      <c r="G5428" t="s">
        <v>16865</v>
      </c>
      <c r="H5428" t="s">
        <v>1655</v>
      </c>
      <c r="I5428" t="s">
        <v>29</v>
      </c>
      <c r="J5428">
        <v>1</v>
      </c>
      <c r="K5428">
        <f>1-800-497-1085</f>
        <v>-2381</v>
      </c>
      <c r="L5428" t="s">
        <v>16881</v>
      </c>
      <c r="M5428" t="s">
        <v>16882</v>
      </c>
      <c r="N5428" t="s">
        <v>452</v>
      </c>
      <c r="O5428" t="s">
        <v>28</v>
      </c>
      <c r="P5428" t="s">
        <v>29</v>
      </c>
      <c r="Q5428">
        <v>47</v>
      </c>
      <c r="R5428">
        <v>-99.999999000000003</v>
      </c>
    </row>
    <row r="5429" spans="1:18" x14ac:dyDescent="0.2">
      <c r="A5429" t="s">
        <v>1650</v>
      </c>
      <c r="B5429" t="s">
        <v>1651</v>
      </c>
      <c r="C5429">
        <v>1</v>
      </c>
      <c r="D5429" s="1">
        <v>44064.8908912037</v>
      </c>
      <c r="E5429" t="s">
        <v>16883</v>
      </c>
      <c r="F5429" t="s">
        <v>1653</v>
      </c>
      <c r="G5429" t="s">
        <v>16865</v>
      </c>
      <c r="H5429" t="s">
        <v>1655</v>
      </c>
      <c r="I5429" t="s">
        <v>29</v>
      </c>
      <c r="J5429">
        <v>1</v>
      </c>
      <c r="K5429">
        <f>1-800-304-5783</f>
        <v>-6886</v>
      </c>
      <c r="L5429" t="s">
        <v>16884</v>
      </c>
      <c r="M5429" t="s">
        <v>16885</v>
      </c>
      <c r="N5429" t="s">
        <v>452</v>
      </c>
      <c r="O5429" t="s">
        <v>28</v>
      </c>
      <c r="P5429" t="s">
        <v>29</v>
      </c>
      <c r="Q5429">
        <v>47</v>
      </c>
      <c r="R5429">
        <v>-99.999999000000003</v>
      </c>
    </row>
    <row r="5430" spans="1:18" x14ac:dyDescent="0.2">
      <c r="A5430" t="s">
        <v>1650</v>
      </c>
      <c r="B5430" t="s">
        <v>1651</v>
      </c>
      <c r="C5430">
        <v>1</v>
      </c>
      <c r="D5430" s="1">
        <v>44064.869895833333</v>
      </c>
      <c r="E5430" t="s">
        <v>16883</v>
      </c>
      <c r="F5430" t="s">
        <v>1653</v>
      </c>
      <c r="G5430" t="s">
        <v>16865</v>
      </c>
      <c r="H5430" t="s">
        <v>1655</v>
      </c>
      <c r="I5430" t="s">
        <v>29</v>
      </c>
      <c r="J5430">
        <v>1</v>
      </c>
      <c r="K5430">
        <f>1-800-927-186</f>
        <v>-1912</v>
      </c>
      <c r="L5430" t="s">
        <v>16886</v>
      </c>
      <c r="M5430" t="s">
        <v>16887</v>
      </c>
      <c r="N5430" t="s">
        <v>452</v>
      </c>
      <c r="O5430" t="s">
        <v>28</v>
      </c>
      <c r="P5430" t="s">
        <v>29</v>
      </c>
      <c r="Q5430">
        <v>47</v>
      </c>
      <c r="R5430">
        <v>-99.999999000000003</v>
      </c>
    </row>
    <row r="5431" spans="1:18" x14ac:dyDescent="0.2">
      <c r="A5431" t="s">
        <v>1650</v>
      </c>
      <c r="B5431" t="s">
        <v>1651</v>
      </c>
      <c r="C5431">
        <v>1</v>
      </c>
      <c r="D5431" s="1">
        <v>44064.850949074076</v>
      </c>
      <c r="E5431" t="s">
        <v>16888</v>
      </c>
      <c r="F5431" t="s">
        <v>1653</v>
      </c>
      <c r="G5431" t="s">
        <v>16865</v>
      </c>
      <c r="H5431" t="s">
        <v>1655</v>
      </c>
      <c r="I5431" t="s">
        <v>29</v>
      </c>
      <c r="J5431">
        <v>1</v>
      </c>
      <c r="K5431">
        <f>1-800-418-611</f>
        <v>-1828</v>
      </c>
      <c r="L5431" t="s">
        <v>16889</v>
      </c>
      <c r="M5431" t="s">
        <v>16890</v>
      </c>
      <c r="N5431" t="s">
        <v>36</v>
      </c>
      <c r="O5431" t="s">
        <v>28</v>
      </c>
      <c r="P5431" t="s">
        <v>29</v>
      </c>
      <c r="Q5431">
        <v>47</v>
      </c>
      <c r="R5431">
        <v>-99.999999000000003</v>
      </c>
    </row>
    <row r="5432" spans="1:18" x14ac:dyDescent="0.2">
      <c r="A5432" t="s">
        <v>1650</v>
      </c>
      <c r="B5432" t="s">
        <v>1651</v>
      </c>
      <c r="C5432">
        <v>1</v>
      </c>
      <c r="D5432" s="1">
        <v>44064.098460648151</v>
      </c>
      <c r="E5432" t="s">
        <v>16891</v>
      </c>
      <c r="F5432" t="s">
        <v>1653</v>
      </c>
      <c r="G5432" t="s">
        <v>16865</v>
      </c>
      <c r="H5432" t="s">
        <v>1655</v>
      </c>
      <c r="I5432" t="s">
        <v>29</v>
      </c>
      <c r="J5432">
        <v>1</v>
      </c>
      <c r="K5432">
        <f>1-800-471-3043</f>
        <v>-4313</v>
      </c>
      <c r="L5432" t="s">
        <v>16892</v>
      </c>
      <c r="M5432" t="s">
        <v>16893</v>
      </c>
      <c r="N5432" t="s">
        <v>36</v>
      </c>
      <c r="O5432" t="s">
        <v>28</v>
      </c>
      <c r="P5432" t="s">
        <v>29</v>
      </c>
      <c r="Q5432">
        <v>47</v>
      </c>
      <c r="R5432">
        <v>-99.999999000000003</v>
      </c>
    </row>
    <row r="5433" spans="1:18" x14ac:dyDescent="0.2">
      <c r="A5433" t="s">
        <v>1650</v>
      </c>
      <c r="B5433" t="s">
        <v>1651</v>
      </c>
      <c r="C5433">
        <v>1</v>
      </c>
      <c r="D5433" s="1">
        <v>44063.824780092589</v>
      </c>
      <c r="E5433" t="s">
        <v>16888</v>
      </c>
      <c r="F5433" t="s">
        <v>1653</v>
      </c>
      <c r="G5433" t="s">
        <v>16865</v>
      </c>
      <c r="H5433" t="s">
        <v>1655</v>
      </c>
      <c r="I5433" t="s">
        <v>29</v>
      </c>
      <c r="J5433">
        <v>1</v>
      </c>
      <c r="K5433">
        <f>1-800-962-1501</f>
        <v>-3262</v>
      </c>
      <c r="L5433" t="s">
        <v>16894</v>
      </c>
      <c r="M5433" t="s">
        <v>16895</v>
      </c>
      <c r="N5433" t="s">
        <v>36</v>
      </c>
      <c r="O5433" t="s">
        <v>28</v>
      </c>
      <c r="P5433" t="s">
        <v>29</v>
      </c>
      <c r="Q5433">
        <v>47</v>
      </c>
      <c r="R5433">
        <v>-99.999999000000003</v>
      </c>
    </row>
    <row r="5434" spans="1:18" x14ac:dyDescent="0.2">
      <c r="A5434" t="s">
        <v>1650</v>
      </c>
      <c r="B5434" t="s">
        <v>1651</v>
      </c>
      <c r="C5434">
        <v>1</v>
      </c>
      <c r="D5434" s="1">
        <v>44063.591990740744</v>
      </c>
      <c r="E5434" t="s">
        <v>16896</v>
      </c>
      <c r="F5434" t="s">
        <v>1653</v>
      </c>
      <c r="G5434" t="s">
        <v>16865</v>
      </c>
      <c r="H5434" t="s">
        <v>1655</v>
      </c>
      <c r="I5434" t="s">
        <v>29</v>
      </c>
      <c r="J5434">
        <v>1</v>
      </c>
      <c r="K5434">
        <f>1-800-501-9695</f>
        <v>-10995</v>
      </c>
      <c r="L5434" t="s">
        <v>16897</v>
      </c>
      <c r="M5434" t="s">
        <v>16898</v>
      </c>
      <c r="N5434" t="s">
        <v>36</v>
      </c>
      <c r="O5434" t="s">
        <v>28</v>
      </c>
      <c r="P5434" t="s">
        <v>29</v>
      </c>
      <c r="Q5434">
        <v>47</v>
      </c>
      <c r="R5434">
        <v>-99.999999000000003</v>
      </c>
    </row>
    <row r="5435" spans="1:18" x14ac:dyDescent="0.2">
      <c r="A5435" t="s">
        <v>1650</v>
      </c>
      <c r="B5435" t="s">
        <v>1651</v>
      </c>
      <c r="C5435">
        <v>1</v>
      </c>
      <c r="D5435" s="1">
        <v>44063.13722222222</v>
      </c>
      <c r="E5435" t="s">
        <v>16899</v>
      </c>
      <c r="F5435" t="s">
        <v>1653</v>
      </c>
      <c r="G5435" t="s">
        <v>16865</v>
      </c>
      <c r="H5435" t="s">
        <v>1655</v>
      </c>
      <c r="I5435" t="s">
        <v>29</v>
      </c>
      <c r="J5435">
        <v>1</v>
      </c>
      <c r="K5435">
        <f>1-800-906-7917</f>
        <v>-9622</v>
      </c>
      <c r="L5435" t="s">
        <v>16900</v>
      </c>
      <c r="M5435" t="s">
        <v>16901</v>
      </c>
      <c r="N5435" t="s">
        <v>36</v>
      </c>
      <c r="O5435" t="s">
        <v>28</v>
      </c>
      <c r="P5435" t="s">
        <v>29</v>
      </c>
      <c r="Q5435">
        <v>47</v>
      </c>
      <c r="R5435">
        <v>-99.999999000000003</v>
      </c>
    </row>
    <row r="5436" spans="1:18" x14ac:dyDescent="0.2">
      <c r="A5436" t="s">
        <v>1650</v>
      </c>
      <c r="B5436" t="s">
        <v>1651</v>
      </c>
      <c r="C5436">
        <v>1</v>
      </c>
      <c r="D5436" s="1">
        <v>44062.910486111112</v>
      </c>
      <c r="E5436" t="s">
        <v>16874</v>
      </c>
      <c r="F5436" t="s">
        <v>1653</v>
      </c>
      <c r="G5436" t="s">
        <v>16865</v>
      </c>
      <c r="H5436" t="s">
        <v>1655</v>
      </c>
      <c r="I5436" t="s">
        <v>29</v>
      </c>
      <c r="J5436">
        <v>1</v>
      </c>
      <c r="K5436">
        <f>1-800-601-6274</f>
        <v>-7674</v>
      </c>
      <c r="L5436" t="s">
        <v>16902</v>
      </c>
      <c r="M5436" t="s">
        <v>16903</v>
      </c>
      <c r="N5436" t="s">
        <v>36</v>
      </c>
      <c r="O5436" t="s">
        <v>28</v>
      </c>
      <c r="P5436" t="s">
        <v>29</v>
      </c>
      <c r="Q5436">
        <v>47</v>
      </c>
      <c r="R5436">
        <v>-99.999999000000003</v>
      </c>
    </row>
    <row r="5437" spans="1:18" x14ac:dyDescent="0.2">
      <c r="A5437" t="s">
        <v>1650</v>
      </c>
      <c r="B5437" t="s">
        <v>1651</v>
      </c>
      <c r="C5437">
        <v>1</v>
      </c>
      <c r="D5437" s="1">
        <v>44062.020555555559</v>
      </c>
      <c r="E5437" t="s">
        <v>16891</v>
      </c>
      <c r="F5437" t="s">
        <v>1653</v>
      </c>
      <c r="G5437" t="s">
        <v>16865</v>
      </c>
      <c r="H5437" t="s">
        <v>1655</v>
      </c>
      <c r="I5437" t="s">
        <v>29</v>
      </c>
      <c r="J5437">
        <v>1</v>
      </c>
      <c r="K5437">
        <f>1-800-890-602</f>
        <v>-2291</v>
      </c>
      <c r="L5437" t="s">
        <v>16904</v>
      </c>
      <c r="M5437" t="s">
        <v>16905</v>
      </c>
      <c r="N5437" t="s">
        <v>36</v>
      </c>
      <c r="O5437" t="s">
        <v>28</v>
      </c>
      <c r="P5437" t="s">
        <v>29</v>
      </c>
      <c r="Q5437">
        <v>47</v>
      </c>
      <c r="R5437">
        <v>-99.999999000000003</v>
      </c>
    </row>
    <row r="5438" spans="1:18" x14ac:dyDescent="0.2">
      <c r="A5438" t="s">
        <v>1650</v>
      </c>
      <c r="B5438" t="s">
        <v>1651</v>
      </c>
      <c r="C5438">
        <v>1</v>
      </c>
      <c r="D5438" s="1">
        <v>44061.752627314818</v>
      </c>
      <c r="E5438" t="s">
        <v>16871</v>
      </c>
      <c r="F5438" t="s">
        <v>1653</v>
      </c>
      <c r="G5438" t="s">
        <v>16865</v>
      </c>
      <c r="H5438" t="s">
        <v>1655</v>
      </c>
      <c r="I5438" t="s">
        <v>29</v>
      </c>
      <c r="J5438">
        <v>1</v>
      </c>
      <c r="K5438">
        <f>1-800-912-9386</f>
        <v>-11097</v>
      </c>
      <c r="L5438" t="s">
        <v>16906</v>
      </c>
      <c r="M5438" t="s">
        <v>16907</v>
      </c>
      <c r="N5438" t="s">
        <v>36</v>
      </c>
      <c r="O5438" t="s">
        <v>28</v>
      </c>
      <c r="P5438" t="s">
        <v>29</v>
      </c>
      <c r="Q5438">
        <v>47</v>
      </c>
      <c r="R5438">
        <v>-99.999999000000003</v>
      </c>
    </row>
    <row r="5439" spans="1:18" x14ac:dyDescent="0.2">
      <c r="A5439" t="s">
        <v>2233</v>
      </c>
      <c r="B5439" t="s">
        <v>1638</v>
      </c>
      <c r="C5439">
        <v>1</v>
      </c>
      <c r="D5439" s="1">
        <v>44061.825266203705</v>
      </c>
      <c r="E5439" t="s">
        <v>16908</v>
      </c>
      <c r="F5439" t="s">
        <v>6618</v>
      </c>
      <c r="G5439" t="s">
        <v>16909</v>
      </c>
      <c r="H5439" t="s">
        <v>2237</v>
      </c>
      <c r="I5439" t="s">
        <v>29</v>
      </c>
      <c r="J5439">
        <v>1</v>
      </c>
      <c r="K5439">
        <f>1-877-503-7947</f>
        <v>-9326</v>
      </c>
      <c r="L5439" t="s">
        <v>16910</v>
      </c>
      <c r="M5439" t="s">
        <v>16911</v>
      </c>
      <c r="N5439" t="s">
        <v>278</v>
      </c>
      <c r="O5439" t="s">
        <v>28</v>
      </c>
      <c r="P5439" t="s">
        <v>292</v>
      </c>
      <c r="Q5439">
        <v>49</v>
      </c>
      <c r="R5439">
        <v>2.35222</v>
      </c>
    </row>
    <row r="5440" spans="1:18" x14ac:dyDescent="0.2">
      <c r="A5440" t="s">
        <v>663</v>
      </c>
      <c r="B5440" t="s">
        <v>3385</v>
      </c>
      <c r="C5440">
        <v>1</v>
      </c>
      <c r="D5440" s="1">
        <v>44061.825578703705</v>
      </c>
      <c r="E5440" t="s">
        <v>16912</v>
      </c>
      <c r="F5440" t="s">
        <v>666</v>
      </c>
      <c r="G5440" t="s">
        <v>16913</v>
      </c>
      <c r="H5440" t="s">
        <v>667</v>
      </c>
      <c r="I5440" t="s">
        <v>29</v>
      </c>
      <c r="J5440">
        <v>1</v>
      </c>
      <c r="K5440">
        <f>1-866-462-1292</f>
        <v>-2619</v>
      </c>
      <c r="L5440" t="s">
        <v>16914</v>
      </c>
      <c r="M5440" t="s">
        <v>16915</v>
      </c>
      <c r="N5440" t="s">
        <v>1645</v>
      </c>
      <c r="O5440" t="s">
        <v>28</v>
      </c>
      <c r="P5440" t="s">
        <v>29</v>
      </c>
      <c r="Q5440">
        <v>41</v>
      </c>
      <c r="R5440">
        <v>-73.996600000000001</v>
      </c>
    </row>
    <row r="5441" spans="1:18" x14ac:dyDescent="0.2">
      <c r="A5441" t="s">
        <v>2225</v>
      </c>
      <c r="B5441" t="s">
        <v>2226</v>
      </c>
      <c r="C5441">
        <v>81</v>
      </c>
      <c r="D5441" s="1">
        <v>44083.404016203705</v>
      </c>
      <c r="E5441" t="s">
        <v>16916</v>
      </c>
      <c r="F5441" t="s">
        <v>2228</v>
      </c>
      <c r="G5441" t="s">
        <v>16917</v>
      </c>
      <c r="H5441" t="s">
        <v>2230</v>
      </c>
      <c r="I5441" t="s">
        <v>53</v>
      </c>
      <c r="J5441">
        <v>81</v>
      </c>
      <c r="K5441">
        <f>81-50-5809-6424</f>
        <v>-12202</v>
      </c>
      <c r="L5441" t="s">
        <v>16918</v>
      </c>
      <c r="M5441" t="s">
        <v>16919</v>
      </c>
      <c r="N5441" t="s">
        <v>1645</v>
      </c>
      <c r="O5441" t="s">
        <v>28</v>
      </c>
      <c r="P5441" t="s">
        <v>24</v>
      </c>
      <c r="Q5441">
        <v>50</v>
      </c>
      <c r="R5441">
        <v>12.365</v>
      </c>
    </row>
    <row r="5442" spans="1:18" x14ac:dyDescent="0.2">
      <c r="A5442" t="s">
        <v>2225</v>
      </c>
      <c r="B5442" t="s">
        <v>2226</v>
      </c>
      <c r="C5442">
        <v>81</v>
      </c>
      <c r="D5442" s="1">
        <v>44081.447442129633</v>
      </c>
      <c r="E5442" t="s">
        <v>16920</v>
      </c>
      <c r="F5442" t="s">
        <v>2228</v>
      </c>
      <c r="G5442" t="s">
        <v>16917</v>
      </c>
      <c r="H5442" t="s">
        <v>2230</v>
      </c>
      <c r="I5442" t="s">
        <v>53</v>
      </c>
      <c r="J5442">
        <v>81</v>
      </c>
      <c r="K5442">
        <f>81-50-5534-3823</f>
        <v>-9326</v>
      </c>
      <c r="L5442" t="s">
        <v>16921</v>
      </c>
      <c r="M5442" t="s">
        <v>16922</v>
      </c>
      <c r="N5442" t="s">
        <v>1645</v>
      </c>
      <c r="O5442" t="s">
        <v>28</v>
      </c>
      <c r="P5442" t="s">
        <v>24</v>
      </c>
      <c r="Q5442">
        <v>50</v>
      </c>
      <c r="R5442">
        <v>12.365</v>
      </c>
    </row>
    <row r="5443" spans="1:18" x14ac:dyDescent="0.2">
      <c r="A5443" t="s">
        <v>2225</v>
      </c>
      <c r="B5443" t="s">
        <v>2226</v>
      </c>
      <c r="C5443">
        <v>81</v>
      </c>
      <c r="D5443" s="1">
        <v>44075.466631944444</v>
      </c>
      <c r="E5443" t="s">
        <v>16923</v>
      </c>
      <c r="F5443" t="s">
        <v>2228</v>
      </c>
      <c r="G5443" t="s">
        <v>16917</v>
      </c>
      <c r="H5443" t="s">
        <v>2230</v>
      </c>
      <c r="I5443" t="s">
        <v>53</v>
      </c>
      <c r="J5443">
        <v>81</v>
      </c>
      <c r="K5443">
        <f>81-50-5534-3823</f>
        <v>-9326</v>
      </c>
      <c r="L5443" t="s">
        <v>16924</v>
      </c>
      <c r="M5443" t="s">
        <v>16925</v>
      </c>
      <c r="N5443" t="s">
        <v>2475</v>
      </c>
      <c r="O5443" t="s">
        <v>28</v>
      </c>
      <c r="P5443" t="s">
        <v>24</v>
      </c>
      <c r="Q5443">
        <v>50</v>
      </c>
      <c r="R5443">
        <v>12.365</v>
      </c>
    </row>
    <row r="5444" spans="1:18" x14ac:dyDescent="0.2">
      <c r="A5444" t="s">
        <v>2225</v>
      </c>
      <c r="B5444" t="s">
        <v>2226</v>
      </c>
      <c r="C5444">
        <v>81</v>
      </c>
      <c r="D5444" s="1">
        <v>44068.349745370368</v>
      </c>
      <c r="E5444" t="s">
        <v>16926</v>
      </c>
      <c r="F5444" t="s">
        <v>2228</v>
      </c>
      <c r="G5444" t="s">
        <v>16917</v>
      </c>
      <c r="H5444" t="s">
        <v>2230</v>
      </c>
      <c r="I5444" t="s">
        <v>53</v>
      </c>
      <c r="J5444">
        <v>81</v>
      </c>
      <c r="K5444">
        <f>81-50-3136-4337</f>
        <v>-7442</v>
      </c>
      <c r="L5444" t="s">
        <v>16927</v>
      </c>
      <c r="M5444" t="s">
        <v>16928</v>
      </c>
      <c r="N5444" t="s">
        <v>2475</v>
      </c>
      <c r="O5444" t="s">
        <v>28</v>
      </c>
      <c r="P5444" t="s">
        <v>24</v>
      </c>
      <c r="Q5444">
        <v>50</v>
      </c>
      <c r="R5444">
        <v>12.365</v>
      </c>
    </row>
    <row r="5445" spans="1:18" x14ac:dyDescent="0.2">
      <c r="A5445" t="s">
        <v>2225</v>
      </c>
      <c r="B5445" t="s">
        <v>2226</v>
      </c>
      <c r="C5445">
        <v>81</v>
      </c>
      <c r="D5445" s="1">
        <v>44067.280844907407</v>
      </c>
      <c r="E5445" t="s">
        <v>16929</v>
      </c>
      <c r="F5445" t="s">
        <v>2228</v>
      </c>
      <c r="G5445" t="s">
        <v>16917</v>
      </c>
      <c r="H5445" t="s">
        <v>2230</v>
      </c>
      <c r="I5445" t="s">
        <v>53</v>
      </c>
      <c r="J5445">
        <v>81</v>
      </c>
      <c r="K5445">
        <f>81-50-3136-4337</f>
        <v>-7442</v>
      </c>
      <c r="L5445" t="s">
        <v>16930</v>
      </c>
      <c r="M5445" t="s">
        <v>16931</v>
      </c>
      <c r="N5445" t="s">
        <v>2475</v>
      </c>
      <c r="O5445" t="s">
        <v>28</v>
      </c>
      <c r="P5445" t="s">
        <v>24</v>
      </c>
      <c r="Q5445">
        <v>50</v>
      </c>
      <c r="R5445">
        <v>12.365</v>
      </c>
    </row>
    <row r="5446" spans="1:18" x14ac:dyDescent="0.2">
      <c r="A5446" t="s">
        <v>2225</v>
      </c>
      <c r="B5446" t="s">
        <v>2226</v>
      </c>
      <c r="C5446">
        <v>81</v>
      </c>
      <c r="D5446" s="1">
        <v>44062.285486111112</v>
      </c>
      <c r="E5446" t="s">
        <v>16932</v>
      </c>
      <c r="F5446" t="s">
        <v>2228</v>
      </c>
      <c r="G5446" t="s">
        <v>16917</v>
      </c>
      <c r="H5446" t="s">
        <v>2230</v>
      </c>
      <c r="I5446" t="s">
        <v>53</v>
      </c>
      <c r="J5446">
        <v>81</v>
      </c>
      <c r="K5446">
        <f>81-50-3136-5153</f>
        <v>-8258</v>
      </c>
      <c r="L5446" t="s">
        <v>16933</v>
      </c>
      <c r="M5446" t="s">
        <v>16934</v>
      </c>
      <c r="N5446" t="s">
        <v>2475</v>
      </c>
      <c r="O5446" t="s">
        <v>28</v>
      </c>
      <c r="P5446" t="s">
        <v>24</v>
      </c>
      <c r="Q5446">
        <v>50</v>
      </c>
      <c r="R5446">
        <v>12.365</v>
      </c>
    </row>
    <row r="5447" spans="1:18" x14ac:dyDescent="0.2">
      <c r="A5447" t="s">
        <v>439</v>
      </c>
      <c r="B5447" t="s">
        <v>3094</v>
      </c>
      <c r="C5447">
        <v>1</v>
      </c>
      <c r="D5447" s="1">
        <v>44062.025312500002</v>
      </c>
      <c r="E5447" t="s">
        <v>16935</v>
      </c>
      <c r="F5447" t="s">
        <v>442</v>
      </c>
      <c r="G5447" t="s">
        <v>16936</v>
      </c>
      <c r="H5447" t="s">
        <v>444</v>
      </c>
      <c r="I5447" t="s">
        <v>29</v>
      </c>
      <c r="J5447">
        <v>1</v>
      </c>
      <c r="K5447">
        <f>1-888-713-933</f>
        <v>-2533</v>
      </c>
      <c r="L5447" t="s">
        <v>16937</v>
      </c>
      <c r="M5447" t="s">
        <v>16938</v>
      </c>
      <c r="N5447" t="s">
        <v>447</v>
      </c>
      <c r="O5447" t="s">
        <v>28</v>
      </c>
      <c r="P5447" t="s">
        <v>2268</v>
      </c>
      <c r="Q5447">
        <v>46</v>
      </c>
      <c r="R5447">
        <v>-73.567300000000003</v>
      </c>
    </row>
    <row r="5448" spans="1:18" x14ac:dyDescent="0.2">
      <c r="A5448" t="s">
        <v>439</v>
      </c>
      <c r="B5448" t="s">
        <v>3094</v>
      </c>
      <c r="C5448">
        <v>1</v>
      </c>
      <c r="D5448" s="1">
        <v>44062.028182870374</v>
      </c>
      <c r="E5448" t="s">
        <v>16939</v>
      </c>
      <c r="F5448" t="s">
        <v>442</v>
      </c>
      <c r="G5448" t="s">
        <v>16940</v>
      </c>
      <c r="H5448" t="s">
        <v>444</v>
      </c>
      <c r="I5448" t="s">
        <v>29</v>
      </c>
      <c r="J5448">
        <v>1</v>
      </c>
      <c r="K5448">
        <f>1-888-713-933</f>
        <v>-2533</v>
      </c>
      <c r="L5448" t="s">
        <v>16941</v>
      </c>
      <c r="M5448" t="s">
        <v>16942</v>
      </c>
      <c r="N5448" t="s">
        <v>447</v>
      </c>
      <c r="O5448" t="s">
        <v>28</v>
      </c>
      <c r="P5448" t="s">
        <v>2268</v>
      </c>
      <c r="Q5448">
        <v>46</v>
      </c>
      <c r="R5448">
        <v>-73.567300000000003</v>
      </c>
    </row>
    <row r="5449" spans="1:18" x14ac:dyDescent="0.2">
      <c r="A5449" t="s">
        <v>439</v>
      </c>
      <c r="B5449" t="s">
        <v>3094</v>
      </c>
      <c r="C5449">
        <v>1</v>
      </c>
      <c r="D5449" s="1">
        <v>44062.028634259259</v>
      </c>
      <c r="E5449" t="s">
        <v>16943</v>
      </c>
      <c r="F5449" t="s">
        <v>442</v>
      </c>
      <c r="G5449" t="s">
        <v>16944</v>
      </c>
      <c r="H5449" t="s">
        <v>444</v>
      </c>
      <c r="I5449" t="s">
        <v>29</v>
      </c>
      <c r="J5449">
        <v>1</v>
      </c>
      <c r="K5449">
        <f>1-888-713-933</f>
        <v>-2533</v>
      </c>
      <c r="L5449" t="s">
        <v>16945</v>
      </c>
      <c r="M5449" t="s">
        <v>16946</v>
      </c>
      <c r="N5449" t="s">
        <v>447</v>
      </c>
      <c r="O5449" t="s">
        <v>28</v>
      </c>
      <c r="P5449" t="s">
        <v>2268</v>
      </c>
      <c r="Q5449">
        <v>46</v>
      </c>
      <c r="R5449">
        <v>-73.567300000000003</v>
      </c>
    </row>
    <row r="5450" spans="1:18" x14ac:dyDescent="0.2">
      <c r="A5450" t="s">
        <v>439</v>
      </c>
      <c r="B5450" t="s">
        <v>3094</v>
      </c>
      <c r="C5450">
        <v>1</v>
      </c>
      <c r="D5450" s="1">
        <v>44062.028865740744</v>
      </c>
      <c r="E5450" t="s">
        <v>16947</v>
      </c>
      <c r="F5450" t="s">
        <v>442</v>
      </c>
      <c r="G5450" t="s">
        <v>16948</v>
      </c>
      <c r="H5450" t="s">
        <v>444</v>
      </c>
      <c r="I5450" t="s">
        <v>29</v>
      </c>
      <c r="J5450">
        <v>1</v>
      </c>
      <c r="K5450">
        <f>1-888-713-933</f>
        <v>-2533</v>
      </c>
      <c r="L5450" t="s">
        <v>16949</v>
      </c>
      <c r="M5450" t="s">
        <v>16950</v>
      </c>
      <c r="N5450" t="s">
        <v>447</v>
      </c>
      <c r="O5450" t="s">
        <v>28</v>
      </c>
      <c r="P5450" t="s">
        <v>2268</v>
      </c>
      <c r="Q5450">
        <v>46</v>
      </c>
      <c r="R5450">
        <v>-73.567300000000003</v>
      </c>
    </row>
    <row r="5451" spans="1:18" x14ac:dyDescent="0.2">
      <c r="A5451" t="s">
        <v>439</v>
      </c>
      <c r="B5451" t="s">
        <v>3094</v>
      </c>
      <c r="C5451">
        <v>1</v>
      </c>
      <c r="D5451" s="1">
        <v>44062.029016203705</v>
      </c>
      <c r="E5451" t="s">
        <v>16951</v>
      </c>
      <c r="F5451" t="s">
        <v>442</v>
      </c>
      <c r="G5451" t="s">
        <v>16952</v>
      </c>
      <c r="H5451" t="s">
        <v>444</v>
      </c>
      <c r="I5451" t="s">
        <v>29</v>
      </c>
      <c r="J5451">
        <v>1</v>
      </c>
      <c r="K5451">
        <f>1-888-713-933</f>
        <v>-2533</v>
      </c>
      <c r="L5451" t="s">
        <v>16953</v>
      </c>
      <c r="M5451" t="s">
        <v>16954</v>
      </c>
      <c r="N5451" t="s">
        <v>447</v>
      </c>
      <c r="O5451" t="s">
        <v>28</v>
      </c>
      <c r="P5451" t="s">
        <v>2268</v>
      </c>
      <c r="Q5451">
        <v>46</v>
      </c>
      <c r="R5451">
        <v>-73.567300000000003</v>
      </c>
    </row>
    <row r="5452" spans="1:18" x14ac:dyDescent="0.2">
      <c r="A5452" t="s">
        <v>2233</v>
      </c>
      <c r="B5452" t="s">
        <v>16955</v>
      </c>
      <c r="C5452">
        <v>44</v>
      </c>
      <c r="D5452" s="1">
        <v>44062.600972222222</v>
      </c>
      <c r="E5452" t="s">
        <v>16956</v>
      </c>
      <c r="F5452" t="s">
        <v>2236</v>
      </c>
      <c r="G5452" t="s">
        <v>16957</v>
      </c>
      <c r="H5452" t="s">
        <v>2237</v>
      </c>
      <c r="I5452" t="s">
        <v>618</v>
      </c>
      <c r="J5452">
        <v>44</v>
      </c>
      <c r="K5452">
        <f>44-808-143-3687</f>
        <v>-4594</v>
      </c>
      <c r="L5452" t="s">
        <v>16958</v>
      </c>
      <c r="M5452" t="s">
        <v>16959</v>
      </c>
      <c r="N5452" t="s">
        <v>5354</v>
      </c>
      <c r="O5452" t="s">
        <v>28</v>
      </c>
      <c r="P5452" t="s">
        <v>16960</v>
      </c>
      <c r="Q5452">
        <v>38</v>
      </c>
      <c r="R5452">
        <v>99.999999000000003</v>
      </c>
    </row>
    <row r="5453" spans="1:18" x14ac:dyDescent="0.2">
      <c r="A5453" t="s">
        <v>439</v>
      </c>
      <c r="B5453" t="s">
        <v>3094</v>
      </c>
      <c r="C5453">
        <v>1</v>
      </c>
      <c r="D5453" s="1">
        <v>44062.602789351855</v>
      </c>
      <c r="E5453" t="s">
        <v>16961</v>
      </c>
      <c r="F5453" t="s">
        <v>442</v>
      </c>
      <c r="G5453" t="s">
        <v>16962</v>
      </c>
      <c r="H5453" t="s">
        <v>444</v>
      </c>
      <c r="I5453" t="s">
        <v>29</v>
      </c>
      <c r="J5453">
        <v>1</v>
      </c>
      <c r="K5453">
        <f>1-844-285-6591</f>
        <v>-7719</v>
      </c>
      <c r="L5453" t="s">
        <v>16963</v>
      </c>
      <c r="M5453" t="s">
        <v>16964</v>
      </c>
      <c r="N5453" t="s">
        <v>447</v>
      </c>
      <c r="O5453" t="s">
        <v>28</v>
      </c>
      <c r="P5453" t="s">
        <v>2268</v>
      </c>
      <c r="Q5453">
        <v>46</v>
      </c>
      <c r="R5453">
        <v>-73.567300000000003</v>
      </c>
    </row>
    <row r="5454" spans="1:18" x14ac:dyDescent="0.2">
      <c r="A5454" t="s">
        <v>663</v>
      </c>
      <c r="B5454" t="s">
        <v>664</v>
      </c>
      <c r="C5454">
        <v>1</v>
      </c>
      <c r="D5454" s="1">
        <v>44062.691608796296</v>
      </c>
      <c r="E5454" t="s">
        <v>16965</v>
      </c>
      <c r="F5454" t="s">
        <v>2495</v>
      </c>
      <c r="G5454" t="s">
        <v>16966</v>
      </c>
      <c r="H5454" t="s">
        <v>667</v>
      </c>
      <c r="I5454" t="s">
        <v>29</v>
      </c>
      <c r="J5454">
        <v>1</v>
      </c>
      <c r="K5454">
        <f>1-877-257-5169</f>
        <v>-6302</v>
      </c>
      <c r="L5454" t="s">
        <v>16967</v>
      </c>
      <c r="M5454" t="s">
        <v>16968</v>
      </c>
      <c r="N5454" t="s">
        <v>1645</v>
      </c>
      <c r="O5454" t="s">
        <v>28</v>
      </c>
      <c r="P5454" t="s">
        <v>29</v>
      </c>
      <c r="Q5454">
        <v>37</v>
      </c>
      <c r="R5454">
        <v>-99.999999000000003</v>
      </c>
    </row>
    <row r="5455" spans="1:18" x14ac:dyDescent="0.2">
      <c r="A5455" t="s">
        <v>663</v>
      </c>
      <c r="B5455" t="s">
        <v>664</v>
      </c>
      <c r="C5455">
        <v>1</v>
      </c>
      <c r="D5455" s="1">
        <v>44062.69127314815</v>
      </c>
      <c r="E5455" t="s">
        <v>16969</v>
      </c>
      <c r="F5455" t="s">
        <v>2495</v>
      </c>
      <c r="G5455" t="s">
        <v>16966</v>
      </c>
      <c r="H5455" t="s">
        <v>667</v>
      </c>
      <c r="I5455" t="s">
        <v>29</v>
      </c>
      <c r="J5455">
        <v>1</v>
      </c>
      <c r="K5455">
        <f>1-877-257-5169</f>
        <v>-6302</v>
      </c>
      <c r="L5455" t="s">
        <v>16970</v>
      </c>
      <c r="M5455" t="s">
        <v>16971</v>
      </c>
      <c r="N5455" t="s">
        <v>1645</v>
      </c>
      <c r="O5455" t="s">
        <v>28</v>
      </c>
      <c r="P5455" t="s">
        <v>29</v>
      </c>
      <c r="Q5455">
        <v>37</v>
      </c>
      <c r="R5455">
        <v>-99.999999000000003</v>
      </c>
    </row>
    <row r="5456" spans="1:18" x14ac:dyDescent="0.2">
      <c r="A5456" t="s">
        <v>663</v>
      </c>
      <c r="B5456" t="s">
        <v>664</v>
      </c>
      <c r="C5456">
        <v>1</v>
      </c>
      <c r="D5456" s="1">
        <v>44062.691006944442</v>
      </c>
      <c r="E5456" t="s">
        <v>16972</v>
      </c>
      <c r="F5456" t="s">
        <v>2495</v>
      </c>
      <c r="G5456" t="s">
        <v>16966</v>
      </c>
      <c r="H5456" t="s">
        <v>667</v>
      </c>
      <c r="I5456" t="s">
        <v>29</v>
      </c>
      <c r="J5456">
        <v>1</v>
      </c>
      <c r="K5456">
        <f>1-877-257-5169</f>
        <v>-6302</v>
      </c>
      <c r="L5456" t="s">
        <v>16973</v>
      </c>
      <c r="M5456" t="s">
        <v>16974</v>
      </c>
      <c r="N5456" t="s">
        <v>1645</v>
      </c>
      <c r="O5456" t="s">
        <v>28</v>
      </c>
      <c r="P5456" t="s">
        <v>29</v>
      </c>
      <c r="Q5456">
        <v>37</v>
      </c>
      <c r="R5456">
        <v>-99.999999000000003</v>
      </c>
    </row>
    <row r="5457" spans="1:18" x14ac:dyDescent="0.2">
      <c r="A5457" t="s">
        <v>663</v>
      </c>
      <c r="B5457" t="s">
        <v>4281</v>
      </c>
      <c r="C5457">
        <v>49</v>
      </c>
      <c r="D5457" s="1">
        <v>44062.68074074074</v>
      </c>
      <c r="E5457" t="s">
        <v>16975</v>
      </c>
      <c r="F5457" t="s">
        <v>666</v>
      </c>
      <c r="G5457" t="s">
        <v>16975</v>
      </c>
      <c r="H5457" t="s">
        <v>667</v>
      </c>
      <c r="I5457" t="s">
        <v>24</v>
      </c>
      <c r="J5457">
        <v>49</v>
      </c>
      <c r="K5457">
        <f>49-322-2109076</f>
        <v>-2109349</v>
      </c>
      <c r="L5457" t="s">
        <v>16976</v>
      </c>
      <c r="M5457" t="s">
        <v>16977</v>
      </c>
      <c r="N5457">
        <v>223</v>
      </c>
      <c r="O5457" t="s">
        <v>134</v>
      </c>
      <c r="P5457" t="s">
        <v>24</v>
      </c>
      <c r="Q5457">
        <v>50</v>
      </c>
      <c r="R5457">
        <v>8.7147000000000006</v>
      </c>
    </row>
    <row r="5458" spans="1:18" x14ac:dyDescent="0.2">
      <c r="A5458" t="s">
        <v>2349</v>
      </c>
      <c r="B5458" t="s">
        <v>10634</v>
      </c>
      <c r="C5458">
        <v>49</v>
      </c>
      <c r="D5458" s="1">
        <v>44063.554259259261</v>
      </c>
      <c r="E5458" t="s">
        <v>16978</v>
      </c>
      <c r="F5458" t="s">
        <v>2352</v>
      </c>
      <c r="G5458" t="s">
        <v>16978</v>
      </c>
      <c r="H5458" t="s">
        <v>2353</v>
      </c>
      <c r="I5458" t="s">
        <v>24</v>
      </c>
      <c r="J5458">
        <v>49</v>
      </c>
      <c r="K5458">
        <f>49-800-82-6106</f>
        <v>-6939</v>
      </c>
      <c r="L5458" t="s">
        <v>16979</v>
      </c>
      <c r="M5458" t="s">
        <v>16980</v>
      </c>
      <c r="N5458">
        <v>241</v>
      </c>
      <c r="O5458" t="s">
        <v>134</v>
      </c>
      <c r="P5458" t="s">
        <v>292</v>
      </c>
      <c r="Q5458">
        <v>49</v>
      </c>
      <c r="R5458">
        <v>2.3868999999999998</v>
      </c>
    </row>
    <row r="5459" spans="1:18" x14ac:dyDescent="0.2">
      <c r="A5459" t="s">
        <v>663</v>
      </c>
      <c r="B5459" t="s">
        <v>2493</v>
      </c>
      <c r="C5459">
        <v>1</v>
      </c>
      <c r="D5459" s="1">
        <v>44062.910046296296</v>
      </c>
      <c r="E5459" t="s">
        <v>16981</v>
      </c>
      <c r="F5459" t="s">
        <v>666</v>
      </c>
      <c r="G5459" t="s">
        <v>16982</v>
      </c>
      <c r="H5459" t="s">
        <v>667</v>
      </c>
      <c r="I5459" t="s">
        <v>29</v>
      </c>
      <c r="J5459">
        <v>1</v>
      </c>
      <c r="K5459">
        <f>1-844-343-4323</f>
        <v>-5509</v>
      </c>
      <c r="L5459" t="s">
        <v>16983</v>
      </c>
      <c r="M5459" t="s">
        <v>16984</v>
      </c>
      <c r="N5459" t="s">
        <v>674</v>
      </c>
      <c r="O5459" t="s">
        <v>28</v>
      </c>
      <c r="P5459" t="s">
        <v>29</v>
      </c>
      <c r="Q5459">
        <v>41</v>
      </c>
      <c r="R5459">
        <v>-74.024699999999996</v>
      </c>
    </row>
    <row r="5460" spans="1:18" x14ac:dyDescent="0.2">
      <c r="A5460" t="s">
        <v>270</v>
      </c>
      <c r="B5460" t="s">
        <v>271</v>
      </c>
      <c r="C5460">
        <v>1</v>
      </c>
      <c r="D5460" s="1">
        <v>44063.138553240744</v>
      </c>
      <c r="E5460" t="s">
        <v>16985</v>
      </c>
      <c r="F5460" t="s">
        <v>273</v>
      </c>
      <c r="G5460" t="s">
        <v>16986</v>
      </c>
      <c r="H5460" t="s">
        <v>275</v>
      </c>
      <c r="I5460" t="s">
        <v>29</v>
      </c>
      <c r="J5460">
        <v>1</v>
      </c>
      <c r="K5460">
        <f>1-888-531-1238</f>
        <v>-2656</v>
      </c>
      <c r="L5460" t="s">
        <v>16987</v>
      </c>
      <c r="M5460" t="s">
        <v>16988</v>
      </c>
      <c r="N5460" t="s">
        <v>278</v>
      </c>
      <c r="O5460" t="s">
        <v>134</v>
      </c>
      <c r="P5460" t="s">
        <v>29</v>
      </c>
      <c r="Q5460">
        <v>42</v>
      </c>
      <c r="R5460">
        <v>-93.620800000000003</v>
      </c>
    </row>
    <row r="5461" spans="1:18" x14ac:dyDescent="0.2">
      <c r="A5461" t="s">
        <v>439</v>
      </c>
      <c r="B5461" t="s">
        <v>3094</v>
      </c>
      <c r="C5461">
        <v>81</v>
      </c>
      <c r="D5461" s="1">
        <v>44063.176678240743</v>
      </c>
      <c r="E5461" t="s">
        <v>16989</v>
      </c>
      <c r="F5461" t="s">
        <v>442</v>
      </c>
      <c r="G5461" t="s">
        <v>16990</v>
      </c>
      <c r="H5461" t="s">
        <v>444</v>
      </c>
      <c r="I5461" t="s">
        <v>53</v>
      </c>
      <c r="J5461">
        <v>81</v>
      </c>
      <c r="K5461">
        <f>81-50-3136-338</f>
        <v>-3443</v>
      </c>
      <c r="L5461" t="s">
        <v>16991</v>
      </c>
      <c r="M5461" t="s">
        <v>16992</v>
      </c>
      <c r="N5461" t="s">
        <v>213</v>
      </c>
      <c r="O5461" t="s">
        <v>28</v>
      </c>
      <c r="P5461" t="s">
        <v>2268</v>
      </c>
      <c r="Q5461">
        <v>46</v>
      </c>
      <c r="R5461">
        <v>-73.567300000000003</v>
      </c>
    </row>
    <row r="5462" spans="1:18" x14ac:dyDescent="0.2">
      <c r="A5462" t="s">
        <v>663</v>
      </c>
      <c r="B5462" t="s">
        <v>2500</v>
      </c>
      <c r="C5462">
        <v>81</v>
      </c>
      <c r="D5462" s="1">
        <v>44063.176793981482</v>
      </c>
      <c r="E5462" t="s">
        <v>16993</v>
      </c>
      <c r="F5462" t="s">
        <v>666</v>
      </c>
      <c r="G5462" t="s">
        <v>16993</v>
      </c>
      <c r="H5462" t="s">
        <v>667</v>
      </c>
      <c r="I5462" t="s">
        <v>53</v>
      </c>
      <c r="J5462">
        <v>81</v>
      </c>
      <c r="K5462">
        <f>81-50-5806-8878</f>
        <v>-14653</v>
      </c>
      <c r="L5462" t="s">
        <v>16994</v>
      </c>
      <c r="M5462" t="s">
        <v>16995</v>
      </c>
      <c r="N5462">
        <v>221</v>
      </c>
      <c r="O5462" t="s">
        <v>134</v>
      </c>
      <c r="P5462" t="s">
        <v>2500</v>
      </c>
      <c r="Q5462">
        <v>1</v>
      </c>
      <c r="R5462">
        <v>99.999999000000003</v>
      </c>
    </row>
    <row r="5463" spans="1:18" x14ac:dyDescent="0.2">
      <c r="A5463" t="s">
        <v>5349</v>
      </c>
      <c r="B5463" t="s">
        <v>440</v>
      </c>
      <c r="C5463">
        <v>81</v>
      </c>
      <c r="D5463" s="1">
        <v>44063.176851851851</v>
      </c>
      <c r="E5463" t="s">
        <v>16996</v>
      </c>
      <c r="F5463" t="s">
        <v>7023</v>
      </c>
      <c r="G5463" t="s">
        <v>16996</v>
      </c>
      <c r="H5463" t="s">
        <v>2237</v>
      </c>
      <c r="I5463" t="s">
        <v>53</v>
      </c>
      <c r="J5463">
        <v>81</v>
      </c>
      <c r="K5463">
        <f>81-50-5539-720</f>
        <v>-6228</v>
      </c>
      <c r="L5463" t="s">
        <v>16997</v>
      </c>
      <c r="M5463" t="s">
        <v>16998</v>
      </c>
      <c r="N5463">
        <v>55</v>
      </c>
      <c r="O5463" t="s">
        <v>134</v>
      </c>
      <c r="P5463" t="s">
        <v>29</v>
      </c>
      <c r="Q5463">
        <v>39</v>
      </c>
      <c r="R5463">
        <v>-77.487399999999994</v>
      </c>
    </row>
    <row r="5464" spans="1:18" x14ac:dyDescent="0.2">
      <c r="A5464" t="s">
        <v>675</v>
      </c>
      <c r="B5464" t="s">
        <v>1412</v>
      </c>
      <c r="C5464">
        <v>1</v>
      </c>
      <c r="D5464" s="1">
        <v>44071.549710648149</v>
      </c>
      <c r="E5464" t="s">
        <v>16999</v>
      </c>
      <c r="F5464" t="s">
        <v>678</v>
      </c>
      <c r="G5464" t="s">
        <v>17000</v>
      </c>
      <c r="H5464" t="s">
        <v>680</v>
      </c>
      <c r="I5464" t="s">
        <v>29</v>
      </c>
      <c r="J5464">
        <v>1</v>
      </c>
      <c r="K5464">
        <f>1-877-497-794</f>
        <v>-2167</v>
      </c>
      <c r="L5464" t="s">
        <v>17001</v>
      </c>
      <c r="M5464" t="s">
        <v>17002</v>
      </c>
      <c r="N5464" t="s">
        <v>452</v>
      </c>
      <c r="O5464" t="s">
        <v>28</v>
      </c>
      <c r="P5464" t="s">
        <v>29</v>
      </c>
      <c r="Q5464">
        <v>41</v>
      </c>
      <c r="R5464">
        <v>-74.172399999999996</v>
      </c>
    </row>
    <row r="5465" spans="1:18" x14ac:dyDescent="0.2">
      <c r="A5465" t="s">
        <v>675</v>
      </c>
      <c r="B5465" t="s">
        <v>1412</v>
      </c>
      <c r="C5465">
        <v>1</v>
      </c>
      <c r="D5465" s="1">
        <v>44064.925671296296</v>
      </c>
      <c r="E5465" t="s">
        <v>17003</v>
      </c>
      <c r="F5465" t="s">
        <v>678</v>
      </c>
      <c r="G5465" t="s">
        <v>17000</v>
      </c>
      <c r="H5465" t="s">
        <v>680</v>
      </c>
      <c r="I5465" t="s">
        <v>29</v>
      </c>
      <c r="J5465">
        <v>1</v>
      </c>
      <c r="K5465">
        <f>1-855-443-8665</f>
        <v>-9962</v>
      </c>
      <c r="L5465" t="s">
        <v>17004</v>
      </c>
      <c r="M5465" t="s">
        <v>17005</v>
      </c>
      <c r="N5465" t="s">
        <v>452</v>
      </c>
      <c r="O5465" t="s">
        <v>28</v>
      </c>
      <c r="P5465" t="s">
        <v>29</v>
      </c>
      <c r="Q5465">
        <v>41</v>
      </c>
      <c r="R5465">
        <v>-74.172399999999996</v>
      </c>
    </row>
    <row r="5466" spans="1:18" x14ac:dyDescent="0.2">
      <c r="A5466" t="s">
        <v>675</v>
      </c>
      <c r="B5466" t="s">
        <v>1412</v>
      </c>
      <c r="C5466">
        <v>1</v>
      </c>
      <c r="D5466" s="1">
        <v>44064.924826388888</v>
      </c>
      <c r="E5466" t="s">
        <v>17006</v>
      </c>
      <c r="F5466" t="s">
        <v>678</v>
      </c>
      <c r="G5466" t="s">
        <v>17000</v>
      </c>
      <c r="H5466" t="s">
        <v>680</v>
      </c>
      <c r="I5466" t="s">
        <v>29</v>
      </c>
      <c r="J5466">
        <v>1</v>
      </c>
      <c r="K5466">
        <f>1-888-396-1198</f>
        <v>-2481</v>
      </c>
      <c r="L5466" t="s">
        <v>17007</v>
      </c>
      <c r="M5466" t="s">
        <v>17008</v>
      </c>
      <c r="N5466" t="s">
        <v>452</v>
      </c>
      <c r="O5466" t="s">
        <v>28</v>
      </c>
      <c r="P5466" t="s">
        <v>29</v>
      </c>
      <c r="Q5466">
        <v>41</v>
      </c>
      <c r="R5466">
        <v>-74.172399999999996</v>
      </c>
    </row>
    <row r="5467" spans="1:18" x14ac:dyDescent="0.2">
      <c r="A5467" t="s">
        <v>675</v>
      </c>
      <c r="B5467" t="s">
        <v>1412</v>
      </c>
      <c r="C5467">
        <v>1</v>
      </c>
      <c r="D5467" s="1">
        <v>44063.736250000002</v>
      </c>
      <c r="E5467" t="s">
        <v>17009</v>
      </c>
      <c r="F5467" t="s">
        <v>678</v>
      </c>
      <c r="G5467" t="s">
        <v>17000</v>
      </c>
      <c r="H5467" t="s">
        <v>680</v>
      </c>
      <c r="I5467" t="s">
        <v>29</v>
      </c>
      <c r="J5467">
        <v>1</v>
      </c>
      <c r="K5467">
        <f>1-833-247-8337</f>
        <v>-9416</v>
      </c>
      <c r="L5467" t="s">
        <v>17010</v>
      </c>
      <c r="M5467" t="s">
        <v>17011</v>
      </c>
      <c r="N5467" t="s">
        <v>452</v>
      </c>
      <c r="O5467" t="s">
        <v>28</v>
      </c>
      <c r="P5467" t="s">
        <v>29</v>
      </c>
      <c r="Q5467">
        <v>41</v>
      </c>
      <c r="R5467">
        <v>-74.172399999999996</v>
      </c>
    </row>
    <row r="5468" spans="1:18" x14ac:dyDescent="0.2">
      <c r="A5468" t="s">
        <v>2349</v>
      </c>
      <c r="B5468" t="s">
        <v>6134</v>
      </c>
      <c r="C5468">
        <v>1</v>
      </c>
      <c r="D5468" s="1">
        <v>44063.795439814814</v>
      </c>
      <c r="E5468" t="s">
        <v>17012</v>
      </c>
      <c r="F5468" t="s">
        <v>2352</v>
      </c>
      <c r="G5468" t="s">
        <v>17012</v>
      </c>
      <c r="H5468" t="s">
        <v>2353</v>
      </c>
      <c r="I5468" t="s">
        <v>29</v>
      </c>
      <c r="J5468">
        <v>1</v>
      </c>
      <c r="K5468">
        <f>1-888-984-2377</f>
        <v>-4248</v>
      </c>
      <c r="L5468" t="s">
        <v>17013</v>
      </c>
      <c r="M5468" t="s">
        <v>17014</v>
      </c>
      <c r="N5468">
        <v>201</v>
      </c>
      <c r="O5468" t="s">
        <v>134</v>
      </c>
      <c r="P5468" t="s">
        <v>29</v>
      </c>
      <c r="Q5468">
        <v>33</v>
      </c>
      <c r="R5468">
        <v>-96.802099999999996</v>
      </c>
    </row>
    <row r="5469" spans="1:18" x14ac:dyDescent="0.2">
      <c r="A5469" t="s">
        <v>663</v>
      </c>
      <c r="B5469" t="s">
        <v>2500</v>
      </c>
      <c r="C5469">
        <v>1</v>
      </c>
      <c r="D5469" s="1">
        <v>44064.923344907409</v>
      </c>
      <c r="E5469" t="s">
        <v>17015</v>
      </c>
      <c r="F5469" t="s">
        <v>666</v>
      </c>
      <c r="G5469" t="s">
        <v>17016</v>
      </c>
      <c r="H5469" t="s">
        <v>667</v>
      </c>
      <c r="I5469" t="s">
        <v>29</v>
      </c>
      <c r="J5469">
        <v>1</v>
      </c>
      <c r="K5469">
        <f>1-888-984-4462</f>
        <v>-6333</v>
      </c>
      <c r="L5469" t="s">
        <v>17017</v>
      </c>
      <c r="M5469" t="s">
        <v>17018</v>
      </c>
      <c r="N5469" t="s">
        <v>17019</v>
      </c>
      <c r="O5469" t="s">
        <v>134</v>
      </c>
      <c r="P5469" t="s">
        <v>2500</v>
      </c>
      <c r="Q5469">
        <v>1</v>
      </c>
      <c r="R5469">
        <v>99.999999000000003</v>
      </c>
    </row>
    <row r="5470" spans="1:18" x14ac:dyDescent="0.2">
      <c r="A5470" t="s">
        <v>663</v>
      </c>
      <c r="B5470" t="s">
        <v>2500</v>
      </c>
      <c r="C5470">
        <v>1</v>
      </c>
      <c r="D5470" s="1">
        <v>44063.828715277778</v>
      </c>
      <c r="E5470" t="s">
        <v>17020</v>
      </c>
      <c r="F5470" t="s">
        <v>666</v>
      </c>
      <c r="G5470" t="s">
        <v>17016</v>
      </c>
      <c r="H5470" t="s">
        <v>667</v>
      </c>
      <c r="I5470" t="s">
        <v>29</v>
      </c>
      <c r="J5470">
        <v>1</v>
      </c>
      <c r="K5470">
        <f>1-888-984-4462</f>
        <v>-6333</v>
      </c>
      <c r="L5470" t="s">
        <v>17021</v>
      </c>
      <c r="M5470" t="s">
        <v>17022</v>
      </c>
      <c r="N5470" t="s">
        <v>17019</v>
      </c>
      <c r="O5470" t="s">
        <v>28</v>
      </c>
      <c r="P5470" t="s">
        <v>2500</v>
      </c>
      <c r="Q5470">
        <v>1</v>
      </c>
      <c r="R5470">
        <v>99.999999000000003</v>
      </c>
    </row>
    <row r="5471" spans="1:18" x14ac:dyDescent="0.2">
      <c r="A5471" t="s">
        <v>663</v>
      </c>
      <c r="B5471" t="s">
        <v>664</v>
      </c>
      <c r="C5471">
        <v>1</v>
      </c>
      <c r="D5471" s="1">
        <v>44063.862708333334</v>
      </c>
      <c r="E5471" t="s">
        <v>17023</v>
      </c>
      <c r="F5471" t="s">
        <v>666</v>
      </c>
      <c r="G5471" t="s">
        <v>17024</v>
      </c>
      <c r="H5471" t="s">
        <v>667</v>
      </c>
      <c r="I5471" t="s">
        <v>29</v>
      </c>
      <c r="J5471">
        <v>1</v>
      </c>
      <c r="K5471">
        <f>1-855-457-27</f>
        <v>-1338</v>
      </c>
      <c r="L5471" t="s">
        <v>17025</v>
      </c>
      <c r="M5471" t="s">
        <v>17026</v>
      </c>
      <c r="N5471" t="s">
        <v>1645</v>
      </c>
      <c r="O5471" t="s">
        <v>28</v>
      </c>
      <c r="P5471" t="s">
        <v>29</v>
      </c>
      <c r="Q5471">
        <v>37</v>
      </c>
      <c r="R5471">
        <v>-99.999999000000003</v>
      </c>
    </row>
    <row r="5472" spans="1:18" x14ac:dyDescent="0.2">
      <c r="A5472" t="s">
        <v>2233</v>
      </c>
      <c r="B5472" t="s">
        <v>17027</v>
      </c>
      <c r="C5472">
        <v>1</v>
      </c>
      <c r="D5472" s="1">
        <v>44063.867777777778</v>
      </c>
      <c r="E5472" t="s">
        <v>17028</v>
      </c>
      <c r="F5472" t="s">
        <v>2236</v>
      </c>
      <c r="G5472" t="s">
        <v>17028</v>
      </c>
      <c r="H5472" t="s">
        <v>2237</v>
      </c>
      <c r="I5472" t="s">
        <v>29</v>
      </c>
      <c r="J5472">
        <v>1</v>
      </c>
      <c r="K5472">
        <f>1-888-994-7439</f>
        <v>-9320</v>
      </c>
      <c r="L5472" t="s">
        <v>17029</v>
      </c>
      <c r="M5472" t="s">
        <v>17030</v>
      </c>
      <c r="N5472">
        <v>32</v>
      </c>
      <c r="O5472" t="s">
        <v>134</v>
      </c>
      <c r="P5472" t="s">
        <v>5789</v>
      </c>
      <c r="Q5472">
        <v>19</v>
      </c>
      <c r="R5472">
        <v>72.877700000000004</v>
      </c>
    </row>
    <row r="5473" spans="1:18" x14ac:dyDescent="0.2">
      <c r="A5473" t="s">
        <v>2349</v>
      </c>
      <c r="B5473" t="s">
        <v>1651</v>
      </c>
      <c r="C5473">
        <v>44</v>
      </c>
      <c r="D5473" s="1">
        <v>44065.190659722219</v>
      </c>
      <c r="E5473" t="s">
        <v>17031</v>
      </c>
      <c r="F5473" t="s">
        <v>2352</v>
      </c>
      <c r="G5473" t="s">
        <v>17031</v>
      </c>
      <c r="H5473" t="s">
        <v>2353</v>
      </c>
      <c r="I5473" t="s">
        <v>618</v>
      </c>
      <c r="J5473">
        <v>44</v>
      </c>
      <c r="K5473">
        <f>44-800-66-4119</f>
        <v>-4941</v>
      </c>
      <c r="L5473" t="s">
        <v>17032</v>
      </c>
      <c r="M5473" t="s">
        <v>17033</v>
      </c>
      <c r="N5473">
        <v>154</v>
      </c>
      <c r="O5473" t="s">
        <v>134</v>
      </c>
      <c r="P5473" t="s">
        <v>29</v>
      </c>
      <c r="Q5473">
        <v>48</v>
      </c>
      <c r="R5473">
        <v>-99.999999000000003</v>
      </c>
    </row>
    <row r="5474" spans="1:18" x14ac:dyDescent="0.2">
      <c r="A5474" t="s">
        <v>2349</v>
      </c>
      <c r="B5474" t="s">
        <v>1651</v>
      </c>
      <c r="C5474">
        <v>1</v>
      </c>
      <c r="D5474" s="1">
        <v>44063.888749999998</v>
      </c>
      <c r="E5474" t="s">
        <v>17031</v>
      </c>
      <c r="F5474" t="s">
        <v>2352</v>
      </c>
      <c r="G5474" t="s">
        <v>17031</v>
      </c>
      <c r="H5474" t="s">
        <v>2353</v>
      </c>
      <c r="I5474" t="s">
        <v>29</v>
      </c>
      <c r="J5474">
        <v>1</v>
      </c>
      <c r="K5474">
        <f>1-877-746-4834</f>
        <v>-6456</v>
      </c>
      <c r="L5474" t="s">
        <v>17034</v>
      </c>
      <c r="M5474" t="s">
        <v>17035</v>
      </c>
      <c r="N5474">
        <v>154</v>
      </c>
      <c r="O5474" t="s">
        <v>134</v>
      </c>
      <c r="P5474" t="s">
        <v>29</v>
      </c>
      <c r="Q5474">
        <v>48</v>
      </c>
      <c r="R5474">
        <v>-99.999999000000003</v>
      </c>
    </row>
    <row r="5475" spans="1:18" x14ac:dyDescent="0.2">
      <c r="A5475" t="s">
        <v>663</v>
      </c>
      <c r="B5475" t="s">
        <v>1412</v>
      </c>
      <c r="C5475">
        <v>1</v>
      </c>
      <c r="D5475" s="1">
        <v>44063.890277777777</v>
      </c>
      <c r="E5475" t="s">
        <v>17036</v>
      </c>
      <c r="F5475" t="s">
        <v>666</v>
      </c>
      <c r="G5475" t="s">
        <v>17036</v>
      </c>
      <c r="H5475" t="s">
        <v>667</v>
      </c>
      <c r="I5475" t="s">
        <v>29</v>
      </c>
      <c r="J5475">
        <v>1</v>
      </c>
      <c r="K5475">
        <f>1-888-965-702</f>
        <v>-2554</v>
      </c>
      <c r="L5475" t="s">
        <v>17037</v>
      </c>
      <c r="M5475" t="s">
        <v>17038</v>
      </c>
      <c r="N5475">
        <v>56</v>
      </c>
      <c r="O5475" t="s">
        <v>134</v>
      </c>
      <c r="P5475" t="s">
        <v>29</v>
      </c>
      <c r="Q5475">
        <v>41</v>
      </c>
      <c r="R5475">
        <v>-74.172399999999996</v>
      </c>
    </row>
    <row r="5476" spans="1:18" x14ac:dyDescent="0.2">
      <c r="A5476" t="s">
        <v>2349</v>
      </c>
      <c r="B5476" t="s">
        <v>10634</v>
      </c>
      <c r="C5476">
        <v>49</v>
      </c>
      <c r="D5476" s="1">
        <v>44064.468356481484</v>
      </c>
      <c r="E5476" t="s">
        <v>17039</v>
      </c>
      <c r="F5476" t="s">
        <v>2352</v>
      </c>
      <c r="G5476" t="s">
        <v>17039</v>
      </c>
      <c r="H5476" t="s">
        <v>2353</v>
      </c>
      <c r="I5476" t="s">
        <v>24</v>
      </c>
      <c r="J5476">
        <v>49</v>
      </c>
      <c r="K5476">
        <f>49-800-82-6106</f>
        <v>-6939</v>
      </c>
      <c r="L5476" t="s">
        <v>17040</v>
      </c>
      <c r="M5476" t="s">
        <v>17041</v>
      </c>
      <c r="N5476">
        <v>143</v>
      </c>
      <c r="O5476" t="s">
        <v>134</v>
      </c>
      <c r="P5476" t="s">
        <v>292</v>
      </c>
      <c r="Q5476">
        <v>49</v>
      </c>
      <c r="R5476">
        <v>2.3868999999999998</v>
      </c>
    </row>
    <row r="5477" spans="1:18" x14ac:dyDescent="0.2">
      <c r="A5477" t="s">
        <v>2349</v>
      </c>
      <c r="B5477" t="s">
        <v>4281</v>
      </c>
      <c r="C5477">
        <v>43</v>
      </c>
      <c r="D5477" s="1">
        <v>44064.521273148152</v>
      </c>
      <c r="E5477" t="s">
        <v>17042</v>
      </c>
      <c r="F5477" t="s">
        <v>2352</v>
      </c>
      <c r="G5477" t="s">
        <v>17042</v>
      </c>
      <c r="H5477" t="s">
        <v>2353</v>
      </c>
      <c r="I5477" t="s">
        <v>3432</v>
      </c>
      <c r="J5477">
        <v>43</v>
      </c>
      <c r="K5477">
        <f>43-720-115-804</f>
        <v>-1596</v>
      </c>
      <c r="L5477" t="s">
        <v>17043</v>
      </c>
      <c r="M5477" t="s">
        <v>17044</v>
      </c>
      <c r="N5477">
        <v>211</v>
      </c>
      <c r="O5477" t="s">
        <v>134</v>
      </c>
      <c r="P5477" t="s">
        <v>24</v>
      </c>
      <c r="Q5477">
        <v>50</v>
      </c>
      <c r="R5477">
        <v>8.7147000000000006</v>
      </c>
    </row>
    <row r="5478" spans="1:18" x14ac:dyDescent="0.2">
      <c r="A5478" t="s">
        <v>2233</v>
      </c>
      <c r="B5478" t="s">
        <v>2234</v>
      </c>
      <c r="C5478">
        <v>41</v>
      </c>
      <c r="D5478" s="1">
        <v>44064.527743055558</v>
      </c>
      <c r="E5478" t="s">
        <v>17045</v>
      </c>
      <c r="F5478" t="s">
        <v>2236</v>
      </c>
      <c r="G5478" t="s">
        <v>17045</v>
      </c>
      <c r="H5478" t="s">
        <v>2237</v>
      </c>
      <c r="I5478" t="s">
        <v>204</v>
      </c>
      <c r="J5478">
        <v>41</v>
      </c>
      <c r="K5478">
        <f>41-31-528-25-45</f>
        <v>-588</v>
      </c>
      <c r="L5478" t="s">
        <v>17046</v>
      </c>
      <c r="M5478" t="s">
        <v>17047</v>
      </c>
      <c r="N5478">
        <v>82</v>
      </c>
      <c r="O5478" t="s">
        <v>134</v>
      </c>
      <c r="P5478" t="s">
        <v>6188</v>
      </c>
      <c r="Q5478">
        <v>53</v>
      </c>
      <c r="R5478">
        <v>-6.2603099999999996</v>
      </c>
    </row>
    <row r="5479" spans="1:18" x14ac:dyDescent="0.2">
      <c r="A5479" t="s">
        <v>663</v>
      </c>
      <c r="B5479" t="s">
        <v>664</v>
      </c>
      <c r="C5479">
        <v>44</v>
      </c>
      <c r="D5479" s="1">
        <v>44064.553541666668</v>
      </c>
      <c r="E5479" t="s">
        <v>17048</v>
      </c>
      <c r="F5479" t="s">
        <v>2495</v>
      </c>
      <c r="G5479" t="s">
        <v>17049</v>
      </c>
      <c r="H5479" t="s">
        <v>667</v>
      </c>
      <c r="I5479" t="s">
        <v>618</v>
      </c>
      <c r="J5479">
        <v>44</v>
      </c>
      <c r="K5479">
        <f>44-800-31-4241</f>
        <v>-5028</v>
      </c>
      <c r="L5479" t="s">
        <v>17050</v>
      </c>
      <c r="M5479" t="s">
        <v>17051</v>
      </c>
      <c r="N5479" t="s">
        <v>1645</v>
      </c>
      <c r="O5479" t="s">
        <v>28</v>
      </c>
      <c r="P5479" t="s">
        <v>29</v>
      </c>
      <c r="Q5479">
        <v>37</v>
      </c>
      <c r="R5479">
        <v>-99.999999000000003</v>
      </c>
    </row>
    <row r="5480" spans="1:18" x14ac:dyDescent="0.2">
      <c r="A5480" t="s">
        <v>2349</v>
      </c>
      <c r="B5480" t="s">
        <v>6962</v>
      </c>
      <c r="C5480">
        <v>1</v>
      </c>
      <c r="D5480" s="1">
        <v>44064.817719907405</v>
      </c>
      <c r="E5480" t="s">
        <v>17052</v>
      </c>
      <c r="F5480" t="s">
        <v>2352</v>
      </c>
      <c r="G5480" t="s">
        <v>17052</v>
      </c>
      <c r="H5480" t="s">
        <v>2353</v>
      </c>
      <c r="I5480" t="s">
        <v>29</v>
      </c>
      <c r="J5480">
        <v>1</v>
      </c>
      <c r="K5480">
        <f>1-866-757-1022</f>
        <v>-2644</v>
      </c>
      <c r="L5480" t="s">
        <v>17053</v>
      </c>
      <c r="M5480" t="s">
        <v>17054</v>
      </c>
      <c r="N5480">
        <v>205</v>
      </c>
      <c r="O5480" t="s">
        <v>134</v>
      </c>
      <c r="P5480" t="s">
        <v>29</v>
      </c>
      <c r="Q5480">
        <v>42</v>
      </c>
      <c r="R5480">
        <v>-87.962000000000003</v>
      </c>
    </row>
    <row r="5481" spans="1:18" x14ac:dyDescent="0.2">
      <c r="A5481" t="s">
        <v>663</v>
      </c>
      <c r="B5481" t="s">
        <v>664</v>
      </c>
      <c r="C5481">
        <v>1</v>
      </c>
      <c r="D5481" s="1">
        <v>44064.898263888892</v>
      </c>
      <c r="E5481" t="s">
        <v>17055</v>
      </c>
      <c r="F5481" t="s">
        <v>666</v>
      </c>
      <c r="G5481" t="s">
        <v>17055</v>
      </c>
      <c r="H5481" t="s">
        <v>667</v>
      </c>
      <c r="I5481" t="s">
        <v>29</v>
      </c>
      <c r="J5481">
        <v>1</v>
      </c>
      <c r="K5481">
        <f>1-888-965-923</f>
        <v>-2775</v>
      </c>
      <c r="L5481" t="s">
        <v>17056</v>
      </c>
      <c r="M5481" t="s">
        <v>17057</v>
      </c>
      <c r="N5481">
        <v>16</v>
      </c>
      <c r="O5481" t="s">
        <v>134</v>
      </c>
      <c r="P5481" t="s">
        <v>29</v>
      </c>
      <c r="Q5481">
        <v>37</v>
      </c>
      <c r="R5481">
        <v>-99.999999000000003</v>
      </c>
    </row>
    <row r="5482" spans="1:18" x14ac:dyDescent="0.2">
      <c r="A5482" t="s">
        <v>1200</v>
      </c>
      <c r="B5482" t="s">
        <v>2500</v>
      </c>
      <c r="C5482">
        <v>41</v>
      </c>
      <c r="D5482" s="1">
        <v>44071.118356481478</v>
      </c>
      <c r="E5482" t="s">
        <v>17058</v>
      </c>
      <c r="F5482" t="s">
        <v>1203</v>
      </c>
      <c r="G5482" t="s">
        <v>17059</v>
      </c>
      <c r="H5482" t="s">
        <v>1205</v>
      </c>
      <c r="I5482" t="s">
        <v>204</v>
      </c>
      <c r="J5482">
        <v>41</v>
      </c>
      <c r="K5482">
        <f>41-61-508-3053</f>
        <v>-3581</v>
      </c>
      <c r="L5482" t="s">
        <v>17060</v>
      </c>
      <c r="M5482" t="s">
        <v>17061</v>
      </c>
      <c r="N5482" t="s">
        <v>36</v>
      </c>
      <c r="O5482" t="s">
        <v>134</v>
      </c>
      <c r="P5482" t="s">
        <v>2500</v>
      </c>
      <c r="Q5482">
        <v>1</v>
      </c>
      <c r="R5482">
        <v>99.999999000000003</v>
      </c>
    </row>
    <row r="5483" spans="1:18" x14ac:dyDescent="0.2">
      <c r="A5483" t="s">
        <v>1200</v>
      </c>
      <c r="B5483" t="s">
        <v>2500</v>
      </c>
      <c r="C5483">
        <v>65</v>
      </c>
      <c r="D5483" s="1">
        <v>44064.914247685185</v>
      </c>
      <c r="E5483" t="s">
        <v>17062</v>
      </c>
      <c r="F5483" t="s">
        <v>1203</v>
      </c>
      <c r="G5483" t="s">
        <v>17059</v>
      </c>
      <c r="H5483" t="s">
        <v>1205</v>
      </c>
      <c r="I5483" t="s">
        <v>2500</v>
      </c>
      <c r="J5483">
        <v>65</v>
      </c>
      <c r="K5483">
        <f>65-3159-1685</f>
        <v>-4779</v>
      </c>
      <c r="L5483" t="s">
        <v>17063</v>
      </c>
      <c r="M5483" t="s">
        <v>17064</v>
      </c>
      <c r="N5483" t="s">
        <v>36</v>
      </c>
      <c r="O5483" t="s">
        <v>134</v>
      </c>
      <c r="P5483" t="s">
        <v>2500</v>
      </c>
      <c r="Q5483">
        <v>1</v>
      </c>
      <c r="R5483">
        <v>99.999999000000003</v>
      </c>
    </row>
    <row r="5484" spans="1:18" x14ac:dyDescent="0.2">
      <c r="A5484" t="s">
        <v>2349</v>
      </c>
      <c r="B5484" t="s">
        <v>4281</v>
      </c>
      <c r="C5484">
        <v>41</v>
      </c>
      <c r="D5484" s="1">
        <v>44064.927951388891</v>
      </c>
      <c r="E5484" t="s">
        <v>17065</v>
      </c>
      <c r="F5484" t="s">
        <v>4584</v>
      </c>
      <c r="G5484" t="s">
        <v>17065</v>
      </c>
      <c r="H5484" t="s">
        <v>2353</v>
      </c>
      <c r="I5484" t="s">
        <v>204</v>
      </c>
      <c r="J5484">
        <v>41</v>
      </c>
      <c r="K5484">
        <f>41-435-882-122</f>
        <v>-1398</v>
      </c>
      <c r="L5484" t="s">
        <v>17066</v>
      </c>
      <c r="M5484" t="s">
        <v>17067</v>
      </c>
      <c r="N5484">
        <v>190</v>
      </c>
      <c r="O5484" t="s">
        <v>134</v>
      </c>
      <c r="P5484" t="s">
        <v>24</v>
      </c>
      <c r="Q5484">
        <v>50</v>
      </c>
      <c r="R5484">
        <v>8.7336100000000005</v>
      </c>
    </row>
    <row r="5485" spans="1:18" x14ac:dyDescent="0.2">
      <c r="A5485" t="s">
        <v>18</v>
      </c>
      <c r="B5485" t="s">
        <v>462</v>
      </c>
      <c r="C5485">
        <v>1</v>
      </c>
      <c r="D5485" s="1">
        <v>44074.951180555552</v>
      </c>
      <c r="E5485" t="s">
        <v>17068</v>
      </c>
      <c r="F5485" t="s">
        <v>464</v>
      </c>
      <c r="G5485" t="s">
        <v>17069</v>
      </c>
      <c r="H5485" t="s">
        <v>466</v>
      </c>
      <c r="I5485" t="s">
        <v>29</v>
      </c>
      <c r="J5485">
        <v>1</v>
      </c>
      <c r="K5485">
        <f>1-800-201-5464</f>
        <v>-6464</v>
      </c>
      <c r="L5485" t="s">
        <v>17070</v>
      </c>
      <c r="M5485" t="s">
        <v>17071</v>
      </c>
      <c r="N5485" t="s">
        <v>3454</v>
      </c>
      <c r="O5485" t="s">
        <v>134</v>
      </c>
      <c r="P5485" t="s">
        <v>29</v>
      </c>
      <c r="Q5485">
        <v>40</v>
      </c>
      <c r="R5485">
        <v>-99.999999000000003</v>
      </c>
    </row>
    <row r="5486" spans="1:18" x14ac:dyDescent="0.2">
      <c r="A5486" t="s">
        <v>18</v>
      </c>
      <c r="B5486" t="s">
        <v>462</v>
      </c>
      <c r="C5486">
        <v>1</v>
      </c>
      <c r="D5486" s="1">
        <v>44074.95113425926</v>
      </c>
      <c r="E5486" t="s">
        <v>17072</v>
      </c>
      <c r="F5486" t="s">
        <v>464</v>
      </c>
      <c r="G5486" t="s">
        <v>17069</v>
      </c>
      <c r="H5486" t="s">
        <v>466</v>
      </c>
      <c r="I5486" t="s">
        <v>29</v>
      </c>
      <c r="J5486">
        <v>1</v>
      </c>
      <c r="K5486">
        <f>1-800-201-5464</f>
        <v>-6464</v>
      </c>
      <c r="L5486" t="s">
        <v>17073</v>
      </c>
      <c r="M5486" t="s">
        <v>17074</v>
      </c>
      <c r="N5486" t="s">
        <v>447</v>
      </c>
      <c r="O5486" t="s">
        <v>134</v>
      </c>
      <c r="P5486" t="s">
        <v>29</v>
      </c>
      <c r="Q5486">
        <v>40</v>
      </c>
      <c r="R5486">
        <v>-99.999999000000003</v>
      </c>
    </row>
    <row r="5487" spans="1:18" x14ac:dyDescent="0.2">
      <c r="A5487" t="s">
        <v>18</v>
      </c>
      <c r="B5487" t="s">
        <v>462</v>
      </c>
      <c r="C5487">
        <v>1</v>
      </c>
      <c r="D5487" s="1">
        <v>44074.950648148151</v>
      </c>
      <c r="E5487" t="s">
        <v>17075</v>
      </c>
      <c r="F5487" t="s">
        <v>464</v>
      </c>
      <c r="G5487" t="s">
        <v>17069</v>
      </c>
      <c r="H5487" t="s">
        <v>466</v>
      </c>
      <c r="I5487" t="s">
        <v>29</v>
      </c>
      <c r="J5487">
        <v>1</v>
      </c>
      <c r="K5487">
        <f>1-800-201-5464</f>
        <v>-6464</v>
      </c>
      <c r="L5487" t="s">
        <v>17076</v>
      </c>
      <c r="M5487" t="s">
        <v>17077</v>
      </c>
      <c r="N5487" t="s">
        <v>213</v>
      </c>
      <c r="O5487" t="s">
        <v>134</v>
      </c>
      <c r="P5487" t="s">
        <v>29</v>
      </c>
      <c r="Q5487">
        <v>40</v>
      </c>
      <c r="R5487">
        <v>-99.999999000000003</v>
      </c>
    </row>
    <row r="5488" spans="1:18" x14ac:dyDescent="0.2">
      <c r="A5488" t="s">
        <v>18</v>
      </c>
      <c r="B5488" t="s">
        <v>462</v>
      </c>
      <c r="C5488">
        <v>1</v>
      </c>
      <c r="D5488" s="1">
        <v>44074.95045138889</v>
      </c>
      <c r="E5488" t="s">
        <v>17078</v>
      </c>
      <c r="F5488" t="s">
        <v>464</v>
      </c>
      <c r="G5488" t="s">
        <v>17069</v>
      </c>
      <c r="H5488" t="s">
        <v>466</v>
      </c>
      <c r="I5488" t="s">
        <v>29</v>
      </c>
      <c r="J5488">
        <v>1</v>
      </c>
      <c r="K5488">
        <f>1-800-201-5464</f>
        <v>-6464</v>
      </c>
      <c r="L5488" t="s">
        <v>17079</v>
      </c>
      <c r="M5488" t="s">
        <v>17080</v>
      </c>
      <c r="N5488" t="s">
        <v>3441</v>
      </c>
      <c r="O5488" t="s">
        <v>134</v>
      </c>
      <c r="P5488" t="s">
        <v>29</v>
      </c>
      <c r="Q5488">
        <v>40</v>
      </c>
      <c r="R5488">
        <v>-99.999999000000003</v>
      </c>
    </row>
    <row r="5489" spans="1:18" x14ac:dyDescent="0.2">
      <c r="A5489" t="s">
        <v>18</v>
      </c>
      <c r="B5489" t="s">
        <v>462</v>
      </c>
      <c r="C5489">
        <v>1</v>
      </c>
      <c r="D5489" s="1">
        <v>44065.999826388892</v>
      </c>
      <c r="E5489" t="s">
        <v>17081</v>
      </c>
      <c r="F5489" t="s">
        <v>464</v>
      </c>
      <c r="G5489" t="s">
        <v>17069</v>
      </c>
      <c r="H5489" t="s">
        <v>466</v>
      </c>
      <c r="I5489" t="s">
        <v>29</v>
      </c>
      <c r="J5489">
        <v>1</v>
      </c>
      <c r="K5489">
        <f>1-888-874-4824</f>
        <v>-6585</v>
      </c>
      <c r="L5489" t="s">
        <v>17082</v>
      </c>
      <c r="M5489" t="s">
        <v>17083</v>
      </c>
      <c r="N5489" t="s">
        <v>3441</v>
      </c>
      <c r="O5489" t="s">
        <v>134</v>
      </c>
      <c r="P5489" t="s">
        <v>29</v>
      </c>
      <c r="Q5489">
        <v>40</v>
      </c>
      <c r="R5489">
        <v>-99.999999000000003</v>
      </c>
    </row>
    <row r="5490" spans="1:18" x14ac:dyDescent="0.2">
      <c r="A5490" t="s">
        <v>18</v>
      </c>
      <c r="B5490" t="s">
        <v>462</v>
      </c>
      <c r="C5490">
        <v>1</v>
      </c>
      <c r="D5490" s="1">
        <v>44065.999780092592</v>
      </c>
      <c r="E5490" t="s">
        <v>17084</v>
      </c>
      <c r="F5490" t="s">
        <v>464</v>
      </c>
      <c r="G5490" t="s">
        <v>17069</v>
      </c>
      <c r="H5490" t="s">
        <v>466</v>
      </c>
      <c r="I5490" t="s">
        <v>29</v>
      </c>
      <c r="J5490">
        <v>1</v>
      </c>
      <c r="K5490">
        <f>1-888-874-4824</f>
        <v>-6585</v>
      </c>
      <c r="L5490" t="s">
        <v>17085</v>
      </c>
      <c r="M5490" t="s">
        <v>17086</v>
      </c>
      <c r="N5490" t="s">
        <v>213</v>
      </c>
      <c r="O5490" t="s">
        <v>134</v>
      </c>
      <c r="P5490" t="s">
        <v>29</v>
      </c>
      <c r="Q5490">
        <v>40</v>
      </c>
      <c r="R5490">
        <v>-99.999999000000003</v>
      </c>
    </row>
    <row r="5491" spans="1:18" x14ac:dyDescent="0.2">
      <c r="A5491" t="s">
        <v>18</v>
      </c>
      <c r="B5491" t="s">
        <v>462</v>
      </c>
      <c r="C5491">
        <v>1</v>
      </c>
      <c r="D5491" s="1">
        <v>44065.9997337963</v>
      </c>
      <c r="E5491" t="s">
        <v>17087</v>
      </c>
      <c r="F5491" t="s">
        <v>464</v>
      </c>
      <c r="G5491" t="s">
        <v>17069</v>
      </c>
      <c r="H5491" t="s">
        <v>466</v>
      </c>
      <c r="I5491" t="s">
        <v>29</v>
      </c>
      <c r="J5491">
        <v>1</v>
      </c>
      <c r="K5491">
        <f>1-888-874-4824</f>
        <v>-6585</v>
      </c>
      <c r="L5491" t="s">
        <v>17088</v>
      </c>
      <c r="M5491" t="s">
        <v>17089</v>
      </c>
      <c r="N5491" t="s">
        <v>3454</v>
      </c>
      <c r="O5491" t="s">
        <v>134</v>
      </c>
      <c r="P5491" t="s">
        <v>29</v>
      </c>
      <c r="Q5491">
        <v>40</v>
      </c>
      <c r="R5491">
        <v>-99.999999000000003</v>
      </c>
    </row>
    <row r="5492" spans="1:18" x14ac:dyDescent="0.2">
      <c r="A5492" t="s">
        <v>18</v>
      </c>
      <c r="B5492" t="s">
        <v>462</v>
      </c>
      <c r="C5492">
        <v>1</v>
      </c>
      <c r="D5492" s="1">
        <v>44065.841840277775</v>
      </c>
      <c r="E5492" t="s">
        <v>17090</v>
      </c>
      <c r="F5492" t="s">
        <v>464</v>
      </c>
      <c r="G5492" t="s">
        <v>17069</v>
      </c>
      <c r="H5492" t="s">
        <v>466</v>
      </c>
      <c r="I5492" t="s">
        <v>29</v>
      </c>
      <c r="J5492">
        <v>1</v>
      </c>
      <c r="K5492">
        <f>1-855-692-2723</f>
        <v>-4269</v>
      </c>
      <c r="L5492" t="s">
        <v>17091</v>
      </c>
      <c r="M5492" t="s">
        <v>17092</v>
      </c>
      <c r="N5492" t="s">
        <v>674</v>
      </c>
      <c r="O5492" t="s">
        <v>134</v>
      </c>
      <c r="P5492" t="s">
        <v>29</v>
      </c>
      <c r="Q5492">
        <v>40</v>
      </c>
      <c r="R5492">
        <v>-99.999999000000003</v>
      </c>
    </row>
    <row r="5493" spans="1:18" x14ac:dyDescent="0.2">
      <c r="A5493" t="s">
        <v>18</v>
      </c>
      <c r="B5493" t="s">
        <v>462</v>
      </c>
      <c r="C5493">
        <v>1</v>
      </c>
      <c r="D5493" s="1">
        <v>44064.930011574077</v>
      </c>
      <c r="E5493" t="s">
        <v>17093</v>
      </c>
      <c r="F5493" t="s">
        <v>464</v>
      </c>
      <c r="G5493" t="s">
        <v>17069</v>
      </c>
      <c r="H5493" t="s">
        <v>466</v>
      </c>
      <c r="I5493" t="s">
        <v>29</v>
      </c>
      <c r="J5493">
        <v>1</v>
      </c>
      <c r="K5493">
        <f>1-866-667-2499</f>
        <v>-4031</v>
      </c>
      <c r="L5493" t="s">
        <v>17094</v>
      </c>
      <c r="M5493" t="s">
        <v>17095</v>
      </c>
      <c r="N5493" t="s">
        <v>674</v>
      </c>
      <c r="O5493" t="s">
        <v>134</v>
      </c>
      <c r="P5493" t="s">
        <v>29</v>
      </c>
      <c r="Q5493">
        <v>40</v>
      </c>
      <c r="R5493">
        <v>-99.999999000000003</v>
      </c>
    </row>
    <row r="5494" spans="1:18" x14ac:dyDescent="0.2">
      <c r="A5494" t="s">
        <v>18</v>
      </c>
      <c r="B5494" t="s">
        <v>462</v>
      </c>
      <c r="C5494">
        <v>1</v>
      </c>
      <c r="D5494" s="1">
        <v>44064.929618055554</v>
      </c>
      <c r="E5494" t="s">
        <v>17096</v>
      </c>
      <c r="F5494" t="s">
        <v>464</v>
      </c>
      <c r="G5494" t="s">
        <v>17069</v>
      </c>
      <c r="H5494" t="s">
        <v>466</v>
      </c>
      <c r="I5494" t="s">
        <v>29</v>
      </c>
      <c r="J5494">
        <v>1</v>
      </c>
      <c r="K5494">
        <f>1-888-833-8354</f>
        <v>-10074</v>
      </c>
      <c r="L5494" t="s">
        <v>17097</v>
      </c>
      <c r="M5494" t="s">
        <v>17098</v>
      </c>
      <c r="N5494" t="s">
        <v>447</v>
      </c>
      <c r="O5494" t="s">
        <v>134</v>
      </c>
      <c r="P5494" t="s">
        <v>29</v>
      </c>
      <c r="Q5494">
        <v>40</v>
      </c>
      <c r="R5494">
        <v>-99.999999000000003</v>
      </c>
    </row>
    <row r="5495" spans="1:18" x14ac:dyDescent="0.2">
      <c r="A5495" t="s">
        <v>18</v>
      </c>
      <c r="B5495" t="s">
        <v>462</v>
      </c>
      <c r="C5495">
        <v>1</v>
      </c>
      <c r="D5495" s="1">
        <v>44064.929398148146</v>
      </c>
      <c r="E5495" t="s">
        <v>17099</v>
      </c>
      <c r="F5495" t="s">
        <v>464</v>
      </c>
      <c r="G5495" t="s">
        <v>17069</v>
      </c>
      <c r="H5495" t="s">
        <v>466</v>
      </c>
      <c r="I5495" t="s">
        <v>29</v>
      </c>
      <c r="J5495">
        <v>1</v>
      </c>
      <c r="K5495">
        <f>1-877-466-6339</f>
        <v>-7681</v>
      </c>
      <c r="L5495" t="s">
        <v>17100</v>
      </c>
      <c r="M5495" t="s">
        <v>17101</v>
      </c>
      <c r="N5495" t="s">
        <v>674</v>
      </c>
      <c r="O5495" t="s">
        <v>134</v>
      </c>
      <c r="P5495" t="s">
        <v>29</v>
      </c>
      <c r="Q5495">
        <v>40</v>
      </c>
      <c r="R5495">
        <v>-99.999999000000003</v>
      </c>
    </row>
    <row r="5496" spans="1:18" x14ac:dyDescent="0.2">
      <c r="A5496" t="s">
        <v>18</v>
      </c>
      <c r="B5496" t="s">
        <v>462</v>
      </c>
      <c r="C5496">
        <v>1</v>
      </c>
      <c r="D5496" s="1">
        <v>44064.929270833331</v>
      </c>
      <c r="E5496" t="s">
        <v>17102</v>
      </c>
      <c r="F5496" t="s">
        <v>464</v>
      </c>
      <c r="G5496" t="s">
        <v>17069</v>
      </c>
      <c r="H5496" t="s">
        <v>466</v>
      </c>
      <c r="I5496" t="s">
        <v>29</v>
      </c>
      <c r="J5496">
        <v>1</v>
      </c>
      <c r="K5496">
        <f>1-866-667-2499</f>
        <v>-4031</v>
      </c>
      <c r="L5496" t="s">
        <v>17103</v>
      </c>
      <c r="M5496" t="s">
        <v>17104</v>
      </c>
      <c r="N5496" t="s">
        <v>3441</v>
      </c>
      <c r="O5496" t="s">
        <v>134</v>
      </c>
      <c r="P5496" t="s">
        <v>29</v>
      </c>
      <c r="Q5496">
        <v>40</v>
      </c>
      <c r="R5496">
        <v>-99.999999000000003</v>
      </c>
    </row>
    <row r="5497" spans="1:18" x14ac:dyDescent="0.2">
      <c r="A5497" t="s">
        <v>18</v>
      </c>
      <c r="B5497" t="s">
        <v>462</v>
      </c>
      <c r="C5497">
        <v>1</v>
      </c>
      <c r="D5497" s="1">
        <v>44064.929085648146</v>
      </c>
      <c r="E5497" t="s">
        <v>17105</v>
      </c>
      <c r="F5497" t="s">
        <v>464</v>
      </c>
      <c r="G5497" t="s">
        <v>17069</v>
      </c>
      <c r="H5497" t="s">
        <v>466</v>
      </c>
      <c r="I5497" t="s">
        <v>29</v>
      </c>
      <c r="J5497">
        <v>1</v>
      </c>
      <c r="K5497">
        <f>1-866-667-2499</f>
        <v>-4031</v>
      </c>
      <c r="L5497" t="s">
        <v>17106</v>
      </c>
      <c r="M5497" t="s">
        <v>17107</v>
      </c>
      <c r="N5497" t="s">
        <v>447</v>
      </c>
      <c r="O5497" t="s">
        <v>134</v>
      </c>
      <c r="P5497" t="s">
        <v>29</v>
      </c>
      <c r="Q5497">
        <v>40</v>
      </c>
      <c r="R5497">
        <v>-99.999999000000003</v>
      </c>
    </row>
    <row r="5498" spans="1:18" x14ac:dyDescent="0.2">
      <c r="A5498" t="s">
        <v>18</v>
      </c>
      <c r="B5498" t="s">
        <v>462</v>
      </c>
      <c r="C5498">
        <v>1</v>
      </c>
      <c r="D5498" s="1">
        <v>44064.928518518522</v>
      </c>
      <c r="E5498" t="s">
        <v>17108</v>
      </c>
      <c r="F5498" t="s">
        <v>464</v>
      </c>
      <c r="G5498" t="s">
        <v>17069</v>
      </c>
      <c r="H5498" t="s">
        <v>466</v>
      </c>
      <c r="I5498" t="s">
        <v>29</v>
      </c>
      <c r="J5498">
        <v>1</v>
      </c>
      <c r="K5498">
        <f>1-877-466-6339</f>
        <v>-7681</v>
      </c>
      <c r="L5498" t="s">
        <v>17109</v>
      </c>
      <c r="M5498" t="s">
        <v>17110</v>
      </c>
      <c r="N5498" t="s">
        <v>674</v>
      </c>
      <c r="O5498" t="s">
        <v>134</v>
      </c>
      <c r="P5498" t="s">
        <v>29</v>
      </c>
      <c r="Q5498">
        <v>40</v>
      </c>
      <c r="R5498">
        <v>-99.999999000000003</v>
      </c>
    </row>
    <row r="5499" spans="1:18" x14ac:dyDescent="0.2">
      <c r="A5499" t="s">
        <v>663</v>
      </c>
      <c r="B5499" t="s">
        <v>664</v>
      </c>
      <c r="C5499">
        <v>1</v>
      </c>
      <c r="D5499" s="1">
        <v>44064.94635416667</v>
      </c>
      <c r="E5499" t="s">
        <v>17111</v>
      </c>
      <c r="F5499" t="s">
        <v>666</v>
      </c>
      <c r="G5499" t="s">
        <v>17111</v>
      </c>
      <c r="H5499" t="s">
        <v>667</v>
      </c>
      <c r="I5499" t="s">
        <v>29</v>
      </c>
      <c r="J5499">
        <v>1</v>
      </c>
      <c r="K5499">
        <f>1-888-851-516</f>
        <v>-2254</v>
      </c>
      <c r="L5499" t="s">
        <v>17112</v>
      </c>
      <c r="M5499" t="s">
        <v>17113</v>
      </c>
      <c r="N5499">
        <v>129</v>
      </c>
      <c r="O5499" t="s">
        <v>134</v>
      </c>
      <c r="P5499" t="s">
        <v>29</v>
      </c>
      <c r="Q5499">
        <v>37</v>
      </c>
      <c r="R5499">
        <v>-99.999999000000003</v>
      </c>
    </row>
    <row r="5500" spans="1:18" x14ac:dyDescent="0.2">
      <c r="A5500" t="s">
        <v>5349</v>
      </c>
      <c r="B5500" t="s">
        <v>440</v>
      </c>
      <c r="C5500">
        <v>81</v>
      </c>
      <c r="D5500" s="1">
        <v>44065.207499999997</v>
      </c>
      <c r="E5500" t="s">
        <v>17114</v>
      </c>
      <c r="F5500" t="s">
        <v>2236</v>
      </c>
      <c r="G5500" t="s">
        <v>17114</v>
      </c>
      <c r="H5500" t="s">
        <v>2237</v>
      </c>
      <c r="I5500" t="s">
        <v>53</v>
      </c>
      <c r="J5500">
        <v>81</v>
      </c>
      <c r="K5500">
        <f>81-50-5539-720</f>
        <v>-6228</v>
      </c>
      <c r="L5500" t="s">
        <v>17115</v>
      </c>
      <c r="M5500" t="s">
        <v>17116</v>
      </c>
      <c r="N5500">
        <v>117</v>
      </c>
      <c r="O5500" t="s">
        <v>134</v>
      </c>
      <c r="P5500" t="s">
        <v>29</v>
      </c>
      <c r="Q5500">
        <v>39</v>
      </c>
      <c r="R5500">
        <v>-77.487399999999994</v>
      </c>
    </row>
    <row r="5501" spans="1:18" x14ac:dyDescent="0.2">
      <c r="A5501" t="s">
        <v>5790</v>
      </c>
      <c r="B5501" t="s">
        <v>3245</v>
      </c>
      <c r="C5501">
        <v>1</v>
      </c>
      <c r="D5501" s="1">
        <v>44064.959629629629</v>
      </c>
      <c r="E5501" t="s">
        <v>17117</v>
      </c>
      <c r="F5501" t="s">
        <v>5793</v>
      </c>
      <c r="G5501" t="s">
        <v>17118</v>
      </c>
      <c r="H5501" t="s">
        <v>5795</v>
      </c>
      <c r="I5501" t="s">
        <v>29</v>
      </c>
      <c r="J5501">
        <v>1</v>
      </c>
      <c r="K5501">
        <f>1-844-795-21</f>
        <v>-1659</v>
      </c>
      <c r="L5501" t="s">
        <v>17119</v>
      </c>
      <c r="M5501" t="s">
        <v>17120</v>
      </c>
      <c r="N5501" t="s">
        <v>452</v>
      </c>
      <c r="O5501" t="s">
        <v>28</v>
      </c>
      <c r="P5501" t="s">
        <v>29</v>
      </c>
      <c r="Q5501">
        <v>41</v>
      </c>
      <c r="R5501">
        <v>-74.1267</v>
      </c>
    </row>
    <row r="5502" spans="1:18" x14ac:dyDescent="0.2">
      <c r="A5502" t="s">
        <v>663</v>
      </c>
      <c r="B5502" t="s">
        <v>664</v>
      </c>
      <c r="C5502">
        <v>1</v>
      </c>
      <c r="D5502" s="1">
        <v>44064.998483796298</v>
      </c>
      <c r="E5502" t="s">
        <v>17121</v>
      </c>
      <c r="F5502" t="s">
        <v>666</v>
      </c>
      <c r="G5502" t="s">
        <v>17122</v>
      </c>
      <c r="H5502" t="s">
        <v>667</v>
      </c>
      <c r="I5502" t="s">
        <v>29</v>
      </c>
      <c r="J5502">
        <v>1</v>
      </c>
      <c r="K5502">
        <f>1-855-457-27</f>
        <v>-1338</v>
      </c>
      <c r="L5502" t="s">
        <v>17123</v>
      </c>
      <c r="M5502" t="s">
        <v>17124</v>
      </c>
      <c r="N5502" t="s">
        <v>1645</v>
      </c>
      <c r="O5502" t="s">
        <v>28</v>
      </c>
      <c r="P5502" t="s">
        <v>29</v>
      </c>
      <c r="Q5502">
        <v>37</v>
      </c>
      <c r="R5502">
        <v>-99.999999000000003</v>
      </c>
    </row>
    <row r="5503" spans="1:18" x14ac:dyDescent="0.2">
      <c r="A5503" t="s">
        <v>439</v>
      </c>
      <c r="B5503" t="s">
        <v>3094</v>
      </c>
      <c r="C5503">
        <v>81</v>
      </c>
      <c r="D5503" s="1">
        <v>44065.549699074072</v>
      </c>
      <c r="E5503" t="s">
        <v>17125</v>
      </c>
      <c r="F5503" t="s">
        <v>442</v>
      </c>
      <c r="G5503" t="s">
        <v>17126</v>
      </c>
      <c r="H5503" t="s">
        <v>444</v>
      </c>
      <c r="I5503" t="s">
        <v>53</v>
      </c>
      <c r="J5503">
        <v>81</v>
      </c>
      <c r="K5503">
        <f>81-50-5534-279</f>
        <v>-5782</v>
      </c>
      <c r="L5503" t="s">
        <v>17127</v>
      </c>
      <c r="M5503" t="s">
        <v>17128</v>
      </c>
      <c r="N5503" t="s">
        <v>447</v>
      </c>
      <c r="O5503" t="s">
        <v>28</v>
      </c>
      <c r="P5503" t="s">
        <v>2268</v>
      </c>
      <c r="Q5503">
        <v>46</v>
      </c>
      <c r="R5503">
        <v>-73.567300000000003</v>
      </c>
    </row>
    <row r="5504" spans="1:18" x14ac:dyDescent="0.2">
      <c r="A5504" t="s">
        <v>439</v>
      </c>
      <c r="B5504" t="s">
        <v>3094</v>
      </c>
      <c r="C5504">
        <v>81</v>
      </c>
      <c r="D5504" s="1">
        <v>44065.209027777775</v>
      </c>
      <c r="E5504" t="s">
        <v>17125</v>
      </c>
      <c r="F5504" t="s">
        <v>442</v>
      </c>
      <c r="G5504" t="s">
        <v>17126</v>
      </c>
      <c r="H5504" t="s">
        <v>444</v>
      </c>
      <c r="I5504" t="s">
        <v>53</v>
      </c>
      <c r="J5504">
        <v>81</v>
      </c>
      <c r="K5504">
        <f>81-50-5534-279</f>
        <v>-5782</v>
      </c>
      <c r="L5504" t="s">
        <v>17129</v>
      </c>
      <c r="M5504" t="s">
        <v>17130</v>
      </c>
      <c r="N5504" t="s">
        <v>447</v>
      </c>
      <c r="O5504" t="s">
        <v>28</v>
      </c>
      <c r="P5504" t="s">
        <v>2268</v>
      </c>
      <c r="Q5504">
        <v>46</v>
      </c>
      <c r="R5504">
        <v>-73.567300000000003</v>
      </c>
    </row>
    <row r="5505" spans="1:18" x14ac:dyDescent="0.2">
      <c r="A5505" t="s">
        <v>439</v>
      </c>
      <c r="B5505" t="s">
        <v>3094</v>
      </c>
      <c r="C5505">
        <v>1</v>
      </c>
      <c r="D5505" s="1">
        <v>44065.186273148145</v>
      </c>
      <c r="E5505" t="s">
        <v>17131</v>
      </c>
      <c r="F5505" t="s">
        <v>442</v>
      </c>
      <c r="G5505" t="s">
        <v>17132</v>
      </c>
      <c r="H5505" t="s">
        <v>444</v>
      </c>
      <c r="I5505" t="s">
        <v>29</v>
      </c>
      <c r="J5505">
        <v>1</v>
      </c>
      <c r="K5505">
        <f>1-833-253-5263</f>
        <v>-6348</v>
      </c>
      <c r="L5505" t="s">
        <v>17133</v>
      </c>
      <c r="M5505" t="s">
        <v>17134</v>
      </c>
      <c r="N5505" t="s">
        <v>213</v>
      </c>
      <c r="O5505" t="s">
        <v>28</v>
      </c>
      <c r="P5505" t="s">
        <v>2268</v>
      </c>
      <c r="Q5505">
        <v>46</v>
      </c>
      <c r="R5505">
        <v>-73.567300000000003</v>
      </c>
    </row>
    <row r="5506" spans="1:18" x14ac:dyDescent="0.2">
      <c r="A5506" t="s">
        <v>17135</v>
      </c>
      <c r="B5506" t="s">
        <v>17136</v>
      </c>
      <c r="C5506">
        <v>1</v>
      </c>
      <c r="D5506" s="1">
        <v>44065.833194444444</v>
      </c>
      <c r="E5506" t="s">
        <v>17137</v>
      </c>
      <c r="F5506" t="s">
        <v>17138</v>
      </c>
      <c r="G5506" t="s">
        <v>17139</v>
      </c>
      <c r="I5506" t="s">
        <v>29</v>
      </c>
      <c r="J5506">
        <v>1</v>
      </c>
      <c r="K5506">
        <f>1-844-252-7341</f>
        <v>-8436</v>
      </c>
      <c r="L5506" t="s">
        <v>17140</v>
      </c>
      <c r="M5506" t="s">
        <v>17141</v>
      </c>
      <c r="N5506" t="s">
        <v>17142</v>
      </c>
      <c r="O5506" t="s">
        <v>28</v>
      </c>
      <c r="P5506" t="s">
        <v>17143</v>
      </c>
      <c r="Q5506">
        <v>50</v>
      </c>
      <c r="R5506">
        <v>6.1414</v>
      </c>
    </row>
    <row r="5507" spans="1:18" x14ac:dyDescent="0.2">
      <c r="A5507" t="s">
        <v>17135</v>
      </c>
      <c r="B5507" t="s">
        <v>17136</v>
      </c>
      <c r="C5507">
        <v>1</v>
      </c>
      <c r="D5507" s="1">
        <v>44065.552418981482</v>
      </c>
      <c r="E5507" t="s">
        <v>17144</v>
      </c>
      <c r="F5507" t="s">
        <v>17138</v>
      </c>
      <c r="G5507" t="s">
        <v>17139</v>
      </c>
      <c r="I5507" t="s">
        <v>29</v>
      </c>
      <c r="J5507">
        <v>1</v>
      </c>
      <c r="K5507">
        <f>1-844-252-7341</f>
        <v>-8436</v>
      </c>
      <c r="L5507" t="s">
        <v>17145</v>
      </c>
      <c r="M5507" t="s">
        <v>17146</v>
      </c>
      <c r="N5507" t="s">
        <v>5354</v>
      </c>
      <c r="O5507" t="s">
        <v>28</v>
      </c>
      <c r="P5507" t="s">
        <v>17143</v>
      </c>
      <c r="Q5507">
        <v>50</v>
      </c>
      <c r="R5507">
        <v>6.1414</v>
      </c>
    </row>
    <row r="5508" spans="1:18" x14ac:dyDescent="0.2">
      <c r="A5508" t="s">
        <v>17135</v>
      </c>
      <c r="B5508" t="s">
        <v>17136</v>
      </c>
      <c r="C5508">
        <v>1</v>
      </c>
      <c r="D5508" s="1">
        <v>44065.551874999997</v>
      </c>
      <c r="E5508" t="s">
        <v>17147</v>
      </c>
      <c r="F5508" t="s">
        <v>17138</v>
      </c>
      <c r="G5508" t="s">
        <v>17139</v>
      </c>
      <c r="I5508" t="s">
        <v>29</v>
      </c>
      <c r="J5508">
        <v>1</v>
      </c>
      <c r="K5508">
        <f>1-844-252-7341</f>
        <v>-8436</v>
      </c>
      <c r="L5508" t="s">
        <v>17148</v>
      </c>
      <c r="M5508" t="s">
        <v>17149</v>
      </c>
      <c r="N5508" t="s">
        <v>17142</v>
      </c>
      <c r="O5508" t="s">
        <v>28</v>
      </c>
      <c r="P5508" t="s">
        <v>17143</v>
      </c>
      <c r="Q5508">
        <v>50</v>
      </c>
      <c r="R5508">
        <v>6.1414</v>
      </c>
    </row>
    <row r="5509" spans="1:18" x14ac:dyDescent="0.2">
      <c r="A5509" t="s">
        <v>2349</v>
      </c>
      <c r="B5509" t="s">
        <v>6134</v>
      </c>
      <c r="C5509">
        <v>1</v>
      </c>
      <c r="D5509" s="1">
        <v>44065.552627314813</v>
      </c>
      <c r="E5509" t="s">
        <v>17150</v>
      </c>
      <c r="F5509" t="s">
        <v>2352</v>
      </c>
      <c r="G5509" t="s">
        <v>17151</v>
      </c>
      <c r="H5509" t="s">
        <v>2353</v>
      </c>
      <c r="I5509" t="s">
        <v>29</v>
      </c>
      <c r="J5509">
        <v>1</v>
      </c>
      <c r="K5509">
        <f>1-800-513-3494</f>
        <v>-4806</v>
      </c>
      <c r="L5509" t="s">
        <v>17152</v>
      </c>
      <c r="M5509" t="s">
        <v>17153</v>
      </c>
      <c r="N5509" t="s">
        <v>3454</v>
      </c>
      <c r="O5509" t="s">
        <v>28</v>
      </c>
      <c r="P5509" t="s">
        <v>29</v>
      </c>
      <c r="Q5509">
        <v>33</v>
      </c>
      <c r="R5509">
        <v>-96.802099999999996</v>
      </c>
    </row>
    <row r="5510" spans="1:18" x14ac:dyDescent="0.2">
      <c r="A5510" t="s">
        <v>439</v>
      </c>
      <c r="B5510" t="s">
        <v>3094</v>
      </c>
      <c r="C5510">
        <v>33</v>
      </c>
      <c r="D5510" s="1">
        <v>44065.554178240738</v>
      </c>
      <c r="E5510" t="s">
        <v>12309</v>
      </c>
      <c r="F5510" t="s">
        <v>442</v>
      </c>
      <c r="G5510" t="s">
        <v>17154</v>
      </c>
      <c r="H5510" t="s">
        <v>444</v>
      </c>
      <c r="I5510" t="s">
        <v>292</v>
      </c>
      <c r="J5510">
        <v>33</v>
      </c>
      <c r="K5510">
        <f>33-9-71-7-79-72</f>
        <v>-205</v>
      </c>
      <c r="L5510" t="s">
        <v>17155</v>
      </c>
      <c r="M5510" t="s">
        <v>17156</v>
      </c>
      <c r="N5510" t="s">
        <v>3454</v>
      </c>
      <c r="O5510" t="s">
        <v>134</v>
      </c>
      <c r="P5510" t="s">
        <v>2268</v>
      </c>
      <c r="Q5510">
        <v>46</v>
      </c>
      <c r="R5510">
        <v>-73.567300000000003</v>
      </c>
    </row>
    <row r="5511" spans="1:18" x14ac:dyDescent="0.2">
      <c r="A5511" t="s">
        <v>3420</v>
      </c>
      <c r="B5511" t="s">
        <v>17157</v>
      </c>
      <c r="C5511">
        <v>1</v>
      </c>
      <c r="D5511" s="1">
        <v>44066.896631944444</v>
      </c>
      <c r="E5511" t="s">
        <v>17158</v>
      </c>
      <c r="F5511" t="s">
        <v>3422</v>
      </c>
      <c r="G5511" t="s">
        <v>17158</v>
      </c>
      <c r="H5511" t="s">
        <v>3423</v>
      </c>
      <c r="I5511" t="s">
        <v>29</v>
      </c>
      <c r="J5511">
        <v>1</v>
      </c>
      <c r="K5511">
        <f>1-844-615-3210</f>
        <v>-4668</v>
      </c>
      <c r="L5511" t="s">
        <v>17159</v>
      </c>
      <c r="M5511" t="s">
        <v>17160</v>
      </c>
      <c r="N5511">
        <v>156</v>
      </c>
      <c r="O5511" t="s">
        <v>134</v>
      </c>
      <c r="P5511" t="s">
        <v>29</v>
      </c>
      <c r="Q5511">
        <v>36</v>
      </c>
      <c r="R5511">
        <v>-99.999999000000003</v>
      </c>
    </row>
    <row r="5512" spans="1:18" x14ac:dyDescent="0.2">
      <c r="A5512" t="s">
        <v>3420</v>
      </c>
      <c r="B5512" t="s">
        <v>17157</v>
      </c>
      <c r="C5512">
        <v>1</v>
      </c>
      <c r="D5512" s="1">
        <v>44065.845578703702</v>
      </c>
      <c r="E5512" t="s">
        <v>17158</v>
      </c>
      <c r="F5512" t="s">
        <v>3422</v>
      </c>
      <c r="G5512" t="s">
        <v>17158</v>
      </c>
      <c r="H5512" t="s">
        <v>3423</v>
      </c>
      <c r="I5512" t="s">
        <v>29</v>
      </c>
      <c r="J5512">
        <v>1</v>
      </c>
      <c r="K5512">
        <f>1-844-821-1674</f>
        <v>-3338</v>
      </c>
      <c r="L5512" t="s">
        <v>17161</v>
      </c>
      <c r="M5512" t="s">
        <v>17162</v>
      </c>
      <c r="N5512">
        <v>156</v>
      </c>
      <c r="O5512" t="s">
        <v>134</v>
      </c>
      <c r="P5512" t="s">
        <v>29</v>
      </c>
      <c r="Q5512">
        <v>36</v>
      </c>
      <c r="R5512">
        <v>-99.999999000000003</v>
      </c>
    </row>
    <row r="5513" spans="1:18" x14ac:dyDescent="0.2">
      <c r="A5513" t="s">
        <v>3420</v>
      </c>
      <c r="B5513" t="s">
        <v>17157</v>
      </c>
      <c r="C5513">
        <v>1</v>
      </c>
      <c r="D5513" s="1">
        <v>44065.841423611113</v>
      </c>
      <c r="E5513" t="s">
        <v>17158</v>
      </c>
      <c r="F5513" t="s">
        <v>3422</v>
      </c>
      <c r="G5513" t="s">
        <v>17158</v>
      </c>
      <c r="H5513" t="s">
        <v>3423</v>
      </c>
      <c r="I5513" t="s">
        <v>29</v>
      </c>
      <c r="J5513">
        <v>1</v>
      </c>
      <c r="K5513">
        <f>1-844-805-3456</f>
        <v>-5104</v>
      </c>
      <c r="L5513" t="s">
        <v>17163</v>
      </c>
      <c r="M5513" t="s">
        <v>17164</v>
      </c>
      <c r="N5513">
        <v>156</v>
      </c>
      <c r="O5513" t="s">
        <v>134</v>
      </c>
      <c r="P5513" t="s">
        <v>29</v>
      </c>
      <c r="Q5513">
        <v>36</v>
      </c>
      <c r="R5513">
        <v>-99.999999000000003</v>
      </c>
    </row>
    <row r="5514" spans="1:18" x14ac:dyDescent="0.2">
      <c r="A5514" t="s">
        <v>3420</v>
      </c>
      <c r="B5514" t="s">
        <v>17157</v>
      </c>
      <c r="C5514">
        <v>1</v>
      </c>
      <c r="D5514" s="1">
        <v>44065.837106481478</v>
      </c>
      <c r="E5514" t="s">
        <v>17158</v>
      </c>
      <c r="F5514" t="s">
        <v>3422</v>
      </c>
      <c r="G5514" t="s">
        <v>17158</v>
      </c>
      <c r="H5514" t="s">
        <v>3423</v>
      </c>
      <c r="I5514" t="s">
        <v>29</v>
      </c>
      <c r="J5514">
        <v>1</v>
      </c>
      <c r="K5514">
        <f>1-844-929-1034</f>
        <v>-2806</v>
      </c>
      <c r="L5514" t="s">
        <v>17165</v>
      </c>
      <c r="M5514" t="s">
        <v>17166</v>
      </c>
      <c r="N5514">
        <v>156</v>
      </c>
      <c r="O5514" t="s">
        <v>134</v>
      </c>
      <c r="P5514" t="s">
        <v>29</v>
      </c>
      <c r="Q5514">
        <v>36</v>
      </c>
      <c r="R5514">
        <v>-99.999999000000003</v>
      </c>
    </row>
    <row r="5515" spans="1:18" x14ac:dyDescent="0.2">
      <c r="A5515" t="s">
        <v>3420</v>
      </c>
      <c r="B5515" t="s">
        <v>17157</v>
      </c>
      <c r="C5515">
        <v>1</v>
      </c>
      <c r="D5515" s="1">
        <v>44065.811192129629</v>
      </c>
      <c r="E5515" t="s">
        <v>17158</v>
      </c>
      <c r="F5515" t="s">
        <v>3422</v>
      </c>
      <c r="G5515" t="s">
        <v>17158</v>
      </c>
      <c r="H5515" t="s">
        <v>3423</v>
      </c>
      <c r="I5515" t="s">
        <v>29</v>
      </c>
      <c r="J5515">
        <v>1</v>
      </c>
      <c r="K5515">
        <f>1-844-212-9266</f>
        <v>-10321</v>
      </c>
      <c r="L5515" t="s">
        <v>17167</v>
      </c>
      <c r="M5515" t="s">
        <v>17168</v>
      </c>
      <c r="N5515">
        <v>156</v>
      </c>
      <c r="O5515" t="s">
        <v>134</v>
      </c>
      <c r="P5515" t="s">
        <v>29</v>
      </c>
      <c r="Q5515">
        <v>36</v>
      </c>
      <c r="R5515">
        <v>-99.999999000000003</v>
      </c>
    </row>
    <row r="5516" spans="1:18" x14ac:dyDescent="0.2">
      <c r="A5516" t="s">
        <v>3420</v>
      </c>
      <c r="B5516" t="s">
        <v>17157</v>
      </c>
      <c r="C5516">
        <v>1</v>
      </c>
      <c r="D5516" s="1">
        <v>44065.809652777774</v>
      </c>
      <c r="E5516" t="s">
        <v>17158</v>
      </c>
      <c r="F5516" t="s">
        <v>3422</v>
      </c>
      <c r="G5516" t="s">
        <v>17158</v>
      </c>
      <c r="H5516" t="s">
        <v>3423</v>
      </c>
      <c r="I5516" t="s">
        <v>29</v>
      </c>
      <c r="J5516">
        <v>1</v>
      </c>
      <c r="K5516">
        <f>1-844-394-2619</f>
        <v>-3856</v>
      </c>
      <c r="L5516" t="s">
        <v>17169</v>
      </c>
      <c r="M5516" t="s">
        <v>17170</v>
      </c>
      <c r="N5516">
        <v>156</v>
      </c>
      <c r="O5516" t="s">
        <v>134</v>
      </c>
      <c r="P5516" t="s">
        <v>29</v>
      </c>
      <c r="Q5516">
        <v>36</v>
      </c>
      <c r="R5516">
        <v>-99.999999000000003</v>
      </c>
    </row>
    <row r="5517" spans="1:18" x14ac:dyDescent="0.2">
      <c r="A5517" t="s">
        <v>3420</v>
      </c>
      <c r="B5517" t="s">
        <v>17157</v>
      </c>
      <c r="C5517">
        <v>1</v>
      </c>
      <c r="D5517" s="1">
        <v>44065.798842592594</v>
      </c>
      <c r="E5517" t="s">
        <v>17158</v>
      </c>
      <c r="F5517" t="s">
        <v>3422</v>
      </c>
      <c r="G5517" t="s">
        <v>17158</v>
      </c>
      <c r="H5517" t="s">
        <v>3423</v>
      </c>
      <c r="I5517" t="s">
        <v>29</v>
      </c>
      <c r="J5517">
        <v>1</v>
      </c>
      <c r="K5517">
        <f>1-844-205-8860</f>
        <v>-9908</v>
      </c>
      <c r="L5517" t="s">
        <v>17171</v>
      </c>
      <c r="M5517" t="s">
        <v>17172</v>
      </c>
      <c r="N5517">
        <v>156</v>
      </c>
      <c r="O5517" t="s">
        <v>134</v>
      </c>
      <c r="P5517" t="s">
        <v>29</v>
      </c>
      <c r="Q5517">
        <v>36</v>
      </c>
      <c r="R5517">
        <v>-99.999999000000003</v>
      </c>
    </row>
    <row r="5518" spans="1:18" x14ac:dyDescent="0.2">
      <c r="A5518" t="s">
        <v>3420</v>
      </c>
      <c r="B5518" t="s">
        <v>17157</v>
      </c>
      <c r="C5518">
        <v>1</v>
      </c>
      <c r="D5518" s="1">
        <v>44065.793645833335</v>
      </c>
      <c r="E5518" t="s">
        <v>17158</v>
      </c>
      <c r="F5518" t="s">
        <v>3422</v>
      </c>
      <c r="G5518" t="s">
        <v>17158</v>
      </c>
      <c r="H5518" t="s">
        <v>3423</v>
      </c>
      <c r="I5518" t="s">
        <v>29</v>
      </c>
      <c r="J5518">
        <v>1</v>
      </c>
      <c r="K5518">
        <f>1-844-243-2980</f>
        <v>-4066</v>
      </c>
      <c r="L5518" t="s">
        <v>17173</v>
      </c>
      <c r="M5518" t="s">
        <v>17174</v>
      </c>
      <c r="N5518">
        <v>156</v>
      </c>
      <c r="O5518" t="s">
        <v>134</v>
      </c>
      <c r="P5518" t="s">
        <v>29</v>
      </c>
      <c r="Q5518">
        <v>36</v>
      </c>
      <c r="R5518">
        <v>-99.999999000000003</v>
      </c>
    </row>
    <row r="5519" spans="1:18" x14ac:dyDescent="0.2">
      <c r="A5519" t="s">
        <v>270</v>
      </c>
      <c r="B5519" t="s">
        <v>4281</v>
      </c>
      <c r="C5519">
        <v>1</v>
      </c>
      <c r="D5519" s="1">
        <v>44065.827673611115</v>
      </c>
      <c r="E5519" t="s">
        <v>17175</v>
      </c>
      <c r="F5519" t="s">
        <v>273</v>
      </c>
      <c r="G5519" t="s">
        <v>17176</v>
      </c>
      <c r="H5519" t="s">
        <v>275</v>
      </c>
      <c r="I5519" t="s">
        <v>29</v>
      </c>
      <c r="J5519">
        <v>1</v>
      </c>
      <c r="K5519">
        <f>1-866-209-9111</f>
        <v>-10185</v>
      </c>
      <c r="L5519" t="s">
        <v>17177</v>
      </c>
      <c r="M5519" t="s">
        <v>17178</v>
      </c>
      <c r="N5519" t="s">
        <v>278</v>
      </c>
      <c r="O5519" t="s">
        <v>28</v>
      </c>
      <c r="P5519" t="s">
        <v>24</v>
      </c>
      <c r="Q5519">
        <v>50</v>
      </c>
      <c r="R5519">
        <v>8.6821269999999995</v>
      </c>
    </row>
    <row r="5520" spans="1:18" x14ac:dyDescent="0.2">
      <c r="A5520" t="s">
        <v>663</v>
      </c>
      <c r="B5520" t="s">
        <v>664</v>
      </c>
      <c r="C5520">
        <v>81</v>
      </c>
      <c r="D5520" s="1">
        <v>44066.002303240741</v>
      </c>
      <c r="E5520" t="s">
        <v>17179</v>
      </c>
      <c r="F5520" t="s">
        <v>666</v>
      </c>
      <c r="G5520" t="s">
        <v>17180</v>
      </c>
      <c r="H5520" t="s">
        <v>667</v>
      </c>
      <c r="I5520" t="s">
        <v>53</v>
      </c>
      <c r="J5520">
        <v>81</v>
      </c>
      <c r="K5520">
        <f>81-50-5806-4549</f>
        <v>-10324</v>
      </c>
      <c r="L5520" t="s">
        <v>17181</v>
      </c>
      <c r="M5520" t="s">
        <v>17182</v>
      </c>
      <c r="N5520" t="s">
        <v>447</v>
      </c>
      <c r="O5520" t="s">
        <v>28</v>
      </c>
      <c r="P5520" t="s">
        <v>29</v>
      </c>
      <c r="Q5520">
        <v>37</v>
      </c>
      <c r="R5520">
        <v>-99.999999000000003</v>
      </c>
    </row>
    <row r="5521" spans="1:18" x14ac:dyDescent="0.2">
      <c r="A5521" t="s">
        <v>663</v>
      </c>
      <c r="B5521" t="s">
        <v>664</v>
      </c>
      <c r="C5521">
        <v>81</v>
      </c>
      <c r="D5521" s="1">
        <v>44066.417592592596</v>
      </c>
      <c r="E5521" t="s">
        <v>17183</v>
      </c>
      <c r="F5521" t="s">
        <v>666</v>
      </c>
      <c r="G5521" t="s">
        <v>17180</v>
      </c>
      <c r="H5521" t="s">
        <v>667</v>
      </c>
      <c r="I5521" t="s">
        <v>53</v>
      </c>
      <c r="J5521">
        <v>81</v>
      </c>
      <c r="K5521">
        <f>81-50-5534-279</f>
        <v>-5782</v>
      </c>
      <c r="L5521" t="s">
        <v>17184</v>
      </c>
      <c r="M5521" t="s">
        <v>17185</v>
      </c>
      <c r="N5521" t="s">
        <v>674</v>
      </c>
      <c r="O5521" t="s">
        <v>28</v>
      </c>
      <c r="P5521" t="s">
        <v>29</v>
      </c>
      <c r="Q5521">
        <v>37</v>
      </c>
      <c r="R5521">
        <v>-99.999999000000003</v>
      </c>
    </row>
    <row r="5522" spans="1:18" x14ac:dyDescent="0.2">
      <c r="A5522" t="s">
        <v>663</v>
      </c>
      <c r="B5522" t="s">
        <v>664</v>
      </c>
      <c r="C5522">
        <v>1</v>
      </c>
      <c r="D5522" s="1">
        <v>44065.888854166667</v>
      </c>
      <c r="E5522" t="s">
        <v>17186</v>
      </c>
      <c r="F5522" t="s">
        <v>666</v>
      </c>
      <c r="G5522" t="s">
        <v>17186</v>
      </c>
      <c r="H5522" t="s">
        <v>667</v>
      </c>
      <c r="I5522" t="s">
        <v>29</v>
      </c>
      <c r="J5522">
        <v>1</v>
      </c>
      <c r="K5522">
        <f>1-855-956-253</f>
        <v>-2063</v>
      </c>
      <c r="L5522" t="s">
        <v>17187</v>
      </c>
      <c r="M5522" t="s">
        <v>17188</v>
      </c>
      <c r="N5522">
        <v>141</v>
      </c>
      <c r="O5522" t="s">
        <v>134</v>
      </c>
      <c r="P5522" t="s">
        <v>29</v>
      </c>
      <c r="Q5522">
        <v>37</v>
      </c>
      <c r="R5522">
        <v>-99.999999000000003</v>
      </c>
    </row>
    <row r="5523" spans="1:18" x14ac:dyDescent="0.2">
      <c r="A5523" t="s">
        <v>663</v>
      </c>
      <c r="B5523" t="s">
        <v>664</v>
      </c>
      <c r="C5523">
        <v>1</v>
      </c>
      <c r="D5523" s="1">
        <v>44065.875949074078</v>
      </c>
      <c r="E5523" t="s">
        <v>17189</v>
      </c>
      <c r="F5523" t="s">
        <v>666</v>
      </c>
      <c r="G5523" t="s">
        <v>17186</v>
      </c>
      <c r="H5523" t="s">
        <v>667</v>
      </c>
      <c r="I5523" t="s">
        <v>29</v>
      </c>
      <c r="J5523">
        <v>1</v>
      </c>
      <c r="K5523">
        <f>1-855-956-253</f>
        <v>-2063</v>
      </c>
      <c r="L5523" t="s">
        <v>17190</v>
      </c>
      <c r="M5523" t="s">
        <v>17191</v>
      </c>
      <c r="N5523" t="s">
        <v>1645</v>
      </c>
      <c r="O5523" t="s">
        <v>28</v>
      </c>
      <c r="P5523" t="s">
        <v>29</v>
      </c>
      <c r="Q5523">
        <v>37</v>
      </c>
      <c r="R5523">
        <v>-99.999999000000003</v>
      </c>
    </row>
    <row r="5524" spans="1:18" x14ac:dyDescent="0.2">
      <c r="A5524" t="s">
        <v>270</v>
      </c>
      <c r="B5524" t="s">
        <v>271</v>
      </c>
      <c r="C5524">
        <v>34</v>
      </c>
      <c r="D5524" s="1">
        <v>44065.890775462962</v>
      </c>
      <c r="E5524" t="s">
        <v>17192</v>
      </c>
      <c r="F5524" t="s">
        <v>273</v>
      </c>
      <c r="G5524" t="s">
        <v>17193</v>
      </c>
      <c r="H5524" t="s">
        <v>275</v>
      </c>
      <c r="I5524" t="s">
        <v>700</v>
      </c>
      <c r="J5524">
        <v>34</v>
      </c>
      <c r="K5524">
        <f>34-900-670-25</f>
        <v>-1561</v>
      </c>
      <c r="L5524" t="s">
        <v>17194</v>
      </c>
      <c r="M5524" t="s">
        <v>17195</v>
      </c>
      <c r="N5524" t="s">
        <v>278</v>
      </c>
      <c r="O5524" t="s">
        <v>134</v>
      </c>
      <c r="P5524" t="s">
        <v>29</v>
      </c>
      <c r="Q5524">
        <v>42</v>
      </c>
      <c r="R5524">
        <v>-93.620800000000003</v>
      </c>
    </row>
    <row r="5525" spans="1:18" x14ac:dyDescent="0.2">
      <c r="A5525" t="s">
        <v>439</v>
      </c>
      <c r="B5525" t="s">
        <v>3094</v>
      </c>
      <c r="C5525">
        <v>1</v>
      </c>
      <c r="D5525" s="1">
        <v>44066.067939814813</v>
      </c>
      <c r="E5525" t="s">
        <v>17196</v>
      </c>
      <c r="F5525" t="s">
        <v>442</v>
      </c>
      <c r="G5525" t="s">
        <v>17197</v>
      </c>
      <c r="H5525" t="s">
        <v>444</v>
      </c>
      <c r="I5525" t="s">
        <v>29</v>
      </c>
      <c r="J5525">
        <v>1</v>
      </c>
      <c r="K5525">
        <f>1-855-956-269</f>
        <v>-2079</v>
      </c>
      <c r="L5525" t="s">
        <v>17198</v>
      </c>
      <c r="M5525" t="s">
        <v>17199</v>
      </c>
      <c r="N5525" t="s">
        <v>213</v>
      </c>
      <c r="O5525" t="s">
        <v>28</v>
      </c>
      <c r="P5525" t="s">
        <v>2268</v>
      </c>
      <c r="Q5525">
        <v>46</v>
      </c>
      <c r="R5525">
        <v>-73.567300000000003</v>
      </c>
    </row>
    <row r="5526" spans="1:18" x14ac:dyDescent="0.2">
      <c r="A5526" t="s">
        <v>2349</v>
      </c>
      <c r="B5526" t="s">
        <v>6134</v>
      </c>
      <c r="C5526">
        <v>1</v>
      </c>
      <c r="D5526" s="1">
        <v>44066.249386574076</v>
      </c>
      <c r="E5526" t="s">
        <v>17200</v>
      </c>
      <c r="F5526" t="s">
        <v>2352</v>
      </c>
      <c r="G5526" t="s">
        <v>17201</v>
      </c>
      <c r="H5526" t="s">
        <v>2353</v>
      </c>
      <c r="I5526" t="s">
        <v>29</v>
      </c>
      <c r="J5526">
        <v>1</v>
      </c>
      <c r="K5526">
        <f>1-866-900-307</f>
        <v>-2072</v>
      </c>
      <c r="L5526" t="s">
        <v>17202</v>
      </c>
      <c r="M5526" t="s">
        <v>17203</v>
      </c>
      <c r="N5526" t="s">
        <v>5986</v>
      </c>
      <c r="O5526" t="s">
        <v>28</v>
      </c>
      <c r="P5526" t="s">
        <v>29</v>
      </c>
      <c r="Q5526">
        <v>33</v>
      </c>
      <c r="R5526">
        <v>-96.802099999999996</v>
      </c>
    </row>
    <row r="5527" spans="1:18" x14ac:dyDescent="0.2">
      <c r="A5527" t="s">
        <v>270</v>
      </c>
      <c r="B5527" t="s">
        <v>9922</v>
      </c>
      <c r="C5527">
        <v>1</v>
      </c>
      <c r="D5527" s="1">
        <v>44078.852754629632</v>
      </c>
      <c r="E5527" t="s">
        <v>17204</v>
      </c>
      <c r="F5527" t="s">
        <v>273</v>
      </c>
      <c r="G5527" t="s">
        <v>17205</v>
      </c>
      <c r="H5527" t="s">
        <v>275</v>
      </c>
      <c r="I5527" t="s">
        <v>29</v>
      </c>
      <c r="J5527">
        <v>1</v>
      </c>
      <c r="K5527">
        <f>1-866-591-3044</f>
        <v>-4500</v>
      </c>
      <c r="L5527" t="s">
        <v>17206</v>
      </c>
      <c r="M5527" t="s">
        <v>17207</v>
      </c>
      <c r="N5527" t="s">
        <v>278</v>
      </c>
      <c r="O5527" t="s">
        <v>134</v>
      </c>
      <c r="P5527" t="s">
        <v>29</v>
      </c>
      <c r="Q5527">
        <v>47</v>
      </c>
      <c r="R5527">
        <v>-99.999999000000003</v>
      </c>
    </row>
    <row r="5528" spans="1:18" x14ac:dyDescent="0.2">
      <c r="A5528" t="s">
        <v>270</v>
      </c>
      <c r="B5528" t="s">
        <v>9922</v>
      </c>
      <c r="C5528">
        <v>1</v>
      </c>
      <c r="D5528" s="1">
        <v>44075.759895833333</v>
      </c>
      <c r="E5528" t="s">
        <v>17208</v>
      </c>
      <c r="F5528" t="s">
        <v>273</v>
      </c>
      <c r="G5528" t="s">
        <v>17205</v>
      </c>
      <c r="H5528" t="s">
        <v>275</v>
      </c>
      <c r="I5528" t="s">
        <v>29</v>
      </c>
      <c r="J5528">
        <v>1</v>
      </c>
      <c r="K5528">
        <f>1-888-705-928</f>
        <v>-2520</v>
      </c>
      <c r="L5528" t="s">
        <v>17209</v>
      </c>
      <c r="M5528" t="s">
        <v>17210</v>
      </c>
      <c r="N5528" t="s">
        <v>278</v>
      </c>
      <c r="O5528" t="s">
        <v>134</v>
      </c>
      <c r="P5528" t="s">
        <v>29</v>
      </c>
      <c r="Q5528">
        <v>47</v>
      </c>
      <c r="R5528">
        <v>-99.999999000000003</v>
      </c>
    </row>
    <row r="5529" spans="1:18" x14ac:dyDescent="0.2">
      <c r="A5529" t="s">
        <v>270</v>
      </c>
      <c r="B5529" t="s">
        <v>9922</v>
      </c>
      <c r="C5529">
        <v>1</v>
      </c>
      <c r="D5529" s="1">
        <v>44073.941064814811</v>
      </c>
      <c r="E5529" t="s">
        <v>17211</v>
      </c>
      <c r="F5529" t="s">
        <v>273</v>
      </c>
      <c r="G5529" t="s">
        <v>17205</v>
      </c>
      <c r="H5529" t="s">
        <v>275</v>
      </c>
      <c r="I5529" t="s">
        <v>29</v>
      </c>
      <c r="J5529">
        <v>1</v>
      </c>
      <c r="K5529">
        <f>1-888-312-1413</f>
        <v>-2612</v>
      </c>
      <c r="L5529" t="s">
        <v>17212</v>
      </c>
      <c r="M5529" t="s">
        <v>17213</v>
      </c>
      <c r="N5529" t="s">
        <v>278</v>
      </c>
      <c r="O5529" t="s">
        <v>134</v>
      </c>
      <c r="P5529" t="s">
        <v>29</v>
      </c>
      <c r="Q5529">
        <v>47</v>
      </c>
      <c r="R5529">
        <v>-99.999999000000003</v>
      </c>
    </row>
    <row r="5530" spans="1:18" x14ac:dyDescent="0.2">
      <c r="A5530" t="s">
        <v>270</v>
      </c>
      <c r="B5530" t="s">
        <v>9922</v>
      </c>
      <c r="C5530">
        <v>1</v>
      </c>
      <c r="D5530" s="1">
        <v>44073.927939814814</v>
      </c>
      <c r="E5530" t="s">
        <v>17214</v>
      </c>
      <c r="F5530" t="s">
        <v>273</v>
      </c>
      <c r="G5530" t="s">
        <v>17205</v>
      </c>
      <c r="H5530" t="s">
        <v>275</v>
      </c>
      <c r="I5530" t="s">
        <v>29</v>
      </c>
      <c r="J5530">
        <v>1</v>
      </c>
      <c r="K5530">
        <f>1-888-526-3661</f>
        <v>-5074</v>
      </c>
      <c r="L5530" t="s">
        <v>17215</v>
      </c>
      <c r="M5530" t="s">
        <v>17216</v>
      </c>
      <c r="N5530" t="s">
        <v>278</v>
      </c>
      <c r="O5530" t="s">
        <v>134</v>
      </c>
      <c r="P5530" t="s">
        <v>29</v>
      </c>
      <c r="Q5530">
        <v>47</v>
      </c>
      <c r="R5530">
        <v>-99.999999000000003</v>
      </c>
    </row>
    <row r="5531" spans="1:18" x14ac:dyDescent="0.2">
      <c r="A5531" t="s">
        <v>270</v>
      </c>
      <c r="B5531" t="s">
        <v>9922</v>
      </c>
      <c r="C5531">
        <v>1</v>
      </c>
      <c r="D5531" s="1">
        <v>44073.027662037035</v>
      </c>
      <c r="E5531" t="s">
        <v>17217</v>
      </c>
      <c r="F5531" t="s">
        <v>273</v>
      </c>
      <c r="G5531" t="s">
        <v>17205</v>
      </c>
      <c r="H5531" t="s">
        <v>275</v>
      </c>
      <c r="I5531" t="s">
        <v>29</v>
      </c>
      <c r="J5531">
        <v>1</v>
      </c>
      <c r="K5531">
        <f>1-888-417-4065</f>
        <v>-5369</v>
      </c>
      <c r="L5531" t="s">
        <v>17218</v>
      </c>
      <c r="M5531" t="s">
        <v>17219</v>
      </c>
      <c r="N5531" t="s">
        <v>278</v>
      </c>
      <c r="O5531" t="s">
        <v>134</v>
      </c>
      <c r="P5531" t="s">
        <v>29</v>
      </c>
      <c r="Q5531">
        <v>47</v>
      </c>
      <c r="R5531">
        <v>-99.999999000000003</v>
      </c>
    </row>
    <row r="5532" spans="1:18" x14ac:dyDescent="0.2">
      <c r="A5532" t="s">
        <v>270</v>
      </c>
      <c r="B5532" t="s">
        <v>9922</v>
      </c>
      <c r="C5532">
        <v>1</v>
      </c>
      <c r="D5532" s="1">
        <v>44073.026458333334</v>
      </c>
      <c r="E5532" t="s">
        <v>17220</v>
      </c>
      <c r="F5532" t="s">
        <v>273</v>
      </c>
      <c r="G5532" t="s">
        <v>17205</v>
      </c>
      <c r="H5532" t="s">
        <v>275</v>
      </c>
      <c r="I5532" t="s">
        <v>29</v>
      </c>
      <c r="J5532">
        <v>1</v>
      </c>
      <c r="K5532">
        <f>1-888-598-1511</f>
        <v>-2996</v>
      </c>
      <c r="L5532" t="s">
        <v>17221</v>
      </c>
      <c r="M5532" t="s">
        <v>17222</v>
      </c>
      <c r="N5532" t="s">
        <v>278</v>
      </c>
      <c r="O5532" t="s">
        <v>134</v>
      </c>
      <c r="P5532" t="s">
        <v>29</v>
      </c>
      <c r="Q5532">
        <v>47</v>
      </c>
      <c r="R5532">
        <v>-99.999999000000003</v>
      </c>
    </row>
    <row r="5533" spans="1:18" x14ac:dyDescent="0.2">
      <c r="A5533" t="s">
        <v>270</v>
      </c>
      <c r="B5533" t="s">
        <v>9922</v>
      </c>
      <c r="C5533">
        <v>1</v>
      </c>
      <c r="D5533" s="1">
        <v>44071.976701388892</v>
      </c>
      <c r="E5533" t="s">
        <v>17223</v>
      </c>
      <c r="F5533" t="s">
        <v>273</v>
      </c>
      <c r="G5533" t="s">
        <v>17205</v>
      </c>
      <c r="H5533" t="s">
        <v>275</v>
      </c>
      <c r="I5533" t="s">
        <v>29</v>
      </c>
      <c r="J5533">
        <v>1</v>
      </c>
      <c r="K5533">
        <f>1-888-690-842</f>
        <v>-2419</v>
      </c>
      <c r="L5533" t="s">
        <v>17224</v>
      </c>
      <c r="M5533" t="s">
        <v>17225</v>
      </c>
      <c r="N5533" t="s">
        <v>278</v>
      </c>
      <c r="O5533" t="s">
        <v>134</v>
      </c>
      <c r="P5533" t="s">
        <v>29</v>
      </c>
      <c r="Q5533">
        <v>47</v>
      </c>
      <c r="R5533">
        <v>-99.999999000000003</v>
      </c>
    </row>
    <row r="5534" spans="1:18" x14ac:dyDescent="0.2">
      <c r="A5534" t="s">
        <v>270</v>
      </c>
      <c r="B5534" t="s">
        <v>9922</v>
      </c>
      <c r="C5534">
        <v>1</v>
      </c>
      <c r="D5534" s="1">
        <v>44071.90662037037</v>
      </c>
      <c r="E5534" t="s">
        <v>17226</v>
      </c>
      <c r="F5534" t="s">
        <v>273</v>
      </c>
      <c r="G5534" t="s">
        <v>17205</v>
      </c>
      <c r="H5534" t="s">
        <v>275</v>
      </c>
      <c r="I5534" t="s">
        <v>29</v>
      </c>
      <c r="J5534">
        <v>1</v>
      </c>
      <c r="K5534">
        <f>1-888-803-850</f>
        <v>-2540</v>
      </c>
      <c r="L5534" t="s">
        <v>17227</v>
      </c>
      <c r="M5534" t="s">
        <v>17228</v>
      </c>
      <c r="N5534" t="s">
        <v>278</v>
      </c>
      <c r="O5534" t="s">
        <v>134</v>
      </c>
      <c r="P5534" t="s">
        <v>29</v>
      </c>
      <c r="Q5534">
        <v>47</v>
      </c>
      <c r="R5534">
        <v>-99.999999000000003</v>
      </c>
    </row>
    <row r="5535" spans="1:18" x14ac:dyDescent="0.2">
      <c r="A5535" t="s">
        <v>270</v>
      </c>
      <c r="B5535" t="s">
        <v>9922</v>
      </c>
      <c r="C5535">
        <v>1</v>
      </c>
      <c r="D5535" s="1">
        <v>44071.905682870369</v>
      </c>
      <c r="E5535" t="s">
        <v>17229</v>
      </c>
      <c r="F5535" t="s">
        <v>273</v>
      </c>
      <c r="G5535" t="s">
        <v>17205</v>
      </c>
      <c r="H5535" t="s">
        <v>275</v>
      </c>
      <c r="I5535" t="s">
        <v>29</v>
      </c>
      <c r="J5535">
        <v>1</v>
      </c>
      <c r="K5535">
        <f>1-888-803-850</f>
        <v>-2540</v>
      </c>
      <c r="L5535" t="s">
        <v>17230</v>
      </c>
      <c r="M5535" t="s">
        <v>17231</v>
      </c>
      <c r="N5535" t="s">
        <v>278</v>
      </c>
      <c r="O5535" t="s">
        <v>134</v>
      </c>
      <c r="P5535" t="s">
        <v>29</v>
      </c>
      <c r="Q5535">
        <v>47</v>
      </c>
      <c r="R5535">
        <v>-99.999999000000003</v>
      </c>
    </row>
    <row r="5536" spans="1:18" x14ac:dyDescent="0.2">
      <c r="A5536" t="s">
        <v>270</v>
      </c>
      <c r="B5536" t="s">
        <v>9922</v>
      </c>
      <c r="C5536">
        <v>1</v>
      </c>
      <c r="D5536" s="1">
        <v>44070.869884259257</v>
      </c>
      <c r="E5536" t="s">
        <v>17232</v>
      </c>
      <c r="F5536" t="s">
        <v>273</v>
      </c>
      <c r="G5536" t="s">
        <v>17205</v>
      </c>
      <c r="H5536" t="s">
        <v>275</v>
      </c>
      <c r="I5536" t="s">
        <v>29</v>
      </c>
      <c r="J5536">
        <v>1</v>
      </c>
      <c r="K5536">
        <f>1-888-441-3235</f>
        <v>-4563</v>
      </c>
      <c r="L5536" t="s">
        <v>17233</v>
      </c>
      <c r="M5536" t="s">
        <v>17234</v>
      </c>
      <c r="N5536" t="s">
        <v>278</v>
      </c>
      <c r="O5536" t="s">
        <v>134</v>
      </c>
      <c r="P5536" t="s">
        <v>29</v>
      </c>
      <c r="Q5536">
        <v>47</v>
      </c>
      <c r="R5536">
        <v>-99.999999000000003</v>
      </c>
    </row>
    <row r="5537" spans="1:18" x14ac:dyDescent="0.2">
      <c r="A5537" t="s">
        <v>270</v>
      </c>
      <c r="B5537" t="s">
        <v>9922</v>
      </c>
      <c r="C5537">
        <v>1</v>
      </c>
      <c r="D5537" s="1">
        <v>44070.582141203704</v>
      </c>
      <c r="E5537" t="s">
        <v>17235</v>
      </c>
      <c r="F5537" t="s">
        <v>273</v>
      </c>
      <c r="G5537" t="s">
        <v>17205</v>
      </c>
      <c r="H5537" t="s">
        <v>275</v>
      </c>
      <c r="I5537" t="s">
        <v>29</v>
      </c>
      <c r="J5537">
        <v>1</v>
      </c>
      <c r="K5537">
        <f>1-866-672-9693</f>
        <v>-11230</v>
      </c>
      <c r="L5537" t="s">
        <v>17236</v>
      </c>
      <c r="M5537" t="s">
        <v>17237</v>
      </c>
      <c r="N5537" t="s">
        <v>278</v>
      </c>
      <c r="O5537" t="s">
        <v>134</v>
      </c>
      <c r="P5537" t="s">
        <v>29</v>
      </c>
      <c r="Q5537">
        <v>47</v>
      </c>
      <c r="R5537">
        <v>-99.999999000000003</v>
      </c>
    </row>
    <row r="5538" spans="1:18" x14ac:dyDescent="0.2">
      <c r="A5538" t="s">
        <v>270</v>
      </c>
      <c r="B5538" t="s">
        <v>9922</v>
      </c>
      <c r="C5538">
        <v>1</v>
      </c>
      <c r="D5538" s="1">
        <v>44068.075324074074</v>
      </c>
      <c r="E5538" t="s">
        <v>17238</v>
      </c>
      <c r="F5538" t="s">
        <v>273</v>
      </c>
      <c r="G5538" t="s">
        <v>17205</v>
      </c>
      <c r="H5538" t="s">
        <v>275</v>
      </c>
      <c r="I5538" t="s">
        <v>29</v>
      </c>
      <c r="J5538">
        <v>1</v>
      </c>
      <c r="K5538">
        <f>1-888-312-1367</f>
        <v>-2566</v>
      </c>
      <c r="L5538" t="s">
        <v>17239</v>
      </c>
      <c r="M5538" t="s">
        <v>17240</v>
      </c>
      <c r="N5538" t="s">
        <v>278</v>
      </c>
      <c r="O5538" t="s">
        <v>28</v>
      </c>
      <c r="P5538" t="s">
        <v>29</v>
      </c>
      <c r="Q5538">
        <v>47</v>
      </c>
      <c r="R5538">
        <v>-99.999999000000003</v>
      </c>
    </row>
    <row r="5539" spans="1:18" x14ac:dyDescent="0.2">
      <c r="A5539" t="s">
        <v>270</v>
      </c>
      <c r="B5539" t="s">
        <v>9922</v>
      </c>
      <c r="C5539">
        <v>1</v>
      </c>
      <c r="D5539" s="1">
        <v>44068.071585648147</v>
      </c>
      <c r="E5539" t="s">
        <v>17241</v>
      </c>
      <c r="F5539" t="s">
        <v>273</v>
      </c>
      <c r="G5539" t="s">
        <v>17205</v>
      </c>
      <c r="H5539" t="s">
        <v>275</v>
      </c>
      <c r="I5539" t="s">
        <v>29</v>
      </c>
      <c r="J5539">
        <v>1</v>
      </c>
      <c r="K5539">
        <f>1-888-291-57</f>
        <v>-1235</v>
      </c>
      <c r="L5539" t="s">
        <v>17242</v>
      </c>
      <c r="M5539" t="s">
        <v>17243</v>
      </c>
      <c r="N5539" t="s">
        <v>278</v>
      </c>
      <c r="O5539" t="s">
        <v>28</v>
      </c>
      <c r="P5539" t="s">
        <v>29</v>
      </c>
      <c r="Q5539">
        <v>47</v>
      </c>
      <c r="R5539">
        <v>-99.999999000000003</v>
      </c>
    </row>
    <row r="5540" spans="1:18" x14ac:dyDescent="0.2">
      <c r="A5540" t="s">
        <v>270</v>
      </c>
      <c r="B5540" t="s">
        <v>9922</v>
      </c>
      <c r="C5540">
        <v>1</v>
      </c>
      <c r="D5540" s="1">
        <v>44068.026782407411</v>
      </c>
      <c r="E5540" t="s">
        <v>17244</v>
      </c>
      <c r="F5540" t="s">
        <v>273</v>
      </c>
      <c r="G5540" t="s">
        <v>17205</v>
      </c>
      <c r="H5540" t="s">
        <v>275</v>
      </c>
      <c r="I5540" t="s">
        <v>29</v>
      </c>
      <c r="J5540">
        <v>1</v>
      </c>
      <c r="K5540">
        <f>1-888-690-840</f>
        <v>-2417</v>
      </c>
      <c r="L5540" t="s">
        <v>17245</v>
      </c>
      <c r="M5540" t="s">
        <v>17246</v>
      </c>
      <c r="N5540" t="s">
        <v>278</v>
      </c>
      <c r="O5540" t="s">
        <v>28</v>
      </c>
      <c r="P5540" t="s">
        <v>29</v>
      </c>
      <c r="Q5540">
        <v>47</v>
      </c>
      <c r="R5540">
        <v>-99.999999000000003</v>
      </c>
    </row>
    <row r="5541" spans="1:18" x14ac:dyDescent="0.2">
      <c r="A5541" t="s">
        <v>270</v>
      </c>
      <c r="B5541" t="s">
        <v>9922</v>
      </c>
      <c r="C5541">
        <v>1</v>
      </c>
      <c r="D5541" s="1">
        <v>44068.021539351852</v>
      </c>
      <c r="E5541" t="s">
        <v>17247</v>
      </c>
      <c r="F5541" t="s">
        <v>273</v>
      </c>
      <c r="G5541" t="s">
        <v>17205</v>
      </c>
      <c r="H5541" t="s">
        <v>275</v>
      </c>
      <c r="I5541" t="s">
        <v>29</v>
      </c>
      <c r="J5541">
        <v>1</v>
      </c>
      <c r="K5541">
        <f>1-888-965-777</f>
        <v>-2629</v>
      </c>
      <c r="L5541" t="s">
        <v>17248</v>
      </c>
      <c r="M5541" t="s">
        <v>17249</v>
      </c>
      <c r="N5541" t="s">
        <v>278</v>
      </c>
      <c r="O5541" t="s">
        <v>28</v>
      </c>
      <c r="P5541" t="s">
        <v>29</v>
      </c>
      <c r="Q5541">
        <v>47</v>
      </c>
      <c r="R5541">
        <v>-99.999999000000003</v>
      </c>
    </row>
    <row r="5542" spans="1:18" x14ac:dyDescent="0.2">
      <c r="A5542" t="s">
        <v>270</v>
      </c>
      <c r="B5542" t="s">
        <v>9922</v>
      </c>
      <c r="C5542">
        <v>1</v>
      </c>
      <c r="D5542" s="1">
        <v>44066.539282407408</v>
      </c>
      <c r="E5542" t="s">
        <v>17250</v>
      </c>
      <c r="F5542" t="s">
        <v>273</v>
      </c>
      <c r="G5542" t="s">
        <v>17205</v>
      </c>
      <c r="H5542" t="s">
        <v>275</v>
      </c>
      <c r="I5542" t="s">
        <v>29</v>
      </c>
      <c r="J5542">
        <v>1</v>
      </c>
      <c r="K5542">
        <f>1-888-304-1236</f>
        <v>-2427</v>
      </c>
      <c r="L5542" t="s">
        <v>17251</v>
      </c>
      <c r="M5542" t="s">
        <v>17252</v>
      </c>
      <c r="N5542" t="s">
        <v>278</v>
      </c>
      <c r="O5542" t="s">
        <v>134</v>
      </c>
      <c r="P5542" t="s">
        <v>29</v>
      </c>
      <c r="Q5542">
        <v>47</v>
      </c>
      <c r="R5542">
        <v>-99.999999000000003</v>
      </c>
    </row>
    <row r="5543" spans="1:18" x14ac:dyDescent="0.2">
      <c r="A5543" t="s">
        <v>439</v>
      </c>
      <c r="B5543" t="s">
        <v>3094</v>
      </c>
      <c r="C5543">
        <v>1</v>
      </c>
      <c r="D5543" s="1">
        <v>44066.690648148149</v>
      </c>
      <c r="E5543" t="s">
        <v>17253</v>
      </c>
      <c r="F5543" t="s">
        <v>442</v>
      </c>
      <c r="G5543" t="s">
        <v>17254</v>
      </c>
      <c r="H5543" t="s">
        <v>444</v>
      </c>
      <c r="I5543" t="s">
        <v>29</v>
      </c>
      <c r="J5543">
        <v>1</v>
      </c>
      <c r="K5543">
        <f>1-888-598-1348</f>
        <v>-2833</v>
      </c>
      <c r="L5543" t="s">
        <v>17255</v>
      </c>
      <c r="M5543" t="s">
        <v>17256</v>
      </c>
      <c r="N5543" t="s">
        <v>674</v>
      </c>
      <c r="O5543" t="s">
        <v>28</v>
      </c>
      <c r="P5543" t="s">
        <v>2268</v>
      </c>
      <c r="Q5543">
        <v>46</v>
      </c>
      <c r="R5543">
        <v>-73.567300000000003</v>
      </c>
    </row>
    <row r="5544" spans="1:18" x14ac:dyDescent="0.2">
      <c r="A5544" t="s">
        <v>439</v>
      </c>
      <c r="B5544" t="s">
        <v>3094</v>
      </c>
      <c r="C5544">
        <v>81</v>
      </c>
      <c r="D5544" s="1">
        <v>44066.843368055554</v>
      </c>
      <c r="E5544" t="s">
        <v>17257</v>
      </c>
      <c r="F5544" t="s">
        <v>442</v>
      </c>
      <c r="G5544" t="s">
        <v>17258</v>
      </c>
      <c r="H5544" t="s">
        <v>444</v>
      </c>
      <c r="I5544" t="s">
        <v>53</v>
      </c>
      <c r="J5544">
        <v>81</v>
      </c>
      <c r="K5544">
        <f>81-50-5534-1691</f>
        <v>-7194</v>
      </c>
      <c r="L5544" t="s">
        <v>17259</v>
      </c>
      <c r="M5544" t="s">
        <v>17260</v>
      </c>
      <c r="N5544" t="s">
        <v>213</v>
      </c>
      <c r="O5544" t="s">
        <v>28</v>
      </c>
      <c r="P5544" t="s">
        <v>2268</v>
      </c>
      <c r="Q5544">
        <v>46</v>
      </c>
      <c r="R5544">
        <v>-73.567300000000003</v>
      </c>
    </row>
    <row r="5545" spans="1:18" x14ac:dyDescent="0.2">
      <c r="A5545" t="s">
        <v>663</v>
      </c>
      <c r="B5545" t="s">
        <v>1212</v>
      </c>
      <c r="C5545">
        <v>1</v>
      </c>
      <c r="D5545" s="1">
        <v>44066.844039351854</v>
      </c>
      <c r="E5545" t="s">
        <v>17261</v>
      </c>
      <c r="F5545" t="s">
        <v>666</v>
      </c>
      <c r="G5545" t="s">
        <v>17262</v>
      </c>
      <c r="H5545" t="s">
        <v>667</v>
      </c>
      <c r="I5545" t="s">
        <v>29</v>
      </c>
      <c r="J5545">
        <v>1</v>
      </c>
      <c r="K5545">
        <f>1-844-206-1924</f>
        <v>-2973</v>
      </c>
      <c r="L5545" t="s">
        <v>17263</v>
      </c>
      <c r="M5545" t="s">
        <v>17264</v>
      </c>
      <c r="N5545" t="s">
        <v>452</v>
      </c>
      <c r="O5545" t="s">
        <v>28</v>
      </c>
      <c r="P5545" t="s">
        <v>618</v>
      </c>
      <c r="Q5545">
        <v>52</v>
      </c>
      <c r="R5545">
        <v>-0.62150000000000005</v>
      </c>
    </row>
    <row r="5546" spans="1:18" x14ac:dyDescent="0.2">
      <c r="A5546" t="s">
        <v>439</v>
      </c>
      <c r="B5546" t="s">
        <v>3094</v>
      </c>
      <c r="C5546">
        <v>1</v>
      </c>
      <c r="D5546" s="1">
        <v>44066.868414351855</v>
      </c>
      <c r="E5546" t="s">
        <v>17265</v>
      </c>
      <c r="F5546" t="s">
        <v>442</v>
      </c>
      <c r="G5546" t="s">
        <v>17266</v>
      </c>
      <c r="H5546" t="s">
        <v>444</v>
      </c>
      <c r="I5546" t="s">
        <v>29</v>
      </c>
      <c r="J5546">
        <v>1</v>
      </c>
      <c r="K5546">
        <f>1-888-207-3459</f>
        <v>-4553</v>
      </c>
      <c r="L5546" t="s">
        <v>17267</v>
      </c>
      <c r="M5546" t="s">
        <v>17268</v>
      </c>
      <c r="N5546" t="s">
        <v>674</v>
      </c>
      <c r="O5546" t="s">
        <v>28</v>
      </c>
      <c r="P5546" t="s">
        <v>2268</v>
      </c>
      <c r="Q5546">
        <v>46</v>
      </c>
      <c r="R5546">
        <v>-73.567300000000003</v>
      </c>
    </row>
    <row r="5547" spans="1:18" x14ac:dyDescent="0.2">
      <c r="A5547" t="s">
        <v>439</v>
      </c>
      <c r="B5547" t="s">
        <v>3094</v>
      </c>
      <c r="C5547">
        <v>1</v>
      </c>
      <c r="D5547" s="1">
        <v>44066.901956018519</v>
      </c>
      <c r="E5547" t="s">
        <v>17269</v>
      </c>
      <c r="F5547" t="s">
        <v>442</v>
      </c>
      <c r="G5547" t="s">
        <v>17270</v>
      </c>
      <c r="H5547" t="s">
        <v>444</v>
      </c>
      <c r="I5547" t="s">
        <v>29</v>
      </c>
      <c r="J5547">
        <v>1</v>
      </c>
      <c r="K5547">
        <f>1-833-324-4760</f>
        <v>-5916</v>
      </c>
      <c r="L5547" t="s">
        <v>17271</v>
      </c>
      <c r="M5547" t="s">
        <v>17272</v>
      </c>
      <c r="N5547" t="s">
        <v>674</v>
      </c>
      <c r="O5547" t="s">
        <v>28</v>
      </c>
      <c r="P5547" t="s">
        <v>2268</v>
      </c>
      <c r="Q5547">
        <v>46</v>
      </c>
      <c r="R5547">
        <v>-73.567300000000003</v>
      </c>
    </row>
    <row r="5548" spans="1:18" x14ac:dyDescent="0.2">
      <c r="A5548" t="s">
        <v>3420</v>
      </c>
      <c r="B5548" t="s">
        <v>17273</v>
      </c>
      <c r="C5548">
        <v>1</v>
      </c>
      <c r="D5548" s="1">
        <v>44067.085347222222</v>
      </c>
      <c r="E5548" t="s">
        <v>17274</v>
      </c>
      <c r="F5548" t="s">
        <v>3422</v>
      </c>
      <c r="G5548" t="s">
        <v>17274</v>
      </c>
      <c r="H5548" t="s">
        <v>3423</v>
      </c>
      <c r="I5548" t="s">
        <v>29</v>
      </c>
      <c r="J5548">
        <v>1</v>
      </c>
      <c r="K5548">
        <f>1-844-258-9418</f>
        <v>-10519</v>
      </c>
      <c r="L5548" t="s">
        <v>17275</v>
      </c>
      <c r="M5548" t="s">
        <v>17276</v>
      </c>
      <c r="N5548">
        <v>81</v>
      </c>
      <c r="O5548" t="s">
        <v>134</v>
      </c>
      <c r="P5548" t="s">
        <v>29</v>
      </c>
      <c r="Q5548">
        <v>41</v>
      </c>
      <c r="R5548">
        <v>-99.999999000000003</v>
      </c>
    </row>
    <row r="5549" spans="1:18" x14ac:dyDescent="0.2">
      <c r="A5549" t="s">
        <v>3420</v>
      </c>
      <c r="B5549" t="s">
        <v>17273</v>
      </c>
      <c r="C5549">
        <v>1</v>
      </c>
      <c r="D5549" s="1">
        <v>44067.024814814817</v>
      </c>
      <c r="E5549" t="s">
        <v>17274</v>
      </c>
      <c r="F5549" t="s">
        <v>3422</v>
      </c>
      <c r="G5549" t="s">
        <v>17274</v>
      </c>
      <c r="H5549" t="s">
        <v>3423</v>
      </c>
      <c r="I5549" t="s">
        <v>29</v>
      </c>
      <c r="J5549">
        <v>1</v>
      </c>
      <c r="K5549">
        <f>1-844-915-1508</f>
        <v>-3266</v>
      </c>
      <c r="L5549" t="s">
        <v>17277</v>
      </c>
      <c r="M5549" t="s">
        <v>17278</v>
      </c>
      <c r="N5549">
        <v>81</v>
      </c>
      <c r="O5549" t="s">
        <v>134</v>
      </c>
      <c r="P5549" t="s">
        <v>29</v>
      </c>
      <c r="Q5549">
        <v>41</v>
      </c>
      <c r="R5549">
        <v>-99.999999000000003</v>
      </c>
    </row>
    <row r="5550" spans="1:18" x14ac:dyDescent="0.2">
      <c r="A5550" t="s">
        <v>3420</v>
      </c>
      <c r="B5550" t="s">
        <v>17273</v>
      </c>
      <c r="C5550">
        <v>1</v>
      </c>
      <c r="D5550" s="1">
        <v>44066.981446759259</v>
      </c>
      <c r="E5550" t="s">
        <v>17274</v>
      </c>
      <c r="F5550" t="s">
        <v>3422</v>
      </c>
      <c r="G5550" t="s">
        <v>17274</v>
      </c>
      <c r="H5550" t="s">
        <v>3423</v>
      </c>
      <c r="I5550" t="s">
        <v>29</v>
      </c>
      <c r="J5550">
        <v>1</v>
      </c>
      <c r="K5550">
        <f>1-844-909-435</f>
        <v>-2187</v>
      </c>
      <c r="L5550" t="s">
        <v>17279</v>
      </c>
      <c r="M5550" t="s">
        <v>17280</v>
      </c>
      <c r="N5550">
        <v>81</v>
      </c>
      <c r="O5550" t="s">
        <v>134</v>
      </c>
      <c r="P5550" t="s">
        <v>29</v>
      </c>
      <c r="Q5550">
        <v>41</v>
      </c>
      <c r="R5550">
        <v>-99.999999000000003</v>
      </c>
    </row>
    <row r="5551" spans="1:18" x14ac:dyDescent="0.2">
      <c r="A5551" t="s">
        <v>3420</v>
      </c>
      <c r="B5551" t="s">
        <v>17273</v>
      </c>
      <c r="C5551">
        <v>1</v>
      </c>
      <c r="D5551" s="1">
        <v>44066.968773148146</v>
      </c>
      <c r="E5551" t="s">
        <v>17274</v>
      </c>
      <c r="F5551" t="s">
        <v>3422</v>
      </c>
      <c r="G5551" t="s">
        <v>17274</v>
      </c>
      <c r="H5551" t="s">
        <v>3423</v>
      </c>
      <c r="I5551" t="s">
        <v>29</v>
      </c>
      <c r="J5551">
        <v>1</v>
      </c>
      <c r="K5551">
        <f>1-844-226-5745</f>
        <v>-6814</v>
      </c>
      <c r="L5551" t="s">
        <v>17281</v>
      </c>
      <c r="M5551" t="s">
        <v>17282</v>
      </c>
      <c r="N5551">
        <v>81</v>
      </c>
      <c r="O5551" t="s">
        <v>134</v>
      </c>
      <c r="P5551" t="s">
        <v>29</v>
      </c>
      <c r="Q5551">
        <v>41</v>
      </c>
      <c r="R5551">
        <v>-99.999999000000003</v>
      </c>
    </row>
    <row r="5552" spans="1:18" x14ac:dyDescent="0.2">
      <c r="A5552" t="s">
        <v>2349</v>
      </c>
      <c r="B5552" t="s">
        <v>10634</v>
      </c>
      <c r="C5552">
        <v>49</v>
      </c>
      <c r="D5552" s="1">
        <v>44067.382615740738</v>
      </c>
      <c r="E5552" t="s">
        <v>17283</v>
      </c>
      <c r="F5552" t="s">
        <v>2352</v>
      </c>
      <c r="G5552" t="s">
        <v>17283</v>
      </c>
      <c r="H5552" t="s">
        <v>2353</v>
      </c>
      <c r="I5552" t="s">
        <v>24</v>
      </c>
      <c r="J5552">
        <v>49</v>
      </c>
      <c r="K5552">
        <f>49-800-82-6106</f>
        <v>-6939</v>
      </c>
      <c r="L5552" t="s">
        <v>17284</v>
      </c>
      <c r="M5552" t="s">
        <v>17285</v>
      </c>
      <c r="N5552">
        <v>122</v>
      </c>
      <c r="O5552" t="s">
        <v>134</v>
      </c>
      <c r="P5552" t="s">
        <v>292</v>
      </c>
      <c r="Q5552">
        <v>49</v>
      </c>
      <c r="R5552">
        <v>2.3868999999999998</v>
      </c>
    </row>
    <row r="5553" spans="1:18" x14ac:dyDescent="0.2">
      <c r="A5553" t="s">
        <v>5349</v>
      </c>
      <c r="B5553" t="s">
        <v>440</v>
      </c>
      <c r="C5553">
        <v>81</v>
      </c>
      <c r="D5553" s="1">
        <v>44067.461226851854</v>
      </c>
      <c r="E5553" t="s">
        <v>17286</v>
      </c>
      <c r="F5553" t="s">
        <v>2236</v>
      </c>
      <c r="G5553" t="s">
        <v>17286</v>
      </c>
      <c r="H5553" t="s">
        <v>2237</v>
      </c>
      <c r="I5553" t="s">
        <v>53</v>
      </c>
      <c r="J5553">
        <v>81</v>
      </c>
      <c r="K5553">
        <f>81-50-5539-9541</f>
        <v>-15049</v>
      </c>
      <c r="L5553" t="s">
        <v>17287</v>
      </c>
      <c r="M5553" t="s">
        <v>17288</v>
      </c>
      <c r="N5553">
        <v>242</v>
      </c>
      <c r="O5553" t="s">
        <v>134</v>
      </c>
      <c r="P5553" t="s">
        <v>29</v>
      </c>
      <c r="Q5553">
        <v>39</v>
      </c>
      <c r="R5553">
        <v>-77.487399999999994</v>
      </c>
    </row>
    <row r="5554" spans="1:18" x14ac:dyDescent="0.2">
      <c r="A5554" t="s">
        <v>5349</v>
      </c>
      <c r="B5554" t="s">
        <v>440</v>
      </c>
      <c r="C5554">
        <v>81</v>
      </c>
      <c r="D5554" s="1">
        <v>44067.460949074077</v>
      </c>
      <c r="E5554" t="s">
        <v>17286</v>
      </c>
      <c r="F5554" t="s">
        <v>2236</v>
      </c>
      <c r="G5554" t="s">
        <v>17286</v>
      </c>
      <c r="H5554" t="s">
        <v>2237</v>
      </c>
      <c r="I5554" t="s">
        <v>53</v>
      </c>
      <c r="J5554">
        <v>81</v>
      </c>
      <c r="K5554">
        <f>81-50-5534-21</f>
        <v>-5524</v>
      </c>
      <c r="L5554" t="s">
        <v>17289</v>
      </c>
      <c r="M5554" t="s">
        <v>17290</v>
      </c>
      <c r="N5554">
        <v>242</v>
      </c>
      <c r="O5554" t="s">
        <v>134</v>
      </c>
      <c r="P5554" t="s">
        <v>29</v>
      </c>
      <c r="Q5554">
        <v>39</v>
      </c>
      <c r="R5554">
        <v>-77.487399999999994</v>
      </c>
    </row>
    <row r="5555" spans="1:18" x14ac:dyDescent="0.2">
      <c r="A5555" t="s">
        <v>5349</v>
      </c>
      <c r="B5555" t="s">
        <v>440</v>
      </c>
      <c r="C5555">
        <v>81</v>
      </c>
      <c r="D5555" s="1">
        <v>44067.459687499999</v>
      </c>
      <c r="E5555" t="s">
        <v>17286</v>
      </c>
      <c r="F5555" t="s">
        <v>2236</v>
      </c>
      <c r="G5555" t="s">
        <v>17286</v>
      </c>
      <c r="H5555" t="s">
        <v>2237</v>
      </c>
      <c r="I5555" t="s">
        <v>53</v>
      </c>
      <c r="J5555">
        <v>81</v>
      </c>
      <c r="K5555">
        <f>81-50-5539-720</f>
        <v>-6228</v>
      </c>
      <c r="L5555" t="s">
        <v>17291</v>
      </c>
      <c r="M5555" t="s">
        <v>17292</v>
      </c>
      <c r="N5555">
        <v>242</v>
      </c>
      <c r="O5555" t="s">
        <v>134</v>
      </c>
      <c r="P5555" t="s">
        <v>29</v>
      </c>
      <c r="Q5555">
        <v>39</v>
      </c>
      <c r="R5555">
        <v>-77.487399999999994</v>
      </c>
    </row>
    <row r="5556" spans="1:18" x14ac:dyDescent="0.2">
      <c r="A5556" t="s">
        <v>5349</v>
      </c>
      <c r="B5556" t="s">
        <v>440</v>
      </c>
      <c r="C5556">
        <v>81</v>
      </c>
      <c r="D5556" s="1">
        <v>44067.282604166663</v>
      </c>
      <c r="E5556" t="s">
        <v>17286</v>
      </c>
      <c r="F5556" t="s">
        <v>2236</v>
      </c>
      <c r="G5556" t="s">
        <v>17286</v>
      </c>
      <c r="H5556" t="s">
        <v>2237</v>
      </c>
      <c r="I5556" t="s">
        <v>53</v>
      </c>
      <c r="J5556">
        <v>81</v>
      </c>
      <c r="K5556">
        <f>81-50-3196-532</f>
        <v>-3697</v>
      </c>
      <c r="L5556" t="s">
        <v>17293</v>
      </c>
      <c r="M5556" t="s">
        <v>17294</v>
      </c>
      <c r="N5556">
        <v>242</v>
      </c>
      <c r="O5556" t="s">
        <v>134</v>
      </c>
      <c r="P5556" t="s">
        <v>29</v>
      </c>
      <c r="Q5556">
        <v>39</v>
      </c>
      <c r="R5556">
        <v>-77.487399999999994</v>
      </c>
    </row>
    <row r="5557" spans="1:18" x14ac:dyDescent="0.2">
      <c r="A5557" t="s">
        <v>439</v>
      </c>
      <c r="B5557" t="s">
        <v>3094</v>
      </c>
      <c r="C5557">
        <v>81</v>
      </c>
      <c r="D5557" s="1">
        <v>44067.280740740738</v>
      </c>
      <c r="E5557" t="s">
        <v>17295</v>
      </c>
      <c r="F5557" t="s">
        <v>442</v>
      </c>
      <c r="G5557" t="s">
        <v>17296</v>
      </c>
      <c r="H5557" t="s">
        <v>444</v>
      </c>
      <c r="I5557" t="s">
        <v>53</v>
      </c>
      <c r="J5557">
        <v>81</v>
      </c>
      <c r="K5557">
        <f>81-50-5534-1691</f>
        <v>-7194</v>
      </c>
      <c r="L5557" t="s">
        <v>17297</v>
      </c>
      <c r="M5557" t="s">
        <v>17298</v>
      </c>
      <c r="N5557" t="s">
        <v>674</v>
      </c>
      <c r="O5557" t="s">
        <v>28</v>
      </c>
      <c r="P5557" t="s">
        <v>2268</v>
      </c>
      <c r="Q5557">
        <v>46</v>
      </c>
      <c r="R5557">
        <v>-73.567300000000003</v>
      </c>
    </row>
    <row r="5558" spans="1:18" x14ac:dyDescent="0.2">
      <c r="A5558" t="s">
        <v>663</v>
      </c>
      <c r="B5558" t="s">
        <v>4281</v>
      </c>
      <c r="C5558">
        <v>49</v>
      </c>
      <c r="D5558" s="1">
        <v>44067.45239583333</v>
      </c>
      <c r="E5558" t="s">
        <v>17299</v>
      </c>
      <c r="F5558" t="s">
        <v>666</v>
      </c>
      <c r="G5558" t="s">
        <v>17299</v>
      </c>
      <c r="H5558" t="s">
        <v>667</v>
      </c>
      <c r="I5558" t="s">
        <v>24</v>
      </c>
      <c r="J5558">
        <v>49</v>
      </c>
      <c r="K5558">
        <f>49-322-2109076</f>
        <v>-2109349</v>
      </c>
      <c r="L5558" t="s">
        <v>17300</v>
      </c>
      <c r="M5558" t="s">
        <v>17301</v>
      </c>
      <c r="N5558">
        <v>52</v>
      </c>
      <c r="O5558" t="s">
        <v>134</v>
      </c>
      <c r="P5558" t="s">
        <v>24</v>
      </c>
      <c r="Q5558">
        <v>50</v>
      </c>
      <c r="R5558">
        <v>8.6843000000000004</v>
      </c>
    </row>
    <row r="5559" spans="1:18" x14ac:dyDescent="0.2">
      <c r="A5559" t="s">
        <v>663</v>
      </c>
      <c r="B5559" t="s">
        <v>4281</v>
      </c>
      <c r="C5559">
        <v>49</v>
      </c>
      <c r="D5559" s="1">
        <v>44067.469004629631</v>
      </c>
      <c r="E5559" t="s">
        <v>17302</v>
      </c>
      <c r="F5559" t="s">
        <v>666</v>
      </c>
      <c r="G5559" t="s">
        <v>17302</v>
      </c>
      <c r="H5559" t="s">
        <v>667</v>
      </c>
      <c r="I5559" t="s">
        <v>24</v>
      </c>
      <c r="J5559">
        <v>49</v>
      </c>
      <c r="K5559">
        <f>49-372-4126-3678</f>
        <v>-8127</v>
      </c>
      <c r="L5559" t="s">
        <v>17303</v>
      </c>
      <c r="M5559" t="s">
        <v>17304</v>
      </c>
      <c r="N5559">
        <v>107</v>
      </c>
      <c r="O5559" t="s">
        <v>134</v>
      </c>
      <c r="P5559" t="s">
        <v>24</v>
      </c>
      <c r="Q5559">
        <v>50</v>
      </c>
      <c r="R5559">
        <v>8.6843000000000004</v>
      </c>
    </row>
    <row r="5560" spans="1:18" x14ac:dyDescent="0.2">
      <c r="A5560" t="s">
        <v>2349</v>
      </c>
      <c r="B5560" t="s">
        <v>454</v>
      </c>
      <c r="C5560">
        <v>49</v>
      </c>
      <c r="D5560" s="1">
        <v>44067.479097222225</v>
      </c>
      <c r="E5560" t="s">
        <v>17305</v>
      </c>
      <c r="F5560" t="s">
        <v>2352</v>
      </c>
      <c r="G5560" t="s">
        <v>17305</v>
      </c>
      <c r="H5560" t="s">
        <v>2353</v>
      </c>
      <c r="I5560" t="s">
        <v>24</v>
      </c>
      <c r="J5560">
        <v>49</v>
      </c>
      <c r="K5560">
        <f>49-322-2109-765</f>
        <v>-3147</v>
      </c>
      <c r="L5560" t="s">
        <v>17306</v>
      </c>
      <c r="M5560" t="s">
        <v>17307</v>
      </c>
      <c r="N5560">
        <v>225</v>
      </c>
      <c r="O5560" t="s">
        <v>134</v>
      </c>
      <c r="P5560" t="s">
        <v>461</v>
      </c>
      <c r="Q5560">
        <v>52</v>
      </c>
      <c r="R5560">
        <v>4.6562999999999999</v>
      </c>
    </row>
    <row r="5561" spans="1:18" x14ac:dyDescent="0.2">
      <c r="A5561" t="s">
        <v>2349</v>
      </c>
      <c r="B5561" t="s">
        <v>4281</v>
      </c>
      <c r="C5561">
        <v>49</v>
      </c>
      <c r="D5561" s="1">
        <v>44067.531076388892</v>
      </c>
      <c r="E5561" t="s">
        <v>17308</v>
      </c>
      <c r="F5561" t="s">
        <v>2352</v>
      </c>
      <c r="G5561" t="s">
        <v>17308</v>
      </c>
      <c r="H5561" t="s">
        <v>2353</v>
      </c>
      <c r="I5561" t="s">
        <v>24</v>
      </c>
      <c r="J5561">
        <v>49</v>
      </c>
      <c r="K5561">
        <f>49-322-2109-765</f>
        <v>-3147</v>
      </c>
      <c r="L5561" t="s">
        <v>17309</v>
      </c>
      <c r="M5561" t="s">
        <v>17310</v>
      </c>
      <c r="N5561">
        <v>24</v>
      </c>
      <c r="O5561" t="s">
        <v>134</v>
      </c>
      <c r="P5561" t="s">
        <v>24</v>
      </c>
      <c r="Q5561">
        <v>50</v>
      </c>
      <c r="R5561">
        <v>8.7147000000000006</v>
      </c>
    </row>
    <row r="5562" spans="1:18" x14ac:dyDescent="0.2">
      <c r="A5562" t="s">
        <v>439</v>
      </c>
      <c r="B5562" t="s">
        <v>3094</v>
      </c>
      <c r="C5562">
        <v>1</v>
      </c>
      <c r="D5562" s="1">
        <v>44067.622164351851</v>
      </c>
      <c r="E5562" t="s">
        <v>17311</v>
      </c>
      <c r="F5562" t="s">
        <v>442</v>
      </c>
      <c r="G5562" t="s">
        <v>17312</v>
      </c>
      <c r="H5562" t="s">
        <v>444</v>
      </c>
      <c r="I5562" t="s">
        <v>29</v>
      </c>
      <c r="J5562">
        <v>1</v>
      </c>
      <c r="K5562">
        <f>1-844-285-6591</f>
        <v>-7719</v>
      </c>
      <c r="L5562" t="s">
        <v>17313</v>
      </c>
      <c r="M5562" t="s">
        <v>17314</v>
      </c>
      <c r="N5562" t="s">
        <v>447</v>
      </c>
      <c r="O5562" t="s">
        <v>28</v>
      </c>
      <c r="P5562" t="s">
        <v>2268</v>
      </c>
      <c r="Q5562">
        <v>46</v>
      </c>
      <c r="R5562">
        <v>-73.567300000000003</v>
      </c>
    </row>
    <row r="5563" spans="1:18" x14ac:dyDescent="0.2">
      <c r="A5563" t="s">
        <v>2233</v>
      </c>
      <c r="B5563" t="s">
        <v>2234</v>
      </c>
      <c r="C5563">
        <v>31</v>
      </c>
      <c r="D5563" s="1">
        <v>44067.683518518519</v>
      </c>
      <c r="E5563" t="s">
        <v>17315</v>
      </c>
      <c r="F5563" t="s">
        <v>7023</v>
      </c>
      <c r="G5563" t="s">
        <v>17315</v>
      </c>
      <c r="H5563" t="s">
        <v>2237</v>
      </c>
      <c r="I5563" t="s">
        <v>461</v>
      </c>
      <c r="J5563">
        <v>31</v>
      </c>
      <c r="K5563">
        <f>31-970-1024-293</f>
        <v>-2256</v>
      </c>
      <c r="L5563" t="s">
        <v>17316</v>
      </c>
      <c r="M5563" t="s">
        <v>17317</v>
      </c>
      <c r="N5563">
        <v>187</v>
      </c>
      <c r="O5563" t="s">
        <v>134</v>
      </c>
      <c r="P5563" t="s">
        <v>6188</v>
      </c>
      <c r="Q5563">
        <v>53</v>
      </c>
      <c r="R5563">
        <v>-6.2603099999999996</v>
      </c>
    </row>
    <row r="5564" spans="1:18" x14ac:dyDescent="0.2">
      <c r="A5564" t="s">
        <v>663</v>
      </c>
      <c r="B5564" t="s">
        <v>664</v>
      </c>
      <c r="C5564">
        <v>1</v>
      </c>
      <c r="D5564" s="1">
        <v>44067.823865740742</v>
      </c>
      <c r="E5564" t="s">
        <v>17318</v>
      </c>
      <c r="F5564" t="s">
        <v>666</v>
      </c>
      <c r="G5564" t="s">
        <v>17319</v>
      </c>
      <c r="H5564" t="s">
        <v>667</v>
      </c>
      <c r="I5564" t="s">
        <v>29</v>
      </c>
      <c r="J5564">
        <v>1</v>
      </c>
      <c r="K5564">
        <f>1-855-956-264</f>
        <v>-2074</v>
      </c>
      <c r="L5564" t="s">
        <v>17320</v>
      </c>
      <c r="M5564" t="s">
        <v>17321</v>
      </c>
      <c r="N5564" t="s">
        <v>1645</v>
      </c>
      <c r="O5564" t="s">
        <v>28</v>
      </c>
      <c r="P5564" t="s">
        <v>29</v>
      </c>
      <c r="Q5564">
        <v>37</v>
      </c>
      <c r="R5564">
        <v>-99.999999000000003</v>
      </c>
    </row>
    <row r="5565" spans="1:18" x14ac:dyDescent="0.2">
      <c r="A5565" t="s">
        <v>663</v>
      </c>
      <c r="B5565" t="s">
        <v>664</v>
      </c>
      <c r="C5565">
        <v>1</v>
      </c>
      <c r="D5565" s="1">
        <v>44067.86440972222</v>
      </c>
      <c r="E5565" t="s">
        <v>17322</v>
      </c>
      <c r="F5565" t="s">
        <v>666</v>
      </c>
      <c r="G5565" t="s">
        <v>17323</v>
      </c>
      <c r="H5565" t="s">
        <v>667</v>
      </c>
      <c r="I5565" t="s">
        <v>29</v>
      </c>
      <c r="J5565">
        <v>1</v>
      </c>
      <c r="K5565">
        <f>1-855-956-265</f>
        <v>-2075</v>
      </c>
      <c r="L5565" t="s">
        <v>17324</v>
      </c>
      <c r="M5565" t="s">
        <v>17325</v>
      </c>
      <c r="N5565" t="s">
        <v>1645</v>
      </c>
      <c r="O5565" t="s">
        <v>28</v>
      </c>
      <c r="P5565" t="s">
        <v>29</v>
      </c>
      <c r="Q5565">
        <v>37</v>
      </c>
      <c r="R5565">
        <v>-99.999999000000003</v>
      </c>
    </row>
    <row r="5566" spans="1:18" x14ac:dyDescent="0.2">
      <c r="A5566" t="s">
        <v>439</v>
      </c>
      <c r="B5566" t="s">
        <v>3094</v>
      </c>
      <c r="C5566">
        <v>1</v>
      </c>
      <c r="D5566" s="1">
        <v>44067.864861111113</v>
      </c>
      <c r="E5566" t="s">
        <v>17326</v>
      </c>
      <c r="F5566" t="s">
        <v>442</v>
      </c>
      <c r="G5566" t="s">
        <v>17327</v>
      </c>
      <c r="H5566" t="s">
        <v>444</v>
      </c>
      <c r="I5566" t="s">
        <v>29</v>
      </c>
      <c r="J5566">
        <v>1</v>
      </c>
      <c r="K5566">
        <f>1-855-958-1867</f>
        <v>-3679</v>
      </c>
      <c r="L5566" t="s">
        <v>17328</v>
      </c>
      <c r="M5566" t="s">
        <v>17329</v>
      </c>
      <c r="N5566" t="s">
        <v>447</v>
      </c>
      <c r="O5566" t="s">
        <v>28</v>
      </c>
      <c r="P5566" t="s">
        <v>2268</v>
      </c>
      <c r="Q5566">
        <v>46</v>
      </c>
      <c r="R5566">
        <v>-73.567300000000003</v>
      </c>
    </row>
    <row r="5567" spans="1:18" x14ac:dyDescent="0.2">
      <c r="A5567" t="s">
        <v>439</v>
      </c>
      <c r="B5567" t="s">
        <v>3094</v>
      </c>
      <c r="C5567">
        <v>81</v>
      </c>
      <c r="D5567" s="1">
        <v>44068.351620370369</v>
      </c>
      <c r="E5567" t="s">
        <v>17330</v>
      </c>
      <c r="F5567" t="s">
        <v>442</v>
      </c>
      <c r="G5567" t="s">
        <v>17331</v>
      </c>
      <c r="H5567" t="s">
        <v>444</v>
      </c>
      <c r="I5567" t="s">
        <v>53</v>
      </c>
      <c r="J5567">
        <v>81</v>
      </c>
      <c r="K5567">
        <f>81-50-5806-4549</f>
        <v>-10324</v>
      </c>
      <c r="L5567" t="s">
        <v>17332</v>
      </c>
      <c r="M5567" t="s">
        <v>17333</v>
      </c>
      <c r="N5567" t="s">
        <v>674</v>
      </c>
      <c r="O5567" t="s">
        <v>28</v>
      </c>
      <c r="P5567" t="s">
        <v>2268</v>
      </c>
      <c r="Q5567">
        <v>46</v>
      </c>
      <c r="R5567">
        <v>-73.567300000000003</v>
      </c>
    </row>
    <row r="5568" spans="1:18" x14ac:dyDescent="0.2">
      <c r="A5568" t="s">
        <v>439</v>
      </c>
      <c r="B5568" t="s">
        <v>3094</v>
      </c>
      <c r="C5568">
        <v>81</v>
      </c>
      <c r="D5568" s="1">
        <v>44068.35119212963</v>
      </c>
      <c r="E5568" t="s">
        <v>17334</v>
      </c>
      <c r="F5568" t="s">
        <v>442</v>
      </c>
      <c r="G5568" t="s">
        <v>17335</v>
      </c>
      <c r="H5568" t="s">
        <v>444</v>
      </c>
      <c r="I5568" t="s">
        <v>53</v>
      </c>
      <c r="J5568">
        <v>81</v>
      </c>
      <c r="K5568">
        <f>81-50-5806-9299</f>
        <v>-15074</v>
      </c>
      <c r="L5568" t="s">
        <v>17336</v>
      </c>
      <c r="M5568" t="s">
        <v>17337</v>
      </c>
      <c r="N5568" t="s">
        <v>447</v>
      </c>
      <c r="O5568" t="s">
        <v>28</v>
      </c>
      <c r="P5568" t="s">
        <v>2268</v>
      </c>
      <c r="Q5568">
        <v>46</v>
      </c>
      <c r="R5568">
        <v>-73.567300000000003</v>
      </c>
    </row>
    <row r="5569" spans="1:18" x14ac:dyDescent="0.2">
      <c r="A5569" t="s">
        <v>439</v>
      </c>
      <c r="B5569" t="s">
        <v>3094</v>
      </c>
      <c r="C5569">
        <v>1</v>
      </c>
      <c r="D5569" s="1">
        <v>44067.966261574074</v>
      </c>
      <c r="E5569" t="s">
        <v>17338</v>
      </c>
      <c r="F5569" t="s">
        <v>442</v>
      </c>
      <c r="G5569" t="s">
        <v>17339</v>
      </c>
      <c r="H5569" t="s">
        <v>444</v>
      </c>
      <c r="I5569" t="s">
        <v>29</v>
      </c>
      <c r="J5569">
        <v>1</v>
      </c>
      <c r="K5569">
        <f>1-888-532-2927</f>
        <v>-4346</v>
      </c>
      <c r="L5569" t="s">
        <v>17340</v>
      </c>
      <c r="M5569" t="s">
        <v>17341</v>
      </c>
      <c r="N5569" t="s">
        <v>1645</v>
      </c>
      <c r="O5569" t="s">
        <v>28</v>
      </c>
      <c r="P5569" t="s">
        <v>2268</v>
      </c>
      <c r="Q5569">
        <v>46</v>
      </c>
      <c r="R5569">
        <v>-73.567300000000003</v>
      </c>
    </row>
    <row r="5570" spans="1:18" x14ac:dyDescent="0.2">
      <c r="A5570" t="s">
        <v>663</v>
      </c>
      <c r="B5570" t="s">
        <v>4281</v>
      </c>
      <c r="C5570">
        <v>1</v>
      </c>
      <c r="D5570" s="1">
        <v>44068.09547453704</v>
      </c>
      <c r="E5570" t="s">
        <v>17342</v>
      </c>
      <c r="F5570" t="s">
        <v>666</v>
      </c>
      <c r="G5570" t="s">
        <v>17342</v>
      </c>
      <c r="H5570" t="s">
        <v>667</v>
      </c>
      <c r="I5570" t="s">
        <v>29</v>
      </c>
      <c r="J5570">
        <v>1</v>
      </c>
      <c r="K5570">
        <f>1-866-254-1</f>
        <v>-1120</v>
      </c>
      <c r="L5570" t="s">
        <v>17343</v>
      </c>
      <c r="M5570" t="s">
        <v>17344</v>
      </c>
      <c r="N5570">
        <v>104</v>
      </c>
      <c r="O5570" t="s">
        <v>134</v>
      </c>
      <c r="P5570" t="s">
        <v>24</v>
      </c>
      <c r="Q5570">
        <v>50</v>
      </c>
      <c r="R5570">
        <v>8.6843000000000004</v>
      </c>
    </row>
    <row r="5571" spans="1:18" x14ac:dyDescent="0.2">
      <c r="A5571" t="s">
        <v>675</v>
      </c>
      <c r="B5571" t="s">
        <v>1412</v>
      </c>
      <c r="C5571">
        <v>1</v>
      </c>
      <c r="D5571" s="1">
        <v>44068.097222222219</v>
      </c>
      <c r="E5571" t="s">
        <v>17345</v>
      </c>
      <c r="F5571" t="s">
        <v>678</v>
      </c>
      <c r="G5571" t="s">
        <v>17346</v>
      </c>
      <c r="H5571" t="s">
        <v>680</v>
      </c>
      <c r="I5571" t="s">
        <v>29</v>
      </c>
      <c r="J5571">
        <v>1</v>
      </c>
      <c r="K5571">
        <f>1-888-304-1345</f>
        <v>-2536</v>
      </c>
      <c r="L5571" t="s">
        <v>17347</v>
      </c>
      <c r="M5571" t="s">
        <v>17348</v>
      </c>
      <c r="N5571" t="s">
        <v>3441</v>
      </c>
      <c r="O5571" t="s">
        <v>28</v>
      </c>
      <c r="P5571" t="s">
        <v>29</v>
      </c>
      <c r="Q5571">
        <v>41</v>
      </c>
      <c r="R5571">
        <v>-74.172399999999996</v>
      </c>
    </row>
    <row r="5572" spans="1:18" x14ac:dyDescent="0.2">
      <c r="A5572" t="s">
        <v>270</v>
      </c>
      <c r="B5572" t="s">
        <v>5337</v>
      </c>
      <c r="C5572">
        <v>1</v>
      </c>
      <c r="D5572" s="1">
        <v>44102.810902777775</v>
      </c>
      <c r="E5572" t="s">
        <v>17349</v>
      </c>
      <c r="F5572" t="s">
        <v>273</v>
      </c>
      <c r="G5572" t="s">
        <v>17350</v>
      </c>
      <c r="H5572" t="s">
        <v>275</v>
      </c>
      <c r="I5572" t="s">
        <v>29</v>
      </c>
      <c r="J5572">
        <v>1</v>
      </c>
      <c r="K5572">
        <f>1-888-252-7514</f>
        <v>-8653</v>
      </c>
      <c r="L5572" t="s">
        <v>17351</v>
      </c>
      <c r="M5572" t="s">
        <v>17352</v>
      </c>
      <c r="N5572" t="s">
        <v>278</v>
      </c>
      <c r="O5572" t="s">
        <v>28</v>
      </c>
      <c r="P5572" t="s">
        <v>29</v>
      </c>
      <c r="Q5572">
        <v>38</v>
      </c>
      <c r="R5572">
        <v>-99.999999000000003</v>
      </c>
    </row>
    <row r="5573" spans="1:18" x14ac:dyDescent="0.2">
      <c r="A5573" t="s">
        <v>270</v>
      </c>
      <c r="B5573" t="s">
        <v>5337</v>
      </c>
      <c r="C5573">
        <v>1</v>
      </c>
      <c r="D5573" s="1">
        <v>44096.836828703701</v>
      </c>
      <c r="E5573" t="s">
        <v>17353</v>
      </c>
      <c r="F5573" t="s">
        <v>273</v>
      </c>
      <c r="G5573" t="s">
        <v>17350</v>
      </c>
      <c r="H5573" t="s">
        <v>275</v>
      </c>
      <c r="I5573" t="s">
        <v>29</v>
      </c>
      <c r="J5573">
        <v>1</v>
      </c>
      <c r="K5573">
        <f>1-888-210-6063</f>
        <v>-7160</v>
      </c>
      <c r="L5573" t="s">
        <v>17354</v>
      </c>
      <c r="M5573" t="s">
        <v>17355</v>
      </c>
      <c r="N5573" t="s">
        <v>278</v>
      </c>
      <c r="O5573" t="s">
        <v>28</v>
      </c>
      <c r="P5573" t="s">
        <v>29</v>
      </c>
      <c r="Q5573">
        <v>38</v>
      </c>
      <c r="R5573">
        <v>-99.999999000000003</v>
      </c>
    </row>
    <row r="5574" spans="1:18" x14ac:dyDescent="0.2">
      <c r="A5574" t="s">
        <v>270</v>
      </c>
      <c r="B5574" t="s">
        <v>5337</v>
      </c>
      <c r="C5574">
        <v>1</v>
      </c>
      <c r="D5574" s="1">
        <v>44096.821747685186</v>
      </c>
      <c r="E5574" t="s">
        <v>17356</v>
      </c>
      <c r="F5574" t="s">
        <v>273</v>
      </c>
      <c r="G5574" t="s">
        <v>17350</v>
      </c>
      <c r="H5574" t="s">
        <v>275</v>
      </c>
      <c r="I5574" t="s">
        <v>29</v>
      </c>
      <c r="J5574">
        <v>1</v>
      </c>
      <c r="K5574">
        <f>1-888-210-6063</f>
        <v>-7160</v>
      </c>
      <c r="L5574" t="s">
        <v>17357</v>
      </c>
      <c r="M5574" t="s">
        <v>17358</v>
      </c>
      <c r="N5574" t="s">
        <v>278</v>
      </c>
      <c r="O5574" t="s">
        <v>28</v>
      </c>
      <c r="P5574" t="s">
        <v>29</v>
      </c>
      <c r="Q5574">
        <v>38</v>
      </c>
      <c r="R5574">
        <v>-99.999999000000003</v>
      </c>
    </row>
    <row r="5575" spans="1:18" x14ac:dyDescent="0.2">
      <c r="A5575" t="s">
        <v>270</v>
      </c>
      <c r="B5575" t="s">
        <v>5337</v>
      </c>
      <c r="C5575">
        <v>1</v>
      </c>
      <c r="D5575" s="1">
        <v>44096.367939814816</v>
      </c>
      <c r="E5575" t="s">
        <v>17359</v>
      </c>
      <c r="F5575" t="s">
        <v>273</v>
      </c>
      <c r="G5575" t="s">
        <v>17350</v>
      </c>
      <c r="H5575" t="s">
        <v>275</v>
      </c>
      <c r="I5575" t="s">
        <v>29</v>
      </c>
      <c r="J5575">
        <v>1</v>
      </c>
      <c r="K5575">
        <f>1-844-305-9953</f>
        <v>-11101</v>
      </c>
      <c r="L5575" t="s">
        <v>17360</v>
      </c>
      <c r="M5575" t="s">
        <v>17361</v>
      </c>
      <c r="N5575" t="s">
        <v>278</v>
      </c>
      <c r="O5575" t="s">
        <v>28</v>
      </c>
      <c r="P5575" t="s">
        <v>29</v>
      </c>
      <c r="Q5575">
        <v>38</v>
      </c>
      <c r="R5575">
        <v>-99.999999000000003</v>
      </c>
    </row>
    <row r="5576" spans="1:18" x14ac:dyDescent="0.2">
      <c r="A5576" t="s">
        <v>270</v>
      </c>
      <c r="B5576" t="s">
        <v>5337</v>
      </c>
      <c r="C5576">
        <v>1</v>
      </c>
      <c r="D5576" s="1">
        <v>44095.93440972222</v>
      </c>
      <c r="E5576" t="s">
        <v>17362</v>
      </c>
      <c r="F5576" t="s">
        <v>273</v>
      </c>
      <c r="G5576" t="s">
        <v>17350</v>
      </c>
      <c r="H5576" t="s">
        <v>275</v>
      </c>
      <c r="I5576" t="s">
        <v>29</v>
      </c>
      <c r="J5576">
        <v>1</v>
      </c>
      <c r="K5576">
        <f>1-844-309-2655</f>
        <v>-3807</v>
      </c>
      <c r="L5576" t="s">
        <v>17363</v>
      </c>
      <c r="M5576" t="s">
        <v>17364</v>
      </c>
      <c r="N5576" t="s">
        <v>278</v>
      </c>
      <c r="O5576" t="s">
        <v>28</v>
      </c>
      <c r="P5576" t="s">
        <v>29</v>
      </c>
      <c r="Q5576">
        <v>38</v>
      </c>
      <c r="R5576">
        <v>-99.999999000000003</v>
      </c>
    </row>
    <row r="5577" spans="1:18" x14ac:dyDescent="0.2">
      <c r="A5577" t="s">
        <v>270</v>
      </c>
      <c r="B5577" t="s">
        <v>5337</v>
      </c>
      <c r="C5577">
        <v>1</v>
      </c>
      <c r="D5577" s="1">
        <v>44068.194780092592</v>
      </c>
      <c r="E5577" t="s">
        <v>17365</v>
      </c>
      <c r="F5577" t="s">
        <v>273</v>
      </c>
      <c r="G5577" t="s">
        <v>17350</v>
      </c>
      <c r="H5577" t="s">
        <v>275</v>
      </c>
      <c r="I5577" t="s">
        <v>29</v>
      </c>
      <c r="J5577">
        <v>1</v>
      </c>
      <c r="K5577">
        <f>1-888-530-6238</f>
        <v>-7655</v>
      </c>
      <c r="L5577" t="s">
        <v>17366</v>
      </c>
      <c r="M5577" t="s">
        <v>17367</v>
      </c>
      <c r="N5577" t="s">
        <v>278</v>
      </c>
      <c r="O5577" t="s">
        <v>134</v>
      </c>
      <c r="P5577" t="s">
        <v>29</v>
      </c>
      <c r="Q5577">
        <v>38</v>
      </c>
      <c r="R5577">
        <v>-99.999999000000003</v>
      </c>
    </row>
    <row r="5578" spans="1:18" x14ac:dyDescent="0.2">
      <c r="A5578" t="s">
        <v>270</v>
      </c>
      <c r="B5578" t="s">
        <v>5337</v>
      </c>
      <c r="C5578">
        <v>1</v>
      </c>
      <c r="D5578" s="1">
        <v>44068.193796296298</v>
      </c>
      <c r="E5578" t="s">
        <v>17368</v>
      </c>
      <c r="F5578" t="s">
        <v>273</v>
      </c>
      <c r="G5578" t="s">
        <v>17350</v>
      </c>
      <c r="H5578" t="s">
        <v>275</v>
      </c>
      <c r="I5578" t="s">
        <v>29</v>
      </c>
      <c r="J5578">
        <v>1</v>
      </c>
      <c r="K5578">
        <f>1-888-535-4744</f>
        <v>-6166</v>
      </c>
      <c r="L5578" t="s">
        <v>17369</v>
      </c>
      <c r="M5578" t="s">
        <v>17370</v>
      </c>
      <c r="N5578" t="s">
        <v>278</v>
      </c>
      <c r="O5578" t="s">
        <v>134</v>
      </c>
      <c r="P5578" t="s">
        <v>29</v>
      </c>
      <c r="Q5578">
        <v>38</v>
      </c>
      <c r="R5578">
        <v>-99.999999000000003</v>
      </c>
    </row>
    <row r="5579" spans="1:18" x14ac:dyDescent="0.2">
      <c r="A5579" t="s">
        <v>2349</v>
      </c>
      <c r="B5579" t="s">
        <v>10634</v>
      </c>
      <c r="C5579">
        <v>49</v>
      </c>
      <c r="D5579" s="1">
        <v>44068.622499999998</v>
      </c>
      <c r="E5579" t="s">
        <v>17371</v>
      </c>
      <c r="F5579" t="s">
        <v>2352</v>
      </c>
      <c r="G5579" t="s">
        <v>17371</v>
      </c>
      <c r="H5579" t="s">
        <v>2353</v>
      </c>
      <c r="I5579" t="s">
        <v>24</v>
      </c>
      <c r="J5579">
        <v>49</v>
      </c>
      <c r="K5579">
        <f>49-800-82-6106</f>
        <v>-6939</v>
      </c>
      <c r="L5579" t="s">
        <v>17372</v>
      </c>
      <c r="M5579" t="s">
        <v>17373</v>
      </c>
      <c r="N5579">
        <v>112</v>
      </c>
      <c r="O5579" t="s">
        <v>134</v>
      </c>
      <c r="P5579" t="s">
        <v>292</v>
      </c>
      <c r="Q5579">
        <v>49</v>
      </c>
      <c r="R5579">
        <v>2.3868999999999998</v>
      </c>
    </row>
    <row r="5580" spans="1:18" x14ac:dyDescent="0.2">
      <c r="A5580" t="s">
        <v>439</v>
      </c>
      <c r="B5580" t="s">
        <v>3094</v>
      </c>
      <c r="C5580">
        <v>1</v>
      </c>
      <c r="D5580" s="1">
        <v>44068.809398148151</v>
      </c>
      <c r="E5580" t="s">
        <v>17374</v>
      </c>
      <c r="F5580" t="s">
        <v>442</v>
      </c>
      <c r="G5580" t="s">
        <v>17375</v>
      </c>
      <c r="H5580" t="s">
        <v>444</v>
      </c>
      <c r="I5580" t="s">
        <v>29</v>
      </c>
      <c r="J5580">
        <v>1</v>
      </c>
      <c r="K5580">
        <f>1-888-207-3459</f>
        <v>-4553</v>
      </c>
      <c r="L5580" t="s">
        <v>17376</v>
      </c>
      <c r="M5580" t="s">
        <v>17377</v>
      </c>
      <c r="N5580" t="s">
        <v>674</v>
      </c>
      <c r="O5580" t="s">
        <v>28</v>
      </c>
      <c r="P5580" t="s">
        <v>2268</v>
      </c>
      <c r="Q5580">
        <v>46</v>
      </c>
      <c r="R5580">
        <v>-73.567300000000003</v>
      </c>
    </row>
    <row r="5581" spans="1:18" x14ac:dyDescent="0.2">
      <c r="A5581" t="s">
        <v>439</v>
      </c>
      <c r="B5581" t="s">
        <v>3094</v>
      </c>
      <c r="C5581">
        <v>1</v>
      </c>
      <c r="D5581" s="1">
        <v>44068.859513888892</v>
      </c>
      <c r="E5581" t="s">
        <v>17378</v>
      </c>
      <c r="F5581" t="s">
        <v>442</v>
      </c>
      <c r="G5581" t="s">
        <v>17379</v>
      </c>
      <c r="H5581" t="s">
        <v>444</v>
      </c>
      <c r="I5581" t="s">
        <v>29</v>
      </c>
      <c r="J5581">
        <v>1</v>
      </c>
      <c r="K5581">
        <f>1-888-523-2631</f>
        <v>-4041</v>
      </c>
      <c r="L5581" t="s">
        <v>17380</v>
      </c>
      <c r="M5581" t="s">
        <v>17381</v>
      </c>
      <c r="N5581" t="s">
        <v>6172</v>
      </c>
      <c r="O5581" t="s">
        <v>28</v>
      </c>
      <c r="P5581" t="s">
        <v>2268</v>
      </c>
      <c r="Q5581">
        <v>46</v>
      </c>
      <c r="R5581">
        <v>-73.567300000000003</v>
      </c>
    </row>
    <row r="5582" spans="1:18" x14ac:dyDescent="0.2">
      <c r="A5582" t="s">
        <v>439</v>
      </c>
      <c r="B5582" t="s">
        <v>3094</v>
      </c>
      <c r="C5582">
        <v>81</v>
      </c>
      <c r="D5582" s="1">
        <v>44069.249282407407</v>
      </c>
      <c r="E5582" t="s">
        <v>17382</v>
      </c>
      <c r="F5582" t="s">
        <v>442</v>
      </c>
      <c r="G5582" t="s">
        <v>17383</v>
      </c>
      <c r="H5582" t="s">
        <v>444</v>
      </c>
      <c r="I5582" t="s">
        <v>53</v>
      </c>
      <c r="J5582">
        <v>81</v>
      </c>
      <c r="K5582">
        <f>81-50-5806-9299</f>
        <v>-15074</v>
      </c>
      <c r="L5582" t="s">
        <v>17384</v>
      </c>
      <c r="M5582" t="s">
        <v>17385</v>
      </c>
      <c r="N5582" t="s">
        <v>447</v>
      </c>
      <c r="O5582" t="s">
        <v>28</v>
      </c>
      <c r="P5582" t="s">
        <v>2268</v>
      </c>
      <c r="Q5582">
        <v>46</v>
      </c>
      <c r="R5582">
        <v>-73.567300000000003</v>
      </c>
    </row>
    <row r="5583" spans="1:18" x14ac:dyDescent="0.2">
      <c r="A5583" t="s">
        <v>2349</v>
      </c>
      <c r="B5583" t="s">
        <v>10634</v>
      </c>
      <c r="C5583">
        <v>49</v>
      </c>
      <c r="D5583" s="1">
        <v>44069.583298611113</v>
      </c>
      <c r="E5583" t="s">
        <v>17386</v>
      </c>
      <c r="F5583" t="s">
        <v>17387</v>
      </c>
      <c r="G5583" t="s">
        <v>17386</v>
      </c>
      <c r="H5583" t="s">
        <v>2353</v>
      </c>
      <c r="I5583" t="s">
        <v>24</v>
      </c>
      <c r="J5583">
        <v>49</v>
      </c>
      <c r="K5583">
        <f>49-800-82-6106</f>
        <v>-6939</v>
      </c>
      <c r="L5583" t="s">
        <v>17388</v>
      </c>
      <c r="M5583" t="s">
        <v>17389</v>
      </c>
      <c r="N5583">
        <v>195</v>
      </c>
      <c r="O5583" t="s">
        <v>134</v>
      </c>
      <c r="P5583" t="s">
        <v>292</v>
      </c>
      <c r="Q5583">
        <v>49</v>
      </c>
      <c r="R5583">
        <v>2.3868999999999998</v>
      </c>
    </row>
    <row r="5584" spans="1:18" x14ac:dyDescent="0.2">
      <c r="A5584" t="s">
        <v>2233</v>
      </c>
      <c r="B5584" t="s">
        <v>2234</v>
      </c>
      <c r="C5584">
        <v>1</v>
      </c>
      <c r="D5584" s="1">
        <v>44069.640150462961</v>
      </c>
      <c r="E5584" t="s">
        <v>17390</v>
      </c>
      <c r="F5584" t="s">
        <v>2236</v>
      </c>
      <c r="G5584" t="s">
        <v>17391</v>
      </c>
      <c r="H5584" t="s">
        <v>2237</v>
      </c>
      <c r="I5584" t="s">
        <v>29</v>
      </c>
      <c r="J5584">
        <v>1</v>
      </c>
      <c r="K5584">
        <f>1-855-481-555</f>
        <v>-1890</v>
      </c>
      <c r="L5584" t="s">
        <v>17392</v>
      </c>
      <c r="M5584" t="s">
        <v>17393</v>
      </c>
      <c r="N5584" t="s">
        <v>5354</v>
      </c>
      <c r="O5584" t="s">
        <v>134</v>
      </c>
      <c r="P5584" t="s">
        <v>29</v>
      </c>
      <c r="Q5584">
        <v>40</v>
      </c>
      <c r="R5584">
        <v>-83.114099999999993</v>
      </c>
    </row>
    <row r="5585" spans="1:18" x14ac:dyDescent="0.2">
      <c r="A5585" t="s">
        <v>439</v>
      </c>
      <c r="B5585" t="s">
        <v>3094</v>
      </c>
      <c r="C5585">
        <v>1</v>
      </c>
      <c r="D5585" s="1">
        <v>44069.655763888892</v>
      </c>
      <c r="E5585" t="s">
        <v>17394</v>
      </c>
      <c r="F5585" t="s">
        <v>442</v>
      </c>
      <c r="G5585" t="s">
        <v>17395</v>
      </c>
      <c r="H5585" t="s">
        <v>444</v>
      </c>
      <c r="I5585" t="s">
        <v>29</v>
      </c>
      <c r="J5585">
        <v>1</v>
      </c>
      <c r="K5585">
        <f>1-800-760-4902</f>
        <v>-6461</v>
      </c>
      <c r="L5585" t="s">
        <v>17396</v>
      </c>
      <c r="M5585" t="s">
        <v>17397</v>
      </c>
      <c r="N5585" t="s">
        <v>213</v>
      </c>
      <c r="O5585" t="s">
        <v>28</v>
      </c>
      <c r="P5585" t="s">
        <v>2268</v>
      </c>
      <c r="Q5585">
        <v>46</v>
      </c>
      <c r="R5585">
        <v>-73.567300000000003</v>
      </c>
    </row>
    <row r="5586" spans="1:18" x14ac:dyDescent="0.2">
      <c r="A5586" t="s">
        <v>439</v>
      </c>
      <c r="B5586" t="s">
        <v>3094</v>
      </c>
      <c r="C5586">
        <v>1</v>
      </c>
      <c r="D5586" s="1">
        <v>44069.684432870374</v>
      </c>
      <c r="E5586" t="s">
        <v>17394</v>
      </c>
      <c r="F5586" t="s">
        <v>442</v>
      </c>
      <c r="G5586" t="s">
        <v>17398</v>
      </c>
      <c r="H5586" t="s">
        <v>444</v>
      </c>
      <c r="I5586" t="s">
        <v>29</v>
      </c>
      <c r="J5586">
        <v>1</v>
      </c>
      <c r="K5586">
        <f>1-844-303-692</f>
        <v>-1838</v>
      </c>
      <c r="L5586" t="s">
        <v>17399</v>
      </c>
      <c r="M5586" t="s">
        <v>17400</v>
      </c>
      <c r="N5586" t="s">
        <v>213</v>
      </c>
      <c r="O5586" t="s">
        <v>28</v>
      </c>
      <c r="P5586" t="s">
        <v>2268</v>
      </c>
      <c r="Q5586">
        <v>46</v>
      </c>
      <c r="R5586">
        <v>-73.567300000000003</v>
      </c>
    </row>
    <row r="5587" spans="1:18" x14ac:dyDescent="0.2">
      <c r="A5587" t="s">
        <v>2349</v>
      </c>
      <c r="B5587" t="s">
        <v>10634</v>
      </c>
      <c r="C5587">
        <v>49</v>
      </c>
      <c r="D5587" s="1">
        <v>44070.446782407409</v>
      </c>
      <c r="E5587" t="s">
        <v>17401</v>
      </c>
      <c r="F5587" t="s">
        <v>2352</v>
      </c>
      <c r="G5587" t="s">
        <v>17401</v>
      </c>
      <c r="H5587" t="s">
        <v>2353</v>
      </c>
      <c r="I5587" t="s">
        <v>24</v>
      </c>
      <c r="J5587">
        <v>49</v>
      </c>
      <c r="K5587">
        <f>49-800-82-6106</f>
        <v>-6939</v>
      </c>
      <c r="L5587" t="s">
        <v>17402</v>
      </c>
      <c r="M5587" t="s">
        <v>17403</v>
      </c>
      <c r="N5587">
        <v>210</v>
      </c>
      <c r="O5587" t="s">
        <v>134</v>
      </c>
      <c r="P5587" t="s">
        <v>292</v>
      </c>
      <c r="Q5587">
        <v>49</v>
      </c>
      <c r="R5587">
        <v>2.3868999999999998</v>
      </c>
    </row>
    <row r="5588" spans="1:18" x14ac:dyDescent="0.2">
      <c r="A5588" t="s">
        <v>270</v>
      </c>
      <c r="B5588" t="s">
        <v>440</v>
      </c>
      <c r="C5588">
        <v>1</v>
      </c>
      <c r="D5588" s="1">
        <v>44089.431631944448</v>
      </c>
      <c r="E5588" t="s">
        <v>17404</v>
      </c>
      <c r="F5588" t="s">
        <v>273</v>
      </c>
      <c r="G5588" t="s">
        <v>17405</v>
      </c>
      <c r="H5588" t="s">
        <v>275</v>
      </c>
      <c r="I5588" t="s">
        <v>29</v>
      </c>
      <c r="J5588">
        <v>1</v>
      </c>
      <c r="K5588">
        <f>1-844-210-4337</f>
        <v>-5390</v>
      </c>
      <c r="L5588" t="s">
        <v>17406</v>
      </c>
      <c r="M5588" t="s">
        <v>17407</v>
      </c>
      <c r="N5588" t="s">
        <v>278</v>
      </c>
      <c r="O5588" t="s">
        <v>28</v>
      </c>
      <c r="P5588" t="s">
        <v>29</v>
      </c>
      <c r="Q5588">
        <v>39</v>
      </c>
      <c r="R5588">
        <v>-77.487399999999994</v>
      </c>
    </row>
    <row r="5589" spans="1:18" x14ac:dyDescent="0.2">
      <c r="A5589" t="s">
        <v>270</v>
      </c>
      <c r="B5589" t="s">
        <v>440</v>
      </c>
      <c r="C5589">
        <v>1</v>
      </c>
      <c r="D5589" s="1">
        <v>44089.43041666667</v>
      </c>
      <c r="E5589" t="s">
        <v>17408</v>
      </c>
      <c r="F5589" t="s">
        <v>273</v>
      </c>
      <c r="G5589" t="s">
        <v>17405</v>
      </c>
      <c r="H5589" t="s">
        <v>275</v>
      </c>
      <c r="I5589" t="s">
        <v>29</v>
      </c>
      <c r="J5589">
        <v>1</v>
      </c>
      <c r="K5589">
        <f>1-844-210-4337</f>
        <v>-5390</v>
      </c>
      <c r="L5589" t="s">
        <v>17409</v>
      </c>
      <c r="M5589" t="s">
        <v>17410</v>
      </c>
      <c r="N5589" t="s">
        <v>278</v>
      </c>
      <c r="O5589" t="s">
        <v>28</v>
      </c>
      <c r="P5589" t="s">
        <v>29</v>
      </c>
      <c r="Q5589">
        <v>39</v>
      </c>
      <c r="R5589">
        <v>-77.487399999999994</v>
      </c>
    </row>
    <row r="5590" spans="1:18" x14ac:dyDescent="0.2">
      <c r="A5590" t="s">
        <v>270</v>
      </c>
      <c r="B5590" t="s">
        <v>440</v>
      </c>
      <c r="C5590">
        <v>1</v>
      </c>
      <c r="D5590" s="1">
        <v>44084.785231481481</v>
      </c>
      <c r="E5590" t="s">
        <v>17411</v>
      </c>
      <c r="F5590" t="s">
        <v>273</v>
      </c>
      <c r="G5590" t="s">
        <v>17405</v>
      </c>
      <c r="H5590" t="s">
        <v>275</v>
      </c>
      <c r="I5590" t="s">
        <v>29</v>
      </c>
      <c r="J5590">
        <v>1</v>
      </c>
      <c r="K5590">
        <f>1-844-318-7909</f>
        <v>-9070</v>
      </c>
      <c r="L5590" t="s">
        <v>17412</v>
      </c>
      <c r="M5590" t="s">
        <v>17413</v>
      </c>
      <c r="N5590" t="s">
        <v>278</v>
      </c>
      <c r="O5590" t="s">
        <v>28</v>
      </c>
      <c r="P5590" t="s">
        <v>29</v>
      </c>
      <c r="Q5590">
        <v>39</v>
      </c>
      <c r="R5590">
        <v>-77.487399999999994</v>
      </c>
    </row>
    <row r="5591" spans="1:18" x14ac:dyDescent="0.2">
      <c r="A5591" t="s">
        <v>270</v>
      </c>
      <c r="B5591" t="s">
        <v>440</v>
      </c>
      <c r="C5591">
        <v>1</v>
      </c>
      <c r="D5591" s="1">
        <v>44084.782986111109</v>
      </c>
      <c r="E5591" t="s">
        <v>17414</v>
      </c>
      <c r="F5591" t="s">
        <v>273</v>
      </c>
      <c r="G5591" t="s">
        <v>17405</v>
      </c>
      <c r="H5591" t="s">
        <v>275</v>
      </c>
      <c r="I5591" t="s">
        <v>29</v>
      </c>
      <c r="J5591">
        <v>1</v>
      </c>
      <c r="K5591">
        <f>1-888-608-5109</f>
        <v>-6604</v>
      </c>
      <c r="L5591" t="s">
        <v>17415</v>
      </c>
      <c r="M5591" t="s">
        <v>17416</v>
      </c>
      <c r="N5591" t="s">
        <v>278</v>
      </c>
      <c r="O5591" t="s">
        <v>28</v>
      </c>
      <c r="P5591" t="s">
        <v>29</v>
      </c>
      <c r="Q5591">
        <v>39</v>
      </c>
      <c r="R5591">
        <v>-77.487399999999994</v>
      </c>
    </row>
    <row r="5592" spans="1:18" x14ac:dyDescent="0.2">
      <c r="A5592" t="s">
        <v>270</v>
      </c>
      <c r="B5592" t="s">
        <v>440</v>
      </c>
      <c r="C5592">
        <v>1</v>
      </c>
      <c r="D5592" s="1">
        <v>44084.780474537038</v>
      </c>
      <c r="E5592" t="s">
        <v>17417</v>
      </c>
      <c r="F5592" t="s">
        <v>273</v>
      </c>
      <c r="G5592" t="s">
        <v>17405</v>
      </c>
      <c r="H5592" t="s">
        <v>275</v>
      </c>
      <c r="I5592" t="s">
        <v>29</v>
      </c>
      <c r="J5592">
        <v>1</v>
      </c>
      <c r="K5592">
        <f>1-888-608-5109</f>
        <v>-6604</v>
      </c>
      <c r="L5592" t="s">
        <v>17418</v>
      </c>
      <c r="M5592" t="s">
        <v>17419</v>
      </c>
      <c r="N5592" t="s">
        <v>278</v>
      </c>
      <c r="O5592" t="s">
        <v>28</v>
      </c>
      <c r="P5592" t="s">
        <v>29</v>
      </c>
      <c r="Q5592">
        <v>39</v>
      </c>
      <c r="R5592">
        <v>-77.487399999999994</v>
      </c>
    </row>
    <row r="5593" spans="1:18" x14ac:dyDescent="0.2">
      <c r="A5593" t="s">
        <v>270</v>
      </c>
      <c r="B5593" t="s">
        <v>440</v>
      </c>
      <c r="C5593">
        <v>1</v>
      </c>
      <c r="D5593" s="1">
        <v>44083.845104166663</v>
      </c>
      <c r="E5593" t="s">
        <v>17420</v>
      </c>
      <c r="F5593" t="s">
        <v>273</v>
      </c>
      <c r="G5593" t="s">
        <v>17405</v>
      </c>
      <c r="H5593" t="s">
        <v>275</v>
      </c>
      <c r="I5593" t="s">
        <v>29</v>
      </c>
      <c r="J5593">
        <v>1</v>
      </c>
      <c r="K5593">
        <f>1-888-599-4298</f>
        <v>-5784</v>
      </c>
      <c r="L5593" t="s">
        <v>17421</v>
      </c>
      <c r="M5593" t="s">
        <v>17422</v>
      </c>
      <c r="N5593" t="s">
        <v>278</v>
      </c>
      <c r="O5593" t="s">
        <v>28</v>
      </c>
      <c r="P5593" t="s">
        <v>29</v>
      </c>
      <c r="Q5593">
        <v>39</v>
      </c>
      <c r="R5593">
        <v>-77.487399999999994</v>
      </c>
    </row>
    <row r="5594" spans="1:18" x14ac:dyDescent="0.2">
      <c r="A5594" t="s">
        <v>270</v>
      </c>
      <c r="B5594" t="s">
        <v>440</v>
      </c>
      <c r="C5594">
        <v>1</v>
      </c>
      <c r="D5594" s="1">
        <v>44083.83017361111</v>
      </c>
      <c r="E5594" t="s">
        <v>17423</v>
      </c>
      <c r="F5594" t="s">
        <v>273</v>
      </c>
      <c r="G5594" t="s">
        <v>17405</v>
      </c>
      <c r="H5594" t="s">
        <v>275</v>
      </c>
      <c r="I5594" t="s">
        <v>29</v>
      </c>
      <c r="J5594">
        <v>1</v>
      </c>
      <c r="K5594">
        <f>1-888-585-6916</f>
        <v>-8388</v>
      </c>
      <c r="L5594" t="s">
        <v>17424</v>
      </c>
      <c r="M5594" t="s">
        <v>17425</v>
      </c>
      <c r="N5594" t="s">
        <v>278</v>
      </c>
      <c r="O5594" t="s">
        <v>28</v>
      </c>
      <c r="P5594" t="s">
        <v>29</v>
      </c>
      <c r="Q5594">
        <v>39</v>
      </c>
      <c r="R5594">
        <v>-77.487399999999994</v>
      </c>
    </row>
    <row r="5595" spans="1:18" x14ac:dyDescent="0.2">
      <c r="A5595" t="s">
        <v>270</v>
      </c>
      <c r="B5595" t="s">
        <v>440</v>
      </c>
      <c r="C5595">
        <v>1</v>
      </c>
      <c r="D5595" s="1">
        <v>44070.869398148148</v>
      </c>
      <c r="E5595" t="s">
        <v>17426</v>
      </c>
      <c r="F5595" t="s">
        <v>273</v>
      </c>
      <c r="G5595" t="s">
        <v>17405</v>
      </c>
      <c r="H5595" t="s">
        <v>275</v>
      </c>
      <c r="I5595" t="s">
        <v>29</v>
      </c>
      <c r="J5595">
        <v>1</v>
      </c>
      <c r="K5595">
        <f>1-888-441-3235</f>
        <v>-4563</v>
      </c>
      <c r="L5595" t="s">
        <v>17427</v>
      </c>
      <c r="M5595" t="s">
        <v>17428</v>
      </c>
      <c r="N5595" t="s">
        <v>278</v>
      </c>
      <c r="O5595" t="s">
        <v>134</v>
      </c>
      <c r="P5595" t="s">
        <v>29</v>
      </c>
      <c r="Q5595">
        <v>39</v>
      </c>
      <c r="R5595">
        <v>-77.487399999999994</v>
      </c>
    </row>
    <row r="5596" spans="1:18" x14ac:dyDescent="0.2">
      <c r="A5596" t="s">
        <v>663</v>
      </c>
      <c r="B5596" t="s">
        <v>2493</v>
      </c>
      <c r="C5596">
        <v>1</v>
      </c>
      <c r="D5596" s="1">
        <v>44074.869803240741</v>
      </c>
      <c r="E5596" t="s">
        <v>17429</v>
      </c>
      <c r="F5596" t="s">
        <v>666</v>
      </c>
      <c r="G5596" t="s">
        <v>17430</v>
      </c>
      <c r="H5596" t="s">
        <v>667</v>
      </c>
      <c r="I5596" t="s">
        <v>29</v>
      </c>
      <c r="J5596">
        <v>1</v>
      </c>
      <c r="K5596">
        <f>1-800-201-2599</f>
        <v>-3599</v>
      </c>
      <c r="L5596" t="s">
        <v>17431</v>
      </c>
      <c r="M5596" t="s">
        <v>17432</v>
      </c>
      <c r="N5596" t="s">
        <v>674</v>
      </c>
      <c r="O5596" t="s">
        <v>28</v>
      </c>
      <c r="P5596" t="s">
        <v>29</v>
      </c>
      <c r="Q5596">
        <v>41</v>
      </c>
      <c r="R5596">
        <v>-74.024699999999996</v>
      </c>
    </row>
    <row r="5597" spans="1:18" x14ac:dyDescent="0.2">
      <c r="A5597" t="s">
        <v>663</v>
      </c>
      <c r="B5597" t="s">
        <v>2493</v>
      </c>
      <c r="C5597">
        <v>1</v>
      </c>
      <c r="D5597" s="1">
        <v>44071.056145833332</v>
      </c>
      <c r="E5597" t="s">
        <v>17433</v>
      </c>
      <c r="F5597" t="s">
        <v>666</v>
      </c>
      <c r="G5597" t="s">
        <v>17430</v>
      </c>
      <c r="H5597" t="s">
        <v>667</v>
      </c>
      <c r="I5597" t="s">
        <v>29</v>
      </c>
      <c r="J5597">
        <v>1</v>
      </c>
      <c r="K5597">
        <f>1-800-846-6180</f>
        <v>-7825</v>
      </c>
      <c r="L5597" t="s">
        <v>17434</v>
      </c>
      <c r="M5597" t="s">
        <v>17435</v>
      </c>
      <c r="N5597" t="s">
        <v>447</v>
      </c>
      <c r="O5597" t="s">
        <v>28</v>
      </c>
      <c r="P5597" t="s">
        <v>29</v>
      </c>
      <c r="Q5597">
        <v>41</v>
      </c>
      <c r="R5597">
        <v>-74.024699999999996</v>
      </c>
    </row>
    <row r="5598" spans="1:18" x14ac:dyDescent="0.2">
      <c r="A5598" t="s">
        <v>2233</v>
      </c>
      <c r="B5598" t="s">
        <v>440</v>
      </c>
      <c r="C5598">
        <v>1</v>
      </c>
      <c r="D5598" s="1">
        <v>44071.084421296298</v>
      </c>
      <c r="E5598" t="s">
        <v>17436</v>
      </c>
      <c r="F5598" t="s">
        <v>2236</v>
      </c>
      <c r="G5598" t="s">
        <v>17437</v>
      </c>
      <c r="H5598" t="s">
        <v>2237</v>
      </c>
      <c r="I5598" t="s">
        <v>29</v>
      </c>
      <c r="J5598">
        <v>1</v>
      </c>
      <c r="K5598">
        <f>1-855-936-3800</f>
        <v>-5590</v>
      </c>
      <c r="L5598" t="s">
        <v>17438</v>
      </c>
      <c r="M5598" t="s">
        <v>17439</v>
      </c>
      <c r="N5598" t="s">
        <v>5354</v>
      </c>
      <c r="O5598" t="s">
        <v>134</v>
      </c>
      <c r="P5598" t="s">
        <v>29</v>
      </c>
      <c r="Q5598">
        <v>39</v>
      </c>
      <c r="R5598">
        <v>-77.487399999999994</v>
      </c>
    </row>
    <row r="5599" spans="1:18" x14ac:dyDescent="0.2">
      <c r="A5599" t="s">
        <v>1200</v>
      </c>
      <c r="B5599" t="s">
        <v>2500</v>
      </c>
      <c r="C5599">
        <v>1</v>
      </c>
      <c r="D5599" s="1">
        <v>44071.119097222225</v>
      </c>
      <c r="E5599" t="s">
        <v>17440</v>
      </c>
      <c r="F5599" t="s">
        <v>1203</v>
      </c>
      <c r="G5599" t="s">
        <v>17441</v>
      </c>
      <c r="H5599" t="s">
        <v>1205</v>
      </c>
      <c r="I5599" t="s">
        <v>29</v>
      </c>
      <c r="J5599">
        <v>1</v>
      </c>
      <c r="K5599">
        <f>1-800-593-7915</f>
        <v>-9307</v>
      </c>
      <c r="L5599" t="s">
        <v>17442</v>
      </c>
      <c r="M5599" t="s">
        <v>17443</v>
      </c>
      <c r="N5599" t="s">
        <v>452</v>
      </c>
      <c r="O5599" t="s">
        <v>134</v>
      </c>
      <c r="P5599" t="s">
        <v>2500</v>
      </c>
      <c r="Q5599">
        <v>1</v>
      </c>
      <c r="R5599">
        <v>99.999999000000003</v>
      </c>
    </row>
    <row r="5600" spans="1:18" x14ac:dyDescent="0.2">
      <c r="A5600" t="s">
        <v>1200</v>
      </c>
      <c r="B5600" t="s">
        <v>2500</v>
      </c>
      <c r="C5600">
        <v>1</v>
      </c>
      <c r="D5600" s="1">
        <v>44071.118090277778</v>
      </c>
      <c r="E5600" t="s">
        <v>17444</v>
      </c>
      <c r="F5600" t="s">
        <v>1203</v>
      </c>
      <c r="G5600" t="s">
        <v>17441</v>
      </c>
      <c r="H5600" t="s">
        <v>1205</v>
      </c>
      <c r="I5600" t="s">
        <v>29</v>
      </c>
      <c r="J5600">
        <v>1</v>
      </c>
      <c r="K5600">
        <f>1-800-593-7915</f>
        <v>-9307</v>
      </c>
      <c r="L5600" t="s">
        <v>17445</v>
      </c>
      <c r="M5600" t="s">
        <v>17446</v>
      </c>
      <c r="N5600" t="s">
        <v>452</v>
      </c>
      <c r="O5600" t="s">
        <v>134</v>
      </c>
      <c r="P5600" t="s">
        <v>2500</v>
      </c>
      <c r="Q5600">
        <v>1</v>
      </c>
      <c r="R5600">
        <v>99.999999000000003</v>
      </c>
    </row>
    <row r="5601" spans="1:18" x14ac:dyDescent="0.2">
      <c r="A5601" t="s">
        <v>663</v>
      </c>
      <c r="B5601" t="s">
        <v>4281</v>
      </c>
      <c r="C5601">
        <v>49</v>
      </c>
      <c r="D5601" s="1">
        <v>44071.413298611114</v>
      </c>
      <c r="E5601" t="s">
        <v>17447</v>
      </c>
      <c r="F5601" t="s">
        <v>666</v>
      </c>
      <c r="G5601" t="s">
        <v>17447</v>
      </c>
      <c r="H5601" t="s">
        <v>667</v>
      </c>
      <c r="I5601" t="s">
        <v>24</v>
      </c>
      <c r="J5601">
        <v>49</v>
      </c>
      <c r="K5601">
        <f>49-203-3694-3733</f>
        <v>-7581</v>
      </c>
      <c r="L5601" t="s">
        <v>17448</v>
      </c>
      <c r="M5601" t="s">
        <v>17449</v>
      </c>
      <c r="N5601">
        <v>138</v>
      </c>
      <c r="O5601" t="s">
        <v>134</v>
      </c>
      <c r="P5601" t="s">
        <v>24</v>
      </c>
      <c r="Q5601">
        <v>50</v>
      </c>
      <c r="R5601">
        <v>8.6843000000000004</v>
      </c>
    </row>
    <row r="5602" spans="1:18" x14ac:dyDescent="0.2">
      <c r="A5602" t="s">
        <v>2349</v>
      </c>
      <c r="B5602" t="s">
        <v>10634</v>
      </c>
      <c r="C5602">
        <v>49</v>
      </c>
      <c r="D5602" s="1">
        <v>44071.469618055555</v>
      </c>
      <c r="E5602" t="s">
        <v>17450</v>
      </c>
      <c r="F5602" t="s">
        <v>4584</v>
      </c>
      <c r="G5602" t="s">
        <v>17450</v>
      </c>
      <c r="H5602" t="s">
        <v>2353</v>
      </c>
      <c r="I5602" t="s">
        <v>24</v>
      </c>
      <c r="J5602">
        <v>49</v>
      </c>
      <c r="K5602">
        <f>49-800-82-6106</f>
        <v>-6939</v>
      </c>
      <c r="L5602" t="s">
        <v>17451</v>
      </c>
      <c r="M5602" t="s">
        <v>17452</v>
      </c>
      <c r="N5602">
        <v>89</v>
      </c>
      <c r="O5602" t="s">
        <v>134</v>
      </c>
      <c r="P5602" t="s">
        <v>292</v>
      </c>
      <c r="Q5602">
        <v>49</v>
      </c>
      <c r="R5602">
        <v>2.3678300000000001</v>
      </c>
    </row>
    <row r="5603" spans="1:18" x14ac:dyDescent="0.2">
      <c r="A5603" t="s">
        <v>439</v>
      </c>
      <c r="B5603" t="s">
        <v>3094</v>
      </c>
      <c r="C5603">
        <v>1</v>
      </c>
      <c r="D5603" s="1">
        <v>44071.831180555557</v>
      </c>
      <c r="E5603" t="s">
        <v>17453</v>
      </c>
      <c r="F5603" t="s">
        <v>442</v>
      </c>
      <c r="G5603" t="s">
        <v>17454</v>
      </c>
      <c r="H5603" t="s">
        <v>444</v>
      </c>
      <c r="I5603" t="s">
        <v>29</v>
      </c>
      <c r="J5603">
        <v>1</v>
      </c>
      <c r="K5603">
        <f>1-888-614-4812</f>
        <v>-6313</v>
      </c>
      <c r="L5603" t="s">
        <v>17455</v>
      </c>
      <c r="M5603" t="s">
        <v>17456</v>
      </c>
      <c r="N5603" t="s">
        <v>1645</v>
      </c>
      <c r="O5603" t="s">
        <v>28</v>
      </c>
      <c r="P5603" t="s">
        <v>2268</v>
      </c>
      <c r="Q5603">
        <v>46</v>
      </c>
      <c r="R5603">
        <v>-73.567300000000003</v>
      </c>
    </row>
    <row r="5604" spans="1:18" x14ac:dyDescent="0.2">
      <c r="A5604" t="s">
        <v>439</v>
      </c>
      <c r="B5604" t="s">
        <v>3094</v>
      </c>
      <c r="C5604">
        <v>1</v>
      </c>
      <c r="D5604" s="1">
        <v>44071.981354166666</v>
      </c>
      <c r="E5604" t="s">
        <v>17457</v>
      </c>
      <c r="F5604" t="s">
        <v>442</v>
      </c>
      <c r="G5604" t="s">
        <v>17458</v>
      </c>
      <c r="H5604" t="s">
        <v>444</v>
      </c>
      <c r="I5604" t="s">
        <v>29</v>
      </c>
      <c r="J5604">
        <v>1</v>
      </c>
      <c r="K5604">
        <f>1-888-599-271</f>
        <v>-1757</v>
      </c>
      <c r="L5604" t="s">
        <v>17459</v>
      </c>
      <c r="M5604" t="s">
        <v>17460</v>
      </c>
      <c r="N5604" t="s">
        <v>5354</v>
      </c>
      <c r="O5604" t="s">
        <v>134</v>
      </c>
      <c r="P5604" t="s">
        <v>2268</v>
      </c>
      <c r="Q5604">
        <v>46</v>
      </c>
      <c r="R5604">
        <v>-73.567300000000003</v>
      </c>
    </row>
    <row r="5605" spans="1:18" x14ac:dyDescent="0.2">
      <c r="A5605" t="s">
        <v>2349</v>
      </c>
      <c r="B5605" t="s">
        <v>10634</v>
      </c>
      <c r="C5605">
        <v>49</v>
      </c>
      <c r="D5605" s="1">
        <v>44072.468888888892</v>
      </c>
      <c r="E5605" t="s">
        <v>17461</v>
      </c>
      <c r="F5605" t="s">
        <v>2352</v>
      </c>
      <c r="G5605" t="s">
        <v>17461</v>
      </c>
      <c r="H5605" t="s">
        <v>2353</v>
      </c>
      <c r="I5605" t="s">
        <v>24</v>
      </c>
      <c r="J5605">
        <v>49</v>
      </c>
      <c r="K5605">
        <f>49-800-82-6106</f>
        <v>-6939</v>
      </c>
      <c r="L5605" t="s">
        <v>17462</v>
      </c>
      <c r="M5605" t="s">
        <v>17463</v>
      </c>
      <c r="N5605">
        <v>9</v>
      </c>
      <c r="O5605" t="s">
        <v>134</v>
      </c>
      <c r="P5605" t="s">
        <v>292</v>
      </c>
      <c r="Q5605">
        <v>49</v>
      </c>
      <c r="R5605">
        <v>2.3868999999999998</v>
      </c>
    </row>
    <row r="5606" spans="1:18" x14ac:dyDescent="0.2">
      <c r="A5606" t="s">
        <v>1200</v>
      </c>
      <c r="B5606" t="s">
        <v>2500</v>
      </c>
      <c r="C5606">
        <v>1</v>
      </c>
      <c r="D5606" s="1">
        <v>44073.867164351854</v>
      </c>
      <c r="E5606" t="s">
        <v>17464</v>
      </c>
      <c r="F5606" t="s">
        <v>1203</v>
      </c>
      <c r="G5606" t="s">
        <v>17465</v>
      </c>
      <c r="H5606" t="s">
        <v>1205</v>
      </c>
      <c r="I5606" t="s">
        <v>29</v>
      </c>
      <c r="J5606">
        <v>1</v>
      </c>
      <c r="K5606">
        <f>1-800-593-7915</f>
        <v>-9307</v>
      </c>
      <c r="L5606" t="s">
        <v>17466</v>
      </c>
      <c r="M5606" t="s">
        <v>17467</v>
      </c>
      <c r="N5606" t="s">
        <v>452</v>
      </c>
      <c r="O5606" t="s">
        <v>134</v>
      </c>
      <c r="P5606" t="s">
        <v>2500</v>
      </c>
      <c r="Q5606">
        <v>1</v>
      </c>
      <c r="R5606">
        <v>99.999999000000003</v>
      </c>
    </row>
    <row r="5607" spans="1:18" x14ac:dyDescent="0.2">
      <c r="A5607" t="s">
        <v>663</v>
      </c>
      <c r="B5607" t="s">
        <v>664</v>
      </c>
      <c r="C5607">
        <v>1</v>
      </c>
      <c r="D5607" s="1">
        <v>44074.819907407407</v>
      </c>
      <c r="E5607" t="s">
        <v>17468</v>
      </c>
      <c r="F5607" t="s">
        <v>666</v>
      </c>
      <c r="G5607" t="s">
        <v>17469</v>
      </c>
      <c r="H5607" t="s">
        <v>667</v>
      </c>
      <c r="I5607" t="s">
        <v>29</v>
      </c>
      <c r="J5607">
        <v>1</v>
      </c>
      <c r="K5607">
        <f>1-855-956-267</f>
        <v>-2077</v>
      </c>
      <c r="L5607" t="s">
        <v>17470</v>
      </c>
      <c r="M5607" t="s">
        <v>17471</v>
      </c>
      <c r="N5607" t="s">
        <v>1645</v>
      </c>
      <c r="O5607" t="s">
        <v>28</v>
      </c>
      <c r="P5607" t="s">
        <v>29</v>
      </c>
      <c r="Q5607">
        <v>37</v>
      </c>
      <c r="R5607">
        <v>-99.999999000000003</v>
      </c>
    </row>
    <row r="5608" spans="1:18" x14ac:dyDescent="0.2">
      <c r="A5608" t="s">
        <v>663</v>
      </c>
      <c r="B5608" t="s">
        <v>3245</v>
      </c>
      <c r="C5608">
        <v>1</v>
      </c>
      <c r="D5608" s="1">
        <v>44074.818958333337</v>
      </c>
      <c r="E5608" t="s">
        <v>17472</v>
      </c>
      <c r="F5608" t="s">
        <v>666</v>
      </c>
      <c r="G5608" t="s">
        <v>17473</v>
      </c>
      <c r="H5608" t="s">
        <v>667</v>
      </c>
      <c r="I5608" t="s">
        <v>29</v>
      </c>
      <c r="J5608">
        <v>1</v>
      </c>
      <c r="K5608">
        <f>1-855-954-833</f>
        <v>-2641</v>
      </c>
      <c r="L5608" t="s">
        <v>17474</v>
      </c>
      <c r="M5608" t="s">
        <v>17475</v>
      </c>
      <c r="N5608" t="s">
        <v>2475</v>
      </c>
      <c r="O5608" t="s">
        <v>28</v>
      </c>
      <c r="P5608" t="s">
        <v>29</v>
      </c>
      <c r="Q5608">
        <v>41</v>
      </c>
      <c r="R5608">
        <v>-74.140299999999996</v>
      </c>
    </row>
    <row r="5609" spans="1:18" x14ac:dyDescent="0.2">
      <c r="A5609" t="s">
        <v>439</v>
      </c>
      <c r="B5609" t="s">
        <v>3094</v>
      </c>
      <c r="C5609">
        <v>1</v>
      </c>
      <c r="D5609" s="1">
        <v>44074.844351851854</v>
      </c>
      <c r="E5609" t="s">
        <v>17476</v>
      </c>
      <c r="F5609" t="s">
        <v>442</v>
      </c>
      <c r="G5609" t="s">
        <v>17477</v>
      </c>
      <c r="H5609" t="s">
        <v>444</v>
      </c>
      <c r="I5609" t="s">
        <v>29</v>
      </c>
      <c r="J5609">
        <v>1</v>
      </c>
      <c r="K5609">
        <f>1-888-412-3892</f>
        <v>-5191</v>
      </c>
      <c r="L5609" t="s">
        <v>17478</v>
      </c>
      <c r="M5609" t="s">
        <v>17479</v>
      </c>
      <c r="N5609" t="s">
        <v>17480</v>
      </c>
      <c r="O5609" t="s">
        <v>134</v>
      </c>
      <c r="P5609" t="s">
        <v>2268</v>
      </c>
      <c r="Q5609">
        <v>46</v>
      </c>
      <c r="R5609">
        <v>-73.567300000000003</v>
      </c>
    </row>
    <row r="5610" spans="1:18" x14ac:dyDescent="0.2">
      <c r="A5610" t="s">
        <v>2233</v>
      </c>
      <c r="B5610" t="s">
        <v>2263</v>
      </c>
      <c r="C5610">
        <v>1</v>
      </c>
      <c r="D5610" s="1">
        <v>44074.859560185185</v>
      </c>
      <c r="E5610" t="s">
        <v>17481</v>
      </c>
      <c r="F5610" t="s">
        <v>2236</v>
      </c>
      <c r="G5610" t="s">
        <v>17482</v>
      </c>
      <c r="H5610" t="s">
        <v>2237</v>
      </c>
      <c r="I5610" t="s">
        <v>29</v>
      </c>
      <c r="J5610">
        <v>1</v>
      </c>
      <c r="K5610">
        <f>1-833-412-939</f>
        <v>-2183</v>
      </c>
      <c r="L5610" t="s">
        <v>17483</v>
      </c>
      <c r="M5610" t="s">
        <v>17484</v>
      </c>
      <c r="N5610" t="s">
        <v>5354</v>
      </c>
      <c r="O5610" t="s">
        <v>134</v>
      </c>
      <c r="P5610" t="s">
        <v>2268</v>
      </c>
      <c r="Q5610">
        <v>44</v>
      </c>
      <c r="R5610">
        <v>-79.383200000000002</v>
      </c>
    </row>
    <row r="5611" spans="1:18" x14ac:dyDescent="0.2">
      <c r="A5611" t="s">
        <v>2349</v>
      </c>
      <c r="B5611" t="s">
        <v>10634</v>
      </c>
      <c r="C5611">
        <v>49</v>
      </c>
      <c r="D5611" s="1">
        <v>44074.485115740739</v>
      </c>
      <c r="E5611" t="s">
        <v>17485</v>
      </c>
      <c r="F5611" t="s">
        <v>2352</v>
      </c>
      <c r="G5611" t="s">
        <v>17485</v>
      </c>
      <c r="H5611" t="s">
        <v>2353</v>
      </c>
      <c r="I5611" t="s">
        <v>24</v>
      </c>
      <c r="J5611">
        <v>49</v>
      </c>
      <c r="K5611">
        <f>49-800-82-6106</f>
        <v>-6939</v>
      </c>
      <c r="L5611" t="s">
        <v>17486</v>
      </c>
      <c r="M5611" t="s">
        <v>17487</v>
      </c>
      <c r="N5611">
        <v>85</v>
      </c>
      <c r="O5611" t="s">
        <v>134</v>
      </c>
      <c r="P5611" t="s">
        <v>292</v>
      </c>
      <c r="Q5611">
        <v>49</v>
      </c>
      <c r="R5611">
        <v>2.3868999999999998</v>
      </c>
    </row>
    <row r="5612" spans="1:18" x14ac:dyDescent="0.2">
      <c r="A5612" t="s">
        <v>675</v>
      </c>
      <c r="B5612" t="s">
        <v>1412</v>
      </c>
      <c r="C5612">
        <v>1</v>
      </c>
      <c r="D5612" s="1">
        <v>44076.789560185185</v>
      </c>
      <c r="E5612" t="s">
        <v>17488</v>
      </c>
      <c r="F5612" t="s">
        <v>678</v>
      </c>
      <c r="G5612" t="s">
        <v>17489</v>
      </c>
      <c r="H5612" t="s">
        <v>680</v>
      </c>
      <c r="I5612" t="s">
        <v>29</v>
      </c>
      <c r="J5612">
        <v>1</v>
      </c>
      <c r="K5612">
        <f>1-855-382-2733</f>
        <v>-3969</v>
      </c>
      <c r="L5612" t="s">
        <v>17490</v>
      </c>
      <c r="M5612" t="s">
        <v>17491</v>
      </c>
      <c r="N5612" t="s">
        <v>452</v>
      </c>
      <c r="O5612" t="s">
        <v>28</v>
      </c>
      <c r="P5612" t="s">
        <v>29</v>
      </c>
      <c r="Q5612">
        <v>41</v>
      </c>
      <c r="R5612">
        <v>-74.172399999999996</v>
      </c>
    </row>
    <row r="5613" spans="1:18" x14ac:dyDescent="0.2">
      <c r="A5613" t="s">
        <v>675</v>
      </c>
      <c r="B5613" t="s">
        <v>1412</v>
      </c>
      <c r="C5613">
        <v>1</v>
      </c>
      <c r="D5613" s="1">
        <v>44077.777071759258</v>
      </c>
      <c r="E5613" t="s">
        <v>17492</v>
      </c>
      <c r="F5613" t="s">
        <v>678</v>
      </c>
      <c r="G5613" t="s">
        <v>17489</v>
      </c>
      <c r="H5613" t="s">
        <v>680</v>
      </c>
      <c r="I5613" t="s">
        <v>29</v>
      </c>
      <c r="J5613">
        <v>1</v>
      </c>
      <c r="K5613">
        <f>1-833-943-2518</f>
        <v>-4293</v>
      </c>
      <c r="L5613" t="s">
        <v>17493</v>
      </c>
      <c r="M5613" t="s">
        <v>17494</v>
      </c>
      <c r="N5613" t="s">
        <v>452</v>
      </c>
      <c r="O5613" t="s">
        <v>28</v>
      </c>
      <c r="P5613" t="s">
        <v>29</v>
      </c>
      <c r="Q5613">
        <v>41</v>
      </c>
      <c r="R5613">
        <v>-74.172399999999996</v>
      </c>
    </row>
    <row r="5614" spans="1:18" x14ac:dyDescent="0.2">
      <c r="A5614" t="s">
        <v>1200</v>
      </c>
      <c r="B5614" t="s">
        <v>1201</v>
      </c>
      <c r="C5614">
        <v>81</v>
      </c>
      <c r="D5614" s="1">
        <v>44077.831724537034</v>
      </c>
      <c r="E5614" t="s">
        <v>17495</v>
      </c>
      <c r="F5614" t="s">
        <v>1203</v>
      </c>
      <c r="G5614" t="s">
        <v>17496</v>
      </c>
      <c r="H5614" t="s">
        <v>1205</v>
      </c>
      <c r="I5614" t="s">
        <v>53</v>
      </c>
      <c r="J5614">
        <v>81</v>
      </c>
      <c r="K5614">
        <f>81-503-136-8381</f>
        <v>-8939</v>
      </c>
      <c r="L5614" t="s">
        <v>17497</v>
      </c>
      <c r="M5614" t="s">
        <v>17498</v>
      </c>
      <c r="N5614" t="s">
        <v>5354</v>
      </c>
      <c r="O5614" t="s">
        <v>134</v>
      </c>
      <c r="P5614" t="s">
        <v>29</v>
      </c>
      <c r="Q5614">
        <v>34</v>
      </c>
      <c r="R5614">
        <v>-99.999999000000003</v>
      </c>
    </row>
    <row r="5615" spans="1:18" x14ac:dyDescent="0.2">
      <c r="A5615" t="s">
        <v>270</v>
      </c>
      <c r="B5615" t="s">
        <v>10394</v>
      </c>
      <c r="C5615">
        <v>1</v>
      </c>
      <c r="D5615" s="1">
        <v>44149.136689814812</v>
      </c>
      <c r="E5615" t="s">
        <v>17499</v>
      </c>
      <c r="F5615" t="s">
        <v>273</v>
      </c>
      <c r="G5615" t="s">
        <v>17500</v>
      </c>
      <c r="H5615" t="s">
        <v>275</v>
      </c>
      <c r="I5615" t="s">
        <v>29</v>
      </c>
      <c r="J5615">
        <v>1</v>
      </c>
      <c r="K5615">
        <f>1-844-288-9125</f>
        <v>-10256</v>
      </c>
      <c r="L5615" t="s">
        <v>17501</v>
      </c>
      <c r="M5615" t="s">
        <v>17502</v>
      </c>
      <c r="N5615" t="s">
        <v>278</v>
      </c>
      <c r="O5615" t="s">
        <v>134</v>
      </c>
      <c r="P5615" t="s">
        <v>29</v>
      </c>
      <c r="Q5615">
        <v>29</v>
      </c>
      <c r="R5615">
        <v>-98.5</v>
      </c>
    </row>
    <row r="5616" spans="1:18" x14ac:dyDescent="0.2">
      <c r="A5616" t="s">
        <v>270</v>
      </c>
      <c r="B5616" t="s">
        <v>10394</v>
      </c>
      <c r="C5616">
        <v>1</v>
      </c>
      <c r="D5616" s="1">
        <v>44139.841331018521</v>
      </c>
      <c r="E5616" t="s">
        <v>17503</v>
      </c>
      <c r="F5616" t="s">
        <v>273</v>
      </c>
      <c r="G5616" t="s">
        <v>17500</v>
      </c>
      <c r="H5616" t="s">
        <v>275</v>
      </c>
      <c r="I5616" t="s">
        <v>29</v>
      </c>
      <c r="J5616">
        <v>1</v>
      </c>
      <c r="K5616">
        <f>1-888-386-8562</f>
        <v>-9835</v>
      </c>
      <c r="L5616" t="s">
        <v>17504</v>
      </c>
      <c r="M5616" t="s">
        <v>17505</v>
      </c>
      <c r="N5616" t="s">
        <v>278</v>
      </c>
      <c r="O5616" t="s">
        <v>28</v>
      </c>
      <c r="P5616" t="s">
        <v>29</v>
      </c>
      <c r="Q5616">
        <v>29</v>
      </c>
      <c r="R5616">
        <v>-98.5</v>
      </c>
    </row>
    <row r="5617" spans="1:18" x14ac:dyDescent="0.2">
      <c r="A5617" t="s">
        <v>270</v>
      </c>
      <c r="B5617" t="s">
        <v>10394</v>
      </c>
      <c r="C5617">
        <v>1</v>
      </c>
      <c r="D5617" s="1">
        <v>44095.78534722222</v>
      </c>
      <c r="E5617" t="s">
        <v>17506</v>
      </c>
      <c r="F5617" t="s">
        <v>273</v>
      </c>
      <c r="G5617" t="s">
        <v>17500</v>
      </c>
      <c r="H5617" t="s">
        <v>275</v>
      </c>
      <c r="I5617" t="s">
        <v>29</v>
      </c>
      <c r="J5617">
        <v>1</v>
      </c>
      <c r="K5617">
        <f>1-844-316-9077</f>
        <v>-10236</v>
      </c>
      <c r="L5617" t="s">
        <v>17507</v>
      </c>
      <c r="M5617" t="s">
        <v>17508</v>
      </c>
      <c r="N5617" t="s">
        <v>278</v>
      </c>
      <c r="O5617" t="s">
        <v>28</v>
      </c>
      <c r="P5617" t="s">
        <v>29</v>
      </c>
      <c r="Q5617">
        <v>29</v>
      </c>
      <c r="R5617">
        <v>-98.5</v>
      </c>
    </row>
    <row r="5618" spans="1:18" x14ac:dyDescent="0.2">
      <c r="A5618" t="s">
        <v>270</v>
      </c>
      <c r="B5618" t="s">
        <v>10394</v>
      </c>
      <c r="C5618">
        <v>1</v>
      </c>
      <c r="D5618" s="1">
        <v>44090.797280092593</v>
      </c>
      <c r="E5618" t="s">
        <v>17509</v>
      </c>
      <c r="F5618" t="s">
        <v>273</v>
      </c>
      <c r="G5618" t="s">
        <v>17500</v>
      </c>
      <c r="H5618" t="s">
        <v>275</v>
      </c>
      <c r="I5618" t="s">
        <v>29</v>
      </c>
      <c r="J5618">
        <v>1</v>
      </c>
      <c r="K5618">
        <f>1-844-243-4064</f>
        <v>-5150</v>
      </c>
      <c r="L5618" t="s">
        <v>17510</v>
      </c>
      <c r="M5618" t="s">
        <v>17511</v>
      </c>
      <c r="N5618" t="s">
        <v>278</v>
      </c>
      <c r="O5618" t="s">
        <v>28</v>
      </c>
      <c r="P5618" t="s">
        <v>29</v>
      </c>
      <c r="Q5618">
        <v>29</v>
      </c>
      <c r="R5618">
        <v>-98.5</v>
      </c>
    </row>
    <row r="5619" spans="1:18" x14ac:dyDescent="0.2">
      <c r="A5619" t="s">
        <v>270</v>
      </c>
      <c r="B5619" t="s">
        <v>10394</v>
      </c>
      <c r="C5619">
        <v>1</v>
      </c>
      <c r="D5619" s="1">
        <v>44090.416712962964</v>
      </c>
      <c r="E5619" t="s">
        <v>17512</v>
      </c>
      <c r="F5619" t="s">
        <v>273</v>
      </c>
      <c r="G5619" t="s">
        <v>17500</v>
      </c>
      <c r="H5619" t="s">
        <v>275</v>
      </c>
      <c r="I5619" t="s">
        <v>29</v>
      </c>
      <c r="J5619">
        <v>1</v>
      </c>
      <c r="K5619">
        <f>1-844-318-8589</f>
        <v>-9750</v>
      </c>
      <c r="L5619" t="s">
        <v>17513</v>
      </c>
      <c r="M5619" t="s">
        <v>17514</v>
      </c>
      <c r="N5619" t="s">
        <v>278</v>
      </c>
      <c r="O5619" t="s">
        <v>28</v>
      </c>
      <c r="P5619" t="s">
        <v>29</v>
      </c>
      <c r="Q5619">
        <v>29</v>
      </c>
      <c r="R5619">
        <v>-98.5</v>
      </c>
    </row>
    <row r="5620" spans="1:18" x14ac:dyDescent="0.2">
      <c r="A5620" t="s">
        <v>270</v>
      </c>
      <c r="B5620" t="s">
        <v>10394</v>
      </c>
      <c r="C5620">
        <v>1</v>
      </c>
      <c r="D5620" s="1">
        <v>44090.414583333331</v>
      </c>
      <c r="E5620" t="s">
        <v>11497</v>
      </c>
      <c r="F5620" t="s">
        <v>273</v>
      </c>
      <c r="G5620" t="s">
        <v>17500</v>
      </c>
      <c r="H5620" t="s">
        <v>275</v>
      </c>
      <c r="I5620" t="s">
        <v>29</v>
      </c>
      <c r="J5620">
        <v>1</v>
      </c>
      <c r="K5620">
        <f>1-844-311-7591</f>
        <v>-8745</v>
      </c>
      <c r="L5620" t="s">
        <v>17515</v>
      </c>
      <c r="M5620" t="s">
        <v>17516</v>
      </c>
      <c r="N5620" t="s">
        <v>278</v>
      </c>
      <c r="O5620" t="s">
        <v>28</v>
      </c>
      <c r="P5620" t="s">
        <v>29</v>
      </c>
      <c r="Q5620">
        <v>29</v>
      </c>
      <c r="R5620">
        <v>-98.5</v>
      </c>
    </row>
    <row r="5621" spans="1:18" x14ac:dyDescent="0.2">
      <c r="A5621" t="s">
        <v>270</v>
      </c>
      <c r="B5621" t="s">
        <v>10394</v>
      </c>
      <c r="C5621">
        <v>1</v>
      </c>
      <c r="D5621" s="1">
        <v>44074.930659722224</v>
      </c>
      <c r="E5621" t="s">
        <v>17517</v>
      </c>
      <c r="F5621" t="s">
        <v>273</v>
      </c>
      <c r="G5621" t="s">
        <v>17500</v>
      </c>
      <c r="H5621" t="s">
        <v>275</v>
      </c>
      <c r="I5621" t="s">
        <v>29</v>
      </c>
      <c r="J5621">
        <v>1</v>
      </c>
      <c r="K5621">
        <f>1-888-592-9325</f>
        <v>-10804</v>
      </c>
      <c r="L5621" t="s">
        <v>17518</v>
      </c>
      <c r="M5621" t="s">
        <v>17519</v>
      </c>
      <c r="N5621" t="s">
        <v>278</v>
      </c>
      <c r="O5621" t="s">
        <v>28</v>
      </c>
      <c r="P5621" t="s">
        <v>29</v>
      </c>
      <c r="Q5621">
        <v>29</v>
      </c>
      <c r="R5621">
        <v>-98.5</v>
      </c>
    </row>
    <row r="5622" spans="1:18" x14ac:dyDescent="0.2">
      <c r="A5622" t="s">
        <v>2349</v>
      </c>
      <c r="B5622" t="s">
        <v>10634</v>
      </c>
      <c r="C5622">
        <v>49</v>
      </c>
      <c r="D5622" s="1">
        <v>44075.51258101852</v>
      </c>
      <c r="E5622" t="s">
        <v>17520</v>
      </c>
      <c r="F5622" t="s">
        <v>2352</v>
      </c>
      <c r="G5622" t="s">
        <v>17520</v>
      </c>
      <c r="H5622" t="s">
        <v>2353</v>
      </c>
      <c r="I5622" t="s">
        <v>24</v>
      </c>
      <c r="J5622">
        <v>49</v>
      </c>
      <c r="K5622">
        <f>49-800-82-6106</f>
        <v>-6939</v>
      </c>
      <c r="L5622" t="s">
        <v>17521</v>
      </c>
      <c r="M5622" t="s">
        <v>17522</v>
      </c>
      <c r="N5622">
        <v>49</v>
      </c>
      <c r="O5622" t="s">
        <v>134</v>
      </c>
      <c r="P5622" t="s">
        <v>292</v>
      </c>
      <c r="Q5622">
        <v>49</v>
      </c>
      <c r="R5622">
        <v>2.3868999999999998</v>
      </c>
    </row>
    <row r="5623" spans="1:18" x14ac:dyDescent="0.2">
      <c r="A5623" t="s">
        <v>17523</v>
      </c>
      <c r="B5623" t="s">
        <v>4281</v>
      </c>
      <c r="C5623">
        <v>49</v>
      </c>
      <c r="D5623" s="1">
        <v>44075.482662037037</v>
      </c>
      <c r="E5623" t="s">
        <v>17524</v>
      </c>
      <c r="F5623" t="s">
        <v>17525</v>
      </c>
      <c r="G5623" t="s">
        <v>17524</v>
      </c>
      <c r="H5623" t="s">
        <v>17526</v>
      </c>
      <c r="I5623" t="s">
        <v>24</v>
      </c>
      <c r="J5623">
        <v>49</v>
      </c>
      <c r="K5623">
        <f>49-632-1967-3011</f>
        <v>-5561</v>
      </c>
      <c r="L5623" t="s">
        <v>17527</v>
      </c>
      <c r="M5623" t="s">
        <v>17528</v>
      </c>
      <c r="N5623">
        <v>176</v>
      </c>
      <c r="O5623" t="s">
        <v>134</v>
      </c>
      <c r="P5623" t="s">
        <v>24</v>
      </c>
      <c r="Q5623">
        <v>50</v>
      </c>
      <c r="R5623">
        <v>8.6821300000000008</v>
      </c>
    </row>
    <row r="5624" spans="1:18" x14ac:dyDescent="0.2">
      <c r="A5624" t="s">
        <v>6586</v>
      </c>
      <c r="B5624" t="s">
        <v>1412</v>
      </c>
      <c r="C5624">
        <v>1</v>
      </c>
      <c r="D5624" s="1">
        <v>44075.950983796298</v>
      </c>
      <c r="E5624" t="s">
        <v>17529</v>
      </c>
      <c r="F5624" t="s">
        <v>6588</v>
      </c>
      <c r="G5624" t="s">
        <v>17530</v>
      </c>
      <c r="H5624" t="s">
        <v>6590</v>
      </c>
      <c r="I5624" t="s">
        <v>29</v>
      </c>
      <c r="J5624">
        <v>1</v>
      </c>
      <c r="K5624">
        <f>1-888-524-5149</f>
        <v>-6560</v>
      </c>
      <c r="L5624" t="s">
        <v>17531</v>
      </c>
      <c r="M5624" t="s">
        <v>17532</v>
      </c>
      <c r="N5624" t="s">
        <v>447</v>
      </c>
      <c r="O5624" t="s">
        <v>28</v>
      </c>
      <c r="P5624" t="s">
        <v>29</v>
      </c>
      <c r="Q5624">
        <v>41</v>
      </c>
      <c r="R5624">
        <v>-74.172399999999996</v>
      </c>
    </row>
    <row r="5625" spans="1:18" x14ac:dyDescent="0.2">
      <c r="A5625" t="s">
        <v>1200</v>
      </c>
      <c r="B5625" t="s">
        <v>2500</v>
      </c>
      <c r="C5625">
        <v>1</v>
      </c>
      <c r="D5625" s="1">
        <v>44076.026932870373</v>
      </c>
      <c r="E5625" t="s">
        <v>17533</v>
      </c>
      <c r="F5625" t="s">
        <v>1203</v>
      </c>
      <c r="G5625" t="s">
        <v>17534</v>
      </c>
      <c r="H5625" t="s">
        <v>1205</v>
      </c>
      <c r="I5625" t="s">
        <v>29</v>
      </c>
      <c r="J5625">
        <v>1</v>
      </c>
      <c r="K5625">
        <f>1-855-954-831</f>
        <v>-2639</v>
      </c>
      <c r="L5625" t="s">
        <v>17535</v>
      </c>
      <c r="M5625" t="s">
        <v>17536</v>
      </c>
      <c r="N5625" t="s">
        <v>452</v>
      </c>
      <c r="O5625" t="s">
        <v>134</v>
      </c>
      <c r="P5625" t="s">
        <v>2500</v>
      </c>
      <c r="Q5625">
        <v>1</v>
      </c>
      <c r="R5625">
        <v>99.999999000000003</v>
      </c>
    </row>
    <row r="5626" spans="1:18" x14ac:dyDescent="0.2">
      <c r="A5626" t="s">
        <v>663</v>
      </c>
      <c r="B5626" t="s">
        <v>2500</v>
      </c>
      <c r="C5626">
        <v>81</v>
      </c>
      <c r="D5626" s="1">
        <v>44076.04488425926</v>
      </c>
      <c r="E5626" t="s">
        <v>17537</v>
      </c>
      <c r="F5626" t="s">
        <v>666</v>
      </c>
      <c r="G5626" t="s">
        <v>17537</v>
      </c>
      <c r="H5626" t="s">
        <v>667</v>
      </c>
      <c r="I5626" t="s">
        <v>53</v>
      </c>
      <c r="J5626">
        <v>81</v>
      </c>
      <c r="K5626">
        <f>81-120-49-550</f>
        <v>-638</v>
      </c>
      <c r="L5626" t="s">
        <v>17538</v>
      </c>
      <c r="M5626" t="s">
        <v>17539</v>
      </c>
      <c r="N5626">
        <v>0</v>
      </c>
      <c r="O5626" t="s">
        <v>134</v>
      </c>
      <c r="P5626" t="s">
        <v>2500</v>
      </c>
      <c r="Q5626">
        <v>1</v>
      </c>
      <c r="R5626">
        <v>99.999999000000003</v>
      </c>
    </row>
    <row r="5627" spans="1:18" x14ac:dyDescent="0.2">
      <c r="A5627" t="s">
        <v>2349</v>
      </c>
      <c r="B5627" t="s">
        <v>10634</v>
      </c>
      <c r="C5627">
        <v>49</v>
      </c>
      <c r="D5627" s="1">
        <v>44076.495729166665</v>
      </c>
      <c r="E5627" t="s">
        <v>17540</v>
      </c>
      <c r="F5627" t="s">
        <v>2352</v>
      </c>
      <c r="G5627" t="s">
        <v>17540</v>
      </c>
      <c r="H5627" t="s">
        <v>2353</v>
      </c>
      <c r="I5627" t="s">
        <v>24</v>
      </c>
      <c r="J5627">
        <v>49</v>
      </c>
      <c r="K5627">
        <f>49-800-82-6106</f>
        <v>-6939</v>
      </c>
      <c r="L5627" t="s">
        <v>17541</v>
      </c>
      <c r="M5627" t="s">
        <v>17542</v>
      </c>
      <c r="N5627">
        <v>154</v>
      </c>
      <c r="O5627" t="s">
        <v>134</v>
      </c>
      <c r="P5627" t="s">
        <v>292</v>
      </c>
      <c r="Q5627">
        <v>49</v>
      </c>
      <c r="R5627">
        <v>2.3693900000000001</v>
      </c>
    </row>
    <row r="5628" spans="1:18" x14ac:dyDescent="0.2">
      <c r="A5628" t="s">
        <v>17543</v>
      </c>
      <c r="B5628" t="s">
        <v>17544</v>
      </c>
      <c r="C5628">
        <v>1</v>
      </c>
      <c r="D5628" s="1">
        <v>44184.150335648148</v>
      </c>
      <c r="E5628" t="s">
        <v>17545</v>
      </c>
      <c r="F5628" t="s">
        <v>17546</v>
      </c>
      <c r="G5628" t="s">
        <v>17547</v>
      </c>
      <c r="H5628" t="s">
        <v>17548</v>
      </c>
      <c r="I5628" t="s">
        <v>29</v>
      </c>
      <c r="J5628">
        <v>1</v>
      </c>
      <c r="K5628">
        <f>1-440-922-6094</f>
        <v>-7455</v>
      </c>
      <c r="L5628" t="s">
        <v>17549</v>
      </c>
      <c r="M5628" t="s">
        <v>17550</v>
      </c>
      <c r="N5628" t="s">
        <v>3454</v>
      </c>
      <c r="O5628" t="s">
        <v>134</v>
      </c>
      <c r="P5628" t="s">
        <v>29</v>
      </c>
      <c r="Q5628">
        <v>41</v>
      </c>
      <c r="R5628">
        <v>-96.667000000000002</v>
      </c>
    </row>
    <row r="5629" spans="1:18" x14ac:dyDescent="0.2">
      <c r="A5629" t="s">
        <v>17543</v>
      </c>
      <c r="B5629" t="s">
        <v>17544</v>
      </c>
      <c r="C5629">
        <v>1</v>
      </c>
      <c r="D5629" s="1">
        <v>44178.863310185188</v>
      </c>
      <c r="E5629" t="s">
        <v>17547</v>
      </c>
      <c r="F5629" t="s">
        <v>17546</v>
      </c>
      <c r="G5629" t="s">
        <v>17547</v>
      </c>
      <c r="H5629" t="s">
        <v>17548</v>
      </c>
      <c r="I5629" t="s">
        <v>29</v>
      </c>
      <c r="J5629">
        <v>1</v>
      </c>
      <c r="K5629">
        <f>1-440-922-6094</f>
        <v>-7455</v>
      </c>
      <c r="L5629" t="s">
        <v>17551</v>
      </c>
      <c r="M5629" t="s">
        <v>17552</v>
      </c>
      <c r="N5629">
        <v>252</v>
      </c>
      <c r="O5629" t="s">
        <v>134</v>
      </c>
      <c r="P5629" t="s">
        <v>29</v>
      </c>
      <c r="Q5629">
        <v>41</v>
      </c>
      <c r="R5629">
        <v>-96.667000000000002</v>
      </c>
    </row>
    <row r="5630" spans="1:18" x14ac:dyDescent="0.2">
      <c r="A5630" t="s">
        <v>17543</v>
      </c>
      <c r="B5630" t="s">
        <v>17544</v>
      </c>
      <c r="C5630">
        <v>1</v>
      </c>
      <c r="D5630" s="1">
        <v>44178.862071759257</v>
      </c>
      <c r="E5630" t="s">
        <v>17553</v>
      </c>
      <c r="F5630" t="s">
        <v>17546</v>
      </c>
      <c r="G5630" t="s">
        <v>17547</v>
      </c>
      <c r="H5630" t="s">
        <v>17548</v>
      </c>
      <c r="I5630" t="s">
        <v>29</v>
      </c>
      <c r="J5630">
        <v>1</v>
      </c>
      <c r="K5630">
        <f>1-440-922-6094</f>
        <v>-7455</v>
      </c>
      <c r="L5630" t="s">
        <v>17554</v>
      </c>
      <c r="M5630" t="s">
        <v>17555</v>
      </c>
      <c r="N5630" t="s">
        <v>3454</v>
      </c>
      <c r="O5630" t="s">
        <v>134</v>
      </c>
      <c r="P5630" t="s">
        <v>29</v>
      </c>
      <c r="Q5630">
        <v>41</v>
      </c>
      <c r="R5630">
        <v>-96.667000000000002</v>
      </c>
    </row>
    <row r="5631" spans="1:18" x14ac:dyDescent="0.2">
      <c r="A5631" t="s">
        <v>17543</v>
      </c>
      <c r="B5631" t="s">
        <v>17544</v>
      </c>
      <c r="C5631">
        <v>1</v>
      </c>
      <c r="D5631" s="1">
        <v>44178.861180555556</v>
      </c>
      <c r="E5631" t="s">
        <v>17556</v>
      </c>
      <c r="F5631" t="s">
        <v>17546</v>
      </c>
      <c r="G5631" t="s">
        <v>17547</v>
      </c>
      <c r="H5631" t="s">
        <v>17548</v>
      </c>
      <c r="I5631" t="s">
        <v>29</v>
      </c>
      <c r="J5631">
        <v>1</v>
      </c>
      <c r="K5631">
        <f>1-440-922-6094</f>
        <v>-7455</v>
      </c>
      <c r="L5631" t="s">
        <v>17557</v>
      </c>
      <c r="M5631" t="s">
        <v>17558</v>
      </c>
      <c r="N5631" t="s">
        <v>3454</v>
      </c>
      <c r="O5631" t="s">
        <v>134</v>
      </c>
      <c r="P5631" t="s">
        <v>29</v>
      </c>
      <c r="Q5631">
        <v>41</v>
      </c>
      <c r="R5631">
        <v>-96.667000000000002</v>
      </c>
    </row>
    <row r="5632" spans="1:18" x14ac:dyDescent="0.2">
      <c r="A5632" t="s">
        <v>17543</v>
      </c>
      <c r="B5632" t="s">
        <v>17544</v>
      </c>
      <c r="C5632">
        <v>1</v>
      </c>
      <c r="D5632" s="1">
        <v>44104.865613425929</v>
      </c>
      <c r="E5632" t="s">
        <v>17559</v>
      </c>
      <c r="F5632" t="s">
        <v>17546</v>
      </c>
      <c r="G5632" t="s">
        <v>17547</v>
      </c>
      <c r="H5632" t="s">
        <v>17548</v>
      </c>
      <c r="I5632" t="s">
        <v>29</v>
      </c>
      <c r="J5632">
        <v>1</v>
      </c>
      <c r="K5632">
        <f>1-402-262-6841</f>
        <v>-7504</v>
      </c>
      <c r="L5632" t="s">
        <v>17560</v>
      </c>
      <c r="M5632" t="s">
        <v>17561</v>
      </c>
      <c r="N5632" t="s">
        <v>3454</v>
      </c>
      <c r="O5632" t="s">
        <v>28</v>
      </c>
      <c r="P5632" t="s">
        <v>29</v>
      </c>
      <c r="Q5632">
        <v>41</v>
      </c>
      <c r="R5632">
        <v>-96.667000000000002</v>
      </c>
    </row>
    <row r="5633" spans="1:18" x14ac:dyDescent="0.2">
      <c r="A5633" t="s">
        <v>17543</v>
      </c>
      <c r="B5633" t="s">
        <v>17544</v>
      </c>
      <c r="C5633">
        <v>1</v>
      </c>
      <c r="D5633" s="1">
        <v>44103.358703703707</v>
      </c>
      <c r="E5633" t="s">
        <v>17562</v>
      </c>
      <c r="F5633" t="s">
        <v>17546</v>
      </c>
      <c r="G5633" t="s">
        <v>17547</v>
      </c>
      <c r="H5633" t="s">
        <v>17548</v>
      </c>
      <c r="I5633" t="s">
        <v>29</v>
      </c>
      <c r="J5633">
        <v>1</v>
      </c>
      <c r="K5633">
        <f>1-531-600-2615</f>
        <v>-3745</v>
      </c>
      <c r="L5633" t="s">
        <v>17563</v>
      </c>
      <c r="M5633" t="s">
        <v>17564</v>
      </c>
      <c r="N5633" t="s">
        <v>3454</v>
      </c>
      <c r="O5633" t="s">
        <v>134</v>
      </c>
      <c r="P5633" t="s">
        <v>29</v>
      </c>
      <c r="Q5633">
        <v>41</v>
      </c>
      <c r="R5633">
        <v>-96.667000000000002</v>
      </c>
    </row>
    <row r="5634" spans="1:18" x14ac:dyDescent="0.2">
      <c r="A5634" t="s">
        <v>17543</v>
      </c>
      <c r="B5634" t="s">
        <v>17544</v>
      </c>
      <c r="C5634">
        <v>1</v>
      </c>
      <c r="D5634" s="1">
        <v>44099.892974537041</v>
      </c>
      <c r="E5634" t="s">
        <v>17565</v>
      </c>
      <c r="F5634" t="s">
        <v>17546</v>
      </c>
      <c r="G5634" t="s">
        <v>17547</v>
      </c>
      <c r="H5634" t="s">
        <v>17548</v>
      </c>
      <c r="I5634" t="s">
        <v>29</v>
      </c>
      <c r="J5634">
        <v>1</v>
      </c>
      <c r="K5634">
        <f>1-531-600-2615</f>
        <v>-3745</v>
      </c>
      <c r="L5634" t="s">
        <v>17566</v>
      </c>
      <c r="M5634" t="s">
        <v>17567</v>
      </c>
      <c r="N5634" t="s">
        <v>3454</v>
      </c>
      <c r="O5634" t="s">
        <v>28</v>
      </c>
      <c r="P5634" t="s">
        <v>29</v>
      </c>
      <c r="Q5634">
        <v>41</v>
      </c>
      <c r="R5634">
        <v>-96.667000000000002</v>
      </c>
    </row>
    <row r="5635" spans="1:18" x14ac:dyDescent="0.2">
      <c r="A5635" t="s">
        <v>17543</v>
      </c>
      <c r="B5635" t="s">
        <v>17544</v>
      </c>
      <c r="C5635">
        <v>1</v>
      </c>
      <c r="D5635" s="1">
        <v>44076.89875</v>
      </c>
      <c r="E5635" t="s">
        <v>17568</v>
      </c>
      <c r="F5635" t="s">
        <v>17546</v>
      </c>
      <c r="G5635" t="s">
        <v>17547</v>
      </c>
      <c r="H5635" t="s">
        <v>17548</v>
      </c>
      <c r="I5635" t="s">
        <v>29</v>
      </c>
      <c r="J5635">
        <v>1</v>
      </c>
      <c r="K5635">
        <f>1-814-326-1286</f>
        <v>-2425</v>
      </c>
      <c r="L5635" t="s">
        <v>17569</v>
      </c>
      <c r="M5635" t="s">
        <v>17570</v>
      </c>
      <c r="N5635" t="s">
        <v>3454</v>
      </c>
      <c r="O5635" t="s">
        <v>134</v>
      </c>
      <c r="P5635" t="s">
        <v>29</v>
      </c>
      <c r="Q5635">
        <v>41</v>
      </c>
      <c r="R5635">
        <v>-96.667000000000002</v>
      </c>
    </row>
    <row r="5636" spans="1:18" x14ac:dyDescent="0.2">
      <c r="A5636" t="s">
        <v>17543</v>
      </c>
      <c r="B5636" t="s">
        <v>17544</v>
      </c>
      <c r="C5636">
        <v>1</v>
      </c>
      <c r="D5636" s="1">
        <v>44076.896064814813</v>
      </c>
      <c r="E5636" t="s">
        <v>17571</v>
      </c>
      <c r="F5636" t="s">
        <v>17546</v>
      </c>
      <c r="G5636" t="s">
        <v>17547</v>
      </c>
      <c r="H5636" t="s">
        <v>17548</v>
      </c>
      <c r="I5636" t="s">
        <v>29</v>
      </c>
      <c r="J5636">
        <v>1</v>
      </c>
      <c r="K5636">
        <f>1-814-326-1286</f>
        <v>-2425</v>
      </c>
      <c r="L5636" t="s">
        <v>17572</v>
      </c>
      <c r="M5636" t="s">
        <v>17573</v>
      </c>
      <c r="N5636" t="s">
        <v>3454</v>
      </c>
      <c r="O5636" t="s">
        <v>28</v>
      </c>
      <c r="P5636" t="s">
        <v>29</v>
      </c>
      <c r="Q5636">
        <v>41</v>
      </c>
      <c r="R5636">
        <v>-96.667000000000002</v>
      </c>
    </row>
    <row r="5637" spans="1:18" x14ac:dyDescent="0.2">
      <c r="A5637" t="s">
        <v>270</v>
      </c>
      <c r="B5637" t="s">
        <v>271</v>
      </c>
      <c r="C5637">
        <v>1</v>
      </c>
      <c r="D5637" s="1">
        <v>44076.973981481482</v>
      </c>
      <c r="E5637" t="s">
        <v>17574</v>
      </c>
      <c r="F5637" t="s">
        <v>273</v>
      </c>
      <c r="G5637" t="s">
        <v>17575</v>
      </c>
      <c r="H5637" t="s">
        <v>275</v>
      </c>
      <c r="I5637" t="s">
        <v>29</v>
      </c>
      <c r="J5637">
        <v>1</v>
      </c>
      <c r="K5637">
        <f>1-888-531-6410</f>
        <v>-7828</v>
      </c>
      <c r="L5637" t="s">
        <v>17576</v>
      </c>
      <c r="M5637" t="s">
        <v>17577</v>
      </c>
      <c r="N5637" t="s">
        <v>278</v>
      </c>
      <c r="O5637" t="s">
        <v>28</v>
      </c>
      <c r="P5637" t="s">
        <v>29</v>
      </c>
      <c r="Q5637">
        <v>42</v>
      </c>
      <c r="R5637">
        <v>-93.620800000000003</v>
      </c>
    </row>
    <row r="5638" spans="1:18" x14ac:dyDescent="0.2">
      <c r="A5638" t="s">
        <v>439</v>
      </c>
      <c r="B5638" t="s">
        <v>3094</v>
      </c>
      <c r="C5638">
        <v>33</v>
      </c>
      <c r="D5638" s="1">
        <v>44077.037835648145</v>
      </c>
      <c r="E5638" t="s">
        <v>17578</v>
      </c>
      <c r="F5638" t="s">
        <v>442</v>
      </c>
      <c r="G5638" t="s">
        <v>17579</v>
      </c>
      <c r="H5638" t="s">
        <v>444</v>
      </c>
      <c r="I5638" t="s">
        <v>292</v>
      </c>
      <c r="J5638">
        <v>33</v>
      </c>
      <c r="K5638">
        <f>33-9-71-7-79-72</f>
        <v>-205</v>
      </c>
      <c r="L5638" t="s">
        <v>17580</v>
      </c>
      <c r="M5638" t="s">
        <v>17581</v>
      </c>
      <c r="N5638" t="s">
        <v>3454</v>
      </c>
      <c r="O5638" t="s">
        <v>134</v>
      </c>
      <c r="P5638" t="s">
        <v>2268</v>
      </c>
      <c r="Q5638">
        <v>46</v>
      </c>
      <c r="R5638">
        <v>-73.567300000000003</v>
      </c>
    </row>
    <row r="5639" spans="1:18" x14ac:dyDescent="0.2">
      <c r="A5639" t="s">
        <v>6586</v>
      </c>
      <c r="B5639" t="s">
        <v>6134</v>
      </c>
      <c r="C5639">
        <v>1</v>
      </c>
      <c r="D5639" s="1">
        <v>44077.04724537037</v>
      </c>
      <c r="E5639" t="s">
        <v>17582</v>
      </c>
      <c r="F5639" t="s">
        <v>6588</v>
      </c>
      <c r="G5639" t="s">
        <v>17583</v>
      </c>
      <c r="H5639" t="s">
        <v>6590</v>
      </c>
      <c r="I5639" t="s">
        <v>29</v>
      </c>
      <c r="J5639">
        <v>1</v>
      </c>
      <c r="K5639">
        <f>1-888-585-3962</f>
        <v>-5434</v>
      </c>
      <c r="L5639" t="s">
        <v>17584</v>
      </c>
      <c r="M5639" t="s">
        <v>17585</v>
      </c>
      <c r="N5639" t="s">
        <v>3441</v>
      </c>
      <c r="O5639" t="s">
        <v>28</v>
      </c>
      <c r="P5639" t="s">
        <v>29</v>
      </c>
      <c r="Q5639">
        <v>33</v>
      </c>
      <c r="R5639">
        <v>-96.821700000000007</v>
      </c>
    </row>
    <row r="5640" spans="1:18" x14ac:dyDescent="0.2">
      <c r="A5640" t="s">
        <v>2233</v>
      </c>
      <c r="B5640" t="s">
        <v>2500</v>
      </c>
      <c r="C5640">
        <v>1</v>
      </c>
      <c r="D5640" s="1">
        <v>44077.840624999997</v>
      </c>
      <c r="E5640" t="s">
        <v>17586</v>
      </c>
      <c r="F5640" t="s">
        <v>2236</v>
      </c>
      <c r="G5640" t="s">
        <v>17587</v>
      </c>
      <c r="H5640" t="s">
        <v>2237</v>
      </c>
      <c r="I5640" t="s">
        <v>29</v>
      </c>
      <c r="J5640">
        <v>1</v>
      </c>
      <c r="K5640">
        <f>1-855-503-425</f>
        <v>-1782</v>
      </c>
      <c r="L5640" t="s">
        <v>17588</v>
      </c>
      <c r="M5640" t="s">
        <v>17589</v>
      </c>
      <c r="N5640" t="s">
        <v>5354</v>
      </c>
      <c r="O5640" t="s">
        <v>28</v>
      </c>
      <c r="P5640" t="s">
        <v>2500</v>
      </c>
      <c r="Q5640">
        <v>1</v>
      </c>
      <c r="R5640">
        <v>99.999999000000003</v>
      </c>
    </row>
    <row r="5641" spans="1:18" x14ac:dyDescent="0.2">
      <c r="A5641" t="s">
        <v>663</v>
      </c>
      <c r="B5641" t="s">
        <v>4281</v>
      </c>
      <c r="C5641">
        <v>49</v>
      </c>
      <c r="D5641" s="1">
        <v>44077.496817129628</v>
      </c>
      <c r="E5641" t="s">
        <v>17590</v>
      </c>
      <c r="F5641" t="s">
        <v>666</v>
      </c>
      <c r="G5641" t="s">
        <v>17590</v>
      </c>
      <c r="H5641" t="s">
        <v>667</v>
      </c>
      <c r="I5641" t="s">
        <v>24</v>
      </c>
      <c r="J5641">
        <v>49</v>
      </c>
      <c r="K5641">
        <f>49-2266-9479-963</f>
        <v>-12659</v>
      </c>
      <c r="L5641" t="s">
        <v>17591</v>
      </c>
      <c r="M5641" t="s">
        <v>17592</v>
      </c>
      <c r="N5641">
        <v>210</v>
      </c>
      <c r="O5641" t="s">
        <v>134</v>
      </c>
      <c r="P5641" t="s">
        <v>24</v>
      </c>
      <c r="Q5641">
        <v>50</v>
      </c>
      <c r="R5641">
        <v>8.6843000000000004</v>
      </c>
    </row>
    <row r="5642" spans="1:18" x14ac:dyDescent="0.2">
      <c r="A5642" t="s">
        <v>2349</v>
      </c>
      <c r="B5642" t="s">
        <v>10634</v>
      </c>
      <c r="C5642">
        <v>49</v>
      </c>
      <c r="D5642" s="1">
        <v>44077.504317129627</v>
      </c>
      <c r="E5642" t="s">
        <v>17593</v>
      </c>
      <c r="F5642" t="s">
        <v>2352</v>
      </c>
      <c r="G5642" t="s">
        <v>17593</v>
      </c>
      <c r="H5642" t="s">
        <v>2353</v>
      </c>
      <c r="I5642" t="s">
        <v>24</v>
      </c>
      <c r="J5642">
        <v>49</v>
      </c>
      <c r="K5642">
        <f>49-800-82-6106</f>
        <v>-6939</v>
      </c>
      <c r="L5642" t="s">
        <v>17594</v>
      </c>
      <c r="M5642" t="s">
        <v>17595</v>
      </c>
      <c r="N5642">
        <v>81</v>
      </c>
      <c r="O5642" t="s">
        <v>134</v>
      </c>
      <c r="P5642" t="s">
        <v>292</v>
      </c>
      <c r="Q5642">
        <v>49</v>
      </c>
      <c r="R5642">
        <v>2.3868999999999998</v>
      </c>
    </row>
    <row r="5643" spans="1:18" x14ac:dyDescent="0.2">
      <c r="A5643" t="s">
        <v>1200</v>
      </c>
      <c r="B5643" t="s">
        <v>1201</v>
      </c>
      <c r="C5643">
        <v>1</v>
      </c>
      <c r="D5643" s="1">
        <v>44077.846493055556</v>
      </c>
      <c r="E5643" t="s">
        <v>17596</v>
      </c>
      <c r="F5643" t="s">
        <v>1203</v>
      </c>
      <c r="G5643" t="s">
        <v>17597</v>
      </c>
      <c r="H5643" t="s">
        <v>1205</v>
      </c>
      <c r="I5643" t="s">
        <v>29</v>
      </c>
      <c r="J5643">
        <v>1</v>
      </c>
      <c r="K5643">
        <f>1-888-317-893</f>
        <v>-2097</v>
      </c>
      <c r="L5643" t="s">
        <v>17598</v>
      </c>
      <c r="M5643" t="s">
        <v>17599</v>
      </c>
      <c r="N5643" t="s">
        <v>7822</v>
      </c>
      <c r="O5643" t="s">
        <v>134</v>
      </c>
      <c r="P5643" t="s">
        <v>29</v>
      </c>
      <c r="Q5643">
        <v>34</v>
      </c>
      <c r="R5643">
        <v>-99.999999000000003</v>
      </c>
    </row>
    <row r="5644" spans="1:18" x14ac:dyDescent="0.2">
      <c r="A5644" t="s">
        <v>663</v>
      </c>
      <c r="B5644" t="s">
        <v>664</v>
      </c>
      <c r="C5644">
        <v>1</v>
      </c>
      <c r="D5644" s="1">
        <v>44077.851736111108</v>
      </c>
      <c r="E5644" t="s">
        <v>17600</v>
      </c>
      <c r="F5644" t="s">
        <v>666</v>
      </c>
      <c r="G5644" t="s">
        <v>17600</v>
      </c>
      <c r="H5644" t="s">
        <v>667</v>
      </c>
      <c r="I5644" t="s">
        <v>29</v>
      </c>
      <c r="J5644">
        <v>1</v>
      </c>
      <c r="K5644">
        <f>1-888-595-2509</f>
        <v>-3991</v>
      </c>
      <c r="L5644" t="s">
        <v>17601</v>
      </c>
      <c r="M5644" t="s">
        <v>17602</v>
      </c>
      <c r="N5644">
        <v>228</v>
      </c>
      <c r="O5644" t="s">
        <v>134</v>
      </c>
      <c r="P5644" t="s">
        <v>29</v>
      </c>
      <c r="Q5644">
        <v>37</v>
      </c>
      <c r="R5644">
        <v>-99.999999000000003</v>
      </c>
    </row>
    <row r="5645" spans="1:18" x14ac:dyDescent="0.2">
      <c r="A5645" t="s">
        <v>2233</v>
      </c>
      <c r="B5645" t="s">
        <v>2234</v>
      </c>
      <c r="C5645">
        <v>1</v>
      </c>
      <c r="D5645" s="1">
        <v>44077.853784722225</v>
      </c>
      <c r="E5645" t="s">
        <v>17603</v>
      </c>
      <c r="F5645" t="s">
        <v>2236</v>
      </c>
      <c r="G5645" t="s">
        <v>17604</v>
      </c>
      <c r="H5645" t="s">
        <v>2237</v>
      </c>
      <c r="I5645" t="s">
        <v>29</v>
      </c>
      <c r="J5645">
        <v>1</v>
      </c>
      <c r="K5645">
        <f>1-888-599-8106</f>
        <v>-9592</v>
      </c>
      <c r="L5645" t="s">
        <v>17605</v>
      </c>
      <c r="M5645" t="s">
        <v>17606</v>
      </c>
      <c r="N5645" t="s">
        <v>6988</v>
      </c>
      <c r="O5645" t="s">
        <v>28</v>
      </c>
      <c r="P5645" t="s">
        <v>29</v>
      </c>
      <c r="Q5645">
        <v>40</v>
      </c>
      <c r="R5645">
        <v>-83.114099999999993</v>
      </c>
    </row>
    <row r="5646" spans="1:18" x14ac:dyDescent="0.2">
      <c r="A5646" t="s">
        <v>2349</v>
      </c>
      <c r="B5646" t="s">
        <v>6310</v>
      </c>
      <c r="C5646">
        <v>1</v>
      </c>
      <c r="D5646" s="1">
        <v>44077.923333333332</v>
      </c>
      <c r="E5646" t="s">
        <v>17607</v>
      </c>
      <c r="F5646" t="s">
        <v>2352</v>
      </c>
      <c r="G5646" t="s">
        <v>17608</v>
      </c>
      <c r="H5646" t="s">
        <v>2353</v>
      </c>
      <c r="I5646" t="s">
        <v>29</v>
      </c>
      <c r="J5646">
        <v>1</v>
      </c>
      <c r="K5646">
        <f>1-833-500-306</f>
        <v>-1638</v>
      </c>
      <c r="L5646" t="s">
        <v>17609</v>
      </c>
      <c r="M5646" t="s">
        <v>17610</v>
      </c>
      <c r="N5646" t="s">
        <v>3454</v>
      </c>
      <c r="O5646" t="s">
        <v>134</v>
      </c>
      <c r="P5646" t="s">
        <v>29</v>
      </c>
      <c r="Q5646">
        <v>34</v>
      </c>
      <c r="R5646">
        <v>-84.445499999999996</v>
      </c>
    </row>
    <row r="5647" spans="1:18" x14ac:dyDescent="0.2">
      <c r="A5647" t="s">
        <v>2233</v>
      </c>
      <c r="B5647" t="s">
        <v>2234</v>
      </c>
      <c r="C5647">
        <v>41</v>
      </c>
      <c r="D5647" s="1">
        <v>44078.475717592592</v>
      </c>
      <c r="E5647" t="s">
        <v>17611</v>
      </c>
      <c r="F5647" t="s">
        <v>7023</v>
      </c>
      <c r="G5647" t="s">
        <v>17611</v>
      </c>
      <c r="H5647" t="s">
        <v>2237</v>
      </c>
      <c r="I5647" t="s">
        <v>204</v>
      </c>
      <c r="J5647">
        <v>41</v>
      </c>
      <c r="K5647">
        <f>41-31-528-25-45</f>
        <v>-588</v>
      </c>
      <c r="L5647" t="s">
        <v>17612</v>
      </c>
      <c r="M5647" t="s">
        <v>17613</v>
      </c>
      <c r="N5647">
        <v>173</v>
      </c>
      <c r="O5647" t="s">
        <v>134</v>
      </c>
      <c r="P5647" t="s">
        <v>6188</v>
      </c>
      <c r="Q5647">
        <v>53</v>
      </c>
      <c r="R5647">
        <v>-6.2603099999999996</v>
      </c>
    </row>
    <row r="5648" spans="1:18" x14ac:dyDescent="0.2">
      <c r="A5648" t="s">
        <v>1200</v>
      </c>
      <c r="B5648" t="s">
        <v>2500</v>
      </c>
      <c r="C5648">
        <v>65</v>
      </c>
      <c r="D5648" s="1">
        <v>44078.636516203704</v>
      </c>
      <c r="E5648" t="s">
        <v>17614</v>
      </c>
      <c r="F5648" t="s">
        <v>1203</v>
      </c>
      <c r="G5648" t="s">
        <v>17615</v>
      </c>
      <c r="H5648" t="s">
        <v>1205</v>
      </c>
      <c r="I5648" t="s">
        <v>2500</v>
      </c>
      <c r="J5648">
        <v>65</v>
      </c>
      <c r="K5648">
        <f>65-3138-8097</f>
        <v>-11170</v>
      </c>
      <c r="L5648" t="s">
        <v>17616</v>
      </c>
      <c r="M5648" t="s">
        <v>17617</v>
      </c>
      <c r="N5648" t="s">
        <v>36</v>
      </c>
      <c r="O5648" t="s">
        <v>134</v>
      </c>
      <c r="P5648" t="s">
        <v>2500</v>
      </c>
      <c r="Q5648">
        <v>1</v>
      </c>
      <c r="R5648">
        <v>99.999999000000003</v>
      </c>
    </row>
    <row r="5649" spans="1:18" x14ac:dyDescent="0.2">
      <c r="A5649" t="s">
        <v>1200</v>
      </c>
      <c r="B5649" t="s">
        <v>2500</v>
      </c>
      <c r="C5649">
        <v>65</v>
      </c>
      <c r="D5649" s="1">
        <v>44078.635324074072</v>
      </c>
      <c r="E5649" t="s">
        <v>17618</v>
      </c>
      <c r="F5649" t="s">
        <v>1203</v>
      </c>
      <c r="G5649" t="s">
        <v>17615</v>
      </c>
      <c r="H5649" t="s">
        <v>1205</v>
      </c>
      <c r="I5649" t="s">
        <v>2500</v>
      </c>
      <c r="J5649">
        <v>65</v>
      </c>
      <c r="K5649">
        <f>65-3129-3525</f>
        <v>-6589</v>
      </c>
      <c r="L5649" t="s">
        <v>17619</v>
      </c>
      <c r="M5649" t="s">
        <v>17620</v>
      </c>
      <c r="N5649" t="s">
        <v>36</v>
      </c>
      <c r="O5649" t="s">
        <v>134</v>
      </c>
      <c r="P5649" t="s">
        <v>2500</v>
      </c>
      <c r="Q5649">
        <v>1</v>
      </c>
      <c r="R5649">
        <v>99.999999000000003</v>
      </c>
    </row>
    <row r="5650" spans="1:18" x14ac:dyDescent="0.2">
      <c r="A5650" t="s">
        <v>1200</v>
      </c>
      <c r="B5650" t="s">
        <v>2500</v>
      </c>
      <c r="C5650">
        <v>1</v>
      </c>
      <c r="D5650" s="1">
        <v>44078.637164351851</v>
      </c>
      <c r="E5650" t="s">
        <v>17621</v>
      </c>
      <c r="F5650" t="s">
        <v>1203</v>
      </c>
      <c r="G5650" t="s">
        <v>17622</v>
      </c>
      <c r="H5650" t="s">
        <v>1205</v>
      </c>
      <c r="I5650" t="s">
        <v>29</v>
      </c>
      <c r="J5650">
        <v>1</v>
      </c>
      <c r="K5650">
        <f>1-800-593-7915</f>
        <v>-9307</v>
      </c>
      <c r="L5650" t="s">
        <v>17623</v>
      </c>
      <c r="M5650" t="s">
        <v>17624</v>
      </c>
      <c r="N5650" t="s">
        <v>452</v>
      </c>
      <c r="O5650" t="s">
        <v>134</v>
      </c>
      <c r="P5650" t="s">
        <v>2500</v>
      </c>
      <c r="Q5650">
        <v>1</v>
      </c>
      <c r="R5650">
        <v>99.999999000000003</v>
      </c>
    </row>
    <row r="5651" spans="1:18" x14ac:dyDescent="0.2">
      <c r="A5651" t="s">
        <v>1200</v>
      </c>
      <c r="B5651" t="s">
        <v>2500</v>
      </c>
      <c r="C5651">
        <v>1</v>
      </c>
      <c r="D5651" s="1">
        <v>44078.638912037037</v>
      </c>
      <c r="E5651" t="s">
        <v>17625</v>
      </c>
      <c r="F5651" t="s">
        <v>1203</v>
      </c>
      <c r="G5651" t="s">
        <v>17626</v>
      </c>
      <c r="H5651" t="s">
        <v>1205</v>
      </c>
      <c r="I5651" t="s">
        <v>29</v>
      </c>
      <c r="J5651">
        <v>1</v>
      </c>
      <c r="K5651">
        <f>1-800-593-7915</f>
        <v>-9307</v>
      </c>
      <c r="L5651" t="s">
        <v>17627</v>
      </c>
      <c r="M5651" t="s">
        <v>17628</v>
      </c>
      <c r="N5651" t="s">
        <v>452</v>
      </c>
      <c r="O5651" t="s">
        <v>134</v>
      </c>
      <c r="P5651" t="s">
        <v>2500</v>
      </c>
      <c r="Q5651">
        <v>1</v>
      </c>
      <c r="R5651">
        <v>99.999999000000003</v>
      </c>
    </row>
    <row r="5652" spans="1:18" x14ac:dyDescent="0.2">
      <c r="A5652" t="s">
        <v>439</v>
      </c>
      <c r="B5652" t="s">
        <v>3094</v>
      </c>
      <c r="C5652">
        <v>1</v>
      </c>
      <c r="D5652" s="1">
        <v>44078.878680555557</v>
      </c>
      <c r="E5652" t="s">
        <v>17629</v>
      </c>
      <c r="F5652" t="s">
        <v>442</v>
      </c>
      <c r="G5652" t="s">
        <v>17630</v>
      </c>
      <c r="H5652" t="s">
        <v>444</v>
      </c>
      <c r="I5652" t="s">
        <v>29</v>
      </c>
      <c r="J5652">
        <v>1</v>
      </c>
      <c r="K5652">
        <f>1-888-617-5609</f>
        <v>-7113</v>
      </c>
      <c r="L5652" t="s">
        <v>17631</v>
      </c>
      <c r="M5652" t="s">
        <v>17632</v>
      </c>
      <c r="N5652" t="s">
        <v>36</v>
      </c>
      <c r="O5652" t="s">
        <v>28</v>
      </c>
      <c r="P5652" t="s">
        <v>2268</v>
      </c>
      <c r="Q5652">
        <v>46</v>
      </c>
      <c r="R5652">
        <v>-73.567300000000003</v>
      </c>
    </row>
    <row r="5653" spans="1:18" x14ac:dyDescent="0.2">
      <c r="A5653" t="s">
        <v>439</v>
      </c>
      <c r="B5653" t="s">
        <v>3094</v>
      </c>
      <c r="C5653">
        <v>1</v>
      </c>
      <c r="D5653" s="1">
        <v>44079.55746527778</v>
      </c>
      <c r="E5653" t="s">
        <v>17633</v>
      </c>
      <c r="F5653" t="s">
        <v>442</v>
      </c>
      <c r="G5653" t="s">
        <v>17634</v>
      </c>
      <c r="H5653" t="s">
        <v>444</v>
      </c>
      <c r="I5653" t="s">
        <v>29</v>
      </c>
      <c r="J5653">
        <v>1</v>
      </c>
      <c r="K5653">
        <f>1-888-603-7008</f>
        <v>-8498</v>
      </c>
      <c r="L5653" t="s">
        <v>17635</v>
      </c>
      <c r="M5653" t="s">
        <v>17636</v>
      </c>
      <c r="N5653" t="s">
        <v>674</v>
      </c>
      <c r="O5653" t="s">
        <v>28</v>
      </c>
      <c r="P5653" t="s">
        <v>2268</v>
      </c>
      <c r="Q5653">
        <v>46</v>
      </c>
      <c r="R5653">
        <v>-73.567300000000003</v>
      </c>
    </row>
    <row r="5654" spans="1:18" x14ac:dyDescent="0.2">
      <c r="A5654" t="s">
        <v>1200</v>
      </c>
      <c r="B5654" t="s">
        <v>1201</v>
      </c>
      <c r="C5654">
        <v>1</v>
      </c>
      <c r="D5654" s="1">
        <v>44082.794259259259</v>
      </c>
      <c r="E5654" t="s">
        <v>17637</v>
      </c>
      <c r="F5654" t="s">
        <v>1203</v>
      </c>
      <c r="G5654" t="s">
        <v>17638</v>
      </c>
      <c r="H5654" t="s">
        <v>1205</v>
      </c>
      <c r="I5654" t="s">
        <v>29</v>
      </c>
      <c r="J5654">
        <v>1</v>
      </c>
      <c r="K5654">
        <f t="shared" ref="K5654:K5661" si="41">1-844-396-7296</f>
        <v>-8535</v>
      </c>
      <c r="L5654" t="s">
        <v>17639</v>
      </c>
      <c r="M5654" t="s">
        <v>17640</v>
      </c>
      <c r="N5654" t="s">
        <v>452</v>
      </c>
      <c r="O5654" t="s">
        <v>134</v>
      </c>
      <c r="P5654" t="s">
        <v>29</v>
      </c>
      <c r="Q5654">
        <v>34</v>
      </c>
      <c r="R5654">
        <v>-99.999999000000003</v>
      </c>
    </row>
    <row r="5655" spans="1:18" x14ac:dyDescent="0.2">
      <c r="A5655" t="s">
        <v>1200</v>
      </c>
      <c r="B5655" t="s">
        <v>1201</v>
      </c>
      <c r="C5655">
        <v>1</v>
      </c>
      <c r="D5655" s="1">
        <v>44079.72960648148</v>
      </c>
      <c r="E5655" t="s">
        <v>17641</v>
      </c>
      <c r="F5655" t="s">
        <v>1203</v>
      </c>
      <c r="G5655" t="s">
        <v>17638</v>
      </c>
      <c r="H5655" t="s">
        <v>1205</v>
      </c>
      <c r="I5655" t="s">
        <v>29</v>
      </c>
      <c r="J5655">
        <v>1</v>
      </c>
      <c r="K5655">
        <f t="shared" si="41"/>
        <v>-8535</v>
      </c>
      <c r="L5655" t="s">
        <v>17642</v>
      </c>
      <c r="M5655" t="s">
        <v>17643</v>
      </c>
      <c r="N5655" t="s">
        <v>452</v>
      </c>
      <c r="O5655" t="s">
        <v>134</v>
      </c>
      <c r="P5655" t="s">
        <v>29</v>
      </c>
      <c r="Q5655">
        <v>34</v>
      </c>
      <c r="R5655">
        <v>-99.999999000000003</v>
      </c>
    </row>
    <row r="5656" spans="1:18" x14ac:dyDescent="0.2">
      <c r="A5656" t="s">
        <v>1200</v>
      </c>
      <c r="B5656" t="s">
        <v>1201</v>
      </c>
      <c r="C5656">
        <v>1</v>
      </c>
      <c r="D5656" s="1">
        <v>44079.729201388887</v>
      </c>
      <c r="E5656" t="s">
        <v>17644</v>
      </c>
      <c r="F5656" t="s">
        <v>1203</v>
      </c>
      <c r="G5656" t="s">
        <v>17638</v>
      </c>
      <c r="H5656" t="s">
        <v>1205</v>
      </c>
      <c r="I5656" t="s">
        <v>29</v>
      </c>
      <c r="J5656">
        <v>1</v>
      </c>
      <c r="K5656">
        <f t="shared" si="41"/>
        <v>-8535</v>
      </c>
      <c r="L5656" t="s">
        <v>17645</v>
      </c>
      <c r="M5656" t="s">
        <v>17646</v>
      </c>
      <c r="N5656" t="s">
        <v>452</v>
      </c>
      <c r="O5656" t="s">
        <v>134</v>
      </c>
      <c r="P5656" t="s">
        <v>29</v>
      </c>
      <c r="Q5656">
        <v>34</v>
      </c>
      <c r="R5656">
        <v>-99.999999000000003</v>
      </c>
    </row>
    <row r="5657" spans="1:18" x14ac:dyDescent="0.2">
      <c r="A5657" t="s">
        <v>1200</v>
      </c>
      <c r="B5657" t="s">
        <v>1201</v>
      </c>
      <c r="C5657">
        <v>1</v>
      </c>
      <c r="D5657" s="1">
        <v>44079.729155092595</v>
      </c>
      <c r="E5657" t="s">
        <v>17647</v>
      </c>
      <c r="F5657" t="s">
        <v>1203</v>
      </c>
      <c r="G5657" t="s">
        <v>17638</v>
      </c>
      <c r="H5657" t="s">
        <v>1205</v>
      </c>
      <c r="I5657" t="s">
        <v>29</v>
      </c>
      <c r="J5657">
        <v>1</v>
      </c>
      <c r="K5657">
        <f t="shared" si="41"/>
        <v>-8535</v>
      </c>
      <c r="L5657" t="s">
        <v>17648</v>
      </c>
      <c r="M5657" t="s">
        <v>17649</v>
      </c>
      <c r="N5657" t="s">
        <v>452</v>
      </c>
      <c r="O5657" t="s">
        <v>134</v>
      </c>
      <c r="P5657" t="s">
        <v>29</v>
      </c>
      <c r="Q5657">
        <v>34</v>
      </c>
      <c r="R5657">
        <v>-99.999999000000003</v>
      </c>
    </row>
    <row r="5658" spans="1:18" x14ac:dyDescent="0.2">
      <c r="A5658" t="s">
        <v>1200</v>
      </c>
      <c r="B5658" t="s">
        <v>1201</v>
      </c>
      <c r="C5658">
        <v>1</v>
      </c>
      <c r="D5658" s="1">
        <v>44079.728726851848</v>
      </c>
      <c r="E5658" t="s">
        <v>17650</v>
      </c>
      <c r="F5658" t="s">
        <v>1203</v>
      </c>
      <c r="G5658" t="s">
        <v>17638</v>
      </c>
      <c r="H5658" t="s">
        <v>1205</v>
      </c>
      <c r="I5658" t="s">
        <v>29</v>
      </c>
      <c r="J5658">
        <v>1</v>
      </c>
      <c r="K5658">
        <f t="shared" si="41"/>
        <v>-8535</v>
      </c>
      <c r="L5658" t="s">
        <v>17651</v>
      </c>
      <c r="M5658" t="s">
        <v>17652</v>
      </c>
      <c r="N5658" t="s">
        <v>452</v>
      </c>
      <c r="O5658" t="s">
        <v>134</v>
      </c>
      <c r="P5658" t="s">
        <v>29</v>
      </c>
      <c r="Q5658">
        <v>34</v>
      </c>
      <c r="R5658">
        <v>-99.999999000000003</v>
      </c>
    </row>
    <row r="5659" spans="1:18" x14ac:dyDescent="0.2">
      <c r="A5659" t="s">
        <v>1200</v>
      </c>
      <c r="B5659" t="s">
        <v>1201</v>
      </c>
      <c r="C5659">
        <v>1</v>
      </c>
      <c r="D5659" s="1">
        <v>44079.728587962964</v>
      </c>
      <c r="E5659" t="s">
        <v>17653</v>
      </c>
      <c r="F5659" t="s">
        <v>1203</v>
      </c>
      <c r="G5659" t="s">
        <v>17638</v>
      </c>
      <c r="H5659" t="s">
        <v>1205</v>
      </c>
      <c r="I5659" t="s">
        <v>29</v>
      </c>
      <c r="J5659">
        <v>1</v>
      </c>
      <c r="K5659">
        <f t="shared" si="41"/>
        <v>-8535</v>
      </c>
      <c r="L5659" t="s">
        <v>17654</v>
      </c>
      <c r="M5659" t="s">
        <v>17655</v>
      </c>
      <c r="N5659" t="s">
        <v>452</v>
      </c>
      <c r="O5659" t="s">
        <v>134</v>
      </c>
      <c r="P5659" t="s">
        <v>29</v>
      </c>
      <c r="Q5659">
        <v>34</v>
      </c>
      <c r="R5659">
        <v>-99.999999000000003</v>
      </c>
    </row>
    <row r="5660" spans="1:18" x14ac:dyDescent="0.2">
      <c r="A5660" t="s">
        <v>1200</v>
      </c>
      <c r="B5660" t="s">
        <v>1201</v>
      </c>
      <c r="C5660">
        <v>1</v>
      </c>
      <c r="D5660" s="1">
        <v>44079.727881944447</v>
      </c>
      <c r="E5660" t="s">
        <v>17656</v>
      </c>
      <c r="F5660" t="s">
        <v>1203</v>
      </c>
      <c r="G5660" t="s">
        <v>17638</v>
      </c>
      <c r="H5660" t="s">
        <v>1205</v>
      </c>
      <c r="I5660" t="s">
        <v>29</v>
      </c>
      <c r="J5660">
        <v>1</v>
      </c>
      <c r="K5660">
        <f t="shared" si="41"/>
        <v>-8535</v>
      </c>
      <c r="L5660" t="s">
        <v>17657</v>
      </c>
      <c r="M5660" t="s">
        <v>17658</v>
      </c>
      <c r="N5660" t="s">
        <v>452</v>
      </c>
      <c r="O5660" t="s">
        <v>134</v>
      </c>
      <c r="P5660" t="s">
        <v>29</v>
      </c>
      <c r="Q5660">
        <v>34</v>
      </c>
      <c r="R5660">
        <v>-99.999999000000003</v>
      </c>
    </row>
    <row r="5661" spans="1:18" x14ac:dyDescent="0.2">
      <c r="A5661" t="s">
        <v>1200</v>
      </c>
      <c r="B5661" t="s">
        <v>1201</v>
      </c>
      <c r="C5661">
        <v>1</v>
      </c>
      <c r="D5661" s="1">
        <v>44079.714918981481</v>
      </c>
      <c r="E5661" t="s">
        <v>17659</v>
      </c>
      <c r="F5661" t="s">
        <v>1203</v>
      </c>
      <c r="G5661" t="s">
        <v>17638</v>
      </c>
      <c r="H5661" t="s">
        <v>1205</v>
      </c>
      <c r="I5661" t="s">
        <v>29</v>
      </c>
      <c r="J5661">
        <v>1</v>
      </c>
      <c r="K5661">
        <f t="shared" si="41"/>
        <v>-8535</v>
      </c>
      <c r="L5661" t="s">
        <v>17660</v>
      </c>
      <c r="M5661" t="s">
        <v>17661</v>
      </c>
      <c r="N5661" t="s">
        <v>452</v>
      </c>
      <c r="O5661" t="s">
        <v>134</v>
      </c>
      <c r="P5661" t="s">
        <v>29</v>
      </c>
      <c r="Q5661">
        <v>34</v>
      </c>
      <c r="R5661">
        <v>-99.999999000000003</v>
      </c>
    </row>
    <row r="5662" spans="1:18" x14ac:dyDescent="0.2">
      <c r="A5662" t="s">
        <v>2233</v>
      </c>
      <c r="B5662" t="s">
        <v>2234</v>
      </c>
      <c r="C5662">
        <v>1</v>
      </c>
      <c r="D5662" s="1">
        <v>44079.842349537037</v>
      </c>
      <c r="E5662" t="s">
        <v>17662</v>
      </c>
      <c r="F5662" t="s">
        <v>2236</v>
      </c>
      <c r="G5662" t="s">
        <v>17663</v>
      </c>
      <c r="H5662" t="s">
        <v>2237</v>
      </c>
      <c r="I5662" t="s">
        <v>29</v>
      </c>
      <c r="J5662">
        <v>1</v>
      </c>
      <c r="K5662">
        <f>1-888-304-159</f>
        <v>-1350</v>
      </c>
      <c r="L5662" t="s">
        <v>17664</v>
      </c>
      <c r="M5662" t="s">
        <v>17665</v>
      </c>
      <c r="N5662" t="s">
        <v>6761</v>
      </c>
      <c r="O5662" t="s">
        <v>28</v>
      </c>
      <c r="P5662" t="s">
        <v>29</v>
      </c>
      <c r="Q5662">
        <v>40</v>
      </c>
      <c r="R5662">
        <v>-83.114099999999993</v>
      </c>
    </row>
    <row r="5663" spans="1:18" x14ac:dyDescent="0.2">
      <c r="A5663" t="s">
        <v>439</v>
      </c>
      <c r="B5663" t="s">
        <v>3094</v>
      </c>
      <c r="C5663">
        <v>1</v>
      </c>
      <c r="D5663" s="1">
        <v>44080.50335648148</v>
      </c>
      <c r="E5663" t="s">
        <v>17666</v>
      </c>
      <c r="F5663" t="s">
        <v>442</v>
      </c>
      <c r="G5663" t="s">
        <v>17667</v>
      </c>
      <c r="H5663" t="s">
        <v>444</v>
      </c>
      <c r="I5663" t="s">
        <v>29</v>
      </c>
      <c r="J5663">
        <v>1</v>
      </c>
      <c r="K5663">
        <f>1-888-620-2693</f>
        <v>-4200</v>
      </c>
      <c r="L5663" t="s">
        <v>17668</v>
      </c>
      <c r="M5663" t="s">
        <v>17669</v>
      </c>
      <c r="N5663" t="s">
        <v>213</v>
      </c>
      <c r="O5663" t="s">
        <v>28</v>
      </c>
      <c r="P5663" t="s">
        <v>2268</v>
      </c>
      <c r="Q5663">
        <v>46</v>
      </c>
      <c r="R5663">
        <v>-73.567300000000003</v>
      </c>
    </row>
    <row r="5664" spans="1:18" x14ac:dyDescent="0.2">
      <c r="A5664" t="s">
        <v>1200</v>
      </c>
      <c r="B5664" t="s">
        <v>2500</v>
      </c>
      <c r="C5664">
        <v>1</v>
      </c>
      <c r="D5664" s="1">
        <v>44080.662395833337</v>
      </c>
      <c r="E5664" t="s">
        <v>17670</v>
      </c>
      <c r="F5664" t="s">
        <v>1203</v>
      </c>
      <c r="G5664" t="s">
        <v>17671</v>
      </c>
      <c r="H5664" t="s">
        <v>1205</v>
      </c>
      <c r="I5664" t="s">
        <v>29</v>
      </c>
      <c r="J5664">
        <v>1</v>
      </c>
      <c r="K5664">
        <f>1-877-938-878</f>
        <v>-2692</v>
      </c>
      <c r="L5664" t="s">
        <v>17672</v>
      </c>
      <c r="M5664" t="s">
        <v>17673</v>
      </c>
      <c r="N5664" t="s">
        <v>7822</v>
      </c>
      <c r="O5664" t="s">
        <v>134</v>
      </c>
      <c r="P5664" t="s">
        <v>2500</v>
      </c>
      <c r="Q5664">
        <v>1</v>
      </c>
      <c r="R5664">
        <v>99.999999000000003</v>
      </c>
    </row>
    <row r="5665" spans="1:18" x14ac:dyDescent="0.2">
      <c r="A5665" t="s">
        <v>17674</v>
      </c>
      <c r="B5665" t="s">
        <v>17675</v>
      </c>
      <c r="C5665">
        <v>81</v>
      </c>
      <c r="D5665" s="1">
        <v>44080.731041666666</v>
      </c>
      <c r="E5665" t="s">
        <v>17676</v>
      </c>
      <c r="F5665" t="s">
        <v>17677</v>
      </c>
      <c r="G5665" t="s">
        <v>17678</v>
      </c>
      <c r="H5665" t="s">
        <v>17679</v>
      </c>
      <c r="I5665" t="s">
        <v>53</v>
      </c>
      <c r="J5665">
        <v>81</v>
      </c>
      <c r="K5665">
        <f>81-50-5809-5927</f>
        <v>-11705</v>
      </c>
      <c r="L5665" t="s">
        <v>17680</v>
      </c>
      <c r="M5665" t="s">
        <v>17681</v>
      </c>
      <c r="N5665" t="s">
        <v>452</v>
      </c>
      <c r="O5665" t="s">
        <v>134</v>
      </c>
      <c r="P5665" t="s">
        <v>53</v>
      </c>
      <c r="Q5665">
        <v>35</v>
      </c>
      <c r="R5665">
        <v>99.999999000000003</v>
      </c>
    </row>
    <row r="5666" spans="1:18" x14ac:dyDescent="0.2">
      <c r="A5666" t="s">
        <v>675</v>
      </c>
      <c r="B5666" t="s">
        <v>1412</v>
      </c>
      <c r="C5666">
        <v>1</v>
      </c>
      <c r="D5666" s="1">
        <v>44080.731504629628</v>
      </c>
      <c r="E5666" t="s">
        <v>17682</v>
      </c>
      <c r="F5666" t="s">
        <v>678</v>
      </c>
      <c r="G5666" t="s">
        <v>17683</v>
      </c>
      <c r="H5666" t="s">
        <v>680</v>
      </c>
      <c r="I5666" t="s">
        <v>29</v>
      </c>
      <c r="J5666">
        <v>1</v>
      </c>
      <c r="K5666">
        <f>1-805-318-8844</f>
        <v>-9966</v>
      </c>
      <c r="L5666" t="s">
        <v>17684</v>
      </c>
      <c r="M5666" t="s">
        <v>17685</v>
      </c>
      <c r="N5666" t="s">
        <v>5354</v>
      </c>
      <c r="O5666" t="s">
        <v>134</v>
      </c>
      <c r="P5666" t="s">
        <v>29</v>
      </c>
      <c r="Q5666">
        <v>41</v>
      </c>
      <c r="R5666">
        <v>-74.172399999999996</v>
      </c>
    </row>
    <row r="5667" spans="1:18" x14ac:dyDescent="0.2">
      <c r="A5667" t="s">
        <v>17686</v>
      </c>
      <c r="B5667" t="s">
        <v>440</v>
      </c>
      <c r="C5667">
        <v>1</v>
      </c>
      <c r="D5667" s="1">
        <v>44081.553078703706</v>
      </c>
      <c r="E5667" t="s">
        <v>17687</v>
      </c>
      <c r="F5667" t="s">
        <v>17688</v>
      </c>
      <c r="G5667" t="s">
        <v>17689</v>
      </c>
      <c r="H5667" t="s">
        <v>17690</v>
      </c>
      <c r="I5667" t="s">
        <v>29</v>
      </c>
      <c r="J5667">
        <v>1</v>
      </c>
      <c r="K5667">
        <f>1-635-8505-339</f>
        <v>-9478</v>
      </c>
      <c r="L5667" t="s">
        <v>17691</v>
      </c>
      <c r="M5667" t="s">
        <v>17692</v>
      </c>
      <c r="N5667" t="s">
        <v>5354</v>
      </c>
      <c r="O5667" t="s">
        <v>28</v>
      </c>
      <c r="P5667" t="s">
        <v>29</v>
      </c>
      <c r="Q5667">
        <v>39</v>
      </c>
      <c r="R5667">
        <v>-77.539000000000001</v>
      </c>
    </row>
    <row r="5668" spans="1:18" x14ac:dyDescent="0.2">
      <c r="A5668" t="s">
        <v>2233</v>
      </c>
      <c r="B5668" t="s">
        <v>1638</v>
      </c>
      <c r="C5668">
        <v>1</v>
      </c>
      <c r="D5668" s="1">
        <v>44309.693171296298</v>
      </c>
      <c r="E5668" t="s">
        <v>17693</v>
      </c>
      <c r="F5668" t="s">
        <v>2236</v>
      </c>
      <c r="G5668" t="s">
        <v>17694</v>
      </c>
      <c r="H5668" t="s">
        <v>2237</v>
      </c>
      <c r="I5668" t="s">
        <v>29</v>
      </c>
      <c r="J5668">
        <v>1</v>
      </c>
      <c r="K5668">
        <f>1-866-853-2508</f>
        <v>-4226</v>
      </c>
      <c r="L5668" t="s">
        <v>17695</v>
      </c>
      <c r="M5668" t="s">
        <v>17696</v>
      </c>
      <c r="N5668" t="s">
        <v>278</v>
      </c>
      <c r="O5668" t="s">
        <v>28</v>
      </c>
      <c r="P5668" t="s">
        <v>292</v>
      </c>
      <c r="Q5668">
        <v>49</v>
      </c>
      <c r="R5668">
        <v>2.35222</v>
      </c>
    </row>
    <row r="5669" spans="1:18" x14ac:dyDescent="0.2">
      <c r="A5669" t="s">
        <v>2233</v>
      </c>
      <c r="B5669" t="s">
        <v>1638</v>
      </c>
      <c r="C5669">
        <v>49</v>
      </c>
      <c r="D5669" s="1">
        <v>44081.764409722222</v>
      </c>
      <c r="E5669" t="s">
        <v>17697</v>
      </c>
      <c r="F5669" t="s">
        <v>6618</v>
      </c>
      <c r="G5669" t="s">
        <v>17694</v>
      </c>
      <c r="H5669" t="s">
        <v>2237</v>
      </c>
      <c r="I5669" t="s">
        <v>24</v>
      </c>
      <c r="J5669">
        <v>49</v>
      </c>
      <c r="K5669">
        <f>49-32-211-121-844</f>
        <v>-1159</v>
      </c>
      <c r="L5669" t="s">
        <v>17698</v>
      </c>
      <c r="M5669" t="s">
        <v>17699</v>
      </c>
      <c r="N5669" t="s">
        <v>278</v>
      </c>
      <c r="O5669" t="s">
        <v>28</v>
      </c>
      <c r="P5669" t="s">
        <v>292</v>
      </c>
      <c r="Q5669">
        <v>49</v>
      </c>
      <c r="R5669">
        <v>2.35222</v>
      </c>
    </row>
    <row r="5670" spans="1:18" x14ac:dyDescent="0.2">
      <c r="A5670" t="s">
        <v>270</v>
      </c>
      <c r="B5670" t="s">
        <v>271</v>
      </c>
      <c r="C5670">
        <v>1</v>
      </c>
      <c r="D5670" s="1">
        <v>44081.447291666664</v>
      </c>
      <c r="E5670" t="s">
        <v>17700</v>
      </c>
      <c r="F5670" t="s">
        <v>273</v>
      </c>
      <c r="G5670" t="s">
        <v>17701</v>
      </c>
      <c r="H5670" t="s">
        <v>275</v>
      </c>
      <c r="I5670" t="s">
        <v>29</v>
      </c>
      <c r="J5670">
        <v>1</v>
      </c>
      <c r="K5670">
        <f>1-888-507-2226</f>
        <v>-3620</v>
      </c>
      <c r="L5670" t="s">
        <v>17702</v>
      </c>
      <c r="M5670" t="s">
        <v>17703</v>
      </c>
      <c r="N5670" t="s">
        <v>278</v>
      </c>
      <c r="O5670" t="s">
        <v>134</v>
      </c>
      <c r="P5670" t="s">
        <v>29</v>
      </c>
      <c r="Q5670">
        <v>42</v>
      </c>
      <c r="R5670">
        <v>-93.620800000000003</v>
      </c>
    </row>
    <row r="5671" spans="1:18" x14ac:dyDescent="0.2">
      <c r="A5671" t="s">
        <v>270</v>
      </c>
      <c r="B5671" t="s">
        <v>271</v>
      </c>
      <c r="C5671">
        <v>1</v>
      </c>
      <c r="D5671" s="1">
        <v>44081.769432870373</v>
      </c>
      <c r="E5671" t="s">
        <v>17704</v>
      </c>
      <c r="F5671" t="s">
        <v>273</v>
      </c>
      <c r="G5671" t="s">
        <v>17701</v>
      </c>
      <c r="H5671" t="s">
        <v>275</v>
      </c>
      <c r="I5671" t="s">
        <v>29</v>
      </c>
      <c r="J5671">
        <v>1</v>
      </c>
      <c r="K5671">
        <f>1-888-507-2226</f>
        <v>-3620</v>
      </c>
      <c r="L5671" t="s">
        <v>17705</v>
      </c>
      <c r="M5671" t="s">
        <v>17706</v>
      </c>
      <c r="N5671" t="s">
        <v>278</v>
      </c>
      <c r="O5671" t="s">
        <v>134</v>
      </c>
      <c r="P5671" t="s">
        <v>29</v>
      </c>
      <c r="Q5671">
        <v>42</v>
      </c>
      <c r="R5671">
        <v>-93.620800000000003</v>
      </c>
    </row>
    <row r="5672" spans="1:18" x14ac:dyDescent="0.2">
      <c r="A5672" t="s">
        <v>663</v>
      </c>
      <c r="B5672" t="s">
        <v>664</v>
      </c>
      <c r="C5672">
        <v>1</v>
      </c>
      <c r="D5672" s="1">
        <v>44081.891701388886</v>
      </c>
      <c r="E5672" t="s">
        <v>17707</v>
      </c>
      <c r="F5672" t="s">
        <v>666</v>
      </c>
      <c r="G5672" t="s">
        <v>17708</v>
      </c>
      <c r="H5672" t="s">
        <v>667</v>
      </c>
      <c r="I5672" t="s">
        <v>29</v>
      </c>
      <c r="J5672">
        <v>1</v>
      </c>
      <c r="K5672">
        <f>1-844-309-2116</f>
        <v>-3268</v>
      </c>
      <c r="L5672" t="s">
        <v>17709</v>
      </c>
      <c r="M5672" t="s">
        <v>17710</v>
      </c>
      <c r="N5672" t="s">
        <v>1645</v>
      </c>
      <c r="O5672" t="s">
        <v>28</v>
      </c>
      <c r="P5672" t="s">
        <v>29</v>
      </c>
      <c r="Q5672">
        <v>37</v>
      </c>
      <c r="R5672">
        <v>-99.999999000000003</v>
      </c>
    </row>
    <row r="5673" spans="1:18" x14ac:dyDescent="0.2">
      <c r="A5673" t="s">
        <v>17711</v>
      </c>
      <c r="B5673" t="s">
        <v>17712</v>
      </c>
      <c r="C5673">
        <v>1</v>
      </c>
      <c r="D5673" s="1">
        <v>44081.918981481482</v>
      </c>
      <c r="E5673" t="s">
        <v>17713</v>
      </c>
      <c r="F5673" t="s">
        <v>17714</v>
      </c>
      <c r="G5673" t="s">
        <v>17715</v>
      </c>
      <c r="H5673" t="s">
        <v>17716</v>
      </c>
      <c r="I5673" t="s">
        <v>29</v>
      </c>
      <c r="J5673">
        <v>1</v>
      </c>
      <c r="K5673">
        <f>1-888-506-669</f>
        <v>-2062</v>
      </c>
      <c r="L5673" t="s">
        <v>17717</v>
      </c>
      <c r="M5673" t="s">
        <v>17718</v>
      </c>
      <c r="N5673" t="s">
        <v>17142</v>
      </c>
      <c r="O5673" t="s">
        <v>28</v>
      </c>
      <c r="P5673" t="s">
        <v>17719</v>
      </c>
      <c r="Q5673">
        <v>31</v>
      </c>
      <c r="R5673">
        <v>99.999999000000003</v>
      </c>
    </row>
    <row r="5674" spans="1:18" x14ac:dyDescent="0.2">
      <c r="A5674" t="s">
        <v>663</v>
      </c>
      <c r="B5674" t="s">
        <v>1412</v>
      </c>
      <c r="C5674">
        <v>1</v>
      </c>
      <c r="D5674" s="1">
        <v>44081.966840277775</v>
      </c>
      <c r="E5674" t="s">
        <v>17720</v>
      </c>
      <c r="F5674" t="s">
        <v>2495</v>
      </c>
      <c r="G5674" t="s">
        <v>17720</v>
      </c>
      <c r="H5674" t="s">
        <v>667</v>
      </c>
      <c r="I5674" t="s">
        <v>29</v>
      </c>
      <c r="J5674">
        <v>1</v>
      </c>
      <c r="K5674">
        <f>1-888-272-8174</f>
        <v>-9333</v>
      </c>
      <c r="L5674" t="s">
        <v>17721</v>
      </c>
      <c r="M5674" t="s">
        <v>17722</v>
      </c>
      <c r="N5674">
        <v>16</v>
      </c>
      <c r="O5674" t="s">
        <v>134</v>
      </c>
      <c r="P5674" t="s">
        <v>29</v>
      </c>
      <c r="Q5674">
        <v>41</v>
      </c>
      <c r="R5674">
        <v>-74.172399999999996</v>
      </c>
    </row>
    <row r="5675" spans="1:18" x14ac:dyDescent="0.2">
      <c r="A5675" t="s">
        <v>663</v>
      </c>
      <c r="B5675" t="s">
        <v>664</v>
      </c>
      <c r="C5675">
        <v>1</v>
      </c>
      <c r="D5675" s="1">
        <v>44082.067916666667</v>
      </c>
      <c r="E5675" t="s">
        <v>17723</v>
      </c>
      <c r="F5675" t="s">
        <v>666</v>
      </c>
      <c r="G5675" t="s">
        <v>17723</v>
      </c>
      <c r="H5675" t="s">
        <v>667</v>
      </c>
      <c r="I5675" t="s">
        <v>29</v>
      </c>
      <c r="J5675">
        <v>1</v>
      </c>
      <c r="K5675">
        <f>1-888-202-712</f>
        <v>-1801</v>
      </c>
      <c r="L5675" t="s">
        <v>17724</v>
      </c>
      <c r="M5675" t="s">
        <v>17725</v>
      </c>
      <c r="N5675">
        <v>243</v>
      </c>
      <c r="O5675" t="s">
        <v>134</v>
      </c>
      <c r="P5675" t="s">
        <v>29</v>
      </c>
      <c r="Q5675">
        <v>37</v>
      </c>
      <c r="R5675">
        <v>-99.999999000000003</v>
      </c>
    </row>
    <row r="5676" spans="1:18" x14ac:dyDescent="0.2">
      <c r="A5676" t="s">
        <v>18</v>
      </c>
      <c r="B5676" t="s">
        <v>462</v>
      </c>
      <c r="C5676">
        <v>1</v>
      </c>
      <c r="D5676" s="1">
        <v>44169.862986111111</v>
      </c>
      <c r="E5676" t="s">
        <v>17726</v>
      </c>
      <c r="F5676" t="s">
        <v>464</v>
      </c>
      <c r="G5676" t="s">
        <v>17727</v>
      </c>
      <c r="H5676" t="s">
        <v>466</v>
      </c>
      <c r="I5676" t="s">
        <v>29</v>
      </c>
      <c r="J5676">
        <v>1</v>
      </c>
      <c r="K5676">
        <f>1-844-999-2250</f>
        <v>-4092</v>
      </c>
      <c r="L5676" t="s">
        <v>17728</v>
      </c>
      <c r="M5676" t="s">
        <v>17729</v>
      </c>
      <c r="N5676" t="s">
        <v>4606</v>
      </c>
      <c r="O5676" t="s">
        <v>28</v>
      </c>
      <c r="P5676" t="s">
        <v>29</v>
      </c>
      <c r="Q5676">
        <v>40</v>
      </c>
      <c r="R5676">
        <v>-99.999999000000003</v>
      </c>
    </row>
    <row r="5677" spans="1:18" x14ac:dyDescent="0.2">
      <c r="A5677" t="s">
        <v>18</v>
      </c>
      <c r="B5677" t="s">
        <v>462</v>
      </c>
      <c r="C5677">
        <v>1</v>
      </c>
      <c r="D5677" s="1">
        <v>44169.774814814817</v>
      </c>
      <c r="E5677" t="s">
        <v>17730</v>
      </c>
      <c r="F5677" t="s">
        <v>464</v>
      </c>
      <c r="G5677" t="s">
        <v>17727</v>
      </c>
      <c r="H5677" t="s">
        <v>466</v>
      </c>
      <c r="I5677" t="s">
        <v>29</v>
      </c>
      <c r="J5677">
        <v>1</v>
      </c>
      <c r="K5677">
        <f>1-844-999-2250</f>
        <v>-4092</v>
      </c>
      <c r="L5677" t="s">
        <v>17731</v>
      </c>
      <c r="M5677" t="s">
        <v>17732</v>
      </c>
      <c r="N5677" t="s">
        <v>2475</v>
      </c>
      <c r="O5677" t="s">
        <v>28</v>
      </c>
      <c r="P5677" t="s">
        <v>29</v>
      </c>
      <c r="Q5677">
        <v>40</v>
      </c>
      <c r="R5677">
        <v>-99.999999000000003</v>
      </c>
    </row>
    <row r="5678" spans="1:18" x14ac:dyDescent="0.2">
      <c r="A5678" t="s">
        <v>18</v>
      </c>
      <c r="B5678" t="s">
        <v>462</v>
      </c>
      <c r="C5678">
        <v>1</v>
      </c>
      <c r="D5678" s="1">
        <v>44147.730810185189</v>
      </c>
      <c r="E5678" t="s">
        <v>17733</v>
      </c>
      <c r="F5678" t="s">
        <v>464</v>
      </c>
      <c r="G5678" t="s">
        <v>17727</v>
      </c>
      <c r="H5678" t="s">
        <v>466</v>
      </c>
      <c r="I5678" t="s">
        <v>29</v>
      </c>
      <c r="J5678">
        <v>1</v>
      </c>
      <c r="K5678">
        <f>1-844-759-109</f>
        <v>-1711</v>
      </c>
      <c r="L5678" t="s">
        <v>17734</v>
      </c>
      <c r="M5678" t="s">
        <v>17735</v>
      </c>
      <c r="N5678" t="s">
        <v>452</v>
      </c>
      <c r="O5678" t="s">
        <v>28</v>
      </c>
      <c r="P5678" t="s">
        <v>29</v>
      </c>
      <c r="Q5678">
        <v>40</v>
      </c>
      <c r="R5678">
        <v>-99.999999000000003</v>
      </c>
    </row>
    <row r="5679" spans="1:18" x14ac:dyDescent="0.2">
      <c r="A5679" t="s">
        <v>18</v>
      </c>
      <c r="B5679" t="s">
        <v>462</v>
      </c>
      <c r="C5679">
        <v>1</v>
      </c>
      <c r="D5679" s="1">
        <v>44147.730520833335</v>
      </c>
      <c r="E5679" t="s">
        <v>17733</v>
      </c>
      <c r="F5679" t="s">
        <v>464</v>
      </c>
      <c r="G5679" t="s">
        <v>17727</v>
      </c>
      <c r="H5679" t="s">
        <v>466</v>
      </c>
      <c r="I5679" t="s">
        <v>29</v>
      </c>
      <c r="J5679">
        <v>1</v>
      </c>
      <c r="K5679">
        <f>1-888-505-9028</f>
        <v>-10420</v>
      </c>
      <c r="L5679" t="s">
        <v>17736</v>
      </c>
      <c r="M5679" t="s">
        <v>17737</v>
      </c>
      <c r="N5679" t="s">
        <v>452</v>
      </c>
      <c r="O5679" t="s">
        <v>28</v>
      </c>
      <c r="P5679" t="s">
        <v>29</v>
      </c>
      <c r="Q5679">
        <v>40</v>
      </c>
      <c r="R5679">
        <v>-99.999999000000003</v>
      </c>
    </row>
    <row r="5680" spans="1:18" x14ac:dyDescent="0.2">
      <c r="A5680" t="s">
        <v>18</v>
      </c>
      <c r="B5680" t="s">
        <v>462</v>
      </c>
      <c r="C5680">
        <v>1</v>
      </c>
      <c r="D5680" s="1">
        <v>44147.730462962965</v>
      </c>
      <c r="E5680" t="s">
        <v>17733</v>
      </c>
      <c r="F5680" t="s">
        <v>464</v>
      </c>
      <c r="G5680" t="s">
        <v>17727</v>
      </c>
      <c r="H5680" t="s">
        <v>466</v>
      </c>
      <c r="I5680" t="s">
        <v>29</v>
      </c>
      <c r="J5680">
        <v>1</v>
      </c>
      <c r="K5680">
        <f>1-855-705-340</f>
        <v>-1899</v>
      </c>
      <c r="L5680" t="s">
        <v>17738</v>
      </c>
      <c r="M5680" t="s">
        <v>17739</v>
      </c>
      <c r="N5680" t="s">
        <v>452</v>
      </c>
      <c r="O5680" t="s">
        <v>28</v>
      </c>
      <c r="P5680" t="s">
        <v>29</v>
      </c>
      <c r="Q5680">
        <v>40</v>
      </c>
      <c r="R5680">
        <v>-99.999999000000003</v>
      </c>
    </row>
    <row r="5681" spans="1:18" x14ac:dyDescent="0.2">
      <c r="A5681" t="s">
        <v>18</v>
      </c>
      <c r="B5681" t="s">
        <v>462</v>
      </c>
      <c r="C5681">
        <v>1</v>
      </c>
      <c r="D5681" s="1">
        <v>44147.730405092596</v>
      </c>
      <c r="E5681" t="s">
        <v>17733</v>
      </c>
      <c r="F5681" t="s">
        <v>464</v>
      </c>
      <c r="G5681" t="s">
        <v>17727</v>
      </c>
      <c r="H5681" t="s">
        <v>466</v>
      </c>
      <c r="I5681" t="s">
        <v>29</v>
      </c>
      <c r="J5681">
        <v>1</v>
      </c>
      <c r="K5681">
        <f>1-866-903-311</f>
        <v>-2079</v>
      </c>
      <c r="L5681" t="s">
        <v>17740</v>
      </c>
      <c r="M5681" t="s">
        <v>17741</v>
      </c>
      <c r="N5681" t="s">
        <v>452</v>
      </c>
      <c r="O5681" t="s">
        <v>28</v>
      </c>
      <c r="P5681" t="s">
        <v>29</v>
      </c>
      <c r="Q5681">
        <v>40</v>
      </c>
      <c r="R5681">
        <v>-99.999999000000003</v>
      </c>
    </row>
    <row r="5682" spans="1:18" x14ac:dyDescent="0.2">
      <c r="A5682" t="s">
        <v>18</v>
      </c>
      <c r="B5682" t="s">
        <v>462</v>
      </c>
      <c r="C5682">
        <v>1</v>
      </c>
      <c r="D5682" s="1">
        <v>44147.729502314818</v>
      </c>
      <c r="E5682" t="s">
        <v>17733</v>
      </c>
      <c r="F5682" t="s">
        <v>464</v>
      </c>
      <c r="G5682" t="s">
        <v>17727</v>
      </c>
      <c r="H5682" t="s">
        <v>466</v>
      </c>
      <c r="I5682" t="s">
        <v>29</v>
      </c>
      <c r="J5682">
        <v>1</v>
      </c>
      <c r="K5682">
        <f>1-888-664-2153</f>
        <v>-3704</v>
      </c>
      <c r="L5682" t="s">
        <v>17742</v>
      </c>
      <c r="M5682" t="s">
        <v>17743</v>
      </c>
      <c r="N5682" t="s">
        <v>452</v>
      </c>
      <c r="O5682" t="s">
        <v>28</v>
      </c>
      <c r="P5682" t="s">
        <v>29</v>
      </c>
      <c r="Q5682">
        <v>40</v>
      </c>
      <c r="R5682">
        <v>-99.999999000000003</v>
      </c>
    </row>
    <row r="5683" spans="1:18" x14ac:dyDescent="0.2">
      <c r="A5683" t="s">
        <v>18</v>
      </c>
      <c r="B5683" t="s">
        <v>462</v>
      </c>
      <c r="C5683">
        <v>1</v>
      </c>
      <c r="D5683" s="1">
        <v>44144.767407407409</v>
      </c>
      <c r="E5683" t="s">
        <v>17744</v>
      </c>
      <c r="F5683" t="s">
        <v>464</v>
      </c>
      <c r="G5683" t="s">
        <v>17727</v>
      </c>
      <c r="H5683" t="s">
        <v>466</v>
      </c>
      <c r="I5683" t="s">
        <v>29</v>
      </c>
      <c r="J5683">
        <v>1</v>
      </c>
      <c r="K5683">
        <f>1-888-664-2153</f>
        <v>-3704</v>
      </c>
      <c r="L5683" t="s">
        <v>17745</v>
      </c>
      <c r="M5683" t="s">
        <v>17746</v>
      </c>
      <c r="N5683" t="s">
        <v>2475</v>
      </c>
      <c r="O5683" t="s">
        <v>28</v>
      </c>
      <c r="P5683" t="s">
        <v>29</v>
      </c>
      <c r="Q5683">
        <v>40</v>
      </c>
      <c r="R5683">
        <v>-99.999999000000003</v>
      </c>
    </row>
    <row r="5684" spans="1:18" x14ac:dyDescent="0.2">
      <c r="A5684" t="s">
        <v>18</v>
      </c>
      <c r="B5684" t="s">
        <v>462</v>
      </c>
      <c r="C5684">
        <v>1</v>
      </c>
      <c r="D5684" s="1">
        <v>44144.76734953704</v>
      </c>
      <c r="E5684" t="s">
        <v>17744</v>
      </c>
      <c r="F5684" t="s">
        <v>464</v>
      </c>
      <c r="G5684" t="s">
        <v>17727</v>
      </c>
      <c r="H5684" t="s">
        <v>466</v>
      </c>
      <c r="I5684" t="s">
        <v>29</v>
      </c>
      <c r="J5684">
        <v>1</v>
      </c>
      <c r="K5684">
        <f>1-888-505-9028</f>
        <v>-10420</v>
      </c>
      <c r="L5684" t="s">
        <v>17747</v>
      </c>
      <c r="M5684" t="s">
        <v>17748</v>
      </c>
      <c r="N5684" t="s">
        <v>2475</v>
      </c>
      <c r="O5684" t="s">
        <v>28</v>
      </c>
      <c r="P5684" t="s">
        <v>29</v>
      </c>
      <c r="Q5684">
        <v>40</v>
      </c>
      <c r="R5684">
        <v>-99.999999000000003</v>
      </c>
    </row>
    <row r="5685" spans="1:18" x14ac:dyDescent="0.2">
      <c r="A5685" t="s">
        <v>18</v>
      </c>
      <c r="B5685" t="s">
        <v>462</v>
      </c>
      <c r="C5685">
        <v>1</v>
      </c>
      <c r="D5685" s="1">
        <v>44144.767291666663</v>
      </c>
      <c r="E5685" t="s">
        <v>17744</v>
      </c>
      <c r="F5685" t="s">
        <v>464</v>
      </c>
      <c r="G5685" t="s">
        <v>17727</v>
      </c>
      <c r="H5685" t="s">
        <v>466</v>
      </c>
      <c r="I5685" t="s">
        <v>29</v>
      </c>
      <c r="J5685">
        <v>1</v>
      </c>
      <c r="K5685">
        <f>1-855-705-340</f>
        <v>-1899</v>
      </c>
      <c r="L5685" t="s">
        <v>17749</v>
      </c>
      <c r="M5685" t="s">
        <v>17750</v>
      </c>
      <c r="N5685" t="s">
        <v>2475</v>
      </c>
      <c r="O5685" t="s">
        <v>28</v>
      </c>
      <c r="P5685" t="s">
        <v>29</v>
      </c>
      <c r="Q5685">
        <v>40</v>
      </c>
      <c r="R5685">
        <v>-99.999999000000003</v>
      </c>
    </row>
    <row r="5686" spans="1:18" x14ac:dyDescent="0.2">
      <c r="A5686" t="s">
        <v>18</v>
      </c>
      <c r="B5686" t="s">
        <v>462</v>
      </c>
      <c r="C5686">
        <v>1</v>
      </c>
      <c r="D5686" s="1">
        <v>44144.767233796294</v>
      </c>
      <c r="E5686" t="s">
        <v>17744</v>
      </c>
      <c r="F5686" t="s">
        <v>464</v>
      </c>
      <c r="G5686" t="s">
        <v>17727</v>
      </c>
      <c r="H5686" t="s">
        <v>466</v>
      </c>
      <c r="I5686" t="s">
        <v>29</v>
      </c>
      <c r="J5686">
        <v>1</v>
      </c>
      <c r="K5686">
        <f>1-866-903-311</f>
        <v>-2079</v>
      </c>
      <c r="L5686" t="s">
        <v>17751</v>
      </c>
      <c r="M5686" t="s">
        <v>17752</v>
      </c>
      <c r="N5686" t="s">
        <v>2475</v>
      </c>
      <c r="O5686" t="s">
        <v>28</v>
      </c>
      <c r="P5686" t="s">
        <v>29</v>
      </c>
      <c r="Q5686">
        <v>40</v>
      </c>
      <c r="R5686">
        <v>-99.999999000000003</v>
      </c>
    </row>
    <row r="5687" spans="1:18" x14ac:dyDescent="0.2">
      <c r="A5687" t="s">
        <v>18</v>
      </c>
      <c r="B5687" t="s">
        <v>462</v>
      </c>
      <c r="C5687">
        <v>1</v>
      </c>
      <c r="D5687" s="1">
        <v>44144.767175925925</v>
      </c>
      <c r="E5687" t="s">
        <v>17744</v>
      </c>
      <c r="F5687" t="s">
        <v>464</v>
      </c>
      <c r="G5687" t="s">
        <v>17727</v>
      </c>
      <c r="H5687" t="s">
        <v>466</v>
      </c>
      <c r="I5687" t="s">
        <v>29</v>
      </c>
      <c r="J5687">
        <v>1</v>
      </c>
      <c r="K5687">
        <f>1-844-759-109</f>
        <v>-1711</v>
      </c>
      <c r="L5687" t="s">
        <v>17753</v>
      </c>
      <c r="M5687" t="s">
        <v>17754</v>
      </c>
      <c r="N5687" t="s">
        <v>2475</v>
      </c>
      <c r="O5687" t="s">
        <v>28</v>
      </c>
      <c r="P5687" t="s">
        <v>29</v>
      </c>
      <c r="Q5687">
        <v>40</v>
      </c>
      <c r="R5687">
        <v>-99.999999000000003</v>
      </c>
    </row>
    <row r="5688" spans="1:18" x14ac:dyDescent="0.2">
      <c r="A5688" t="s">
        <v>18</v>
      </c>
      <c r="B5688" t="s">
        <v>462</v>
      </c>
      <c r="C5688">
        <v>1</v>
      </c>
      <c r="D5688" s="1">
        <v>44142.822314814817</v>
      </c>
      <c r="E5688" t="s">
        <v>17755</v>
      </c>
      <c r="F5688" t="s">
        <v>464</v>
      </c>
      <c r="G5688" t="s">
        <v>17727</v>
      </c>
      <c r="H5688" t="s">
        <v>466</v>
      </c>
      <c r="I5688" t="s">
        <v>29</v>
      </c>
      <c r="J5688">
        <v>1</v>
      </c>
      <c r="K5688">
        <f>1-888-505-9028</f>
        <v>-10420</v>
      </c>
      <c r="L5688" t="s">
        <v>17756</v>
      </c>
      <c r="M5688" t="s">
        <v>17757</v>
      </c>
      <c r="N5688" t="s">
        <v>3454</v>
      </c>
      <c r="O5688" t="s">
        <v>28</v>
      </c>
      <c r="P5688" t="s">
        <v>29</v>
      </c>
      <c r="Q5688">
        <v>40</v>
      </c>
      <c r="R5688">
        <v>-99.999999000000003</v>
      </c>
    </row>
    <row r="5689" spans="1:18" x14ac:dyDescent="0.2">
      <c r="A5689" t="s">
        <v>18</v>
      </c>
      <c r="B5689" t="s">
        <v>462</v>
      </c>
      <c r="C5689">
        <v>1</v>
      </c>
      <c r="D5689" s="1">
        <v>44142.822291666664</v>
      </c>
      <c r="E5689" t="s">
        <v>17758</v>
      </c>
      <c r="F5689" t="s">
        <v>464</v>
      </c>
      <c r="G5689" t="s">
        <v>17727</v>
      </c>
      <c r="H5689" t="s">
        <v>466</v>
      </c>
      <c r="I5689" t="s">
        <v>29</v>
      </c>
      <c r="J5689">
        <v>1</v>
      </c>
      <c r="K5689">
        <f>1-888-505-9028</f>
        <v>-10420</v>
      </c>
      <c r="L5689" t="s">
        <v>17759</v>
      </c>
      <c r="M5689" t="s">
        <v>17760</v>
      </c>
      <c r="N5689" t="s">
        <v>213</v>
      </c>
      <c r="O5689" t="s">
        <v>28</v>
      </c>
      <c r="P5689" t="s">
        <v>29</v>
      </c>
      <c r="Q5689">
        <v>40</v>
      </c>
      <c r="R5689">
        <v>-99.999999000000003</v>
      </c>
    </row>
    <row r="5690" spans="1:18" x14ac:dyDescent="0.2">
      <c r="A5690" t="s">
        <v>18</v>
      </c>
      <c r="B5690" t="s">
        <v>462</v>
      </c>
      <c r="C5690">
        <v>1</v>
      </c>
      <c r="D5690" s="1">
        <v>44142.822233796294</v>
      </c>
      <c r="E5690" t="s">
        <v>17761</v>
      </c>
      <c r="F5690" t="s">
        <v>464</v>
      </c>
      <c r="G5690" t="s">
        <v>17727</v>
      </c>
      <c r="H5690" t="s">
        <v>466</v>
      </c>
      <c r="I5690" t="s">
        <v>29</v>
      </c>
      <c r="J5690">
        <v>1</v>
      </c>
      <c r="K5690">
        <f>1-888-505-9028</f>
        <v>-10420</v>
      </c>
      <c r="L5690" t="s">
        <v>17762</v>
      </c>
      <c r="M5690" t="s">
        <v>17763</v>
      </c>
      <c r="N5690" t="s">
        <v>447</v>
      </c>
      <c r="O5690" t="s">
        <v>28</v>
      </c>
      <c r="P5690" t="s">
        <v>29</v>
      </c>
      <c r="Q5690">
        <v>40</v>
      </c>
      <c r="R5690">
        <v>-99.999999000000003</v>
      </c>
    </row>
    <row r="5691" spans="1:18" x14ac:dyDescent="0.2">
      <c r="A5691" t="s">
        <v>18</v>
      </c>
      <c r="B5691" t="s">
        <v>462</v>
      </c>
      <c r="C5691">
        <v>1</v>
      </c>
      <c r="D5691" s="1">
        <v>44142.750578703701</v>
      </c>
      <c r="E5691" t="s">
        <v>17764</v>
      </c>
      <c r="F5691" t="s">
        <v>464</v>
      </c>
      <c r="G5691" t="s">
        <v>17727</v>
      </c>
      <c r="H5691" t="s">
        <v>466</v>
      </c>
      <c r="I5691" t="s">
        <v>29</v>
      </c>
      <c r="J5691">
        <v>1</v>
      </c>
      <c r="K5691">
        <f>1-888-505-9028</f>
        <v>-10420</v>
      </c>
      <c r="L5691" t="s">
        <v>17765</v>
      </c>
      <c r="M5691" t="s">
        <v>17766</v>
      </c>
      <c r="N5691" t="s">
        <v>674</v>
      </c>
      <c r="O5691" t="s">
        <v>28</v>
      </c>
      <c r="P5691" t="s">
        <v>29</v>
      </c>
      <c r="Q5691">
        <v>40</v>
      </c>
      <c r="R5691">
        <v>-99.999999000000003</v>
      </c>
    </row>
    <row r="5692" spans="1:18" x14ac:dyDescent="0.2">
      <c r="A5692" t="s">
        <v>18</v>
      </c>
      <c r="B5692" t="s">
        <v>462</v>
      </c>
      <c r="C5692">
        <v>1</v>
      </c>
      <c r="D5692" s="1">
        <v>44140.881851851853</v>
      </c>
      <c r="E5692" t="s">
        <v>17767</v>
      </c>
      <c r="F5692" t="s">
        <v>464</v>
      </c>
      <c r="G5692" t="s">
        <v>17727</v>
      </c>
      <c r="H5692" t="s">
        <v>466</v>
      </c>
      <c r="I5692" t="s">
        <v>29</v>
      </c>
      <c r="J5692">
        <v>1</v>
      </c>
      <c r="K5692">
        <f>1-866-903-311</f>
        <v>-2079</v>
      </c>
      <c r="L5692" t="s">
        <v>17768</v>
      </c>
      <c r="M5692" t="s">
        <v>17769</v>
      </c>
      <c r="N5692" t="s">
        <v>447</v>
      </c>
      <c r="O5692" t="s">
        <v>28</v>
      </c>
      <c r="P5692" t="s">
        <v>29</v>
      </c>
      <c r="Q5692">
        <v>40</v>
      </c>
      <c r="R5692">
        <v>-99.999999000000003</v>
      </c>
    </row>
    <row r="5693" spans="1:18" x14ac:dyDescent="0.2">
      <c r="A5693" t="s">
        <v>18</v>
      </c>
      <c r="B5693" t="s">
        <v>462</v>
      </c>
      <c r="C5693">
        <v>1</v>
      </c>
      <c r="D5693" s="1">
        <v>44140.86928240741</v>
      </c>
      <c r="E5693" t="s">
        <v>17767</v>
      </c>
      <c r="F5693" t="s">
        <v>464</v>
      </c>
      <c r="G5693" t="s">
        <v>17727</v>
      </c>
      <c r="H5693" t="s">
        <v>466</v>
      </c>
      <c r="I5693" t="s">
        <v>29</v>
      </c>
      <c r="J5693">
        <v>1</v>
      </c>
      <c r="K5693">
        <f>1-888-664-2153</f>
        <v>-3704</v>
      </c>
      <c r="L5693" t="s">
        <v>17770</v>
      </c>
      <c r="M5693" t="s">
        <v>17771</v>
      </c>
      <c r="N5693" t="s">
        <v>447</v>
      </c>
      <c r="O5693" t="s">
        <v>28</v>
      </c>
      <c r="P5693" t="s">
        <v>29</v>
      </c>
      <c r="Q5693">
        <v>40</v>
      </c>
      <c r="R5693">
        <v>-99.999999000000003</v>
      </c>
    </row>
    <row r="5694" spans="1:18" x14ac:dyDescent="0.2">
      <c r="A5694" t="s">
        <v>18</v>
      </c>
      <c r="B5694" t="s">
        <v>462</v>
      </c>
      <c r="C5694">
        <v>1</v>
      </c>
      <c r="D5694" s="1">
        <v>44130.786145833335</v>
      </c>
      <c r="E5694" t="s">
        <v>17772</v>
      </c>
      <c r="F5694" t="s">
        <v>464</v>
      </c>
      <c r="G5694" t="s">
        <v>17727</v>
      </c>
      <c r="H5694" t="s">
        <v>466</v>
      </c>
      <c r="I5694" t="s">
        <v>29</v>
      </c>
      <c r="J5694">
        <v>1</v>
      </c>
      <c r="K5694">
        <f>1-844-759-109</f>
        <v>-1711</v>
      </c>
      <c r="L5694" t="s">
        <v>17773</v>
      </c>
      <c r="M5694" t="s">
        <v>17774</v>
      </c>
      <c r="N5694" t="s">
        <v>213</v>
      </c>
      <c r="O5694" t="s">
        <v>28</v>
      </c>
      <c r="P5694" t="s">
        <v>29</v>
      </c>
      <c r="Q5694">
        <v>40</v>
      </c>
      <c r="R5694">
        <v>-99.999999000000003</v>
      </c>
    </row>
    <row r="5695" spans="1:18" x14ac:dyDescent="0.2">
      <c r="A5695" t="s">
        <v>18</v>
      </c>
      <c r="B5695" t="s">
        <v>462</v>
      </c>
      <c r="C5695">
        <v>1</v>
      </c>
      <c r="D5695" s="1">
        <v>44113.769583333335</v>
      </c>
      <c r="E5695" t="s">
        <v>17775</v>
      </c>
      <c r="F5695" t="s">
        <v>464</v>
      </c>
      <c r="G5695" t="s">
        <v>17727</v>
      </c>
      <c r="H5695" t="s">
        <v>466</v>
      </c>
      <c r="I5695" t="s">
        <v>29</v>
      </c>
      <c r="J5695">
        <v>1</v>
      </c>
      <c r="K5695">
        <f>1-888-585-9028</f>
        <v>-10500</v>
      </c>
      <c r="L5695" t="s">
        <v>17776</v>
      </c>
      <c r="M5695" t="s">
        <v>17777</v>
      </c>
      <c r="N5695" t="s">
        <v>213</v>
      </c>
      <c r="O5695" t="s">
        <v>28</v>
      </c>
      <c r="P5695" t="s">
        <v>29</v>
      </c>
      <c r="Q5695">
        <v>40</v>
      </c>
      <c r="R5695">
        <v>-99.999999000000003</v>
      </c>
    </row>
    <row r="5696" spans="1:18" x14ac:dyDescent="0.2">
      <c r="A5696" t="s">
        <v>18</v>
      </c>
      <c r="B5696" t="s">
        <v>462</v>
      </c>
      <c r="C5696">
        <v>1</v>
      </c>
      <c r="D5696" s="1">
        <v>44113.748761574076</v>
      </c>
      <c r="E5696" t="s">
        <v>17778</v>
      </c>
      <c r="F5696" t="s">
        <v>464</v>
      </c>
      <c r="G5696" t="s">
        <v>17727</v>
      </c>
      <c r="H5696" t="s">
        <v>466</v>
      </c>
      <c r="I5696" t="s">
        <v>29</v>
      </c>
      <c r="J5696">
        <v>1</v>
      </c>
      <c r="K5696">
        <f>1-888-585-9028</f>
        <v>-10500</v>
      </c>
      <c r="L5696" t="s">
        <v>17779</v>
      </c>
      <c r="M5696" t="s">
        <v>17780</v>
      </c>
      <c r="N5696" t="s">
        <v>447</v>
      </c>
      <c r="O5696" t="s">
        <v>28</v>
      </c>
      <c r="P5696" t="s">
        <v>29</v>
      </c>
      <c r="Q5696">
        <v>40</v>
      </c>
      <c r="R5696">
        <v>-99.999999000000003</v>
      </c>
    </row>
    <row r="5697" spans="1:18" x14ac:dyDescent="0.2">
      <c r="A5697" t="s">
        <v>18</v>
      </c>
      <c r="B5697" t="s">
        <v>462</v>
      </c>
      <c r="C5697">
        <v>1</v>
      </c>
      <c r="D5697" s="1">
        <v>44104.917905092596</v>
      </c>
      <c r="E5697" t="s">
        <v>17781</v>
      </c>
      <c r="F5697" t="s">
        <v>464</v>
      </c>
      <c r="G5697" t="s">
        <v>17727</v>
      </c>
      <c r="H5697" t="s">
        <v>466</v>
      </c>
      <c r="I5697" t="s">
        <v>29</v>
      </c>
      <c r="J5697">
        <v>1</v>
      </c>
      <c r="K5697">
        <f>1-855-705-340</f>
        <v>-1899</v>
      </c>
      <c r="L5697" t="s">
        <v>17782</v>
      </c>
      <c r="M5697" t="s">
        <v>17783</v>
      </c>
      <c r="N5697" t="s">
        <v>674</v>
      </c>
      <c r="O5697" t="s">
        <v>28</v>
      </c>
      <c r="P5697" t="s">
        <v>29</v>
      </c>
      <c r="Q5697">
        <v>40</v>
      </c>
      <c r="R5697">
        <v>-99.999999000000003</v>
      </c>
    </row>
    <row r="5698" spans="1:18" x14ac:dyDescent="0.2">
      <c r="A5698" t="s">
        <v>18</v>
      </c>
      <c r="B5698" t="s">
        <v>462</v>
      </c>
      <c r="C5698">
        <v>1</v>
      </c>
      <c r="D5698" s="1">
        <v>44104.826157407406</v>
      </c>
      <c r="E5698" t="s">
        <v>17784</v>
      </c>
      <c r="F5698" t="s">
        <v>464</v>
      </c>
      <c r="G5698" t="s">
        <v>17727</v>
      </c>
      <c r="H5698" t="s">
        <v>466</v>
      </c>
      <c r="I5698" t="s">
        <v>29</v>
      </c>
      <c r="J5698">
        <v>1</v>
      </c>
      <c r="K5698">
        <f>1-877-790-189</f>
        <v>-1855</v>
      </c>
      <c r="L5698" t="s">
        <v>17785</v>
      </c>
      <c r="M5698" t="s">
        <v>17786</v>
      </c>
      <c r="N5698" t="s">
        <v>447</v>
      </c>
      <c r="O5698" t="s">
        <v>28</v>
      </c>
      <c r="P5698" t="s">
        <v>29</v>
      </c>
      <c r="Q5698">
        <v>40</v>
      </c>
      <c r="R5698">
        <v>-99.999999000000003</v>
      </c>
    </row>
    <row r="5699" spans="1:18" x14ac:dyDescent="0.2">
      <c r="A5699" t="s">
        <v>18</v>
      </c>
      <c r="B5699" t="s">
        <v>462</v>
      </c>
      <c r="C5699">
        <v>1</v>
      </c>
      <c r="D5699" s="1">
        <v>44102.827511574076</v>
      </c>
      <c r="E5699" t="s">
        <v>17787</v>
      </c>
      <c r="F5699" t="s">
        <v>464</v>
      </c>
      <c r="G5699" t="s">
        <v>17727</v>
      </c>
      <c r="H5699" t="s">
        <v>466</v>
      </c>
      <c r="I5699" t="s">
        <v>29</v>
      </c>
      <c r="J5699">
        <v>1</v>
      </c>
      <c r="K5699">
        <f>1-855-705-340</f>
        <v>-1899</v>
      </c>
      <c r="L5699" t="s">
        <v>17788</v>
      </c>
      <c r="M5699" t="s">
        <v>17789</v>
      </c>
      <c r="N5699" t="s">
        <v>447</v>
      </c>
      <c r="O5699" t="s">
        <v>28</v>
      </c>
      <c r="P5699" t="s">
        <v>29</v>
      </c>
      <c r="Q5699">
        <v>40</v>
      </c>
      <c r="R5699">
        <v>-99.999999000000003</v>
      </c>
    </row>
    <row r="5700" spans="1:18" x14ac:dyDescent="0.2">
      <c r="A5700" t="s">
        <v>18</v>
      </c>
      <c r="B5700" t="s">
        <v>462</v>
      </c>
      <c r="C5700">
        <v>1</v>
      </c>
      <c r="D5700" s="1">
        <v>44102.827199074076</v>
      </c>
      <c r="E5700" t="s">
        <v>17790</v>
      </c>
      <c r="F5700" t="s">
        <v>464</v>
      </c>
      <c r="G5700" t="s">
        <v>17727</v>
      </c>
      <c r="H5700" t="s">
        <v>466</v>
      </c>
      <c r="I5700" t="s">
        <v>29</v>
      </c>
      <c r="J5700">
        <v>1</v>
      </c>
      <c r="K5700">
        <f>1-855-705-340</f>
        <v>-1899</v>
      </c>
      <c r="L5700" t="s">
        <v>17791</v>
      </c>
      <c r="M5700" t="s">
        <v>17792</v>
      </c>
      <c r="N5700" t="s">
        <v>3441</v>
      </c>
      <c r="O5700" t="s">
        <v>28</v>
      </c>
      <c r="P5700" t="s">
        <v>29</v>
      </c>
      <c r="Q5700">
        <v>40</v>
      </c>
      <c r="R5700">
        <v>-99.999999000000003</v>
      </c>
    </row>
    <row r="5701" spans="1:18" x14ac:dyDescent="0.2">
      <c r="A5701" t="s">
        <v>18</v>
      </c>
      <c r="B5701" t="s">
        <v>462</v>
      </c>
      <c r="C5701">
        <v>1</v>
      </c>
      <c r="D5701" s="1">
        <v>44102.810752314814</v>
      </c>
      <c r="E5701" t="s">
        <v>17793</v>
      </c>
      <c r="F5701" t="s">
        <v>464</v>
      </c>
      <c r="G5701" t="s">
        <v>17727</v>
      </c>
      <c r="H5701" t="s">
        <v>466</v>
      </c>
      <c r="I5701" t="s">
        <v>29</v>
      </c>
      <c r="J5701">
        <v>1</v>
      </c>
      <c r="K5701">
        <f t="shared" ref="K5701:K5719" si="42">1-877-790-197</f>
        <v>-1863</v>
      </c>
      <c r="L5701" t="s">
        <v>17794</v>
      </c>
      <c r="M5701" t="s">
        <v>17795</v>
      </c>
      <c r="N5701" t="s">
        <v>674</v>
      </c>
      <c r="O5701" t="s">
        <v>28</v>
      </c>
      <c r="P5701" t="s">
        <v>29</v>
      </c>
      <c r="Q5701">
        <v>40</v>
      </c>
      <c r="R5701">
        <v>-99.999999000000003</v>
      </c>
    </row>
    <row r="5702" spans="1:18" x14ac:dyDescent="0.2">
      <c r="A5702" t="s">
        <v>18</v>
      </c>
      <c r="B5702" t="s">
        <v>462</v>
      </c>
      <c r="C5702">
        <v>1</v>
      </c>
      <c r="D5702" s="1">
        <v>44102.798796296294</v>
      </c>
      <c r="E5702" t="s">
        <v>17796</v>
      </c>
      <c r="F5702" t="s">
        <v>464</v>
      </c>
      <c r="G5702" t="s">
        <v>17727</v>
      </c>
      <c r="H5702" t="s">
        <v>466</v>
      </c>
      <c r="I5702" t="s">
        <v>29</v>
      </c>
      <c r="J5702">
        <v>1</v>
      </c>
      <c r="K5702">
        <f t="shared" si="42"/>
        <v>-1863</v>
      </c>
      <c r="L5702" t="s">
        <v>17797</v>
      </c>
      <c r="M5702" t="s">
        <v>17798</v>
      </c>
      <c r="N5702" t="s">
        <v>3454</v>
      </c>
      <c r="O5702" t="s">
        <v>28</v>
      </c>
      <c r="P5702" t="s">
        <v>29</v>
      </c>
      <c r="Q5702">
        <v>40</v>
      </c>
      <c r="R5702">
        <v>-99.999999000000003</v>
      </c>
    </row>
    <row r="5703" spans="1:18" x14ac:dyDescent="0.2">
      <c r="A5703" t="s">
        <v>18</v>
      </c>
      <c r="B5703" t="s">
        <v>462</v>
      </c>
      <c r="C5703">
        <v>1</v>
      </c>
      <c r="D5703" s="1">
        <v>44101.359907407408</v>
      </c>
      <c r="E5703" t="s">
        <v>17799</v>
      </c>
      <c r="F5703" t="s">
        <v>464</v>
      </c>
      <c r="G5703" t="s">
        <v>17727</v>
      </c>
      <c r="H5703" t="s">
        <v>466</v>
      </c>
      <c r="I5703" t="s">
        <v>29</v>
      </c>
      <c r="J5703">
        <v>1</v>
      </c>
      <c r="K5703">
        <f t="shared" si="42"/>
        <v>-1863</v>
      </c>
      <c r="L5703" t="s">
        <v>17800</v>
      </c>
      <c r="M5703" t="s">
        <v>17801</v>
      </c>
      <c r="N5703" t="s">
        <v>674</v>
      </c>
      <c r="O5703" t="s">
        <v>28</v>
      </c>
      <c r="P5703" t="s">
        <v>29</v>
      </c>
      <c r="Q5703">
        <v>40</v>
      </c>
      <c r="R5703">
        <v>-99.999999000000003</v>
      </c>
    </row>
    <row r="5704" spans="1:18" x14ac:dyDescent="0.2">
      <c r="A5704" t="s">
        <v>18</v>
      </c>
      <c r="B5704" t="s">
        <v>462</v>
      </c>
      <c r="C5704">
        <v>1</v>
      </c>
      <c r="D5704" s="1">
        <v>44101.359884259262</v>
      </c>
      <c r="E5704" t="s">
        <v>17802</v>
      </c>
      <c r="F5704" t="s">
        <v>464</v>
      </c>
      <c r="G5704" t="s">
        <v>17727</v>
      </c>
      <c r="H5704" t="s">
        <v>466</v>
      </c>
      <c r="I5704" t="s">
        <v>29</v>
      </c>
      <c r="J5704">
        <v>1</v>
      </c>
      <c r="K5704">
        <f t="shared" si="42"/>
        <v>-1863</v>
      </c>
      <c r="L5704" t="s">
        <v>17803</v>
      </c>
      <c r="M5704" t="s">
        <v>17804</v>
      </c>
      <c r="N5704" t="s">
        <v>3441</v>
      </c>
      <c r="O5704" t="s">
        <v>28</v>
      </c>
      <c r="P5704" t="s">
        <v>29</v>
      </c>
      <c r="Q5704">
        <v>40</v>
      </c>
      <c r="R5704">
        <v>-99.999999000000003</v>
      </c>
    </row>
    <row r="5705" spans="1:18" x14ac:dyDescent="0.2">
      <c r="A5705" t="s">
        <v>18</v>
      </c>
      <c r="B5705" t="s">
        <v>462</v>
      </c>
      <c r="C5705">
        <v>1</v>
      </c>
      <c r="D5705" s="1">
        <v>44101.359872685185</v>
      </c>
      <c r="E5705" t="s">
        <v>17805</v>
      </c>
      <c r="F5705" t="s">
        <v>464</v>
      </c>
      <c r="G5705" t="s">
        <v>17727</v>
      </c>
      <c r="H5705" t="s">
        <v>466</v>
      </c>
      <c r="I5705" t="s">
        <v>29</v>
      </c>
      <c r="J5705">
        <v>1</v>
      </c>
      <c r="K5705">
        <f t="shared" si="42"/>
        <v>-1863</v>
      </c>
      <c r="L5705" t="s">
        <v>17806</v>
      </c>
      <c r="M5705" t="s">
        <v>17807</v>
      </c>
      <c r="N5705" t="s">
        <v>447</v>
      </c>
      <c r="O5705" t="s">
        <v>28</v>
      </c>
      <c r="P5705" t="s">
        <v>29</v>
      </c>
      <c r="Q5705">
        <v>40</v>
      </c>
      <c r="R5705">
        <v>-99.999999000000003</v>
      </c>
    </row>
    <row r="5706" spans="1:18" x14ac:dyDescent="0.2">
      <c r="A5706" t="s">
        <v>18</v>
      </c>
      <c r="B5706" t="s">
        <v>462</v>
      </c>
      <c r="C5706">
        <v>1</v>
      </c>
      <c r="D5706" s="1">
        <v>44101.059687499997</v>
      </c>
      <c r="E5706" t="s">
        <v>17808</v>
      </c>
      <c r="F5706" t="s">
        <v>464</v>
      </c>
      <c r="G5706" t="s">
        <v>17727</v>
      </c>
      <c r="H5706" t="s">
        <v>466</v>
      </c>
      <c r="I5706" t="s">
        <v>29</v>
      </c>
      <c r="J5706">
        <v>1</v>
      </c>
      <c r="K5706">
        <f t="shared" si="42"/>
        <v>-1863</v>
      </c>
      <c r="L5706" t="s">
        <v>17809</v>
      </c>
      <c r="M5706" t="s">
        <v>17810</v>
      </c>
      <c r="N5706" t="s">
        <v>213</v>
      </c>
      <c r="O5706" t="s">
        <v>28</v>
      </c>
      <c r="P5706" t="s">
        <v>29</v>
      </c>
      <c r="Q5706">
        <v>40</v>
      </c>
      <c r="R5706">
        <v>-99.999999000000003</v>
      </c>
    </row>
    <row r="5707" spans="1:18" x14ac:dyDescent="0.2">
      <c r="A5707" t="s">
        <v>18</v>
      </c>
      <c r="B5707" t="s">
        <v>462</v>
      </c>
      <c r="C5707">
        <v>1</v>
      </c>
      <c r="D5707" s="1">
        <v>44100.830613425926</v>
      </c>
      <c r="E5707" t="s">
        <v>17811</v>
      </c>
      <c r="F5707" t="s">
        <v>464</v>
      </c>
      <c r="G5707" t="s">
        <v>17727</v>
      </c>
      <c r="H5707" t="s">
        <v>466</v>
      </c>
      <c r="I5707" t="s">
        <v>29</v>
      </c>
      <c r="J5707">
        <v>1</v>
      </c>
      <c r="K5707">
        <f t="shared" si="42"/>
        <v>-1863</v>
      </c>
      <c r="L5707" t="s">
        <v>17812</v>
      </c>
      <c r="M5707" t="s">
        <v>17813</v>
      </c>
      <c r="N5707" t="s">
        <v>3454</v>
      </c>
      <c r="O5707" t="s">
        <v>134</v>
      </c>
      <c r="P5707" t="s">
        <v>29</v>
      </c>
      <c r="Q5707">
        <v>40</v>
      </c>
      <c r="R5707">
        <v>-99.999999000000003</v>
      </c>
    </row>
    <row r="5708" spans="1:18" x14ac:dyDescent="0.2">
      <c r="A5708" t="s">
        <v>18</v>
      </c>
      <c r="B5708" t="s">
        <v>462</v>
      </c>
      <c r="C5708">
        <v>1</v>
      </c>
      <c r="D5708" s="1">
        <v>44100.830578703702</v>
      </c>
      <c r="E5708" t="s">
        <v>17814</v>
      </c>
      <c r="F5708" t="s">
        <v>464</v>
      </c>
      <c r="G5708" t="s">
        <v>17727</v>
      </c>
      <c r="H5708" t="s">
        <v>466</v>
      </c>
      <c r="I5708" t="s">
        <v>29</v>
      </c>
      <c r="J5708">
        <v>1</v>
      </c>
      <c r="K5708">
        <f t="shared" si="42"/>
        <v>-1863</v>
      </c>
      <c r="L5708" t="s">
        <v>17815</v>
      </c>
      <c r="M5708" t="s">
        <v>17816</v>
      </c>
      <c r="N5708" t="s">
        <v>213</v>
      </c>
      <c r="O5708" t="s">
        <v>134</v>
      </c>
      <c r="P5708" t="s">
        <v>29</v>
      </c>
      <c r="Q5708">
        <v>40</v>
      </c>
      <c r="R5708">
        <v>-99.999999000000003</v>
      </c>
    </row>
    <row r="5709" spans="1:18" x14ac:dyDescent="0.2">
      <c r="A5709" t="s">
        <v>18</v>
      </c>
      <c r="B5709" t="s">
        <v>462</v>
      </c>
      <c r="C5709">
        <v>1</v>
      </c>
      <c r="D5709" s="1">
        <v>44100.830543981479</v>
      </c>
      <c r="E5709" t="s">
        <v>17817</v>
      </c>
      <c r="F5709" t="s">
        <v>464</v>
      </c>
      <c r="G5709" t="s">
        <v>17727</v>
      </c>
      <c r="H5709" t="s">
        <v>466</v>
      </c>
      <c r="I5709" t="s">
        <v>29</v>
      </c>
      <c r="J5709">
        <v>1</v>
      </c>
      <c r="K5709">
        <f t="shared" si="42"/>
        <v>-1863</v>
      </c>
      <c r="L5709" t="s">
        <v>17818</v>
      </c>
      <c r="M5709" t="s">
        <v>17819</v>
      </c>
      <c r="N5709" t="s">
        <v>3441</v>
      </c>
      <c r="O5709" t="s">
        <v>134</v>
      </c>
      <c r="P5709" t="s">
        <v>29</v>
      </c>
      <c r="Q5709">
        <v>40</v>
      </c>
      <c r="R5709">
        <v>-99.999999000000003</v>
      </c>
    </row>
    <row r="5710" spans="1:18" x14ac:dyDescent="0.2">
      <c r="A5710" t="s">
        <v>18</v>
      </c>
      <c r="B5710" t="s">
        <v>462</v>
      </c>
      <c r="C5710">
        <v>1</v>
      </c>
      <c r="D5710" s="1">
        <v>44100.830520833333</v>
      </c>
      <c r="E5710" t="s">
        <v>17820</v>
      </c>
      <c r="F5710" t="s">
        <v>464</v>
      </c>
      <c r="G5710" t="s">
        <v>17727</v>
      </c>
      <c r="H5710" t="s">
        <v>466</v>
      </c>
      <c r="I5710" t="s">
        <v>29</v>
      </c>
      <c r="J5710">
        <v>1</v>
      </c>
      <c r="K5710">
        <f t="shared" si="42"/>
        <v>-1863</v>
      </c>
      <c r="L5710" t="s">
        <v>17821</v>
      </c>
      <c r="M5710" t="s">
        <v>17822</v>
      </c>
      <c r="N5710" t="s">
        <v>447</v>
      </c>
      <c r="O5710" t="s">
        <v>134</v>
      </c>
      <c r="P5710" t="s">
        <v>29</v>
      </c>
      <c r="Q5710">
        <v>40</v>
      </c>
      <c r="R5710">
        <v>-99.999999000000003</v>
      </c>
    </row>
    <row r="5711" spans="1:18" x14ac:dyDescent="0.2">
      <c r="A5711" t="s">
        <v>18</v>
      </c>
      <c r="B5711" t="s">
        <v>462</v>
      </c>
      <c r="C5711">
        <v>1</v>
      </c>
      <c r="D5711" s="1">
        <v>44100.830196759256</v>
      </c>
      <c r="E5711" t="s">
        <v>17823</v>
      </c>
      <c r="F5711" t="s">
        <v>464</v>
      </c>
      <c r="G5711" t="s">
        <v>17727</v>
      </c>
      <c r="H5711" t="s">
        <v>466</v>
      </c>
      <c r="I5711" t="s">
        <v>29</v>
      </c>
      <c r="J5711">
        <v>1</v>
      </c>
      <c r="K5711">
        <f t="shared" si="42"/>
        <v>-1863</v>
      </c>
      <c r="L5711" t="s">
        <v>17824</v>
      </c>
      <c r="M5711" t="s">
        <v>17825</v>
      </c>
      <c r="N5711" t="s">
        <v>3454</v>
      </c>
      <c r="O5711" t="s">
        <v>134</v>
      </c>
      <c r="P5711" t="s">
        <v>29</v>
      </c>
      <c r="Q5711">
        <v>40</v>
      </c>
      <c r="R5711">
        <v>-99.999999000000003</v>
      </c>
    </row>
    <row r="5712" spans="1:18" x14ac:dyDescent="0.2">
      <c r="A5712" t="s">
        <v>18</v>
      </c>
      <c r="B5712" t="s">
        <v>462</v>
      </c>
      <c r="C5712">
        <v>1</v>
      </c>
      <c r="D5712" s="1">
        <v>44100.830185185187</v>
      </c>
      <c r="E5712" t="s">
        <v>17826</v>
      </c>
      <c r="F5712" t="s">
        <v>464</v>
      </c>
      <c r="G5712" t="s">
        <v>17727</v>
      </c>
      <c r="H5712" t="s">
        <v>466</v>
      </c>
      <c r="I5712" t="s">
        <v>29</v>
      </c>
      <c r="J5712">
        <v>1</v>
      </c>
      <c r="K5712">
        <f t="shared" si="42"/>
        <v>-1863</v>
      </c>
      <c r="L5712" t="s">
        <v>17827</v>
      </c>
      <c r="M5712" t="s">
        <v>17828</v>
      </c>
      <c r="N5712" t="s">
        <v>213</v>
      </c>
      <c r="O5712" t="s">
        <v>134</v>
      </c>
      <c r="P5712" t="s">
        <v>29</v>
      </c>
      <c r="Q5712">
        <v>40</v>
      </c>
      <c r="R5712">
        <v>-99.999999000000003</v>
      </c>
    </row>
    <row r="5713" spans="1:18" x14ac:dyDescent="0.2">
      <c r="A5713" t="s">
        <v>18</v>
      </c>
      <c r="B5713" t="s">
        <v>462</v>
      </c>
      <c r="C5713">
        <v>1</v>
      </c>
      <c r="D5713" s="1">
        <v>44100.83016203704</v>
      </c>
      <c r="E5713" t="s">
        <v>17829</v>
      </c>
      <c r="F5713" t="s">
        <v>464</v>
      </c>
      <c r="G5713" t="s">
        <v>17727</v>
      </c>
      <c r="H5713" t="s">
        <v>466</v>
      </c>
      <c r="I5713" t="s">
        <v>29</v>
      </c>
      <c r="J5713">
        <v>1</v>
      </c>
      <c r="K5713">
        <f t="shared" si="42"/>
        <v>-1863</v>
      </c>
      <c r="L5713" t="s">
        <v>17830</v>
      </c>
      <c r="M5713" t="s">
        <v>17831</v>
      </c>
      <c r="N5713" t="s">
        <v>674</v>
      </c>
      <c r="O5713" t="s">
        <v>134</v>
      </c>
      <c r="P5713" t="s">
        <v>29</v>
      </c>
      <c r="Q5713">
        <v>40</v>
      </c>
      <c r="R5713">
        <v>-99.999999000000003</v>
      </c>
    </row>
    <row r="5714" spans="1:18" x14ac:dyDescent="0.2">
      <c r="A5714" t="s">
        <v>18</v>
      </c>
      <c r="B5714" t="s">
        <v>462</v>
      </c>
      <c r="C5714">
        <v>1</v>
      </c>
      <c r="D5714" s="1">
        <v>44100.830150462964</v>
      </c>
      <c r="E5714" t="s">
        <v>17832</v>
      </c>
      <c r="F5714" t="s">
        <v>464</v>
      </c>
      <c r="G5714" t="s">
        <v>17727</v>
      </c>
      <c r="H5714" t="s">
        <v>466</v>
      </c>
      <c r="I5714" t="s">
        <v>29</v>
      </c>
      <c r="J5714">
        <v>1</v>
      </c>
      <c r="K5714">
        <f t="shared" si="42"/>
        <v>-1863</v>
      </c>
      <c r="L5714" t="s">
        <v>17833</v>
      </c>
      <c r="M5714" t="s">
        <v>17834</v>
      </c>
      <c r="N5714" t="s">
        <v>3441</v>
      </c>
      <c r="O5714" t="s">
        <v>134</v>
      </c>
      <c r="P5714" t="s">
        <v>29</v>
      </c>
      <c r="Q5714">
        <v>40</v>
      </c>
      <c r="R5714">
        <v>-99.999999000000003</v>
      </c>
    </row>
    <row r="5715" spans="1:18" x14ac:dyDescent="0.2">
      <c r="A5715" t="s">
        <v>18</v>
      </c>
      <c r="B5715" t="s">
        <v>462</v>
      </c>
      <c r="C5715">
        <v>1</v>
      </c>
      <c r="D5715" s="1">
        <v>44100.830127314817</v>
      </c>
      <c r="E5715" t="s">
        <v>17835</v>
      </c>
      <c r="F5715" t="s">
        <v>464</v>
      </c>
      <c r="G5715" t="s">
        <v>17727</v>
      </c>
      <c r="H5715" t="s">
        <v>466</v>
      </c>
      <c r="I5715" t="s">
        <v>29</v>
      </c>
      <c r="J5715">
        <v>1</v>
      </c>
      <c r="K5715">
        <f t="shared" si="42"/>
        <v>-1863</v>
      </c>
      <c r="L5715" t="s">
        <v>17836</v>
      </c>
      <c r="M5715" t="s">
        <v>17837</v>
      </c>
      <c r="N5715" t="s">
        <v>447</v>
      </c>
      <c r="O5715" t="s">
        <v>134</v>
      </c>
      <c r="P5715" t="s">
        <v>29</v>
      </c>
      <c r="Q5715">
        <v>40</v>
      </c>
      <c r="R5715">
        <v>-99.999999000000003</v>
      </c>
    </row>
    <row r="5716" spans="1:18" x14ac:dyDescent="0.2">
      <c r="A5716" t="s">
        <v>18</v>
      </c>
      <c r="B5716" t="s">
        <v>462</v>
      </c>
      <c r="C5716">
        <v>1</v>
      </c>
      <c r="D5716" s="1">
        <v>44100.804745370369</v>
      </c>
      <c r="E5716" t="s">
        <v>17838</v>
      </c>
      <c r="F5716" t="s">
        <v>464</v>
      </c>
      <c r="G5716" t="s">
        <v>17727</v>
      </c>
      <c r="H5716" t="s">
        <v>466</v>
      </c>
      <c r="I5716" t="s">
        <v>29</v>
      </c>
      <c r="J5716">
        <v>1</v>
      </c>
      <c r="K5716">
        <f t="shared" si="42"/>
        <v>-1863</v>
      </c>
      <c r="L5716" t="s">
        <v>17839</v>
      </c>
      <c r="M5716" t="s">
        <v>17840</v>
      </c>
      <c r="N5716" t="s">
        <v>674</v>
      </c>
      <c r="O5716" t="s">
        <v>28</v>
      </c>
      <c r="P5716" t="s">
        <v>29</v>
      </c>
      <c r="Q5716">
        <v>40</v>
      </c>
      <c r="R5716">
        <v>-99.999999000000003</v>
      </c>
    </row>
    <row r="5717" spans="1:18" x14ac:dyDescent="0.2">
      <c r="A5717" t="s">
        <v>18</v>
      </c>
      <c r="B5717" t="s">
        <v>462</v>
      </c>
      <c r="C5717">
        <v>1</v>
      </c>
      <c r="D5717" s="1">
        <v>44100.8047337963</v>
      </c>
      <c r="E5717" t="s">
        <v>17841</v>
      </c>
      <c r="F5717" t="s">
        <v>464</v>
      </c>
      <c r="G5717" t="s">
        <v>17727</v>
      </c>
      <c r="H5717" t="s">
        <v>466</v>
      </c>
      <c r="I5717" t="s">
        <v>29</v>
      </c>
      <c r="J5717">
        <v>1</v>
      </c>
      <c r="K5717">
        <f t="shared" si="42"/>
        <v>-1863</v>
      </c>
      <c r="L5717" t="s">
        <v>17842</v>
      </c>
      <c r="M5717" t="s">
        <v>17843</v>
      </c>
      <c r="N5717" t="s">
        <v>3441</v>
      </c>
      <c r="O5717" t="s">
        <v>28</v>
      </c>
      <c r="P5717" t="s">
        <v>29</v>
      </c>
      <c r="Q5717">
        <v>40</v>
      </c>
      <c r="R5717">
        <v>-99.999999000000003</v>
      </c>
    </row>
    <row r="5718" spans="1:18" x14ac:dyDescent="0.2">
      <c r="A5718" t="s">
        <v>18</v>
      </c>
      <c r="B5718" t="s">
        <v>462</v>
      </c>
      <c r="C5718">
        <v>1</v>
      </c>
      <c r="D5718" s="1">
        <v>44100.804722222223</v>
      </c>
      <c r="E5718" t="s">
        <v>17844</v>
      </c>
      <c r="F5718" t="s">
        <v>464</v>
      </c>
      <c r="G5718" t="s">
        <v>17727</v>
      </c>
      <c r="H5718" t="s">
        <v>466</v>
      </c>
      <c r="I5718" t="s">
        <v>29</v>
      </c>
      <c r="J5718">
        <v>1</v>
      </c>
      <c r="K5718">
        <f t="shared" si="42"/>
        <v>-1863</v>
      </c>
      <c r="L5718" t="s">
        <v>17845</v>
      </c>
      <c r="M5718" t="s">
        <v>17846</v>
      </c>
      <c r="N5718" t="s">
        <v>447</v>
      </c>
      <c r="O5718" t="s">
        <v>28</v>
      </c>
      <c r="P5718" t="s">
        <v>29</v>
      </c>
      <c r="Q5718">
        <v>40</v>
      </c>
      <c r="R5718">
        <v>-99.999999000000003</v>
      </c>
    </row>
    <row r="5719" spans="1:18" x14ac:dyDescent="0.2">
      <c r="A5719" t="s">
        <v>18</v>
      </c>
      <c r="B5719" t="s">
        <v>462</v>
      </c>
      <c r="C5719">
        <v>1</v>
      </c>
      <c r="D5719" s="1">
        <v>44100.800127314818</v>
      </c>
      <c r="E5719" t="s">
        <v>17847</v>
      </c>
      <c r="F5719" t="s">
        <v>464</v>
      </c>
      <c r="G5719" t="s">
        <v>17727</v>
      </c>
      <c r="H5719" t="s">
        <v>466</v>
      </c>
      <c r="I5719" t="s">
        <v>29</v>
      </c>
      <c r="J5719">
        <v>1</v>
      </c>
      <c r="K5719">
        <f t="shared" si="42"/>
        <v>-1863</v>
      </c>
      <c r="L5719" t="s">
        <v>17848</v>
      </c>
      <c r="M5719" t="s">
        <v>17849</v>
      </c>
      <c r="N5719" t="s">
        <v>213</v>
      </c>
      <c r="O5719" t="s">
        <v>28</v>
      </c>
      <c r="P5719" t="s">
        <v>29</v>
      </c>
      <c r="Q5719">
        <v>40</v>
      </c>
      <c r="R5719">
        <v>-99.999999000000003</v>
      </c>
    </row>
    <row r="5720" spans="1:18" x14ac:dyDescent="0.2">
      <c r="A5720" t="s">
        <v>18</v>
      </c>
      <c r="B5720" t="s">
        <v>462</v>
      </c>
      <c r="C5720">
        <v>1</v>
      </c>
      <c r="D5720" s="1">
        <v>44096.857129629629</v>
      </c>
      <c r="E5720" t="s">
        <v>17850</v>
      </c>
      <c r="F5720" t="s">
        <v>464</v>
      </c>
      <c r="G5720" t="s">
        <v>17727</v>
      </c>
      <c r="H5720" t="s">
        <v>466</v>
      </c>
      <c r="I5720" t="s">
        <v>29</v>
      </c>
      <c r="J5720">
        <v>1</v>
      </c>
      <c r="K5720">
        <f>1-844-759-91</f>
        <v>-1693</v>
      </c>
      <c r="L5720" t="s">
        <v>17851</v>
      </c>
      <c r="M5720" t="s">
        <v>17852</v>
      </c>
      <c r="N5720" t="s">
        <v>213</v>
      </c>
      <c r="O5720" t="s">
        <v>28</v>
      </c>
      <c r="P5720" t="s">
        <v>29</v>
      </c>
      <c r="Q5720">
        <v>40</v>
      </c>
      <c r="R5720">
        <v>-99.999999000000003</v>
      </c>
    </row>
    <row r="5721" spans="1:18" x14ac:dyDescent="0.2">
      <c r="A5721" t="s">
        <v>18</v>
      </c>
      <c r="B5721" t="s">
        <v>462</v>
      </c>
      <c r="C5721">
        <v>1</v>
      </c>
      <c r="D5721" s="1">
        <v>44096.857083333336</v>
      </c>
      <c r="E5721" t="s">
        <v>17853</v>
      </c>
      <c r="F5721" t="s">
        <v>464</v>
      </c>
      <c r="G5721" t="s">
        <v>17727</v>
      </c>
      <c r="H5721" t="s">
        <v>466</v>
      </c>
      <c r="I5721" t="s">
        <v>29</v>
      </c>
      <c r="J5721">
        <v>1</v>
      </c>
      <c r="K5721">
        <f>1-844-759-91</f>
        <v>-1693</v>
      </c>
      <c r="L5721" t="s">
        <v>17854</v>
      </c>
      <c r="M5721" t="s">
        <v>17855</v>
      </c>
      <c r="N5721" t="s">
        <v>447</v>
      </c>
      <c r="O5721" t="s">
        <v>28</v>
      </c>
      <c r="P5721" t="s">
        <v>29</v>
      </c>
      <c r="Q5721">
        <v>40</v>
      </c>
      <c r="R5721">
        <v>-99.999999000000003</v>
      </c>
    </row>
    <row r="5722" spans="1:18" x14ac:dyDescent="0.2">
      <c r="A5722" t="s">
        <v>18</v>
      </c>
      <c r="B5722" t="s">
        <v>462</v>
      </c>
      <c r="C5722">
        <v>1</v>
      </c>
      <c r="D5722" s="1">
        <v>44096.841932870368</v>
      </c>
      <c r="E5722" t="s">
        <v>17856</v>
      </c>
      <c r="F5722" t="s">
        <v>464</v>
      </c>
      <c r="G5722" t="s">
        <v>17727</v>
      </c>
      <c r="H5722" t="s">
        <v>466</v>
      </c>
      <c r="I5722" t="s">
        <v>29</v>
      </c>
      <c r="J5722">
        <v>1</v>
      </c>
      <c r="K5722">
        <f>1-844-759-91</f>
        <v>-1693</v>
      </c>
      <c r="L5722" t="s">
        <v>17857</v>
      </c>
      <c r="M5722" t="s">
        <v>17858</v>
      </c>
      <c r="N5722" t="s">
        <v>3441</v>
      </c>
      <c r="O5722" t="s">
        <v>28</v>
      </c>
      <c r="P5722" t="s">
        <v>29</v>
      </c>
      <c r="Q5722">
        <v>40</v>
      </c>
      <c r="R5722">
        <v>-99.999999000000003</v>
      </c>
    </row>
    <row r="5723" spans="1:18" x14ac:dyDescent="0.2">
      <c r="A5723" t="s">
        <v>18</v>
      </c>
      <c r="B5723" t="s">
        <v>462</v>
      </c>
      <c r="C5723">
        <v>1</v>
      </c>
      <c r="D5723" s="1">
        <v>44096.821817129632</v>
      </c>
      <c r="E5723" t="s">
        <v>17859</v>
      </c>
      <c r="F5723" t="s">
        <v>464</v>
      </c>
      <c r="G5723" t="s">
        <v>17727</v>
      </c>
      <c r="H5723" t="s">
        <v>466</v>
      </c>
      <c r="I5723" t="s">
        <v>29</v>
      </c>
      <c r="J5723">
        <v>1</v>
      </c>
      <c r="K5723">
        <f>1-844-759-91</f>
        <v>-1693</v>
      </c>
      <c r="L5723" t="s">
        <v>17860</v>
      </c>
      <c r="M5723" t="s">
        <v>17861</v>
      </c>
      <c r="N5723" t="s">
        <v>674</v>
      </c>
      <c r="O5723" t="s">
        <v>28</v>
      </c>
      <c r="P5723" t="s">
        <v>29</v>
      </c>
      <c r="Q5723">
        <v>40</v>
      </c>
      <c r="R5723">
        <v>-99.999999000000003</v>
      </c>
    </row>
    <row r="5724" spans="1:18" x14ac:dyDescent="0.2">
      <c r="A5724" t="s">
        <v>18</v>
      </c>
      <c r="B5724" t="s">
        <v>462</v>
      </c>
      <c r="C5724">
        <v>1</v>
      </c>
      <c r="D5724" s="1">
        <v>44096.793611111112</v>
      </c>
      <c r="E5724" t="s">
        <v>17862</v>
      </c>
      <c r="F5724" t="s">
        <v>464</v>
      </c>
      <c r="G5724" t="s">
        <v>17727</v>
      </c>
      <c r="H5724" t="s">
        <v>466</v>
      </c>
      <c r="I5724" t="s">
        <v>29</v>
      </c>
      <c r="J5724">
        <v>1</v>
      </c>
      <c r="K5724">
        <f>1-844-759-93</f>
        <v>-1695</v>
      </c>
      <c r="L5724" t="s">
        <v>17863</v>
      </c>
      <c r="M5724" t="s">
        <v>17864</v>
      </c>
      <c r="N5724" t="s">
        <v>213</v>
      </c>
      <c r="O5724" t="s">
        <v>28</v>
      </c>
      <c r="P5724" t="s">
        <v>29</v>
      </c>
      <c r="Q5724">
        <v>40</v>
      </c>
      <c r="R5724">
        <v>-99.999999000000003</v>
      </c>
    </row>
    <row r="5725" spans="1:18" x14ac:dyDescent="0.2">
      <c r="A5725" t="s">
        <v>18</v>
      </c>
      <c r="B5725" t="s">
        <v>462</v>
      </c>
      <c r="C5725">
        <v>1</v>
      </c>
      <c r="D5725" s="1">
        <v>44096.751747685186</v>
      </c>
      <c r="E5725" t="s">
        <v>17865</v>
      </c>
      <c r="F5725" t="s">
        <v>464</v>
      </c>
      <c r="G5725" t="s">
        <v>17727</v>
      </c>
      <c r="H5725" t="s">
        <v>466</v>
      </c>
      <c r="I5725" t="s">
        <v>29</v>
      </c>
      <c r="J5725">
        <v>1</v>
      </c>
      <c r="K5725">
        <f>1-844-759-93</f>
        <v>-1695</v>
      </c>
      <c r="L5725" t="s">
        <v>17866</v>
      </c>
      <c r="M5725" t="s">
        <v>17867</v>
      </c>
      <c r="N5725" t="s">
        <v>674</v>
      </c>
      <c r="O5725" t="s">
        <v>28</v>
      </c>
      <c r="P5725" t="s">
        <v>29</v>
      </c>
      <c r="Q5725">
        <v>40</v>
      </c>
      <c r="R5725">
        <v>-99.999999000000003</v>
      </c>
    </row>
    <row r="5726" spans="1:18" x14ac:dyDescent="0.2">
      <c r="A5726" t="s">
        <v>18</v>
      </c>
      <c r="B5726" t="s">
        <v>462</v>
      </c>
      <c r="C5726">
        <v>1</v>
      </c>
      <c r="D5726" s="1">
        <v>44096.751539351855</v>
      </c>
      <c r="E5726" t="s">
        <v>17868</v>
      </c>
      <c r="F5726" t="s">
        <v>464</v>
      </c>
      <c r="G5726" t="s">
        <v>17727</v>
      </c>
      <c r="H5726" t="s">
        <v>466</v>
      </c>
      <c r="I5726" t="s">
        <v>29</v>
      </c>
      <c r="J5726">
        <v>1</v>
      </c>
      <c r="K5726">
        <f>1-844-759-93</f>
        <v>-1695</v>
      </c>
      <c r="L5726" t="s">
        <v>17869</v>
      </c>
      <c r="M5726" t="s">
        <v>17870</v>
      </c>
      <c r="N5726" t="s">
        <v>447</v>
      </c>
      <c r="O5726" t="s">
        <v>28</v>
      </c>
      <c r="P5726" t="s">
        <v>29</v>
      </c>
      <c r="Q5726">
        <v>40</v>
      </c>
      <c r="R5726">
        <v>-99.999999000000003</v>
      </c>
    </row>
    <row r="5727" spans="1:18" x14ac:dyDescent="0.2">
      <c r="A5727" t="s">
        <v>18</v>
      </c>
      <c r="B5727" t="s">
        <v>462</v>
      </c>
      <c r="C5727">
        <v>1</v>
      </c>
      <c r="D5727" s="1">
        <v>44096.751400462963</v>
      </c>
      <c r="E5727" t="s">
        <v>17871</v>
      </c>
      <c r="F5727" t="s">
        <v>464</v>
      </c>
      <c r="G5727" t="s">
        <v>17727</v>
      </c>
      <c r="H5727" t="s">
        <v>466</v>
      </c>
      <c r="I5727" t="s">
        <v>29</v>
      </c>
      <c r="J5727">
        <v>1</v>
      </c>
      <c r="K5727">
        <f>1-844-759-93</f>
        <v>-1695</v>
      </c>
      <c r="L5727" t="s">
        <v>17872</v>
      </c>
      <c r="M5727" t="s">
        <v>17873</v>
      </c>
      <c r="N5727" t="s">
        <v>3441</v>
      </c>
      <c r="O5727" t="s">
        <v>28</v>
      </c>
      <c r="P5727" t="s">
        <v>29</v>
      </c>
      <c r="Q5727">
        <v>40</v>
      </c>
      <c r="R5727">
        <v>-99.999999000000003</v>
      </c>
    </row>
    <row r="5728" spans="1:18" x14ac:dyDescent="0.2">
      <c r="A5728" t="s">
        <v>18</v>
      </c>
      <c r="B5728" t="s">
        <v>462</v>
      </c>
      <c r="C5728">
        <v>1</v>
      </c>
      <c r="D5728" s="1">
        <v>44096.751157407409</v>
      </c>
      <c r="E5728" t="s">
        <v>17874</v>
      </c>
      <c r="F5728" t="s">
        <v>464</v>
      </c>
      <c r="G5728" t="s">
        <v>17727</v>
      </c>
      <c r="H5728" t="s">
        <v>466</v>
      </c>
      <c r="I5728" t="s">
        <v>29</v>
      </c>
      <c r="J5728">
        <v>1</v>
      </c>
      <c r="K5728">
        <f>1-844-759-93</f>
        <v>-1695</v>
      </c>
      <c r="L5728" t="s">
        <v>17875</v>
      </c>
      <c r="M5728" t="s">
        <v>17876</v>
      </c>
      <c r="N5728" t="s">
        <v>213</v>
      </c>
      <c r="O5728" t="s">
        <v>28</v>
      </c>
      <c r="P5728" t="s">
        <v>29</v>
      </c>
      <c r="Q5728">
        <v>40</v>
      </c>
      <c r="R5728">
        <v>-99.999999000000003</v>
      </c>
    </row>
    <row r="5729" spans="1:18" x14ac:dyDescent="0.2">
      <c r="A5729" t="s">
        <v>18</v>
      </c>
      <c r="B5729" t="s">
        <v>462</v>
      </c>
      <c r="C5729">
        <v>1</v>
      </c>
      <c r="D5729" s="1">
        <v>44091.853391203702</v>
      </c>
      <c r="E5729" t="s">
        <v>17877</v>
      </c>
      <c r="F5729" t="s">
        <v>464</v>
      </c>
      <c r="G5729" t="s">
        <v>17727</v>
      </c>
      <c r="H5729" t="s">
        <v>466</v>
      </c>
      <c r="I5729" t="s">
        <v>29</v>
      </c>
      <c r="J5729">
        <v>1</v>
      </c>
      <c r="K5729">
        <f t="shared" ref="K5729:K5737" si="43">1-888-604-440</f>
        <v>-1931</v>
      </c>
      <c r="L5729" t="s">
        <v>17878</v>
      </c>
      <c r="M5729" t="s">
        <v>17879</v>
      </c>
      <c r="N5729" t="s">
        <v>447</v>
      </c>
      <c r="O5729" t="s">
        <v>28</v>
      </c>
      <c r="P5729" t="s">
        <v>29</v>
      </c>
      <c r="Q5729">
        <v>40</v>
      </c>
      <c r="R5729">
        <v>-99.999999000000003</v>
      </c>
    </row>
    <row r="5730" spans="1:18" x14ac:dyDescent="0.2">
      <c r="A5730" t="s">
        <v>18</v>
      </c>
      <c r="B5730" t="s">
        <v>462</v>
      </c>
      <c r="C5730">
        <v>1</v>
      </c>
      <c r="D5730" s="1">
        <v>44091.853217592594</v>
      </c>
      <c r="E5730" t="s">
        <v>17880</v>
      </c>
      <c r="F5730" t="s">
        <v>464</v>
      </c>
      <c r="G5730" t="s">
        <v>17727</v>
      </c>
      <c r="H5730" t="s">
        <v>466</v>
      </c>
      <c r="I5730" t="s">
        <v>29</v>
      </c>
      <c r="J5730">
        <v>1</v>
      </c>
      <c r="K5730">
        <f t="shared" si="43"/>
        <v>-1931</v>
      </c>
      <c r="L5730" t="s">
        <v>17881</v>
      </c>
      <c r="M5730" t="s">
        <v>17882</v>
      </c>
      <c r="N5730" t="s">
        <v>213</v>
      </c>
      <c r="O5730" t="s">
        <v>28</v>
      </c>
      <c r="P5730" t="s">
        <v>29</v>
      </c>
      <c r="Q5730">
        <v>40</v>
      </c>
      <c r="R5730">
        <v>-99.999999000000003</v>
      </c>
    </row>
    <row r="5731" spans="1:18" x14ac:dyDescent="0.2">
      <c r="A5731" t="s">
        <v>18</v>
      </c>
      <c r="B5731" t="s">
        <v>462</v>
      </c>
      <c r="C5731">
        <v>1</v>
      </c>
      <c r="D5731" s="1">
        <v>44091.853182870371</v>
      </c>
      <c r="E5731" t="s">
        <v>17883</v>
      </c>
      <c r="F5731" t="s">
        <v>464</v>
      </c>
      <c r="G5731" t="s">
        <v>17727</v>
      </c>
      <c r="H5731" t="s">
        <v>466</v>
      </c>
      <c r="I5731" t="s">
        <v>29</v>
      </c>
      <c r="J5731">
        <v>1</v>
      </c>
      <c r="K5731">
        <f t="shared" si="43"/>
        <v>-1931</v>
      </c>
      <c r="L5731" t="s">
        <v>17884</v>
      </c>
      <c r="M5731" t="s">
        <v>17885</v>
      </c>
      <c r="N5731" t="s">
        <v>674</v>
      </c>
      <c r="O5731" t="s">
        <v>28</v>
      </c>
      <c r="P5731" t="s">
        <v>29</v>
      </c>
      <c r="Q5731">
        <v>40</v>
      </c>
      <c r="R5731">
        <v>-99.999999000000003</v>
      </c>
    </row>
    <row r="5732" spans="1:18" x14ac:dyDescent="0.2">
      <c r="A5732" t="s">
        <v>18</v>
      </c>
      <c r="B5732" t="s">
        <v>462</v>
      </c>
      <c r="C5732">
        <v>1</v>
      </c>
      <c r="D5732" s="1">
        <v>44091.853148148148</v>
      </c>
      <c r="E5732" t="s">
        <v>17886</v>
      </c>
      <c r="F5732" t="s">
        <v>464</v>
      </c>
      <c r="G5732" t="s">
        <v>17727</v>
      </c>
      <c r="H5732" t="s">
        <v>466</v>
      </c>
      <c r="I5732" t="s">
        <v>29</v>
      </c>
      <c r="J5732">
        <v>1</v>
      </c>
      <c r="K5732">
        <f t="shared" si="43"/>
        <v>-1931</v>
      </c>
      <c r="L5732" t="s">
        <v>17887</v>
      </c>
      <c r="M5732" t="s">
        <v>17888</v>
      </c>
      <c r="N5732" t="s">
        <v>3441</v>
      </c>
      <c r="O5732" t="s">
        <v>28</v>
      </c>
      <c r="P5732" t="s">
        <v>29</v>
      </c>
      <c r="Q5732">
        <v>40</v>
      </c>
      <c r="R5732">
        <v>-99.999999000000003</v>
      </c>
    </row>
    <row r="5733" spans="1:18" x14ac:dyDescent="0.2">
      <c r="A5733" t="s">
        <v>18</v>
      </c>
      <c r="B5733" t="s">
        <v>462</v>
      </c>
      <c r="C5733">
        <v>1</v>
      </c>
      <c r="D5733" s="1">
        <v>44091.853078703702</v>
      </c>
      <c r="E5733" t="s">
        <v>17889</v>
      </c>
      <c r="F5733" t="s">
        <v>464</v>
      </c>
      <c r="G5733" t="s">
        <v>17727</v>
      </c>
      <c r="H5733" t="s">
        <v>466</v>
      </c>
      <c r="I5733" t="s">
        <v>29</v>
      </c>
      <c r="J5733">
        <v>1</v>
      </c>
      <c r="K5733">
        <f t="shared" si="43"/>
        <v>-1931</v>
      </c>
      <c r="L5733" t="s">
        <v>17890</v>
      </c>
      <c r="M5733" t="s">
        <v>17891</v>
      </c>
      <c r="N5733" t="s">
        <v>447</v>
      </c>
      <c r="O5733" t="s">
        <v>28</v>
      </c>
      <c r="P5733" t="s">
        <v>29</v>
      </c>
      <c r="Q5733">
        <v>40</v>
      </c>
      <c r="R5733">
        <v>-99.999999000000003</v>
      </c>
    </row>
    <row r="5734" spans="1:18" x14ac:dyDescent="0.2">
      <c r="A5734" t="s">
        <v>18</v>
      </c>
      <c r="B5734" t="s">
        <v>462</v>
      </c>
      <c r="C5734">
        <v>1</v>
      </c>
      <c r="D5734" s="1">
        <v>44091.803900462961</v>
      </c>
      <c r="E5734" t="s">
        <v>17892</v>
      </c>
      <c r="F5734" t="s">
        <v>464</v>
      </c>
      <c r="G5734" t="s">
        <v>17727</v>
      </c>
      <c r="H5734" t="s">
        <v>466</v>
      </c>
      <c r="I5734" t="s">
        <v>29</v>
      </c>
      <c r="J5734">
        <v>1</v>
      </c>
      <c r="K5734">
        <f t="shared" si="43"/>
        <v>-1931</v>
      </c>
      <c r="L5734" t="s">
        <v>17893</v>
      </c>
      <c r="M5734" t="s">
        <v>17894</v>
      </c>
      <c r="N5734" t="s">
        <v>3454</v>
      </c>
      <c r="O5734" t="s">
        <v>28</v>
      </c>
      <c r="P5734" t="s">
        <v>29</v>
      </c>
      <c r="Q5734">
        <v>40</v>
      </c>
      <c r="R5734">
        <v>-99.999999000000003</v>
      </c>
    </row>
    <row r="5735" spans="1:18" x14ac:dyDescent="0.2">
      <c r="A5735" t="s">
        <v>18</v>
      </c>
      <c r="B5735" t="s">
        <v>462</v>
      </c>
      <c r="C5735">
        <v>1</v>
      </c>
      <c r="D5735" s="1">
        <v>44090.947384259256</v>
      </c>
      <c r="E5735" t="s">
        <v>17895</v>
      </c>
      <c r="F5735" t="s">
        <v>464</v>
      </c>
      <c r="G5735" t="s">
        <v>17727</v>
      </c>
      <c r="H5735" t="s">
        <v>466</v>
      </c>
      <c r="I5735" t="s">
        <v>29</v>
      </c>
      <c r="J5735">
        <v>1</v>
      </c>
      <c r="K5735">
        <f t="shared" si="43"/>
        <v>-1931</v>
      </c>
      <c r="L5735" t="s">
        <v>17896</v>
      </c>
      <c r="M5735" t="s">
        <v>17897</v>
      </c>
      <c r="N5735" t="s">
        <v>3454</v>
      </c>
      <c r="O5735" t="s">
        <v>28</v>
      </c>
      <c r="P5735" t="s">
        <v>29</v>
      </c>
      <c r="Q5735">
        <v>40</v>
      </c>
      <c r="R5735">
        <v>-99.999999000000003</v>
      </c>
    </row>
    <row r="5736" spans="1:18" x14ac:dyDescent="0.2">
      <c r="A5736" t="s">
        <v>18</v>
      </c>
      <c r="B5736" t="s">
        <v>462</v>
      </c>
      <c r="C5736">
        <v>1</v>
      </c>
      <c r="D5736" s="1">
        <v>44090.935347222221</v>
      </c>
      <c r="E5736" t="s">
        <v>17898</v>
      </c>
      <c r="F5736" t="s">
        <v>464</v>
      </c>
      <c r="G5736" t="s">
        <v>17727</v>
      </c>
      <c r="H5736" t="s">
        <v>466</v>
      </c>
      <c r="I5736" t="s">
        <v>29</v>
      </c>
      <c r="J5736">
        <v>1</v>
      </c>
      <c r="K5736">
        <f t="shared" si="43"/>
        <v>-1931</v>
      </c>
      <c r="L5736" t="s">
        <v>17899</v>
      </c>
      <c r="M5736" t="s">
        <v>17900</v>
      </c>
      <c r="N5736" t="s">
        <v>213</v>
      </c>
      <c r="O5736" t="s">
        <v>28</v>
      </c>
      <c r="P5736" t="s">
        <v>29</v>
      </c>
      <c r="Q5736">
        <v>40</v>
      </c>
      <c r="R5736">
        <v>-99.999999000000003</v>
      </c>
    </row>
    <row r="5737" spans="1:18" x14ac:dyDescent="0.2">
      <c r="A5737" t="s">
        <v>18</v>
      </c>
      <c r="B5737" t="s">
        <v>462</v>
      </c>
      <c r="C5737">
        <v>1</v>
      </c>
      <c r="D5737" s="1">
        <v>44090.847280092596</v>
      </c>
      <c r="E5737" t="s">
        <v>17901</v>
      </c>
      <c r="F5737" t="s">
        <v>464</v>
      </c>
      <c r="G5737" t="s">
        <v>17727</v>
      </c>
      <c r="H5737" t="s">
        <v>466</v>
      </c>
      <c r="I5737" t="s">
        <v>29</v>
      </c>
      <c r="J5737">
        <v>1</v>
      </c>
      <c r="K5737">
        <f t="shared" si="43"/>
        <v>-1931</v>
      </c>
      <c r="L5737" t="s">
        <v>17902</v>
      </c>
      <c r="M5737" t="s">
        <v>17903</v>
      </c>
      <c r="N5737" t="s">
        <v>674</v>
      </c>
      <c r="O5737" t="s">
        <v>28</v>
      </c>
      <c r="P5737" t="s">
        <v>29</v>
      </c>
      <c r="Q5737">
        <v>40</v>
      </c>
      <c r="R5737">
        <v>-99.999999000000003</v>
      </c>
    </row>
    <row r="5738" spans="1:18" x14ac:dyDescent="0.2">
      <c r="A5738" t="s">
        <v>18</v>
      </c>
      <c r="B5738" t="s">
        <v>462</v>
      </c>
      <c r="C5738">
        <v>1</v>
      </c>
      <c r="D5738" s="1">
        <v>44085.982476851852</v>
      </c>
      <c r="E5738" t="s">
        <v>17904</v>
      </c>
      <c r="F5738" t="s">
        <v>464</v>
      </c>
      <c r="G5738" t="s">
        <v>17727</v>
      </c>
      <c r="H5738" t="s">
        <v>466</v>
      </c>
      <c r="I5738" t="s">
        <v>29</v>
      </c>
      <c r="J5738">
        <v>1</v>
      </c>
      <c r="K5738">
        <f t="shared" ref="K5738:K5743" si="44">1-844-759-84</f>
        <v>-1686</v>
      </c>
      <c r="L5738" t="s">
        <v>17905</v>
      </c>
      <c r="M5738" t="s">
        <v>17906</v>
      </c>
      <c r="N5738" t="s">
        <v>213</v>
      </c>
      <c r="O5738" t="s">
        <v>28</v>
      </c>
      <c r="P5738" t="s">
        <v>29</v>
      </c>
      <c r="Q5738">
        <v>40</v>
      </c>
      <c r="R5738">
        <v>-99.999999000000003</v>
      </c>
    </row>
    <row r="5739" spans="1:18" x14ac:dyDescent="0.2">
      <c r="A5739" t="s">
        <v>18</v>
      </c>
      <c r="B5739" t="s">
        <v>462</v>
      </c>
      <c r="C5739">
        <v>1</v>
      </c>
      <c r="D5739" s="1">
        <v>44085.881458333337</v>
      </c>
      <c r="E5739" t="s">
        <v>17907</v>
      </c>
      <c r="F5739" t="s">
        <v>464</v>
      </c>
      <c r="G5739" t="s">
        <v>17727</v>
      </c>
      <c r="H5739" t="s">
        <v>466</v>
      </c>
      <c r="I5739" t="s">
        <v>29</v>
      </c>
      <c r="J5739">
        <v>1</v>
      </c>
      <c r="K5739">
        <f t="shared" si="44"/>
        <v>-1686</v>
      </c>
      <c r="L5739" t="s">
        <v>17908</v>
      </c>
      <c r="M5739" t="s">
        <v>17909</v>
      </c>
      <c r="N5739" t="s">
        <v>674</v>
      </c>
      <c r="O5739" t="s">
        <v>28</v>
      </c>
      <c r="P5739" t="s">
        <v>29</v>
      </c>
      <c r="Q5739">
        <v>40</v>
      </c>
      <c r="R5739">
        <v>-99.999999000000003</v>
      </c>
    </row>
    <row r="5740" spans="1:18" x14ac:dyDescent="0.2">
      <c r="A5740" t="s">
        <v>18</v>
      </c>
      <c r="B5740" t="s">
        <v>462</v>
      </c>
      <c r="C5740">
        <v>1</v>
      </c>
      <c r="D5740" s="1">
        <v>44086.361435185187</v>
      </c>
      <c r="E5740" t="s">
        <v>17910</v>
      </c>
      <c r="F5740" t="s">
        <v>464</v>
      </c>
      <c r="G5740" t="s">
        <v>17727</v>
      </c>
      <c r="H5740" t="s">
        <v>466</v>
      </c>
      <c r="I5740" t="s">
        <v>29</v>
      </c>
      <c r="J5740">
        <v>1</v>
      </c>
      <c r="K5740">
        <f t="shared" si="44"/>
        <v>-1686</v>
      </c>
      <c r="L5740" t="s">
        <v>17911</v>
      </c>
      <c r="M5740" t="s">
        <v>17912</v>
      </c>
      <c r="N5740" t="s">
        <v>674</v>
      </c>
      <c r="O5740" t="s">
        <v>134</v>
      </c>
      <c r="P5740" t="s">
        <v>29</v>
      </c>
      <c r="Q5740">
        <v>40</v>
      </c>
      <c r="R5740">
        <v>-99.999999000000003</v>
      </c>
    </row>
    <row r="5741" spans="1:18" x14ac:dyDescent="0.2">
      <c r="A5741" t="s">
        <v>18</v>
      </c>
      <c r="B5741" t="s">
        <v>462</v>
      </c>
      <c r="C5741">
        <v>1</v>
      </c>
      <c r="D5741" s="1">
        <v>44085.876666666663</v>
      </c>
      <c r="E5741" t="s">
        <v>17913</v>
      </c>
      <c r="F5741" t="s">
        <v>464</v>
      </c>
      <c r="G5741" t="s">
        <v>17727</v>
      </c>
      <c r="H5741" t="s">
        <v>466</v>
      </c>
      <c r="I5741" t="s">
        <v>29</v>
      </c>
      <c r="J5741">
        <v>1</v>
      </c>
      <c r="K5741">
        <f t="shared" si="44"/>
        <v>-1686</v>
      </c>
      <c r="L5741" t="s">
        <v>17914</v>
      </c>
      <c r="M5741" t="s">
        <v>17915</v>
      </c>
      <c r="N5741" t="s">
        <v>3454</v>
      </c>
      <c r="O5741" t="s">
        <v>28</v>
      </c>
      <c r="P5741" t="s">
        <v>29</v>
      </c>
      <c r="Q5741">
        <v>40</v>
      </c>
      <c r="R5741">
        <v>-99.999999000000003</v>
      </c>
    </row>
    <row r="5742" spans="1:18" x14ac:dyDescent="0.2">
      <c r="A5742" t="s">
        <v>18</v>
      </c>
      <c r="B5742" t="s">
        <v>462</v>
      </c>
      <c r="C5742">
        <v>1</v>
      </c>
      <c r="D5742" s="1">
        <v>44085.859791666669</v>
      </c>
      <c r="E5742" t="s">
        <v>17916</v>
      </c>
      <c r="F5742" t="s">
        <v>464</v>
      </c>
      <c r="G5742" t="s">
        <v>17727</v>
      </c>
      <c r="H5742" t="s">
        <v>466</v>
      </c>
      <c r="I5742" t="s">
        <v>29</v>
      </c>
      <c r="J5742">
        <v>1</v>
      </c>
      <c r="K5742">
        <f t="shared" si="44"/>
        <v>-1686</v>
      </c>
      <c r="L5742" t="s">
        <v>17917</v>
      </c>
      <c r="M5742" t="s">
        <v>17918</v>
      </c>
      <c r="N5742" t="s">
        <v>447</v>
      </c>
      <c r="O5742" t="s">
        <v>28</v>
      </c>
      <c r="P5742" t="s">
        <v>29</v>
      </c>
      <c r="Q5742">
        <v>40</v>
      </c>
      <c r="R5742">
        <v>-99.999999000000003</v>
      </c>
    </row>
    <row r="5743" spans="1:18" x14ac:dyDescent="0.2">
      <c r="A5743" t="s">
        <v>18</v>
      </c>
      <c r="B5743" t="s">
        <v>462</v>
      </c>
      <c r="C5743">
        <v>1</v>
      </c>
      <c r="D5743" s="1">
        <v>44086.36146990741</v>
      </c>
      <c r="E5743" t="s">
        <v>17919</v>
      </c>
      <c r="F5743" t="s">
        <v>464</v>
      </c>
      <c r="G5743" t="s">
        <v>17727</v>
      </c>
      <c r="H5743" t="s">
        <v>466</v>
      </c>
      <c r="I5743" t="s">
        <v>29</v>
      </c>
      <c r="J5743">
        <v>1</v>
      </c>
      <c r="K5743">
        <f t="shared" si="44"/>
        <v>-1686</v>
      </c>
      <c r="L5743" t="s">
        <v>17920</v>
      </c>
      <c r="M5743" t="s">
        <v>17921</v>
      </c>
      <c r="N5743" t="s">
        <v>3441</v>
      </c>
      <c r="O5743" t="s">
        <v>134</v>
      </c>
      <c r="P5743" t="s">
        <v>29</v>
      </c>
      <c r="Q5743">
        <v>40</v>
      </c>
      <c r="R5743">
        <v>-99.999999000000003</v>
      </c>
    </row>
    <row r="5744" spans="1:18" x14ac:dyDescent="0.2">
      <c r="A5744" t="s">
        <v>18</v>
      </c>
      <c r="B5744" t="s">
        <v>462</v>
      </c>
      <c r="C5744">
        <v>1</v>
      </c>
      <c r="D5744" s="1">
        <v>44088.90824074074</v>
      </c>
      <c r="E5744" t="s">
        <v>17922</v>
      </c>
      <c r="F5744" t="s">
        <v>464</v>
      </c>
      <c r="G5744" t="s">
        <v>17727</v>
      </c>
      <c r="H5744" t="s">
        <v>466</v>
      </c>
      <c r="I5744" t="s">
        <v>29</v>
      </c>
      <c r="J5744">
        <v>1</v>
      </c>
      <c r="K5744">
        <f>1-888-604-440</f>
        <v>-1931</v>
      </c>
      <c r="L5744" t="s">
        <v>17923</v>
      </c>
      <c r="M5744" t="s">
        <v>17924</v>
      </c>
      <c r="N5744" t="s">
        <v>3454</v>
      </c>
      <c r="O5744" t="s">
        <v>28</v>
      </c>
      <c r="P5744" t="s">
        <v>29</v>
      </c>
      <c r="Q5744">
        <v>40</v>
      </c>
      <c r="R5744">
        <v>-99.999999000000003</v>
      </c>
    </row>
    <row r="5745" spans="1:18" x14ac:dyDescent="0.2">
      <c r="A5745" t="s">
        <v>18</v>
      </c>
      <c r="B5745" t="s">
        <v>462</v>
      </c>
      <c r="C5745">
        <v>1</v>
      </c>
      <c r="D5745" s="1">
        <v>44088.858055555553</v>
      </c>
      <c r="E5745" t="s">
        <v>17925</v>
      </c>
      <c r="F5745" t="s">
        <v>464</v>
      </c>
      <c r="G5745" t="s">
        <v>17727</v>
      </c>
      <c r="H5745" t="s">
        <v>466</v>
      </c>
      <c r="I5745" t="s">
        <v>29</v>
      </c>
      <c r="J5745">
        <v>1</v>
      </c>
      <c r="K5745">
        <f>1-888-604-440</f>
        <v>-1931</v>
      </c>
      <c r="L5745" t="s">
        <v>17926</v>
      </c>
      <c r="M5745" t="s">
        <v>17927</v>
      </c>
      <c r="N5745" t="s">
        <v>674</v>
      </c>
      <c r="O5745" t="s">
        <v>28</v>
      </c>
      <c r="P5745" t="s">
        <v>29</v>
      </c>
      <c r="Q5745">
        <v>40</v>
      </c>
      <c r="R5745">
        <v>-99.999999000000003</v>
      </c>
    </row>
    <row r="5746" spans="1:18" x14ac:dyDescent="0.2">
      <c r="A5746" t="s">
        <v>18</v>
      </c>
      <c r="B5746" t="s">
        <v>462</v>
      </c>
      <c r="C5746">
        <v>1</v>
      </c>
      <c r="D5746" s="1">
        <v>44088.857083333336</v>
      </c>
      <c r="E5746" t="s">
        <v>17928</v>
      </c>
      <c r="F5746" t="s">
        <v>464</v>
      </c>
      <c r="G5746" t="s">
        <v>17727</v>
      </c>
      <c r="H5746" t="s">
        <v>466</v>
      </c>
      <c r="I5746" t="s">
        <v>29</v>
      </c>
      <c r="J5746">
        <v>1</v>
      </c>
      <c r="K5746">
        <f>1-888-718-510</f>
        <v>-2115</v>
      </c>
      <c r="L5746" t="s">
        <v>17929</v>
      </c>
      <c r="M5746" t="s">
        <v>17930</v>
      </c>
      <c r="N5746" t="s">
        <v>3441</v>
      </c>
      <c r="O5746" t="s">
        <v>28</v>
      </c>
      <c r="P5746" t="s">
        <v>29</v>
      </c>
      <c r="Q5746">
        <v>40</v>
      </c>
      <c r="R5746">
        <v>-99.999999000000003</v>
      </c>
    </row>
    <row r="5747" spans="1:18" x14ac:dyDescent="0.2">
      <c r="A5747" t="s">
        <v>18</v>
      </c>
      <c r="B5747" t="s">
        <v>462</v>
      </c>
      <c r="C5747">
        <v>1</v>
      </c>
      <c r="D5747" s="1">
        <v>44088.857060185182</v>
      </c>
      <c r="E5747" t="s">
        <v>17931</v>
      </c>
      <c r="F5747" t="s">
        <v>464</v>
      </c>
      <c r="G5747" t="s">
        <v>17727</v>
      </c>
      <c r="H5747" t="s">
        <v>466</v>
      </c>
      <c r="I5747" t="s">
        <v>29</v>
      </c>
      <c r="J5747">
        <v>1</v>
      </c>
      <c r="K5747">
        <f>1-888-718-510</f>
        <v>-2115</v>
      </c>
      <c r="L5747" t="s">
        <v>17932</v>
      </c>
      <c r="M5747" t="s">
        <v>17933</v>
      </c>
      <c r="N5747" t="s">
        <v>213</v>
      </c>
      <c r="O5747" t="s">
        <v>28</v>
      </c>
      <c r="P5747" t="s">
        <v>29</v>
      </c>
      <c r="Q5747">
        <v>40</v>
      </c>
      <c r="R5747">
        <v>-99.999999000000003</v>
      </c>
    </row>
    <row r="5748" spans="1:18" x14ac:dyDescent="0.2">
      <c r="A5748" t="s">
        <v>18</v>
      </c>
      <c r="B5748" t="s">
        <v>462</v>
      </c>
      <c r="C5748">
        <v>1</v>
      </c>
      <c r="D5748" s="1">
        <v>44088.856944444444</v>
      </c>
      <c r="E5748" t="s">
        <v>17934</v>
      </c>
      <c r="F5748" t="s">
        <v>464</v>
      </c>
      <c r="G5748" t="s">
        <v>17727</v>
      </c>
      <c r="H5748" t="s">
        <v>466</v>
      </c>
      <c r="I5748" t="s">
        <v>29</v>
      </c>
      <c r="J5748">
        <v>1</v>
      </c>
      <c r="K5748">
        <f>1-888-718-510</f>
        <v>-2115</v>
      </c>
      <c r="L5748" t="s">
        <v>17935</v>
      </c>
      <c r="M5748" t="s">
        <v>17936</v>
      </c>
      <c r="N5748" t="s">
        <v>3454</v>
      </c>
      <c r="O5748" t="s">
        <v>28</v>
      </c>
      <c r="P5748" t="s">
        <v>29</v>
      </c>
      <c r="Q5748">
        <v>40</v>
      </c>
      <c r="R5748">
        <v>-99.999999000000003</v>
      </c>
    </row>
    <row r="5749" spans="1:18" x14ac:dyDescent="0.2">
      <c r="A5749" t="s">
        <v>18</v>
      </c>
      <c r="B5749" t="s">
        <v>462</v>
      </c>
      <c r="C5749">
        <v>1</v>
      </c>
      <c r="D5749" s="1">
        <v>44088.803310185183</v>
      </c>
      <c r="E5749" t="s">
        <v>17937</v>
      </c>
      <c r="F5749" t="s">
        <v>464</v>
      </c>
      <c r="G5749" t="s">
        <v>17727</v>
      </c>
      <c r="H5749" t="s">
        <v>466</v>
      </c>
      <c r="I5749" t="s">
        <v>29</v>
      </c>
      <c r="J5749">
        <v>1</v>
      </c>
      <c r="K5749">
        <f>1-844-759-84</f>
        <v>-1686</v>
      </c>
      <c r="L5749" t="s">
        <v>17938</v>
      </c>
      <c r="M5749" t="s">
        <v>17939</v>
      </c>
      <c r="N5749" t="s">
        <v>3441</v>
      </c>
      <c r="O5749" t="s">
        <v>28</v>
      </c>
      <c r="P5749" t="s">
        <v>29</v>
      </c>
      <c r="Q5749">
        <v>40</v>
      </c>
      <c r="R5749">
        <v>-99.999999000000003</v>
      </c>
    </row>
    <row r="5750" spans="1:18" x14ac:dyDescent="0.2">
      <c r="A5750" t="s">
        <v>18</v>
      </c>
      <c r="B5750" t="s">
        <v>462</v>
      </c>
      <c r="C5750">
        <v>1</v>
      </c>
      <c r="D5750" s="1">
        <v>44088.79787037037</v>
      </c>
      <c r="E5750" t="s">
        <v>17940</v>
      </c>
      <c r="F5750" t="s">
        <v>464</v>
      </c>
      <c r="G5750" t="s">
        <v>17727</v>
      </c>
      <c r="H5750" t="s">
        <v>466</v>
      </c>
      <c r="I5750" t="s">
        <v>29</v>
      </c>
      <c r="J5750">
        <v>1</v>
      </c>
      <c r="K5750">
        <f>1-888-718-510</f>
        <v>-2115</v>
      </c>
      <c r="L5750" t="s">
        <v>17941</v>
      </c>
      <c r="M5750" t="s">
        <v>17942</v>
      </c>
      <c r="N5750" t="s">
        <v>447</v>
      </c>
      <c r="O5750" t="s">
        <v>28</v>
      </c>
      <c r="P5750" t="s">
        <v>29</v>
      </c>
      <c r="Q5750">
        <v>40</v>
      </c>
      <c r="R5750">
        <v>-99.999999000000003</v>
      </c>
    </row>
    <row r="5751" spans="1:18" x14ac:dyDescent="0.2">
      <c r="A5751" t="s">
        <v>18</v>
      </c>
      <c r="B5751" t="s">
        <v>462</v>
      </c>
      <c r="C5751">
        <v>1</v>
      </c>
      <c r="D5751" s="1">
        <v>44087.317233796297</v>
      </c>
      <c r="E5751" t="s">
        <v>17943</v>
      </c>
      <c r="F5751" t="s">
        <v>464</v>
      </c>
      <c r="G5751" t="s">
        <v>17727</v>
      </c>
      <c r="H5751" t="s">
        <v>466</v>
      </c>
      <c r="I5751" t="s">
        <v>29</v>
      </c>
      <c r="J5751">
        <v>1</v>
      </c>
      <c r="K5751">
        <f t="shared" ref="K5751:K5794" si="45">1-844-759-84</f>
        <v>-1686</v>
      </c>
      <c r="L5751" t="s">
        <v>17944</v>
      </c>
      <c r="M5751" t="s">
        <v>17945</v>
      </c>
      <c r="N5751" t="s">
        <v>213</v>
      </c>
      <c r="O5751" t="s">
        <v>28</v>
      </c>
      <c r="P5751" t="s">
        <v>29</v>
      </c>
      <c r="Q5751">
        <v>40</v>
      </c>
      <c r="R5751">
        <v>-99.999999000000003</v>
      </c>
    </row>
    <row r="5752" spans="1:18" x14ac:dyDescent="0.2">
      <c r="A5752" t="s">
        <v>18</v>
      </c>
      <c r="B5752" t="s">
        <v>462</v>
      </c>
      <c r="C5752">
        <v>1</v>
      </c>
      <c r="D5752" s="1">
        <v>44087.316458333335</v>
      </c>
      <c r="E5752" t="s">
        <v>17946</v>
      </c>
      <c r="F5752" t="s">
        <v>464</v>
      </c>
      <c r="G5752" t="s">
        <v>17727</v>
      </c>
      <c r="H5752" t="s">
        <v>466</v>
      </c>
      <c r="I5752" t="s">
        <v>29</v>
      </c>
      <c r="J5752">
        <v>1</v>
      </c>
      <c r="K5752">
        <f t="shared" si="45"/>
        <v>-1686</v>
      </c>
      <c r="L5752" t="s">
        <v>17947</v>
      </c>
      <c r="M5752" t="s">
        <v>17948</v>
      </c>
      <c r="N5752" t="s">
        <v>3441</v>
      </c>
      <c r="O5752" t="s">
        <v>28</v>
      </c>
      <c r="P5752" t="s">
        <v>29</v>
      </c>
      <c r="Q5752">
        <v>40</v>
      </c>
      <c r="R5752">
        <v>-99.999999000000003</v>
      </c>
    </row>
    <row r="5753" spans="1:18" x14ac:dyDescent="0.2">
      <c r="A5753" t="s">
        <v>18</v>
      </c>
      <c r="B5753" t="s">
        <v>462</v>
      </c>
      <c r="C5753">
        <v>1</v>
      </c>
      <c r="D5753" s="1">
        <v>44087.31722222222</v>
      </c>
      <c r="E5753" t="s">
        <v>17949</v>
      </c>
      <c r="F5753" t="s">
        <v>464</v>
      </c>
      <c r="G5753" t="s">
        <v>17727</v>
      </c>
      <c r="H5753" t="s">
        <v>466</v>
      </c>
      <c r="I5753" t="s">
        <v>29</v>
      </c>
      <c r="J5753">
        <v>1</v>
      </c>
      <c r="K5753">
        <f t="shared" si="45"/>
        <v>-1686</v>
      </c>
      <c r="L5753" t="s">
        <v>17950</v>
      </c>
      <c r="M5753" t="s">
        <v>17951</v>
      </c>
      <c r="N5753" t="s">
        <v>674</v>
      </c>
      <c r="O5753" t="s">
        <v>28</v>
      </c>
      <c r="P5753" t="s">
        <v>29</v>
      </c>
      <c r="Q5753">
        <v>40</v>
      </c>
      <c r="R5753">
        <v>-99.999999000000003</v>
      </c>
    </row>
    <row r="5754" spans="1:18" x14ac:dyDescent="0.2">
      <c r="A5754" t="s">
        <v>18</v>
      </c>
      <c r="B5754" t="s">
        <v>462</v>
      </c>
      <c r="C5754">
        <v>1</v>
      </c>
      <c r="D5754" s="1">
        <v>44087.317199074074</v>
      </c>
      <c r="E5754" t="s">
        <v>17952</v>
      </c>
      <c r="F5754" t="s">
        <v>464</v>
      </c>
      <c r="G5754" t="s">
        <v>17727</v>
      </c>
      <c r="H5754" t="s">
        <v>466</v>
      </c>
      <c r="I5754" t="s">
        <v>29</v>
      </c>
      <c r="J5754">
        <v>1</v>
      </c>
      <c r="K5754">
        <f t="shared" si="45"/>
        <v>-1686</v>
      </c>
      <c r="L5754" t="s">
        <v>17953</v>
      </c>
      <c r="M5754" t="s">
        <v>17954</v>
      </c>
      <c r="N5754" t="s">
        <v>3441</v>
      </c>
      <c r="O5754" t="s">
        <v>28</v>
      </c>
      <c r="P5754" t="s">
        <v>29</v>
      </c>
      <c r="Q5754">
        <v>40</v>
      </c>
      <c r="R5754">
        <v>-99.999999000000003</v>
      </c>
    </row>
    <row r="5755" spans="1:18" x14ac:dyDescent="0.2">
      <c r="A5755" t="s">
        <v>18</v>
      </c>
      <c r="B5755" t="s">
        <v>462</v>
      </c>
      <c r="C5755">
        <v>1</v>
      </c>
      <c r="D5755" s="1">
        <v>44087.317187499997</v>
      </c>
      <c r="E5755" t="s">
        <v>17955</v>
      </c>
      <c r="F5755" t="s">
        <v>464</v>
      </c>
      <c r="G5755" t="s">
        <v>17727</v>
      </c>
      <c r="H5755" t="s">
        <v>466</v>
      </c>
      <c r="I5755" t="s">
        <v>29</v>
      </c>
      <c r="J5755">
        <v>1</v>
      </c>
      <c r="K5755">
        <f t="shared" si="45"/>
        <v>-1686</v>
      </c>
      <c r="L5755" t="s">
        <v>17956</v>
      </c>
      <c r="M5755" t="s">
        <v>17957</v>
      </c>
      <c r="N5755" t="s">
        <v>447</v>
      </c>
      <c r="O5755" t="s">
        <v>28</v>
      </c>
      <c r="P5755" t="s">
        <v>29</v>
      </c>
      <c r="Q5755">
        <v>40</v>
      </c>
      <c r="R5755">
        <v>-99.999999000000003</v>
      </c>
    </row>
    <row r="5756" spans="1:18" x14ac:dyDescent="0.2">
      <c r="A5756" t="s">
        <v>18</v>
      </c>
      <c r="B5756" t="s">
        <v>462</v>
      </c>
      <c r="C5756">
        <v>1</v>
      </c>
      <c r="D5756" s="1">
        <v>44087.317129629628</v>
      </c>
      <c r="E5756" t="s">
        <v>17958</v>
      </c>
      <c r="F5756" t="s">
        <v>464</v>
      </c>
      <c r="G5756" t="s">
        <v>17727</v>
      </c>
      <c r="H5756" t="s">
        <v>466</v>
      </c>
      <c r="I5756" t="s">
        <v>29</v>
      </c>
      <c r="J5756">
        <v>1</v>
      </c>
      <c r="K5756">
        <f t="shared" si="45"/>
        <v>-1686</v>
      </c>
      <c r="L5756" t="s">
        <v>17959</v>
      </c>
      <c r="M5756" t="s">
        <v>17960</v>
      </c>
      <c r="N5756" t="s">
        <v>3454</v>
      </c>
      <c r="O5756" t="s">
        <v>28</v>
      </c>
      <c r="P5756" t="s">
        <v>29</v>
      </c>
      <c r="Q5756">
        <v>40</v>
      </c>
      <c r="R5756">
        <v>-99.999999000000003</v>
      </c>
    </row>
    <row r="5757" spans="1:18" x14ac:dyDescent="0.2">
      <c r="A5757" t="s">
        <v>18</v>
      </c>
      <c r="B5757" t="s">
        <v>462</v>
      </c>
      <c r="C5757">
        <v>1</v>
      </c>
      <c r="D5757" s="1">
        <v>44087.31690972222</v>
      </c>
      <c r="E5757" t="s">
        <v>17961</v>
      </c>
      <c r="F5757" t="s">
        <v>464</v>
      </c>
      <c r="G5757" t="s">
        <v>17727</v>
      </c>
      <c r="H5757" t="s">
        <v>466</v>
      </c>
      <c r="I5757" t="s">
        <v>29</v>
      </c>
      <c r="J5757">
        <v>1</v>
      </c>
      <c r="K5757">
        <f t="shared" si="45"/>
        <v>-1686</v>
      </c>
      <c r="L5757" t="s">
        <v>17962</v>
      </c>
      <c r="M5757" t="s">
        <v>17963</v>
      </c>
      <c r="N5757" t="s">
        <v>3441</v>
      </c>
      <c r="O5757" t="s">
        <v>28</v>
      </c>
      <c r="P5757" t="s">
        <v>29</v>
      </c>
      <c r="Q5757">
        <v>40</v>
      </c>
      <c r="R5757">
        <v>-99.999999000000003</v>
      </c>
    </row>
    <row r="5758" spans="1:18" x14ac:dyDescent="0.2">
      <c r="A5758" t="s">
        <v>18</v>
      </c>
      <c r="B5758" t="s">
        <v>462</v>
      </c>
      <c r="C5758">
        <v>1</v>
      </c>
      <c r="D5758" s="1">
        <v>44087.316886574074</v>
      </c>
      <c r="E5758" t="s">
        <v>17964</v>
      </c>
      <c r="F5758" t="s">
        <v>464</v>
      </c>
      <c r="G5758" t="s">
        <v>17727</v>
      </c>
      <c r="H5758" t="s">
        <v>466</v>
      </c>
      <c r="I5758" t="s">
        <v>29</v>
      </c>
      <c r="J5758">
        <v>1</v>
      </c>
      <c r="K5758">
        <f t="shared" si="45"/>
        <v>-1686</v>
      </c>
      <c r="L5758" t="s">
        <v>17965</v>
      </c>
      <c r="M5758" t="s">
        <v>17966</v>
      </c>
      <c r="N5758" t="s">
        <v>447</v>
      </c>
      <c r="O5758" t="s">
        <v>28</v>
      </c>
      <c r="P5758" t="s">
        <v>29</v>
      </c>
      <c r="Q5758">
        <v>40</v>
      </c>
      <c r="R5758">
        <v>-99.999999000000003</v>
      </c>
    </row>
    <row r="5759" spans="1:18" x14ac:dyDescent="0.2">
      <c r="A5759" t="s">
        <v>18</v>
      </c>
      <c r="B5759" t="s">
        <v>462</v>
      </c>
      <c r="C5759">
        <v>1</v>
      </c>
      <c r="D5759" s="1">
        <v>44087.316874999997</v>
      </c>
      <c r="E5759" t="s">
        <v>17967</v>
      </c>
      <c r="F5759" t="s">
        <v>464</v>
      </c>
      <c r="G5759" t="s">
        <v>17727</v>
      </c>
      <c r="H5759" t="s">
        <v>466</v>
      </c>
      <c r="I5759" t="s">
        <v>29</v>
      </c>
      <c r="J5759">
        <v>1</v>
      </c>
      <c r="K5759">
        <f t="shared" si="45"/>
        <v>-1686</v>
      </c>
      <c r="L5759" t="s">
        <v>17968</v>
      </c>
      <c r="M5759" t="s">
        <v>17969</v>
      </c>
      <c r="N5759" t="s">
        <v>213</v>
      </c>
      <c r="O5759" t="s">
        <v>28</v>
      </c>
      <c r="P5759" t="s">
        <v>29</v>
      </c>
      <c r="Q5759">
        <v>40</v>
      </c>
      <c r="R5759">
        <v>-99.999999000000003</v>
      </c>
    </row>
    <row r="5760" spans="1:18" x14ac:dyDescent="0.2">
      <c r="A5760" t="s">
        <v>18</v>
      </c>
      <c r="B5760" t="s">
        <v>462</v>
      </c>
      <c r="C5760">
        <v>1</v>
      </c>
      <c r="D5760" s="1">
        <v>44087.316851851851</v>
      </c>
      <c r="E5760" t="s">
        <v>17970</v>
      </c>
      <c r="F5760" t="s">
        <v>464</v>
      </c>
      <c r="G5760" t="s">
        <v>17727</v>
      </c>
      <c r="H5760" t="s">
        <v>466</v>
      </c>
      <c r="I5760" t="s">
        <v>29</v>
      </c>
      <c r="J5760">
        <v>1</v>
      </c>
      <c r="K5760">
        <f t="shared" si="45"/>
        <v>-1686</v>
      </c>
      <c r="L5760" t="s">
        <v>17971</v>
      </c>
      <c r="M5760" t="s">
        <v>17972</v>
      </c>
      <c r="N5760" t="s">
        <v>674</v>
      </c>
      <c r="O5760" t="s">
        <v>28</v>
      </c>
      <c r="P5760" t="s">
        <v>29</v>
      </c>
      <c r="Q5760">
        <v>40</v>
      </c>
      <c r="R5760">
        <v>-99.999999000000003</v>
      </c>
    </row>
    <row r="5761" spans="1:18" x14ac:dyDescent="0.2">
      <c r="A5761" t="s">
        <v>18</v>
      </c>
      <c r="B5761" t="s">
        <v>462</v>
      </c>
      <c r="C5761">
        <v>1</v>
      </c>
      <c r="D5761" s="1">
        <v>44087.316840277781</v>
      </c>
      <c r="E5761" t="s">
        <v>17973</v>
      </c>
      <c r="F5761" t="s">
        <v>464</v>
      </c>
      <c r="G5761" t="s">
        <v>17727</v>
      </c>
      <c r="H5761" t="s">
        <v>466</v>
      </c>
      <c r="I5761" t="s">
        <v>29</v>
      </c>
      <c r="J5761">
        <v>1</v>
      </c>
      <c r="K5761">
        <f t="shared" si="45"/>
        <v>-1686</v>
      </c>
      <c r="L5761" t="s">
        <v>17974</v>
      </c>
      <c r="M5761" t="s">
        <v>17975</v>
      </c>
      <c r="N5761" t="s">
        <v>3454</v>
      </c>
      <c r="O5761" t="s">
        <v>28</v>
      </c>
      <c r="P5761" t="s">
        <v>29</v>
      </c>
      <c r="Q5761">
        <v>40</v>
      </c>
      <c r="R5761">
        <v>-99.999999000000003</v>
      </c>
    </row>
    <row r="5762" spans="1:18" x14ac:dyDescent="0.2">
      <c r="A5762" t="s">
        <v>18</v>
      </c>
      <c r="B5762" t="s">
        <v>462</v>
      </c>
      <c r="C5762">
        <v>1</v>
      </c>
      <c r="D5762" s="1">
        <v>44087.316712962966</v>
      </c>
      <c r="E5762" t="s">
        <v>17976</v>
      </c>
      <c r="F5762" t="s">
        <v>464</v>
      </c>
      <c r="G5762" t="s">
        <v>17727</v>
      </c>
      <c r="H5762" t="s">
        <v>466</v>
      </c>
      <c r="I5762" t="s">
        <v>29</v>
      </c>
      <c r="J5762">
        <v>1</v>
      </c>
      <c r="K5762">
        <f t="shared" si="45"/>
        <v>-1686</v>
      </c>
      <c r="L5762" t="s">
        <v>17977</v>
      </c>
      <c r="M5762" t="s">
        <v>17978</v>
      </c>
      <c r="N5762" t="s">
        <v>213</v>
      </c>
      <c r="O5762" t="s">
        <v>28</v>
      </c>
      <c r="P5762" t="s">
        <v>29</v>
      </c>
      <c r="Q5762">
        <v>40</v>
      </c>
      <c r="R5762">
        <v>-99.999999000000003</v>
      </c>
    </row>
    <row r="5763" spans="1:18" x14ac:dyDescent="0.2">
      <c r="A5763" t="s">
        <v>18</v>
      </c>
      <c r="B5763" t="s">
        <v>462</v>
      </c>
      <c r="C5763">
        <v>1</v>
      </c>
      <c r="D5763" s="1">
        <v>44087.316712962966</v>
      </c>
      <c r="E5763" t="s">
        <v>17979</v>
      </c>
      <c r="F5763" t="s">
        <v>464</v>
      </c>
      <c r="G5763" t="s">
        <v>17727</v>
      </c>
      <c r="H5763" t="s">
        <v>466</v>
      </c>
      <c r="I5763" t="s">
        <v>29</v>
      </c>
      <c r="J5763">
        <v>1</v>
      </c>
      <c r="K5763">
        <f t="shared" si="45"/>
        <v>-1686</v>
      </c>
      <c r="L5763" t="s">
        <v>17980</v>
      </c>
      <c r="M5763" t="s">
        <v>17981</v>
      </c>
      <c r="N5763" t="s">
        <v>674</v>
      </c>
      <c r="O5763" t="s">
        <v>28</v>
      </c>
      <c r="P5763" t="s">
        <v>29</v>
      </c>
      <c r="Q5763">
        <v>40</v>
      </c>
      <c r="R5763">
        <v>-99.999999000000003</v>
      </c>
    </row>
    <row r="5764" spans="1:18" x14ac:dyDescent="0.2">
      <c r="A5764" t="s">
        <v>18</v>
      </c>
      <c r="B5764" t="s">
        <v>462</v>
      </c>
      <c r="C5764">
        <v>1</v>
      </c>
      <c r="D5764" s="1">
        <v>44087.316643518519</v>
      </c>
      <c r="E5764" t="s">
        <v>17982</v>
      </c>
      <c r="F5764" t="s">
        <v>464</v>
      </c>
      <c r="G5764" t="s">
        <v>17727</v>
      </c>
      <c r="H5764" t="s">
        <v>466</v>
      </c>
      <c r="I5764" t="s">
        <v>29</v>
      </c>
      <c r="J5764">
        <v>1</v>
      </c>
      <c r="K5764">
        <f t="shared" si="45"/>
        <v>-1686</v>
      </c>
      <c r="L5764" t="s">
        <v>17983</v>
      </c>
      <c r="M5764" t="s">
        <v>17984</v>
      </c>
      <c r="N5764" t="s">
        <v>447</v>
      </c>
      <c r="O5764" t="s">
        <v>28</v>
      </c>
      <c r="P5764" t="s">
        <v>29</v>
      </c>
      <c r="Q5764">
        <v>40</v>
      </c>
      <c r="R5764">
        <v>-99.999999000000003</v>
      </c>
    </row>
    <row r="5765" spans="1:18" x14ac:dyDescent="0.2">
      <c r="A5765" t="s">
        <v>18</v>
      </c>
      <c r="B5765" t="s">
        <v>462</v>
      </c>
      <c r="C5765">
        <v>1</v>
      </c>
      <c r="D5765" s="1">
        <v>44087.316620370373</v>
      </c>
      <c r="E5765" t="s">
        <v>17985</v>
      </c>
      <c r="F5765" t="s">
        <v>464</v>
      </c>
      <c r="G5765" t="s">
        <v>17727</v>
      </c>
      <c r="H5765" t="s">
        <v>466</v>
      </c>
      <c r="I5765" t="s">
        <v>29</v>
      </c>
      <c r="J5765">
        <v>1</v>
      </c>
      <c r="K5765">
        <f t="shared" si="45"/>
        <v>-1686</v>
      </c>
      <c r="L5765" t="s">
        <v>17986</v>
      </c>
      <c r="M5765" t="s">
        <v>17987</v>
      </c>
      <c r="N5765" t="s">
        <v>3454</v>
      </c>
      <c r="O5765" t="s">
        <v>28</v>
      </c>
      <c r="P5765" t="s">
        <v>29</v>
      </c>
      <c r="Q5765">
        <v>40</v>
      </c>
      <c r="R5765">
        <v>-99.999999000000003</v>
      </c>
    </row>
    <row r="5766" spans="1:18" x14ac:dyDescent="0.2">
      <c r="A5766" t="s">
        <v>18</v>
      </c>
      <c r="B5766" t="s">
        <v>462</v>
      </c>
      <c r="C5766">
        <v>1</v>
      </c>
      <c r="D5766" s="1">
        <v>44087.316493055558</v>
      </c>
      <c r="E5766" t="s">
        <v>17988</v>
      </c>
      <c r="F5766" t="s">
        <v>464</v>
      </c>
      <c r="G5766" t="s">
        <v>17727</v>
      </c>
      <c r="H5766" t="s">
        <v>466</v>
      </c>
      <c r="I5766" t="s">
        <v>29</v>
      </c>
      <c r="J5766">
        <v>1</v>
      </c>
      <c r="K5766">
        <f t="shared" si="45"/>
        <v>-1686</v>
      </c>
      <c r="L5766" t="s">
        <v>17989</v>
      </c>
      <c r="M5766" t="s">
        <v>17990</v>
      </c>
      <c r="N5766" t="s">
        <v>213</v>
      </c>
      <c r="O5766" t="s">
        <v>28</v>
      </c>
      <c r="P5766" t="s">
        <v>29</v>
      </c>
      <c r="Q5766">
        <v>40</v>
      </c>
      <c r="R5766">
        <v>-99.999999000000003</v>
      </c>
    </row>
    <row r="5767" spans="1:18" x14ac:dyDescent="0.2">
      <c r="A5767" t="s">
        <v>18</v>
      </c>
      <c r="B5767" t="s">
        <v>462</v>
      </c>
      <c r="C5767">
        <v>1</v>
      </c>
      <c r="D5767" s="1">
        <v>44087.316307870373</v>
      </c>
      <c r="E5767" t="s">
        <v>17991</v>
      </c>
      <c r="F5767" t="s">
        <v>464</v>
      </c>
      <c r="G5767" t="s">
        <v>17727</v>
      </c>
      <c r="H5767" t="s">
        <v>466</v>
      </c>
      <c r="I5767" t="s">
        <v>29</v>
      </c>
      <c r="J5767">
        <v>1</v>
      </c>
      <c r="K5767">
        <f t="shared" si="45"/>
        <v>-1686</v>
      </c>
      <c r="L5767" t="s">
        <v>17992</v>
      </c>
      <c r="M5767" t="s">
        <v>17993</v>
      </c>
      <c r="N5767" t="s">
        <v>3441</v>
      </c>
      <c r="O5767" t="s">
        <v>28</v>
      </c>
      <c r="P5767" t="s">
        <v>29</v>
      </c>
      <c r="Q5767">
        <v>40</v>
      </c>
      <c r="R5767">
        <v>-99.999999000000003</v>
      </c>
    </row>
    <row r="5768" spans="1:18" x14ac:dyDescent="0.2">
      <c r="A5768" t="s">
        <v>18</v>
      </c>
      <c r="B5768" t="s">
        <v>462</v>
      </c>
      <c r="C5768">
        <v>1</v>
      </c>
      <c r="D5768" s="1">
        <v>44087.316064814811</v>
      </c>
      <c r="E5768" t="s">
        <v>17994</v>
      </c>
      <c r="F5768" t="s">
        <v>464</v>
      </c>
      <c r="G5768" t="s">
        <v>17727</v>
      </c>
      <c r="H5768" t="s">
        <v>466</v>
      </c>
      <c r="I5768" t="s">
        <v>29</v>
      </c>
      <c r="J5768">
        <v>1</v>
      </c>
      <c r="K5768">
        <f t="shared" si="45"/>
        <v>-1686</v>
      </c>
      <c r="L5768" t="s">
        <v>17995</v>
      </c>
      <c r="M5768" t="s">
        <v>17996</v>
      </c>
      <c r="N5768" t="s">
        <v>674</v>
      </c>
      <c r="O5768" t="s">
        <v>28</v>
      </c>
      <c r="P5768" t="s">
        <v>29</v>
      </c>
      <c r="Q5768">
        <v>40</v>
      </c>
      <c r="R5768">
        <v>-99.999999000000003</v>
      </c>
    </row>
    <row r="5769" spans="1:18" x14ac:dyDescent="0.2">
      <c r="A5769" t="s">
        <v>18</v>
      </c>
      <c r="B5769" t="s">
        <v>462</v>
      </c>
      <c r="C5769">
        <v>1</v>
      </c>
      <c r="D5769" s="1">
        <v>44087.316053240742</v>
      </c>
      <c r="E5769" t="s">
        <v>17997</v>
      </c>
      <c r="F5769" t="s">
        <v>464</v>
      </c>
      <c r="G5769" t="s">
        <v>17727</v>
      </c>
      <c r="H5769" t="s">
        <v>466</v>
      </c>
      <c r="I5769" t="s">
        <v>29</v>
      </c>
      <c r="J5769">
        <v>1</v>
      </c>
      <c r="K5769">
        <f t="shared" si="45"/>
        <v>-1686</v>
      </c>
      <c r="L5769" t="s">
        <v>17998</v>
      </c>
      <c r="M5769" t="s">
        <v>17999</v>
      </c>
      <c r="N5769" t="s">
        <v>3441</v>
      </c>
      <c r="O5769" t="s">
        <v>28</v>
      </c>
      <c r="P5769" t="s">
        <v>29</v>
      </c>
      <c r="Q5769">
        <v>40</v>
      </c>
      <c r="R5769">
        <v>-99.999999000000003</v>
      </c>
    </row>
    <row r="5770" spans="1:18" x14ac:dyDescent="0.2">
      <c r="A5770" t="s">
        <v>18</v>
      </c>
      <c r="B5770" t="s">
        <v>462</v>
      </c>
      <c r="C5770">
        <v>1</v>
      </c>
      <c r="D5770" s="1">
        <v>44087.316041666665</v>
      </c>
      <c r="E5770" t="s">
        <v>18000</v>
      </c>
      <c r="F5770" t="s">
        <v>464</v>
      </c>
      <c r="G5770" t="s">
        <v>17727</v>
      </c>
      <c r="H5770" t="s">
        <v>466</v>
      </c>
      <c r="I5770" t="s">
        <v>29</v>
      </c>
      <c r="J5770">
        <v>1</v>
      </c>
      <c r="K5770">
        <f t="shared" si="45"/>
        <v>-1686</v>
      </c>
      <c r="L5770" t="s">
        <v>18001</v>
      </c>
      <c r="M5770" t="s">
        <v>18002</v>
      </c>
      <c r="N5770" t="s">
        <v>447</v>
      </c>
      <c r="O5770" t="s">
        <v>28</v>
      </c>
      <c r="P5770" t="s">
        <v>29</v>
      </c>
      <c r="Q5770">
        <v>40</v>
      </c>
      <c r="R5770">
        <v>-99.999999000000003</v>
      </c>
    </row>
    <row r="5771" spans="1:18" x14ac:dyDescent="0.2">
      <c r="A5771" t="s">
        <v>18</v>
      </c>
      <c r="B5771" t="s">
        <v>462</v>
      </c>
      <c r="C5771">
        <v>1</v>
      </c>
      <c r="D5771" s="1">
        <v>44087.316018518519</v>
      </c>
      <c r="E5771" t="s">
        <v>18003</v>
      </c>
      <c r="F5771" t="s">
        <v>464</v>
      </c>
      <c r="G5771" t="s">
        <v>17727</v>
      </c>
      <c r="H5771" t="s">
        <v>466</v>
      </c>
      <c r="I5771" t="s">
        <v>29</v>
      </c>
      <c r="J5771">
        <v>1</v>
      </c>
      <c r="K5771">
        <f t="shared" si="45"/>
        <v>-1686</v>
      </c>
      <c r="L5771" t="s">
        <v>18004</v>
      </c>
      <c r="M5771" t="s">
        <v>18005</v>
      </c>
      <c r="N5771" t="s">
        <v>3454</v>
      </c>
      <c r="O5771" t="s">
        <v>28</v>
      </c>
      <c r="P5771" t="s">
        <v>29</v>
      </c>
      <c r="Q5771">
        <v>40</v>
      </c>
      <c r="R5771">
        <v>-99.999999000000003</v>
      </c>
    </row>
    <row r="5772" spans="1:18" x14ac:dyDescent="0.2">
      <c r="A5772" t="s">
        <v>18</v>
      </c>
      <c r="B5772" t="s">
        <v>462</v>
      </c>
      <c r="C5772">
        <v>1</v>
      </c>
      <c r="D5772" s="1">
        <v>44087.315960648149</v>
      </c>
      <c r="E5772" t="s">
        <v>18006</v>
      </c>
      <c r="F5772" t="s">
        <v>464</v>
      </c>
      <c r="G5772" t="s">
        <v>17727</v>
      </c>
      <c r="H5772" t="s">
        <v>466</v>
      </c>
      <c r="I5772" t="s">
        <v>29</v>
      </c>
      <c r="J5772">
        <v>1</v>
      </c>
      <c r="K5772">
        <f t="shared" si="45"/>
        <v>-1686</v>
      </c>
      <c r="L5772" t="s">
        <v>18007</v>
      </c>
      <c r="M5772" t="s">
        <v>18008</v>
      </c>
      <c r="N5772" t="s">
        <v>213</v>
      </c>
      <c r="O5772" t="s">
        <v>28</v>
      </c>
      <c r="P5772" t="s">
        <v>29</v>
      </c>
      <c r="Q5772">
        <v>40</v>
      </c>
      <c r="R5772">
        <v>-99.999999000000003</v>
      </c>
    </row>
    <row r="5773" spans="1:18" x14ac:dyDescent="0.2">
      <c r="A5773" t="s">
        <v>18</v>
      </c>
      <c r="B5773" t="s">
        <v>462</v>
      </c>
      <c r="C5773">
        <v>1</v>
      </c>
      <c r="D5773" s="1">
        <v>44087.315949074073</v>
      </c>
      <c r="E5773" t="s">
        <v>18009</v>
      </c>
      <c r="F5773" t="s">
        <v>464</v>
      </c>
      <c r="G5773" t="s">
        <v>17727</v>
      </c>
      <c r="H5773" t="s">
        <v>466</v>
      </c>
      <c r="I5773" t="s">
        <v>29</v>
      </c>
      <c r="J5773">
        <v>1</v>
      </c>
      <c r="K5773">
        <f t="shared" si="45"/>
        <v>-1686</v>
      </c>
      <c r="L5773" t="s">
        <v>18010</v>
      </c>
      <c r="M5773" t="s">
        <v>18011</v>
      </c>
      <c r="N5773" t="s">
        <v>674</v>
      </c>
      <c r="O5773" t="s">
        <v>28</v>
      </c>
      <c r="P5773" t="s">
        <v>29</v>
      </c>
      <c r="Q5773">
        <v>40</v>
      </c>
      <c r="R5773">
        <v>-99.999999000000003</v>
      </c>
    </row>
    <row r="5774" spans="1:18" x14ac:dyDescent="0.2">
      <c r="A5774" t="s">
        <v>18</v>
      </c>
      <c r="B5774" t="s">
        <v>462</v>
      </c>
      <c r="C5774">
        <v>1</v>
      </c>
      <c r="D5774" s="1">
        <v>44087.315937500003</v>
      </c>
      <c r="E5774" t="s">
        <v>18012</v>
      </c>
      <c r="F5774" t="s">
        <v>464</v>
      </c>
      <c r="G5774" t="s">
        <v>17727</v>
      </c>
      <c r="H5774" t="s">
        <v>466</v>
      </c>
      <c r="I5774" t="s">
        <v>29</v>
      </c>
      <c r="J5774">
        <v>1</v>
      </c>
      <c r="K5774">
        <f t="shared" si="45"/>
        <v>-1686</v>
      </c>
      <c r="L5774" t="s">
        <v>18013</v>
      </c>
      <c r="M5774" t="s">
        <v>18014</v>
      </c>
      <c r="N5774" t="s">
        <v>3441</v>
      </c>
      <c r="O5774" t="s">
        <v>28</v>
      </c>
      <c r="P5774" t="s">
        <v>29</v>
      </c>
      <c r="Q5774">
        <v>40</v>
      </c>
      <c r="R5774">
        <v>-99.999999000000003</v>
      </c>
    </row>
    <row r="5775" spans="1:18" x14ac:dyDescent="0.2">
      <c r="A5775" t="s">
        <v>18</v>
      </c>
      <c r="B5775" t="s">
        <v>462</v>
      </c>
      <c r="C5775">
        <v>1</v>
      </c>
      <c r="D5775" s="1">
        <v>44087.31590277778</v>
      </c>
      <c r="E5775" t="s">
        <v>18015</v>
      </c>
      <c r="F5775" t="s">
        <v>464</v>
      </c>
      <c r="G5775" t="s">
        <v>17727</v>
      </c>
      <c r="H5775" t="s">
        <v>466</v>
      </c>
      <c r="I5775" t="s">
        <v>29</v>
      </c>
      <c r="J5775">
        <v>1</v>
      </c>
      <c r="K5775">
        <f t="shared" si="45"/>
        <v>-1686</v>
      </c>
      <c r="L5775" t="s">
        <v>18016</v>
      </c>
      <c r="M5775" t="s">
        <v>18017</v>
      </c>
      <c r="N5775" t="s">
        <v>447</v>
      </c>
      <c r="O5775" t="s">
        <v>28</v>
      </c>
      <c r="P5775" t="s">
        <v>29</v>
      </c>
      <c r="Q5775">
        <v>40</v>
      </c>
      <c r="R5775">
        <v>-99.999999000000003</v>
      </c>
    </row>
    <row r="5776" spans="1:18" x14ac:dyDescent="0.2">
      <c r="A5776" t="s">
        <v>18</v>
      </c>
      <c r="B5776" t="s">
        <v>462</v>
      </c>
      <c r="C5776">
        <v>1</v>
      </c>
      <c r="D5776" s="1">
        <v>44087.315706018519</v>
      </c>
      <c r="E5776" t="s">
        <v>18018</v>
      </c>
      <c r="F5776" t="s">
        <v>464</v>
      </c>
      <c r="G5776" t="s">
        <v>17727</v>
      </c>
      <c r="H5776" t="s">
        <v>466</v>
      </c>
      <c r="I5776" t="s">
        <v>29</v>
      </c>
      <c r="J5776">
        <v>1</v>
      </c>
      <c r="K5776">
        <f t="shared" si="45"/>
        <v>-1686</v>
      </c>
      <c r="L5776" t="s">
        <v>18019</v>
      </c>
      <c r="M5776" t="s">
        <v>18020</v>
      </c>
      <c r="N5776" t="s">
        <v>213</v>
      </c>
      <c r="O5776" t="s">
        <v>28</v>
      </c>
      <c r="P5776" t="s">
        <v>29</v>
      </c>
      <c r="Q5776">
        <v>40</v>
      </c>
      <c r="R5776">
        <v>-99.999999000000003</v>
      </c>
    </row>
    <row r="5777" spans="1:18" x14ac:dyDescent="0.2">
      <c r="A5777" t="s">
        <v>18</v>
      </c>
      <c r="B5777" t="s">
        <v>462</v>
      </c>
      <c r="C5777">
        <v>1</v>
      </c>
      <c r="D5777" s="1">
        <v>44087.315682870372</v>
      </c>
      <c r="E5777" t="s">
        <v>18021</v>
      </c>
      <c r="F5777" t="s">
        <v>464</v>
      </c>
      <c r="G5777" t="s">
        <v>17727</v>
      </c>
      <c r="H5777" t="s">
        <v>466</v>
      </c>
      <c r="I5777" t="s">
        <v>29</v>
      </c>
      <c r="J5777">
        <v>1</v>
      </c>
      <c r="K5777">
        <f t="shared" si="45"/>
        <v>-1686</v>
      </c>
      <c r="L5777" t="s">
        <v>18022</v>
      </c>
      <c r="M5777" t="s">
        <v>18023</v>
      </c>
      <c r="N5777" t="s">
        <v>674</v>
      </c>
      <c r="O5777" t="s">
        <v>28</v>
      </c>
      <c r="P5777" t="s">
        <v>29</v>
      </c>
      <c r="Q5777">
        <v>40</v>
      </c>
      <c r="R5777">
        <v>-99.999999000000003</v>
      </c>
    </row>
    <row r="5778" spans="1:18" x14ac:dyDescent="0.2">
      <c r="A5778" t="s">
        <v>18</v>
      </c>
      <c r="B5778" t="s">
        <v>462</v>
      </c>
      <c r="C5778">
        <v>1</v>
      </c>
      <c r="D5778" s="1">
        <v>44087.315671296295</v>
      </c>
      <c r="E5778" t="s">
        <v>18024</v>
      </c>
      <c r="F5778" t="s">
        <v>464</v>
      </c>
      <c r="G5778" t="s">
        <v>17727</v>
      </c>
      <c r="H5778" t="s">
        <v>466</v>
      </c>
      <c r="I5778" t="s">
        <v>29</v>
      </c>
      <c r="J5778">
        <v>1</v>
      </c>
      <c r="K5778">
        <f t="shared" si="45"/>
        <v>-1686</v>
      </c>
      <c r="L5778" t="s">
        <v>18025</v>
      </c>
      <c r="M5778" t="s">
        <v>18026</v>
      </c>
      <c r="N5778" t="s">
        <v>3441</v>
      </c>
      <c r="O5778" t="s">
        <v>28</v>
      </c>
      <c r="P5778" t="s">
        <v>29</v>
      </c>
      <c r="Q5778">
        <v>40</v>
      </c>
      <c r="R5778">
        <v>-99.999999000000003</v>
      </c>
    </row>
    <row r="5779" spans="1:18" x14ac:dyDescent="0.2">
      <c r="A5779" t="s">
        <v>18</v>
      </c>
      <c r="B5779" t="s">
        <v>462</v>
      </c>
      <c r="C5779">
        <v>1</v>
      </c>
      <c r="D5779" s="1">
        <v>44087.315648148149</v>
      </c>
      <c r="E5779" t="s">
        <v>18027</v>
      </c>
      <c r="F5779" t="s">
        <v>464</v>
      </c>
      <c r="G5779" t="s">
        <v>17727</v>
      </c>
      <c r="H5779" t="s">
        <v>466</v>
      </c>
      <c r="I5779" t="s">
        <v>29</v>
      </c>
      <c r="J5779">
        <v>1</v>
      </c>
      <c r="K5779">
        <f t="shared" si="45"/>
        <v>-1686</v>
      </c>
      <c r="L5779" t="s">
        <v>18028</v>
      </c>
      <c r="M5779" t="s">
        <v>18029</v>
      </c>
      <c r="N5779" t="s">
        <v>447</v>
      </c>
      <c r="O5779" t="s">
        <v>28</v>
      </c>
      <c r="P5779" t="s">
        <v>29</v>
      </c>
      <c r="Q5779">
        <v>40</v>
      </c>
      <c r="R5779">
        <v>-99.999999000000003</v>
      </c>
    </row>
    <row r="5780" spans="1:18" x14ac:dyDescent="0.2">
      <c r="A5780" t="s">
        <v>18</v>
      </c>
      <c r="B5780" t="s">
        <v>462</v>
      </c>
      <c r="C5780">
        <v>1</v>
      </c>
      <c r="D5780" s="1">
        <v>44087.315636574072</v>
      </c>
      <c r="E5780" t="s">
        <v>18030</v>
      </c>
      <c r="F5780" t="s">
        <v>464</v>
      </c>
      <c r="G5780" t="s">
        <v>17727</v>
      </c>
      <c r="H5780" t="s">
        <v>466</v>
      </c>
      <c r="I5780" t="s">
        <v>29</v>
      </c>
      <c r="J5780">
        <v>1</v>
      </c>
      <c r="K5780">
        <f t="shared" si="45"/>
        <v>-1686</v>
      </c>
      <c r="L5780" t="s">
        <v>18031</v>
      </c>
      <c r="M5780" t="s">
        <v>18032</v>
      </c>
      <c r="N5780" t="s">
        <v>3454</v>
      </c>
      <c r="O5780" t="s">
        <v>28</v>
      </c>
      <c r="P5780" t="s">
        <v>29</v>
      </c>
      <c r="Q5780">
        <v>40</v>
      </c>
      <c r="R5780">
        <v>-99.999999000000003</v>
      </c>
    </row>
    <row r="5781" spans="1:18" x14ac:dyDescent="0.2">
      <c r="A5781" t="s">
        <v>18</v>
      </c>
      <c r="B5781" t="s">
        <v>462</v>
      </c>
      <c r="C5781">
        <v>1</v>
      </c>
      <c r="D5781" s="1">
        <v>44087.315486111111</v>
      </c>
      <c r="E5781" t="s">
        <v>18033</v>
      </c>
      <c r="F5781" t="s">
        <v>464</v>
      </c>
      <c r="G5781" t="s">
        <v>17727</v>
      </c>
      <c r="H5781" t="s">
        <v>466</v>
      </c>
      <c r="I5781" t="s">
        <v>29</v>
      </c>
      <c r="J5781">
        <v>1</v>
      </c>
      <c r="K5781">
        <f t="shared" si="45"/>
        <v>-1686</v>
      </c>
      <c r="L5781" t="s">
        <v>18034</v>
      </c>
      <c r="M5781" t="s">
        <v>18035</v>
      </c>
      <c r="N5781" t="s">
        <v>674</v>
      </c>
      <c r="O5781" t="s">
        <v>28</v>
      </c>
      <c r="P5781" t="s">
        <v>29</v>
      </c>
      <c r="Q5781">
        <v>40</v>
      </c>
      <c r="R5781">
        <v>-99.999999000000003</v>
      </c>
    </row>
    <row r="5782" spans="1:18" x14ac:dyDescent="0.2">
      <c r="A5782" t="s">
        <v>18</v>
      </c>
      <c r="B5782" t="s">
        <v>462</v>
      </c>
      <c r="C5782">
        <v>1</v>
      </c>
      <c r="D5782" s="1">
        <v>44087.315474537034</v>
      </c>
      <c r="E5782" t="s">
        <v>18036</v>
      </c>
      <c r="F5782" t="s">
        <v>464</v>
      </c>
      <c r="G5782" t="s">
        <v>17727</v>
      </c>
      <c r="H5782" t="s">
        <v>466</v>
      </c>
      <c r="I5782" t="s">
        <v>29</v>
      </c>
      <c r="J5782">
        <v>1</v>
      </c>
      <c r="K5782">
        <f t="shared" si="45"/>
        <v>-1686</v>
      </c>
      <c r="L5782" t="s">
        <v>18037</v>
      </c>
      <c r="M5782" t="s">
        <v>18038</v>
      </c>
      <c r="N5782" t="s">
        <v>3441</v>
      </c>
      <c r="O5782" t="s">
        <v>28</v>
      </c>
      <c r="P5782" t="s">
        <v>29</v>
      </c>
      <c r="Q5782">
        <v>40</v>
      </c>
      <c r="R5782">
        <v>-99.999999000000003</v>
      </c>
    </row>
    <row r="5783" spans="1:18" x14ac:dyDescent="0.2">
      <c r="A5783" t="s">
        <v>18</v>
      </c>
      <c r="B5783" t="s">
        <v>462</v>
      </c>
      <c r="C5783">
        <v>1</v>
      </c>
      <c r="D5783" s="1">
        <v>44087.315439814818</v>
      </c>
      <c r="E5783" t="s">
        <v>18039</v>
      </c>
      <c r="F5783" t="s">
        <v>464</v>
      </c>
      <c r="G5783" t="s">
        <v>17727</v>
      </c>
      <c r="H5783" t="s">
        <v>466</v>
      </c>
      <c r="I5783" t="s">
        <v>29</v>
      </c>
      <c r="J5783">
        <v>1</v>
      </c>
      <c r="K5783">
        <f t="shared" si="45"/>
        <v>-1686</v>
      </c>
      <c r="L5783" t="s">
        <v>18040</v>
      </c>
      <c r="M5783" t="s">
        <v>18041</v>
      </c>
      <c r="N5783" t="s">
        <v>3454</v>
      </c>
      <c r="O5783" t="s">
        <v>28</v>
      </c>
      <c r="P5783" t="s">
        <v>29</v>
      </c>
      <c r="Q5783">
        <v>40</v>
      </c>
      <c r="R5783">
        <v>-99.999999000000003</v>
      </c>
    </row>
    <row r="5784" spans="1:18" x14ac:dyDescent="0.2">
      <c r="A5784" t="s">
        <v>18</v>
      </c>
      <c r="B5784" t="s">
        <v>462</v>
      </c>
      <c r="C5784">
        <v>1</v>
      </c>
      <c r="D5784" s="1">
        <v>44087.315335648149</v>
      </c>
      <c r="E5784" t="s">
        <v>18042</v>
      </c>
      <c r="F5784" t="s">
        <v>464</v>
      </c>
      <c r="G5784" t="s">
        <v>17727</v>
      </c>
      <c r="H5784" t="s">
        <v>466</v>
      </c>
      <c r="I5784" t="s">
        <v>29</v>
      </c>
      <c r="J5784">
        <v>1</v>
      </c>
      <c r="K5784">
        <f t="shared" si="45"/>
        <v>-1686</v>
      </c>
      <c r="L5784" t="s">
        <v>18043</v>
      </c>
      <c r="M5784" t="s">
        <v>18044</v>
      </c>
      <c r="N5784" t="s">
        <v>3454</v>
      </c>
      <c r="O5784" t="s">
        <v>28</v>
      </c>
      <c r="P5784" t="s">
        <v>29</v>
      </c>
      <c r="Q5784">
        <v>40</v>
      </c>
      <c r="R5784">
        <v>-99.999999000000003</v>
      </c>
    </row>
    <row r="5785" spans="1:18" x14ac:dyDescent="0.2">
      <c r="A5785" t="s">
        <v>18</v>
      </c>
      <c r="B5785" t="s">
        <v>462</v>
      </c>
      <c r="C5785">
        <v>1</v>
      </c>
      <c r="D5785" s="1">
        <v>44087.31523148148</v>
      </c>
      <c r="E5785" t="s">
        <v>18045</v>
      </c>
      <c r="F5785" t="s">
        <v>464</v>
      </c>
      <c r="G5785" t="s">
        <v>17727</v>
      </c>
      <c r="H5785" t="s">
        <v>466</v>
      </c>
      <c r="I5785" t="s">
        <v>29</v>
      </c>
      <c r="J5785">
        <v>1</v>
      </c>
      <c r="K5785">
        <f t="shared" si="45"/>
        <v>-1686</v>
      </c>
      <c r="L5785" t="s">
        <v>18046</v>
      </c>
      <c r="M5785" t="s">
        <v>18047</v>
      </c>
      <c r="N5785" t="s">
        <v>674</v>
      </c>
      <c r="O5785" t="s">
        <v>28</v>
      </c>
      <c r="P5785" t="s">
        <v>29</v>
      </c>
      <c r="Q5785">
        <v>40</v>
      </c>
      <c r="R5785">
        <v>-99.999999000000003</v>
      </c>
    </row>
    <row r="5786" spans="1:18" x14ac:dyDescent="0.2">
      <c r="A5786" t="s">
        <v>18</v>
      </c>
      <c r="B5786" t="s">
        <v>462</v>
      </c>
      <c r="C5786">
        <v>1</v>
      </c>
      <c r="D5786" s="1">
        <v>44087.31521990741</v>
      </c>
      <c r="E5786" t="s">
        <v>18048</v>
      </c>
      <c r="F5786" t="s">
        <v>464</v>
      </c>
      <c r="G5786" t="s">
        <v>17727</v>
      </c>
      <c r="H5786" t="s">
        <v>466</v>
      </c>
      <c r="I5786" t="s">
        <v>29</v>
      </c>
      <c r="J5786">
        <v>1</v>
      </c>
      <c r="K5786">
        <f t="shared" si="45"/>
        <v>-1686</v>
      </c>
      <c r="L5786" t="s">
        <v>18049</v>
      </c>
      <c r="M5786" t="s">
        <v>18050</v>
      </c>
      <c r="N5786" t="s">
        <v>447</v>
      </c>
      <c r="O5786" t="s">
        <v>28</v>
      </c>
      <c r="P5786" t="s">
        <v>29</v>
      </c>
      <c r="Q5786">
        <v>40</v>
      </c>
      <c r="R5786">
        <v>-99.999999000000003</v>
      </c>
    </row>
    <row r="5787" spans="1:18" x14ac:dyDescent="0.2">
      <c r="A5787" t="s">
        <v>18</v>
      </c>
      <c r="B5787" t="s">
        <v>462</v>
      </c>
      <c r="C5787">
        <v>1</v>
      </c>
      <c r="D5787" s="1">
        <v>44087.315115740741</v>
      </c>
      <c r="E5787" t="s">
        <v>18051</v>
      </c>
      <c r="F5787" t="s">
        <v>464</v>
      </c>
      <c r="G5787" t="s">
        <v>17727</v>
      </c>
      <c r="H5787" t="s">
        <v>466</v>
      </c>
      <c r="I5787" t="s">
        <v>29</v>
      </c>
      <c r="J5787">
        <v>1</v>
      </c>
      <c r="K5787">
        <f t="shared" si="45"/>
        <v>-1686</v>
      </c>
      <c r="L5787" t="s">
        <v>18052</v>
      </c>
      <c r="M5787" t="s">
        <v>18053</v>
      </c>
      <c r="N5787" t="s">
        <v>213</v>
      </c>
      <c r="O5787" t="s">
        <v>28</v>
      </c>
      <c r="P5787" t="s">
        <v>29</v>
      </c>
      <c r="Q5787">
        <v>40</v>
      </c>
      <c r="R5787">
        <v>-99.999999000000003</v>
      </c>
    </row>
    <row r="5788" spans="1:18" x14ac:dyDescent="0.2">
      <c r="A5788" t="s">
        <v>18</v>
      </c>
      <c r="B5788" t="s">
        <v>462</v>
      </c>
      <c r="C5788">
        <v>1</v>
      </c>
      <c r="D5788" s="1">
        <v>44086.94295138889</v>
      </c>
      <c r="E5788" t="s">
        <v>18054</v>
      </c>
      <c r="F5788" t="s">
        <v>464</v>
      </c>
      <c r="G5788" t="s">
        <v>17727</v>
      </c>
      <c r="H5788" t="s">
        <v>466</v>
      </c>
      <c r="I5788" t="s">
        <v>29</v>
      </c>
      <c r="J5788">
        <v>1</v>
      </c>
      <c r="K5788">
        <f t="shared" si="45"/>
        <v>-1686</v>
      </c>
      <c r="L5788" t="s">
        <v>18055</v>
      </c>
      <c r="M5788" t="s">
        <v>18056</v>
      </c>
      <c r="N5788" t="s">
        <v>674</v>
      </c>
      <c r="O5788" t="s">
        <v>28</v>
      </c>
      <c r="P5788" t="s">
        <v>29</v>
      </c>
      <c r="Q5788">
        <v>40</v>
      </c>
      <c r="R5788">
        <v>-99.999999000000003</v>
      </c>
    </row>
    <row r="5789" spans="1:18" x14ac:dyDescent="0.2">
      <c r="A5789" t="s">
        <v>18</v>
      </c>
      <c r="B5789" t="s">
        <v>462</v>
      </c>
      <c r="C5789">
        <v>1</v>
      </c>
      <c r="D5789" s="1">
        <v>44086.942777777775</v>
      </c>
      <c r="E5789" t="s">
        <v>18057</v>
      </c>
      <c r="F5789" t="s">
        <v>464</v>
      </c>
      <c r="G5789" t="s">
        <v>17727</v>
      </c>
      <c r="H5789" t="s">
        <v>466</v>
      </c>
      <c r="I5789" t="s">
        <v>29</v>
      </c>
      <c r="J5789">
        <v>1</v>
      </c>
      <c r="K5789">
        <f t="shared" si="45"/>
        <v>-1686</v>
      </c>
      <c r="L5789" t="s">
        <v>18058</v>
      </c>
      <c r="M5789" t="s">
        <v>18059</v>
      </c>
      <c r="N5789" t="s">
        <v>3441</v>
      </c>
      <c r="O5789" t="s">
        <v>28</v>
      </c>
      <c r="P5789" t="s">
        <v>29</v>
      </c>
      <c r="Q5789">
        <v>40</v>
      </c>
      <c r="R5789">
        <v>-99.999999000000003</v>
      </c>
    </row>
    <row r="5790" spans="1:18" x14ac:dyDescent="0.2">
      <c r="A5790" t="s">
        <v>18</v>
      </c>
      <c r="B5790" t="s">
        <v>462</v>
      </c>
      <c r="C5790">
        <v>1</v>
      </c>
      <c r="D5790" s="1">
        <v>44086.942650462966</v>
      </c>
      <c r="E5790" t="s">
        <v>18060</v>
      </c>
      <c r="F5790" t="s">
        <v>464</v>
      </c>
      <c r="G5790" t="s">
        <v>17727</v>
      </c>
      <c r="H5790" t="s">
        <v>466</v>
      </c>
      <c r="I5790" t="s">
        <v>29</v>
      </c>
      <c r="J5790">
        <v>1</v>
      </c>
      <c r="K5790">
        <f t="shared" si="45"/>
        <v>-1686</v>
      </c>
      <c r="L5790" t="s">
        <v>18061</v>
      </c>
      <c r="M5790" t="s">
        <v>18062</v>
      </c>
      <c r="N5790" t="s">
        <v>447</v>
      </c>
      <c r="O5790" t="s">
        <v>28</v>
      </c>
      <c r="P5790" t="s">
        <v>29</v>
      </c>
      <c r="Q5790">
        <v>40</v>
      </c>
      <c r="R5790">
        <v>-99.999999000000003</v>
      </c>
    </row>
    <row r="5791" spans="1:18" x14ac:dyDescent="0.2">
      <c r="A5791" t="s">
        <v>18</v>
      </c>
      <c r="B5791" t="s">
        <v>462</v>
      </c>
      <c r="C5791">
        <v>1</v>
      </c>
      <c r="D5791" s="1">
        <v>44086.942013888889</v>
      </c>
      <c r="E5791" t="s">
        <v>18063</v>
      </c>
      <c r="F5791" t="s">
        <v>464</v>
      </c>
      <c r="G5791" t="s">
        <v>17727</v>
      </c>
      <c r="H5791" t="s">
        <v>466</v>
      </c>
      <c r="I5791" t="s">
        <v>29</v>
      </c>
      <c r="J5791">
        <v>1</v>
      </c>
      <c r="K5791">
        <f t="shared" si="45"/>
        <v>-1686</v>
      </c>
      <c r="L5791" t="s">
        <v>18064</v>
      </c>
      <c r="M5791" t="s">
        <v>18065</v>
      </c>
      <c r="N5791" t="s">
        <v>213</v>
      </c>
      <c r="O5791" t="s">
        <v>28</v>
      </c>
      <c r="P5791" t="s">
        <v>29</v>
      </c>
      <c r="Q5791">
        <v>40</v>
      </c>
      <c r="R5791">
        <v>-99.999999000000003</v>
      </c>
    </row>
    <row r="5792" spans="1:18" x14ac:dyDescent="0.2">
      <c r="A5792" t="s">
        <v>18</v>
      </c>
      <c r="B5792" t="s">
        <v>462</v>
      </c>
      <c r="C5792">
        <v>1</v>
      </c>
      <c r="D5792" s="1">
        <v>44087.316342592596</v>
      </c>
      <c r="E5792" t="s">
        <v>18066</v>
      </c>
      <c r="F5792" t="s">
        <v>464</v>
      </c>
      <c r="G5792" t="s">
        <v>17727</v>
      </c>
      <c r="H5792" t="s">
        <v>466</v>
      </c>
      <c r="I5792" t="s">
        <v>29</v>
      </c>
      <c r="J5792">
        <v>1</v>
      </c>
      <c r="K5792">
        <f t="shared" si="45"/>
        <v>-1686</v>
      </c>
      <c r="L5792" t="s">
        <v>18067</v>
      </c>
      <c r="M5792" t="s">
        <v>18068</v>
      </c>
      <c r="N5792" t="s">
        <v>213</v>
      </c>
      <c r="O5792" t="s">
        <v>28</v>
      </c>
      <c r="P5792" t="s">
        <v>29</v>
      </c>
      <c r="Q5792">
        <v>40</v>
      </c>
      <c r="R5792">
        <v>-99.999999000000003</v>
      </c>
    </row>
    <row r="5793" spans="1:18" x14ac:dyDescent="0.2">
      <c r="A5793" t="s">
        <v>18</v>
      </c>
      <c r="B5793" t="s">
        <v>462</v>
      </c>
      <c r="C5793">
        <v>1</v>
      </c>
      <c r="D5793" s="1">
        <v>44087.316284722219</v>
      </c>
      <c r="E5793" t="s">
        <v>18069</v>
      </c>
      <c r="F5793" t="s">
        <v>464</v>
      </c>
      <c r="G5793" t="s">
        <v>17727</v>
      </c>
      <c r="H5793" t="s">
        <v>466</v>
      </c>
      <c r="I5793" t="s">
        <v>29</v>
      </c>
      <c r="J5793">
        <v>1</v>
      </c>
      <c r="K5793">
        <f t="shared" si="45"/>
        <v>-1686</v>
      </c>
      <c r="L5793" t="s">
        <v>18070</v>
      </c>
      <c r="M5793" t="s">
        <v>18071</v>
      </c>
      <c r="N5793" t="s">
        <v>447</v>
      </c>
      <c r="O5793" t="s">
        <v>28</v>
      </c>
      <c r="P5793" t="s">
        <v>29</v>
      </c>
      <c r="Q5793">
        <v>40</v>
      </c>
      <c r="R5793">
        <v>-99.999999000000003</v>
      </c>
    </row>
    <row r="5794" spans="1:18" x14ac:dyDescent="0.2">
      <c r="A5794" t="s">
        <v>18</v>
      </c>
      <c r="B5794" t="s">
        <v>462</v>
      </c>
      <c r="C5794">
        <v>1</v>
      </c>
      <c r="D5794" s="1">
        <v>44087.316238425927</v>
      </c>
      <c r="E5794" t="s">
        <v>18072</v>
      </c>
      <c r="F5794" t="s">
        <v>464</v>
      </c>
      <c r="G5794" t="s">
        <v>17727</v>
      </c>
      <c r="H5794" t="s">
        <v>466</v>
      </c>
      <c r="I5794" t="s">
        <v>29</v>
      </c>
      <c r="J5794">
        <v>1</v>
      </c>
      <c r="K5794">
        <f t="shared" si="45"/>
        <v>-1686</v>
      </c>
      <c r="L5794" t="s">
        <v>18073</v>
      </c>
      <c r="M5794" t="s">
        <v>18074</v>
      </c>
      <c r="N5794" t="s">
        <v>3454</v>
      </c>
      <c r="O5794" t="s">
        <v>28</v>
      </c>
      <c r="P5794" t="s">
        <v>29</v>
      </c>
      <c r="Q5794">
        <v>40</v>
      </c>
      <c r="R5794">
        <v>-99.999999000000003</v>
      </c>
    </row>
    <row r="5795" spans="1:18" x14ac:dyDescent="0.2">
      <c r="A5795" t="s">
        <v>18</v>
      </c>
      <c r="B5795" t="s">
        <v>462</v>
      </c>
      <c r="C5795">
        <v>1</v>
      </c>
      <c r="D5795" s="1">
        <v>44083.916481481479</v>
      </c>
      <c r="E5795" t="s">
        <v>18075</v>
      </c>
      <c r="F5795" t="s">
        <v>464</v>
      </c>
      <c r="G5795" t="s">
        <v>17727</v>
      </c>
      <c r="H5795" t="s">
        <v>466</v>
      </c>
      <c r="I5795" t="s">
        <v>29</v>
      </c>
      <c r="J5795">
        <v>1</v>
      </c>
      <c r="K5795">
        <f>1-888-604-440</f>
        <v>-1931</v>
      </c>
      <c r="L5795" t="s">
        <v>18076</v>
      </c>
      <c r="M5795" t="s">
        <v>18077</v>
      </c>
      <c r="N5795" t="s">
        <v>674</v>
      </c>
      <c r="O5795" t="s">
        <v>28</v>
      </c>
      <c r="P5795" t="s">
        <v>29</v>
      </c>
      <c r="Q5795">
        <v>40</v>
      </c>
      <c r="R5795">
        <v>-99.999999000000003</v>
      </c>
    </row>
    <row r="5796" spans="1:18" x14ac:dyDescent="0.2">
      <c r="A5796" t="s">
        <v>18</v>
      </c>
      <c r="B5796" t="s">
        <v>462</v>
      </c>
      <c r="C5796">
        <v>1</v>
      </c>
      <c r="D5796" s="1">
        <v>44083.859618055554</v>
      </c>
      <c r="E5796" t="s">
        <v>18078</v>
      </c>
      <c r="F5796" t="s">
        <v>464</v>
      </c>
      <c r="G5796" t="s">
        <v>17727</v>
      </c>
      <c r="H5796" t="s">
        <v>466</v>
      </c>
      <c r="I5796" t="s">
        <v>29</v>
      </c>
      <c r="J5796">
        <v>1</v>
      </c>
      <c r="K5796">
        <f>1-888-604-440</f>
        <v>-1931</v>
      </c>
      <c r="L5796" t="s">
        <v>18079</v>
      </c>
      <c r="M5796" t="s">
        <v>18080</v>
      </c>
      <c r="N5796" t="s">
        <v>3441</v>
      </c>
      <c r="O5796" t="s">
        <v>28</v>
      </c>
      <c r="P5796" t="s">
        <v>29</v>
      </c>
      <c r="Q5796">
        <v>40</v>
      </c>
      <c r="R5796">
        <v>-99.999999000000003</v>
      </c>
    </row>
    <row r="5797" spans="1:18" x14ac:dyDescent="0.2">
      <c r="A5797" t="s">
        <v>18</v>
      </c>
      <c r="B5797" t="s">
        <v>462</v>
      </c>
      <c r="C5797">
        <v>1</v>
      </c>
      <c r="D5797" s="1">
        <v>44083.833761574075</v>
      </c>
      <c r="E5797" t="s">
        <v>18081</v>
      </c>
      <c r="F5797" t="s">
        <v>464</v>
      </c>
      <c r="G5797" t="s">
        <v>17727</v>
      </c>
      <c r="H5797" t="s">
        <v>466</v>
      </c>
      <c r="I5797" t="s">
        <v>29</v>
      </c>
      <c r="J5797">
        <v>1</v>
      </c>
      <c r="K5797">
        <f>1-888-718-510</f>
        <v>-2115</v>
      </c>
      <c r="L5797" t="s">
        <v>18082</v>
      </c>
      <c r="M5797" t="s">
        <v>18083</v>
      </c>
      <c r="N5797" t="s">
        <v>3454</v>
      </c>
      <c r="O5797" t="s">
        <v>28</v>
      </c>
      <c r="P5797" t="s">
        <v>29</v>
      </c>
      <c r="Q5797">
        <v>40</v>
      </c>
      <c r="R5797">
        <v>-99.999999000000003</v>
      </c>
    </row>
    <row r="5798" spans="1:18" x14ac:dyDescent="0.2">
      <c r="A5798" t="s">
        <v>18</v>
      </c>
      <c r="B5798" t="s">
        <v>462</v>
      </c>
      <c r="C5798">
        <v>1</v>
      </c>
      <c r="D5798" s="1">
        <v>44083.774270833332</v>
      </c>
      <c r="E5798" t="s">
        <v>18084</v>
      </c>
      <c r="F5798" t="s">
        <v>464</v>
      </c>
      <c r="G5798" t="s">
        <v>17727</v>
      </c>
      <c r="H5798" t="s">
        <v>466</v>
      </c>
      <c r="I5798" t="s">
        <v>29</v>
      </c>
      <c r="J5798">
        <v>1</v>
      </c>
      <c r="K5798">
        <f>1-888-718-510</f>
        <v>-2115</v>
      </c>
      <c r="L5798" t="s">
        <v>18085</v>
      </c>
      <c r="M5798" t="s">
        <v>18086</v>
      </c>
      <c r="N5798" t="s">
        <v>3441</v>
      </c>
      <c r="O5798" t="s">
        <v>28</v>
      </c>
      <c r="P5798" t="s">
        <v>29</v>
      </c>
      <c r="Q5798">
        <v>40</v>
      </c>
      <c r="R5798">
        <v>-99.999999000000003</v>
      </c>
    </row>
    <row r="5799" spans="1:18" x14ac:dyDescent="0.2">
      <c r="A5799" t="s">
        <v>18</v>
      </c>
      <c r="B5799" t="s">
        <v>462</v>
      </c>
      <c r="C5799">
        <v>1</v>
      </c>
      <c r="D5799" s="1">
        <v>44083.753449074073</v>
      </c>
      <c r="E5799" t="s">
        <v>18087</v>
      </c>
      <c r="F5799" t="s">
        <v>464</v>
      </c>
      <c r="G5799" t="s">
        <v>17727</v>
      </c>
      <c r="H5799" t="s">
        <v>466</v>
      </c>
      <c r="I5799" t="s">
        <v>29</v>
      </c>
      <c r="J5799">
        <v>1</v>
      </c>
      <c r="K5799">
        <f>1-877-834-601</f>
        <v>-2311</v>
      </c>
      <c r="L5799" t="s">
        <v>18088</v>
      </c>
      <c r="M5799" t="s">
        <v>18089</v>
      </c>
      <c r="N5799" t="s">
        <v>674</v>
      </c>
      <c r="O5799" t="s">
        <v>28</v>
      </c>
      <c r="P5799" t="s">
        <v>29</v>
      </c>
      <c r="Q5799">
        <v>40</v>
      </c>
      <c r="R5799">
        <v>-99.999999000000003</v>
      </c>
    </row>
    <row r="5800" spans="1:18" x14ac:dyDescent="0.2">
      <c r="A5800" t="s">
        <v>18</v>
      </c>
      <c r="B5800" t="s">
        <v>462</v>
      </c>
      <c r="C5800">
        <v>1</v>
      </c>
      <c r="D5800" s="1">
        <v>44083.745613425926</v>
      </c>
      <c r="E5800" t="s">
        <v>18090</v>
      </c>
      <c r="F5800" t="s">
        <v>464</v>
      </c>
      <c r="G5800" t="s">
        <v>17727</v>
      </c>
      <c r="H5800" t="s">
        <v>466</v>
      </c>
      <c r="I5800" t="s">
        <v>29</v>
      </c>
      <c r="J5800">
        <v>1</v>
      </c>
      <c r="K5800">
        <f>1-877-834-601</f>
        <v>-2311</v>
      </c>
      <c r="L5800" t="s">
        <v>18091</v>
      </c>
      <c r="M5800" t="s">
        <v>18092</v>
      </c>
      <c r="N5800" t="s">
        <v>213</v>
      </c>
      <c r="O5800" t="s">
        <v>28</v>
      </c>
      <c r="P5800" t="s">
        <v>29</v>
      </c>
      <c r="Q5800">
        <v>40</v>
      </c>
      <c r="R5800">
        <v>-99.999999000000003</v>
      </c>
    </row>
    <row r="5801" spans="1:18" x14ac:dyDescent="0.2">
      <c r="A5801" t="s">
        <v>18</v>
      </c>
      <c r="B5801" t="s">
        <v>462</v>
      </c>
      <c r="C5801">
        <v>1</v>
      </c>
      <c r="D5801" s="1">
        <v>44083.739386574074</v>
      </c>
      <c r="E5801" t="s">
        <v>18093</v>
      </c>
      <c r="F5801" t="s">
        <v>464</v>
      </c>
      <c r="G5801" t="s">
        <v>17727</v>
      </c>
      <c r="H5801" t="s">
        <v>466</v>
      </c>
      <c r="I5801" t="s">
        <v>29</v>
      </c>
      <c r="J5801">
        <v>1</v>
      </c>
      <c r="K5801">
        <f t="shared" ref="K5801:K5828" si="46">1-888-718-510</f>
        <v>-2115</v>
      </c>
      <c r="L5801" t="s">
        <v>18094</v>
      </c>
      <c r="M5801" t="s">
        <v>18095</v>
      </c>
      <c r="N5801" t="s">
        <v>3454</v>
      </c>
      <c r="O5801" t="s">
        <v>28</v>
      </c>
      <c r="P5801" t="s">
        <v>29</v>
      </c>
      <c r="Q5801">
        <v>40</v>
      </c>
      <c r="R5801">
        <v>-99.999999000000003</v>
      </c>
    </row>
    <row r="5802" spans="1:18" x14ac:dyDescent="0.2">
      <c r="A5802" t="s">
        <v>18</v>
      </c>
      <c r="B5802" t="s">
        <v>462</v>
      </c>
      <c r="C5802">
        <v>1</v>
      </c>
      <c r="D5802" s="1">
        <v>44083.739363425928</v>
      </c>
      <c r="E5802" t="s">
        <v>18096</v>
      </c>
      <c r="F5802" t="s">
        <v>464</v>
      </c>
      <c r="G5802" t="s">
        <v>17727</v>
      </c>
      <c r="H5802" t="s">
        <v>466</v>
      </c>
      <c r="I5802" t="s">
        <v>29</v>
      </c>
      <c r="J5802">
        <v>1</v>
      </c>
      <c r="K5802">
        <f t="shared" si="46"/>
        <v>-2115</v>
      </c>
      <c r="L5802" t="s">
        <v>18097</v>
      </c>
      <c r="M5802" t="s">
        <v>18098</v>
      </c>
      <c r="N5802" t="s">
        <v>3441</v>
      </c>
      <c r="O5802" t="s">
        <v>28</v>
      </c>
      <c r="P5802" t="s">
        <v>29</v>
      </c>
      <c r="Q5802">
        <v>40</v>
      </c>
      <c r="R5802">
        <v>-99.999999000000003</v>
      </c>
    </row>
    <row r="5803" spans="1:18" x14ac:dyDescent="0.2">
      <c r="A5803" t="s">
        <v>18</v>
      </c>
      <c r="B5803" t="s">
        <v>462</v>
      </c>
      <c r="C5803">
        <v>1</v>
      </c>
      <c r="D5803" s="1">
        <v>44083.739293981482</v>
      </c>
      <c r="E5803" t="s">
        <v>18099</v>
      </c>
      <c r="F5803" t="s">
        <v>464</v>
      </c>
      <c r="G5803" t="s">
        <v>17727</v>
      </c>
      <c r="H5803" t="s">
        <v>466</v>
      </c>
      <c r="I5803" t="s">
        <v>29</v>
      </c>
      <c r="J5803">
        <v>1</v>
      </c>
      <c r="K5803">
        <f t="shared" si="46"/>
        <v>-2115</v>
      </c>
      <c r="L5803" t="s">
        <v>18100</v>
      </c>
      <c r="M5803" t="s">
        <v>18101</v>
      </c>
      <c r="N5803" t="s">
        <v>447</v>
      </c>
      <c r="O5803" t="s">
        <v>28</v>
      </c>
      <c r="P5803" t="s">
        <v>29</v>
      </c>
      <c r="Q5803">
        <v>40</v>
      </c>
      <c r="R5803">
        <v>-99.999999000000003</v>
      </c>
    </row>
    <row r="5804" spans="1:18" x14ac:dyDescent="0.2">
      <c r="A5804" t="s">
        <v>18</v>
      </c>
      <c r="B5804" t="s">
        <v>462</v>
      </c>
      <c r="C5804">
        <v>1</v>
      </c>
      <c r="D5804" s="1">
        <v>44083.739282407405</v>
      </c>
      <c r="E5804" t="s">
        <v>18102</v>
      </c>
      <c r="F5804" t="s">
        <v>464</v>
      </c>
      <c r="G5804" t="s">
        <v>17727</v>
      </c>
      <c r="H5804" t="s">
        <v>466</v>
      </c>
      <c r="I5804" t="s">
        <v>29</v>
      </c>
      <c r="J5804">
        <v>1</v>
      </c>
      <c r="K5804">
        <f t="shared" si="46"/>
        <v>-2115</v>
      </c>
      <c r="L5804" t="s">
        <v>18103</v>
      </c>
      <c r="M5804" t="s">
        <v>18104</v>
      </c>
      <c r="N5804" t="s">
        <v>213</v>
      </c>
      <c r="O5804" t="s">
        <v>28</v>
      </c>
      <c r="P5804" t="s">
        <v>29</v>
      </c>
      <c r="Q5804">
        <v>40</v>
      </c>
      <c r="R5804">
        <v>-99.999999000000003</v>
      </c>
    </row>
    <row r="5805" spans="1:18" x14ac:dyDescent="0.2">
      <c r="A5805" t="s">
        <v>18</v>
      </c>
      <c r="B5805" t="s">
        <v>462</v>
      </c>
      <c r="C5805">
        <v>1</v>
      </c>
      <c r="D5805" s="1">
        <v>44083.739270833335</v>
      </c>
      <c r="E5805" t="s">
        <v>18105</v>
      </c>
      <c r="F5805" t="s">
        <v>464</v>
      </c>
      <c r="G5805" t="s">
        <v>17727</v>
      </c>
      <c r="H5805" t="s">
        <v>466</v>
      </c>
      <c r="I5805" t="s">
        <v>29</v>
      </c>
      <c r="J5805">
        <v>1</v>
      </c>
      <c r="K5805">
        <f t="shared" si="46"/>
        <v>-2115</v>
      </c>
      <c r="L5805" t="s">
        <v>18106</v>
      </c>
      <c r="M5805" t="s">
        <v>18107</v>
      </c>
      <c r="N5805" t="s">
        <v>674</v>
      </c>
      <c r="O5805" t="s">
        <v>28</v>
      </c>
      <c r="P5805" t="s">
        <v>29</v>
      </c>
      <c r="Q5805">
        <v>40</v>
      </c>
      <c r="R5805">
        <v>-99.999999000000003</v>
      </c>
    </row>
    <row r="5806" spans="1:18" x14ac:dyDescent="0.2">
      <c r="A5806" t="s">
        <v>18</v>
      </c>
      <c r="B5806" t="s">
        <v>462</v>
      </c>
      <c r="C5806">
        <v>1</v>
      </c>
      <c r="D5806" s="1">
        <v>44083.738888888889</v>
      </c>
      <c r="E5806" t="s">
        <v>18108</v>
      </c>
      <c r="F5806" t="s">
        <v>464</v>
      </c>
      <c r="G5806" t="s">
        <v>17727</v>
      </c>
      <c r="H5806" t="s">
        <v>466</v>
      </c>
      <c r="I5806" t="s">
        <v>29</v>
      </c>
      <c r="J5806">
        <v>1</v>
      </c>
      <c r="K5806">
        <f t="shared" si="46"/>
        <v>-2115</v>
      </c>
      <c r="L5806" t="s">
        <v>18109</v>
      </c>
      <c r="M5806" t="s">
        <v>18110</v>
      </c>
      <c r="N5806" t="s">
        <v>3454</v>
      </c>
      <c r="O5806" t="s">
        <v>28</v>
      </c>
      <c r="P5806" t="s">
        <v>29</v>
      </c>
      <c r="Q5806">
        <v>40</v>
      </c>
      <c r="R5806">
        <v>-99.999999000000003</v>
      </c>
    </row>
    <row r="5807" spans="1:18" x14ac:dyDescent="0.2">
      <c r="A5807" t="s">
        <v>18</v>
      </c>
      <c r="B5807" t="s">
        <v>462</v>
      </c>
      <c r="C5807">
        <v>1</v>
      </c>
      <c r="D5807" s="1">
        <v>44083.738877314812</v>
      </c>
      <c r="E5807" t="s">
        <v>18111</v>
      </c>
      <c r="F5807" t="s">
        <v>464</v>
      </c>
      <c r="G5807" t="s">
        <v>17727</v>
      </c>
      <c r="H5807" t="s">
        <v>466</v>
      </c>
      <c r="I5807" t="s">
        <v>29</v>
      </c>
      <c r="J5807">
        <v>1</v>
      </c>
      <c r="K5807">
        <f t="shared" si="46"/>
        <v>-2115</v>
      </c>
      <c r="L5807" t="s">
        <v>18112</v>
      </c>
      <c r="M5807" t="s">
        <v>18113</v>
      </c>
      <c r="N5807" t="s">
        <v>213</v>
      </c>
      <c r="O5807" t="s">
        <v>28</v>
      </c>
      <c r="P5807" t="s">
        <v>29</v>
      </c>
      <c r="Q5807">
        <v>40</v>
      </c>
      <c r="R5807">
        <v>-99.999999000000003</v>
      </c>
    </row>
    <row r="5808" spans="1:18" x14ac:dyDescent="0.2">
      <c r="A5808" t="s">
        <v>18</v>
      </c>
      <c r="B5808" t="s">
        <v>462</v>
      </c>
      <c r="C5808">
        <v>1</v>
      </c>
      <c r="D5808" s="1">
        <v>44083.738842592589</v>
      </c>
      <c r="E5808" t="s">
        <v>18114</v>
      </c>
      <c r="F5808" t="s">
        <v>464</v>
      </c>
      <c r="G5808" t="s">
        <v>17727</v>
      </c>
      <c r="H5808" t="s">
        <v>466</v>
      </c>
      <c r="I5808" t="s">
        <v>29</v>
      </c>
      <c r="J5808">
        <v>1</v>
      </c>
      <c r="K5808">
        <f t="shared" si="46"/>
        <v>-2115</v>
      </c>
      <c r="L5808" t="s">
        <v>18115</v>
      </c>
      <c r="M5808" t="s">
        <v>18116</v>
      </c>
      <c r="N5808" t="s">
        <v>3441</v>
      </c>
      <c r="O5808" t="s">
        <v>28</v>
      </c>
      <c r="P5808" t="s">
        <v>29</v>
      </c>
      <c r="Q5808">
        <v>40</v>
      </c>
      <c r="R5808">
        <v>-99.999999000000003</v>
      </c>
    </row>
    <row r="5809" spans="1:18" x14ac:dyDescent="0.2">
      <c r="A5809" t="s">
        <v>18</v>
      </c>
      <c r="B5809" t="s">
        <v>462</v>
      </c>
      <c r="C5809">
        <v>1</v>
      </c>
      <c r="D5809" s="1">
        <v>44083.73883101852</v>
      </c>
      <c r="E5809" t="s">
        <v>18117</v>
      </c>
      <c r="F5809" t="s">
        <v>464</v>
      </c>
      <c r="G5809" t="s">
        <v>17727</v>
      </c>
      <c r="H5809" t="s">
        <v>466</v>
      </c>
      <c r="I5809" t="s">
        <v>29</v>
      </c>
      <c r="J5809">
        <v>1</v>
      </c>
      <c r="K5809">
        <f t="shared" si="46"/>
        <v>-2115</v>
      </c>
      <c r="L5809" t="s">
        <v>18118</v>
      </c>
      <c r="M5809" t="s">
        <v>18119</v>
      </c>
      <c r="N5809" t="s">
        <v>447</v>
      </c>
      <c r="O5809" t="s">
        <v>28</v>
      </c>
      <c r="P5809" t="s">
        <v>29</v>
      </c>
      <c r="Q5809">
        <v>40</v>
      </c>
      <c r="R5809">
        <v>-99.999999000000003</v>
      </c>
    </row>
    <row r="5810" spans="1:18" x14ac:dyDescent="0.2">
      <c r="A5810" t="s">
        <v>18</v>
      </c>
      <c r="B5810" t="s">
        <v>462</v>
      </c>
      <c r="C5810">
        <v>1</v>
      </c>
      <c r="D5810" s="1">
        <v>44083.738819444443</v>
      </c>
      <c r="E5810" t="s">
        <v>18120</v>
      </c>
      <c r="F5810" t="s">
        <v>464</v>
      </c>
      <c r="G5810" t="s">
        <v>17727</v>
      </c>
      <c r="H5810" t="s">
        <v>466</v>
      </c>
      <c r="I5810" t="s">
        <v>29</v>
      </c>
      <c r="J5810">
        <v>1</v>
      </c>
      <c r="K5810">
        <f t="shared" si="46"/>
        <v>-2115</v>
      </c>
      <c r="L5810" t="s">
        <v>18121</v>
      </c>
      <c r="M5810" t="s">
        <v>18122</v>
      </c>
      <c r="N5810" t="s">
        <v>674</v>
      </c>
      <c r="O5810" t="s">
        <v>28</v>
      </c>
      <c r="P5810" t="s">
        <v>29</v>
      </c>
      <c r="Q5810">
        <v>40</v>
      </c>
      <c r="R5810">
        <v>-99.999999000000003</v>
      </c>
    </row>
    <row r="5811" spans="1:18" x14ac:dyDescent="0.2">
      <c r="A5811" t="s">
        <v>18</v>
      </c>
      <c r="B5811" t="s">
        <v>462</v>
      </c>
      <c r="C5811">
        <v>1</v>
      </c>
      <c r="D5811" s="1">
        <v>44083.73877314815</v>
      </c>
      <c r="E5811" t="s">
        <v>18123</v>
      </c>
      <c r="F5811" t="s">
        <v>464</v>
      </c>
      <c r="G5811" t="s">
        <v>17727</v>
      </c>
      <c r="H5811" t="s">
        <v>466</v>
      </c>
      <c r="I5811" t="s">
        <v>29</v>
      </c>
      <c r="J5811">
        <v>1</v>
      </c>
      <c r="K5811">
        <f t="shared" si="46"/>
        <v>-2115</v>
      </c>
      <c r="L5811" t="s">
        <v>18124</v>
      </c>
      <c r="M5811" t="s">
        <v>18125</v>
      </c>
      <c r="N5811" t="s">
        <v>3454</v>
      </c>
      <c r="O5811" t="s">
        <v>28</v>
      </c>
      <c r="P5811" t="s">
        <v>29</v>
      </c>
      <c r="Q5811">
        <v>40</v>
      </c>
      <c r="R5811">
        <v>-99.999999000000003</v>
      </c>
    </row>
    <row r="5812" spans="1:18" x14ac:dyDescent="0.2">
      <c r="A5812" t="s">
        <v>18</v>
      </c>
      <c r="B5812" t="s">
        <v>462</v>
      </c>
      <c r="C5812">
        <v>1</v>
      </c>
      <c r="D5812" s="1">
        <v>44083.738761574074</v>
      </c>
      <c r="E5812" t="s">
        <v>18126</v>
      </c>
      <c r="F5812" t="s">
        <v>464</v>
      </c>
      <c r="G5812" t="s">
        <v>17727</v>
      </c>
      <c r="H5812" t="s">
        <v>466</v>
      </c>
      <c r="I5812" t="s">
        <v>29</v>
      </c>
      <c r="J5812">
        <v>1</v>
      </c>
      <c r="K5812">
        <f t="shared" si="46"/>
        <v>-2115</v>
      </c>
      <c r="L5812" t="s">
        <v>18127</v>
      </c>
      <c r="M5812" t="s">
        <v>18128</v>
      </c>
      <c r="N5812" t="s">
        <v>3441</v>
      </c>
      <c r="O5812" t="s">
        <v>28</v>
      </c>
      <c r="P5812" t="s">
        <v>29</v>
      </c>
      <c r="Q5812">
        <v>40</v>
      </c>
      <c r="R5812">
        <v>-99.999999000000003</v>
      </c>
    </row>
    <row r="5813" spans="1:18" x14ac:dyDescent="0.2">
      <c r="A5813" t="s">
        <v>18</v>
      </c>
      <c r="B5813" t="s">
        <v>462</v>
      </c>
      <c r="C5813">
        <v>1</v>
      </c>
      <c r="D5813" s="1">
        <v>44083.738738425927</v>
      </c>
      <c r="E5813" t="s">
        <v>18129</v>
      </c>
      <c r="F5813" t="s">
        <v>464</v>
      </c>
      <c r="G5813" t="s">
        <v>17727</v>
      </c>
      <c r="H5813" t="s">
        <v>466</v>
      </c>
      <c r="I5813" t="s">
        <v>29</v>
      </c>
      <c r="J5813">
        <v>1</v>
      </c>
      <c r="K5813">
        <f t="shared" si="46"/>
        <v>-2115</v>
      </c>
      <c r="L5813" t="s">
        <v>18130</v>
      </c>
      <c r="M5813" t="s">
        <v>18131</v>
      </c>
      <c r="N5813" t="s">
        <v>447</v>
      </c>
      <c r="O5813" t="s">
        <v>28</v>
      </c>
      <c r="P5813" t="s">
        <v>29</v>
      </c>
      <c r="Q5813">
        <v>40</v>
      </c>
      <c r="R5813">
        <v>-99.999999000000003</v>
      </c>
    </row>
    <row r="5814" spans="1:18" x14ac:dyDescent="0.2">
      <c r="A5814" t="s">
        <v>18</v>
      </c>
      <c r="B5814" t="s">
        <v>462</v>
      </c>
      <c r="C5814">
        <v>1</v>
      </c>
      <c r="D5814" s="1">
        <v>44083.738703703704</v>
      </c>
      <c r="E5814" t="s">
        <v>18132</v>
      </c>
      <c r="F5814" t="s">
        <v>464</v>
      </c>
      <c r="G5814" t="s">
        <v>17727</v>
      </c>
      <c r="H5814" t="s">
        <v>466</v>
      </c>
      <c r="I5814" t="s">
        <v>29</v>
      </c>
      <c r="J5814">
        <v>1</v>
      </c>
      <c r="K5814">
        <f t="shared" si="46"/>
        <v>-2115</v>
      </c>
      <c r="L5814" t="s">
        <v>18133</v>
      </c>
      <c r="M5814" t="s">
        <v>18134</v>
      </c>
      <c r="N5814" t="s">
        <v>674</v>
      </c>
      <c r="O5814" t="s">
        <v>28</v>
      </c>
      <c r="P5814" t="s">
        <v>29</v>
      </c>
      <c r="Q5814">
        <v>40</v>
      </c>
      <c r="R5814">
        <v>-99.999999000000003</v>
      </c>
    </row>
    <row r="5815" spans="1:18" x14ac:dyDescent="0.2">
      <c r="A5815" t="s">
        <v>18</v>
      </c>
      <c r="B5815" t="s">
        <v>462</v>
      </c>
      <c r="C5815">
        <v>1</v>
      </c>
      <c r="D5815" s="1">
        <v>44083.738055555557</v>
      </c>
      <c r="E5815" t="s">
        <v>18135</v>
      </c>
      <c r="F5815" t="s">
        <v>464</v>
      </c>
      <c r="G5815" t="s">
        <v>17727</v>
      </c>
      <c r="H5815" t="s">
        <v>466</v>
      </c>
      <c r="I5815" t="s">
        <v>29</v>
      </c>
      <c r="J5815">
        <v>1</v>
      </c>
      <c r="K5815">
        <f t="shared" si="46"/>
        <v>-2115</v>
      </c>
      <c r="L5815" t="s">
        <v>18136</v>
      </c>
      <c r="M5815" t="s">
        <v>18137</v>
      </c>
      <c r="N5815" t="s">
        <v>674</v>
      </c>
      <c r="O5815" t="s">
        <v>28</v>
      </c>
      <c r="P5815" t="s">
        <v>29</v>
      </c>
      <c r="Q5815">
        <v>40</v>
      </c>
      <c r="R5815">
        <v>-99.999999000000003</v>
      </c>
    </row>
    <row r="5816" spans="1:18" x14ac:dyDescent="0.2">
      <c r="A5816" t="s">
        <v>18</v>
      </c>
      <c r="B5816" t="s">
        <v>462</v>
      </c>
      <c r="C5816">
        <v>1</v>
      </c>
      <c r="D5816" s="1">
        <v>44083.738043981481</v>
      </c>
      <c r="E5816" t="s">
        <v>18138</v>
      </c>
      <c r="F5816" t="s">
        <v>464</v>
      </c>
      <c r="G5816" t="s">
        <v>17727</v>
      </c>
      <c r="H5816" t="s">
        <v>466</v>
      </c>
      <c r="I5816" t="s">
        <v>29</v>
      </c>
      <c r="J5816">
        <v>1</v>
      </c>
      <c r="K5816">
        <f t="shared" si="46"/>
        <v>-2115</v>
      </c>
      <c r="L5816" t="s">
        <v>18139</v>
      </c>
      <c r="M5816" t="s">
        <v>18140</v>
      </c>
      <c r="N5816" t="s">
        <v>3441</v>
      </c>
      <c r="O5816" t="s">
        <v>28</v>
      </c>
      <c r="P5816" t="s">
        <v>29</v>
      </c>
      <c r="Q5816">
        <v>40</v>
      </c>
      <c r="R5816">
        <v>-99.999999000000003</v>
      </c>
    </row>
    <row r="5817" spans="1:18" x14ac:dyDescent="0.2">
      <c r="A5817" t="s">
        <v>18</v>
      </c>
      <c r="B5817" t="s">
        <v>462</v>
      </c>
      <c r="C5817">
        <v>1</v>
      </c>
      <c r="D5817" s="1">
        <v>44083.738032407404</v>
      </c>
      <c r="E5817" t="s">
        <v>18141</v>
      </c>
      <c r="F5817" t="s">
        <v>464</v>
      </c>
      <c r="G5817" t="s">
        <v>17727</v>
      </c>
      <c r="H5817" t="s">
        <v>466</v>
      </c>
      <c r="I5817" t="s">
        <v>29</v>
      </c>
      <c r="J5817">
        <v>1</v>
      </c>
      <c r="K5817">
        <f t="shared" si="46"/>
        <v>-2115</v>
      </c>
      <c r="L5817" t="s">
        <v>18142</v>
      </c>
      <c r="M5817" t="s">
        <v>18143</v>
      </c>
      <c r="N5817" t="s">
        <v>447</v>
      </c>
      <c r="O5817" t="s">
        <v>28</v>
      </c>
      <c r="P5817" t="s">
        <v>29</v>
      </c>
      <c r="Q5817">
        <v>40</v>
      </c>
      <c r="R5817">
        <v>-99.999999000000003</v>
      </c>
    </row>
    <row r="5818" spans="1:18" x14ac:dyDescent="0.2">
      <c r="A5818" t="s">
        <v>18</v>
      </c>
      <c r="B5818" t="s">
        <v>462</v>
      </c>
      <c r="C5818">
        <v>1</v>
      </c>
      <c r="D5818" s="1">
        <v>44083.738020833334</v>
      </c>
      <c r="E5818" t="s">
        <v>18144</v>
      </c>
      <c r="F5818" t="s">
        <v>464</v>
      </c>
      <c r="G5818" t="s">
        <v>17727</v>
      </c>
      <c r="H5818" t="s">
        <v>466</v>
      </c>
      <c r="I5818" t="s">
        <v>29</v>
      </c>
      <c r="J5818">
        <v>1</v>
      </c>
      <c r="K5818">
        <f t="shared" si="46"/>
        <v>-2115</v>
      </c>
      <c r="L5818" t="s">
        <v>18145</v>
      </c>
      <c r="M5818" t="s">
        <v>18146</v>
      </c>
      <c r="N5818" t="s">
        <v>213</v>
      </c>
      <c r="O5818" t="s">
        <v>28</v>
      </c>
      <c r="P5818" t="s">
        <v>29</v>
      </c>
      <c r="Q5818">
        <v>40</v>
      </c>
      <c r="R5818">
        <v>-99.999999000000003</v>
      </c>
    </row>
    <row r="5819" spans="1:18" x14ac:dyDescent="0.2">
      <c r="A5819" t="s">
        <v>18</v>
      </c>
      <c r="B5819" t="s">
        <v>462</v>
      </c>
      <c r="C5819">
        <v>1</v>
      </c>
      <c r="D5819" s="1">
        <v>44083.737997685188</v>
      </c>
      <c r="E5819" t="s">
        <v>18147</v>
      </c>
      <c r="F5819" t="s">
        <v>464</v>
      </c>
      <c r="G5819" t="s">
        <v>17727</v>
      </c>
      <c r="H5819" t="s">
        <v>466</v>
      </c>
      <c r="I5819" t="s">
        <v>29</v>
      </c>
      <c r="J5819">
        <v>1</v>
      </c>
      <c r="K5819">
        <f t="shared" si="46"/>
        <v>-2115</v>
      </c>
      <c r="L5819" t="s">
        <v>18148</v>
      </c>
      <c r="M5819" t="s">
        <v>18149</v>
      </c>
      <c r="N5819" t="s">
        <v>3454</v>
      </c>
      <c r="O5819" t="s">
        <v>28</v>
      </c>
      <c r="P5819" t="s">
        <v>29</v>
      </c>
      <c r="Q5819">
        <v>40</v>
      </c>
      <c r="R5819">
        <v>-99.999999000000003</v>
      </c>
    </row>
    <row r="5820" spans="1:18" x14ac:dyDescent="0.2">
      <c r="A5820" t="s">
        <v>18</v>
      </c>
      <c r="B5820" t="s">
        <v>462</v>
      </c>
      <c r="C5820">
        <v>1</v>
      </c>
      <c r="D5820" s="1">
        <v>44083.737870370373</v>
      </c>
      <c r="E5820" t="s">
        <v>18150</v>
      </c>
      <c r="F5820" t="s">
        <v>464</v>
      </c>
      <c r="G5820" t="s">
        <v>17727</v>
      </c>
      <c r="H5820" t="s">
        <v>466</v>
      </c>
      <c r="I5820" t="s">
        <v>29</v>
      </c>
      <c r="J5820">
        <v>1</v>
      </c>
      <c r="K5820">
        <f t="shared" si="46"/>
        <v>-2115</v>
      </c>
      <c r="L5820" t="s">
        <v>18151</v>
      </c>
      <c r="M5820" t="s">
        <v>18152</v>
      </c>
      <c r="N5820" t="s">
        <v>3454</v>
      </c>
      <c r="O5820" t="s">
        <v>28</v>
      </c>
      <c r="P5820" t="s">
        <v>29</v>
      </c>
      <c r="Q5820">
        <v>40</v>
      </c>
      <c r="R5820">
        <v>-99.999999000000003</v>
      </c>
    </row>
    <row r="5821" spans="1:18" x14ac:dyDescent="0.2">
      <c r="A5821" t="s">
        <v>18</v>
      </c>
      <c r="B5821" t="s">
        <v>462</v>
      </c>
      <c r="C5821">
        <v>1</v>
      </c>
      <c r="D5821" s="1">
        <v>44083.737835648149</v>
      </c>
      <c r="E5821" t="s">
        <v>18153</v>
      </c>
      <c r="F5821" t="s">
        <v>464</v>
      </c>
      <c r="G5821" t="s">
        <v>17727</v>
      </c>
      <c r="H5821" t="s">
        <v>466</v>
      </c>
      <c r="I5821" t="s">
        <v>29</v>
      </c>
      <c r="J5821">
        <v>1</v>
      </c>
      <c r="K5821">
        <f t="shared" si="46"/>
        <v>-2115</v>
      </c>
      <c r="L5821" t="s">
        <v>18154</v>
      </c>
      <c r="M5821" t="s">
        <v>18155</v>
      </c>
      <c r="N5821" t="s">
        <v>674</v>
      </c>
      <c r="O5821" t="s">
        <v>28</v>
      </c>
      <c r="P5821" t="s">
        <v>29</v>
      </c>
      <c r="Q5821">
        <v>40</v>
      </c>
      <c r="R5821">
        <v>-99.999999000000003</v>
      </c>
    </row>
    <row r="5822" spans="1:18" x14ac:dyDescent="0.2">
      <c r="A5822" t="s">
        <v>18</v>
      </c>
      <c r="B5822" t="s">
        <v>462</v>
      </c>
      <c r="C5822">
        <v>1</v>
      </c>
      <c r="D5822" s="1">
        <v>44083.737812500003</v>
      </c>
      <c r="E5822" t="s">
        <v>18156</v>
      </c>
      <c r="F5822" t="s">
        <v>464</v>
      </c>
      <c r="G5822" t="s">
        <v>17727</v>
      </c>
      <c r="H5822" t="s">
        <v>466</v>
      </c>
      <c r="I5822" t="s">
        <v>29</v>
      </c>
      <c r="J5822">
        <v>1</v>
      </c>
      <c r="K5822">
        <f t="shared" si="46"/>
        <v>-2115</v>
      </c>
      <c r="L5822" t="s">
        <v>18157</v>
      </c>
      <c r="M5822" t="s">
        <v>18158</v>
      </c>
      <c r="N5822" t="s">
        <v>3441</v>
      </c>
      <c r="O5822" t="s">
        <v>28</v>
      </c>
      <c r="P5822" t="s">
        <v>29</v>
      </c>
      <c r="Q5822">
        <v>40</v>
      </c>
      <c r="R5822">
        <v>-99.999999000000003</v>
      </c>
    </row>
    <row r="5823" spans="1:18" x14ac:dyDescent="0.2">
      <c r="A5823" t="s">
        <v>18</v>
      </c>
      <c r="B5823" t="s">
        <v>462</v>
      </c>
      <c r="C5823">
        <v>1</v>
      </c>
      <c r="D5823" s="1">
        <v>44083.737800925926</v>
      </c>
      <c r="E5823" t="s">
        <v>18159</v>
      </c>
      <c r="F5823" t="s">
        <v>464</v>
      </c>
      <c r="G5823" t="s">
        <v>17727</v>
      </c>
      <c r="H5823" t="s">
        <v>466</v>
      </c>
      <c r="I5823" t="s">
        <v>29</v>
      </c>
      <c r="J5823">
        <v>1</v>
      </c>
      <c r="K5823">
        <f t="shared" si="46"/>
        <v>-2115</v>
      </c>
      <c r="L5823" t="s">
        <v>18160</v>
      </c>
      <c r="M5823" t="s">
        <v>18161</v>
      </c>
      <c r="N5823" t="s">
        <v>447</v>
      </c>
      <c r="O5823" t="s">
        <v>28</v>
      </c>
      <c r="P5823" t="s">
        <v>29</v>
      </c>
      <c r="Q5823">
        <v>40</v>
      </c>
      <c r="R5823">
        <v>-99.999999000000003</v>
      </c>
    </row>
    <row r="5824" spans="1:18" x14ac:dyDescent="0.2">
      <c r="A5824" t="s">
        <v>18</v>
      </c>
      <c r="B5824" t="s">
        <v>462</v>
      </c>
      <c r="C5824">
        <v>1</v>
      </c>
      <c r="D5824" s="1">
        <v>44083.73777777778</v>
      </c>
      <c r="E5824" t="s">
        <v>18162</v>
      </c>
      <c r="F5824" t="s">
        <v>464</v>
      </c>
      <c r="G5824" t="s">
        <v>17727</v>
      </c>
      <c r="H5824" t="s">
        <v>466</v>
      </c>
      <c r="I5824" t="s">
        <v>29</v>
      </c>
      <c r="J5824">
        <v>1</v>
      </c>
      <c r="K5824">
        <f t="shared" si="46"/>
        <v>-2115</v>
      </c>
      <c r="L5824" t="s">
        <v>18163</v>
      </c>
      <c r="M5824" t="s">
        <v>18164</v>
      </c>
      <c r="N5824" t="s">
        <v>213</v>
      </c>
      <c r="O5824" t="s">
        <v>28</v>
      </c>
      <c r="P5824" t="s">
        <v>29</v>
      </c>
      <c r="Q5824">
        <v>40</v>
      </c>
      <c r="R5824">
        <v>-99.999999000000003</v>
      </c>
    </row>
    <row r="5825" spans="1:18" x14ac:dyDescent="0.2">
      <c r="A5825" t="s">
        <v>18</v>
      </c>
      <c r="B5825" t="s">
        <v>462</v>
      </c>
      <c r="C5825">
        <v>1</v>
      </c>
      <c r="D5825" s="1">
        <v>44083.737708333334</v>
      </c>
      <c r="E5825" t="s">
        <v>18165</v>
      </c>
      <c r="F5825" t="s">
        <v>464</v>
      </c>
      <c r="G5825" t="s">
        <v>17727</v>
      </c>
      <c r="H5825" t="s">
        <v>466</v>
      </c>
      <c r="I5825" t="s">
        <v>29</v>
      </c>
      <c r="J5825">
        <v>1</v>
      </c>
      <c r="K5825">
        <f t="shared" si="46"/>
        <v>-2115</v>
      </c>
      <c r="L5825" t="s">
        <v>18166</v>
      </c>
      <c r="M5825" t="s">
        <v>18167</v>
      </c>
      <c r="N5825" t="s">
        <v>674</v>
      </c>
      <c r="O5825" t="s">
        <v>28</v>
      </c>
      <c r="P5825" t="s">
        <v>29</v>
      </c>
      <c r="Q5825">
        <v>40</v>
      </c>
      <c r="R5825">
        <v>-99.999999000000003</v>
      </c>
    </row>
    <row r="5826" spans="1:18" x14ac:dyDescent="0.2">
      <c r="A5826" t="s">
        <v>18</v>
      </c>
      <c r="B5826" t="s">
        <v>462</v>
      </c>
      <c r="C5826">
        <v>1</v>
      </c>
      <c r="D5826" s="1">
        <v>44083.737673611111</v>
      </c>
      <c r="E5826" t="s">
        <v>18168</v>
      </c>
      <c r="F5826" t="s">
        <v>464</v>
      </c>
      <c r="G5826" t="s">
        <v>17727</v>
      </c>
      <c r="H5826" t="s">
        <v>466</v>
      </c>
      <c r="I5826" t="s">
        <v>29</v>
      </c>
      <c r="J5826">
        <v>1</v>
      </c>
      <c r="K5826">
        <f t="shared" si="46"/>
        <v>-2115</v>
      </c>
      <c r="L5826" t="s">
        <v>18169</v>
      </c>
      <c r="M5826" t="s">
        <v>18170</v>
      </c>
      <c r="N5826" t="s">
        <v>3441</v>
      </c>
      <c r="O5826" t="s">
        <v>28</v>
      </c>
      <c r="P5826" t="s">
        <v>29</v>
      </c>
      <c r="Q5826">
        <v>40</v>
      </c>
      <c r="R5826">
        <v>-99.999999000000003</v>
      </c>
    </row>
    <row r="5827" spans="1:18" x14ac:dyDescent="0.2">
      <c r="A5827" t="s">
        <v>18</v>
      </c>
      <c r="B5827" t="s">
        <v>462</v>
      </c>
      <c r="C5827">
        <v>1</v>
      </c>
      <c r="D5827" s="1">
        <v>44083.737650462965</v>
      </c>
      <c r="E5827" t="s">
        <v>18171</v>
      </c>
      <c r="F5827" t="s">
        <v>464</v>
      </c>
      <c r="G5827" t="s">
        <v>17727</v>
      </c>
      <c r="H5827" t="s">
        <v>466</v>
      </c>
      <c r="I5827" t="s">
        <v>29</v>
      </c>
      <c r="J5827">
        <v>1</v>
      </c>
      <c r="K5827">
        <f t="shared" si="46"/>
        <v>-2115</v>
      </c>
      <c r="L5827" t="s">
        <v>18172</v>
      </c>
      <c r="M5827" t="s">
        <v>18173</v>
      </c>
      <c r="N5827" t="s">
        <v>447</v>
      </c>
      <c r="O5827" t="s">
        <v>28</v>
      </c>
      <c r="P5827" t="s">
        <v>29</v>
      </c>
      <c r="Q5827">
        <v>40</v>
      </c>
      <c r="R5827">
        <v>-99.999999000000003</v>
      </c>
    </row>
    <row r="5828" spans="1:18" x14ac:dyDescent="0.2">
      <c r="A5828" t="s">
        <v>18</v>
      </c>
      <c r="B5828" t="s">
        <v>462</v>
      </c>
      <c r="C5828">
        <v>1</v>
      </c>
      <c r="D5828" s="1">
        <v>44083.737627314818</v>
      </c>
      <c r="E5828" t="s">
        <v>18174</v>
      </c>
      <c r="F5828" t="s">
        <v>464</v>
      </c>
      <c r="G5828" t="s">
        <v>17727</v>
      </c>
      <c r="H5828" t="s">
        <v>466</v>
      </c>
      <c r="I5828" t="s">
        <v>29</v>
      </c>
      <c r="J5828">
        <v>1</v>
      </c>
      <c r="K5828">
        <f t="shared" si="46"/>
        <v>-2115</v>
      </c>
      <c r="L5828" t="s">
        <v>18175</v>
      </c>
      <c r="M5828" t="s">
        <v>18176</v>
      </c>
      <c r="N5828" t="s">
        <v>213</v>
      </c>
      <c r="O5828" t="s">
        <v>28</v>
      </c>
      <c r="P5828" t="s">
        <v>29</v>
      </c>
      <c r="Q5828">
        <v>40</v>
      </c>
      <c r="R5828">
        <v>-99.999999000000003</v>
      </c>
    </row>
    <row r="5829" spans="1:18" x14ac:dyDescent="0.2">
      <c r="A5829" t="s">
        <v>18</v>
      </c>
      <c r="B5829" t="s">
        <v>462</v>
      </c>
      <c r="C5829">
        <v>1</v>
      </c>
      <c r="D5829" s="1">
        <v>44083.737372685187</v>
      </c>
      <c r="E5829" t="s">
        <v>18177</v>
      </c>
      <c r="F5829" t="s">
        <v>464</v>
      </c>
      <c r="G5829" t="s">
        <v>17727</v>
      </c>
      <c r="H5829" t="s">
        <v>466</v>
      </c>
      <c r="I5829" t="s">
        <v>29</v>
      </c>
      <c r="J5829">
        <v>1</v>
      </c>
      <c r="K5829">
        <f>1-877-834-601</f>
        <v>-2311</v>
      </c>
      <c r="L5829" t="s">
        <v>18178</v>
      </c>
      <c r="M5829" t="s">
        <v>18179</v>
      </c>
      <c r="N5829" t="s">
        <v>3454</v>
      </c>
      <c r="O5829" t="s">
        <v>28</v>
      </c>
      <c r="P5829" t="s">
        <v>29</v>
      </c>
      <c r="Q5829">
        <v>40</v>
      </c>
      <c r="R5829">
        <v>-99.999999000000003</v>
      </c>
    </row>
    <row r="5830" spans="1:18" x14ac:dyDescent="0.2">
      <c r="A5830" t="s">
        <v>18</v>
      </c>
      <c r="B5830" t="s">
        <v>462</v>
      </c>
      <c r="C5830">
        <v>1</v>
      </c>
      <c r="D5830" s="1">
        <v>44083.737361111111</v>
      </c>
      <c r="E5830" t="s">
        <v>18180</v>
      </c>
      <c r="F5830" t="s">
        <v>464</v>
      </c>
      <c r="G5830" t="s">
        <v>17727</v>
      </c>
      <c r="H5830" t="s">
        <v>466</v>
      </c>
      <c r="I5830" t="s">
        <v>29</v>
      </c>
      <c r="J5830">
        <v>1</v>
      </c>
      <c r="K5830">
        <f>1-888-718-510</f>
        <v>-2115</v>
      </c>
      <c r="L5830" t="s">
        <v>18181</v>
      </c>
      <c r="M5830" t="s">
        <v>18182</v>
      </c>
      <c r="N5830" t="s">
        <v>3441</v>
      </c>
      <c r="O5830" t="s">
        <v>28</v>
      </c>
      <c r="P5830" t="s">
        <v>29</v>
      </c>
      <c r="Q5830">
        <v>40</v>
      </c>
      <c r="R5830">
        <v>-99.999999000000003</v>
      </c>
    </row>
    <row r="5831" spans="1:18" x14ac:dyDescent="0.2">
      <c r="A5831" t="s">
        <v>18</v>
      </c>
      <c r="B5831" t="s">
        <v>462</v>
      </c>
      <c r="C5831">
        <v>1</v>
      </c>
      <c r="D5831" s="1">
        <v>44083.737337962964</v>
      </c>
      <c r="E5831" t="s">
        <v>18183</v>
      </c>
      <c r="F5831" t="s">
        <v>464</v>
      </c>
      <c r="G5831" t="s">
        <v>17727</v>
      </c>
      <c r="H5831" t="s">
        <v>466</v>
      </c>
      <c r="I5831" t="s">
        <v>29</v>
      </c>
      <c r="J5831">
        <v>1</v>
      </c>
      <c r="K5831">
        <f>1-888-718-510</f>
        <v>-2115</v>
      </c>
      <c r="L5831" t="s">
        <v>18184</v>
      </c>
      <c r="M5831" t="s">
        <v>18185</v>
      </c>
      <c r="N5831" t="s">
        <v>447</v>
      </c>
      <c r="O5831" t="s">
        <v>28</v>
      </c>
      <c r="P5831" t="s">
        <v>29</v>
      </c>
      <c r="Q5831">
        <v>40</v>
      </c>
      <c r="R5831">
        <v>-99.999999000000003</v>
      </c>
    </row>
    <row r="5832" spans="1:18" x14ac:dyDescent="0.2">
      <c r="A5832" t="s">
        <v>18</v>
      </c>
      <c r="B5832" t="s">
        <v>462</v>
      </c>
      <c r="C5832">
        <v>1</v>
      </c>
      <c r="D5832" s="1">
        <v>44083.737326388888</v>
      </c>
      <c r="E5832" t="s">
        <v>18186</v>
      </c>
      <c r="F5832" t="s">
        <v>464</v>
      </c>
      <c r="G5832" t="s">
        <v>17727</v>
      </c>
      <c r="H5832" t="s">
        <v>466</v>
      </c>
      <c r="I5832" t="s">
        <v>29</v>
      </c>
      <c r="J5832">
        <v>1</v>
      </c>
      <c r="K5832">
        <f>1-877-834-601</f>
        <v>-2311</v>
      </c>
      <c r="L5832" t="s">
        <v>18187</v>
      </c>
      <c r="M5832" t="s">
        <v>18188</v>
      </c>
      <c r="N5832" t="s">
        <v>213</v>
      </c>
      <c r="O5832" t="s">
        <v>28</v>
      </c>
      <c r="P5832" t="s">
        <v>29</v>
      </c>
      <c r="Q5832">
        <v>40</v>
      </c>
      <c r="R5832">
        <v>-99.999999000000003</v>
      </c>
    </row>
    <row r="5833" spans="1:18" x14ac:dyDescent="0.2">
      <c r="A5833" t="s">
        <v>18</v>
      </c>
      <c r="B5833" t="s">
        <v>462</v>
      </c>
      <c r="C5833">
        <v>1</v>
      </c>
      <c r="D5833" s="1">
        <v>44083.737326388888</v>
      </c>
      <c r="E5833" t="s">
        <v>18189</v>
      </c>
      <c r="F5833" t="s">
        <v>464</v>
      </c>
      <c r="G5833" t="s">
        <v>17727</v>
      </c>
      <c r="H5833" t="s">
        <v>466</v>
      </c>
      <c r="I5833" t="s">
        <v>29</v>
      </c>
      <c r="J5833">
        <v>1</v>
      </c>
      <c r="K5833">
        <f>1-888-718-510</f>
        <v>-2115</v>
      </c>
      <c r="L5833" t="s">
        <v>18190</v>
      </c>
      <c r="M5833" t="s">
        <v>18191</v>
      </c>
      <c r="N5833" t="s">
        <v>674</v>
      </c>
      <c r="O5833" t="s">
        <v>28</v>
      </c>
      <c r="P5833" t="s">
        <v>29</v>
      </c>
      <c r="Q5833">
        <v>40</v>
      </c>
      <c r="R5833">
        <v>-99.999999000000003</v>
      </c>
    </row>
    <row r="5834" spans="1:18" x14ac:dyDescent="0.2">
      <c r="A5834" t="s">
        <v>18</v>
      </c>
      <c r="B5834" t="s">
        <v>462</v>
      </c>
      <c r="C5834">
        <v>1</v>
      </c>
      <c r="D5834" s="1">
        <v>44083.737268518518</v>
      </c>
      <c r="E5834" t="s">
        <v>18192</v>
      </c>
      <c r="F5834" t="s">
        <v>464</v>
      </c>
      <c r="G5834" t="s">
        <v>17727</v>
      </c>
      <c r="H5834" t="s">
        <v>466</v>
      </c>
      <c r="I5834" t="s">
        <v>29</v>
      </c>
      <c r="J5834">
        <v>1</v>
      </c>
      <c r="K5834">
        <f t="shared" ref="K5834:K5852" si="47">1-877-834-601</f>
        <v>-2311</v>
      </c>
      <c r="L5834" t="s">
        <v>18193</v>
      </c>
      <c r="M5834" t="s">
        <v>18194</v>
      </c>
      <c r="N5834" t="s">
        <v>3454</v>
      </c>
      <c r="O5834" t="s">
        <v>28</v>
      </c>
      <c r="P5834" t="s">
        <v>29</v>
      </c>
      <c r="Q5834">
        <v>40</v>
      </c>
      <c r="R5834">
        <v>-99.999999000000003</v>
      </c>
    </row>
    <row r="5835" spans="1:18" x14ac:dyDescent="0.2">
      <c r="A5835" t="s">
        <v>18</v>
      </c>
      <c r="B5835" t="s">
        <v>462</v>
      </c>
      <c r="C5835">
        <v>1</v>
      </c>
      <c r="D5835" s="1">
        <v>44083.737245370372</v>
      </c>
      <c r="E5835" t="s">
        <v>18195</v>
      </c>
      <c r="F5835" t="s">
        <v>464</v>
      </c>
      <c r="G5835" t="s">
        <v>17727</v>
      </c>
      <c r="H5835" t="s">
        <v>466</v>
      </c>
      <c r="I5835" t="s">
        <v>29</v>
      </c>
      <c r="J5835">
        <v>1</v>
      </c>
      <c r="K5835">
        <f t="shared" si="47"/>
        <v>-2311</v>
      </c>
      <c r="L5835" t="s">
        <v>18196</v>
      </c>
      <c r="M5835" t="s">
        <v>18197</v>
      </c>
      <c r="N5835" t="s">
        <v>3441</v>
      </c>
      <c r="O5835" t="s">
        <v>28</v>
      </c>
      <c r="P5835" t="s">
        <v>29</v>
      </c>
      <c r="Q5835">
        <v>40</v>
      </c>
      <c r="R5835">
        <v>-99.999999000000003</v>
      </c>
    </row>
    <row r="5836" spans="1:18" x14ac:dyDescent="0.2">
      <c r="A5836" t="s">
        <v>18</v>
      </c>
      <c r="B5836" t="s">
        <v>462</v>
      </c>
      <c r="C5836">
        <v>1</v>
      </c>
      <c r="D5836" s="1">
        <v>44083.737222222226</v>
      </c>
      <c r="E5836" t="s">
        <v>18198</v>
      </c>
      <c r="F5836" t="s">
        <v>464</v>
      </c>
      <c r="G5836" t="s">
        <v>17727</v>
      </c>
      <c r="H5836" t="s">
        <v>466</v>
      </c>
      <c r="I5836" t="s">
        <v>29</v>
      </c>
      <c r="J5836">
        <v>1</v>
      </c>
      <c r="K5836">
        <f t="shared" si="47"/>
        <v>-2311</v>
      </c>
      <c r="L5836" t="s">
        <v>18199</v>
      </c>
      <c r="M5836" t="s">
        <v>18200</v>
      </c>
      <c r="N5836" t="s">
        <v>447</v>
      </c>
      <c r="O5836" t="s">
        <v>28</v>
      </c>
      <c r="P5836" t="s">
        <v>29</v>
      </c>
      <c r="Q5836">
        <v>40</v>
      </c>
      <c r="R5836">
        <v>-99.999999000000003</v>
      </c>
    </row>
    <row r="5837" spans="1:18" x14ac:dyDescent="0.2">
      <c r="A5837" t="s">
        <v>18</v>
      </c>
      <c r="B5837" t="s">
        <v>462</v>
      </c>
      <c r="C5837">
        <v>1</v>
      </c>
      <c r="D5837" s="1">
        <v>44083.737210648149</v>
      </c>
      <c r="E5837" t="s">
        <v>18201</v>
      </c>
      <c r="F5837" t="s">
        <v>464</v>
      </c>
      <c r="G5837" t="s">
        <v>17727</v>
      </c>
      <c r="H5837" t="s">
        <v>466</v>
      </c>
      <c r="I5837" t="s">
        <v>29</v>
      </c>
      <c r="J5837">
        <v>1</v>
      </c>
      <c r="K5837">
        <f t="shared" si="47"/>
        <v>-2311</v>
      </c>
      <c r="L5837" t="s">
        <v>18202</v>
      </c>
      <c r="M5837" t="s">
        <v>18203</v>
      </c>
      <c r="N5837" t="s">
        <v>213</v>
      </c>
      <c r="O5837" t="s">
        <v>28</v>
      </c>
      <c r="P5837" t="s">
        <v>29</v>
      </c>
      <c r="Q5837">
        <v>40</v>
      </c>
      <c r="R5837">
        <v>-99.999999000000003</v>
      </c>
    </row>
    <row r="5838" spans="1:18" x14ac:dyDescent="0.2">
      <c r="A5838" t="s">
        <v>18</v>
      </c>
      <c r="B5838" t="s">
        <v>462</v>
      </c>
      <c r="C5838">
        <v>1</v>
      </c>
      <c r="D5838" s="1">
        <v>44083.737199074072</v>
      </c>
      <c r="E5838" t="s">
        <v>18204</v>
      </c>
      <c r="F5838" t="s">
        <v>464</v>
      </c>
      <c r="G5838" t="s">
        <v>17727</v>
      </c>
      <c r="H5838" t="s">
        <v>466</v>
      </c>
      <c r="I5838" t="s">
        <v>29</v>
      </c>
      <c r="J5838">
        <v>1</v>
      </c>
      <c r="K5838">
        <f t="shared" si="47"/>
        <v>-2311</v>
      </c>
      <c r="L5838" t="s">
        <v>18205</v>
      </c>
      <c r="M5838" t="s">
        <v>18206</v>
      </c>
      <c r="N5838" t="s">
        <v>674</v>
      </c>
      <c r="O5838" t="s">
        <v>28</v>
      </c>
      <c r="P5838" t="s">
        <v>29</v>
      </c>
      <c r="Q5838">
        <v>40</v>
      </c>
      <c r="R5838">
        <v>-99.999999000000003</v>
      </c>
    </row>
    <row r="5839" spans="1:18" x14ac:dyDescent="0.2">
      <c r="A5839" t="s">
        <v>18</v>
      </c>
      <c r="B5839" t="s">
        <v>462</v>
      </c>
      <c r="C5839">
        <v>1</v>
      </c>
      <c r="D5839" s="1">
        <v>44083.736875000002</v>
      </c>
      <c r="E5839" t="s">
        <v>18207</v>
      </c>
      <c r="F5839" t="s">
        <v>464</v>
      </c>
      <c r="G5839" t="s">
        <v>17727</v>
      </c>
      <c r="H5839" t="s">
        <v>466</v>
      </c>
      <c r="I5839" t="s">
        <v>29</v>
      </c>
      <c r="J5839">
        <v>1</v>
      </c>
      <c r="K5839">
        <f t="shared" si="47"/>
        <v>-2311</v>
      </c>
      <c r="L5839" t="s">
        <v>18208</v>
      </c>
      <c r="M5839" t="s">
        <v>18209</v>
      </c>
      <c r="N5839" t="s">
        <v>213</v>
      </c>
      <c r="O5839" t="s">
        <v>28</v>
      </c>
      <c r="P5839" t="s">
        <v>29</v>
      </c>
      <c r="Q5839">
        <v>40</v>
      </c>
      <c r="R5839">
        <v>-99.999999000000003</v>
      </c>
    </row>
    <row r="5840" spans="1:18" x14ac:dyDescent="0.2">
      <c r="A5840" t="s">
        <v>18</v>
      </c>
      <c r="B5840" t="s">
        <v>462</v>
      </c>
      <c r="C5840">
        <v>1</v>
      </c>
      <c r="D5840" s="1">
        <v>44083.736851851849</v>
      </c>
      <c r="E5840" t="s">
        <v>18210</v>
      </c>
      <c r="F5840" t="s">
        <v>464</v>
      </c>
      <c r="G5840" t="s">
        <v>17727</v>
      </c>
      <c r="H5840" t="s">
        <v>466</v>
      </c>
      <c r="I5840" t="s">
        <v>29</v>
      </c>
      <c r="J5840">
        <v>1</v>
      </c>
      <c r="K5840">
        <f t="shared" si="47"/>
        <v>-2311</v>
      </c>
      <c r="L5840" t="s">
        <v>18211</v>
      </c>
      <c r="M5840" t="s">
        <v>18212</v>
      </c>
      <c r="N5840" t="s">
        <v>3454</v>
      </c>
      <c r="O5840" t="s">
        <v>28</v>
      </c>
      <c r="P5840" t="s">
        <v>29</v>
      </c>
      <c r="Q5840">
        <v>40</v>
      </c>
      <c r="R5840">
        <v>-99.999999000000003</v>
      </c>
    </row>
    <row r="5841" spans="1:18" x14ac:dyDescent="0.2">
      <c r="A5841" t="s">
        <v>18</v>
      </c>
      <c r="B5841" t="s">
        <v>462</v>
      </c>
      <c r="C5841">
        <v>1</v>
      </c>
      <c r="D5841" s="1">
        <v>44083.736828703702</v>
      </c>
      <c r="E5841" t="s">
        <v>18213</v>
      </c>
      <c r="F5841" t="s">
        <v>464</v>
      </c>
      <c r="G5841" t="s">
        <v>17727</v>
      </c>
      <c r="H5841" t="s">
        <v>466</v>
      </c>
      <c r="I5841" t="s">
        <v>29</v>
      </c>
      <c r="J5841">
        <v>1</v>
      </c>
      <c r="K5841">
        <f t="shared" si="47"/>
        <v>-2311</v>
      </c>
      <c r="L5841" t="s">
        <v>18214</v>
      </c>
      <c r="M5841" t="s">
        <v>18215</v>
      </c>
      <c r="N5841" t="s">
        <v>3441</v>
      </c>
      <c r="O5841" t="s">
        <v>28</v>
      </c>
      <c r="P5841" t="s">
        <v>29</v>
      </c>
      <c r="Q5841">
        <v>40</v>
      </c>
      <c r="R5841">
        <v>-99.999999000000003</v>
      </c>
    </row>
    <row r="5842" spans="1:18" x14ac:dyDescent="0.2">
      <c r="A5842" t="s">
        <v>18</v>
      </c>
      <c r="B5842" t="s">
        <v>462</v>
      </c>
      <c r="C5842">
        <v>1</v>
      </c>
      <c r="D5842" s="1">
        <v>44083.736817129633</v>
      </c>
      <c r="E5842" t="s">
        <v>18216</v>
      </c>
      <c r="F5842" t="s">
        <v>464</v>
      </c>
      <c r="G5842" t="s">
        <v>17727</v>
      </c>
      <c r="H5842" t="s">
        <v>466</v>
      </c>
      <c r="I5842" t="s">
        <v>29</v>
      </c>
      <c r="J5842">
        <v>1</v>
      </c>
      <c r="K5842">
        <f t="shared" si="47"/>
        <v>-2311</v>
      </c>
      <c r="L5842" t="s">
        <v>18217</v>
      </c>
      <c r="M5842" t="s">
        <v>18218</v>
      </c>
      <c r="N5842" t="s">
        <v>447</v>
      </c>
      <c r="O5842" t="s">
        <v>28</v>
      </c>
      <c r="P5842" t="s">
        <v>29</v>
      </c>
      <c r="Q5842">
        <v>40</v>
      </c>
      <c r="R5842">
        <v>-99.999999000000003</v>
      </c>
    </row>
    <row r="5843" spans="1:18" x14ac:dyDescent="0.2">
      <c r="A5843" t="s">
        <v>18</v>
      </c>
      <c r="B5843" t="s">
        <v>462</v>
      </c>
      <c r="C5843">
        <v>1</v>
      </c>
      <c r="D5843" s="1">
        <v>44083.736805555556</v>
      </c>
      <c r="E5843" t="s">
        <v>18219</v>
      </c>
      <c r="F5843" t="s">
        <v>464</v>
      </c>
      <c r="G5843" t="s">
        <v>17727</v>
      </c>
      <c r="H5843" t="s">
        <v>466</v>
      </c>
      <c r="I5843" t="s">
        <v>29</v>
      </c>
      <c r="J5843">
        <v>1</v>
      </c>
      <c r="K5843">
        <f t="shared" si="47"/>
        <v>-2311</v>
      </c>
      <c r="L5843" t="s">
        <v>18220</v>
      </c>
      <c r="M5843" t="s">
        <v>18221</v>
      </c>
      <c r="N5843" t="s">
        <v>674</v>
      </c>
      <c r="O5843" t="s">
        <v>28</v>
      </c>
      <c r="P5843" t="s">
        <v>29</v>
      </c>
      <c r="Q5843">
        <v>40</v>
      </c>
      <c r="R5843">
        <v>-99.999999000000003</v>
      </c>
    </row>
    <row r="5844" spans="1:18" x14ac:dyDescent="0.2">
      <c r="A5844" t="s">
        <v>18</v>
      </c>
      <c r="B5844" t="s">
        <v>462</v>
      </c>
      <c r="C5844">
        <v>1</v>
      </c>
      <c r="D5844" s="1">
        <v>44083.736655092594</v>
      </c>
      <c r="E5844" t="s">
        <v>18222</v>
      </c>
      <c r="F5844" t="s">
        <v>464</v>
      </c>
      <c r="G5844" t="s">
        <v>17727</v>
      </c>
      <c r="H5844" t="s">
        <v>466</v>
      </c>
      <c r="I5844" t="s">
        <v>29</v>
      </c>
      <c r="J5844">
        <v>1</v>
      </c>
      <c r="K5844">
        <f t="shared" si="47"/>
        <v>-2311</v>
      </c>
      <c r="L5844" t="s">
        <v>18223</v>
      </c>
      <c r="M5844" t="s">
        <v>18224</v>
      </c>
      <c r="N5844" t="s">
        <v>3454</v>
      </c>
      <c r="O5844" t="s">
        <v>28</v>
      </c>
      <c r="P5844" t="s">
        <v>29</v>
      </c>
      <c r="Q5844">
        <v>40</v>
      </c>
      <c r="R5844">
        <v>-99.999999000000003</v>
      </c>
    </row>
    <row r="5845" spans="1:18" x14ac:dyDescent="0.2">
      <c r="A5845" t="s">
        <v>18</v>
      </c>
      <c r="B5845" t="s">
        <v>462</v>
      </c>
      <c r="C5845">
        <v>1</v>
      </c>
      <c r="D5845" s="1">
        <v>44083.736631944441</v>
      </c>
      <c r="E5845" t="s">
        <v>18225</v>
      </c>
      <c r="F5845" t="s">
        <v>464</v>
      </c>
      <c r="G5845" t="s">
        <v>17727</v>
      </c>
      <c r="H5845" t="s">
        <v>466</v>
      </c>
      <c r="I5845" t="s">
        <v>29</v>
      </c>
      <c r="J5845">
        <v>1</v>
      </c>
      <c r="K5845">
        <f t="shared" si="47"/>
        <v>-2311</v>
      </c>
      <c r="L5845" t="s">
        <v>18226</v>
      </c>
      <c r="M5845" t="s">
        <v>18227</v>
      </c>
      <c r="N5845" t="s">
        <v>3441</v>
      </c>
      <c r="O5845" t="s">
        <v>28</v>
      </c>
      <c r="P5845" t="s">
        <v>29</v>
      </c>
      <c r="Q5845">
        <v>40</v>
      </c>
      <c r="R5845">
        <v>-99.999999000000003</v>
      </c>
    </row>
    <row r="5846" spans="1:18" x14ac:dyDescent="0.2">
      <c r="A5846" t="s">
        <v>18</v>
      </c>
      <c r="B5846" t="s">
        <v>462</v>
      </c>
      <c r="C5846">
        <v>1</v>
      </c>
      <c r="D5846" s="1">
        <v>44083.736608796295</v>
      </c>
      <c r="E5846" t="s">
        <v>18228</v>
      </c>
      <c r="F5846" t="s">
        <v>464</v>
      </c>
      <c r="G5846" t="s">
        <v>17727</v>
      </c>
      <c r="H5846" t="s">
        <v>466</v>
      </c>
      <c r="I5846" t="s">
        <v>29</v>
      </c>
      <c r="J5846">
        <v>1</v>
      </c>
      <c r="K5846">
        <f t="shared" si="47"/>
        <v>-2311</v>
      </c>
      <c r="L5846" t="s">
        <v>18229</v>
      </c>
      <c r="M5846" t="s">
        <v>18230</v>
      </c>
      <c r="N5846" t="s">
        <v>447</v>
      </c>
      <c r="O5846" t="s">
        <v>28</v>
      </c>
      <c r="P5846" t="s">
        <v>29</v>
      </c>
      <c r="Q5846">
        <v>40</v>
      </c>
      <c r="R5846">
        <v>-99.999999000000003</v>
      </c>
    </row>
    <row r="5847" spans="1:18" x14ac:dyDescent="0.2">
      <c r="A5847" t="s">
        <v>18</v>
      </c>
      <c r="B5847" t="s">
        <v>462</v>
      </c>
      <c r="C5847">
        <v>1</v>
      </c>
      <c r="D5847" s="1">
        <v>44083.736597222225</v>
      </c>
      <c r="E5847" t="s">
        <v>18231</v>
      </c>
      <c r="F5847" t="s">
        <v>464</v>
      </c>
      <c r="G5847" t="s">
        <v>17727</v>
      </c>
      <c r="H5847" t="s">
        <v>466</v>
      </c>
      <c r="I5847" t="s">
        <v>29</v>
      </c>
      <c r="J5847">
        <v>1</v>
      </c>
      <c r="K5847">
        <f t="shared" si="47"/>
        <v>-2311</v>
      </c>
      <c r="L5847" t="s">
        <v>18232</v>
      </c>
      <c r="M5847" t="s">
        <v>18233</v>
      </c>
      <c r="N5847" t="s">
        <v>674</v>
      </c>
      <c r="O5847" t="s">
        <v>28</v>
      </c>
      <c r="P5847" t="s">
        <v>29</v>
      </c>
      <c r="Q5847">
        <v>40</v>
      </c>
      <c r="R5847">
        <v>-99.999999000000003</v>
      </c>
    </row>
    <row r="5848" spans="1:18" x14ac:dyDescent="0.2">
      <c r="A5848" t="s">
        <v>18</v>
      </c>
      <c r="B5848" t="s">
        <v>462</v>
      </c>
      <c r="C5848">
        <v>1</v>
      </c>
      <c r="D5848" s="1">
        <v>44083.736550925925</v>
      </c>
      <c r="E5848" t="s">
        <v>18234</v>
      </c>
      <c r="F5848" t="s">
        <v>464</v>
      </c>
      <c r="G5848" t="s">
        <v>17727</v>
      </c>
      <c r="H5848" t="s">
        <v>466</v>
      </c>
      <c r="I5848" t="s">
        <v>29</v>
      </c>
      <c r="J5848">
        <v>1</v>
      </c>
      <c r="K5848">
        <f t="shared" si="47"/>
        <v>-2311</v>
      </c>
      <c r="L5848" t="s">
        <v>18235</v>
      </c>
      <c r="M5848" t="s">
        <v>18236</v>
      </c>
      <c r="N5848" t="s">
        <v>213</v>
      </c>
      <c r="O5848" t="s">
        <v>28</v>
      </c>
      <c r="P5848" t="s">
        <v>29</v>
      </c>
      <c r="Q5848">
        <v>40</v>
      </c>
      <c r="R5848">
        <v>-99.999999000000003</v>
      </c>
    </row>
    <row r="5849" spans="1:18" x14ac:dyDescent="0.2">
      <c r="A5849" t="s">
        <v>18</v>
      </c>
      <c r="B5849" t="s">
        <v>462</v>
      </c>
      <c r="C5849">
        <v>1</v>
      </c>
      <c r="D5849" s="1">
        <v>44083.73641203704</v>
      </c>
      <c r="E5849" t="s">
        <v>18237</v>
      </c>
      <c r="F5849" t="s">
        <v>464</v>
      </c>
      <c r="G5849" t="s">
        <v>17727</v>
      </c>
      <c r="H5849" t="s">
        <v>466</v>
      </c>
      <c r="I5849" t="s">
        <v>29</v>
      </c>
      <c r="J5849">
        <v>1</v>
      </c>
      <c r="K5849">
        <f t="shared" si="47"/>
        <v>-2311</v>
      </c>
      <c r="L5849" t="s">
        <v>18238</v>
      </c>
      <c r="M5849" t="s">
        <v>18239</v>
      </c>
      <c r="N5849" t="s">
        <v>3454</v>
      </c>
      <c r="O5849" t="s">
        <v>28</v>
      </c>
      <c r="P5849" t="s">
        <v>29</v>
      </c>
      <c r="Q5849">
        <v>40</v>
      </c>
      <c r="R5849">
        <v>-99.999999000000003</v>
      </c>
    </row>
    <row r="5850" spans="1:18" x14ac:dyDescent="0.2">
      <c r="A5850" t="s">
        <v>18</v>
      </c>
      <c r="B5850" t="s">
        <v>462</v>
      </c>
      <c r="C5850">
        <v>1</v>
      </c>
      <c r="D5850" s="1">
        <v>44083.736388888887</v>
      </c>
      <c r="E5850" t="s">
        <v>18240</v>
      </c>
      <c r="F5850" t="s">
        <v>464</v>
      </c>
      <c r="G5850" t="s">
        <v>17727</v>
      </c>
      <c r="H5850" t="s">
        <v>466</v>
      </c>
      <c r="I5850" t="s">
        <v>29</v>
      </c>
      <c r="J5850">
        <v>1</v>
      </c>
      <c r="K5850">
        <f t="shared" si="47"/>
        <v>-2311</v>
      </c>
      <c r="L5850" t="s">
        <v>18241</v>
      </c>
      <c r="M5850" t="s">
        <v>18242</v>
      </c>
      <c r="N5850" t="s">
        <v>674</v>
      </c>
      <c r="O5850" t="s">
        <v>28</v>
      </c>
      <c r="P5850" t="s">
        <v>29</v>
      </c>
      <c r="Q5850">
        <v>40</v>
      </c>
      <c r="R5850">
        <v>-99.999999000000003</v>
      </c>
    </row>
    <row r="5851" spans="1:18" x14ac:dyDescent="0.2">
      <c r="A5851" t="s">
        <v>18</v>
      </c>
      <c r="B5851" t="s">
        <v>462</v>
      </c>
      <c r="C5851">
        <v>1</v>
      </c>
      <c r="D5851" s="1">
        <v>44083.73636574074</v>
      </c>
      <c r="E5851" t="s">
        <v>18243</v>
      </c>
      <c r="F5851" t="s">
        <v>464</v>
      </c>
      <c r="G5851" t="s">
        <v>17727</v>
      </c>
      <c r="H5851" t="s">
        <v>466</v>
      </c>
      <c r="I5851" t="s">
        <v>29</v>
      </c>
      <c r="J5851">
        <v>1</v>
      </c>
      <c r="K5851">
        <f t="shared" si="47"/>
        <v>-2311</v>
      </c>
      <c r="L5851" t="s">
        <v>18244</v>
      </c>
      <c r="M5851" t="s">
        <v>18245</v>
      </c>
      <c r="N5851" t="s">
        <v>3441</v>
      </c>
      <c r="O5851" t="s">
        <v>28</v>
      </c>
      <c r="P5851" t="s">
        <v>29</v>
      </c>
      <c r="Q5851">
        <v>40</v>
      </c>
      <c r="R5851">
        <v>-99.999999000000003</v>
      </c>
    </row>
    <row r="5852" spans="1:18" x14ac:dyDescent="0.2">
      <c r="A5852" t="s">
        <v>18</v>
      </c>
      <c r="B5852" t="s">
        <v>462</v>
      </c>
      <c r="C5852">
        <v>1</v>
      </c>
      <c r="D5852" s="1">
        <v>44083.010810185187</v>
      </c>
      <c r="E5852" t="s">
        <v>18246</v>
      </c>
      <c r="F5852" t="s">
        <v>464</v>
      </c>
      <c r="G5852" t="s">
        <v>17727</v>
      </c>
      <c r="H5852" t="s">
        <v>466</v>
      </c>
      <c r="I5852" t="s">
        <v>29</v>
      </c>
      <c r="J5852">
        <v>1</v>
      </c>
      <c r="K5852">
        <f t="shared" si="47"/>
        <v>-2311</v>
      </c>
      <c r="L5852" t="s">
        <v>18247</v>
      </c>
      <c r="M5852" t="s">
        <v>18248</v>
      </c>
      <c r="N5852" t="s">
        <v>213</v>
      </c>
      <c r="O5852" t="s">
        <v>28</v>
      </c>
      <c r="P5852" t="s">
        <v>29</v>
      </c>
      <c r="Q5852">
        <v>40</v>
      </c>
      <c r="R5852">
        <v>-99.999999000000003</v>
      </c>
    </row>
    <row r="5853" spans="1:18" x14ac:dyDescent="0.2">
      <c r="A5853" t="s">
        <v>18</v>
      </c>
      <c r="B5853" t="s">
        <v>462</v>
      </c>
      <c r="C5853">
        <v>1</v>
      </c>
      <c r="D5853" s="1">
        <v>44080.891365740739</v>
      </c>
      <c r="E5853" t="s">
        <v>18249</v>
      </c>
      <c r="F5853" t="s">
        <v>464</v>
      </c>
      <c r="G5853" t="s">
        <v>17727</v>
      </c>
      <c r="H5853" t="s">
        <v>466</v>
      </c>
      <c r="I5853" t="s">
        <v>29</v>
      </c>
      <c r="J5853">
        <v>1</v>
      </c>
      <c r="K5853">
        <f t="shared" ref="K5853:K5861" si="48">1-800-431-760</f>
        <v>-1990</v>
      </c>
      <c r="L5853" t="s">
        <v>18250</v>
      </c>
      <c r="M5853" t="s">
        <v>18251</v>
      </c>
      <c r="N5853" t="s">
        <v>3454</v>
      </c>
      <c r="O5853" t="s">
        <v>134</v>
      </c>
      <c r="P5853" t="s">
        <v>29</v>
      </c>
      <c r="Q5853">
        <v>40</v>
      </c>
      <c r="R5853">
        <v>-99.999999000000003</v>
      </c>
    </row>
    <row r="5854" spans="1:18" x14ac:dyDescent="0.2">
      <c r="A5854" t="s">
        <v>18</v>
      </c>
      <c r="B5854" t="s">
        <v>462</v>
      </c>
      <c r="C5854">
        <v>1</v>
      </c>
      <c r="D5854" s="1">
        <v>44080.891331018516</v>
      </c>
      <c r="E5854" t="s">
        <v>18252</v>
      </c>
      <c r="F5854" t="s">
        <v>464</v>
      </c>
      <c r="G5854" t="s">
        <v>17727</v>
      </c>
      <c r="H5854" t="s">
        <v>466</v>
      </c>
      <c r="I5854" t="s">
        <v>29</v>
      </c>
      <c r="J5854">
        <v>1</v>
      </c>
      <c r="K5854">
        <f t="shared" si="48"/>
        <v>-1990</v>
      </c>
      <c r="L5854" t="s">
        <v>18253</v>
      </c>
      <c r="M5854" t="s">
        <v>18254</v>
      </c>
      <c r="N5854" t="s">
        <v>213</v>
      </c>
      <c r="O5854" t="s">
        <v>134</v>
      </c>
      <c r="P5854" t="s">
        <v>29</v>
      </c>
      <c r="Q5854">
        <v>40</v>
      </c>
      <c r="R5854">
        <v>-99.999999000000003</v>
      </c>
    </row>
    <row r="5855" spans="1:18" x14ac:dyDescent="0.2">
      <c r="A5855" t="s">
        <v>18</v>
      </c>
      <c r="B5855" t="s">
        <v>462</v>
      </c>
      <c r="C5855">
        <v>1</v>
      </c>
      <c r="D5855" s="1">
        <v>44080.89130787037</v>
      </c>
      <c r="E5855" t="s">
        <v>18255</v>
      </c>
      <c r="F5855" t="s">
        <v>464</v>
      </c>
      <c r="G5855" t="s">
        <v>17727</v>
      </c>
      <c r="H5855" t="s">
        <v>466</v>
      </c>
      <c r="I5855" t="s">
        <v>29</v>
      </c>
      <c r="J5855">
        <v>1</v>
      </c>
      <c r="K5855">
        <f t="shared" si="48"/>
        <v>-1990</v>
      </c>
      <c r="L5855" t="s">
        <v>18256</v>
      </c>
      <c r="M5855" t="s">
        <v>18257</v>
      </c>
      <c r="N5855" t="s">
        <v>674</v>
      </c>
      <c r="O5855" t="s">
        <v>134</v>
      </c>
      <c r="P5855" t="s">
        <v>29</v>
      </c>
      <c r="Q5855">
        <v>40</v>
      </c>
      <c r="R5855">
        <v>-99.999999000000003</v>
      </c>
    </row>
    <row r="5856" spans="1:18" x14ac:dyDescent="0.2">
      <c r="A5856" t="s">
        <v>18</v>
      </c>
      <c r="B5856" t="s">
        <v>462</v>
      </c>
      <c r="C5856">
        <v>1</v>
      </c>
      <c r="D5856" s="1">
        <v>44080.891284722224</v>
      </c>
      <c r="E5856" t="s">
        <v>18258</v>
      </c>
      <c r="F5856" t="s">
        <v>464</v>
      </c>
      <c r="G5856" t="s">
        <v>17727</v>
      </c>
      <c r="H5856" t="s">
        <v>466</v>
      </c>
      <c r="I5856" t="s">
        <v>29</v>
      </c>
      <c r="J5856">
        <v>1</v>
      </c>
      <c r="K5856">
        <f t="shared" si="48"/>
        <v>-1990</v>
      </c>
      <c r="L5856" t="s">
        <v>18259</v>
      </c>
      <c r="M5856" t="s">
        <v>18260</v>
      </c>
      <c r="N5856" t="s">
        <v>447</v>
      </c>
      <c r="O5856" t="s">
        <v>134</v>
      </c>
      <c r="P5856" t="s">
        <v>29</v>
      </c>
      <c r="Q5856">
        <v>40</v>
      </c>
      <c r="R5856">
        <v>-99.999999000000003</v>
      </c>
    </row>
    <row r="5857" spans="1:18" x14ac:dyDescent="0.2">
      <c r="A5857" t="s">
        <v>18</v>
      </c>
      <c r="B5857" t="s">
        <v>462</v>
      </c>
      <c r="C5857">
        <v>1</v>
      </c>
      <c r="D5857" s="1">
        <v>44080.891250000001</v>
      </c>
      <c r="E5857" t="s">
        <v>18261</v>
      </c>
      <c r="F5857" t="s">
        <v>464</v>
      </c>
      <c r="G5857" t="s">
        <v>17727</v>
      </c>
      <c r="H5857" t="s">
        <v>466</v>
      </c>
      <c r="I5857" t="s">
        <v>29</v>
      </c>
      <c r="J5857">
        <v>1</v>
      </c>
      <c r="K5857">
        <f t="shared" si="48"/>
        <v>-1990</v>
      </c>
      <c r="L5857" t="s">
        <v>18262</v>
      </c>
      <c r="M5857" t="s">
        <v>18263</v>
      </c>
      <c r="N5857" t="s">
        <v>3441</v>
      </c>
      <c r="O5857" t="s">
        <v>134</v>
      </c>
      <c r="P5857" t="s">
        <v>29</v>
      </c>
      <c r="Q5857">
        <v>40</v>
      </c>
      <c r="R5857">
        <v>-99.999999000000003</v>
      </c>
    </row>
    <row r="5858" spans="1:18" x14ac:dyDescent="0.2">
      <c r="A5858" t="s">
        <v>18</v>
      </c>
      <c r="B5858" t="s">
        <v>462</v>
      </c>
      <c r="C5858">
        <v>1</v>
      </c>
      <c r="D5858" s="1">
        <v>44080.888090277775</v>
      </c>
      <c r="E5858" t="s">
        <v>18264</v>
      </c>
      <c r="F5858" t="s">
        <v>464</v>
      </c>
      <c r="G5858" t="s">
        <v>17727</v>
      </c>
      <c r="H5858" t="s">
        <v>466</v>
      </c>
      <c r="I5858" t="s">
        <v>29</v>
      </c>
      <c r="J5858">
        <v>1</v>
      </c>
      <c r="K5858">
        <f t="shared" si="48"/>
        <v>-1990</v>
      </c>
      <c r="L5858" t="s">
        <v>18265</v>
      </c>
      <c r="M5858" t="s">
        <v>18266</v>
      </c>
      <c r="N5858" t="s">
        <v>3441</v>
      </c>
      <c r="O5858" t="s">
        <v>134</v>
      </c>
      <c r="P5858" t="s">
        <v>29</v>
      </c>
      <c r="Q5858">
        <v>40</v>
      </c>
      <c r="R5858">
        <v>-99.999999000000003</v>
      </c>
    </row>
    <row r="5859" spans="1:18" x14ac:dyDescent="0.2">
      <c r="A5859" t="s">
        <v>18</v>
      </c>
      <c r="B5859" t="s">
        <v>462</v>
      </c>
      <c r="C5859">
        <v>1</v>
      </c>
      <c r="D5859" s="1">
        <v>44080.888055555559</v>
      </c>
      <c r="E5859" t="s">
        <v>18267</v>
      </c>
      <c r="F5859" t="s">
        <v>464</v>
      </c>
      <c r="G5859" t="s">
        <v>17727</v>
      </c>
      <c r="H5859" t="s">
        <v>466</v>
      </c>
      <c r="I5859" t="s">
        <v>29</v>
      </c>
      <c r="J5859">
        <v>1</v>
      </c>
      <c r="K5859">
        <f t="shared" si="48"/>
        <v>-1990</v>
      </c>
      <c r="L5859" t="s">
        <v>18268</v>
      </c>
      <c r="M5859" t="s">
        <v>18269</v>
      </c>
      <c r="N5859" t="s">
        <v>213</v>
      </c>
      <c r="O5859" t="s">
        <v>134</v>
      </c>
      <c r="P5859" t="s">
        <v>29</v>
      </c>
      <c r="Q5859">
        <v>40</v>
      </c>
      <c r="R5859">
        <v>-99.999999000000003</v>
      </c>
    </row>
    <row r="5860" spans="1:18" x14ac:dyDescent="0.2">
      <c r="A5860" t="s">
        <v>18</v>
      </c>
      <c r="B5860" t="s">
        <v>462</v>
      </c>
      <c r="C5860">
        <v>1</v>
      </c>
      <c r="D5860" s="1">
        <v>44080.888009259259</v>
      </c>
      <c r="E5860" t="s">
        <v>18270</v>
      </c>
      <c r="F5860" t="s">
        <v>464</v>
      </c>
      <c r="G5860" t="s">
        <v>17727</v>
      </c>
      <c r="H5860" t="s">
        <v>466</v>
      </c>
      <c r="I5860" t="s">
        <v>29</v>
      </c>
      <c r="J5860">
        <v>1</v>
      </c>
      <c r="K5860">
        <f t="shared" si="48"/>
        <v>-1990</v>
      </c>
      <c r="L5860" t="s">
        <v>18271</v>
      </c>
      <c r="M5860" t="s">
        <v>18272</v>
      </c>
      <c r="N5860" t="s">
        <v>447</v>
      </c>
      <c r="O5860" t="s">
        <v>134</v>
      </c>
      <c r="P5860" t="s">
        <v>29</v>
      </c>
      <c r="Q5860">
        <v>40</v>
      </c>
      <c r="R5860">
        <v>-99.999999000000003</v>
      </c>
    </row>
    <row r="5861" spans="1:18" x14ac:dyDescent="0.2">
      <c r="A5861" t="s">
        <v>18</v>
      </c>
      <c r="B5861" t="s">
        <v>462</v>
      </c>
      <c r="C5861">
        <v>1</v>
      </c>
      <c r="D5861" s="1">
        <v>44080.88795138889</v>
      </c>
      <c r="E5861" t="s">
        <v>18273</v>
      </c>
      <c r="F5861" t="s">
        <v>464</v>
      </c>
      <c r="G5861" t="s">
        <v>17727</v>
      </c>
      <c r="H5861" t="s">
        <v>466</v>
      </c>
      <c r="I5861" t="s">
        <v>29</v>
      </c>
      <c r="J5861">
        <v>1</v>
      </c>
      <c r="K5861">
        <f t="shared" si="48"/>
        <v>-1990</v>
      </c>
      <c r="L5861" t="s">
        <v>18274</v>
      </c>
      <c r="M5861" t="s">
        <v>18275</v>
      </c>
      <c r="N5861" t="s">
        <v>674</v>
      </c>
      <c r="O5861" t="s">
        <v>134</v>
      </c>
      <c r="P5861" t="s">
        <v>29</v>
      </c>
      <c r="Q5861">
        <v>40</v>
      </c>
      <c r="R5861">
        <v>-99.999999000000003</v>
      </c>
    </row>
    <row r="5862" spans="1:18" x14ac:dyDescent="0.2">
      <c r="A5862" t="s">
        <v>18</v>
      </c>
      <c r="B5862" t="s">
        <v>462</v>
      </c>
      <c r="C5862">
        <v>1</v>
      </c>
      <c r="D5862" s="1">
        <v>44080.886296296296</v>
      </c>
      <c r="E5862" t="s">
        <v>18276</v>
      </c>
      <c r="F5862" t="s">
        <v>464</v>
      </c>
      <c r="G5862" t="s">
        <v>17727</v>
      </c>
      <c r="H5862" t="s">
        <v>466</v>
      </c>
      <c r="I5862" t="s">
        <v>29</v>
      </c>
      <c r="J5862">
        <v>1</v>
      </c>
      <c r="K5862">
        <f t="shared" ref="K5862:K5871" si="49">1-877-790-180</f>
        <v>-1846</v>
      </c>
      <c r="L5862" t="s">
        <v>18277</v>
      </c>
      <c r="M5862" t="s">
        <v>18278</v>
      </c>
      <c r="N5862" t="s">
        <v>3454</v>
      </c>
      <c r="O5862" t="s">
        <v>134</v>
      </c>
      <c r="P5862" t="s">
        <v>29</v>
      </c>
      <c r="Q5862">
        <v>40</v>
      </c>
      <c r="R5862">
        <v>-99.999999000000003</v>
      </c>
    </row>
    <row r="5863" spans="1:18" x14ac:dyDescent="0.2">
      <c r="A5863" t="s">
        <v>18</v>
      </c>
      <c r="B5863" t="s">
        <v>462</v>
      </c>
      <c r="C5863">
        <v>1</v>
      </c>
      <c r="D5863" s="1">
        <v>44080.886250000003</v>
      </c>
      <c r="E5863" t="s">
        <v>18279</v>
      </c>
      <c r="F5863" t="s">
        <v>464</v>
      </c>
      <c r="G5863" t="s">
        <v>17727</v>
      </c>
      <c r="H5863" t="s">
        <v>466</v>
      </c>
      <c r="I5863" t="s">
        <v>29</v>
      </c>
      <c r="J5863">
        <v>1</v>
      </c>
      <c r="K5863">
        <f t="shared" si="49"/>
        <v>-1846</v>
      </c>
      <c r="L5863" t="s">
        <v>18280</v>
      </c>
      <c r="M5863" t="s">
        <v>18281</v>
      </c>
      <c r="N5863" t="s">
        <v>3441</v>
      </c>
      <c r="O5863" t="s">
        <v>134</v>
      </c>
      <c r="P5863" t="s">
        <v>29</v>
      </c>
      <c r="Q5863">
        <v>40</v>
      </c>
      <c r="R5863">
        <v>-99.999999000000003</v>
      </c>
    </row>
    <row r="5864" spans="1:18" x14ac:dyDescent="0.2">
      <c r="A5864" t="s">
        <v>18</v>
      </c>
      <c r="B5864" t="s">
        <v>462</v>
      </c>
      <c r="C5864">
        <v>1</v>
      </c>
      <c r="D5864" s="1">
        <v>44080.886192129627</v>
      </c>
      <c r="E5864" t="s">
        <v>18282</v>
      </c>
      <c r="F5864" t="s">
        <v>464</v>
      </c>
      <c r="G5864" t="s">
        <v>17727</v>
      </c>
      <c r="H5864" t="s">
        <v>466</v>
      </c>
      <c r="I5864" t="s">
        <v>29</v>
      </c>
      <c r="J5864">
        <v>1</v>
      </c>
      <c r="K5864">
        <f t="shared" si="49"/>
        <v>-1846</v>
      </c>
      <c r="L5864" t="s">
        <v>18283</v>
      </c>
      <c r="M5864" t="s">
        <v>18284</v>
      </c>
      <c r="N5864" t="s">
        <v>447</v>
      </c>
      <c r="O5864" t="s">
        <v>134</v>
      </c>
      <c r="P5864" t="s">
        <v>29</v>
      </c>
      <c r="Q5864">
        <v>40</v>
      </c>
      <c r="R5864">
        <v>-99.999999000000003</v>
      </c>
    </row>
    <row r="5865" spans="1:18" x14ac:dyDescent="0.2">
      <c r="A5865" t="s">
        <v>18</v>
      </c>
      <c r="B5865" t="s">
        <v>462</v>
      </c>
      <c r="C5865">
        <v>1</v>
      </c>
      <c r="D5865" s="1">
        <v>44080.886145833334</v>
      </c>
      <c r="E5865" t="s">
        <v>18285</v>
      </c>
      <c r="F5865" t="s">
        <v>464</v>
      </c>
      <c r="G5865" t="s">
        <v>17727</v>
      </c>
      <c r="H5865" t="s">
        <v>466</v>
      </c>
      <c r="I5865" t="s">
        <v>29</v>
      </c>
      <c r="J5865">
        <v>1</v>
      </c>
      <c r="K5865">
        <f t="shared" si="49"/>
        <v>-1846</v>
      </c>
      <c r="L5865" t="s">
        <v>18286</v>
      </c>
      <c r="M5865" t="s">
        <v>18287</v>
      </c>
      <c r="N5865" t="s">
        <v>213</v>
      </c>
      <c r="O5865" t="s">
        <v>134</v>
      </c>
      <c r="P5865" t="s">
        <v>29</v>
      </c>
      <c r="Q5865">
        <v>40</v>
      </c>
      <c r="R5865">
        <v>-99.999999000000003</v>
      </c>
    </row>
    <row r="5866" spans="1:18" x14ac:dyDescent="0.2">
      <c r="A5866" t="s">
        <v>18</v>
      </c>
      <c r="B5866" t="s">
        <v>462</v>
      </c>
      <c r="C5866">
        <v>1</v>
      </c>
      <c r="D5866" s="1">
        <v>44080.886099537034</v>
      </c>
      <c r="E5866" t="s">
        <v>18288</v>
      </c>
      <c r="F5866" t="s">
        <v>464</v>
      </c>
      <c r="G5866" t="s">
        <v>17727</v>
      </c>
      <c r="H5866" t="s">
        <v>466</v>
      </c>
      <c r="I5866" t="s">
        <v>29</v>
      </c>
      <c r="J5866">
        <v>1</v>
      </c>
      <c r="K5866">
        <f t="shared" si="49"/>
        <v>-1846</v>
      </c>
      <c r="L5866" t="s">
        <v>18289</v>
      </c>
      <c r="M5866" t="s">
        <v>18290</v>
      </c>
      <c r="N5866" t="s">
        <v>674</v>
      </c>
      <c r="O5866" t="s">
        <v>134</v>
      </c>
      <c r="P5866" t="s">
        <v>29</v>
      </c>
      <c r="Q5866">
        <v>40</v>
      </c>
      <c r="R5866">
        <v>-99.999999000000003</v>
      </c>
    </row>
    <row r="5867" spans="1:18" x14ac:dyDescent="0.2">
      <c r="A5867" t="s">
        <v>18</v>
      </c>
      <c r="B5867" t="s">
        <v>462</v>
      </c>
      <c r="C5867">
        <v>1</v>
      </c>
      <c r="D5867" s="1">
        <v>44080.885185185187</v>
      </c>
      <c r="E5867" t="s">
        <v>18291</v>
      </c>
      <c r="F5867" t="s">
        <v>464</v>
      </c>
      <c r="G5867" t="s">
        <v>17727</v>
      </c>
      <c r="H5867" t="s">
        <v>466</v>
      </c>
      <c r="I5867" t="s">
        <v>29</v>
      </c>
      <c r="J5867">
        <v>1</v>
      </c>
      <c r="K5867">
        <f t="shared" si="49"/>
        <v>-1846</v>
      </c>
      <c r="L5867" t="s">
        <v>18292</v>
      </c>
      <c r="M5867" t="s">
        <v>18293</v>
      </c>
      <c r="N5867" t="s">
        <v>3454</v>
      </c>
      <c r="O5867" t="s">
        <v>134</v>
      </c>
      <c r="P5867" t="s">
        <v>29</v>
      </c>
      <c r="Q5867">
        <v>40</v>
      </c>
      <c r="R5867">
        <v>-99.999999000000003</v>
      </c>
    </row>
    <row r="5868" spans="1:18" x14ac:dyDescent="0.2">
      <c r="A5868" t="s">
        <v>18</v>
      </c>
      <c r="B5868" t="s">
        <v>462</v>
      </c>
      <c r="C5868">
        <v>1</v>
      </c>
      <c r="D5868" s="1">
        <v>44080.885162037041</v>
      </c>
      <c r="E5868" t="s">
        <v>18294</v>
      </c>
      <c r="F5868" t="s">
        <v>464</v>
      </c>
      <c r="G5868" t="s">
        <v>17727</v>
      </c>
      <c r="H5868" t="s">
        <v>466</v>
      </c>
      <c r="I5868" t="s">
        <v>29</v>
      </c>
      <c r="J5868">
        <v>1</v>
      </c>
      <c r="K5868">
        <f t="shared" si="49"/>
        <v>-1846</v>
      </c>
      <c r="L5868" t="s">
        <v>18295</v>
      </c>
      <c r="M5868" t="s">
        <v>18296</v>
      </c>
      <c r="N5868" t="s">
        <v>674</v>
      </c>
      <c r="O5868" t="s">
        <v>134</v>
      </c>
      <c r="P5868" t="s">
        <v>29</v>
      </c>
      <c r="Q5868">
        <v>40</v>
      </c>
      <c r="R5868">
        <v>-99.999999000000003</v>
      </c>
    </row>
    <row r="5869" spans="1:18" x14ac:dyDescent="0.2">
      <c r="A5869" t="s">
        <v>18</v>
      </c>
      <c r="B5869" t="s">
        <v>462</v>
      </c>
      <c r="C5869">
        <v>1</v>
      </c>
      <c r="D5869" s="1">
        <v>44080.885150462964</v>
      </c>
      <c r="E5869" t="s">
        <v>18297</v>
      </c>
      <c r="F5869" t="s">
        <v>464</v>
      </c>
      <c r="G5869" t="s">
        <v>17727</v>
      </c>
      <c r="H5869" t="s">
        <v>466</v>
      </c>
      <c r="I5869" t="s">
        <v>29</v>
      </c>
      <c r="J5869">
        <v>1</v>
      </c>
      <c r="K5869">
        <f t="shared" si="49"/>
        <v>-1846</v>
      </c>
      <c r="L5869" t="s">
        <v>18298</v>
      </c>
      <c r="M5869" t="s">
        <v>18299</v>
      </c>
      <c r="N5869" t="s">
        <v>447</v>
      </c>
      <c r="O5869" t="s">
        <v>134</v>
      </c>
      <c r="P5869" t="s">
        <v>29</v>
      </c>
      <c r="Q5869">
        <v>40</v>
      </c>
      <c r="R5869">
        <v>-99.999999000000003</v>
      </c>
    </row>
    <row r="5870" spans="1:18" x14ac:dyDescent="0.2">
      <c r="A5870" t="s">
        <v>18</v>
      </c>
      <c r="B5870" t="s">
        <v>462</v>
      </c>
      <c r="C5870">
        <v>1</v>
      </c>
      <c r="D5870" s="1">
        <v>44080.885104166664</v>
      </c>
      <c r="E5870" t="s">
        <v>18300</v>
      </c>
      <c r="F5870" t="s">
        <v>464</v>
      </c>
      <c r="G5870" t="s">
        <v>17727</v>
      </c>
      <c r="H5870" t="s">
        <v>466</v>
      </c>
      <c r="I5870" t="s">
        <v>29</v>
      </c>
      <c r="J5870">
        <v>1</v>
      </c>
      <c r="K5870">
        <f t="shared" si="49"/>
        <v>-1846</v>
      </c>
      <c r="L5870" t="s">
        <v>18301</v>
      </c>
      <c r="M5870" t="s">
        <v>18302</v>
      </c>
      <c r="N5870" t="s">
        <v>3441</v>
      </c>
      <c r="O5870" t="s">
        <v>134</v>
      </c>
      <c r="P5870" t="s">
        <v>29</v>
      </c>
      <c r="Q5870">
        <v>40</v>
      </c>
      <c r="R5870">
        <v>-99.999999000000003</v>
      </c>
    </row>
    <row r="5871" spans="1:18" x14ac:dyDescent="0.2">
      <c r="A5871" t="s">
        <v>18</v>
      </c>
      <c r="B5871" t="s">
        <v>462</v>
      </c>
      <c r="C5871">
        <v>1</v>
      </c>
      <c r="D5871" s="1">
        <v>44080.885046296295</v>
      </c>
      <c r="E5871" t="s">
        <v>18303</v>
      </c>
      <c r="F5871" t="s">
        <v>464</v>
      </c>
      <c r="G5871" t="s">
        <v>17727</v>
      </c>
      <c r="H5871" t="s">
        <v>466</v>
      </c>
      <c r="I5871" t="s">
        <v>29</v>
      </c>
      <c r="J5871">
        <v>1</v>
      </c>
      <c r="K5871">
        <f t="shared" si="49"/>
        <v>-1846</v>
      </c>
      <c r="L5871" t="s">
        <v>18304</v>
      </c>
      <c r="M5871" t="s">
        <v>18305</v>
      </c>
      <c r="N5871" t="s">
        <v>213</v>
      </c>
      <c r="O5871" t="s">
        <v>134</v>
      </c>
      <c r="P5871" t="s">
        <v>29</v>
      </c>
      <c r="Q5871">
        <v>40</v>
      </c>
      <c r="R5871">
        <v>-99.999999000000003</v>
      </c>
    </row>
    <row r="5872" spans="1:18" x14ac:dyDescent="0.2">
      <c r="A5872" t="s">
        <v>18</v>
      </c>
      <c r="B5872" t="s">
        <v>462</v>
      </c>
      <c r="C5872">
        <v>1</v>
      </c>
      <c r="D5872" s="1">
        <v>44080.884548611109</v>
      </c>
      <c r="E5872" t="s">
        <v>18306</v>
      </c>
      <c r="F5872" t="s">
        <v>464</v>
      </c>
      <c r="G5872" t="s">
        <v>17727</v>
      </c>
      <c r="H5872" t="s">
        <v>466</v>
      </c>
      <c r="I5872" t="s">
        <v>29</v>
      </c>
      <c r="J5872">
        <v>1</v>
      </c>
      <c r="K5872">
        <f>1-800-431-760</f>
        <v>-1990</v>
      </c>
      <c r="L5872" t="s">
        <v>18307</v>
      </c>
      <c r="M5872" t="s">
        <v>18308</v>
      </c>
      <c r="N5872" t="s">
        <v>213</v>
      </c>
      <c r="O5872" t="s">
        <v>134</v>
      </c>
      <c r="P5872" t="s">
        <v>29</v>
      </c>
      <c r="Q5872">
        <v>40</v>
      </c>
      <c r="R5872">
        <v>-99.999999000000003</v>
      </c>
    </row>
    <row r="5873" spans="1:18" x14ac:dyDescent="0.2">
      <c r="A5873" t="s">
        <v>18</v>
      </c>
      <c r="B5873" t="s">
        <v>462</v>
      </c>
      <c r="C5873">
        <v>1</v>
      </c>
      <c r="D5873" s="1">
        <v>44080.883912037039</v>
      </c>
      <c r="E5873" t="s">
        <v>18309</v>
      </c>
      <c r="F5873" t="s">
        <v>464</v>
      </c>
      <c r="G5873" t="s">
        <v>17727</v>
      </c>
      <c r="H5873" t="s">
        <v>466</v>
      </c>
      <c r="I5873" t="s">
        <v>29</v>
      </c>
      <c r="J5873">
        <v>1</v>
      </c>
      <c r="K5873">
        <f>1-800-431-760</f>
        <v>-1990</v>
      </c>
      <c r="L5873" t="s">
        <v>18310</v>
      </c>
      <c r="M5873" t="s">
        <v>18311</v>
      </c>
      <c r="N5873" t="s">
        <v>3454</v>
      </c>
      <c r="O5873" t="s">
        <v>134</v>
      </c>
      <c r="P5873" t="s">
        <v>29</v>
      </c>
      <c r="Q5873">
        <v>40</v>
      </c>
      <c r="R5873">
        <v>-99.999999000000003</v>
      </c>
    </row>
    <row r="5874" spans="1:18" x14ac:dyDescent="0.2">
      <c r="A5874" t="s">
        <v>18</v>
      </c>
      <c r="B5874" t="s">
        <v>462</v>
      </c>
      <c r="C5874">
        <v>1</v>
      </c>
      <c r="D5874" s="1">
        <v>44080.88380787037</v>
      </c>
      <c r="E5874" t="s">
        <v>18312</v>
      </c>
      <c r="F5874" t="s">
        <v>464</v>
      </c>
      <c r="G5874" t="s">
        <v>17727</v>
      </c>
      <c r="H5874" t="s">
        <v>466</v>
      </c>
      <c r="I5874" t="s">
        <v>29</v>
      </c>
      <c r="J5874">
        <v>1</v>
      </c>
      <c r="K5874">
        <f>1-800-431-760</f>
        <v>-1990</v>
      </c>
      <c r="L5874" t="s">
        <v>18313</v>
      </c>
      <c r="M5874" t="s">
        <v>18314</v>
      </c>
      <c r="N5874" t="s">
        <v>447</v>
      </c>
      <c r="O5874" t="s">
        <v>134</v>
      </c>
      <c r="P5874" t="s">
        <v>29</v>
      </c>
      <c r="Q5874">
        <v>40</v>
      </c>
      <c r="R5874">
        <v>-99.999999000000003</v>
      </c>
    </row>
    <row r="5875" spans="1:18" x14ac:dyDescent="0.2">
      <c r="A5875" t="s">
        <v>18</v>
      </c>
      <c r="B5875" t="s">
        <v>462</v>
      </c>
      <c r="C5875">
        <v>1</v>
      </c>
      <c r="D5875" s="1">
        <v>44080.88354166667</v>
      </c>
      <c r="E5875" t="s">
        <v>18315</v>
      </c>
      <c r="F5875" t="s">
        <v>464</v>
      </c>
      <c r="G5875" t="s">
        <v>17727</v>
      </c>
      <c r="H5875" t="s">
        <v>466</v>
      </c>
      <c r="I5875" t="s">
        <v>29</v>
      </c>
      <c r="J5875">
        <v>1</v>
      </c>
      <c r="K5875">
        <f>1-800-431-760</f>
        <v>-1990</v>
      </c>
      <c r="L5875" t="s">
        <v>18316</v>
      </c>
      <c r="M5875" t="s">
        <v>18317</v>
      </c>
      <c r="N5875" t="s">
        <v>674</v>
      </c>
      <c r="O5875" t="s">
        <v>134</v>
      </c>
      <c r="P5875" t="s">
        <v>29</v>
      </c>
      <c r="Q5875">
        <v>40</v>
      </c>
      <c r="R5875">
        <v>-99.999999000000003</v>
      </c>
    </row>
    <row r="5876" spans="1:18" x14ac:dyDescent="0.2">
      <c r="A5876" t="s">
        <v>18</v>
      </c>
      <c r="B5876" t="s">
        <v>462</v>
      </c>
      <c r="C5876">
        <v>1</v>
      </c>
      <c r="D5876" s="1">
        <v>44080.88349537037</v>
      </c>
      <c r="E5876" t="s">
        <v>18318</v>
      </c>
      <c r="F5876" t="s">
        <v>464</v>
      </c>
      <c r="G5876" t="s">
        <v>17727</v>
      </c>
      <c r="H5876" t="s">
        <v>466</v>
      </c>
      <c r="I5876" t="s">
        <v>29</v>
      </c>
      <c r="J5876">
        <v>1</v>
      </c>
      <c r="K5876">
        <f>1-800-431-760</f>
        <v>-1990</v>
      </c>
      <c r="L5876" t="s">
        <v>18319</v>
      </c>
      <c r="M5876" t="s">
        <v>18320</v>
      </c>
      <c r="N5876" t="s">
        <v>674</v>
      </c>
      <c r="O5876" t="s">
        <v>134</v>
      </c>
      <c r="P5876" t="s">
        <v>29</v>
      </c>
      <c r="Q5876">
        <v>40</v>
      </c>
      <c r="R5876">
        <v>-99.999999000000003</v>
      </c>
    </row>
    <row r="5877" spans="1:18" x14ac:dyDescent="0.2">
      <c r="A5877" t="s">
        <v>18</v>
      </c>
      <c r="B5877" t="s">
        <v>462</v>
      </c>
      <c r="C5877">
        <v>1</v>
      </c>
      <c r="D5877" s="1">
        <v>44080.881851851853</v>
      </c>
      <c r="E5877" t="s">
        <v>18321</v>
      </c>
      <c r="F5877" t="s">
        <v>464</v>
      </c>
      <c r="G5877" t="s">
        <v>17727</v>
      </c>
      <c r="H5877" t="s">
        <v>466</v>
      </c>
      <c r="I5877" t="s">
        <v>29</v>
      </c>
      <c r="J5877">
        <v>1</v>
      </c>
      <c r="K5877">
        <f t="shared" ref="K5877:K5908" si="50">1-877-790-180</f>
        <v>-1846</v>
      </c>
      <c r="L5877" t="s">
        <v>18322</v>
      </c>
      <c r="M5877" t="s">
        <v>18323</v>
      </c>
      <c r="N5877" t="s">
        <v>3454</v>
      </c>
      <c r="O5877" t="s">
        <v>134</v>
      </c>
      <c r="P5877" t="s">
        <v>29</v>
      </c>
      <c r="Q5877">
        <v>40</v>
      </c>
      <c r="R5877">
        <v>-99.999999000000003</v>
      </c>
    </row>
    <row r="5878" spans="1:18" x14ac:dyDescent="0.2">
      <c r="A5878" t="s">
        <v>18</v>
      </c>
      <c r="B5878" t="s">
        <v>462</v>
      </c>
      <c r="C5878">
        <v>1</v>
      </c>
      <c r="D5878" s="1">
        <v>44080.881840277776</v>
      </c>
      <c r="E5878" t="s">
        <v>18321</v>
      </c>
      <c r="F5878" t="s">
        <v>464</v>
      </c>
      <c r="G5878" t="s">
        <v>17727</v>
      </c>
      <c r="H5878" t="s">
        <v>466</v>
      </c>
      <c r="I5878" t="s">
        <v>29</v>
      </c>
      <c r="J5878">
        <v>1</v>
      </c>
      <c r="K5878">
        <f t="shared" si="50"/>
        <v>-1846</v>
      </c>
      <c r="L5878" t="s">
        <v>18324</v>
      </c>
      <c r="M5878" t="s">
        <v>18323</v>
      </c>
      <c r="N5878" t="s">
        <v>3454</v>
      </c>
      <c r="O5878" t="s">
        <v>134</v>
      </c>
      <c r="P5878" t="s">
        <v>29</v>
      </c>
      <c r="Q5878">
        <v>40</v>
      </c>
      <c r="R5878">
        <v>-99.999999000000003</v>
      </c>
    </row>
    <row r="5879" spans="1:18" x14ac:dyDescent="0.2">
      <c r="A5879" t="s">
        <v>18</v>
      </c>
      <c r="B5879" t="s">
        <v>462</v>
      </c>
      <c r="C5879">
        <v>1</v>
      </c>
      <c r="D5879" s="1">
        <v>44080.881793981483</v>
      </c>
      <c r="E5879" t="s">
        <v>18325</v>
      </c>
      <c r="F5879" t="s">
        <v>464</v>
      </c>
      <c r="G5879" t="s">
        <v>17727</v>
      </c>
      <c r="H5879" t="s">
        <v>466</v>
      </c>
      <c r="I5879" t="s">
        <v>29</v>
      </c>
      <c r="J5879">
        <v>1</v>
      </c>
      <c r="K5879">
        <f t="shared" si="50"/>
        <v>-1846</v>
      </c>
      <c r="L5879" t="s">
        <v>18326</v>
      </c>
      <c r="M5879" t="s">
        <v>18327</v>
      </c>
      <c r="N5879" t="s">
        <v>3454</v>
      </c>
      <c r="O5879" t="s">
        <v>134</v>
      </c>
      <c r="P5879" t="s">
        <v>29</v>
      </c>
      <c r="Q5879">
        <v>40</v>
      </c>
      <c r="R5879">
        <v>-99.999999000000003</v>
      </c>
    </row>
    <row r="5880" spans="1:18" x14ac:dyDescent="0.2">
      <c r="A5880" t="s">
        <v>18</v>
      </c>
      <c r="B5880" t="s">
        <v>462</v>
      </c>
      <c r="C5880">
        <v>1</v>
      </c>
      <c r="D5880" s="1">
        <v>44080.881747685184</v>
      </c>
      <c r="E5880" t="s">
        <v>18328</v>
      </c>
      <c r="F5880" t="s">
        <v>464</v>
      </c>
      <c r="G5880" t="s">
        <v>17727</v>
      </c>
      <c r="H5880" t="s">
        <v>466</v>
      </c>
      <c r="I5880" t="s">
        <v>29</v>
      </c>
      <c r="J5880">
        <v>1</v>
      </c>
      <c r="K5880">
        <f t="shared" si="50"/>
        <v>-1846</v>
      </c>
      <c r="L5880" t="s">
        <v>18329</v>
      </c>
      <c r="M5880" t="s">
        <v>18330</v>
      </c>
      <c r="N5880" t="s">
        <v>3454</v>
      </c>
      <c r="O5880" t="s">
        <v>134</v>
      </c>
      <c r="P5880" t="s">
        <v>29</v>
      </c>
      <c r="Q5880">
        <v>40</v>
      </c>
      <c r="R5880">
        <v>-99.999999000000003</v>
      </c>
    </row>
    <row r="5881" spans="1:18" x14ac:dyDescent="0.2">
      <c r="A5881" t="s">
        <v>18</v>
      </c>
      <c r="B5881" t="s">
        <v>462</v>
      </c>
      <c r="C5881">
        <v>1</v>
      </c>
      <c r="D5881" s="1">
        <v>44080.881689814814</v>
      </c>
      <c r="E5881" t="s">
        <v>18331</v>
      </c>
      <c r="F5881" t="s">
        <v>464</v>
      </c>
      <c r="G5881" t="s">
        <v>17727</v>
      </c>
      <c r="H5881" t="s">
        <v>466</v>
      </c>
      <c r="I5881" t="s">
        <v>29</v>
      </c>
      <c r="J5881">
        <v>1</v>
      </c>
      <c r="K5881">
        <f t="shared" si="50"/>
        <v>-1846</v>
      </c>
      <c r="L5881" t="s">
        <v>18332</v>
      </c>
      <c r="M5881" t="s">
        <v>18333</v>
      </c>
      <c r="N5881" t="s">
        <v>3454</v>
      </c>
      <c r="O5881" t="s">
        <v>134</v>
      </c>
      <c r="P5881" t="s">
        <v>29</v>
      </c>
      <c r="Q5881">
        <v>40</v>
      </c>
      <c r="R5881">
        <v>-99.999999000000003</v>
      </c>
    </row>
    <row r="5882" spans="1:18" x14ac:dyDescent="0.2">
      <c r="A5882" t="s">
        <v>18</v>
      </c>
      <c r="B5882" t="s">
        <v>462</v>
      </c>
      <c r="C5882">
        <v>1</v>
      </c>
      <c r="D5882" s="1">
        <v>44080.881643518522</v>
      </c>
      <c r="E5882" t="s">
        <v>18334</v>
      </c>
      <c r="F5882" t="s">
        <v>464</v>
      </c>
      <c r="G5882" t="s">
        <v>17727</v>
      </c>
      <c r="H5882" t="s">
        <v>466</v>
      </c>
      <c r="I5882" t="s">
        <v>29</v>
      </c>
      <c r="J5882">
        <v>1</v>
      </c>
      <c r="K5882">
        <f t="shared" si="50"/>
        <v>-1846</v>
      </c>
      <c r="L5882" t="s">
        <v>18335</v>
      </c>
      <c r="M5882" t="s">
        <v>18336</v>
      </c>
      <c r="N5882" t="s">
        <v>3454</v>
      </c>
      <c r="O5882" t="s">
        <v>134</v>
      </c>
      <c r="P5882" t="s">
        <v>29</v>
      </c>
      <c r="Q5882">
        <v>40</v>
      </c>
      <c r="R5882">
        <v>-99.999999000000003</v>
      </c>
    </row>
    <row r="5883" spans="1:18" x14ac:dyDescent="0.2">
      <c r="A5883" t="s">
        <v>18</v>
      </c>
      <c r="B5883" t="s">
        <v>462</v>
      </c>
      <c r="C5883">
        <v>1</v>
      </c>
      <c r="D5883" s="1">
        <v>44080.881493055553</v>
      </c>
      <c r="E5883" t="s">
        <v>18337</v>
      </c>
      <c r="F5883" t="s">
        <v>464</v>
      </c>
      <c r="G5883" t="s">
        <v>17727</v>
      </c>
      <c r="H5883" t="s">
        <v>466</v>
      </c>
      <c r="I5883" t="s">
        <v>29</v>
      </c>
      <c r="J5883">
        <v>1</v>
      </c>
      <c r="K5883">
        <f t="shared" si="50"/>
        <v>-1846</v>
      </c>
      <c r="L5883" t="s">
        <v>18338</v>
      </c>
      <c r="M5883" t="s">
        <v>18339</v>
      </c>
      <c r="N5883" t="s">
        <v>674</v>
      </c>
      <c r="O5883" t="s">
        <v>134</v>
      </c>
      <c r="P5883" t="s">
        <v>29</v>
      </c>
      <c r="Q5883">
        <v>40</v>
      </c>
      <c r="R5883">
        <v>-99.999999000000003</v>
      </c>
    </row>
    <row r="5884" spans="1:18" x14ac:dyDescent="0.2">
      <c r="A5884" t="s">
        <v>18</v>
      </c>
      <c r="B5884" t="s">
        <v>462</v>
      </c>
      <c r="C5884">
        <v>1</v>
      </c>
      <c r="D5884" s="1">
        <v>44080.881458333337</v>
      </c>
      <c r="E5884" t="s">
        <v>18340</v>
      </c>
      <c r="F5884" t="s">
        <v>464</v>
      </c>
      <c r="G5884" t="s">
        <v>17727</v>
      </c>
      <c r="H5884" t="s">
        <v>466</v>
      </c>
      <c r="I5884" t="s">
        <v>29</v>
      </c>
      <c r="J5884">
        <v>1</v>
      </c>
      <c r="K5884">
        <f t="shared" si="50"/>
        <v>-1846</v>
      </c>
      <c r="L5884" t="s">
        <v>18341</v>
      </c>
      <c r="M5884" t="s">
        <v>18342</v>
      </c>
      <c r="N5884" t="s">
        <v>674</v>
      </c>
      <c r="O5884" t="s">
        <v>134</v>
      </c>
      <c r="P5884" t="s">
        <v>29</v>
      </c>
      <c r="Q5884">
        <v>40</v>
      </c>
      <c r="R5884">
        <v>-99.999999000000003</v>
      </c>
    </row>
    <row r="5885" spans="1:18" x14ac:dyDescent="0.2">
      <c r="A5885" t="s">
        <v>18</v>
      </c>
      <c r="B5885" t="s">
        <v>462</v>
      </c>
      <c r="C5885">
        <v>1</v>
      </c>
      <c r="D5885" s="1">
        <v>44080.881423611114</v>
      </c>
      <c r="E5885" t="s">
        <v>18343</v>
      </c>
      <c r="F5885" t="s">
        <v>464</v>
      </c>
      <c r="G5885" t="s">
        <v>17727</v>
      </c>
      <c r="H5885" t="s">
        <v>466</v>
      </c>
      <c r="I5885" t="s">
        <v>29</v>
      </c>
      <c r="J5885">
        <v>1</v>
      </c>
      <c r="K5885">
        <f t="shared" si="50"/>
        <v>-1846</v>
      </c>
      <c r="L5885" t="s">
        <v>18344</v>
      </c>
      <c r="M5885" t="s">
        <v>18345</v>
      </c>
      <c r="N5885" t="s">
        <v>674</v>
      </c>
      <c r="O5885" t="s">
        <v>134</v>
      </c>
      <c r="P5885" t="s">
        <v>29</v>
      </c>
      <c r="Q5885">
        <v>40</v>
      </c>
      <c r="R5885">
        <v>-99.999999000000003</v>
      </c>
    </row>
    <row r="5886" spans="1:18" x14ac:dyDescent="0.2">
      <c r="A5886" t="s">
        <v>18</v>
      </c>
      <c r="B5886" t="s">
        <v>462</v>
      </c>
      <c r="C5886">
        <v>1</v>
      </c>
      <c r="D5886" s="1">
        <v>44080.881319444445</v>
      </c>
      <c r="E5886" t="s">
        <v>18346</v>
      </c>
      <c r="F5886" t="s">
        <v>464</v>
      </c>
      <c r="G5886" t="s">
        <v>17727</v>
      </c>
      <c r="H5886" t="s">
        <v>466</v>
      </c>
      <c r="I5886" t="s">
        <v>29</v>
      </c>
      <c r="J5886">
        <v>1</v>
      </c>
      <c r="K5886">
        <f t="shared" si="50"/>
        <v>-1846</v>
      </c>
      <c r="L5886" t="s">
        <v>18347</v>
      </c>
      <c r="M5886" t="s">
        <v>18348</v>
      </c>
      <c r="N5886" t="s">
        <v>674</v>
      </c>
      <c r="O5886" t="s">
        <v>134</v>
      </c>
      <c r="P5886" t="s">
        <v>29</v>
      </c>
      <c r="Q5886">
        <v>40</v>
      </c>
      <c r="R5886">
        <v>-99.999999000000003</v>
      </c>
    </row>
    <row r="5887" spans="1:18" x14ac:dyDescent="0.2">
      <c r="A5887" t="s">
        <v>18</v>
      </c>
      <c r="B5887" t="s">
        <v>462</v>
      </c>
      <c r="C5887">
        <v>1</v>
      </c>
      <c r="D5887" s="1">
        <v>44080.881273148145</v>
      </c>
      <c r="E5887" t="s">
        <v>18349</v>
      </c>
      <c r="F5887" t="s">
        <v>464</v>
      </c>
      <c r="G5887" t="s">
        <v>17727</v>
      </c>
      <c r="H5887" t="s">
        <v>466</v>
      </c>
      <c r="I5887" t="s">
        <v>29</v>
      </c>
      <c r="J5887">
        <v>1</v>
      </c>
      <c r="K5887">
        <f t="shared" si="50"/>
        <v>-1846</v>
      </c>
      <c r="L5887" t="s">
        <v>18350</v>
      </c>
      <c r="M5887" t="s">
        <v>18351</v>
      </c>
      <c r="N5887" t="s">
        <v>674</v>
      </c>
      <c r="O5887" t="s">
        <v>134</v>
      </c>
      <c r="P5887" t="s">
        <v>29</v>
      </c>
      <c r="Q5887">
        <v>40</v>
      </c>
      <c r="R5887">
        <v>-99.999999000000003</v>
      </c>
    </row>
    <row r="5888" spans="1:18" x14ac:dyDescent="0.2">
      <c r="A5888" t="s">
        <v>18</v>
      </c>
      <c r="B5888" t="s">
        <v>462</v>
      </c>
      <c r="C5888">
        <v>1</v>
      </c>
      <c r="D5888" s="1">
        <v>44080.881238425929</v>
      </c>
      <c r="E5888" t="s">
        <v>18352</v>
      </c>
      <c r="F5888" t="s">
        <v>464</v>
      </c>
      <c r="G5888" t="s">
        <v>17727</v>
      </c>
      <c r="H5888" t="s">
        <v>466</v>
      </c>
      <c r="I5888" t="s">
        <v>29</v>
      </c>
      <c r="J5888">
        <v>1</v>
      </c>
      <c r="K5888">
        <f t="shared" si="50"/>
        <v>-1846</v>
      </c>
      <c r="L5888" t="s">
        <v>18353</v>
      </c>
      <c r="M5888" t="s">
        <v>18354</v>
      </c>
      <c r="N5888" t="s">
        <v>674</v>
      </c>
      <c r="O5888" t="s">
        <v>134</v>
      </c>
      <c r="P5888" t="s">
        <v>29</v>
      </c>
      <c r="Q5888">
        <v>40</v>
      </c>
      <c r="R5888">
        <v>-99.999999000000003</v>
      </c>
    </row>
    <row r="5889" spans="1:18" x14ac:dyDescent="0.2">
      <c r="A5889" t="s">
        <v>18</v>
      </c>
      <c r="B5889" t="s">
        <v>462</v>
      </c>
      <c r="C5889">
        <v>1</v>
      </c>
      <c r="D5889" s="1">
        <v>44080.881076388891</v>
      </c>
      <c r="E5889" t="s">
        <v>18355</v>
      </c>
      <c r="F5889" t="s">
        <v>464</v>
      </c>
      <c r="G5889" t="s">
        <v>17727</v>
      </c>
      <c r="H5889" t="s">
        <v>466</v>
      </c>
      <c r="I5889" t="s">
        <v>29</v>
      </c>
      <c r="J5889">
        <v>1</v>
      </c>
      <c r="K5889">
        <f t="shared" si="50"/>
        <v>-1846</v>
      </c>
      <c r="L5889" t="s">
        <v>18356</v>
      </c>
      <c r="M5889" t="s">
        <v>18357</v>
      </c>
      <c r="N5889" t="s">
        <v>447</v>
      </c>
      <c r="O5889" t="s">
        <v>134</v>
      </c>
      <c r="P5889" t="s">
        <v>29</v>
      </c>
      <c r="Q5889">
        <v>40</v>
      </c>
      <c r="R5889">
        <v>-99.999999000000003</v>
      </c>
    </row>
    <row r="5890" spans="1:18" x14ac:dyDescent="0.2">
      <c r="A5890" t="s">
        <v>18</v>
      </c>
      <c r="B5890" t="s">
        <v>462</v>
      </c>
      <c r="C5890">
        <v>1</v>
      </c>
      <c r="D5890" s="1">
        <v>44080.880960648145</v>
      </c>
      <c r="E5890" t="s">
        <v>18358</v>
      </c>
      <c r="F5890" t="s">
        <v>464</v>
      </c>
      <c r="G5890" t="s">
        <v>17727</v>
      </c>
      <c r="H5890" t="s">
        <v>466</v>
      </c>
      <c r="I5890" t="s">
        <v>29</v>
      </c>
      <c r="J5890">
        <v>1</v>
      </c>
      <c r="K5890">
        <f t="shared" si="50"/>
        <v>-1846</v>
      </c>
      <c r="L5890" t="s">
        <v>18359</v>
      </c>
      <c r="M5890" t="s">
        <v>18360</v>
      </c>
      <c r="N5890" t="s">
        <v>447</v>
      </c>
      <c r="O5890" t="s">
        <v>134</v>
      </c>
      <c r="P5890" t="s">
        <v>29</v>
      </c>
      <c r="Q5890">
        <v>40</v>
      </c>
      <c r="R5890">
        <v>-99.999999000000003</v>
      </c>
    </row>
    <row r="5891" spans="1:18" x14ac:dyDescent="0.2">
      <c r="A5891" t="s">
        <v>18</v>
      </c>
      <c r="B5891" t="s">
        <v>462</v>
      </c>
      <c r="C5891">
        <v>1</v>
      </c>
      <c r="D5891" s="1">
        <v>44080.880856481483</v>
      </c>
      <c r="E5891" t="s">
        <v>18361</v>
      </c>
      <c r="F5891" t="s">
        <v>464</v>
      </c>
      <c r="G5891" t="s">
        <v>17727</v>
      </c>
      <c r="H5891" t="s">
        <v>466</v>
      </c>
      <c r="I5891" t="s">
        <v>29</v>
      </c>
      <c r="J5891">
        <v>1</v>
      </c>
      <c r="K5891">
        <f t="shared" si="50"/>
        <v>-1846</v>
      </c>
      <c r="L5891" t="s">
        <v>18362</v>
      </c>
      <c r="M5891" t="s">
        <v>18363</v>
      </c>
      <c r="N5891" t="s">
        <v>447</v>
      </c>
      <c r="O5891" t="s">
        <v>134</v>
      </c>
      <c r="P5891" t="s">
        <v>29</v>
      </c>
      <c r="Q5891">
        <v>40</v>
      </c>
      <c r="R5891">
        <v>-99.999999000000003</v>
      </c>
    </row>
    <row r="5892" spans="1:18" x14ac:dyDescent="0.2">
      <c r="A5892" t="s">
        <v>18</v>
      </c>
      <c r="B5892" t="s">
        <v>462</v>
      </c>
      <c r="C5892">
        <v>1</v>
      </c>
      <c r="D5892" s="1">
        <v>44080.88071759259</v>
      </c>
      <c r="E5892" t="s">
        <v>18364</v>
      </c>
      <c r="F5892" t="s">
        <v>464</v>
      </c>
      <c r="G5892" t="s">
        <v>17727</v>
      </c>
      <c r="H5892" t="s">
        <v>466</v>
      </c>
      <c r="I5892" t="s">
        <v>29</v>
      </c>
      <c r="J5892">
        <v>1</v>
      </c>
      <c r="K5892">
        <f t="shared" si="50"/>
        <v>-1846</v>
      </c>
      <c r="L5892" t="s">
        <v>18365</v>
      </c>
      <c r="M5892" t="s">
        <v>18366</v>
      </c>
      <c r="N5892" t="s">
        <v>213</v>
      </c>
      <c r="O5892" t="s">
        <v>134</v>
      </c>
      <c r="P5892" t="s">
        <v>29</v>
      </c>
      <c r="Q5892">
        <v>40</v>
      </c>
      <c r="R5892">
        <v>-99.999999000000003</v>
      </c>
    </row>
    <row r="5893" spans="1:18" x14ac:dyDescent="0.2">
      <c r="A5893" t="s">
        <v>18</v>
      </c>
      <c r="B5893" t="s">
        <v>462</v>
      </c>
      <c r="C5893">
        <v>1</v>
      </c>
      <c r="D5893" s="1">
        <v>44080.880706018521</v>
      </c>
      <c r="E5893" t="s">
        <v>18367</v>
      </c>
      <c r="F5893" t="s">
        <v>464</v>
      </c>
      <c r="G5893" t="s">
        <v>17727</v>
      </c>
      <c r="H5893" t="s">
        <v>466</v>
      </c>
      <c r="I5893" t="s">
        <v>29</v>
      </c>
      <c r="J5893">
        <v>1</v>
      </c>
      <c r="K5893">
        <f t="shared" si="50"/>
        <v>-1846</v>
      </c>
      <c r="L5893" t="s">
        <v>18368</v>
      </c>
      <c r="M5893" t="s">
        <v>18369</v>
      </c>
      <c r="N5893" t="s">
        <v>3441</v>
      </c>
      <c r="O5893" t="s">
        <v>134</v>
      </c>
      <c r="P5893" t="s">
        <v>29</v>
      </c>
      <c r="Q5893">
        <v>40</v>
      </c>
      <c r="R5893">
        <v>-99.999999000000003</v>
      </c>
    </row>
    <row r="5894" spans="1:18" x14ac:dyDescent="0.2">
      <c r="A5894" t="s">
        <v>18</v>
      </c>
      <c r="B5894" t="s">
        <v>462</v>
      </c>
      <c r="C5894">
        <v>1</v>
      </c>
      <c r="D5894" s="1">
        <v>44080.880601851852</v>
      </c>
      <c r="E5894" t="s">
        <v>18370</v>
      </c>
      <c r="F5894" t="s">
        <v>464</v>
      </c>
      <c r="G5894" t="s">
        <v>17727</v>
      </c>
      <c r="H5894" t="s">
        <v>466</v>
      </c>
      <c r="I5894" t="s">
        <v>29</v>
      </c>
      <c r="J5894">
        <v>1</v>
      </c>
      <c r="K5894">
        <f t="shared" si="50"/>
        <v>-1846</v>
      </c>
      <c r="L5894" t="s">
        <v>18371</v>
      </c>
      <c r="M5894" t="s">
        <v>18372</v>
      </c>
      <c r="N5894" t="s">
        <v>213</v>
      </c>
      <c r="O5894" t="s">
        <v>134</v>
      </c>
      <c r="P5894" t="s">
        <v>29</v>
      </c>
      <c r="Q5894">
        <v>40</v>
      </c>
      <c r="R5894">
        <v>-99.999999000000003</v>
      </c>
    </row>
    <row r="5895" spans="1:18" x14ac:dyDescent="0.2">
      <c r="A5895" t="s">
        <v>18</v>
      </c>
      <c r="B5895" t="s">
        <v>462</v>
      </c>
      <c r="C5895">
        <v>1</v>
      </c>
      <c r="D5895" s="1">
        <v>44080.880590277775</v>
      </c>
      <c r="E5895" t="s">
        <v>18373</v>
      </c>
      <c r="F5895" t="s">
        <v>464</v>
      </c>
      <c r="G5895" t="s">
        <v>17727</v>
      </c>
      <c r="H5895" t="s">
        <v>466</v>
      </c>
      <c r="I5895" t="s">
        <v>29</v>
      </c>
      <c r="J5895">
        <v>1</v>
      </c>
      <c r="K5895">
        <f t="shared" si="50"/>
        <v>-1846</v>
      </c>
      <c r="L5895" t="s">
        <v>18374</v>
      </c>
      <c r="M5895" t="s">
        <v>18375</v>
      </c>
      <c r="N5895" t="s">
        <v>3441</v>
      </c>
      <c r="O5895" t="s">
        <v>134</v>
      </c>
      <c r="P5895" t="s">
        <v>29</v>
      </c>
      <c r="Q5895">
        <v>40</v>
      </c>
      <c r="R5895">
        <v>-99.999999000000003</v>
      </c>
    </row>
    <row r="5896" spans="1:18" x14ac:dyDescent="0.2">
      <c r="A5896" t="s">
        <v>18</v>
      </c>
      <c r="B5896" t="s">
        <v>462</v>
      </c>
      <c r="C5896">
        <v>1</v>
      </c>
      <c r="D5896" s="1">
        <v>44080.880497685182</v>
      </c>
      <c r="E5896" t="s">
        <v>18376</v>
      </c>
      <c r="F5896" t="s">
        <v>464</v>
      </c>
      <c r="G5896" t="s">
        <v>17727</v>
      </c>
      <c r="H5896" t="s">
        <v>466</v>
      </c>
      <c r="I5896" t="s">
        <v>29</v>
      </c>
      <c r="J5896">
        <v>1</v>
      </c>
      <c r="K5896">
        <f t="shared" si="50"/>
        <v>-1846</v>
      </c>
      <c r="L5896" t="s">
        <v>18377</v>
      </c>
      <c r="M5896" t="s">
        <v>18378</v>
      </c>
      <c r="N5896" t="s">
        <v>213</v>
      </c>
      <c r="O5896" t="s">
        <v>134</v>
      </c>
      <c r="P5896" t="s">
        <v>29</v>
      </c>
      <c r="Q5896">
        <v>40</v>
      </c>
      <c r="R5896">
        <v>-99.999999000000003</v>
      </c>
    </row>
    <row r="5897" spans="1:18" x14ac:dyDescent="0.2">
      <c r="A5897" t="s">
        <v>18</v>
      </c>
      <c r="B5897" t="s">
        <v>462</v>
      </c>
      <c r="C5897">
        <v>1</v>
      </c>
      <c r="D5897" s="1">
        <v>44080.880486111113</v>
      </c>
      <c r="E5897" t="s">
        <v>18379</v>
      </c>
      <c r="F5897" t="s">
        <v>464</v>
      </c>
      <c r="G5897" t="s">
        <v>17727</v>
      </c>
      <c r="H5897" t="s">
        <v>466</v>
      </c>
      <c r="I5897" t="s">
        <v>29</v>
      </c>
      <c r="J5897">
        <v>1</v>
      </c>
      <c r="K5897">
        <f t="shared" si="50"/>
        <v>-1846</v>
      </c>
      <c r="L5897" t="s">
        <v>18380</v>
      </c>
      <c r="M5897" t="s">
        <v>18381</v>
      </c>
      <c r="N5897" t="s">
        <v>3441</v>
      </c>
      <c r="O5897" t="s">
        <v>134</v>
      </c>
      <c r="P5897" t="s">
        <v>29</v>
      </c>
      <c r="Q5897">
        <v>40</v>
      </c>
      <c r="R5897">
        <v>-99.999999000000003</v>
      </c>
    </row>
    <row r="5898" spans="1:18" x14ac:dyDescent="0.2">
      <c r="A5898" t="s">
        <v>18</v>
      </c>
      <c r="B5898" t="s">
        <v>462</v>
      </c>
      <c r="C5898">
        <v>1</v>
      </c>
      <c r="D5898" s="1">
        <v>44080.88045138889</v>
      </c>
      <c r="E5898" t="s">
        <v>18382</v>
      </c>
      <c r="F5898" t="s">
        <v>464</v>
      </c>
      <c r="G5898" t="s">
        <v>17727</v>
      </c>
      <c r="H5898" t="s">
        <v>466</v>
      </c>
      <c r="I5898" t="s">
        <v>29</v>
      </c>
      <c r="J5898">
        <v>1</v>
      </c>
      <c r="K5898">
        <f t="shared" si="50"/>
        <v>-1846</v>
      </c>
      <c r="L5898" t="s">
        <v>18383</v>
      </c>
      <c r="M5898" t="s">
        <v>18384</v>
      </c>
      <c r="N5898" t="s">
        <v>3441</v>
      </c>
      <c r="O5898" t="s">
        <v>134</v>
      </c>
      <c r="P5898" t="s">
        <v>29</v>
      </c>
      <c r="Q5898">
        <v>40</v>
      </c>
      <c r="R5898">
        <v>-99.999999000000003</v>
      </c>
    </row>
    <row r="5899" spans="1:18" x14ac:dyDescent="0.2">
      <c r="A5899" t="s">
        <v>18</v>
      </c>
      <c r="B5899" t="s">
        <v>462</v>
      </c>
      <c r="C5899">
        <v>1</v>
      </c>
      <c r="D5899" s="1">
        <v>44080.880416666667</v>
      </c>
      <c r="E5899" t="s">
        <v>18385</v>
      </c>
      <c r="F5899" t="s">
        <v>464</v>
      </c>
      <c r="G5899" t="s">
        <v>17727</v>
      </c>
      <c r="H5899" t="s">
        <v>466</v>
      </c>
      <c r="I5899" t="s">
        <v>29</v>
      </c>
      <c r="J5899">
        <v>1</v>
      </c>
      <c r="K5899">
        <f t="shared" si="50"/>
        <v>-1846</v>
      </c>
      <c r="L5899" t="s">
        <v>18386</v>
      </c>
      <c r="M5899" t="s">
        <v>18387</v>
      </c>
      <c r="N5899" t="s">
        <v>213</v>
      </c>
      <c r="O5899" t="s">
        <v>134</v>
      </c>
      <c r="P5899" t="s">
        <v>29</v>
      </c>
      <c r="Q5899">
        <v>40</v>
      </c>
      <c r="R5899">
        <v>-99.999999000000003</v>
      </c>
    </row>
    <row r="5900" spans="1:18" x14ac:dyDescent="0.2">
      <c r="A5900" t="s">
        <v>18</v>
      </c>
      <c r="B5900" t="s">
        <v>462</v>
      </c>
      <c r="C5900">
        <v>1</v>
      </c>
      <c r="D5900" s="1">
        <v>44080.880335648151</v>
      </c>
      <c r="E5900" t="s">
        <v>18388</v>
      </c>
      <c r="F5900" t="s">
        <v>464</v>
      </c>
      <c r="G5900" t="s">
        <v>17727</v>
      </c>
      <c r="H5900" t="s">
        <v>466</v>
      </c>
      <c r="I5900" t="s">
        <v>29</v>
      </c>
      <c r="J5900">
        <v>1</v>
      </c>
      <c r="K5900">
        <f t="shared" si="50"/>
        <v>-1846</v>
      </c>
      <c r="L5900" t="s">
        <v>18389</v>
      </c>
      <c r="M5900" t="s">
        <v>18390</v>
      </c>
      <c r="N5900" t="s">
        <v>213</v>
      </c>
      <c r="O5900" t="s">
        <v>134</v>
      </c>
      <c r="P5900" t="s">
        <v>29</v>
      </c>
      <c r="Q5900">
        <v>40</v>
      </c>
      <c r="R5900">
        <v>-99.999999000000003</v>
      </c>
    </row>
    <row r="5901" spans="1:18" x14ac:dyDescent="0.2">
      <c r="A5901" t="s">
        <v>18</v>
      </c>
      <c r="B5901" t="s">
        <v>462</v>
      </c>
      <c r="C5901">
        <v>1</v>
      </c>
      <c r="D5901" s="1">
        <v>44080.880300925928</v>
      </c>
      <c r="E5901" t="s">
        <v>18391</v>
      </c>
      <c r="F5901" t="s">
        <v>464</v>
      </c>
      <c r="G5901" t="s">
        <v>17727</v>
      </c>
      <c r="H5901" t="s">
        <v>466</v>
      </c>
      <c r="I5901" t="s">
        <v>29</v>
      </c>
      <c r="J5901">
        <v>1</v>
      </c>
      <c r="K5901">
        <f t="shared" si="50"/>
        <v>-1846</v>
      </c>
      <c r="L5901" t="s">
        <v>18392</v>
      </c>
      <c r="M5901" t="s">
        <v>18393</v>
      </c>
      <c r="N5901" t="s">
        <v>213</v>
      </c>
      <c r="O5901" t="s">
        <v>134</v>
      </c>
      <c r="P5901" t="s">
        <v>29</v>
      </c>
      <c r="Q5901">
        <v>40</v>
      </c>
      <c r="R5901">
        <v>-99.999999000000003</v>
      </c>
    </row>
    <row r="5902" spans="1:18" x14ac:dyDescent="0.2">
      <c r="A5902" t="s">
        <v>18</v>
      </c>
      <c r="B5902" t="s">
        <v>462</v>
      </c>
      <c r="C5902">
        <v>1</v>
      </c>
      <c r="D5902" s="1">
        <v>44080.880208333336</v>
      </c>
      <c r="E5902" t="s">
        <v>18394</v>
      </c>
      <c r="F5902" t="s">
        <v>464</v>
      </c>
      <c r="G5902" t="s">
        <v>17727</v>
      </c>
      <c r="H5902" t="s">
        <v>466</v>
      </c>
      <c r="I5902" t="s">
        <v>29</v>
      </c>
      <c r="J5902">
        <v>1</v>
      </c>
      <c r="K5902">
        <f t="shared" si="50"/>
        <v>-1846</v>
      </c>
      <c r="L5902" t="s">
        <v>18395</v>
      </c>
      <c r="M5902" t="s">
        <v>18396</v>
      </c>
      <c r="N5902" t="s">
        <v>674</v>
      </c>
      <c r="O5902" t="s">
        <v>134</v>
      </c>
      <c r="P5902" t="s">
        <v>29</v>
      </c>
      <c r="Q5902">
        <v>40</v>
      </c>
      <c r="R5902">
        <v>-99.999999000000003</v>
      </c>
    </row>
    <row r="5903" spans="1:18" x14ac:dyDescent="0.2">
      <c r="A5903" t="s">
        <v>18</v>
      </c>
      <c r="B5903" t="s">
        <v>462</v>
      </c>
      <c r="C5903">
        <v>1</v>
      </c>
      <c r="D5903" s="1">
        <v>44080.880150462966</v>
      </c>
      <c r="E5903" t="s">
        <v>18397</v>
      </c>
      <c r="F5903" t="s">
        <v>464</v>
      </c>
      <c r="G5903" t="s">
        <v>17727</v>
      </c>
      <c r="H5903" t="s">
        <v>466</v>
      </c>
      <c r="I5903" t="s">
        <v>29</v>
      </c>
      <c r="J5903">
        <v>1</v>
      </c>
      <c r="K5903">
        <f t="shared" si="50"/>
        <v>-1846</v>
      </c>
      <c r="L5903" t="s">
        <v>18398</v>
      </c>
      <c r="M5903" t="s">
        <v>18399</v>
      </c>
      <c r="N5903" t="s">
        <v>3441</v>
      </c>
      <c r="O5903" t="s">
        <v>134</v>
      </c>
      <c r="P5903" t="s">
        <v>29</v>
      </c>
      <c r="Q5903">
        <v>40</v>
      </c>
      <c r="R5903">
        <v>-99.999999000000003</v>
      </c>
    </row>
    <row r="5904" spans="1:18" x14ac:dyDescent="0.2">
      <c r="A5904" t="s">
        <v>18</v>
      </c>
      <c r="B5904" t="s">
        <v>462</v>
      </c>
      <c r="C5904">
        <v>1</v>
      </c>
      <c r="D5904" s="1">
        <v>44080.879872685182</v>
      </c>
      <c r="E5904" t="s">
        <v>18400</v>
      </c>
      <c r="F5904" t="s">
        <v>464</v>
      </c>
      <c r="G5904" t="s">
        <v>17727</v>
      </c>
      <c r="H5904" t="s">
        <v>466</v>
      </c>
      <c r="I5904" t="s">
        <v>29</v>
      </c>
      <c r="J5904">
        <v>1</v>
      </c>
      <c r="K5904">
        <f t="shared" si="50"/>
        <v>-1846</v>
      </c>
      <c r="L5904" t="s">
        <v>18401</v>
      </c>
      <c r="M5904" t="s">
        <v>18402</v>
      </c>
      <c r="N5904" t="s">
        <v>3454</v>
      </c>
      <c r="O5904" t="s">
        <v>134</v>
      </c>
      <c r="P5904" t="s">
        <v>29</v>
      </c>
      <c r="Q5904">
        <v>40</v>
      </c>
      <c r="R5904">
        <v>-99.999999000000003</v>
      </c>
    </row>
    <row r="5905" spans="1:18" x14ac:dyDescent="0.2">
      <c r="A5905" t="s">
        <v>18</v>
      </c>
      <c r="B5905" t="s">
        <v>462</v>
      </c>
      <c r="C5905">
        <v>1</v>
      </c>
      <c r="D5905" s="1">
        <v>44080.879664351851</v>
      </c>
      <c r="E5905" t="s">
        <v>18403</v>
      </c>
      <c r="F5905" t="s">
        <v>464</v>
      </c>
      <c r="G5905" t="s">
        <v>17727</v>
      </c>
      <c r="H5905" t="s">
        <v>466</v>
      </c>
      <c r="I5905" t="s">
        <v>29</v>
      </c>
      <c r="J5905">
        <v>1</v>
      </c>
      <c r="K5905">
        <f t="shared" si="50"/>
        <v>-1846</v>
      </c>
      <c r="L5905" t="s">
        <v>18404</v>
      </c>
      <c r="M5905" t="s">
        <v>18405</v>
      </c>
      <c r="N5905" t="s">
        <v>213</v>
      </c>
      <c r="O5905" t="s">
        <v>134</v>
      </c>
      <c r="P5905" t="s">
        <v>29</v>
      </c>
      <c r="Q5905">
        <v>40</v>
      </c>
      <c r="R5905">
        <v>-99.999999000000003</v>
      </c>
    </row>
    <row r="5906" spans="1:18" x14ac:dyDescent="0.2">
      <c r="A5906" t="s">
        <v>18</v>
      </c>
      <c r="B5906" t="s">
        <v>462</v>
      </c>
      <c r="C5906">
        <v>1</v>
      </c>
      <c r="D5906" s="1">
        <v>44080.879571759258</v>
      </c>
      <c r="E5906" t="s">
        <v>18406</v>
      </c>
      <c r="F5906" t="s">
        <v>464</v>
      </c>
      <c r="G5906" t="s">
        <v>17727</v>
      </c>
      <c r="H5906" t="s">
        <v>466</v>
      </c>
      <c r="I5906" t="s">
        <v>29</v>
      </c>
      <c r="J5906">
        <v>1</v>
      </c>
      <c r="K5906">
        <f t="shared" si="50"/>
        <v>-1846</v>
      </c>
      <c r="L5906" t="s">
        <v>18407</v>
      </c>
      <c r="M5906" t="s">
        <v>18408</v>
      </c>
      <c r="N5906" t="s">
        <v>674</v>
      </c>
      <c r="O5906" t="s">
        <v>134</v>
      </c>
      <c r="P5906" t="s">
        <v>29</v>
      </c>
      <c r="Q5906">
        <v>40</v>
      </c>
      <c r="R5906">
        <v>-99.999999000000003</v>
      </c>
    </row>
    <row r="5907" spans="1:18" x14ac:dyDescent="0.2">
      <c r="A5907" t="s">
        <v>18</v>
      </c>
      <c r="B5907" t="s">
        <v>462</v>
      </c>
      <c r="C5907">
        <v>1</v>
      </c>
      <c r="D5907" s="1">
        <v>44080.879548611112</v>
      </c>
      <c r="E5907" t="s">
        <v>18409</v>
      </c>
      <c r="F5907" t="s">
        <v>464</v>
      </c>
      <c r="G5907" t="s">
        <v>17727</v>
      </c>
      <c r="H5907" t="s">
        <v>466</v>
      </c>
      <c r="I5907" t="s">
        <v>29</v>
      </c>
      <c r="J5907">
        <v>1</v>
      </c>
      <c r="K5907">
        <f t="shared" si="50"/>
        <v>-1846</v>
      </c>
      <c r="L5907" t="s">
        <v>18410</v>
      </c>
      <c r="M5907" t="s">
        <v>18411</v>
      </c>
      <c r="N5907" t="s">
        <v>3454</v>
      </c>
      <c r="O5907" t="s">
        <v>134</v>
      </c>
      <c r="P5907" t="s">
        <v>29</v>
      </c>
      <c r="Q5907">
        <v>40</v>
      </c>
      <c r="R5907">
        <v>-99.999999000000003</v>
      </c>
    </row>
    <row r="5908" spans="1:18" x14ac:dyDescent="0.2">
      <c r="A5908" t="s">
        <v>18</v>
      </c>
      <c r="B5908" t="s">
        <v>462</v>
      </c>
      <c r="C5908">
        <v>1</v>
      </c>
      <c r="D5908" s="1">
        <v>44080.879467592589</v>
      </c>
      <c r="E5908" t="s">
        <v>18412</v>
      </c>
      <c r="F5908" t="s">
        <v>464</v>
      </c>
      <c r="G5908" t="s">
        <v>17727</v>
      </c>
      <c r="H5908" t="s">
        <v>466</v>
      </c>
      <c r="I5908" t="s">
        <v>29</v>
      </c>
      <c r="J5908">
        <v>1</v>
      </c>
      <c r="K5908">
        <f t="shared" si="50"/>
        <v>-1846</v>
      </c>
      <c r="L5908" t="s">
        <v>18413</v>
      </c>
      <c r="M5908" t="s">
        <v>18414</v>
      </c>
      <c r="N5908" t="s">
        <v>3454</v>
      </c>
      <c r="O5908" t="s">
        <v>134</v>
      </c>
      <c r="P5908" t="s">
        <v>29</v>
      </c>
      <c r="Q5908">
        <v>40</v>
      </c>
      <c r="R5908">
        <v>-99.999999000000003</v>
      </c>
    </row>
    <row r="5909" spans="1:18" x14ac:dyDescent="0.2">
      <c r="A5909" t="s">
        <v>18</v>
      </c>
      <c r="B5909" t="s">
        <v>462</v>
      </c>
      <c r="C5909">
        <v>1</v>
      </c>
      <c r="D5909" s="1">
        <v>44080.87939814815</v>
      </c>
      <c r="E5909" t="s">
        <v>18415</v>
      </c>
      <c r="F5909" t="s">
        <v>464</v>
      </c>
      <c r="G5909" t="s">
        <v>17727</v>
      </c>
      <c r="H5909" t="s">
        <v>466</v>
      </c>
      <c r="I5909" t="s">
        <v>29</v>
      </c>
      <c r="J5909">
        <v>1</v>
      </c>
      <c r="K5909">
        <f t="shared" ref="K5909:K5933" si="51">1-877-790-180</f>
        <v>-1846</v>
      </c>
      <c r="L5909" t="s">
        <v>18416</v>
      </c>
      <c r="M5909" t="s">
        <v>18417</v>
      </c>
      <c r="N5909" t="s">
        <v>674</v>
      </c>
      <c r="O5909" t="s">
        <v>134</v>
      </c>
      <c r="P5909" t="s">
        <v>29</v>
      </c>
      <c r="Q5909">
        <v>40</v>
      </c>
      <c r="R5909">
        <v>-99.999999000000003</v>
      </c>
    </row>
    <row r="5910" spans="1:18" x14ac:dyDescent="0.2">
      <c r="A5910" t="s">
        <v>18</v>
      </c>
      <c r="B5910" t="s">
        <v>462</v>
      </c>
      <c r="C5910">
        <v>1</v>
      </c>
      <c r="D5910" s="1">
        <v>44080.879317129627</v>
      </c>
      <c r="E5910" t="s">
        <v>18418</v>
      </c>
      <c r="F5910" t="s">
        <v>464</v>
      </c>
      <c r="G5910" t="s">
        <v>17727</v>
      </c>
      <c r="H5910" t="s">
        <v>466</v>
      </c>
      <c r="I5910" t="s">
        <v>29</v>
      </c>
      <c r="J5910">
        <v>1</v>
      </c>
      <c r="K5910">
        <f t="shared" si="51"/>
        <v>-1846</v>
      </c>
      <c r="L5910" t="s">
        <v>18419</v>
      </c>
      <c r="M5910" t="s">
        <v>18420</v>
      </c>
      <c r="N5910" t="s">
        <v>3454</v>
      </c>
      <c r="O5910" t="s">
        <v>134</v>
      </c>
      <c r="P5910" t="s">
        <v>29</v>
      </c>
      <c r="Q5910">
        <v>40</v>
      </c>
      <c r="R5910">
        <v>-99.999999000000003</v>
      </c>
    </row>
    <row r="5911" spans="1:18" x14ac:dyDescent="0.2">
      <c r="A5911" t="s">
        <v>18</v>
      </c>
      <c r="B5911" t="s">
        <v>462</v>
      </c>
      <c r="C5911">
        <v>1</v>
      </c>
      <c r="D5911" s="1">
        <v>44080.879108796296</v>
      </c>
      <c r="E5911" t="s">
        <v>18421</v>
      </c>
      <c r="F5911" t="s">
        <v>464</v>
      </c>
      <c r="G5911" t="s">
        <v>17727</v>
      </c>
      <c r="H5911" t="s">
        <v>466</v>
      </c>
      <c r="I5911" t="s">
        <v>29</v>
      </c>
      <c r="J5911">
        <v>1</v>
      </c>
      <c r="K5911">
        <f t="shared" si="51"/>
        <v>-1846</v>
      </c>
      <c r="L5911" t="s">
        <v>18422</v>
      </c>
      <c r="M5911" t="s">
        <v>18423</v>
      </c>
      <c r="N5911" t="s">
        <v>447</v>
      </c>
      <c r="O5911" t="s">
        <v>134</v>
      </c>
      <c r="P5911" t="s">
        <v>29</v>
      </c>
      <c r="Q5911">
        <v>40</v>
      </c>
      <c r="R5911">
        <v>-99.999999000000003</v>
      </c>
    </row>
    <row r="5912" spans="1:18" x14ac:dyDescent="0.2">
      <c r="A5912" t="s">
        <v>18</v>
      </c>
      <c r="B5912" t="s">
        <v>462</v>
      </c>
      <c r="C5912">
        <v>1</v>
      </c>
      <c r="D5912" s="1">
        <v>44080.879062499997</v>
      </c>
      <c r="E5912" t="s">
        <v>18424</v>
      </c>
      <c r="F5912" t="s">
        <v>464</v>
      </c>
      <c r="G5912" t="s">
        <v>17727</v>
      </c>
      <c r="H5912" t="s">
        <v>466</v>
      </c>
      <c r="I5912" t="s">
        <v>29</v>
      </c>
      <c r="J5912">
        <v>1</v>
      </c>
      <c r="K5912">
        <f t="shared" si="51"/>
        <v>-1846</v>
      </c>
      <c r="L5912" t="s">
        <v>18425</v>
      </c>
      <c r="M5912" t="s">
        <v>18426</v>
      </c>
      <c r="N5912" t="s">
        <v>3441</v>
      </c>
      <c r="O5912" t="s">
        <v>134</v>
      </c>
      <c r="P5912" t="s">
        <v>29</v>
      </c>
      <c r="Q5912">
        <v>40</v>
      </c>
      <c r="R5912">
        <v>-99.999999000000003</v>
      </c>
    </row>
    <row r="5913" spans="1:18" x14ac:dyDescent="0.2">
      <c r="A5913" t="s">
        <v>18</v>
      </c>
      <c r="B5913" t="s">
        <v>462</v>
      </c>
      <c r="C5913">
        <v>1</v>
      </c>
      <c r="D5913" s="1">
        <v>44080.879027777781</v>
      </c>
      <c r="E5913" t="s">
        <v>18427</v>
      </c>
      <c r="F5913" t="s">
        <v>464</v>
      </c>
      <c r="G5913" t="s">
        <v>17727</v>
      </c>
      <c r="H5913" t="s">
        <v>466</v>
      </c>
      <c r="I5913" t="s">
        <v>29</v>
      </c>
      <c r="J5913">
        <v>1</v>
      </c>
      <c r="K5913">
        <f t="shared" si="51"/>
        <v>-1846</v>
      </c>
      <c r="L5913" t="s">
        <v>18428</v>
      </c>
      <c r="M5913" t="s">
        <v>18429</v>
      </c>
      <c r="N5913" t="s">
        <v>447</v>
      </c>
      <c r="O5913" t="s">
        <v>134</v>
      </c>
      <c r="P5913" t="s">
        <v>29</v>
      </c>
      <c r="Q5913">
        <v>40</v>
      </c>
      <c r="R5913">
        <v>-99.999999000000003</v>
      </c>
    </row>
    <row r="5914" spans="1:18" x14ac:dyDescent="0.2">
      <c r="A5914" t="s">
        <v>18</v>
      </c>
      <c r="B5914" t="s">
        <v>462</v>
      </c>
      <c r="C5914">
        <v>1</v>
      </c>
      <c r="D5914" s="1">
        <v>44080.878958333335</v>
      </c>
      <c r="E5914" t="s">
        <v>18430</v>
      </c>
      <c r="F5914" t="s">
        <v>464</v>
      </c>
      <c r="G5914" t="s">
        <v>17727</v>
      </c>
      <c r="H5914" t="s">
        <v>466</v>
      </c>
      <c r="I5914" t="s">
        <v>29</v>
      </c>
      <c r="J5914">
        <v>1</v>
      </c>
      <c r="K5914">
        <f t="shared" si="51"/>
        <v>-1846</v>
      </c>
      <c r="L5914" t="s">
        <v>18431</v>
      </c>
      <c r="M5914" t="s">
        <v>18432</v>
      </c>
      <c r="N5914" t="s">
        <v>674</v>
      </c>
      <c r="O5914" t="s">
        <v>134</v>
      </c>
      <c r="P5914" t="s">
        <v>29</v>
      </c>
      <c r="Q5914">
        <v>40</v>
      </c>
      <c r="R5914">
        <v>-99.999999000000003</v>
      </c>
    </row>
    <row r="5915" spans="1:18" x14ac:dyDescent="0.2">
      <c r="A5915" t="s">
        <v>18</v>
      </c>
      <c r="B5915" t="s">
        <v>462</v>
      </c>
      <c r="C5915">
        <v>1</v>
      </c>
      <c r="D5915" s="1">
        <v>44080.878946759258</v>
      </c>
      <c r="E5915" t="s">
        <v>18433</v>
      </c>
      <c r="F5915" t="s">
        <v>464</v>
      </c>
      <c r="G5915" t="s">
        <v>17727</v>
      </c>
      <c r="H5915" t="s">
        <v>466</v>
      </c>
      <c r="I5915" t="s">
        <v>29</v>
      </c>
      <c r="J5915">
        <v>1</v>
      </c>
      <c r="K5915">
        <f t="shared" si="51"/>
        <v>-1846</v>
      </c>
      <c r="L5915" t="s">
        <v>18434</v>
      </c>
      <c r="M5915" t="s">
        <v>18435</v>
      </c>
      <c r="N5915" t="s">
        <v>213</v>
      </c>
      <c r="O5915" t="s">
        <v>134</v>
      </c>
      <c r="P5915" t="s">
        <v>29</v>
      </c>
      <c r="Q5915">
        <v>40</v>
      </c>
      <c r="R5915">
        <v>-99.999999000000003</v>
      </c>
    </row>
    <row r="5916" spans="1:18" x14ac:dyDescent="0.2">
      <c r="A5916" t="s">
        <v>18</v>
      </c>
      <c r="B5916" t="s">
        <v>462</v>
      </c>
      <c r="C5916">
        <v>1</v>
      </c>
      <c r="D5916" s="1">
        <v>44080.878877314812</v>
      </c>
      <c r="E5916" t="s">
        <v>18436</v>
      </c>
      <c r="F5916" t="s">
        <v>464</v>
      </c>
      <c r="G5916" t="s">
        <v>17727</v>
      </c>
      <c r="H5916" t="s">
        <v>466</v>
      </c>
      <c r="I5916" t="s">
        <v>29</v>
      </c>
      <c r="J5916">
        <v>1</v>
      </c>
      <c r="K5916">
        <f t="shared" si="51"/>
        <v>-1846</v>
      </c>
      <c r="L5916" t="s">
        <v>18437</v>
      </c>
      <c r="M5916" t="s">
        <v>18438</v>
      </c>
      <c r="N5916" t="s">
        <v>213</v>
      </c>
      <c r="O5916" t="s">
        <v>134</v>
      </c>
      <c r="P5916" t="s">
        <v>29</v>
      </c>
      <c r="Q5916">
        <v>40</v>
      </c>
      <c r="R5916">
        <v>-99.999999000000003</v>
      </c>
    </row>
    <row r="5917" spans="1:18" x14ac:dyDescent="0.2">
      <c r="A5917" t="s">
        <v>18</v>
      </c>
      <c r="B5917" t="s">
        <v>462</v>
      </c>
      <c r="C5917">
        <v>1</v>
      </c>
      <c r="D5917" s="1">
        <v>44080.87872685185</v>
      </c>
      <c r="E5917" t="s">
        <v>18439</v>
      </c>
      <c r="F5917" t="s">
        <v>464</v>
      </c>
      <c r="G5917" t="s">
        <v>17727</v>
      </c>
      <c r="H5917" t="s">
        <v>466</v>
      </c>
      <c r="I5917" t="s">
        <v>29</v>
      </c>
      <c r="J5917">
        <v>1</v>
      </c>
      <c r="K5917">
        <f t="shared" si="51"/>
        <v>-1846</v>
      </c>
      <c r="L5917" t="s">
        <v>18440</v>
      </c>
      <c r="M5917" t="s">
        <v>18441</v>
      </c>
      <c r="N5917" t="s">
        <v>447</v>
      </c>
      <c r="O5917" t="s">
        <v>134</v>
      </c>
      <c r="P5917" t="s">
        <v>29</v>
      </c>
      <c r="Q5917">
        <v>40</v>
      </c>
      <c r="R5917">
        <v>-99.999999000000003</v>
      </c>
    </row>
    <row r="5918" spans="1:18" x14ac:dyDescent="0.2">
      <c r="A5918" t="s">
        <v>18</v>
      </c>
      <c r="B5918" t="s">
        <v>462</v>
      </c>
      <c r="C5918">
        <v>1</v>
      </c>
      <c r="D5918" s="1">
        <v>44080.878645833334</v>
      </c>
      <c r="E5918" t="s">
        <v>18442</v>
      </c>
      <c r="F5918" t="s">
        <v>464</v>
      </c>
      <c r="G5918" t="s">
        <v>17727</v>
      </c>
      <c r="H5918" t="s">
        <v>466</v>
      </c>
      <c r="I5918" t="s">
        <v>29</v>
      </c>
      <c r="J5918">
        <v>1</v>
      </c>
      <c r="K5918">
        <f t="shared" si="51"/>
        <v>-1846</v>
      </c>
      <c r="L5918" t="s">
        <v>18443</v>
      </c>
      <c r="M5918" t="s">
        <v>18444</v>
      </c>
      <c r="N5918" t="s">
        <v>3441</v>
      </c>
      <c r="O5918" t="s">
        <v>134</v>
      </c>
      <c r="P5918" t="s">
        <v>29</v>
      </c>
      <c r="Q5918">
        <v>40</v>
      </c>
      <c r="R5918">
        <v>-99.999999000000003</v>
      </c>
    </row>
    <row r="5919" spans="1:18" x14ac:dyDescent="0.2">
      <c r="A5919" t="s">
        <v>18</v>
      </c>
      <c r="B5919" t="s">
        <v>462</v>
      </c>
      <c r="C5919">
        <v>1</v>
      </c>
      <c r="D5919" s="1">
        <v>44080.878587962965</v>
      </c>
      <c r="E5919" t="s">
        <v>18445</v>
      </c>
      <c r="F5919" t="s">
        <v>464</v>
      </c>
      <c r="G5919" t="s">
        <v>17727</v>
      </c>
      <c r="H5919" t="s">
        <v>466</v>
      </c>
      <c r="I5919" t="s">
        <v>29</v>
      </c>
      <c r="J5919">
        <v>1</v>
      </c>
      <c r="K5919">
        <f t="shared" si="51"/>
        <v>-1846</v>
      </c>
      <c r="L5919" t="s">
        <v>18446</v>
      </c>
      <c r="M5919" t="s">
        <v>18447</v>
      </c>
      <c r="N5919" t="s">
        <v>213</v>
      </c>
      <c r="O5919" t="s">
        <v>134</v>
      </c>
      <c r="P5919" t="s">
        <v>29</v>
      </c>
      <c r="Q5919">
        <v>40</v>
      </c>
      <c r="R5919">
        <v>-99.999999000000003</v>
      </c>
    </row>
    <row r="5920" spans="1:18" x14ac:dyDescent="0.2">
      <c r="A5920" t="s">
        <v>18</v>
      </c>
      <c r="B5920" t="s">
        <v>462</v>
      </c>
      <c r="C5920">
        <v>1</v>
      </c>
      <c r="D5920" s="1">
        <v>44080.878553240742</v>
      </c>
      <c r="E5920" t="s">
        <v>18448</v>
      </c>
      <c r="F5920" t="s">
        <v>464</v>
      </c>
      <c r="G5920" t="s">
        <v>17727</v>
      </c>
      <c r="H5920" t="s">
        <v>466</v>
      </c>
      <c r="I5920" t="s">
        <v>29</v>
      </c>
      <c r="J5920">
        <v>1</v>
      </c>
      <c r="K5920">
        <f t="shared" si="51"/>
        <v>-1846</v>
      </c>
      <c r="L5920" t="s">
        <v>18449</v>
      </c>
      <c r="M5920" t="s">
        <v>18450</v>
      </c>
      <c r="N5920" t="s">
        <v>674</v>
      </c>
      <c r="O5920" t="s">
        <v>134</v>
      </c>
      <c r="P5920" t="s">
        <v>29</v>
      </c>
      <c r="Q5920">
        <v>40</v>
      </c>
      <c r="R5920">
        <v>-99.999999000000003</v>
      </c>
    </row>
    <row r="5921" spans="1:18" x14ac:dyDescent="0.2">
      <c r="A5921" t="s">
        <v>18</v>
      </c>
      <c r="B5921" t="s">
        <v>462</v>
      </c>
      <c r="C5921">
        <v>1</v>
      </c>
      <c r="D5921" s="1">
        <v>44080.878553240742</v>
      </c>
      <c r="E5921" t="s">
        <v>18451</v>
      </c>
      <c r="F5921" t="s">
        <v>464</v>
      </c>
      <c r="G5921" t="s">
        <v>17727</v>
      </c>
      <c r="H5921" t="s">
        <v>466</v>
      </c>
      <c r="I5921" t="s">
        <v>29</v>
      </c>
      <c r="J5921">
        <v>1</v>
      </c>
      <c r="K5921">
        <f t="shared" si="51"/>
        <v>-1846</v>
      </c>
      <c r="L5921" t="s">
        <v>18452</v>
      </c>
      <c r="M5921" t="s">
        <v>18453</v>
      </c>
      <c r="N5921" t="s">
        <v>3441</v>
      </c>
      <c r="O5921" t="s">
        <v>134</v>
      </c>
      <c r="P5921" t="s">
        <v>29</v>
      </c>
      <c r="Q5921">
        <v>40</v>
      </c>
      <c r="R5921">
        <v>-99.999999000000003</v>
      </c>
    </row>
    <row r="5922" spans="1:18" x14ac:dyDescent="0.2">
      <c r="A5922" t="s">
        <v>18</v>
      </c>
      <c r="B5922" t="s">
        <v>462</v>
      </c>
      <c r="C5922">
        <v>1</v>
      </c>
      <c r="D5922" s="1">
        <v>44080.878518518519</v>
      </c>
      <c r="E5922" t="s">
        <v>18454</v>
      </c>
      <c r="F5922" t="s">
        <v>464</v>
      </c>
      <c r="G5922" t="s">
        <v>17727</v>
      </c>
      <c r="H5922" t="s">
        <v>466</v>
      </c>
      <c r="I5922" t="s">
        <v>29</v>
      </c>
      <c r="J5922">
        <v>1</v>
      </c>
      <c r="K5922">
        <f t="shared" si="51"/>
        <v>-1846</v>
      </c>
      <c r="L5922" t="s">
        <v>18455</v>
      </c>
      <c r="M5922" t="s">
        <v>18456</v>
      </c>
      <c r="N5922" t="s">
        <v>447</v>
      </c>
      <c r="O5922" t="s">
        <v>134</v>
      </c>
      <c r="P5922" t="s">
        <v>29</v>
      </c>
      <c r="Q5922">
        <v>40</v>
      </c>
      <c r="R5922">
        <v>-99.999999000000003</v>
      </c>
    </row>
    <row r="5923" spans="1:18" x14ac:dyDescent="0.2">
      <c r="A5923" t="s">
        <v>18</v>
      </c>
      <c r="B5923" t="s">
        <v>462</v>
      </c>
      <c r="C5923">
        <v>1</v>
      </c>
      <c r="D5923" s="1">
        <v>44080.878472222219</v>
      </c>
      <c r="E5923" t="s">
        <v>18457</v>
      </c>
      <c r="F5923" t="s">
        <v>464</v>
      </c>
      <c r="G5923" t="s">
        <v>17727</v>
      </c>
      <c r="H5923" t="s">
        <v>466</v>
      </c>
      <c r="I5923" t="s">
        <v>29</v>
      </c>
      <c r="J5923">
        <v>1</v>
      </c>
      <c r="K5923">
        <f t="shared" si="51"/>
        <v>-1846</v>
      </c>
      <c r="L5923" t="s">
        <v>18458</v>
      </c>
      <c r="M5923" t="s">
        <v>18459</v>
      </c>
      <c r="N5923" t="s">
        <v>3441</v>
      </c>
      <c r="O5923" t="s">
        <v>134</v>
      </c>
      <c r="P5923" t="s">
        <v>29</v>
      </c>
      <c r="Q5923">
        <v>40</v>
      </c>
      <c r="R5923">
        <v>-99.999999000000003</v>
      </c>
    </row>
    <row r="5924" spans="1:18" x14ac:dyDescent="0.2">
      <c r="A5924" t="s">
        <v>18</v>
      </c>
      <c r="B5924" t="s">
        <v>462</v>
      </c>
      <c r="C5924">
        <v>1</v>
      </c>
      <c r="D5924" s="1">
        <v>44080.87835648148</v>
      </c>
      <c r="E5924" t="s">
        <v>18460</v>
      </c>
      <c r="F5924" t="s">
        <v>464</v>
      </c>
      <c r="G5924" t="s">
        <v>17727</v>
      </c>
      <c r="H5924" t="s">
        <v>466</v>
      </c>
      <c r="I5924" t="s">
        <v>29</v>
      </c>
      <c r="J5924">
        <v>1</v>
      </c>
      <c r="K5924">
        <f t="shared" si="51"/>
        <v>-1846</v>
      </c>
      <c r="L5924" t="s">
        <v>18461</v>
      </c>
      <c r="M5924" t="s">
        <v>18462</v>
      </c>
      <c r="N5924" t="s">
        <v>213</v>
      </c>
      <c r="O5924" t="s">
        <v>134</v>
      </c>
      <c r="P5924" t="s">
        <v>29</v>
      </c>
      <c r="Q5924">
        <v>40</v>
      </c>
      <c r="R5924">
        <v>-99.999999000000003</v>
      </c>
    </row>
    <row r="5925" spans="1:18" x14ac:dyDescent="0.2">
      <c r="A5925" t="s">
        <v>18</v>
      </c>
      <c r="B5925" t="s">
        <v>462</v>
      </c>
      <c r="C5925">
        <v>1</v>
      </c>
      <c r="D5925" s="1">
        <v>44080.878240740742</v>
      </c>
      <c r="E5925" t="s">
        <v>18463</v>
      </c>
      <c r="F5925" t="s">
        <v>464</v>
      </c>
      <c r="G5925" t="s">
        <v>17727</v>
      </c>
      <c r="H5925" t="s">
        <v>466</v>
      </c>
      <c r="I5925" t="s">
        <v>29</v>
      </c>
      <c r="J5925">
        <v>1</v>
      </c>
      <c r="K5925">
        <f t="shared" si="51"/>
        <v>-1846</v>
      </c>
      <c r="L5925" t="s">
        <v>18464</v>
      </c>
      <c r="M5925" t="s">
        <v>18465</v>
      </c>
      <c r="N5925" t="s">
        <v>213</v>
      </c>
      <c r="O5925" t="s">
        <v>134</v>
      </c>
      <c r="P5925" t="s">
        <v>29</v>
      </c>
      <c r="Q5925">
        <v>40</v>
      </c>
      <c r="R5925">
        <v>-99.999999000000003</v>
      </c>
    </row>
    <row r="5926" spans="1:18" x14ac:dyDescent="0.2">
      <c r="A5926" t="s">
        <v>18</v>
      </c>
      <c r="B5926" t="s">
        <v>462</v>
      </c>
      <c r="C5926">
        <v>1</v>
      </c>
      <c r="D5926" s="1">
        <v>44080.878206018519</v>
      </c>
      <c r="E5926" t="s">
        <v>18466</v>
      </c>
      <c r="F5926" t="s">
        <v>464</v>
      </c>
      <c r="G5926" t="s">
        <v>17727</v>
      </c>
      <c r="H5926" t="s">
        <v>466</v>
      </c>
      <c r="I5926" t="s">
        <v>29</v>
      </c>
      <c r="J5926">
        <v>1</v>
      </c>
      <c r="K5926">
        <f t="shared" si="51"/>
        <v>-1846</v>
      </c>
      <c r="L5926" t="s">
        <v>18467</v>
      </c>
      <c r="M5926" t="s">
        <v>18468</v>
      </c>
      <c r="N5926" t="s">
        <v>447</v>
      </c>
      <c r="O5926" t="s">
        <v>134</v>
      </c>
      <c r="P5926" t="s">
        <v>29</v>
      </c>
      <c r="Q5926">
        <v>40</v>
      </c>
      <c r="R5926">
        <v>-99.999999000000003</v>
      </c>
    </row>
    <row r="5927" spans="1:18" x14ac:dyDescent="0.2">
      <c r="A5927" t="s">
        <v>18</v>
      </c>
      <c r="B5927" t="s">
        <v>462</v>
      </c>
      <c r="C5927">
        <v>1</v>
      </c>
      <c r="D5927" s="1">
        <v>44080.878182870372</v>
      </c>
      <c r="E5927" t="s">
        <v>18469</v>
      </c>
      <c r="F5927" t="s">
        <v>464</v>
      </c>
      <c r="G5927" t="s">
        <v>17727</v>
      </c>
      <c r="H5927" t="s">
        <v>466</v>
      </c>
      <c r="I5927" t="s">
        <v>29</v>
      </c>
      <c r="J5927">
        <v>1</v>
      </c>
      <c r="K5927">
        <f t="shared" si="51"/>
        <v>-1846</v>
      </c>
      <c r="L5927" t="s">
        <v>18470</v>
      </c>
      <c r="M5927" t="s">
        <v>18471</v>
      </c>
      <c r="N5927" t="s">
        <v>3441</v>
      </c>
      <c r="O5927" t="s">
        <v>134</v>
      </c>
      <c r="P5927" t="s">
        <v>29</v>
      </c>
      <c r="Q5927">
        <v>40</v>
      </c>
      <c r="R5927">
        <v>-99.999999000000003</v>
      </c>
    </row>
    <row r="5928" spans="1:18" x14ac:dyDescent="0.2">
      <c r="A5928" t="s">
        <v>18</v>
      </c>
      <c r="B5928" t="s">
        <v>462</v>
      </c>
      <c r="C5928">
        <v>1</v>
      </c>
      <c r="D5928" s="1">
        <v>44080.878101851849</v>
      </c>
      <c r="E5928" t="s">
        <v>18472</v>
      </c>
      <c r="F5928" t="s">
        <v>464</v>
      </c>
      <c r="G5928" t="s">
        <v>17727</v>
      </c>
      <c r="H5928" t="s">
        <v>466</v>
      </c>
      <c r="I5928" t="s">
        <v>29</v>
      </c>
      <c r="J5928">
        <v>1</v>
      </c>
      <c r="K5928">
        <f t="shared" si="51"/>
        <v>-1846</v>
      </c>
      <c r="L5928" t="s">
        <v>18473</v>
      </c>
      <c r="M5928" t="s">
        <v>18474</v>
      </c>
      <c r="N5928" t="s">
        <v>674</v>
      </c>
      <c r="O5928" t="s">
        <v>134</v>
      </c>
      <c r="P5928" t="s">
        <v>29</v>
      </c>
      <c r="Q5928">
        <v>40</v>
      </c>
      <c r="R5928">
        <v>-99.999999000000003</v>
      </c>
    </row>
    <row r="5929" spans="1:18" x14ac:dyDescent="0.2">
      <c r="A5929" t="s">
        <v>18</v>
      </c>
      <c r="B5929" t="s">
        <v>462</v>
      </c>
      <c r="C5929">
        <v>1</v>
      </c>
      <c r="D5929" s="1">
        <v>44080.877800925926</v>
      </c>
      <c r="E5929" t="s">
        <v>18475</v>
      </c>
      <c r="F5929" t="s">
        <v>464</v>
      </c>
      <c r="G5929" t="s">
        <v>17727</v>
      </c>
      <c r="H5929" t="s">
        <v>466</v>
      </c>
      <c r="I5929" t="s">
        <v>29</v>
      </c>
      <c r="J5929">
        <v>1</v>
      </c>
      <c r="K5929">
        <f t="shared" si="51"/>
        <v>-1846</v>
      </c>
      <c r="L5929" t="s">
        <v>18476</v>
      </c>
      <c r="M5929" t="s">
        <v>18477</v>
      </c>
      <c r="N5929" t="s">
        <v>447</v>
      </c>
      <c r="O5929" t="s">
        <v>134</v>
      </c>
      <c r="P5929" t="s">
        <v>29</v>
      </c>
      <c r="Q5929">
        <v>40</v>
      </c>
      <c r="R5929">
        <v>-99.999999000000003</v>
      </c>
    </row>
    <row r="5930" spans="1:18" x14ac:dyDescent="0.2">
      <c r="A5930" t="s">
        <v>18</v>
      </c>
      <c r="B5930" t="s">
        <v>462</v>
      </c>
      <c r="C5930">
        <v>1</v>
      </c>
      <c r="D5930" s="1">
        <v>44080.874548611115</v>
      </c>
      <c r="E5930" t="s">
        <v>18478</v>
      </c>
      <c r="F5930" t="s">
        <v>464</v>
      </c>
      <c r="G5930" t="s">
        <v>17727</v>
      </c>
      <c r="H5930" t="s">
        <v>466</v>
      </c>
      <c r="I5930" t="s">
        <v>29</v>
      </c>
      <c r="J5930">
        <v>1</v>
      </c>
      <c r="K5930">
        <f t="shared" si="51"/>
        <v>-1846</v>
      </c>
      <c r="L5930" t="s">
        <v>18479</v>
      </c>
      <c r="M5930" t="s">
        <v>18480</v>
      </c>
      <c r="N5930" t="s">
        <v>674</v>
      </c>
      <c r="O5930" t="s">
        <v>28</v>
      </c>
      <c r="P5930" t="s">
        <v>29</v>
      </c>
      <c r="Q5930">
        <v>40</v>
      </c>
      <c r="R5930">
        <v>-99.999999000000003</v>
      </c>
    </row>
    <row r="5931" spans="1:18" x14ac:dyDescent="0.2">
      <c r="A5931" t="s">
        <v>18</v>
      </c>
      <c r="B5931" t="s">
        <v>462</v>
      </c>
      <c r="C5931">
        <v>1</v>
      </c>
      <c r="D5931" s="1">
        <v>44080.874479166669</v>
      </c>
      <c r="E5931" t="s">
        <v>18481</v>
      </c>
      <c r="F5931" t="s">
        <v>464</v>
      </c>
      <c r="G5931" t="s">
        <v>17727</v>
      </c>
      <c r="H5931" t="s">
        <v>466</v>
      </c>
      <c r="I5931" t="s">
        <v>29</v>
      </c>
      <c r="J5931">
        <v>1</v>
      </c>
      <c r="K5931">
        <f t="shared" si="51"/>
        <v>-1846</v>
      </c>
      <c r="L5931" t="s">
        <v>18482</v>
      </c>
      <c r="M5931" t="s">
        <v>18483</v>
      </c>
      <c r="N5931" t="s">
        <v>213</v>
      </c>
      <c r="O5931" t="s">
        <v>28</v>
      </c>
      <c r="P5931" t="s">
        <v>29</v>
      </c>
      <c r="Q5931">
        <v>40</v>
      </c>
      <c r="R5931">
        <v>-99.999999000000003</v>
      </c>
    </row>
    <row r="5932" spans="1:18" x14ac:dyDescent="0.2">
      <c r="A5932" t="s">
        <v>18</v>
      </c>
      <c r="B5932" t="s">
        <v>462</v>
      </c>
      <c r="C5932">
        <v>1</v>
      </c>
      <c r="D5932" s="1">
        <v>44080.87427083333</v>
      </c>
      <c r="E5932" t="s">
        <v>18484</v>
      </c>
      <c r="F5932" t="s">
        <v>464</v>
      </c>
      <c r="G5932" t="s">
        <v>17727</v>
      </c>
      <c r="H5932" t="s">
        <v>466</v>
      </c>
      <c r="I5932" t="s">
        <v>29</v>
      </c>
      <c r="J5932">
        <v>1</v>
      </c>
      <c r="K5932">
        <f t="shared" si="51"/>
        <v>-1846</v>
      </c>
      <c r="L5932" t="s">
        <v>18485</v>
      </c>
      <c r="M5932" t="s">
        <v>18486</v>
      </c>
      <c r="N5932" t="s">
        <v>447</v>
      </c>
      <c r="O5932" t="s">
        <v>28</v>
      </c>
      <c r="P5932" t="s">
        <v>29</v>
      </c>
      <c r="Q5932">
        <v>40</v>
      </c>
      <c r="R5932">
        <v>-99.999999000000003</v>
      </c>
    </row>
    <row r="5933" spans="1:18" x14ac:dyDescent="0.2">
      <c r="A5933" t="s">
        <v>18</v>
      </c>
      <c r="B5933" t="s">
        <v>462</v>
      </c>
      <c r="C5933">
        <v>1</v>
      </c>
      <c r="D5933" s="1">
        <v>44080.874120370368</v>
      </c>
      <c r="E5933" t="s">
        <v>18487</v>
      </c>
      <c r="F5933" t="s">
        <v>464</v>
      </c>
      <c r="G5933" t="s">
        <v>17727</v>
      </c>
      <c r="H5933" t="s">
        <v>466</v>
      </c>
      <c r="I5933" t="s">
        <v>29</v>
      </c>
      <c r="J5933">
        <v>1</v>
      </c>
      <c r="K5933">
        <f t="shared" si="51"/>
        <v>-1846</v>
      </c>
      <c r="L5933" t="s">
        <v>18488</v>
      </c>
      <c r="M5933" t="s">
        <v>18489</v>
      </c>
      <c r="N5933" t="s">
        <v>3441</v>
      </c>
      <c r="O5933" t="s">
        <v>28</v>
      </c>
      <c r="P5933" t="s">
        <v>29</v>
      </c>
      <c r="Q5933">
        <v>40</v>
      </c>
      <c r="R5933">
        <v>-99.999999000000003</v>
      </c>
    </row>
    <row r="5934" spans="1:18" x14ac:dyDescent="0.2">
      <c r="A5934" t="s">
        <v>2349</v>
      </c>
      <c r="B5934" t="s">
        <v>10634</v>
      </c>
      <c r="C5934">
        <v>49</v>
      </c>
      <c r="D5934" s="1">
        <v>44081.442719907405</v>
      </c>
      <c r="E5934" t="s">
        <v>18490</v>
      </c>
      <c r="F5934" t="s">
        <v>4584</v>
      </c>
      <c r="G5934" t="s">
        <v>18490</v>
      </c>
      <c r="H5934" t="s">
        <v>2353</v>
      </c>
      <c r="I5934" t="s">
        <v>24</v>
      </c>
      <c r="J5934">
        <v>49</v>
      </c>
      <c r="K5934">
        <f>49-800-100-2326</f>
        <v>-3177</v>
      </c>
      <c r="L5934" t="s">
        <v>18491</v>
      </c>
      <c r="M5934" t="s">
        <v>18492</v>
      </c>
      <c r="N5934">
        <v>100</v>
      </c>
      <c r="O5934" t="s">
        <v>134</v>
      </c>
      <c r="P5934" t="s">
        <v>292</v>
      </c>
      <c r="Q5934">
        <v>49</v>
      </c>
      <c r="R5934">
        <v>2.3868999999999998</v>
      </c>
    </row>
    <row r="5935" spans="1:18" x14ac:dyDescent="0.2">
      <c r="A5935" t="s">
        <v>270</v>
      </c>
      <c r="B5935" t="s">
        <v>1638</v>
      </c>
      <c r="C5935">
        <v>34</v>
      </c>
      <c r="D5935" s="1">
        <v>44081.460462962961</v>
      </c>
      <c r="E5935" t="s">
        <v>18493</v>
      </c>
      <c r="F5935" t="s">
        <v>273</v>
      </c>
      <c r="G5935" t="s">
        <v>18494</v>
      </c>
      <c r="H5935" t="s">
        <v>275</v>
      </c>
      <c r="I5935" t="s">
        <v>700</v>
      </c>
      <c r="J5935">
        <v>34</v>
      </c>
      <c r="K5935">
        <f>34-900-649-684</f>
        <v>-2199</v>
      </c>
      <c r="L5935" t="s">
        <v>18495</v>
      </c>
      <c r="M5935" t="s">
        <v>18496</v>
      </c>
      <c r="N5935" t="s">
        <v>5354</v>
      </c>
      <c r="O5935" t="s">
        <v>134</v>
      </c>
      <c r="P5935" t="s">
        <v>292</v>
      </c>
      <c r="Q5935">
        <v>49</v>
      </c>
      <c r="R5935">
        <v>2.3473220000000001</v>
      </c>
    </row>
    <row r="5936" spans="1:18" x14ac:dyDescent="0.2">
      <c r="A5936" t="s">
        <v>2349</v>
      </c>
      <c r="B5936" t="s">
        <v>18497</v>
      </c>
      <c r="C5936">
        <v>49</v>
      </c>
      <c r="D5936" s="1">
        <v>44083.599803240744</v>
      </c>
      <c r="E5936" t="s">
        <v>18498</v>
      </c>
      <c r="F5936" t="s">
        <v>2352</v>
      </c>
      <c r="G5936" t="s">
        <v>18498</v>
      </c>
      <c r="H5936" t="s">
        <v>2353</v>
      </c>
      <c r="I5936" t="s">
        <v>24</v>
      </c>
      <c r="J5936">
        <v>49</v>
      </c>
      <c r="K5936">
        <f>49-800-100-2326</f>
        <v>-3177</v>
      </c>
      <c r="L5936" t="s">
        <v>18499</v>
      </c>
      <c r="M5936" t="s">
        <v>18500</v>
      </c>
      <c r="N5936">
        <v>223</v>
      </c>
      <c r="O5936" t="s">
        <v>134</v>
      </c>
      <c r="P5936" t="s">
        <v>18501</v>
      </c>
      <c r="Q5936">
        <v>56</v>
      </c>
      <c r="R5936">
        <v>9.9313000000000002</v>
      </c>
    </row>
    <row r="5937" spans="1:18" x14ac:dyDescent="0.2">
      <c r="A5937" t="s">
        <v>439</v>
      </c>
      <c r="B5937" t="s">
        <v>3094</v>
      </c>
      <c r="C5937">
        <v>1</v>
      </c>
      <c r="D5937" s="1">
        <v>44082.918298611112</v>
      </c>
      <c r="E5937" t="s">
        <v>18502</v>
      </c>
      <c r="F5937" t="s">
        <v>442</v>
      </c>
      <c r="G5937" t="s">
        <v>18503</v>
      </c>
      <c r="H5937" t="s">
        <v>444</v>
      </c>
      <c r="I5937" t="s">
        <v>29</v>
      </c>
      <c r="J5937">
        <v>1</v>
      </c>
      <c r="K5937">
        <f>1-888-225-6804</f>
        <v>-7916</v>
      </c>
      <c r="L5937" t="s">
        <v>18504</v>
      </c>
      <c r="M5937" t="s">
        <v>18505</v>
      </c>
      <c r="N5937" t="s">
        <v>5354</v>
      </c>
      <c r="O5937" t="s">
        <v>28</v>
      </c>
      <c r="P5937" t="s">
        <v>2268</v>
      </c>
      <c r="Q5937">
        <v>46</v>
      </c>
      <c r="R5937">
        <v>-73.567300000000003</v>
      </c>
    </row>
    <row r="5938" spans="1:18" x14ac:dyDescent="0.2">
      <c r="A5938" t="s">
        <v>270</v>
      </c>
      <c r="B5938" t="s">
        <v>4672</v>
      </c>
      <c r="C5938">
        <v>1</v>
      </c>
      <c r="D5938" s="1">
        <v>44377.889537037037</v>
      </c>
      <c r="E5938" t="s">
        <v>18506</v>
      </c>
      <c r="F5938" t="s">
        <v>273</v>
      </c>
      <c r="G5938" t="s">
        <v>18507</v>
      </c>
      <c r="H5938" t="s">
        <v>275</v>
      </c>
      <c r="I5938" t="s">
        <v>29</v>
      </c>
      <c r="J5938">
        <v>1</v>
      </c>
      <c r="K5938">
        <f>1-888-307-3610</f>
        <v>-4804</v>
      </c>
      <c r="L5938" t="s">
        <v>18508</v>
      </c>
      <c r="M5938" t="s">
        <v>18509</v>
      </c>
      <c r="N5938" t="s">
        <v>278</v>
      </c>
      <c r="O5938" t="s">
        <v>28</v>
      </c>
      <c r="P5938" t="s">
        <v>782</v>
      </c>
      <c r="Q5938">
        <v>-34</v>
      </c>
      <c r="R5938">
        <v>99.999999000000003</v>
      </c>
    </row>
    <row r="5939" spans="1:18" x14ac:dyDescent="0.2">
      <c r="A5939" t="s">
        <v>270</v>
      </c>
      <c r="B5939" t="s">
        <v>4672</v>
      </c>
      <c r="C5939">
        <v>1</v>
      </c>
      <c r="D5939" s="1">
        <v>44377.865833333337</v>
      </c>
      <c r="E5939" t="s">
        <v>18510</v>
      </c>
      <c r="F5939" t="s">
        <v>273</v>
      </c>
      <c r="G5939" t="s">
        <v>18507</v>
      </c>
      <c r="H5939" t="s">
        <v>275</v>
      </c>
      <c r="I5939" t="s">
        <v>29</v>
      </c>
      <c r="J5939">
        <v>1</v>
      </c>
      <c r="K5939">
        <f>1-888-210-5571</f>
        <v>-6668</v>
      </c>
      <c r="L5939" t="s">
        <v>18511</v>
      </c>
      <c r="M5939" t="s">
        <v>18512</v>
      </c>
      <c r="N5939" t="s">
        <v>278</v>
      </c>
      <c r="O5939" t="s">
        <v>28</v>
      </c>
      <c r="P5939" t="s">
        <v>782</v>
      </c>
      <c r="Q5939">
        <v>-34</v>
      </c>
      <c r="R5939">
        <v>99.999999000000003</v>
      </c>
    </row>
    <row r="5940" spans="1:18" x14ac:dyDescent="0.2">
      <c r="A5940" t="s">
        <v>270</v>
      </c>
      <c r="B5940" t="s">
        <v>4672</v>
      </c>
      <c r="C5940">
        <v>1</v>
      </c>
      <c r="D5940" s="1">
        <v>44375.840266203704</v>
      </c>
      <c r="E5940" t="s">
        <v>18513</v>
      </c>
      <c r="F5940" t="s">
        <v>273</v>
      </c>
      <c r="G5940" t="s">
        <v>18507</v>
      </c>
      <c r="H5940" t="s">
        <v>275</v>
      </c>
      <c r="I5940" t="s">
        <v>29</v>
      </c>
      <c r="J5940">
        <v>1</v>
      </c>
      <c r="K5940">
        <f>1-844-341-8034</f>
        <v>-9218</v>
      </c>
      <c r="L5940" t="s">
        <v>18514</v>
      </c>
      <c r="M5940" t="s">
        <v>18515</v>
      </c>
      <c r="N5940" t="s">
        <v>278</v>
      </c>
      <c r="O5940" t="s">
        <v>28</v>
      </c>
      <c r="P5940" t="s">
        <v>782</v>
      </c>
      <c r="Q5940">
        <v>-34</v>
      </c>
      <c r="R5940">
        <v>99.999999000000003</v>
      </c>
    </row>
    <row r="5941" spans="1:18" x14ac:dyDescent="0.2">
      <c r="A5941" t="s">
        <v>270</v>
      </c>
      <c r="B5941" t="s">
        <v>4672</v>
      </c>
      <c r="C5941">
        <v>1</v>
      </c>
      <c r="D5941" s="1">
        <v>44369.888935185183</v>
      </c>
      <c r="E5941" t="s">
        <v>18516</v>
      </c>
      <c r="F5941" t="s">
        <v>273</v>
      </c>
      <c r="G5941" t="s">
        <v>18507</v>
      </c>
      <c r="H5941" t="s">
        <v>275</v>
      </c>
      <c r="I5941" t="s">
        <v>29</v>
      </c>
      <c r="J5941">
        <v>1</v>
      </c>
      <c r="K5941">
        <f>1-866-320-4366</f>
        <v>-5551</v>
      </c>
      <c r="L5941" t="s">
        <v>18517</v>
      </c>
      <c r="M5941" t="s">
        <v>18518</v>
      </c>
      <c r="N5941" t="s">
        <v>278</v>
      </c>
      <c r="O5941" t="s">
        <v>28</v>
      </c>
      <c r="P5941" t="s">
        <v>782</v>
      </c>
      <c r="Q5941">
        <v>-34</v>
      </c>
      <c r="R5941">
        <v>99.999999000000003</v>
      </c>
    </row>
    <row r="5942" spans="1:18" x14ac:dyDescent="0.2">
      <c r="A5942" t="s">
        <v>270</v>
      </c>
      <c r="B5942" t="s">
        <v>4672</v>
      </c>
      <c r="C5942">
        <v>1</v>
      </c>
      <c r="D5942" s="1">
        <v>44368.804537037038</v>
      </c>
      <c r="E5942" t="s">
        <v>18519</v>
      </c>
      <c r="F5942" t="s">
        <v>273</v>
      </c>
      <c r="G5942" t="s">
        <v>18507</v>
      </c>
      <c r="H5942" t="s">
        <v>275</v>
      </c>
      <c r="I5942" t="s">
        <v>29</v>
      </c>
      <c r="J5942">
        <v>1</v>
      </c>
      <c r="K5942">
        <f>1-866-338-1466</f>
        <v>-2669</v>
      </c>
      <c r="L5942" t="s">
        <v>18520</v>
      </c>
      <c r="M5942" t="s">
        <v>18521</v>
      </c>
      <c r="N5942" t="s">
        <v>278</v>
      </c>
      <c r="O5942" t="s">
        <v>28</v>
      </c>
      <c r="P5942" t="s">
        <v>782</v>
      </c>
      <c r="Q5942">
        <v>-34</v>
      </c>
      <c r="R5942">
        <v>99.999999000000003</v>
      </c>
    </row>
    <row r="5943" spans="1:18" x14ac:dyDescent="0.2">
      <c r="A5943" t="s">
        <v>270</v>
      </c>
      <c r="B5943" t="s">
        <v>4672</v>
      </c>
      <c r="C5943">
        <v>1</v>
      </c>
      <c r="D5943" s="1">
        <v>44365.783321759256</v>
      </c>
      <c r="E5943" t="s">
        <v>18522</v>
      </c>
      <c r="F5943" t="s">
        <v>273</v>
      </c>
      <c r="G5943" t="s">
        <v>18507</v>
      </c>
      <c r="H5943" t="s">
        <v>275</v>
      </c>
      <c r="I5943" t="s">
        <v>29</v>
      </c>
      <c r="J5943">
        <v>1</v>
      </c>
      <c r="K5943">
        <f>1-866-343-1642</f>
        <v>-2850</v>
      </c>
      <c r="L5943" t="s">
        <v>18523</v>
      </c>
      <c r="M5943" t="s">
        <v>18524</v>
      </c>
      <c r="N5943" t="s">
        <v>278</v>
      </c>
      <c r="O5943" t="s">
        <v>28</v>
      </c>
      <c r="P5943" t="s">
        <v>782</v>
      </c>
      <c r="Q5943">
        <v>-34</v>
      </c>
      <c r="R5943">
        <v>99.999999000000003</v>
      </c>
    </row>
    <row r="5944" spans="1:18" x14ac:dyDescent="0.2">
      <c r="A5944" t="s">
        <v>270</v>
      </c>
      <c r="B5944" t="s">
        <v>4672</v>
      </c>
      <c r="C5944">
        <v>1</v>
      </c>
      <c r="D5944" s="1">
        <v>44364.773796296293</v>
      </c>
      <c r="E5944" t="s">
        <v>18525</v>
      </c>
      <c r="F5944" t="s">
        <v>273</v>
      </c>
      <c r="G5944" t="s">
        <v>18507</v>
      </c>
      <c r="H5944" t="s">
        <v>275</v>
      </c>
      <c r="I5944" t="s">
        <v>29</v>
      </c>
      <c r="J5944">
        <v>1</v>
      </c>
      <c r="K5944">
        <f>1-866-373-8472</f>
        <v>-9710</v>
      </c>
      <c r="L5944" t="s">
        <v>18526</v>
      </c>
      <c r="M5944" t="s">
        <v>18527</v>
      </c>
      <c r="N5944" t="s">
        <v>278</v>
      </c>
      <c r="O5944" t="s">
        <v>28</v>
      </c>
      <c r="P5944" t="s">
        <v>782</v>
      </c>
      <c r="Q5944">
        <v>-34</v>
      </c>
      <c r="R5944">
        <v>99.999999000000003</v>
      </c>
    </row>
    <row r="5945" spans="1:18" x14ac:dyDescent="0.2">
      <c r="A5945" t="s">
        <v>270</v>
      </c>
      <c r="B5945" t="s">
        <v>4672</v>
      </c>
      <c r="C5945">
        <v>1</v>
      </c>
      <c r="D5945" s="1">
        <v>44364.897766203707</v>
      </c>
      <c r="E5945" t="s">
        <v>18528</v>
      </c>
      <c r="F5945" t="s">
        <v>273</v>
      </c>
      <c r="G5945" t="s">
        <v>18507</v>
      </c>
      <c r="H5945" t="s">
        <v>275</v>
      </c>
      <c r="I5945" t="s">
        <v>29</v>
      </c>
      <c r="J5945">
        <v>1</v>
      </c>
      <c r="K5945">
        <f>1-866-355-6052</f>
        <v>-7272</v>
      </c>
      <c r="L5945" t="s">
        <v>18529</v>
      </c>
      <c r="M5945" t="s">
        <v>18530</v>
      </c>
      <c r="N5945" t="s">
        <v>278</v>
      </c>
      <c r="O5945" t="s">
        <v>28</v>
      </c>
      <c r="P5945" t="s">
        <v>782</v>
      </c>
      <c r="Q5945">
        <v>-34</v>
      </c>
      <c r="R5945">
        <v>99.999999000000003</v>
      </c>
    </row>
    <row r="5946" spans="1:18" x14ac:dyDescent="0.2">
      <c r="A5946" t="s">
        <v>270</v>
      </c>
      <c r="B5946" t="s">
        <v>4672</v>
      </c>
      <c r="C5946">
        <v>1</v>
      </c>
      <c r="D5946" s="1">
        <v>44364.764756944445</v>
      </c>
      <c r="E5946" t="s">
        <v>18531</v>
      </c>
      <c r="F5946" t="s">
        <v>273</v>
      </c>
      <c r="G5946" t="s">
        <v>18507</v>
      </c>
      <c r="H5946" t="s">
        <v>275</v>
      </c>
      <c r="I5946" t="s">
        <v>29</v>
      </c>
      <c r="J5946">
        <v>1</v>
      </c>
      <c r="K5946">
        <f>1-866-374-6936</f>
        <v>-8175</v>
      </c>
      <c r="L5946" t="s">
        <v>18532</v>
      </c>
      <c r="M5946" t="s">
        <v>18533</v>
      </c>
      <c r="N5946" t="s">
        <v>278</v>
      </c>
      <c r="O5946" t="s">
        <v>28</v>
      </c>
      <c r="P5946" t="s">
        <v>782</v>
      </c>
      <c r="Q5946">
        <v>-34</v>
      </c>
      <c r="R5946">
        <v>99.999999000000003</v>
      </c>
    </row>
    <row r="5947" spans="1:18" x14ac:dyDescent="0.2">
      <c r="A5947" t="s">
        <v>270</v>
      </c>
      <c r="B5947" t="s">
        <v>4672</v>
      </c>
      <c r="C5947">
        <v>1</v>
      </c>
      <c r="D5947" s="1">
        <v>44363.785879629628</v>
      </c>
      <c r="E5947" t="s">
        <v>18534</v>
      </c>
      <c r="F5947" t="s">
        <v>273</v>
      </c>
      <c r="G5947" t="s">
        <v>18507</v>
      </c>
      <c r="H5947" t="s">
        <v>275</v>
      </c>
      <c r="I5947" t="s">
        <v>29</v>
      </c>
      <c r="J5947">
        <v>1</v>
      </c>
      <c r="K5947">
        <f>1-888-250-8452</f>
        <v>-9589</v>
      </c>
      <c r="L5947" t="s">
        <v>18535</v>
      </c>
      <c r="M5947" t="s">
        <v>18536</v>
      </c>
      <c r="N5947" t="s">
        <v>278</v>
      </c>
      <c r="O5947" t="s">
        <v>28</v>
      </c>
      <c r="P5947" t="s">
        <v>782</v>
      </c>
      <c r="Q5947">
        <v>-34</v>
      </c>
      <c r="R5947">
        <v>99.999999000000003</v>
      </c>
    </row>
    <row r="5948" spans="1:18" x14ac:dyDescent="0.2">
      <c r="A5948" t="s">
        <v>270</v>
      </c>
      <c r="B5948" t="s">
        <v>4672</v>
      </c>
      <c r="C5948">
        <v>1</v>
      </c>
      <c r="D5948" s="1">
        <v>44363.781747685185</v>
      </c>
      <c r="E5948" t="s">
        <v>18537</v>
      </c>
      <c r="F5948" t="s">
        <v>273</v>
      </c>
      <c r="G5948" t="s">
        <v>18507</v>
      </c>
      <c r="H5948" t="s">
        <v>275</v>
      </c>
      <c r="I5948" t="s">
        <v>29</v>
      </c>
      <c r="J5948">
        <v>1</v>
      </c>
      <c r="K5948">
        <f>1-888-340-8055</f>
        <v>-9282</v>
      </c>
      <c r="L5948" t="s">
        <v>18538</v>
      </c>
      <c r="M5948" t="s">
        <v>18539</v>
      </c>
      <c r="N5948" t="s">
        <v>278</v>
      </c>
      <c r="O5948" t="s">
        <v>28</v>
      </c>
      <c r="P5948" t="s">
        <v>782</v>
      </c>
      <c r="Q5948">
        <v>-34</v>
      </c>
      <c r="R5948">
        <v>99.999999000000003</v>
      </c>
    </row>
    <row r="5949" spans="1:18" x14ac:dyDescent="0.2">
      <c r="A5949" t="s">
        <v>270</v>
      </c>
      <c r="B5949" t="s">
        <v>4672</v>
      </c>
      <c r="C5949">
        <v>1</v>
      </c>
      <c r="D5949" s="1">
        <v>44363.874814814815</v>
      </c>
      <c r="E5949" t="s">
        <v>18540</v>
      </c>
      <c r="F5949" t="s">
        <v>273</v>
      </c>
      <c r="G5949" t="s">
        <v>18507</v>
      </c>
      <c r="H5949" t="s">
        <v>275</v>
      </c>
      <c r="I5949" t="s">
        <v>29</v>
      </c>
      <c r="J5949">
        <v>1</v>
      </c>
      <c r="K5949">
        <f>1-844-319-538</f>
        <v>-1700</v>
      </c>
      <c r="L5949" t="s">
        <v>18541</v>
      </c>
      <c r="M5949" t="s">
        <v>18542</v>
      </c>
      <c r="N5949" t="s">
        <v>278</v>
      </c>
      <c r="O5949" t="s">
        <v>28</v>
      </c>
      <c r="P5949" t="s">
        <v>782</v>
      </c>
      <c r="Q5949">
        <v>-34</v>
      </c>
      <c r="R5949">
        <v>99.999999000000003</v>
      </c>
    </row>
    <row r="5950" spans="1:18" x14ac:dyDescent="0.2">
      <c r="A5950" t="s">
        <v>270</v>
      </c>
      <c r="B5950" t="s">
        <v>4672</v>
      </c>
      <c r="C5950">
        <v>1</v>
      </c>
      <c r="D5950" s="1">
        <v>44363.8593287037</v>
      </c>
      <c r="E5950" t="s">
        <v>18543</v>
      </c>
      <c r="F5950" t="s">
        <v>273</v>
      </c>
      <c r="G5950" t="s">
        <v>18507</v>
      </c>
      <c r="H5950" t="s">
        <v>275</v>
      </c>
      <c r="I5950" t="s">
        <v>29</v>
      </c>
      <c r="J5950">
        <v>1</v>
      </c>
      <c r="K5950">
        <f>1-844-388-9875</f>
        <v>-11106</v>
      </c>
      <c r="L5950" t="s">
        <v>18544</v>
      </c>
      <c r="M5950" t="s">
        <v>18545</v>
      </c>
      <c r="N5950" t="s">
        <v>278</v>
      </c>
      <c r="O5950" t="s">
        <v>28</v>
      </c>
      <c r="P5950" t="s">
        <v>782</v>
      </c>
      <c r="Q5950">
        <v>-34</v>
      </c>
      <c r="R5950">
        <v>99.999999000000003</v>
      </c>
    </row>
    <row r="5951" spans="1:18" x14ac:dyDescent="0.2">
      <c r="A5951" t="s">
        <v>270</v>
      </c>
      <c r="B5951" t="s">
        <v>4672</v>
      </c>
      <c r="C5951">
        <v>1</v>
      </c>
      <c r="D5951" s="1">
        <v>44363.855486111112</v>
      </c>
      <c r="E5951" t="s">
        <v>18546</v>
      </c>
      <c r="F5951" t="s">
        <v>273</v>
      </c>
      <c r="G5951" t="s">
        <v>18507</v>
      </c>
      <c r="H5951" t="s">
        <v>275</v>
      </c>
      <c r="I5951" t="s">
        <v>29</v>
      </c>
      <c r="J5951">
        <v>1</v>
      </c>
      <c r="K5951">
        <f>1-844-388-9875</f>
        <v>-11106</v>
      </c>
      <c r="L5951" t="s">
        <v>18547</v>
      </c>
      <c r="M5951" t="s">
        <v>18548</v>
      </c>
      <c r="N5951" t="s">
        <v>278</v>
      </c>
      <c r="O5951" t="s">
        <v>28</v>
      </c>
      <c r="P5951" t="s">
        <v>782</v>
      </c>
      <c r="Q5951">
        <v>-34</v>
      </c>
      <c r="R5951">
        <v>99.999999000000003</v>
      </c>
    </row>
    <row r="5952" spans="1:18" x14ac:dyDescent="0.2">
      <c r="A5952" t="s">
        <v>270</v>
      </c>
      <c r="B5952" t="s">
        <v>4672</v>
      </c>
      <c r="C5952">
        <v>1</v>
      </c>
      <c r="D5952" s="1">
        <v>44363.852129629631</v>
      </c>
      <c r="E5952" t="s">
        <v>18549</v>
      </c>
      <c r="F5952" t="s">
        <v>273</v>
      </c>
      <c r="G5952" t="s">
        <v>18507</v>
      </c>
      <c r="H5952" t="s">
        <v>275</v>
      </c>
      <c r="I5952" t="s">
        <v>29</v>
      </c>
      <c r="J5952">
        <v>1</v>
      </c>
      <c r="K5952">
        <f>1-888-207-5938</f>
        <v>-7032</v>
      </c>
      <c r="L5952" t="s">
        <v>18550</v>
      </c>
      <c r="M5952" t="s">
        <v>18551</v>
      </c>
      <c r="N5952" t="s">
        <v>278</v>
      </c>
      <c r="O5952" t="s">
        <v>28</v>
      </c>
      <c r="P5952" t="s">
        <v>782</v>
      </c>
      <c r="Q5952">
        <v>-34</v>
      </c>
      <c r="R5952">
        <v>99.999999000000003</v>
      </c>
    </row>
    <row r="5953" spans="1:18" x14ac:dyDescent="0.2">
      <c r="A5953" t="s">
        <v>270</v>
      </c>
      <c r="B5953" t="s">
        <v>4672</v>
      </c>
      <c r="C5953">
        <v>1</v>
      </c>
      <c r="D5953" s="1">
        <v>44363.831550925926</v>
      </c>
      <c r="E5953" t="s">
        <v>18552</v>
      </c>
      <c r="F5953" t="s">
        <v>273</v>
      </c>
      <c r="G5953" t="s">
        <v>18507</v>
      </c>
      <c r="H5953" t="s">
        <v>275</v>
      </c>
      <c r="I5953" t="s">
        <v>29</v>
      </c>
      <c r="J5953">
        <v>1</v>
      </c>
      <c r="K5953">
        <f>1-888-211-4453</f>
        <v>-5551</v>
      </c>
      <c r="L5953" t="s">
        <v>18553</v>
      </c>
      <c r="M5953" t="s">
        <v>18554</v>
      </c>
      <c r="N5953" t="s">
        <v>278</v>
      </c>
      <c r="O5953" t="s">
        <v>28</v>
      </c>
      <c r="P5953" t="s">
        <v>782</v>
      </c>
      <c r="Q5953">
        <v>-34</v>
      </c>
      <c r="R5953">
        <v>99.999999000000003</v>
      </c>
    </row>
    <row r="5954" spans="1:18" x14ac:dyDescent="0.2">
      <c r="A5954" t="s">
        <v>270</v>
      </c>
      <c r="B5954" t="s">
        <v>4672</v>
      </c>
      <c r="C5954">
        <v>1</v>
      </c>
      <c r="D5954" s="1">
        <v>44363.800428240742</v>
      </c>
      <c r="E5954" t="s">
        <v>18555</v>
      </c>
      <c r="F5954" t="s">
        <v>273</v>
      </c>
      <c r="G5954" t="s">
        <v>18507</v>
      </c>
      <c r="H5954" t="s">
        <v>275</v>
      </c>
      <c r="I5954" t="s">
        <v>29</v>
      </c>
      <c r="J5954">
        <v>1</v>
      </c>
      <c r="K5954">
        <f>1-888-240-5809</f>
        <v>-6936</v>
      </c>
      <c r="L5954" t="s">
        <v>18556</v>
      </c>
      <c r="M5954" t="s">
        <v>18557</v>
      </c>
      <c r="N5954" t="s">
        <v>278</v>
      </c>
      <c r="O5954" t="s">
        <v>28</v>
      </c>
      <c r="P5954" t="s">
        <v>782</v>
      </c>
      <c r="Q5954">
        <v>-34</v>
      </c>
      <c r="R5954">
        <v>99.999999000000003</v>
      </c>
    </row>
    <row r="5955" spans="1:18" x14ac:dyDescent="0.2">
      <c r="A5955" t="s">
        <v>270</v>
      </c>
      <c r="B5955" t="s">
        <v>4672</v>
      </c>
      <c r="C5955">
        <v>1</v>
      </c>
      <c r="D5955" s="1">
        <v>44363.8</v>
      </c>
      <c r="E5955" t="s">
        <v>18558</v>
      </c>
      <c r="F5955" t="s">
        <v>273</v>
      </c>
      <c r="G5955" t="s">
        <v>18507</v>
      </c>
      <c r="H5955" t="s">
        <v>275</v>
      </c>
      <c r="I5955" t="s">
        <v>29</v>
      </c>
      <c r="J5955">
        <v>1</v>
      </c>
      <c r="K5955">
        <f>1-888-240-5809</f>
        <v>-6936</v>
      </c>
      <c r="L5955" t="s">
        <v>18559</v>
      </c>
      <c r="M5955" t="s">
        <v>18560</v>
      </c>
      <c r="N5955" t="s">
        <v>278</v>
      </c>
      <c r="O5955" t="s">
        <v>28</v>
      </c>
      <c r="P5955" t="s">
        <v>782</v>
      </c>
      <c r="Q5955">
        <v>-34</v>
      </c>
      <c r="R5955">
        <v>99.999999000000003</v>
      </c>
    </row>
    <row r="5956" spans="1:18" x14ac:dyDescent="0.2">
      <c r="A5956" t="s">
        <v>270</v>
      </c>
      <c r="B5956" t="s">
        <v>4672</v>
      </c>
      <c r="C5956">
        <v>1</v>
      </c>
      <c r="D5956" s="1">
        <v>44363.778356481482</v>
      </c>
      <c r="E5956" t="s">
        <v>18561</v>
      </c>
      <c r="F5956" t="s">
        <v>273</v>
      </c>
      <c r="G5956" t="s">
        <v>18507</v>
      </c>
      <c r="H5956" t="s">
        <v>275</v>
      </c>
      <c r="I5956" t="s">
        <v>29</v>
      </c>
      <c r="J5956">
        <v>1</v>
      </c>
      <c r="K5956">
        <f>1-888-340-8055</f>
        <v>-9282</v>
      </c>
      <c r="L5956" t="s">
        <v>18562</v>
      </c>
      <c r="M5956" t="s">
        <v>18563</v>
      </c>
      <c r="N5956" t="s">
        <v>278</v>
      </c>
      <c r="O5956" t="s">
        <v>28</v>
      </c>
      <c r="P5956" t="s">
        <v>782</v>
      </c>
      <c r="Q5956">
        <v>-34</v>
      </c>
      <c r="R5956">
        <v>99.999999000000003</v>
      </c>
    </row>
    <row r="5957" spans="1:18" x14ac:dyDescent="0.2">
      <c r="A5957" t="s">
        <v>270</v>
      </c>
      <c r="B5957" t="s">
        <v>4672</v>
      </c>
      <c r="C5957">
        <v>1</v>
      </c>
      <c r="D5957" s="1">
        <v>44363.773854166669</v>
      </c>
      <c r="E5957" t="s">
        <v>18564</v>
      </c>
      <c r="F5957" t="s">
        <v>273</v>
      </c>
      <c r="G5957" t="s">
        <v>18507</v>
      </c>
      <c r="H5957" t="s">
        <v>275</v>
      </c>
      <c r="I5957" t="s">
        <v>29</v>
      </c>
      <c r="J5957">
        <v>1</v>
      </c>
      <c r="K5957">
        <f>1-888-600-2113</f>
        <v>-3600</v>
      </c>
      <c r="L5957" t="s">
        <v>18565</v>
      </c>
      <c r="M5957" t="s">
        <v>18566</v>
      </c>
      <c r="N5957" t="s">
        <v>278</v>
      </c>
      <c r="O5957" t="s">
        <v>28</v>
      </c>
      <c r="P5957" t="s">
        <v>782</v>
      </c>
      <c r="Q5957">
        <v>-34</v>
      </c>
      <c r="R5957">
        <v>99.999999000000003</v>
      </c>
    </row>
    <row r="5958" spans="1:18" x14ac:dyDescent="0.2">
      <c r="A5958" t="s">
        <v>270</v>
      </c>
      <c r="B5958" t="s">
        <v>4672</v>
      </c>
      <c r="C5958">
        <v>1</v>
      </c>
      <c r="D5958" s="1">
        <v>44363.770995370367</v>
      </c>
      <c r="E5958" t="s">
        <v>18567</v>
      </c>
      <c r="F5958" t="s">
        <v>273</v>
      </c>
      <c r="G5958" t="s">
        <v>18507</v>
      </c>
      <c r="H5958" t="s">
        <v>275</v>
      </c>
      <c r="I5958" t="s">
        <v>29</v>
      </c>
      <c r="J5958">
        <v>1</v>
      </c>
      <c r="K5958">
        <f>1-888-600-2113</f>
        <v>-3600</v>
      </c>
      <c r="L5958" t="s">
        <v>18568</v>
      </c>
      <c r="M5958" t="s">
        <v>18569</v>
      </c>
      <c r="N5958" t="s">
        <v>278</v>
      </c>
      <c r="O5958" t="s">
        <v>28</v>
      </c>
      <c r="P5958" t="s">
        <v>782</v>
      </c>
      <c r="Q5958">
        <v>-34</v>
      </c>
      <c r="R5958">
        <v>99.999999000000003</v>
      </c>
    </row>
    <row r="5959" spans="1:18" x14ac:dyDescent="0.2">
      <c r="A5959" t="s">
        <v>270</v>
      </c>
      <c r="B5959" t="s">
        <v>4672</v>
      </c>
      <c r="C5959">
        <v>1</v>
      </c>
      <c r="D5959" s="1">
        <v>44355.848275462966</v>
      </c>
      <c r="E5959" t="s">
        <v>18570</v>
      </c>
      <c r="F5959" t="s">
        <v>273</v>
      </c>
      <c r="G5959" t="s">
        <v>18507</v>
      </c>
      <c r="H5959" t="s">
        <v>275</v>
      </c>
      <c r="I5959" t="s">
        <v>29</v>
      </c>
      <c r="J5959">
        <v>1</v>
      </c>
      <c r="K5959">
        <f>1-888-597-1487</f>
        <v>-2971</v>
      </c>
      <c r="L5959" t="s">
        <v>18571</v>
      </c>
      <c r="M5959" t="s">
        <v>18572</v>
      </c>
      <c r="N5959" t="s">
        <v>278</v>
      </c>
      <c r="O5959" t="s">
        <v>134</v>
      </c>
      <c r="P5959" t="s">
        <v>782</v>
      </c>
      <c r="Q5959">
        <v>-34</v>
      </c>
      <c r="R5959">
        <v>99.999999000000003</v>
      </c>
    </row>
    <row r="5960" spans="1:18" x14ac:dyDescent="0.2">
      <c r="A5960" t="s">
        <v>270</v>
      </c>
      <c r="B5960" t="s">
        <v>4672</v>
      </c>
      <c r="C5960">
        <v>1</v>
      </c>
      <c r="D5960" s="1">
        <v>44354.88994212963</v>
      </c>
      <c r="E5960" t="s">
        <v>18573</v>
      </c>
      <c r="F5960" t="s">
        <v>273</v>
      </c>
      <c r="G5960" t="s">
        <v>18507</v>
      </c>
      <c r="H5960" t="s">
        <v>275</v>
      </c>
      <c r="I5960" t="s">
        <v>29</v>
      </c>
      <c r="J5960">
        <v>1</v>
      </c>
      <c r="K5960">
        <f>1-888-613-1385</f>
        <v>-2885</v>
      </c>
      <c r="L5960" t="s">
        <v>18574</v>
      </c>
      <c r="M5960" t="s">
        <v>18575</v>
      </c>
      <c r="N5960" t="s">
        <v>278</v>
      </c>
      <c r="O5960" t="s">
        <v>28</v>
      </c>
      <c r="P5960" t="s">
        <v>782</v>
      </c>
      <c r="Q5960">
        <v>-34</v>
      </c>
      <c r="R5960">
        <v>99.999999000000003</v>
      </c>
    </row>
    <row r="5961" spans="1:18" x14ac:dyDescent="0.2">
      <c r="A5961" t="s">
        <v>270</v>
      </c>
      <c r="B5961" t="s">
        <v>4672</v>
      </c>
      <c r="C5961">
        <v>1</v>
      </c>
      <c r="D5961" s="1">
        <v>44354.876805555556</v>
      </c>
      <c r="E5961" t="s">
        <v>18576</v>
      </c>
      <c r="F5961" t="s">
        <v>273</v>
      </c>
      <c r="G5961" t="s">
        <v>18507</v>
      </c>
      <c r="H5961" t="s">
        <v>275</v>
      </c>
      <c r="I5961" t="s">
        <v>29</v>
      </c>
      <c r="J5961">
        <v>1</v>
      </c>
      <c r="K5961">
        <f>1-888-610-6383</f>
        <v>-7880</v>
      </c>
      <c r="L5961" t="s">
        <v>18577</v>
      </c>
      <c r="M5961" t="s">
        <v>18578</v>
      </c>
      <c r="N5961" t="s">
        <v>278</v>
      </c>
      <c r="O5961" t="s">
        <v>28</v>
      </c>
      <c r="P5961" t="s">
        <v>782</v>
      </c>
      <c r="Q5961">
        <v>-34</v>
      </c>
      <c r="R5961">
        <v>99.999999000000003</v>
      </c>
    </row>
    <row r="5962" spans="1:18" x14ac:dyDescent="0.2">
      <c r="A5962" t="s">
        <v>270</v>
      </c>
      <c r="B5962" t="s">
        <v>4672</v>
      </c>
      <c r="C5962">
        <v>1</v>
      </c>
      <c r="D5962" s="1">
        <v>44354.871574074074</v>
      </c>
      <c r="E5962" t="s">
        <v>18579</v>
      </c>
      <c r="F5962" t="s">
        <v>273</v>
      </c>
      <c r="G5962" t="s">
        <v>18507</v>
      </c>
      <c r="H5962" t="s">
        <v>275</v>
      </c>
      <c r="I5962" t="s">
        <v>29</v>
      </c>
      <c r="J5962">
        <v>1</v>
      </c>
      <c r="K5962">
        <f>1-888-609-3819</f>
        <v>-5315</v>
      </c>
      <c r="L5962" t="s">
        <v>18580</v>
      </c>
      <c r="M5962" t="s">
        <v>18581</v>
      </c>
      <c r="N5962" t="s">
        <v>278</v>
      </c>
      <c r="O5962" t="s">
        <v>28</v>
      </c>
      <c r="P5962" t="s">
        <v>782</v>
      </c>
      <c r="Q5962">
        <v>-34</v>
      </c>
      <c r="R5962">
        <v>99.999999000000003</v>
      </c>
    </row>
    <row r="5963" spans="1:18" x14ac:dyDescent="0.2">
      <c r="A5963" t="s">
        <v>270</v>
      </c>
      <c r="B5963" t="s">
        <v>4672</v>
      </c>
      <c r="C5963">
        <v>1</v>
      </c>
      <c r="D5963" s="1">
        <v>44354.860543981478</v>
      </c>
      <c r="E5963" t="s">
        <v>18582</v>
      </c>
      <c r="F5963" t="s">
        <v>273</v>
      </c>
      <c r="G5963" t="s">
        <v>18507</v>
      </c>
      <c r="H5963" t="s">
        <v>275</v>
      </c>
      <c r="I5963" t="s">
        <v>29</v>
      </c>
      <c r="J5963">
        <v>1</v>
      </c>
      <c r="K5963">
        <f>1-888-609-3819</f>
        <v>-5315</v>
      </c>
      <c r="L5963" t="s">
        <v>18583</v>
      </c>
      <c r="M5963" t="s">
        <v>18584</v>
      </c>
      <c r="N5963" t="s">
        <v>278</v>
      </c>
      <c r="O5963" t="s">
        <v>28</v>
      </c>
      <c r="P5963" t="s">
        <v>782</v>
      </c>
      <c r="Q5963">
        <v>-34</v>
      </c>
      <c r="R5963">
        <v>99.999999000000003</v>
      </c>
    </row>
    <row r="5964" spans="1:18" x14ac:dyDescent="0.2">
      <c r="A5964" t="s">
        <v>270</v>
      </c>
      <c r="B5964" t="s">
        <v>4672</v>
      </c>
      <c r="C5964">
        <v>1</v>
      </c>
      <c r="D5964" s="1">
        <v>44350.898796296293</v>
      </c>
      <c r="E5964" t="s">
        <v>18585</v>
      </c>
      <c r="F5964" t="s">
        <v>273</v>
      </c>
      <c r="G5964" t="s">
        <v>18507</v>
      </c>
      <c r="H5964" t="s">
        <v>275</v>
      </c>
      <c r="I5964" t="s">
        <v>29</v>
      </c>
      <c r="J5964">
        <v>1</v>
      </c>
      <c r="K5964">
        <f>1-888-655-2357</f>
        <v>-3899</v>
      </c>
      <c r="L5964" t="s">
        <v>18586</v>
      </c>
      <c r="M5964" t="s">
        <v>18587</v>
      </c>
      <c r="N5964" t="s">
        <v>278</v>
      </c>
      <c r="O5964" t="s">
        <v>28</v>
      </c>
      <c r="P5964" t="s">
        <v>782</v>
      </c>
      <c r="Q5964">
        <v>-34</v>
      </c>
      <c r="R5964">
        <v>99.999999000000003</v>
      </c>
    </row>
    <row r="5965" spans="1:18" x14ac:dyDescent="0.2">
      <c r="A5965" t="s">
        <v>270</v>
      </c>
      <c r="B5965" t="s">
        <v>4672</v>
      </c>
      <c r="C5965">
        <v>1</v>
      </c>
      <c r="D5965" s="1">
        <v>44350.840127314812</v>
      </c>
      <c r="E5965" t="s">
        <v>18588</v>
      </c>
      <c r="F5965" t="s">
        <v>273</v>
      </c>
      <c r="G5965" t="s">
        <v>18507</v>
      </c>
      <c r="H5965" t="s">
        <v>275</v>
      </c>
      <c r="I5965" t="s">
        <v>29</v>
      </c>
      <c r="J5965">
        <v>1</v>
      </c>
      <c r="K5965">
        <f>1-888-654-4471</f>
        <v>-6012</v>
      </c>
      <c r="L5965" t="s">
        <v>18589</v>
      </c>
      <c r="M5965" t="s">
        <v>18590</v>
      </c>
      <c r="N5965" t="s">
        <v>278</v>
      </c>
      <c r="O5965" t="s">
        <v>28</v>
      </c>
      <c r="P5965" t="s">
        <v>782</v>
      </c>
      <c r="Q5965">
        <v>-34</v>
      </c>
      <c r="R5965">
        <v>99.999999000000003</v>
      </c>
    </row>
    <row r="5966" spans="1:18" x14ac:dyDescent="0.2">
      <c r="A5966" t="s">
        <v>270</v>
      </c>
      <c r="B5966" t="s">
        <v>4672</v>
      </c>
      <c r="C5966">
        <v>1</v>
      </c>
      <c r="D5966" s="1">
        <v>44350.831180555557</v>
      </c>
      <c r="E5966" t="s">
        <v>18591</v>
      </c>
      <c r="F5966" t="s">
        <v>273</v>
      </c>
      <c r="G5966" t="s">
        <v>18507</v>
      </c>
      <c r="H5966" t="s">
        <v>275</v>
      </c>
      <c r="I5966" t="s">
        <v>29</v>
      </c>
      <c r="J5966">
        <v>1</v>
      </c>
      <c r="K5966">
        <f>1-888-654-4471</f>
        <v>-6012</v>
      </c>
      <c r="L5966" t="s">
        <v>18592</v>
      </c>
      <c r="M5966" t="s">
        <v>18593</v>
      </c>
      <c r="N5966" t="s">
        <v>278</v>
      </c>
      <c r="O5966" t="s">
        <v>28</v>
      </c>
      <c r="P5966" t="s">
        <v>782</v>
      </c>
      <c r="Q5966">
        <v>-34</v>
      </c>
      <c r="R5966">
        <v>99.999999000000003</v>
      </c>
    </row>
    <row r="5967" spans="1:18" x14ac:dyDescent="0.2">
      <c r="A5967" t="s">
        <v>270</v>
      </c>
      <c r="B5967" t="s">
        <v>4672</v>
      </c>
      <c r="C5967">
        <v>1</v>
      </c>
      <c r="D5967" s="1">
        <v>44349.894814814812</v>
      </c>
      <c r="E5967" t="s">
        <v>18594</v>
      </c>
      <c r="F5967" t="s">
        <v>273</v>
      </c>
      <c r="G5967" t="s">
        <v>18507</v>
      </c>
      <c r="H5967" t="s">
        <v>275</v>
      </c>
      <c r="I5967" t="s">
        <v>29</v>
      </c>
      <c r="J5967">
        <v>1</v>
      </c>
      <c r="K5967">
        <f>1-844-288-7932</f>
        <v>-9063</v>
      </c>
      <c r="L5967" t="s">
        <v>18595</v>
      </c>
      <c r="M5967" t="s">
        <v>18596</v>
      </c>
      <c r="N5967" t="s">
        <v>278</v>
      </c>
      <c r="O5967" t="s">
        <v>28</v>
      </c>
      <c r="P5967" t="s">
        <v>782</v>
      </c>
      <c r="Q5967">
        <v>-34</v>
      </c>
      <c r="R5967">
        <v>99.999999000000003</v>
      </c>
    </row>
    <row r="5968" spans="1:18" x14ac:dyDescent="0.2">
      <c r="A5968" t="s">
        <v>270</v>
      </c>
      <c r="B5968" t="s">
        <v>4672</v>
      </c>
      <c r="C5968">
        <v>1</v>
      </c>
      <c r="D5968" s="1">
        <v>44349.828402777777</v>
      </c>
      <c r="E5968" t="s">
        <v>18597</v>
      </c>
      <c r="F5968" t="s">
        <v>273</v>
      </c>
      <c r="G5968" t="s">
        <v>18507</v>
      </c>
      <c r="H5968" t="s">
        <v>275</v>
      </c>
      <c r="I5968" t="s">
        <v>29</v>
      </c>
      <c r="J5968">
        <v>1</v>
      </c>
      <c r="K5968">
        <f>1-888-690-779</f>
        <v>-2356</v>
      </c>
      <c r="L5968" t="s">
        <v>18598</v>
      </c>
      <c r="M5968" t="s">
        <v>18599</v>
      </c>
      <c r="N5968" t="s">
        <v>278</v>
      </c>
      <c r="O5968" t="s">
        <v>28</v>
      </c>
      <c r="P5968" t="s">
        <v>782</v>
      </c>
      <c r="Q5968">
        <v>-34</v>
      </c>
      <c r="R5968">
        <v>99.999999000000003</v>
      </c>
    </row>
    <row r="5969" spans="1:18" x14ac:dyDescent="0.2">
      <c r="A5969" t="s">
        <v>270</v>
      </c>
      <c r="B5969" t="s">
        <v>4672</v>
      </c>
      <c r="C5969">
        <v>1</v>
      </c>
      <c r="D5969" s="1">
        <v>44340.968055555553</v>
      </c>
      <c r="E5969" t="s">
        <v>18600</v>
      </c>
      <c r="F5969" t="s">
        <v>273</v>
      </c>
      <c r="G5969" t="s">
        <v>18507</v>
      </c>
      <c r="H5969" t="s">
        <v>275</v>
      </c>
      <c r="I5969" t="s">
        <v>29</v>
      </c>
      <c r="J5969">
        <v>1</v>
      </c>
      <c r="K5969">
        <f>1-888-732-7102</f>
        <v>-8721</v>
      </c>
      <c r="L5969" t="s">
        <v>18601</v>
      </c>
      <c r="M5969" t="s">
        <v>18602</v>
      </c>
      <c r="N5969" t="s">
        <v>278</v>
      </c>
      <c r="O5969" t="s">
        <v>28</v>
      </c>
      <c r="P5969" t="s">
        <v>782</v>
      </c>
      <c r="Q5969">
        <v>-34</v>
      </c>
      <c r="R5969">
        <v>99.999999000000003</v>
      </c>
    </row>
    <row r="5970" spans="1:18" x14ac:dyDescent="0.2">
      <c r="A5970" t="s">
        <v>270</v>
      </c>
      <c r="B5970" t="s">
        <v>4672</v>
      </c>
      <c r="C5970">
        <v>1</v>
      </c>
      <c r="D5970" s="1">
        <v>44343.848379629628</v>
      </c>
      <c r="E5970" t="s">
        <v>18603</v>
      </c>
      <c r="F5970" t="s">
        <v>273</v>
      </c>
      <c r="G5970" t="s">
        <v>18507</v>
      </c>
      <c r="H5970" t="s">
        <v>275</v>
      </c>
      <c r="I5970" t="s">
        <v>29</v>
      </c>
      <c r="J5970">
        <v>1</v>
      </c>
      <c r="K5970">
        <f>1-888-525-1958</f>
        <v>-3370</v>
      </c>
      <c r="L5970" t="s">
        <v>18604</v>
      </c>
      <c r="M5970" t="s">
        <v>18605</v>
      </c>
      <c r="N5970" t="s">
        <v>278</v>
      </c>
      <c r="O5970" t="s">
        <v>28</v>
      </c>
      <c r="P5970" t="s">
        <v>782</v>
      </c>
      <c r="Q5970">
        <v>-34</v>
      </c>
      <c r="R5970">
        <v>99.999999000000003</v>
      </c>
    </row>
    <row r="5971" spans="1:18" x14ac:dyDescent="0.2">
      <c r="A5971" t="s">
        <v>270</v>
      </c>
      <c r="B5971" t="s">
        <v>4672</v>
      </c>
      <c r="C5971">
        <v>1</v>
      </c>
      <c r="D5971" s="1">
        <v>44343.825671296298</v>
      </c>
      <c r="E5971" t="s">
        <v>18606</v>
      </c>
      <c r="F5971" t="s">
        <v>273</v>
      </c>
      <c r="G5971" t="s">
        <v>18507</v>
      </c>
      <c r="H5971" t="s">
        <v>275</v>
      </c>
      <c r="I5971" t="s">
        <v>29</v>
      </c>
      <c r="J5971">
        <v>1</v>
      </c>
      <c r="K5971">
        <f>1-888-531-1238</f>
        <v>-2656</v>
      </c>
      <c r="L5971" t="s">
        <v>18607</v>
      </c>
      <c r="M5971" t="s">
        <v>18608</v>
      </c>
      <c r="N5971" t="s">
        <v>278</v>
      </c>
      <c r="O5971" t="s">
        <v>28</v>
      </c>
      <c r="P5971" t="s">
        <v>782</v>
      </c>
      <c r="Q5971">
        <v>-34</v>
      </c>
      <c r="R5971">
        <v>99.999999000000003</v>
      </c>
    </row>
    <row r="5972" spans="1:18" x14ac:dyDescent="0.2">
      <c r="A5972" t="s">
        <v>270</v>
      </c>
      <c r="B5972" t="s">
        <v>4672</v>
      </c>
      <c r="C5972">
        <v>1</v>
      </c>
      <c r="D5972" s="1">
        <v>44343.824340277781</v>
      </c>
      <c r="E5972" t="s">
        <v>18609</v>
      </c>
      <c r="F5972" t="s">
        <v>273</v>
      </c>
      <c r="G5972" t="s">
        <v>18507</v>
      </c>
      <c r="H5972" t="s">
        <v>275</v>
      </c>
      <c r="I5972" t="s">
        <v>29</v>
      </c>
      <c r="J5972">
        <v>1</v>
      </c>
      <c r="K5972">
        <f>1-888-531-1238</f>
        <v>-2656</v>
      </c>
      <c r="L5972" t="s">
        <v>18610</v>
      </c>
      <c r="M5972" t="s">
        <v>18611</v>
      </c>
      <c r="N5972" t="s">
        <v>278</v>
      </c>
      <c r="O5972" t="s">
        <v>28</v>
      </c>
      <c r="P5972" t="s">
        <v>782</v>
      </c>
      <c r="Q5972">
        <v>-34</v>
      </c>
      <c r="R5972">
        <v>99.999999000000003</v>
      </c>
    </row>
    <row r="5973" spans="1:18" x14ac:dyDescent="0.2">
      <c r="A5973" t="s">
        <v>270</v>
      </c>
      <c r="B5973" t="s">
        <v>4672</v>
      </c>
      <c r="C5973">
        <v>1</v>
      </c>
      <c r="D5973" s="1">
        <v>44344.935590277775</v>
      </c>
      <c r="E5973" t="s">
        <v>18612</v>
      </c>
      <c r="F5973" t="s">
        <v>273</v>
      </c>
      <c r="G5973" t="s">
        <v>18507</v>
      </c>
      <c r="H5973" t="s">
        <v>275</v>
      </c>
      <c r="I5973" t="s">
        <v>29</v>
      </c>
      <c r="J5973">
        <v>1</v>
      </c>
      <c r="K5973">
        <f>1-888-312-1366</f>
        <v>-2565</v>
      </c>
      <c r="L5973" t="s">
        <v>18613</v>
      </c>
      <c r="M5973" t="s">
        <v>18614</v>
      </c>
      <c r="N5973" t="s">
        <v>278</v>
      </c>
      <c r="O5973" t="s">
        <v>28</v>
      </c>
      <c r="P5973" t="s">
        <v>782</v>
      </c>
      <c r="Q5973">
        <v>-34</v>
      </c>
      <c r="R5973">
        <v>99.999999000000003</v>
      </c>
    </row>
    <row r="5974" spans="1:18" x14ac:dyDescent="0.2">
      <c r="A5974" t="s">
        <v>270</v>
      </c>
      <c r="B5974" t="s">
        <v>4672</v>
      </c>
      <c r="C5974">
        <v>1</v>
      </c>
      <c r="D5974" s="1">
        <v>44343.821493055555</v>
      </c>
      <c r="E5974" t="s">
        <v>18615</v>
      </c>
      <c r="F5974" t="s">
        <v>273</v>
      </c>
      <c r="G5974" t="s">
        <v>18507</v>
      </c>
      <c r="H5974" t="s">
        <v>275</v>
      </c>
      <c r="I5974" t="s">
        <v>29</v>
      </c>
      <c r="J5974">
        <v>1</v>
      </c>
      <c r="K5974">
        <f>1-888-531-1238</f>
        <v>-2656</v>
      </c>
      <c r="L5974" t="s">
        <v>18616</v>
      </c>
      <c r="M5974" t="s">
        <v>18617</v>
      </c>
      <c r="N5974" t="s">
        <v>278</v>
      </c>
      <c r="O5974" t="s">
        <v>28</v>
      </c>
      <c r="P5974" t="s">
        <v>782</v>
      </c>
      <c r="Q5974">
        <v>-34</v>
      </c>
      <c r="R5974">
        <v>99.999999000000003</v>
      </c>
    </row>
    <row r="5975" spans="1:18" x14ac:dyDescent="0.2">
      <c r="A5975" t="s">
        <v>270</v>
      </c>
      <c r="B5975" t="s">
        <v>4672</v>
      </c>
      <c r="C5975">
        <v>1</v>
      </c>
      <c r="D5975" s="1">
        <v>44343.820844907408</v>
      </c>
      <c r="E5975" t="s">
        <v>18618</v>
      </c>
      <c r="F5975" t="s">
        <v>273</v>
      </c>
      <c r="G5975" t="s">
        <v>18507</v>
      </c>
      <c r="H5975" t="s">
        <v>275</v>
      </c>
      <c r="I5975" t="s">
        <v>29</v>
      </c>
      <c r="J5975">
        <v>1</v>
      </c>
      <c r="K5975">
        <f>1-888-537-6696</f>
        <v>-8120</v>
      </c>
      <c r="L5975" t="s">
        <v>18619</v>
      </c>
      <c r="M5975" t="s">
        <v>18620</v>
      </c>
      <c r="N5975" t="s">
        <v>278</v>
      </c>
      <c r="O5975" t="s">
        <v>28</v>
      </c>
      <c r="P5975" t="s">
        <v>782</v>
      </c>
      <c r="Q5975">
        <v>-34</v>
      </c>
      <c r="R5975">
        <v>99.999999000000003</v>
      </c>
    </row>
    <row r="5976" spans="1:18" x14ac:dyDescent="0.2">
      <c r="A5976" t="s">
        <v>270</v>
      </c>
      <c r="B5976" t="s">
        <v>4672</v>
      </c>
      <c r="C5976">
        <v>1</v>
      </c>
      <c r="D5976" s="1">
        <v>44336.837500000001</v>
      </c>
      <c r="E5976" t="s">
        <v>18621</v>
      </c>
      <c r="F5976" t="s">
        <v>273</v>
      </c>
      <c r="G5976" t="s">
        <v>18507</v>
      </c>
      <c r="H5976" t="s">
        <v>275</v>
      </c>
      <c r="I5976" t="s">
        <v>29</v>
      </c>
      <c r="J5976">
        <v>1</v>
      </c>
      <c r="K5976">
        <f>1-888-784-8110</f>
        <v>-9781</v>
      </c>
      <c r="L5976" t="s">
        <v>18622</v>
      </c>
      <c r="M5976" t="s">
        <v>18623</v>
      </c>
      <c r="N5976" t="s">
        <v>278</v>
      </c>
      <c r="O5976" t="s">
        <v>28</v>
      </c>
      <c r="P5976" t="s">
        <v>782</v>
      </c>
      <c r="Q5976">
        <v>-34</v>
      </c>
      <c r="R5976">
        <v>99.999999000000003</v>
      </c>
    </row>
    <row r="5977" spans="1:18" x14ac:dyDescent="0.2">
      <c r="A5977" t="s">
        <v>270</v>
      </c>
      <c r="B5977" t="s">
        <v>4672</v>
      </c>
      <c r="C5977">
        <v>1</v>
      </c>
      <c r="D5977" s="1">
        <v>44336.773090277777</v>
      </c>
      <c r="E5977" t="s">
        <v>18624</v>
      </c>
      <c r="F5977" t="s">
        <v>273</v>
      </c>
      <c r="G5977" t="s">
        <v>18507</v>
      </c>
      <c r="H5977" t="s">
        <v>275</v>
      </c>
      <c r="I5977" t="s">
        <v>29</v>
      </c>
      <c r="J5977">
        <v>1</v>
      </c>
      <c r="K5977">
        <f>1-888-786-2061</f>
        <v>-3734</v>
      </c>
      <c r="L5977" t="s">
        <v>18625</v>
      </c>
      <c r="M5977" t="s">
        <v>18626</v>
      </c>
      <c r="N5977" t="s">
        <v>278</v>
      </c>
      <c r="O5977" t="s">
        <v>28</v>
      </c>
      <c r="P5977" t="s">
        <v>782</v>
      </c>
      <c r="Q5977">
        <v>-34</v>
      </c>
      <c r="R5977">
        <v>99.999999000000003</v>
      </c>
    </row>
    <row r="5978" spans="1:18" x14ac:dyDescent="0.2">
      <c r="A5978" t="s">
        <v>270</v>
      </c>
      <c r="B5978" t="s">
        <v>4672</v>
      </c>
      <c r="C5978">
        <v>1</v>
      </c>
      <c r="D5978" s="1">
        <v>44334.848738425928</v>
      </c>
      <c r="E5978" t="s">
        <v>18627</v>
      </c>
      <c r="F5978" t="s">
        <v>273</v>
      </c>
      <c r="G5978" t="s">
        <v>18507</v>
      </c>
      <c r="H5978" t="s">
        <v>275</v>
      </c>
      <c r="I5978" t="s">
        <v>29</v>
      </c>
      <c r="J5978">
        <v>1</v>
      </c>
      <c r="K5978">
        <f>1-866-345-9740</f>
        <v>-10950</v>
      </c>
      <c r="L5978" t="s">
        <v>18628</v>
      </c>
      <c r="M5978" t="s">
        <v>18629</v>
      </c>
      <c r="N5978" t="s">
        <v>278</v>
      </c>
      <c r="O5978" t="s">
        <v>28</v>
      </c>
      <c r="P5978" t="s">
        <v>782</v>
      </c>
      <c r="Q5978">
        <v>-34</v>
      </c>
      <c r="R5978">
        <v>99.999999000000003</v>
      </c>
    </row>
    <row r="5979" spans="1:18" x14ac:dyDescent="0.2">
      <c r="A5979" t="s">
        <v>270</v>
      </c>
      <c r="B5979" t="s">
        <v>4672</v>
      </c>
      <c r="C5979">
        <v>1</v>
      </c>
      <c r="D5979" s="1">
        <v>44334.833912037036</v>
      </c>
      <c r="E5979" t="s">
        <v>18630</v>
      </c>
      <c r="F5979" t="s">
        <v>273</v>
      </c>
      <c r="G5979" t="s">
        <v>18507</v>
      </c>
      <c r="H5979" t="s">
        <v>275</v>
      </c>
      <c r="I5979" t="s">
        <v>29</v>
      </c>
      <c r="J5979">
        <v>1</v>
      </c>
      <c r="K5979">
        <f>1-888-655-2348</f>
        <v>-3890</v>
      </c>
      <c r="L5979" t="s">
        <v>18631</v>
      </c>
      <c r="M5979" t="s">
        <v>18632</v>
      </c>
      <c r="N5979" t="s">
        <v>278</v>
      </c>
      <c r="O5979" t="s">
        <v>28</v>
      </c>
      <c r="P5979" t="s">
        <v>782</v>
      </c>
      <c r="Q5979">
        <v>-34</v>
      </c>
      <c r="R5979">
        <v>99.999999000000003</v>
      </c>
    </row>
    <row r="5980" spans="1:18" x14ac:dyDescent="0.2">
      <c r="A5980" t="s">
        <v>270</v>
      </c>
      <c r="B5980" t="s">
        <v>4672</v>
      </c>
      <c r="C5980">
        <v>1</v>
      </c>
      <c r="D5980" s="1">
        <v>44334.866446759261</v>
      </c>
      <c r="E5980" t="s">
        <v>18633</v>
      </c>
      <c r="F5980" t="s">
        <v>273</v>
      </c>
      <c r="G5980" t="s">
        <v>18507</v>
      </c>
      <c r="H5980" t="s">
        <v>275</v>
      </c>
      <c r="I5980" t="s">
        <v>29</v>
      </c>
      <c r="J5980">
        <v>1</v>
      </c>
      <c r="K5980">
        <f>1-866-364-1860</f>
        <v>-3089</v>
      </c>
      <c r="L5980" t="s">
        <v>18634</v>
      </c>
      <c r="M5980" t="s">
        <v>18635</v>
      </c>
      <c r="N5980" t="s">
        <v>278</v>
      </c>
      <c r="O5980" t="s">
        <v>28</v>
      </c>
      <c r="P5980" t="s">
        <v>782</v>
      </c>
      <c r="Q5980">
        <v>-34</v>
      </c>
      <c r="R5980">
        <v>99.999999000000003</v>
      </c>
    </row>
    <row r="5981" spans="1:18" x14ac:dyDescent="0.2">
      <c r="A5981" t="s">
        <v>270</v>
      </c>
      <c r="B5981" t="s">
        <v>4672</v>
      </c>
      <c r="C5981">
        <v>1</v>
      </c>
      <c r="D5981" s="1">
        <v>44334.809189814812</v>
      </c>
      <c r="E5981" t="s">
        <v>18636</v>
      </c>
      <c r="F5981" t="s">
        <v>273</v>
      </c>
      <c r="G5981" t="s">
        <v>18507</v>
      </c>
      <c r="H5981" t="s">
        <v>275</v>
      </c>
      <c r="I5981" t="s">
        <v>29</v>
      </c>
      <c r="J5981">
        <v>1</v>
      </c>
      <c r="K5981">
        <f>1-888-304-1344</f>
        <v>-2535</v>
      </c>
      <c r="L5981" t="s">
        <v>18637</v>
      </c>
      <c r="M5981" t="s">
        <v>18638</v>
      </c>
      <c r="N5981" t="s">
        <v>278</v>
      </c>
      <c r="O5981" t="s">
        <v>28</v>
      </c>
      <c r="P5981" t="s">
        <v>782</v>
      </c>
      <c r="Q5981">
        <v>-34</v>
      </c>
      <c r="R5981">
        <v>99.999999000000003</v>
      </c>
    </row>
    <row r="5982" spans="1:18" x14ac:dyDescent="0.2">
      <c r="A5982" t="s">
        <v>270</v>
      </c>
      <c r="B5982" t="s">
        <v>4672</v>
      </c>
      <c r="C5982">
        <v>1</v>
      </c>
      <c r="D5982" s="1">
        <v>44322.902245370373</v>
      </c>
      <c r="E5982" t="s">
        <v>18639</v>
      </c>
      <c r="F5982" t="s">
        <v>273</v>
      </c>
      <c r="G5982" t="s">
        <v>18507</v>
      </c>
      <c r="H5982" t="s">
        <v>275</v>
      </c>
      <c r="I5982" t="s">
        <v>29</v>
      </c>
      <c r="J5982">
        <v>1</v>
      </c>
      <c r="K5982">
        <f>1-844-304-9108</f>
        <v>-10255</v>
      </c>
      <c r="L5982" t="s">
        <v>18640</v>
      </c>
      <c r="M5982" t="s">
        <v>18641</v>
      </c>
      <c r="N5982" t="s">
        <v>278</v>
      </c>
      <c r="O5982" t="s">
        <v>28</v>
      </c>
      <c r="P5982" t="s">
        <v>782</v>
      </c>
      <c r="Q5982">
        <v>-34</v>
      </c>
      <c r="R5982">
        <v>99.999999000000003</v>
      </c>
    </row>
    <row r="5983" spans="1:18" x14ac:dyDescent="0.2">
      <c r="A5983" t="s">
        <v>270</v>
      </c>
      <c r="B5983" t="s">
        <v>4672</v>
      </c>
      <c r="C5983">
        <v>1</v>
      </c>
      <c r="D5983" s="1">
        <v>44322.902245370373</v>
      </c>
      <c r="E5983" t="s">
        <v>18639</v>
      </c>
      <c r="F5983" t="s">
        <v>273</v>
      </c>
      <c r="G5983" t="s">
        <v>18507</v>
      </c>
      <c r="H5983" t="s">
        <v>275</v>
      </c>
      <c r="I5983" t="s">
        <v>29</v>
      </c>
      <c r="J5983">
        <v>1</v>
      </c>
      <c r="K5983">
        <f>1-844-304-9108</f>
        <v>-10255</v>
      </c>
      <c r="L5983" t="s">
        <v>18642</v>
      </c>
      <c r="M5983" t="s">
        <v>18641</v>
      </c>
      <c r="N5983" t="s">
        <v>278</v>
      </c>
      <c r="O5983" t="s">
        <v>28</v>
      </c>
      <c r="P5983" t="s">
        <v>782</v>
      </c>
      <c r="Q5983">
        <v>-34</v>
      </c>
      <c r="R5983">
        <v>99.999999000000003</v>
      </c>
    </row>
    <row r="5984" spans="1:18" x14ac:dyDescent="0.2">
      <c r="A5984" t="s">
        <v>270</v>
      </c>
      <c r="B5984" t="s">
        <v>4672</v>
      </c>
      <c r="C5984">
        <v>1</v>
      </c>
      <c r="D5984" s="1">
        <v>44286.807754629626</v>
      </c>
      <c r="E5984" t="s">
        <v>18643</v>
      </c>
      <c r="F5984" t="s">
        <v>273</v>
      </c>
      <c r="G5984" t="s">
        <v>18507</v>
      </c>
      <c r="H5984" t="s">
        <v>275</v>
      </c>
      <c r="I5984" t="s">
        <v>29</v>
      </c>
      <c r="J5984">
        <v>1</v>
      </c>
      <c r="K5984">
        <f>1-844-385-1819</f>
        <v>-3047</v>
      </c>
      <c r="L5984" t="s">
        <v>18644</v>
      </c>
      <c r="M5984" t="s">
        <v>18645</v>
      </c>
      <c r="N5984" t="s">
        <v>278</v>
      </c>
      <c r="O5984" t="s">
        <v>28</v>
      </c>
      <c r="P5984" t="s">
        <v>782</v>
      </c>
      <c r="Q5984">
        <v>-34</v>
      </c>
      <c r="R5984">
        <v>99.999999000000003</v>
      </c>
    </row>
    <row r="5985" spans="1:18" x14ac:dyDescent="0.2">
      <c r="A5985" t="s">
        <v>270</v>
      </c>
      <c r="B5985" t="s">
        <v>4672</v>
      </c>
      <c r="C5985">
        <v>1</v>
      </c>
      <c r="D5985" s="1">
        <v>44225.759039351855</v>
      </c>
      <c r="E5985" t="s">
        <v>18646</v>
      </c>
      <c r="F5985" t="s">
        <v>273</v>
      </c>
      <c r="G5985" t="s">
        <v>18507</v>
      </c>
      <c r="H5985" t="s">
        <v>275</v>
      </c>
      <c r="I5985" t="s">
        <v>29</v>
      </c>
      <c r="J5985">
        <v>1</v>
      </c>
      <c r="K5985">
        <f>1-888-605-5539</f>
        <v>-7031</v>
      </c>
      <c r="L5985" t="s">
        <v>18647</v>
      </c>
      <c r="M5985" t="s">
        <v>18648</v>
      </c>
      <c r="N5985" t="s">
        <v>278</v>
      </c>
      <c r="O5985" t="s">
        <v>28</v>
      </c>
      <c r="P5985" t="s">
        <v>782</v>
      </c>
      <c r="Q5985">
        <v>-34</v>
      </c>
      <c r="R5985">
        <v>99.999999000000003</v>
      </c>
    </row>
    <row r="5986" spans="1:18" x14ac:dyDescent="0.2">
      <c r="A5986" t="s">
        <v>270</v>
      </c>
      <c r="B5986" t="s">
        <v>4672</v>
      </c>
      <c r="C5986">
        <v>1</v>
      </c>
      <c r="D5986" s="1">
        <v>44204.908506944441</v>
      </c>
      <c r="E5986" t="s">
        <v>18649</v>
      </c>
      <c r="F5986" t="s">
        <v>273</v>
      </c>
      <c r="G5986" t="s">
        <v>18507</v>
      </c>
      <c r="H5986" t="s">
        <v>275</v>
      </c>
      <c r="I5986" t="s">
        <v>29</v>
      </c>
      <c r="J5986">
        <v>1</v>
      </c>
      <c r="K5986">
        <f>1-888-598-3711</f>
        <v>-5196</v>
      </c>
      <c r="L5986" t="s">
        <v>18650</v>
      </c>
      <c r="M5986" t="s">
        <v>18651</v>
      </c>
      <c r="N5986" t="s">
        <v>278</v>
      </c>
      <c r="O5986" t="s">
        <v>28</v>
      </c>
      <c r="P5986" t="s">
        <v>782</v>
      </c>
      <c r="Q5986">
        <v>-34</v>
      </c>
      <c r="R5986">
        <v>99.999999000000003</v>
      </c>
    </row>
    <row r="5987" spans="1:18" x14ac:dyDescent="0.2">
      <c r="A5987" t="s">
        <v>270</v>
      </c>
      <c r="B5987" t="s">
        <v>4672</v>
      </c>
      <c r="C5987">
        <v>1</v>
      </c>
      <c r="D5987" s="1">
        <v>44187.883935185186</v>
      </c>
      <c r="E5987" t="s">
        <v>18652</v>
      </c>
      <c r="F5987" t="s">
        <v>273</v>
      </c>
      <c r="G5987" t="s">
        <v>18507</v>
      </c>
      <c r="H5987" t="s">
        <v>275</v>
      </c>
      <c r="I5987" t="s">
        <v>29</v>
      </c>
      <c r="J5987">
        <v>1</v>
      </c>
      <c r="K5987">
        <f>1-888-599-3015</f>
        <v>-4501</v>
      </c>
      <c r="L5987" t="s">
        <v>18653</v>
      </c>
      <c r="M5987" t="s">
        <v>18654</v>
      </c>
      <c r="N5987" t="s">
        <v>278</v>
      </c>
      <c r="O5987" t="s">
        <v>28</v>
      </c>
      <c r="P5987" t="s">
        <v>782</v>
      </c>
      <c r="Q5987">
        <v>-34</v>
      </c>
      <c r="R5987">
        <v>99.999999000000003</v>
      </c>
    </row>
    <row r="5988" spans="1:18" x14ac:dyDescent="0.2">
      <c r="A5988" t="s">
        <v>270</v>
      </c>
      <c r="B5988" t="s">
        <v>4672</v>
      </c>
      <c r="C5988">
        <v>1</v>
      </c>
      <c r="D5988" s="1">
        <v>44179.798043981478</v>
      </c>
      <c r="E5988" t="s">
        <v>18655</v>
      </c>
      <c r="F5988" t="s">
        <v>273</v>
      </c>
      <c r="G5988" t="s">
        <v>18507</v>
      </c>
      <c r="H5988" t="s">
        <v>275</v>
      </c>
      <c r="I5988" t="s">
        <v>29</v>
      </c>
      <c r="J5988">
        <v>1</v>
      </c>
      <c r="K5988">
        <f>1-888-210-6442</f>
        <v>-7539</v>
      </c>
      <c r="L5988" t="s">
        <v>18656</v>
      </c>
      <c r="M5988" t="s">
        <v>18657</v>
      </c>
      <c r="N5988" t="s">
        <v>278</v>
      </c>
      <c r="O5988" t="s">
        <v>134</v>
      </c>
      <c r="P5988" t="s">
        <v>782</v>
      </c>
      <c r="Q5988">
        <v>-34</v>
      </c>
      <c r="R5988">
        <v>99.999999000000003</v>
      </c>
    </row>
    <row r="5989" spans="1:18" x14ac:dyDescent="0.2">
      <c r="A5989" t="s">
        <v>270</v>
      </c>
      <c r="B5989" t="s">
        <v>4672</v>
      </c>
      <c r="C5989">
        <v>1</v>
      </c>
      <c r="D5989" s="1">
        <v>44149.137384259258</v>
      </c>
      <c r="E5989" t="s">
        <v>18658</v>
      </c>
      <c r="F5989" t="s">
        <v>273</v>
      </c>
      <c r="G5989" t="s">
        <v>18507</v>
      </c>
      <c r="H5989" t="s">
        <v>275</v>
      </c>
      <c r="I5989" t="s">
        <v>29</v>
      </c>
      <c r="J5989">
        <v>1</v>
      </c>
      <c r="K5989">
        <f>1-844-293-617</f>
        <v>-1753</v>
      </c>
      <c r="L5989" t="s">
        <v>18659</v>
      </c>
      <c r="M5989" t="s">
        <v>18660</v>
      </c>
      <c r="N5989" t="s">
        <v>278</v>
      </c>
      <c r="O5989" t="s">
        <v>134</v>
      </c>
      <c r="P5989" t="s">
        <v>782</v>
      </c>
      <c r="Q5989">
        <v>-34</v>
      </c>
      <c r="R5989">
        <v>99.999999000000003</v>
      </c>
    </row>
    <row r="5990" spans="1:18" x14ac:dyDescent="0.2">
      <c r="A5990" t="s">
        <v>270</v>
      </c>
      <c r="B5990" t="s">
        <v>4672</v>
      </c>
      <c r="C5990">
        <v>1</v>
      </c>
      <c r="D5990" s="1">
        <v>44149.122916666667</v>
      </c>
      <c r="E5990" t="s">
        <v>18661</v>
      </c>
      <c r="F5990" t="s">
        <v>273</v>
      </c>
      <c r="G5990" t="s">
        <v>18507</v>
      </c>
      <c r="H5990" t="s">
        <v>275</v>
      </c>
      <c r="I5990" t="s">
        <v>29</v>
      </c>
      <c r="J5990">
        <v>1</v>
      </c>
      <c r="K5990">
        <f>1-844-290-7339</f>
        <v>-8472</v>
      </c>
      <c r="L5990" t="s">
        <v>18662</v>
      </c>
      <c r="M5990" t="s">
        <v>18663</v>
      </c>
      <c r="N5990" t="s">
        <v>278</v>
      </c>
      <c r="O5990" t="s">
        <v>134</v>
      </c>
      <c r="P5990" t="s">
        <v>782</v>
      </c>
      <c r="Q5990">
        <v>-34</v>
      </c>
      <c r="R5990">
        <v>99.999999000000003</v>
      </c>
    </row>
    <row r="5991" spans="1:18" x14ac:dyDescent="0.2">
      <c r="A5991" t="s">
        <v>270</v>
      </c>
      <c r="B5991" t="s">
        <v>4672</v>
      </c>
      <c r="C5991">
        <v>1</v>
      </c>
      <c r="D5991" s="1">
        <v>44144.768449074072</v>
      </c>
      <c r="E5991" t="s">
        <v>18664</v>
      </c>
      <c r="F5991" t="s">
        <v>273</v>
      </c>
      <c r="G5991" t="s">
        <v>18507</v>
      </c>
      <c r="H5991" t="s">
        <v>275</v>
      </c>
      <c r="I5991" t="s">
        <v>29</v>
      </c>
      <c r="J5991">
        <v>1</v>
      </c>
      <c r="K5991">
        <f>1-844-279-115</f>
        <v>-1237</v>
      </c>
      <c r="L5991" t="s">
        <v>18665</v>
      </c>
      <c r="M5991" t="s">
        <v>18666</v>
      </c>
      <c r="N5991" t="s">
        <v>278</v>
      </c>
      <c r="O5991" t="s">
        <v>28</v>
      </c>
      <c r="P5991" t="s">
        <v>782</v>
      </c>
      <c r="Q5991">
        <v>-34</v>
      </c>
      <c r="R5991">
        <v>99.999999000000003</v>
      </c>
    </row>
    <row r="5992" spans="1:18" x14ac:dyDescent="0.2">
      <c r="A5992" t="s">
        <v>270</v>
      </c>
      <c r="B5992" t="s">
        <v>4672</v>
      </c>
      <c r="C5992">
        <v>1</v>
      </c>
      <c r="D5992" s="1">
        <v>44144.727442129632</v>
      </c>
      <c r="E5992" t="s">
        <v>18667</v>
      </c>
      <c r="F5992" t="s">
        <v>273</v>
      </c>
      <c r="G5992" t="s">
        <v>18507</v>
      </c>
      <c r="H5992" t="s">
        <v>275</v>
      </c>
      <c r="I5992" t="s">
        <v>29</v>
      </c>
      <c r="J5992">
        <v>1</v>
      </c>
      <c r="K5992">
        <f>1-844-276-4002</f>
        <v>-5121</v>
      </c>
      <c r="L5992" t="s">
        <v>18668</v>
      </c>
      <c r="M5992" t="s">
        <v>18669</v>
      </c>
      <c r="N5992" t="s">
        <v>278</v>
      </c>
      <c r="O5992" t="s">
        <v>28</v>
      </c>
      <c r="P5992" t="s">
        <v>782</v>
      </c>
      <c r="Q5992">
        <v>-34</v>
      </c>
      <c r="R5992">
        <v>99.999999000000003</v>
      </c>
    </row>
    <row r="5993" spans="1:18" x14ac:dyDescent="0.2">
      <c r="A5993" t="s">
        <v>270</v>
      </c>
      <c r="B5993" t="s">
        <v>4672</v>
      </c>
      <c r="C5993">
        <v>1</v>
      </c>
      <c r="D5993" s="1">
        <v>44130.784918981481</v>
      </c>
      <c r="E5993" t="s">
        <v>18670</v>
      </c>
      <c r="F5993" t="s">
        <v>273</v>
      </c>
      <c r="G5993" t="s">
        <v>18507</v>
      </c>
      <c r="H5993" t="s">
        <v>275</v>
      </c>
      <c r="I5993" t="s">
        <v>29</v>
      </c>
      <c r="J5993">
        <v>1</v>
      </c>
      <c r="K5993">
        <f>1-888-283-5833</f>
        <v>-7003</v>
      </c>
      <c r="L5993" t="s">
        <v>18671</v>
      </c>
      <c r="M5993" t="s">
        <v>18672</v>
      </c>
      <c r="N5993" t="s">
        <v>278</v>
      </c>
      <c r="O5993" t="s">
        <v>28</v>
      </c>
      <c r="P5993" t="s">
        <v>782</v>
      </c>
      <c r="Q5993">
        <v>-34</v>
      </c>
      <c r="R5993">
        <v>99.999999000000003</v>
      </c>
    </row>
    <row r="5994" spans="1:18" x14ac:dyDescent="0.2">
      <c r="A5994" t="s">
        <v>270</v>
      </c>
      <c r="B5994" t="s">
        <v>4672</v>
      </c>
      <c r="C5994">
        <v>1</v>
      </c>
      <c r="D5994" s="1">
        <v>44111.782071759262</v>
      </c>
      <c r="E5994" t="s">
        <v>18673</v>
      </c>
      <c r="F5994" t="s">
        <v>273</v>
      </c>
      <c r="G5994" t="s">
        <v>18507</v>
      </c>
      <c r="H5994" t="s">
        <v>275</v>
      </c>
      <c r="I5994" t="s">
        <v>29</v>
      </c>
      <c r="J5994">
        <v>1</v>
      </c>
      <c r="K5994">
        <f>1-888-308-5024</f>
        <v>-6219</v>
      </c>
      <c r="L5994" t="s">
        <v>18674</v>
      </c>
      <c r="M5994" t="s">
        <v>18675</v>
      </c>
      <c r="N5994" t="s">
        <v>278</v>
      </c>
      <c r="O5994" t="s">
        <v>28</v>
      </c>
      <c r="P5994" t="s">
        <v>782</v>
      </c>
      <c r="Q5994">
        <v>-34</v>
      </c>
      <c r="R5994">
        <v>99.999999000000003</v>
      </c>
    </row>
    <row r="5995" spans="1:18" x14ac:dyDescent="0.2">
      <c r="A5995" t="s">
        <v>270</v>
      </c>
      <c r="B5995" t="s">
        <v>4672</v>
      </c>
      <c r="C5995">
        <v>1</v>
      </c>
      <c r="D5995" s="1">
        <v>44102.822789351849</v>
      </c>
      <c r="E5995" t="s">
        <v>18676</v>
      </c>
      <c r="F5995" t="s">
        <v>273</v>
      </c>
      <c r="G5995" t="s">
        <v>18507</v>
      </c>
      <c r="H5995" t="s">
        <v>275</v>
      </c>
      <c r="I5995" t="s">
        <v>29</v>
      </c>
      <c r="J5995">
        <v>1</v>
      </c>
      <c r="K5995">
        <f>1-888-228-8619</f>
        <v>-9734</v>
      </c>
      <c r="L5995" t="s">
        <v>18677</v>
      </c>
      <c r="M5995" t="s">
        <v>18678</v>
      </c>
      <c r="N5995" t="s">
        <v>278</v>
      </c>
      <c r="O5995" t="s">
        <v>28</v>
      </c>
      <c r="P5995" t="s">
        <v>782</v>
      </c>
      <c r="Q5995">
        <v>-34</v>
      </c>
      <c r="R5995">
        <v>99.999999000000003</v>
      </c>
    </row>
    <row r="5996" spans="1:18" x14ac:dyDescent="0.2">
      <c r="A5996" t="s">
        <v>270</v>
      </c>
      <c r="B5996" t="s">
        <v>4672</v>
      </c>
      <c r="C5996">
        <v>1</v>
      </c>
      <c r="D5996" s="1">
        <v>44099.911736111113</v>
      </c>
      <c r="E5996" t="s">
        <v>18679</v>
      </c>
      <c r="F5996" t="s">
        <v>273</v>
      </c>
      <c r="G5996" t="s">
        <v>18507</v>
      </c>
      <c r="H5996" t="s">
        <v>275</v>
      </c>
      <c r="I5996" t="s">
        <v>29</v>
      </c>
      <c r="J5996">
        <v>1</v>
      </c>
      <c r="K5996">
        <f>1-888-252-1197</f>
        <v>-2336</v>
      </c>
      <c r="L5996" t="s">
        <v>18680</v>
      </c>
      <c r="M5996" t="s">
        <v>18681</v>
      </c>
      <c r="N5996" t="s">
        <v>278</v>
      </c>
      <c r="O5996" t="s">
        <v>28</v>
      </c>
      <c r="P5996" t="s">
        <v>782</v>
      </c>
      <c r="Q5996">
        <v>-34</v>
      </c>
      <c r="R5996">
        <v>99.999999000000003</v>
      </c>
    </row>
    <row r="5997" spans="1:18" x14ac:dyDescent="0.2">
      <c r="A5997" t="s">
        <v>270</v>
      </c>
      <c r="B5997" t="s">
        <v>4672</v>
      </c>
      <c r="C5997">
        <v>1</v>
      </c>
      <c r="D5997" s="1">
        <v>44098.786874999998</v>
      </c>
      <c r="E5997" t="s">
        <v>18682</v>
      </c>
      <c r="F5997" t="s">
        <v>273</v>
      </c>
      <c r="G5997" t="s">
        <v>18507</v>
      </c>
      <c r="H5997" t="s">
        <v>275</v>
      </c>
      <c r="I5997" t="s">
        <v>29</v>
      </c>
      <c r="J5997">
        <v>1</v>
      </c>
      <c r="K5997">
        <f>1-888-264-344</f>
        <v>-1495</v>
      </c>
      <c r="L5997" t="s">
        <v>18683</v>
      </c>
      <c r="M5997" t="s">
        <v>18684</v>
      </c>
      <c r="N5997" t="s">
        <v>278</v>
      </c>
      <c r="O5997" t="s">
        <v>28</v>
      </c>
      <c r="P5997" t="s">
        <v>782</v>
      </c>
      <c r="Q5997">
        <v>-34</v>
      </c>
      <c r="R5997">
        <v>99.999999000000003</v>
      </c>
    </row>
    <row r="5998" spans="1:18" x14ac:dyDescent="0.2">
      <c r="A5998" t="s">
        <v>270</v>
      </c>
      <c r="B5998" t="s">
        <v>4672</v>
      </c>
      <c r="C5998">
        <v>1</v>
      </c>
      <c r="D5998" s="1">
        <v>44096.938888888886</v>
      </c>
      <c r="E5998" t="s">
        <v>18685</v>
      </c>
      <c r="F5998" t="s">
        <v>273</v>
      </c>
      <c r="G5998" t="s">
        <v>18507</v>
      </c>
      <c r="H5998" t="s">
        <v>275</v>
      </c>
      <c r="I5998" t="s">
        <v>29</v>
      </c>
      <c r="J5998">
        <v>1</v>
      </c>
      <c r="K5998">
        <f>1-888-266-8340</f>
        <v>-9493</v>
      </c>
      <c r="L5998" t="s">
        <v>18686</v>
      </c>
      <c r="M5998" t="s">
        <v>18687</v>
      </c>
      <c r="N5998" t="s">
        <v>278</v>
      </c>
      <c r="O5998" t="s">
        <v>28</v>
      </c>
      <c r="P5998" t="s">
        <v>782</v>
      </c>
      <c r="Q5998">
        <v>-34</v>
      </c>
      <c r="R5998">
        <v>99.999999000000003</v>
      </c>
    </row>
    <row r="5999" spans="1:18" x14ac:dyDescent="0.2">
      <c r="A5999" t="s">
        <v>270</v>
      </c>
      <c r="B5999" t="s">
        <v>4672</v>
      </c>
      <c r="C5999">
        <v>1</v>
      </c>
      <c r="D5999" s="1">
        <v>44096.837175925924</v>
      </c>
      <c r="E5999" t="s">
        <v>18688</v>
      </c>
      <c r="F5999" t="s">
        <v>273</v>
      </c>
      <c r="G5999" t="s">
        <v>18507</v>
      </c>
      <c r="H5999" t="s">
        <v>275</v>
      </c>
      <c r="I5999" t="s">
        <v>29</v>
      </c>
      <c r="J5999">
        <v>1</v>
      </c>
      <c r="K5999">
        <f>1-888-257-2376</f>
        <v>-3520</v>
      </c>
      <c r="L5999" t="s">
        <v>18689</v>
      </c>
      <c r="M5999" t="s">
        <v>18690</v>
      </c>
      <c r="N5999" t="s">
        <v>278</v>
      </c>
      <c r="O5999" t="s">
        <v>28</v>
      </c>
      <c r="P5999" t="s">
        <v>782</v>
      </c>
      <c r="Q5999">
        <v>-34</v>
      </c>
      <c r="R5999">
        <v>99.999999000000003</v>
      </c>
    </row>
    <row r="6000" spans="1:18" x14ac:dyDescent="0.2">
      <c r="A6000" t="s">
        <v>270</v>
      </c>
      <c r="B6000" t="s">
        <v>4672</v>
      </c>
      <c r="C6000">
        <v>1</v>
      </c>
      <c r="D6000" s="1">
        <v>44096.367615740739</v>
      </c>
      <c r="E6000" t="s">
        <v>18691</v>
      </c>
      <c r="F6000" t="s">
        <v>273</v>
      </c>
      <c r="G6000" t="s">
        <v>18507</v>
      </c>
      <c r="H6000" t="s">
        <v>275</v>
      </c>
      <c r="I6000" t="s">
        <v>29</v>
      </c>
      <c r="J6000">
        <v>1</v>
      </c>
      <c r="K6000">
        <f>1-844-305-9953</f>
        <v>-11101</v>
      </c>
      <c r="L6000" t="s">
        <v>18692</v>
      </c>
      <c r="M6000" t="s">
        <v>18693</v>
      </c>
      <c r="N6000" t="s">
        <v>278</v>
      </c>
      <c r="O6000" t="s">
        <v>28</v>
      </c>
      <c r="P6000" t="s">
        <v>782</v>
      </c>
      <c r="Q6000">
        <v>-34</v>
      </c>
      <c r="R6000">
        <v>99.999999000000003</v>
      </c>
    </row>
    <row r="6001" spans="1:18" x14ac:dyDescent="0.2">
      <c r="A6001" t="s">
        <v>270</v>
      </c>
      <c r="B6001" t="s">
        <v>4672</v>
      </c>
      <c r="C6001">
        <v>1</v>
      </c>
      <c r="D6001" s="1">
        <v>44090.797500000001</v>
      </c>
      <c r="E6001" t="s">
        <v>18694</v>
      </c>
      <c r="F6001" t="s">
        <v>273</v>
      </c>
      <c r="G6001" t="s">
        <v>18507</v>
      </c>
      <c r="H6001" t="s">
        <v>275</v>
      </c>
      <c r="I6001" t="s">
        <v>29</v>
      </c>
      <c r="J6001">
        <v>1</v>
      </c>
      <c r="K6001">
        <f>1-844-243-4064</f>
        <v>-5150</v>
      </c>
      <c r="L6001" t="s">
        <v>18695</v>
      </c>
      <c r="M6001" t="s">
        <v>18696</v>
      </c>
      <c r="N6001" t="s">
        <v>278</v>
      </c>
      <c r="O6001" t="s">
        <v>28</v>
      </c>
      <c r="P6001" t="s">
        <v>782</v>
      </c>
      <c r="Q6001">
        <v>-34</v>
      </c>
      <c r="R6001">
        <v>99.999999000000003</v>
      </c>
    </row>
    <row r="6002" spans="1:18" x14ac:dyDescent="0.2">
      <c r="A6002" t="s">
        <v>270</v>
      </c>
      <c r="B6002" t="s">
        <v>4672</v>
      </c>
      <c r="C6002">
        <v>1</v>
      </c>
      <c r="D6002" s="1">
        <v>44090.766192129631</v>
      </c>
      <c r="E6002" t="s">
        <v>18697</v>
      </c>
      <c r="F6002" t="s">
        <v>273</v>
      </c>
      <c r="G6002" t="s">
        <v>18507</v>
      </c>
      <c r="H6002" t="s">
        <v>275</v>
      </c>
      <c r="I6002" t="s">
        <v>29</v>
      </c>
      <c r="J6002">
        <v>1</v>
      </c>
      <c r="K6002">
        <f>1-844-243-4064</f>
        <v>-5150</v>
      </c>
      <c r="L6002" t="s">
        <v>18698</v>
      </c>
      <c r="M6002" t="s">
        <v>18699</v>
      </c>
      <c r="N6002" t="s">
        <v>278</v>
      </c>
      <c r="O6002" t="s">
        <v>28</v>
      </c>
      <c r="P6002" t="s">
        <v>782</v>
      </c>
      <c r="Q6002">
        <v>-34</v>
      </c>
      <c r="R6002">
        <v>99.999999000000003</v>
      </c>
    </row>
    <row r="6003" spans="1:18" x14ac:dyDescent="0.2">
      <c r="A6003" t="s">
        <v>270</v>
      </c>
      <c r="B6003" t="s">
        <v>4672</v>
      </c>
      <c r="C6003">
        <v>1</v>
      </c>
      <c r="D6003" s="1">
        <v>44090.415451388886</v>
      </c>
      <c r="E6003" t="s">
        <v>18700</v>
      </c>
      <c r="F6003" t="s">
        <v>273</v>
      </c>
      <c r="G6003" t="s">
        <v>18507</v>
      </c>
      <c r="H6003" t="s">
        <v>275</v>
      </c>
      <c r="I6003" t="s">
        <v>29</v>
      </c>
      <c r="J6003">
        <v>1</v>
      </c>
      <c r="K6003">
        <f>1-844-293-8713</f>
        <v>-9849</v>
      </c>
      <c r="L6003" t="s">
        <v>18701</v>
      </c>
      <c r="M6003" t="s">
        <v>18702</v>
      </c>
      <c r="N6003" t="s">
        <v>278</v>
      </c>
      <c r="O6003" t="s">
        <v>28</v>
      </c>
      <c r="P6003" t="s">
        <v>782</v>
      </c>
      <c r="Q6003">
        <v>-34</v>
      </c>
      <c r="R6003">
        <v>99.999999000000003</v>
      </c>
    </row>
    <row r="6004" spans="1:18" x14ac:dyDescent="0.2">
      <c r="A6004" t="s">
        <v>270</v>
      </c>
      <c r="B6004" t="s">
        <v>4672</v>
      </c>
      <c r="C6004">
        <v>1</v>
      </c>
      <c r="D6004" s="1">
        <v>44089.810763888891</v>
      </c>
      <c r="E6004" t="s">
        <v>18703</v>
      </c>
      <c r="F6004" t="s">
        <v>273</v>
      </c>
      <c r="G6004" t="s">
        <v>18507</v>
      </c>
      <c r="H6004" t="s">
        <v>275</v>
      </c>
      <c r="I6004" t="s">
        <v>29</v>
      </c>
      <c r="J6004">
        <v>1</v>
      </c>
      <c r="K6004">
        <f>1-844-218-3888</f>
        <v>-4949</v>
      </c>
      <c r="L6004" t="s">
        <v>18704</v>
      </c>
      <c r="M6004" t="s">
        <v>18705</v>
      </c>
      <c r="N6004" t="s">
        <v>278</v>
      </c>
      <c r="O6004" t="s">
        <v>28</v>
      </c>
      <c r="P6004" t="s">
        <v>782</v>
      </c>
      <c r="Q6004">
        <v>-34</v>
      </c>
      <c r="R6004">
        <v>99.999999000000003</v>
      </c>
    </row>
    <row r="6005" spans="1:18" x14ac:dyDescent="0.2">
      <c r="A6005" t="s">
        <v>270</v>
      </c>
      <c r="B6005" t="s">
        <v>4672</v>
      </c>
      <c r="C6005">
        <v>1</v>
      </c>
      <c r="D6005" s="1">
        <v>44089.756550925929</v>
      </c>
      <c r="E6005" t="s">
        <v>18706</v>
      </c>
      <c r="F6005" t="s">
        <v>273</v>
      </c>
      <c r="G6005" t="s">
        <v>18507</v>
      </c>
      <c r="H6005" t="s">
        <v>275</v>
      </c>
      <c r="I6005" t="s">
        <v>29</v>
      </c>
      <c r="J6005">
        <v>1</v>
      </c>
      <c r="K6005">
        <f>1-844-218-3888</f>
        <v>-4949</v>
      </c>
      <c r="L6005" t="s">
        <v>18707</v>
      </c>
      <c r="M6005" t="s">
        <v>18708</v>
      </c>
      <c r="N6005" t="s">
        <v>278</v>
      </c>
      <c r="O6005" t="s">
        <v>28</v>
      </c>
      <c r="P6005" t="s">
        <v>782</v>
      </c>
      <c r="Q6005">
        <v>-34</v>
      </c>
      <c r="R6005">
        <v>99.999999000000003</v>
      </c>
    </row>
    <row r="6006" spans="1:18" x14ac:dyDescent="0.2">
      <c r="A6006" t="s">
        <v>270</v>
      </c>
      <c r="B6006" t="s">
        <v>4672</v>
      </c>
      <c r="C6006">
        <v>1</v>
      </c>
      <c r="D6006" s="1">
        <v>44089.431122685186</v>
      </c>
      <c r="E6006" t="s">
        <v>18709</v>
      </c>
      <c r="F6006" t="s">
        <v>273</v>
      </c>
      <c r="G6006" t="s">
        <v>18507</v>
      </c>
      <c r="H6006" t="s">
        <v>275</v>
      </c>
      <c r="I6006" t="s">
        <v>29</v>
      </c>
      <c r="J6006">
        <v>1</v>
      </c>
      <c r="K6006">
        <f>1-844-210-4337</f>
        <v>-5390</v>
      </c>
      <c r="L6006" t="s">
        <v>18710</v>
      </c>
      <c r="M6006" t="s">
        <v>18711</v>
      </c>
      <c r="N6006" t="s">
        <v>278</v>
      </c>
      <c r="O6006" t="s">
        <v>28</v>
      </c>
      <c r="P6006" t="s">
        <v>782</v>
      </c>
      <c r="Q6006">
        <v>-34</v>
      </c>
      <c r="R6006">
        <v>99.999999000000003</v>
      </c>
    </row>
    <row r="6007" spans="1:18" x14ac:dyDescent="0.2">
      <c r="A6007" t="s">
        <v>270</v>
      </c>
      <c r="B6007" t="s">
        <v>4672</v>
      </c>
      <c r="C6007">
        <v>1</v>
      </c>
      <c r="D6007" s="1">
        <v>44089.430694444447</v>
      </c>
      <c r="E6007" t="s">
        <v>18712</v>
      </c>
      <c r="F6007" t="s">
        <v>273</v>
      </c>
      <c r="G6007" t="s">
        <v>18507</v>
      </c>
      <c r="H6007" t="s">
        <v>275</v>
      </c>
      <c r="I6007" t="s">
        <v>29</v>
      </c>
      <c r="J6007">
        <v>1</v>
      </c>
      <c r="K6007">
        <f>1-844-210-4337</f>
        <v>-5390</v>
      </c>
      <c r="L6007" t="s">
        <v>18713</v>
      </c>
      <c r="M6007" t="s">
        <v>18714</v>
      </c>
      <c r="N6007" t="s">
        <v>278</v>
      </c>
      <c r="O6007" t="s">
        <v>28</v>
      </c>
      <c r="P6007" t="s">
        <v>782</v>
      </c>
      <c r="Q6007">
        <v>-34</v>
      </c>
      <c r="R6007">
        <v>99.999999000000003</v>
      </c>
    </row>
    <row r="6008" spans="1:18" x14ac:dyDescent="0.2">
      <c r="A6008" t="s">
        <v>270</v>
      </c>
      <c r="B6008" t="s">
        <v>4672</v>
      </c>
      <c r="C6008">
        <v>1</v>
      </c>
      <c r="D6008" s="1">
        <v>44089.430520833332</v>
      </c>
      <c r="E6008" t="s">
        <v>18715</v>
      </c>
      <c r="F6008" t="s">
        <v>273</v>
      </c>
      <c r="G6008" t="s">
        <v>18507</v>
      </c>
      <c r="H6008" t="s">
        <v>275</v>
      </c>
      <c r="I6008" t="s">
        <v>29</v>
      </c>
      <c r="J6008">
        <v>1</v>
      </c>
      <c r="K6008">
        <f>1-844-210-4337</f>
        <v>-5390</v>
      </c>
      <c r="L6008" t="s">
        <v>18716</v>
      </c>
      <c r="M6008" t="s">
        <v>18717</v>
      </c>
      <c r="N6008" t="s">
        <v>278</v>
      </c>
      <c r="O6008" t="s">
        <v>28</v>
      </c>
      <c r="P6008" t="s">
        <v>782</v>
      </c>
      <c r="Q6008">
        <v>-34</v>
      </c>
      <c r="R6008">
        <v>99.999999000000003</v>
      </c>
    </row>
    <row r="6009" spans="1:18" x14ac:dyDescent="0.2">
      <c r="A6009" t="s">
        <v>270</v>
      </c>
      <c r="B6009" t="s">
        <v>4672</v>
      </c>
      <c r="C6009">
        <v>1</v>
      </c>
      <c r="D6009" s="1">
        <v>44084.781701388885</v>
      </c>
      <c r="E6009" t="s">
        <v>18718</v>
      </c>
      <c r="F6009" t="s">
        <v>273</v>
      </c>
      <c r="G6009" t="s">
        <v>18507</v>
      </c>
      <c r="H6009" t="s">
        <v>275</v>
      </c>
      <c r="I6009" t="s">
        <v>29</v>
      </c>
      <c r="J6009">
        <v>1</v>
      </c>
      <c r="K6009">
        <f>1-888-608-5109</f>
        <v>-6604</v>
      </c>
      <c r="L6009" t="s">
        <v>18719</v>
      </c>
      <c r="M6009" t="s">
        <v>18720</v>
      </c>
      <c r="N6009" t="s">
        <v>278</v>
      </c>
      <c r="O6009" t="s">
        <v>28</v>
      </c>
      <c r="P6009" t="s">
        <v>782</v>
      </c>
      <c r="Q6009">
        <v>-34</v>
      </c>
      <c r="R6009">
        <v>99.999999000000003</v>
      </c>
    </row>
    <row r="6010" spans="1:18" x14ac:dyDescent="0.2">
      <c r="A6010" t="s">
        <v>270</v>
      </c>
      <c r="B6010" t="s">
        <v>4672</v>
      </c>
      <c r="C6010">
        <v>1</v>
      </c>
      <c r="D6010" s="1">
        <v>44083.830474537041</v>
      </c>
      <c r="E6010" t="s">
        <v>18721</v>
      </c>
      <c r="F6010" t="s">
        <v>273</v>
      </c>
      <c r="G6010" t="s">
        <v>18507</v>
      </c>
      <c r="H6010" t="s">
        <v>275</v>
      </c>
      <c r="I6010" t="s">
        <v>29</v>
      </c>
      <c r="J6010">
        <v>1</v>
      </c>
      <c r="K6010">
        <f>1-888-599-4298</f>
        <v>-5784</v>
      </c>
      <c r="L6010" t="s">
        <v>18722</v>
      </c>
      <c r="M6010" t="s">
        <v>18723</v>
      </c>
      <c r="N6010" t="s">
        <v>278</v>
      </c>
      <c r="O6010" t="s">
        <v>28</v>
      </c>
      <c r="P6010" t="s">
        <v>782</v>
      </c>
      <c r="Q6010">
        <v>-34</v>
      </c>
      <c r="R6010">
        <v>99.999999000000003</v>
      </c>
    </row>
    <row r="6011" spans="1:18" x14ac:dyDescent="0.2">
      <c r="A6011" t="s">
        <v>270</v>
      </c>
      <c r="B6011" t="s">
        <v>4672</v>
      </c>
      <c r="C6011">
        <v>1</v>
      </c>
      <c r="D6011" s="1">
        <v>44083.815185185187</v>
      </c>
      <c r="E6011" t="s">
        <v>18724</v>
      </c>
      <c r="F6011" t="s">
        <v>273</v>
      </c>
      <c r="G6011" t="s">
        <v>18507</v>
      </c>
      <c r="H6011" t="s">
        <v>275</v>
      </c>
      <c r="I6011" t="s">
        <v>29</v>
      </c>
      <c r="J6011">
        <v>1</v>
      </c>
      <c r="K6011">
        <f>1-888-585-6916</f>
        <v>-8388</v>
      </c>
      <c r="L6011" t="s">
        <v>18725</v>
      </c>
      <c r="M6011" t="s">
        <v>18726</v>
      </c>
      <c r="N6011" t="s">
        <v>278</v>
      </c>
      <c r="O6011" t="s">
        <v>28</v>
      </c>
      <c r="P6011" t="s">
        <v>782</v>
      </c>
      <c r="Q6011">
        <v>-34</v>
      </c>
      <c r="R6011">
        <v>99.999999000000003</v>
      </c>
    </row>
    <row r="6012" spans="1:18" x14ac:dyDescent="0.2">
      <c r="A6012" t="s">
        <v>270</v>
      </c>
      <c r="B6012" t="s">
        <v>4672</v>
      </c>
      <c r="C6012">
        <v>1</v>
      </c>
      <c r="D6012" s="1">
        <v>44082.937476851854</v>
      </c>
      <c r="E6012" t="s">
        <v>18727</v>
      </c>
      <c r="F6012" t="s">
        <v>273</v>
      </c>
      <c r="G6012" t="s">
        <v>18507</v>
      </c>
      <c r="H6012" t="s">
        <v>275</v>
      </c>
      <c r="I6012" t="s">
        <v>29</v>
      </c>
      <c r="J6012">
        <v>1</v>
      </c>
      <c r="K6012">
        <f>1-888-599-8076</f>
        <v>-9562</v>
      </c>
      <c r="L6012" t="s">
        <v>18728</v>
      </c>
      <c r="M6012" t="s">
        <v>18729</v>
      </c>
      <c r="N6012" t="s">
        <v>278</v>
      </c>
      <c r="O6012" t="s">
        <v>28</v>
      </c>
      <c r="P6012" t="s">
        <v>782</v>
      </c>
      <c r="Q6012">
        <v>-34</v>
      </c>
      <c r="R6012">
        <v>99.999999000000003</v>
      </c>
    </row>
    <row r="6013" spans="1:18" x14ac:dyDescent="0.2">
      <c r="A6013" t="s">
        <v>439</v>
      </c>
      <c r="B6013" t="s">
        <v>3094</v>
      </c>
      <c r="C6013">
        <v>1</v>
      </c>
      <c r="D6013" s="1">
        <v>44082.941481481481</v>
      </c>
      <c r="E6013" t="s">
        <v>18730</v>
      </c>
      <c r="F6013" t="s">
        <v>442</v>
      </c>
      <c r="G6013" t="s">
        <v>18731</v>
      </c>
      <c r="H6013" t="s">
        <v>444</v>
      </c>
      <c r="I6013" t="s">
        <v>29</v>
      </c>
      <c r="J6013">
        <v>1</v>
      </c>
      <c r="K6013">
        <f>1-888-223-6179</f>
        <v>-7289</v>
      </c>
      <c r="L6013" t="s">
        <v>18732</v>
      </c>
      <c r="M6013" t="s">
        <v>18733</v>
      </c>
      <c r="N6013" t="s">
        <v>1645</v>
      </c>
      <c r="O6013" t="s">
        <v>28</v>
      </c>
      <c r="P6013" t="s">
        <v>2268</v>
      </c>
      <c r="Q6013">
        <v>46</v>
      </c>
      <c r="R6013">
        <v>-73.567300000000003</v>
      </c>
    </row>
    <row r="6014" spans="1:18" x14ac:dyDescent="0.2">
      <c r="A6014" t="s">
        <v>270</v>
      </c>
      <c r="B6014" t="s">
        <v>440</v>
      </c>
      <c r="C6014">
        <v>1</v>
      </c>
      <c r="D6014" s="1">
        <v>44112.759780092594</v>
      </c>
      <c r="E6014" t="s">
        <v>18734</v>
      </c>
      <c r="F6014" t="s">
        <v>273</v>
      </c>
      <c r="G6014" t="s">
        <v>18735</v>
      </c>
      <c r="H6014" t="s">
        <v>275</v>
      </c>
      <c r="I6014" t="s">
        <v>29</v>
      </c>
      <c r="J6014">
        <v>1</v>
      </c>
      <c r="K6014">
        <f>1-888-334-1316</f>
        <v>-2537</v>
      </c>
      <c r="L6014" t="s">
        <v>18736</v>
      </c>
      <c r="M6014" t="s">
        <v>18737</v>
      </c>
      <c r="N6014" t="s">
        <v>278</v>
      </c>
      <c r="O6014" t="s">
        <v>28</v>
      </c>
      <c r="P6014" t="s">
        <v>29</v>
      </c>
      <c r="Q6014">
        <v>39</v>
      </c>
      <c r="R6014">
        <v>-77.487399999999994</v>
      </c>
    </row>
    <row r="6015" spans="1:18" x14ac:dyDescent="0.2">
      <c r="A6015" t="s">
        <v>270</v>
      </c>
      <c r="B6015" t="s">
        <v>440</v>
      </c>
      <c r="C6015">
        <v>1</v>
      </c>
      <c r="D6015" s="1">
        <v>44089.756388888891</v>
      </c>
      <c r="E6015" t="s">
        <v>18738</v>
      </c>
      <c r="F6015" t="s">
        <v>273</v>
      </c>
      <c r="G6015" t="s">
        <v>18735</v>
      </c>
      <c r="H6015" t="s">
        <v>275</v>
      </c>
      <c r="I6015" t="s">
        <v>29</v>
      </c>
      <c r="J6015">
        <v>1</v>
      </c>
      <c r="K6015">
        <f>1-844-218-3888</f>
        <v>-4949</v>
      </c>
      <c r="L6015" t="s">
        <v>18739</v>
      </c>
      <c r="M6015" t="s">
        <v>18740</v>
      </c>
      <c r="N6015" t="s">
        <v>278</v>
      </c>
      <c r="O6015" t="s">
        <v>28</v>
      </c>
      <c r="P6015" t="s">
        <v>29</v>
      </c>
      <c r="Q6015">
        <v>39</v>
      </c>
      <c r="R6015">
        <v>-77.487399999999994</v>
      </c>
    </row>
    <row r="6016" spans="1:18" x14ac:dyDescent="0.2">
      <c r="A6016" t="s">
        <v>270</v>
      </c>
      <c r="B6016" t="s">
        <v>440</v>
      </c>
      <c r="C6016">
        <v>1</v>
      </c>
      <c r="D6016" s="1">
        <v>44089.431030092594</v>
      </c>
      <c r="E6016" t="s">
        <v>18741</v>
      </c>
      <c r="F6016" t="s">
        <v>273</v>
      </c>
      <c r="G6016" t="s">
        <v>18735</v>
      </c>
      <c r="H6016" t="s">
        <v>275</v>
      </c>
      <c r="I6016" t="s">
        <v>29</v>
      </c>
      <c r="J6016">
        <v>1</v>
      </c>
      <c r="K6016">
        <f>1-844-210-4337</f>
        <v>-5390</v>
      </c>
      <c r="L6016" t="s">
        <v>18742</v>
      </c>
      <c r="M6016" t="s">
        <v>18743</v>
      </c>
      <c r="N6016" t="s">
        <v>278</v>
      </c>
      <c r="O6016" t="s">
        <v>28</v>
      </c>
      <c r="P6016" t="s">
        <v>29</v>
      </c>
      <c r="Q6016">
        <v>39</v>
      </c>
      <c r="R6016">
        <v>-77.487399999999994</v>
      </c>
    </row>
    <row r="6017" spans="1:18" x14ac:dyDescent="0.2">
      <c r="A6017" t="s">
        <v>270</v>
      </c>
      <c r="B6017" t="s">
        <v>440</v>
      </c>
      <c r="C6017">
        <v>1</v>
      </c>
      <c r="D6017" s="1">
        <v>44088.771782407406</v>
      </c>
      <c r="E6017" t="s">
        <v>18744</v>
      </c>
      <c r="F6017" t="s">
        <v>273</v>
      </c>
      <c r="G6017" t="s">
        <v>18735</v>
      </c>
      <c r="H6017" t="s">
        <v>275</v>
      </c>
      <c r="I6017" t="s">
        <v>29</v>
      </c>
      <c r="J6017">
        <v>1</v>
      </c>
      <c r="K6017">
        <f>1-844-212-7353</f>
        <v>-8408</v>
      </c>
      <c r="L6017" t="s">
        <v>18745</v>
      </c>
      <c r="M6017" t="s">
        <v>18746</v>
      </c>
      <c r="N6017" t="s">
        <v>278</v>
      </c>
      <c r="O6017" t="s">
        <v>28</v>
      </c>
      <c r="P6017" t="s">
        <v>29</v>
      </c>
      <c r="Q6017">
        <v>39</v>
      </c>
      <c r="R6017">
        <v>-77.487399999999994</v>
      </c>
    </row>
    <row r="6018" spans="1:18" x14ac:dyDescent="0.2">
      <c r="A6018" t="s">
        <v>270</v>
      </c>
      <c r="B6018" t="s">
        <v>440</v>
      </c>
      <c r="C6018">
        <v>1</v>
      </c>
      <c r="D6018" s="1">
        <v>44089.430601851855</v>
      </c>
      <c r="E6018" t="s">
        <v>18747</v>
      </c>
      <c r="F6018" t="s">
        <v>273</v>
      </c>
      <c r="G6018" t="s">
        <v>18735</v>
      </c>
      <c r="H6018" t="s">
        <v>275</v>
      </c>
      <c r="I6018" t="s">
        <v>29</v>
      </c>
      <c r="J6018">
        <v>1</v>
      </c>
      <c r="K6018">
        <f>1-844-210-4337</f>
        <v>-5390</v>
      </c>
      <c r="L6018" t="s">
        <v>18748</v>
      </c>
      <c r="M6018" t="s">
        <v>18749</v>
      </c>
      <c r="N6018" t="s">
        <v>278</v>
      </c>
      <c r="O6018" t="s">
        <v>28</v>
      </c>
      <c r="P6018" t="s">
        <v>29</v>
      </c>
      <c r="Q6018">
        <v>39</v>
      </c>
      <c r="R6018">
        <v>-77.487399999999994</v>
      </c>
    </row>
    <row r="6019" spans="1:18" x14ac:dyDescent="0.2">
      <c r="A6019" t="s">
        <v>270</v>
      </c>
      <c r="B6019" t="s">
        <v>440</v>
      </c>
      <c r="C6019">
        <v>1</v>
      </c>
      <c r="D6019" s="1">
        <v>44082.947245370371</v>
      </c>
      <c r="E6019" t="s">
        <v>18750</v>
      </c>
      <c r="F6019" t="s">
        <v>273</v>
      </c>
      <c r="G6019" t="s">
        <v>18735</v>
      </c>
      <c r="H6019" t="s">
        <v>275</v>
      </c>
      <c r="I6019" t="s">
        <v>29</v>
      </c>
      <c r="J6019">
        <v>1</v>
      </c>
      <c r="K6019">
        <f>1-888-592-8059</f>
        <v>-9538</v>
      </c>
      <c r="L6019" t="s">
        <v>18751</v>
      </c>
      <c r="M6019" t="s">
        <v>18752</v>
      </c>
      <c r="N6019" t="s">
        <v>278</v>
      </c>
      <c r="O6019" t="s">
        <v>28</v>
      </c>
      <c r="P6019" t="s">
        <v>29</v>
      </c>
      <c r="Q6019">
        <v>39</v>
      </c>
      <c r="R6019">
        <v>-77.487399999999994</v>
      </c>
    </row>
    <row r="6020" spans="1:18" x14ac:dyDescent="0.2">
      <c r="A6020" t="s">
        <v>270</v>
      </c>
      <c r="B6020" t="s">
        <v>9922</v>
      </c>
      <c r="C6020">
        <v>1</v>
      </c>
      <c r="D6020" s="1">
        <v>44212.014953703707</v>
      </c>
      <c r="E6020" t="s">
        <v>18753</v>
      </c>
      <c r="F6020" t="s">
        <v>273</v>
      </c>
      <c r="G6020" t="s">
        <v>18754</v>
      </c>
      <c r="H6020" t="s">
        <v>275</v>
      </c>
      <c r="I6020" t="s">
        <v>29</v>
      </c>
      <c r="J6020">
        <v>1</v>
      </c>
      <c r="K6020">
        <f>1-888-251-1435</f>
        <v>-2573</v>
      </c>
      <c r="L6020" t="s">
        <v>18755</v>
      </c>
      <c r="M6020" t="s">
        <v>18756</v>
      </c>
      <c r="N6020" t="s">
        <v>278</v>
      </c>
      <c r="O6020" t="s">
        <v>28</v>
      </c>
      <c r="P6020" t="s">
        <v>29</v>
      </c>
      <c r="Q6020">
        <v>47</v>
      </c>
      <c r="R6020">
        <v>-99.999999000000003</v>
      </c>
    </row>
    <row r="6021" spans="1:18" x14ac:dyDescent="0.2">
      <c r="A6021" t="s">
        <v>270</v>
      </c>
      <c r="B6021" t="s">
        <v>9922</v>
      </c>
      <c r="C6021">
        <v>1</v>
      </c>
      <c r="D6021" s="1">
        <v>44210.846620370372</v>
      </c>
      <c r="E6021" t="s">
        <v>18757</v>
      </c>
      <c r="F6021" t="s">
        <v>273</v>
      </c>
      <c r="G6021" t="s">
        <v>18754</v>
      </c>
      <c r="H6021" t="s">
        <v>275</v>
      </c>
      <c r="I6021" t="s">
        <v>29</v>
      </c>
      <c r="J6021">
        <v>1</v>
      </c>
      <c r="K6021">
        <f>1-888-341-9847</f>
        <v>-11075</v>
      </c>
      <c r="L6021" t="s">
        <v>18758</v>
      </c>
      <c r="M6021" t="s">
        <v>18759</v>
      </c>
      <c r="N6021" t="s">
        <v>278</v>
      </c>
      <c r="O6021" t="s">
        <v>28</v>
      </c>
      <c r="P6021" t="s">
        <v>29</v>
      </c>
      <c r="Q6021">
        <v>47</v>
      </c>
      <c r="R6021">
        <v>-99.999999000000003</v>
      </c>
    </row>
    <row r="6022" spans="1:18" x14ac:dyDescent="0.2">
      <c r="A6022" t="s">
        <v>270</v>
      </c>
      <c r="B6022" t="s">
        <v>9922</v>
      </c>
      <c r="C6022">
        <v>1</v>
      </c>
      <c r="D6022" s="1">
        <v>44149.154675925929</v>
      </c>
      <c r="E6022" t="s">
        <v>18760</v>
      </c>
      <c r="F6022" t="s">
        <v>273</v>
      </c>
      <c r="G6022" t="s">
        <v>18754</v>
      </c>
      <c r="H6022" t="s">
        <v>275</v>
      </c>
      <c r="I6022" t="s">
        <v>29</v>
      </c>
      <c r="J6022">
        <v>1</v>
      </c>
      <c r="K6022">
        <f>1-844-279-115</f>
        <v>-1237</v>
      </c>
      <c r="L6022" t="s">
        <v>18761</v>
      </c>
      <c r="M6022" t="s">
        <v>18762</v>
      </c>
      <c r="N6022" t="s">
        <v>278</v>
      </c>
      <c r="O6022" t="s">
        <v>134</v>
      </c>
      <c r="P6022" t="s">
        <v>29</v>
      </c>
      <c r="Q6022">
        <v>47</v>
      </c>
      <c r="R6022">
        <v>-99.999999000000003</v>
      </c>
    </row>
    <row r="6023" spans="1:18" x14ac:dyDescent="0.2">
      <c r="A6023" t="s">
        <v>270</v>
      </c>
      <c r="B6023" t="s">
        <v>9922</v>
      </c>
      <c r="C6023">
        <v>1</v>
      </c>
      <c r="D6023" s="1">
        <v>44149.137673611112</v>
      </c>
      <c r="E6023" t="s">
        <v>18763</v>
      </c>
      <c r="F6023" t="s">
        <v>273</v>
      </c>
      <c r="G6023" t="s">
        <v>18754</v>
      </c>
      <c r="H6023" t="s">
        <v>275</v>
      </c>
      <c r="I6023" t="s">
        <v>29</v>
      </c>
      <c r="J6023">
        <v>1</v>
      </c>
      <c r="K6023">
        <f>1-844-293-617</f>
        <v>-1753</v>
      </c>
      <c r="L6023" t="s">
        <v>18764</v>
      </c>
      <c r="M6023" t="s">
        <v>18765</v>
      </c>
      <c r="N6023" t="s">
        <v>278</v>
      </c>
      <c r="O6023" t="s">
        <v>134</v>
      </c>
      <c r="P6023" t="s">
        <v>29</v>
      </c>
      <c r="Q6023">
        <v>47</v>
      </c>
      <c r="R6023">
        <v>-99.999999000000003</v>
      </c>
    </row>
    <row r="6024" spans="1:18" x14ac:dyDescent="0.2">
      <c r="A6024" t="s">
        <v>270</v>
      </c>
      <c r="B6024" t="s">
        <v>9922</v>
      </c>
      <c r="C6024">
        <v>1</v>
      </c>
      <c r="D6024" s="1">
        <v>44149.135694444441</v>
      </c>
      <c r="E6024" t="s">
        <v>18766</v>
      </c>
      <c r="F6024" t="s">
        <v>273</v>
      </c>
      <c r="G6024" t="s">
        <v>18754</v>
      </c>
      <c r="H6024" t="s">
        <v>275</v>
      </c>
      <c r="I6024" t="s">
        <v>29</v>
      </c>
      <c r="J6024">
        <v>1</v>
      </c>
      <c r="K6024">
        <f>1-844-288-9125</f>
        <v>-10256</v>
      </c>
      <c r="L6024" t="s">
        <v>18767</v>
      </c>
      <c r="M6024" t="s">
        <v>18768</v>
      </c>
      <c r="N6024" t="s">
        <v>278</v>
      </c>
      <c r="O6024" t="s">
        <v>134</v>
      </c>
      <c r="P6024" t="s">
        <v>29</v>
      </c>
      <c r="Q6024">
        <v>47</v>
      </c>
      <c r="R6024">
        <v>-99.999999000000003</v>
      </c>
    </row>
    <row r="6025" spans="1:18" x14ac:dyDescent="0.2">
      <c r="A6025" t="s">
        <v>270</v>
      </c>
      <c r="B6025" t="s">
        <v>9922</v>
      </c>
      <c r="C6025">
        <v>1</v>
      </c>
      <c r="D6025" s="1">
        <v>44149.123981481483</v>
      </c>
      <c r="E6025" t="s">
        <v>18769</v>
      </c>
      <c r="F6025" t="s">
        <v>273</v>
      </c>
      <c r="G6025" t="s">
        <v>18754</v>
      </c>
      <c r="H6025" t="s">
        <v>275</v>
      </c>
      <c r="I6025" t="s">
        <v>29</v>
      </c>
      <c r="J6025">
        <v>1</v>
      </c>
      <c r="K6025">
        <f>1-844-295-7543</f>
        <v>-8681</v>
      </c>
      <c r="L6025" t="s">
        <v>18770</v>
      </c>
      <c r="M6025" t="s">
        <v>18771</v>
      </c>
      <c r="N6025" t="s">
        <v>278</v>
      </c>
      <c r="O6025" t="s">
        <v>134</v>
      </c>
      <c r="P6025" t="s">
        <v>29</v>
      </c>
      <c r="Q6025">
        <v>47</v>
      </c>
      <c r="R6025">
        <v>-99.999999000000003</v>
      </c>
    </row>
    <row r="6026" spans="1:18" x14ac:dyDescent="0.2">
      <c r="A6026" t="s">
        <v>270</v>
      </c>
      <c r="B6026" t="s">
        <v>9922</v>
      </c>
      <c r="C6026">
        <v>1</v>
      </c>
      <c r="D6026" s="1">
        <v>44149.123217592591</v>
      </c>
      <c r="E6026" t="s">
        <v>18772</v>
      </c>
      <c r="F6026" t="s">
        <v>273</v>
      </c>
      <c r="G6026" t="s">
        <v>18754</v>
      </c>
      <c r="H6026" t="s">
        <v>275</v>
      </c>
      <c r="I6026" t="s">
        <v>29</v>
      </c>
      <c r="J6026">
        <v>1</v>
      </c>
      <c r="K6026">
        <f>1-844-290-7339</f>
        <v>-8472</v>
      </c>
      <c r="L6026" t="s">
        <v>18773</v>
      </c>
      <c r="M6026" t="s">
        <v>18774</v>
      </c>
      <c r="N6026" t="s">
        <v>278</v>
      </c>
      <c r="O6026" t="s">
        <v>134</v>
      </c>
      <c r="P6026" t="s">
        <v>29</v>
      </c>
      <c r="Q6026">
        <v>47</v>
      </c>
      <c r="R6026">
        <v>-99.999999000000003</v>
      </c>
    </row>
    <row r="6027" spans="1:18" x14ac:dyDescent="0.2">
      <c r="A6027" t="s">
        <v>270</v>
      </c>
      <c r="B6027" t="s">
        <v>9922</v>
      </c>
      <c r="C6027">
        <v>1</v>
      </c>
      <c r="D6027" s="1">
        <v>44139.874884259261</v>
      </c>
      <c r="E6027" t="s">
        <v>18775</v>
      </c>
      <c r="F6027" t="s">
        <v>273</v>
      </c>
      <c r="G6027" t="s">
        <v>18754</v>
      </c>
      <c r="H6027" t="s">
        <v>275</v>
      </c>
      <c r="I6027" t="s">
        <v>29</v>
      </c>
      <c r="J6027">
        <v>1</v>
      </c>
      <c r="K6027">
        <f>1-888-349-239</f>
        <v>-1475</v>
      </c>
      <c r="L6027" t="s">
        <v>18776</v>
      </c>
      <c r="M6027" t="s">
        <v>18777</v>
      </c>
      <c r="N6027" t="s">
        <v>278</v>
      </c>
      <c r="O6027" t="s">
        <v>28</v>
      </c>
      <c r="P6027" t="s">
        <v>29</v>
      </c>
      <c r="Q6027">
        <v>47</v>
      </c>
      <c r="R6027">
        <v>-99.999999000000003</v>
      </c>
    </row>
    <row r="6028" spans="1:18" x14ac:dyDescent="0.2">
      <c r="A6028" t="s">
        <v>270</v>
      </c>
      <c r="B6028" t="s">
        <v>9922</v>
      </c>
      <c r="C6028">
        <v>1</v>
      </c>
      <c r="D6028" s="1">
        <v>44124.97928240741</v>
      </c>
      <c r="E6028" t="s">
        <v>18778</v>
      </c>
      <c r="F6028" t="s">
        <v>273</v>
      </c>
      <c r="G6028" t="s">
        <v>18754</v>
      </c>
      <c r="H6028" t="s">
        <v>275</v>
      </c>
      <c r="I6028" t="s">
        <v>29</v>
      </c>
      <c r="J6028">
        <v>1</v>
      </c>
      <c r="K6028">
        <f>1-888-320-5876</f>
        <v>-7083</v>
      </c>
      <c r="L6028" t="s">
        <v>18779</v>
      </c>
      <c r="M6028" t="s">
        <v>18780</v>
      </c>
      <c r="N6028" t="s">
        <v>278</v>
      </c>
      <c r="O6028" t="s">
        <v>28</v>
      </c>
      <c r="P6028" t="s">
        <v>29</v>
      </c>
      <c r="Q6028">
        <v>47</v>
      </c>
      <c r="R6028">
        <v>-99.999999000000003</v>
      </c>
    </row>
    <row r="6029" spans="1:18" x14ac:dyDescent="0.2">
      <c r="A6029" t="s">
        <v>270</v>
      </c>
      <c r="B6029" t="s">
        <v>9922</v>
      </c>
      <c r="C6029">
        <v>1</v>
      </c>
      <c r="D6029" s="1">
        <v>44111.747939814813</v>
      </c>
      <c r="E6029" t="s">
        <v>18781</v>
      </c>
      <c r="F6029" t="s">
        <v>273</v>
      </c>
      <c r="G6029" t="s">
        <v>18754</v>
      </c>
      <c r="H6029" t="s">
        <v>275</v>
      </c>
      <c r="I6029" t="s">
        <v>29</v>
      </c>
      <c r="J6029">
        <v>1</v>
      </c>
      <c r="K6029">
        <f>1-888-315-4509</f>
        <v>-5711</v>
      </c>
      <c r="L6029" t="s">
        <v>18782</v>
      </c>
      <c r="M6029" t="s">
        <v>18783</v>
      </c>
      <c r="N6029" t="s">
        <v>278</v>
      </c>
      <c r="O6029" t="s">
        <v>28</v>
      </c>
      <c r="P6029" t="s">
        <v>29</v>
      </c>
      <c r="Q6029">
        <v>47</v>
      </c>
      <c r="R6029">
        <v>-99.999999000000003</v>
      </c>
    </row>
    <row r="6030" spans="1:18" x14ac:dyDescent="0.2">
      <c r="A6030" t="s">
        <v>270</v>
      </c>
      <c r="B6030" t="s">
        <v>9922</v>
      </c>
      <c r="C6030">
        <v>1</v>
      </c>
      <c r="D6030" s="1">
        <v>44104.93172453704</v>
      </c>
      <c r="E6030" t="s">
        <v>18784</v>
      </c>
      <c r="F6030" t="s">
        <v>273</v>
      </c>
      <c r="G6030" t="s">
        <v>18754</v>
      </c>
      <c r="H6030" t="s">
        <v>275</v>
      </c>
      <c r="I6030" t="s">
        <v>29</v>
      </c>
      <c r="J6030">
        <v>1</v>
      </c>
      <c r="K6030">
        <f>1-888-210-3270</f>
        <v>-4367</v>
      </c>
      <c r="L6030" t="s">
        <v>18785</v>
      </c>
      <c r="M6030" t="s">
        <v>18786</v>
      </c>
      <c r="N6030" t="s">
        <v>278</v>
      </c>
      <c r="O6030" t="s">
        <v>134</v>
      </c>
      <c r="P6030" t="s">
        <v>29</v>
      </c>
      <c r="Q6030">
        <v>47</v>
      </c>
      <c r="R6030">
        <v>-99.999999000000003</v>
      </c>
    </row>
    <row r="6031" spans="1:18" x14ac:dyDescent="0.2">
      <c r="A6031" t="s">
        <v>270</v>
      </c>
      <c r="B6031" t="s">
        <v>9922</v>
      </c>
      <c r="C6031">
        <v>1</v>
      </c>
      <c r="D6031" s="1">
        <v>44103.762662037036</v>
      </c>
      <c r="E6031" t="s">
        <v>18787</v>
      </c>
      <c r="F6031" t="s">
        <v>273</v>
      </c>
      <c r="G6031" t="s">
        <v>18754</v>
      </c>
      <c r="H6031" t="s">
        <v>275</v>
      </c>
      <c r="I6031" t="s">
        <v>29</v>
      </c>
      <c r="J6031">
        <v>1</v>
      </c>
      <c r="K6031">
        <f>1-888-210-6654</f>
        <v>-7751</v>
      </c>
      <c r="L6031" t="s">
        <v>18788</v>
      </c>
      <c r="M6031" t="s">
        <v>18789</v>
      </c>
      <c r="N6031" t="s">
        <v>278</v>
      </c>
      <c r="O6031" t="s">
        <v>134</v>
      </c>
      <c r="P6031" t="s">
        <v>29</v>
      </c>
      <c r="Q6031">
        <v>47</v>
      </c>
      <c r="R6031">
        <v>-99.999999000000003</v>
      </c>
    </row>
    <row r="6032" spans="1:18" x14ac:dyDescent="0.2">
      <c r="A6032" t="s">
        <v>270</v>
      </c>
      <c r="B6032" t="s">
        <v>9922</v>
      </c>
      <c r="C6032">
        <v>1</v>
      </c>
      <c r="D6032" s="1">
        <v>44099.771932870368</v>
      </c>
      <c r="E6032" t="s">
        <v>3857</v>
      </c>
      <c r="F6032" t="s">
        <v>273</v>
      </c>
      <c r="G6032" t="s">
        <v>18754</v>
      </c>
      <c r="H6032" t="s">
        <v>275</v>
      </c>
      <c r="I6032" t="s">
        <v>29</v>
      </c>
      <c r="J6032">
        <v>1</v>
      </c>
      <c r="K6032">
        <f>1-888-220-8660</f>
        <v>-9767</v>
      </c>
      <c r="L6032" t="s">
        <v>18790</v>
      </c>
      <c r="M6032" t="s">
        <v>18791</v>
      </c>
      <c r="N6032" t="s">
        <v>278</v>
      </c>
      <c r="O6032" t="s">
        <v>28</v>
      </c>
      <c r="P6032" t="s">
        <v>29</v>
      </c>
      <c r="Q6032">
        <v>47</v>
      </c>
      <c r="R6032">
        <v>-99.999999000000003</v>
      </c>
    </row>
    <row r="6033" spans="1:18" x14ac:dyDescent="0.2">
      <c r="A6033" t="s">
        <v>270</v>
      </c>
      <c r="B6033" t="s">
        <v>9922</v>
      </c>
      <c r="C6033">
        <v>1</v>
      </c>
      <c r="D6033" s="1">
        <v>44096.768784722219</v>
      </c>
      <c r="E6033" t="s">
        <v>18792</v>
      </c>
      <c r="F6033" t="s">
        <v>273</v>
      </c>
      <c r="G6033" t="s">
        <v>18754</v>
      </c>
      <c r="H6033" t="s">
        <v>275</v>
      </c>
      <c r="I6033" t="s">
        <v>29</v>
      </c>
      <c r="J6033">
        <v>1</v>
      </c>
      <c r="K6033">
        <f>1-888-210-6063</f>
        <v>-7160</v>
      </c>
      <c r="L6033" t="s">
        <v>18793</v>
      </c>
      <c r="M6033" t="s">
        <v>18794</v>
      </c>
      <c r="N6033" t="s">
        <v>278</v>
      </c>
      <c r="O6033" t="s">
        <v>28</v>
      </c>
      <c r="P6033" t="s">
        <v>29</v>
      </c>
      <c r="Q6033">
        <v>47</v>
      </c>
      <c r="R6033">
        <v>-99.999999000000003</v>
      </c>
    </row>
    <row r="6034" spans="1:18" x14ac:dyDescent="0.2">
      <c r="A6034" t="s">
        <v>270</v>
      </c>
      <c r="B6034" t="s">
        <v>9922</v>
      </c>
      <c r="C6034">
        <v>1</v>
      </c>
      <c r="D6034" s="1">
        <v>44096.369606481479</v>
      </c>
      <c r="E6034" t="s">
        <v>18795</v>
      </c>
      <c r="F6034" t="s">
        <v>273</v>
      </c>
      <c r="G6034" t="s">
        <v>18754</v>
      </c>
      <c r="H6034" t="s">
        <v>275</v>
      </c>
      <c r="I6034" t="s">
        <v>29</v>
      </c>
      <c r="J6034">
        <v>1</v>
      </c>
      <c r="K6034">
        <f>1-844-316-9077</f>
        <v>-10236</v>
      </c>
      <c r="L6034" t="s">
        <v>18796</v>
      </c>
      <c r="M6034" t="s">
        <v>18797</v>
      </c>
      <c r="N6034" t="s">
        <v>278</v>
      </c>
      <c r="O6034" t="s">
        <v>28</v>
      </c>
      <c r="P6034" t="s">
        <v>29</v>
      </c>
      <c r="Q6034">
        <v>47</v>
      </c>
      <c r="R6034">
        <v>-99.999999000000003</v>
      </c>
    </row>
    <row r="6035" spans="1:18" x14ac:dyDescent="0.2">
      <c r="A6035" t="s">
        <v>270</v>
      </c>
      <c r="B6035" t="s">
        <v>9922</v>
      </c>
      <c r="C6035">
        <v>1</v>
      </c>
      <c r="D6035" s="1">
        <v>44096.366493055553</v>
      </c>
      <c r="E6035" t="s">
        <v>18798</v>
      </c>
      <c r="F6035" t="s">
        <v>273</v>
      </c>
      <c r="G6035" t="s">
        <v>18754</v>
      </c>
      <c r="H6035" t="s">
        <v>275</v>
      </c>
      <c r="I6035" t="s">
        <v>29</v>
      </c>
      <c r="J6035">
        <v>1</v>
      </c>
      <c r="K6035">
        <f>1-844-309-2655</f>
        <v>-3807</v>
      </c>
      <c r="L6035" t="s">
        <v>18799</v>
      </c>
      <c r="M6035" t="s">
        <v>18800</v>
      </c>
      <c r="N6035" t="s">
        <v>278</v>
      </c>
      <c r="O6035" t="s">
        <v>28</v>
      </c>
      <c r="P6035" t="s">
        <v>29</v>
      </c>
      <c r="Q6035">
        <v>47</v>
      </c>
      <c r="R6035">
        <v>-99.999999000000003</v>
      </c>
    </row>
    <row r="6036" spans="1:18" x14ac:dyDescent="0.2">
      <c r="A6036" t="s">
        <v>270</v>
      </c>
      <c r="B6036" t="s">
        <v>9922</v>
      </c>
      <c r="C6036">
        <v>1</v>
      </c>
      <c r="D6036" s="1">
        <v>44095.785011574073</v>
      </c>
      <c r="E6036" t="s">
        <v>18801</v>
      </c>
      <c r="F6036" t="s">
        <v>273</v>
      </c>
      <c r="G6036" t="s">
        <v>18754</v>
      </c>
      <c r="H6036" t="s">
        <v>275</v>
      </c>
      <c r="I6036" t="s">
        <v>29</v>
      </c>
      <c r="J6036">
        <v>1</v>
      </c>
      <c r="K6036">
        <f>1-844-301-8222</f>
        <v>-9366</v>
      </c>
      <c r="L6036" t="s">
        <v>18802</v>
      </c>
      <c r="M6036" t="s">
        <v>18803</v>
      </c>
      <c r="N6036" t="s">
        <v>278</v>
      </c>
      <c r="O6036" t="s">
        <v>28</v>
      </c>
      <c r="P6036" t="s">
        <v>29</v>
      </c>
      <c r="Q6036">
        <v>47</v>
      </c>
      <c r="R6036">
        <v>-99.999999000000003</v>
      </c>
    </row>
    <row r="6037" spans="1:18" x14ac:dyDescent="0.2">
      <c r="A6037" t="s">
        <v>270</v>
      </c>
      <c r="B6037" t="s">
        <v>9922</v>
      </c>
      <c r="C6037">
        <v>1</v>
      </c>
      <c r="D6037" s="1">
        <v>44095.784050925926</v>
      </c>
      <c r="E6037" t="s">
        <v>18804</v>
      </c>
      <c r="F6037" t="s">
        <v>273</v>
      </c>
      <c r="G6037" t="s">
        <v>18754</v>
      </c>
      <c r="H6037" t="s">
        <v>275</v>
      </c>
      <c r="I6037" t="s">
        <v>29</v>
      </c>
      <c r="J6037">
        <v>1</v>
      </c>
      <c r="K6037">
        <f>1-844-288-9111</f>
        <v>-10242</v>
      </c>
      <c r="L6037" t="s">
        <v>18805</v>
      </c>
      <c r="M6037" t="s">
        <v>18806</v>
      </c>
      <c r="N6037" t="s">
        <v>278</v>
      </c>
      <c r="O6037" t="s">
        <v>28</v>
      </c>
      <c r="P6037" t="s">
        <v>29</v>
      </c>
      <c r="Q6037">
        <v>47</v>
      </c>
      <c r="R6037">
        <v>-99.999999000000003</v>
      </c>
    </row>
    <row r="6038" spans="1:18" x14ac:dyDescent="0.2">
      <c r="A6038" t="s">
        <v>270</v>
      </c>
      <c r="B6038" t="s">
        <v>9922</v>
      </c>
      <c r="C6038">
        <v>1</v>
      </c>
      <c r="D6038" s="1">
        <v>44090.992476851854</v>
      </c>
      <c r="E6038" t="s">
        <v>18807</v>
      </c>
      <c r="F6038" t="s">
        <v>273</v>
      </c>
      <c r="G6038" t="s">
        <v>18754</v>
      </c>
      <c r="H6038" t="s">
        <v>275</v>
      </c>
      <c r="I6038" t="s">
        <v>29</v>
      </c>
      <c r="J6038">
        <v>1</v>
      </c>
      <c r="K6038">
        <f>1-844-242-3148</f>
        <v>-4233</v>
      </c>
      <c r="L6038" t="s">
        <v>18808</v>
      </c>
      <c r="M6038" t="s">
        <v>18809</v>
      </c>
      <c r="N6038" t="s">
        <v>278</v>
      </c>
      <c r="O6038" t="s">
        <v>28</v>
      </c>
      <c r="P6038" t="s">
        <v>29</v>
      </c>
      <c r="Q6038">
        <v>47</v>
      </c>
      <c r="R6038">
        <v>-99.999999000000003</v>
      </c>
    </row>
    <row r="6039" spans="1:18" x14ac:dyDescent="0.2">
      <c r="A6039" t="s">
        <v>270</v>
      </c>
      <c r="B6039" t="s">
        <v>9922</v>
      </c>
      <c r="C6039">
        <v>1</v>
      </c>
      <c r="D6039" s="1">
        <v>44090.991180555553</v>
      </c>
      <c r="E6039" t="s">
        <v>18810</v>
      </c>
      <c r="F6039" t="s">
        <v>273</v>
      </c>
      <c r="G6039" t="s">
        <v>18754</v>
      </c>
      <c r="H6039" t="s">
        <v>275</v>
      </c>
      <c r="I6039" t="s">
        <v>29</v>
      </c>
      <c r="J6039">
        <v>1</v>
      </c>
      <c r="K6039">
        <f>1-844-242-3148</f>
        <v>-4233</v>
      </c>
      <c r="L6039" t="s">
        <v>18811</v>
      </c>
      <c r="M6039" t="s">
        <v>18812</v>
      </c>
      <c r="N6039" t="s">
        <v>278</v>
      </c>
      <c r="O6039" t="s">
        <v>28</v>
      </c>
      <c r="P6039" t="s">
        <v>29</v>
      </c>
      <c r="Q6039">
        <v>47</v>
      </c>
      <c r="R6039">
        <v>-99.999999000000003</v>
      </c>
    </row>
    <row r="6040" spans="1:18" x14ac:dyDescent="0.2">
      <c r="A6040" t="s">
        <v>270</v>
      </c>
      <c r="B6040" t="s">
        <v>9922</v>
      </c>
      <c r="C6040">
        <v>1</v>
      </c>
      <c r="D6040" s="1">
        <v>44090.797303240739</v>
      </c>
      <c r="E6040" t="s">
        <v>18813</v>
      </c>
      <c r="F6040" t="s">
        <v>273</v>
      </c>
      <c r="G6040" t="s">
        <v>18754</v>
      </c>
      <c r="H6040" t="s">
        <v>275</v>
      </c>
      <c r="I6040" t="s">
        <v>29</v>
      </c>
      <c r="J6040">
        <v>1</v>
      </c>
      <c r="K6040">
        <f>1-844-243-4064</f>
        <v>-5150</v>
      </c>
      <c r="L6040" t="s">
        <v>18814</v>
      </c>
      <c r="M6040" t="s">
        <v>18815</v>
      </c>
      <c r="N6040" t="s">
        <v>278</v>
      </c>
      <c r="O6040" t="s">
        <v>28</v>
      </c>
      <c r="P6040" t="s">
        <v>29</v>
      </c>
      <c r="Q6040">
        <v>47</v>
      </c>
      <c r="R6040">
        <v>-99.999999000000003</v>
      </c>
    </row>
    <row r="6041" spans="1:18" x14ac:dyDescent="0.2">
      <c r="A6041" t="s">
        <v>270</v>
      </c>
      <c r="B6041" t="s">
        <v>9922</v>
      </c>
      <c r="C6041">
        <v>1</v>
      </c>
      <c r="D6041" s="1">
        <v>44090.416701388887</v>
      </c>
      <c r="E6041" t="s">
        <v>18816</v>
      </c>
      <c r="F6041" t="s">
        <v>273</v>
      </c>
      <c r="G6041" t="s">
        <v>18754</v>
      </c>
      <c r="H6041" t="s">
        <v>275</v>
      </c>
      <c r="I6041" t="s">
        <v>29</v>
      </c>
      <c r="J6041">
        <v>1</v>
      </c>
      <c r="K6041">
        <f>1-844-318-8589</f>
        <v>-9750</v>
      </c>
      <c r="L6041" t="s">
        <v>18817</v>
      </c>
      <c r="M6041" t="s">
        <v>18818</v>
      </c>
      <c r="N6041" t="s">
        <v>278</v>
      </c>
      <c r="O6041" t="s">
        <v>28</v>
      </c>
      <c r="P6041" t="s">
        <v>29</v>
      </c>
      <c r="Q6041">
        <v>47</v>
      </c>
      <c r="R6041">
        <v>-99.999999000000003</v>
      </c>
    </row>
    <row r="6042" spans="1:18" x14ac:dyDescent="0.2">
      <c r="A6042" t="s">
        <v>270</v>
      </c>
      <c r="B6042" t="s">
        <v>9922</v>
      </c>
      <c r="C6042">
        <v>1</v>
      </c>
      <c r="D6042" s="1">
        <v>44090.415798611109</v>
      </c>
      <c r="E6042" t="s">
        <v>8573</v>
      </c>
      <c r="F6042" t="s">
        <v>273</v>
      </c>
      <c r="G6042" t="s">
        <v>18754</v>
      </c>
      <c r="H6042" t="s">
        <v>275</v>
      </c>
      <c r="I6042" t="s">
        <v>29</v>
      </c>
      <c r="J6042">
        <v>1</v>
      </c>
      <c r="K6042">
        <f>1-844-293-8713</f>
        <v>-9849</v>
      </c>
      <c r="L6042" t="s">
        <v>18819</v>
      </c>
      <c r="M6042" t="s">
        <v>18820</v>
      </c>
      <c r="N6042" t="s">
        <v>278</v>
      </c>
      <c r="O6042" t="s">
        <v>28</v>
      </c>
      <c r="P6042" t="s">
        <v>29</v>
      </c>
      <c r="Q6042">
        <v>47</v>
      </c>
      <c r="R6042">
        <v>-99.999999000000003</v>
      </c>
    </row>
    <row r="6043" spans="1:18" x14ac:dyDescent="0.2">
      <c r="A6043" t="s">
        <v>270</v>
      </c>
      <c r="B6043" t="s">
        <v>9922</v>
      </c>
      <c r="C6043">
        <v>1</v>
      </c>
      <c r="D6043" s="1">
        <v>44089.430925925924</v>
      </c>
      <c r="E6043" t="s">
        <v>18821</v>
      </c>
      <c r="F6043" t="s">
        <v>273</v>
      </c>
      <c r="G6043" t="s">
        <v>18754</v>
      </c>
      <c r="H6043" t="s">
        <v>275</v>
      </c>
      <c r="I6043" t="s">
        <v>29</v>
      </c>
      <c r="J6043">
        <v>1</v>
      </c>
      <c r="K6043">
        <f>1-844-210-4337</f>
        <v>-5390</v>
      </c>
      <c r="L6043" t="s">
        <v>18822</v>
      </c>
      <c r="M6043" t="s">
        <v>18823</v>
      </c>
      <c r="N6043" t="s">
        <v>278</v>
      </c>
      <c r="O6043" t="s">
        <v>28</v>
      </c>
      <c r="P6043" t="s">
        <v>29</v>
      </c>
      <c r="Q6043">
        <v>47</v>
      </c>
      <c r="R6043">
        <v>-99.999999000000003</v>
      </c>
    </row>
    <row r="6044" spans="1:18" x14ac:dyDescent="0.2">
      <c r="A6044" t="s">
        <v>270</v>
      </c>
      <c r="B6044" t="s">
        <v>9922</v>
      </c>
      <c r="C6044">
        <v>1</v>
      </c>
      <c r="D6044" s="1">
        <v>44088.940763888888</v>
      </c>
      <c r="E6044" t="s">
        <v>18824</v>
      </c>
      <c r="F6044" t="s">
        <v>273</v>
      </c>
      <c r="G6044" t="s">
        <v>18754</v>
      </c>
      <c r="H6044" t="s">
        <v>275</v>
      </c>
      <c r="I6044" t="s">
        <v>29</v>
      </c>
      <c r="J6044">
        <v>1</v>
      </c>
      <c r="K6044">
        <f>1-844-210-4337</f>
        <v>-5390</v>
      </c>
      <c r="L6044" t="s">
        <v>18825</v>
      </c>
      <c r="M6044" t="s">
        <v>18826</v>
      </c>
      <c r="N6044" t="s">
        <v>278</v>
      </c>
      <c r="O6044" t="s">
        <v>28</v>
      </c>
      <c r="P6044" t="s">
        <v>29</v>
      </c>
      <c r="Q6044">
        <v>47</v>
      </c>
      <c r="R6044">
        <v>-99.999999000000003</v>
      </c>
    </row>
    <row r="6045" spans="1:18" x14ac:dyDescent="0.2">
      <c r="A6045" t="s">
        <v>270</v>
      </c>
      <c r="B6045" t="s">
        <v>9922</v>
      </c>
      <c r="C6045">
        <v>1</v>
      </c>
      <c r="D6045" s="1">
        <v>44083.760567129626</v>
      </c>
      <c r="E6045" t="s">
        <v>18827</v>
      </c>
      <c r="F6045" t="s">
        <v>273</v>
      </c>
      <c r="G6045" t="s">
        <v>18754</v>
      </c>
      <c r="H6045" t="s">
        <v>275</v>
      </c>
      <c r="I6045" t="s">
        <v>29</v>
      </c>
      <c r="J6045">
        <v>1</v>
      </c>
      <c r="K6045">
        <f>1-888-599-5036</f>
        <v>-6522</v>
      </c>
      <c r="L6045" t="s">
        <v>18828</v>
      </c>
      <c r="M6045" t="s">
        <v>18829</v>
      </c>
      <c r="N6045" t="s">
        <v>278</v>
      </c>
      <c r="O6045" t="s">
        <v>28</v>
      </c>
      <c r="P6045" t="s">
        <v>29</v>
      </c>
      <c r="Q6045">
        <v>47</v>
      </c>
      <c r="R6045">
        <v>-99.999999000000003</v>
      </c>
    </row>
    <row r="6046" spans="1:18" x14ac:dyDescent="0.2">
      <c r="A6046" t="s">
        <v>270</v>
      </c>
      <c r="B6046" t="s">
        <v>9922</v>
      </c>
      <c r="C6046">
        <v>1</v>
      </c>
      <c r="D6046" s="1">
        <v>44082.94734953704</v>
      </c>
      <c r="E6046" t="s">
        <v>18830</v>
      </c>
      <c r="F6046" t="s">
        <v>273</v>
      </c>
      <c r="G6046" t="s">
        <v>18754</v>
      </c>
      <c r="H6046" t="s">
        <v>275</v>
      </c>
      <c r="I6046" t="s">
        <v>29</v>
      </c>
      <c r="J6046">
        <v>1</v>
      </c>
      <c r="K6046">
        <f>1-888-599-8076</f>
        <v>-9562</v>
      </c>
      <c r="L6046" t="s">
        <v>18831</v>
      </c>
      <c r="M6046" t="s">
        <v>18832</v>
      </c>
      <c r="N6046" t="s">
        <v>278</v>
      </c>
      <c r="O6046" t="s">
        <v>28</v>
      </c>
      <c r="P6046" t="s">
        <v>29</v>
      </c>
      <c r="Q6046">
        <v>47</v>
      </c>
      <c r="R6046">
        <v>-99.999999000000003</v>
      </c>
    </row>
    <row r="6047" spans="1:18" x14ac:dyDescent="0.2">
      <c r="A6047" t="s">
        <v>439</v>
      </c>
      <c r="B6047" t="s">
        <v>3094</v>
      </c>
      <c r="C6047">
        <v>1</v>
      </c>
      <c r="D6047" s="1">
        <v>44082.95553240741</v>
      </c>
      <c r="E6047" t="s">
        <v>18730</v>
      </c>
      <c r="F6047" t="s">
        <v>442</v>
      </c>
      <c r="G6047" t="s">
        <v>18833</v>
      </c>
      <c r="H6047" t="s">
        <v>444</v>
      </c>
      <c r="I6047" t="s">
        <v>29</v>
      </c>
      <c r="J6047">
        <v>1</v>
      </c>
      <c r="K6047">
        <f>1-888-257-3981</f>
        <v>-5125</v>
      </c>
      <c r="L6047" t="s">
        <v>18834</v>
      </c>
      <c r="M6047" t="s">
        <v>18835</v>
      </c>
      <c r="N6047" t="s">
        <v>1645</v>
      </c>
      <c r="O6047" t="s">
        <v>28</v>
      </c>
      <c r="P6047" t="s">
        <v>2268</v>
      </c>
      <c r="Q6047">
        <v>46</v>
      </c>
      <c r="R6047">
        <v>-73.567300000000003</v>
      </c>
    </row>
    <row r="6048" spans="1:18" x14ac:dyDescent="0.2">
      <c r="A6048" t="s">
        <v>17523</v>
      </c>
      <c r="B6048" t="s">
        <v>4281</v>
      </c>
      <c r="C6048">
        <v>1</v>
      </c>
      <c r="D6048" s="1">
        <v>44083.001643518517</v>
      </c>
      <c r="E6048" t="s">
        <v>18836</v>
      </c>
      <c r="F6048" t="s">
        <v>17525</v>
      </c>
      <c r="G6048" t="s">
        <v>18836</v>
      </c>
      <c r="H6048" t="s">
        <v>17526</v>
      </c>
      <c r="I6048" t="s">
        <v>29</v>
      </c>
      <c r="J6048">
        <v>1</v>
      </c>
      <c r="K6048">
        <f>1-844-222-252</f>
        <v>-1317</v>
      </c>
      <c r="L6048" t="s">
        <v>18837</v>
      </c>
      <c r="M6048" t="s">
        <v>18838</v>
      </c>
      <c r="N6048">
        <v>17</v>
      </c>
      <c r="O6048" t="s">
        <v>134</v>
      </c>
      <c r="P6048" t="s">
        <v>24</v>
      </c>
      <c r="Q6048">
        <v>50</v>
      </c>
      <c r="R6048">
        <v>8.6821300000000008</v>
      </c>
    </row>
    <row r="6049" spans="1:18" x14ac:dyDescent="0.2">
      <c r="A6049" t="s">
        <v>439</v>
      </c>
      <c r="B6049" t="s">
        <v>3094</v>
      </c>
      <c r="C6049">
        <v>81</v>
      </c>
      <c r="D6049" s="1">
        <v>44083.381331018521</v>
      </c>
      <c r="E6049" t="s">
        <v>18839</v>
      </c>
      <c r="F6049" t="s">
        <v>442</v>
      </c>
      <c r="G6049" t="s">
        <v>18840</v>
      </c>
      <c r="H6049" t="s">
        <v>444</v>
      </c>
      <c r="I6049" t="s">
        <v>53</v>
      </c>
      <c r="J6049">
        <v>81</v>
      </c>
      <c r="K6049">
        <f>81-50-5532-2404</f>
        <v>-7905</v>
      </c>
      <c r="L6049" t="s">
        <v>18841</v>
      </c>
      <c r="M6049" t="s">
        <v>18842</v>
      </c>
      <c r="N6049" t="s">
        <v>213</v>
      </c>
      <c r="O6049" t="s">
        <v>28</v>
      </c>
      <c r="P6049" t="s">
        <v>2268</v>
      </c>
      <c r="Q6049">
        <v>46</v>
      </c>
      <c r="R6049">
        <v>-73.567300000000003</v>
      </c>
    </row>
    <row r="6050" spans="1:18" x14ac:dyDescent="0.2">
      <c r="A6050" t="s">
        <v>439</v>
      </c>
      <c r="B6050" t="s">
        <v>3094</v>
      </c>
      <c r="C6050">
        <v>1</v>
      </c>
      <c r="D6050" s="1">
        <v>44083.676805555559</v>
      </c>
      <c r="E6050" t="s">
        <v>18843</v>
      </c>
      <c r="F6050" t="s">
        <v>442</v>
      </c>
      <c r="G6050" t="s">
        <v>18844</v>
      </c>
      <c r="H6050" t="s">
        <v>444</v>
      </c>
      <c r="I6050" t="s">
        <v>29</v>
      </c>
      <c r="J6050">
        <v>1</v>
      </c>
      <c r="K6050">
        <f>1-888-238-7143</f>
        <v>-8268</v>
      </c>
      <c r="L6050" t="s">
        <v>18845</v>
      </c>
      <c r="M6050" t="s">
        <v>18846</v>
      </c>
      <c r="N6050" t="s">
        <v>5354</v>
      </c>
      <c r="O6050" t="s">
        <v>28</v>
      </c>
      <c r="P6050" t="s">
        <v>2268</v>
      </c>
      <c r="Q6050">
        <v>46</v>
      </c>
      <c r="R6050">
        <v>-73.567300000000003</v>
      </c>
    </row>
    <row r="6051" spans="1:18" x14ac:dyDescent="0.2">
      <c r="A6051" t="s">
        <v>439</v>
      </c>
      <c r="B6051" t="s">
        <v>3094</v>
      </c>
      <c r="C6051">
        <v>1</v>
      </c>
      <c r="D6051" s="1">
        <v>44083.739664351851</v>
      </c>
      <c r="E6051" t="s">
        <v>18847</v>
      </c>
      <c r="F6051" t="s">
        <v>442</v>
      </c>
      <c r="G6051" t="s">
        <v>18848</v>
      </c>
      <c r="H6051" t="s">
        <v>444</v>
      </c>
      <c r="I6051" t="s">
        <v>29</v>
      </c>
      <c r="J6051">
        <v>1</v>
      </c>
      <c r="K6051">
        <f>1-888-245-7582</f>
        <v>-8714</v>
      </c>
      <c r="L6051" t="s">
        <v>18849</v>
      </c>
      <c r="M6051" t="s">
        <v>18850</v>
      </c>
      <c r="N6051" t="s">
        <v>2475</v>
      </c>
      <c r="O6051" t="s">
        <v>28</v>
      </c>
      <c r="P6051" t="s">
        <v>2268</v>
      </c>
      <c r="Q6051">
        <v>46</v>
      </c>
      <c r="R6051">
        <v>-73.567300000000003</v>
      </c>
    </row>
    <row r="6052" spans="1:18" x14ac:dyDescent="0.2">
      <c r="A6052" t="s">
        <v>439</v>
      </c>
      <c r="B6052" t="s">
        <v>3094</v>
      </c>
      <c r="C6052">
        <v>1</v>
      </c>
      <c r="D6052" s="1">
        <v>44083.752800925926</v>
      </c>
      <c r="E6052" t="s">
        <v>18851</v>
      </c>
      <c r="F6052" t="s">
        <v>442</v>
      </c>
      <c r="G6052" t="s">
        <v>18852</v>
      </c>
      <c r="H6052" t="s">
        <v>444</v>
      </c>
      <c r="I6052" t="s">
        <v>29</v>
      </c>
      <c r="J6052">
        <v>1</v>
      </c>
      <c r="K6052">
        <f>1-888-245-7582</f>
        <v>-8714</v>
      </c>
      <c r="L6052" t="s">
        <v>18853</v>
      </c>
      <c r="M6052" t="s">
        <v>18854</v>
      </c>
      <c r="N6052" t="s">
        <v>2475</v>
      </c>
      <c r="O6052" t="s">
        <v>28</v>
      </c>
      <c r="P6052" t="s">
        <v>2268</v>
      </c>
      <c r="Q6052">
        <v>46</v>
      </c>
      <c r="R6052">
        <v>-73.567300000000003</v>
      </c>
    </row>
    <row r="6053" spans="1:18" x14ac:dyDescent="0.2">
      <c r="A6053" t="s">
        <v>663</v>
      </c>
      <c r="B6053" t="s">
        <v>664</v>
      </c>
      <c r="C6053">
        <v>1</v>
      </c>
      <c r="D6053" s="1">
        <v>44083.753530092596</v>
      </c>
      <c r="E6053" t="s">
        <v>18855</v>
      </c>
      <c r="F6053" t="s">
        <v>666</v>
      </c>
      <c r="G6053" t="s">
        <v>18855</v>
      </c>
      <c r="H6053" t="s">
        <v>667</v>
      </c>
      <c r="I6053" t="s">
        <v>29</v>
      </c>
      <c r="J6053">
        <v>1</v>
      </c>
      <c r="K6053">
        <f>1-855-460-6171</f>
        <v>-7485</v>
      </c>
      <c r="L6053" t="s">
        <v>18856</v>
      </c>
      <c r="M6053" t="s">
        <v>18857</v>
      </c>
      <c r="N6053">
        <v>28</v>
      </c>
      <c r="O6053" t="s">
        <v>134</v>
      </c>
      <c r="P6053" t="s">
        <v>29</v>
      </c>
      <c r="Q6053">
        <v>37</v>
      </c>
      <c r="R6053">
        <v>-99.999999000000003</v>
      </c>
    </row>
    <row r="6054" spans="1:18" x14ac:dyDescent="0.2">
      <c r="A6054" t="s">
        <v>2233</v>
      </c>
      <c r="B6054" t="s">
        <v>2234</v>
      </c>
      <c r="C6054">
        <v>1</v>
      </c>
      <c r="D6054" s="1">
        <v>44083.766539351855</v>
      </c>
      <c r="E6054" t="s">
        <v>18858</v>
      </c>
      <c r="F6054" t="s">
        <v>2236</v>
      </c>
      <c r="G6054" t="s">
        <v>18858</v>
      </c>
      <c r="H6054" t="s">
        <v>2237</v>
      </c>
      <c r="I6054" t="s">
        <v>29</v>
      </c>
      <c r="J6054">
        <v>1</v>
      </c>
      <c r="K6054">
        <f>1-855-701-9885</f>
        <v>-11440</v>
      </c>
      <c r="L6054" t="s">
        <v>18859</v>
      </c>
      <c r="M6054" t="s">
        <v>18860</v>
      </c>
      <c r="N6054">
        <v>71</v>
      </c>
      <c r="O6054" t="s">
        <v>134</v>
      </c>
      <c r="P6054" t="s">
        <v>29</v>
      </c>
      <c r="Q6054">
        <v>40</v>
      </c>
      <c r="R6054">
        <v>-83.114099999999993</v>
      </c>
    </row>
    <row r="6055" spans="1:18" x14ac:dyDescent="0.2">
      <c r="A6055" t="s">
        <v>439</v>
      </c>
      <c r="B6055" t="s">
        <v>3094</v>
      </c>
      <c r="C6055">
        <v>1</v>
      </c>
      <c r="D6055" s="1">
        <v>44083.772511574076</v>
      </c>
      <c r="E6055" t="s">
        <v>18861</v>
      </c>
      <c r="F6055" t="s">
        <v>442</v>
      </c>
      <c r="G6055" t="s">
        <v>18862</v>
      </c>
      <c r="H6055" t="s">
        <v>444</v>
      </c>
      <c r="I6055" t="s">
        <v>29</v>
      </c>
      <c r="J6055">
        <v>1</v>
      </c>
      <c r="K6055">
        <f>1-888-531-780</f>
        <v>-2198</v>
      </c>
      <c r="L6055" t="s">
        <v>18863</v>
      </c>
      <c r="M6055" t="s">
        <v>18864</v>
      </c>
      <c r="N6055" t="s">
        <v>447</v>
      </c>
      <c r="O6055" t="s">
        <v>28</v>
      </c>
      <c r="P6055" t="s">
        <v>2268</v>
      </c>
      <c r="Q6055">
        <v>46</v>
      </c>
      <c r="R6055">
        <v>-73.567300000000003</v>
      </c>
    </row>
    <row r="6056" spans="1:18" x14ac:dyDescent="0.2">
      <c r="A6056" t="s">
        <v>439</v>
      </c>
      <c r="B6056" t="s">
        <v>3094</v>
      </c>
      <c r="C6056">
        <v>1</v>
      </c>
      <c r="D6056" s="1">
        <v>44083.773831018516</v>
      </c>
      <c r="E6056" t="s">
        <v>18865</v>
      </c>
      <c r="F6056" t="s">
        <v>442</v>
      </c>
      <c r="G6056" t="s">
        <v>18866</v>
      </c>
      <c r="H6056" t="s">
        <v>444</v>
      </c>
      <c r="I6056" t="s">
        <v>29</v>
      </c>
      <c r="J6056">
        <v>1</v>
      </c>
      <c r="K6056">
        <f>1-888-210-1015</f>
        <v>-2112</v>
      </c>
      <c r="L6056" t="s">
        <v>18867</v>
      </c>
      <c r="M6056" t="s">
        <v>18868</v>
      </c>
      <c r="N6056" t="s">
        <v>1645</v>
      </c>
      <c r="O6056" t="s">
        <v>28</v>
      </c>
      <c r="P6056" t="s">
        <v>2268</v>
      </c>
      <c r="Q6056">
        <v>46</v>
      </c>
      <c r="R6056">
        <v>-73.567300000000003</v>
      </c>
    </row>
    <row r="6057" spans="1:18" x14ac:dyDescent="0.2">
      <c r="A6057" t="s">
        <v>439</v>
      </c>
      <c r="B6057" t="s">
        <v>3094</v>
      </c>
      <c r="C6057">
        <v>1</v>
      </c>
      <c r="D6057" s="1">
        <v>44083.777233796296</v>
      </c>
      <c r="E6057" t="s">
        <v>18869</v>
      </c>
      <c r="F6057" t="s">
        <v>442</v>
      </c>
      <c r="G6057" t="s">
        <v>18870</v>
      </c>
      <c r="H6057" t="s">
        <v>444</v>
      </c>
      <c r="I6057" t="s">
        <v>29</v>
      </c>
      <c r="J6057">
        <v>1</v>
      </c>
      <c r="K6057">
        <f>1-888-412-3587</f>
        <v>-4886</v>
      </c>
      <c r="L6057" t="s">
        <v>18871</v>
      </c>
      <c r="M6057" t="s">
        <v>18872</v>
      </c>
      <c r="N6057" t="s">
        <v>674</v>
      </c>
      <c r="O6057" t="s">
        <v>28</v>
      </c>
      <c r="P6057" t="s">
        <v>2268</v>
      </c>
      <c r="Q6057">
        <v>46</v>
      </c>
      <c r="R6057">
        <v>-73.567300000000003</v>
      </c>
    </row>
    <row r="6058" spans="1:18" x14ac:dyDescent="0.2">
      <c r="A6058" t="s">
        <v>663</v>
      </c>
      <c r="B6058" t="s">
        <v>3245</v>
      </c>
      <c r="C6058">
        <v>1</v>
      </c>
      <c r="D6058" s="1">
        <v>44083.781099537038</v>
      </c>
      <c r="E6058" t="s">
        <v>18873</v>
      </c>
      <c r="F6058" t="s">
        <v>666</v>
      </c>
      <c r="G6058" t="s">
        <v>18874</v>
      </c>
      <c r="H6058" t="s">
        <v>667</v>
      </c>
      <c r="I6058" t="s">
        <v>29</v>
      </c>
      <c r="J6058">
        <v>1</v>
      </c>
      <c r="K6058">
        <f>1-855-954-833</f>
        <v>-2641</v>
      </c>
      <c r="L6058" t="s">
        <v>18875</v>
      </c>
      <c r="M6058" t="s">
        <v>18876</v>
      </c>
      <c r="N6058" t="s">
        <v>2475</v>
      </c>
      <c r="O6058" t="s">
        <v>28</v>
      </c>
      <c r="P6058" t="s">
        <v>29</v>
      </c>
      <c r="Q6058">
        <v>41</v>
      </c>
      <c r="R6058">
        <v>-74.140299999999996</v>
      </c>
    </row>
    <row r="6059" spans="1:18" x14ac:dyDescent="0.2">
      <c r="A6059" t="s">
        <v>1200</v>
      </c>
      <c r="B6059" t="s">
        <v>2500</v>
      </c>
      <c r="C6059">
        <v>1</v>
      </c>
      <c r="D6059" s="1">
        <v>44083.790775462963</v>
      </c>
      <c r="E6059" t="s">
        <v>18877</v>
      </c>
      <c r="F6059" t="s">
        <v>1203</v>
      </c>
      <c r="G6059" t="s">
        <v>18878</v>
      </c>
      <c r="H6059" t="s">
        <v>1205</v>
      </c>
      <c r="I6059" t="s">
        <v>29</v>
      </c>
      <c r="J6059">
        <v>1</v>
      </c>
      <c r="K6059">
        <f>1-833-706-1100</f>
        <v>-2638</v>
      </c>
      <c r="L6059" t="s">
        <v>18879</v>
      </c>
      <c r="M6059" t="s">
        <v>18880</v>
      </c>
      <c r="N6059" t="s">
        <v>452</v>
      </c>
      <c r="O6059" t="s">
        <v>134</v>
      </c>
      <c r="P6059" t="s">
        <v>2500</v>
      </c>
      <c r="Q6059">
        <v>1</v>
      </c>
      <c r="R6059">
        <v>99.999999000000003</v>
      </c>
    </row>
    <row r="6060" spans="1:18" x14ac:dyDescent="0.2">
      <c r="A6060" t="s">
        <v>439</v>
      </c>
      <c r="B6060" t="s">
        <v>3094</v>
      </c>
      <c r="C6060">
        <v>1</v>
      </c>
      <c r="D6060" s="1">
        <v>44083.80846064815</v>
      </c>
      <c r="E6060" t="s">
        <v>18881</v>
      </c>
      <c r="F6060" t="s">
        <v>442</v>
      </c>
      <c r="G6060" t="s">
        <v>18882</v>
      </c>
      <c r="H6060" t="s">
        <v>444</v>
      </c>
      <c r="I6060" t="s">
        <v>29</v>
      </c>
      <c r="J6060">
        <v>1</v>
      </c>
      <c r="K6060">
        <f>1-888-984-3213</f>
        <v>-5084</v>
      </c>
      <c r="L6060" t="s">
        <v>18883</v>
      </c>
      <c r="M6060" t="s">
        <v>18884</v>
      </c>
      <c r="N6060" t="s">
        <v>674</v>
      </c>
      <c r="O6060" t="s">
        <v>28</v>
      </c>
      <c r="P6060" t="s">
        <v>2268</v>
      </c>
      <c r="Q6060">
        <v>46</v>
      </c>
      <c r="R6060">
        <v>-73.567300000000003</v>
      </c>
    </row>
    <row r="6061" spans="1:18" x14ac:dyDescent="0.2">
      <c r="A6061" t="s">
        <v>439</v>
      </c>
      <c r="B6061" t="s">
        <v>3094</v>
      </c>
      <c r="C6061">
        <v>1</v>
      </c>
      <c r="D6061" s="1">
        <v>44083.822291666664</v>
      </c>
      <c r="E6061" t="s">
        <v>18885</v>
      </c>
      <c r="F6061" t="s">
        <v>442</v>
      </c>
      <c r="G6061" t="s">
        <v>18886</v>
      </c>
      <c r="H6061" t="s">
        <v>444</v>
      </c>
      <c r="I6061" t="s">
        <v>29</v>
      </c>
      <c r="J6061">
        <v>1</v>
      </c>
      <c r="K6061">
        <f>1-888-854-7151</f>
        <v>-8892</v>
      </c>
      <c r="L6061" t="s">
        <v>18887</v>
      </c>
      <c r="M6061" t="s">
        <v>18888</v>
      </c>
      <c r="N6061" t="s">
        <v>3454</v>
      </c>
      <c r="O6061" t="s">
        <v>28</v>
      </c>
      <c r="P6061" t="s">
        <v>2268</v>
      </c>
      <c r="Q6061">
        <v>46</v>
      </c>
      <c r="R6061">
        <v>-73.567300000000003</v>
      </c>
    </row>
    <row r="6062" spans="1:18" x14ac:dyDescent="0.2">
      <c r="A6062" t="s">
        <v>18889</v>
      </c>
      <c r="B6062" t="s">
        <v>664</v>
      </c>
      <c r="C6062">
        <v>1</v>
      </c>
      <c r="D6062" s="1">
        <v>44083.828645833331</v>
      </c>
      <c r="E6062" t="s">
        <v>18890</v>
      </c>
      <c r="F6062" t="s">
        <v>18891</v>
      </c>
      <c r="G6062" t="s">
        <v>18890</v>
      </c>
      <c r="H6062" t="s">
        <v>18892</v>
      </c>
      <c r="I6062" t="s">
        <v>29</v>
      </c>
      <c r="J6062">
        <v>1</v>
      </c>
      <c r="K6062">
        <f>1-844-222-252</f>
        <v>-1317</v>
      </c>
      <c r="L6062" t="s">
        <v>18893</v>
      </c>
      <c r="M6062" t="s">
        <v>18894</v>
      </c>
      <c r="N6062">
        <v>16</v>
      </c>
      <c r="O6062" t="s">
        <v>134</v>
      </c>
      <c r="P6062" t="s">
        <v>29</v>
      </c>
      <c r="Q6062">
        <v>37</v>
      </c>
      <c r="R6062">
        <v>-99.999999000000003</v>
      </c>
    </row>
    <row r="6063" spans="1:18" x14ac:dyDescent="0.2">
      <c r="A6063" t="s">
        <v>270</v>
      </c>
      <c r="B6063" t="s">
        <v>440</v>
      </c>
      <c r="C6063">
        <v>1</v>
      </c>
      <c r="D6063" s="1">
        <v>44084.784409722219</v>
      </c>
      <c r="E6063" t="s">
        <v>18895</v>
      </c>
      <c r="F6063" t="s">
        <v>273</v>
      </c>
      <c r="G6063" t="s">
        <v>18896</v>
      </c>
      <c r="H6063" t="s">
        <v>275</v>
      </c>
      <c r="I6063" t="s">
        <v>29</v>
      </c>
      <c r="J6063">
        <v>1</v>
      </c>
      <c r="K6063">
        <f>1-844-318-7909</f>
        <v>-9070</v>
      </c>
      <c r="L6063" t="s">
        <v>18897</v>
      </c>
      <c r="M6063" t="s">
        <v>18898</v>
      </c>
      <c r="N6063" t="s">
        <v>278</v>
      </c>
      <c r="O6063" t="s">
        <v>28</v>
      </c>
      <c r="P6063" t="s">
        <v>29</v>
      </c>
      <c r="Q6063">
        <v>39</v>
      </c>
      <c r="R6063">
        <v>-77.487399999999994</v>
      </c>
    </row>
    <row r="6064" spans="1:18" x14ac:dyDescent="0.2">
      <c r="A6064" t="s">
        <v>270</v>
      </c>
      <c r="B6064" t="s">
        <v>440</v>
      </c>
      <c r="C6064">
        <v>1</v>
      </c>
      <c r="D6064" s="1">
        <v>44084.783587962964</v>
      </c>
      <c r="E6064" t="s">
        <v>18899</v>
      </c>
      <c r="F6064" t="s">
        <v>273</v>
      </c>
      <c r="G6064" t="s">
        <v>18896</v>
      </c>
      <c r="H6064" t="s">
        <v>275</v>
      </c>
      <c r="I6064" t="s">
        <v>29</v>
      </c>
      <c r="J6064">
        <v>1</v>
      </c>
      <c r="K6064">
        <f>1-844-318-7909</f>
        <v>-9070</v>
      </c>
      <c r="L6064" t="s">
        <v>18900</v>
      </c>
      <c r="M6064" t="s">
        <v>18901</v>
      </c>
      <c r="N6064" t="s">
        <v>278</v>
      </c>
      <c r="O6064" t="s">
        <v>28</v>
      </c>
      <c r="P6064" t="s">
        <v>29</v>
      </c>
      <c r="Q6064">
        <v>39</v>
      </c>
      <c r="R6064">
        <v>-77.487399999999994</v>
      </c>
    </row>
    <row r="6065" spans="1:18" x14ac:dyDescent="0.2">
      <c r="A6065" t="s">
        <v>270</v>
      </c>
      <c r="B6065" t="s">
        <v>440</v>
      </c>
      <c r="C6065">
        <v>1</v>
      </c>
      <c r="D6065" s="1">
        <v>44083.829039351855</v>
      </c>
      <c r="E6065" t="s">
        <v>18902</v>
      </c>
      <c r="F6065" t="s">
        <v>273</v>
      </c>
      <c r="G6065" t="s">
        <v>18896</v>
      </c>
      <c r="H6065" t="s">
        <v>275</v>
      </c>
      <c r="I6065" t="s">
        <v>29</v>
      </c>
      <c r="J6065">
        <v>1</v>
      </c>
      <c r="K6065">
        <f>1-888-592-7014</f>
        <v>-8493</v>
      </c>
      <c r="L6065" t="s">
        <v>18903</v>
      </c>
      <c r="M6065" t="s">
        <v>18904</v>
      </c>
      <c r="N6065" t="s">
        <v>278</v>
      </c>
      <c r="O6065" t="s">
        <v>28</v>
      </c>
      <c r="P6065" t="s">
        <v>29</v>
      </c>
      <c r="Q6065">
        <v>39</v>
      </c>
      <c r="R6065">
        <v>-77.487399999999994</v>
      </c>
    </row>
    <row r="6066" spans="1:18" x14ac:dyDescent="0.2">
      <c r="A6066" t="s">
        <v>663</v>
      </c>
      <c r="B6066" t="s">
        <v>664</v>
      </c>
      <c r="C6066">
        <v>1</v>
      </c>
      <c r="D6066" s="1">
        <v>44083.857870370368</v>
      </c>
      <c r="E6066" t="s">
        <v>18905</v>
      </c>
      <c r="F6066" t="s">
        <v>666</v>
      </c>
      <c r="G6066" t="s">
        <v>18905</v>
      </c>
      <c r="H6066" t="s">
        <v>667</v>
      </c>
      <c r="I6066" t="s">
        <v>29</v>
      </c>
      <c r="J6066">
        <v>1</v>
      </c>
      <c r="K6066">
        <f>1-888-506-669</f>
        <v>-2062</v>
      </c>
      <c r="L6066" t="s">
        <v>18906</v>
      </c>
      <c r="M6066" t="s">
        <v>18907</v>
      </c>
      <c r="N6066">
        <v>15</v>
      </c>
      <c r="O6066" t="s">
        <v>134</v>
      </c>
      <c r="P6066" t="s">
        <v>29</v>
      </c>
      <c r="Q6066">
        <v>37</v>
      </c>
      <c r="R6066">
        <v>-99.999999000000003</v>
      </c>
    </row>
    <row r="6067" spans="1:18" x14ac:dyDescent="0.2">
      <c r="A6067" t="s">
        <v>439</v>
      </c>
      <c r="B6067" t="s">
        <v>3094</v>
      </c>
      <c r="C6067">
        <v>1</v>
      </c>
      <c r="D6067" s="1">
        <v>44083.866805555554</v>
      </c>
      <c r="E6067" t="s">
        <v>18908</v>
      </c>
      <c r="F6067" t="s">
        <v>442</v>
      </c>
      <c r="G6067" t="s">
        <v>18909</v>
      </c>
      <c r="H6067" t="s">
        <v>444</v>
      </c>
      <c r="I6067" t="s">
        <v>29</v>
      </c>
      <c r="J6067">
        <v>1</v>
      </c>
      <c r="K6067">
        <f>1-888-984-3213</f>
        <v>-5084</v>
      </c>
      <c r="L6067" t="s">
        <v>18910</v>
      </c>
      <c r="M6067" t="s">
        <v>18911</v>
      </c>
      <c r="N6067" t="s">
        <v>213</v>
      </c>
      <c r="O6067" t="s">
        <v>28</v>
      </c>
      <c r="P6067" t="s">
        <v>2268</v>
      </c>
      <c r="Q6067">
        <v>46</v>
      </c>
      <c r="R6067">
        <v>-73.567300000000003</v>
      </c>
    </row>
    <row r="6068" spans="1:18" x14ac:dyDescent="0.2">
      <c r="A6068" t="s">
        <v>663</v>
      </c>
      <c r="B6068" t="s">
        <v>4281</v>
      </c>
      <c r="C6068">
        <v>1</v>
      </c>
      <c r="D6068" s="1">
        <v>44083.869398148148</v>
      </c>
      <c r="E6068" t="s">
        <v>18912</v>
      </c>
      <c r="F6068" t="s">
        <v>666</v>
      </c>
      <c r="G6068" t="s">
        <v>18912</v>
      </c>
      <c r="H6068" t="s">
        <v>667</v>
      </c>
      <c r="I6068" t="s">
        <v>29</v>
      </c>
      <c r="J6068">
        <v>1</v>
      </c>
      <c r="K6068">
        <f>1-888-506-669</f>
        <v>-2062</v>
      </c>
      <c r="L6068" t="s">
        <v>18913</v>
      </c>
      <c r="M6068" t="s">
        <v>18914</v>
      </c>
      <c r="N6068">
        <v>96</v>
      </c>
      <c r="O6068" t="s">
        <v>134</v>
      </c>
      <c r="P6068" t="s">
        <v>24</v>
      </c>
      <c r="Q6068">
        <v>50</v>
      </c>
      <c r="R6068">
        <v>8.6843000000000004</v>
      </c>
    </row>
    <row r="6069" spans="1:18" x14ac:dyDescent="0.2">
      <c r="A6069" t="s">
        <v>663</v>
      </c>
      <c r="B6069" t="s">
        <v>4281</v>
      </c>
      <c r="C6069">
        <v>1</v>
      </c>
      <c r="D6069" s="1">
        <v>44083.871099537035</v>
      </c>
      <c r="E6069" t="s">
        <v>18915</v>
      </c>
      <c r="F6069" t="s">
        <v>666</v>
      </c>
      <c r="G6069" t="s">
        <v>18915</v>
      </c>
      <c r="H6069" t="s">
        <v>667</v>
      </c>
      <c r="I6069" t="s">
        <v>29</v>
      </c>
      <c r="J6069">
        <v>1</v>
      </c>
      <c r="K6069">
        <f>1-888-506-669</f>
        <v>-2062</v>
      </c>
      <c r="L6069" t="s">
        <v>18916</v>
      </c>
      <c r="M6069" t="s">
        <v>18917</v>
      </c>
      <c r="N6069">
        <v>166</v>
      </c>
      <c r="O6069" t="s">
        <v>134</v>
      </c>
      <c r="P6069" t="s">
        <v>24</v>
      </c>
      <c r="Q6069">
        <v>50</v>
      </c>
      <c r="R6069">
        <v>8.6843000000000004</v>
      </c>
    </row>
    <row r="6070" spans="1:18" x14ac:dyDescent="0.2">
      <c r="A6070" t="s">
        <v>270</v>
      </c>
      <c r="B6070" t="s">
        <v>271</v>
      </c>
      <c r="C6070">
        <v>1</v>
      </c>
      <c r="D6070" s="1">
        <v>44362.089016203703</v>
      </c>
      <c r="E6070" t="s">
        <v>18918</v>
      </c>
      <c r="F6070" t="s">
        <v>273</v>
      </c>
      <c r="G6070" t="s">
        <v>18919</v>
      </c>
      <c r="H6070" t="s">
        <v>275</v>
      </c>
      <c r="I6070" t="s">
        <v>29</v>
      </c>
      <c r="J6070">
        <v>1</v>
      </c>
      <c r="K6070">
        <f>1-804-476-776</f>
        <v>-2055</v>
      </c>
      <c r="L6070" t="s">
        <v>18920</v>
      </c>
      <c r="M6070" t="s">
        <v>18921</v>
      </c>
      <c r="N6070" t="s">
        <v>278</v>
      </c>
      <c r="O6070" t="s">
        <v>28</v>
      </c>
      <c r="P6070" t="s">
        <v>29</v>
      </c>
      <c r="Q6070">
        <v>42</v>
      </c>
      <c r="R6070">
        <v>-93.620800000000003</v>
      </c>
    </row>
    <row r="6071" spans="1:18" x14ac:dyDescent="0.2">
      <c r="A6071" t="s">
        <v>270</v>
      </c>
      <c r="B6071" t="s">
        <v>271</v>
      </c>
      <c r="C6071">
        <v>1</v>
      </c>
      <c r="D6071" s="1">
        <v>44362.088958333334</v>
      </c>
      <c r="E6071" t="s">
        <v>18922</v>
      </c>
      <c r="F6071" t="s">
        <v>273</v>
      </c>
      <c r="G6071" t="s">
        <v>18919</v>
      </c>
      <c r="H6071" t="s">
        <v>275</v>
      </c>
      <c r="I6071" t="s">
        <v>29</v>
      </c>
      <c r="J6071">
        <v>1</v>
      </c>
      <c r="K6071">
        <f>1-804-476-776</f>
        <v>-2055</v>
      </c>
      <c r="L6071" t="s">
        <v>18923</v>
      </c>
      <c r="M6071" t="s">
        <v>18924</v>
      </c>
      <c r="N6071" t="s">
        <v>278</v>
      </c>
      <c r="O6071" t="s">
        <v>28</v>
      </c>
      <c r="P6071" t="s">
        <v>29</v>
      </c>
      <c r="Q6071">
        <v>42</v>
      </c>
      <c r="R6071">
        <v>-93.620800000000003</v>
      </c>
    </row>
    <row r="6072" spans="1:18" x14ac:dyDescent="0.2">
      <c r="A6072" t="s">
        <v>270</v>
      </c>
      <c r="B6072" t="s">
        <v>271</v>
      </c>
      <c r="C6072">
        <v>1</v>
      </c>
      <c r="D6072" s="1">
        <v>44362.088900462964</v>
      </c>
      <c r="E6072" t="s">
        <v>18925</v>
      </c>
      <c r="F6072" t="s">
        <v>273</v>
      </c>
      <c r="G6072" t="s">
        <v>18919</v>
      </c>
      <c r="H6072" t="s">
        <v>275</v>
      </c>
      <c r="I6072" t="s">
        <v>29</v>
      </c>
      <c r="J6072">
        <v>1</v>
      </c>
      <c r="K6072">
        <f>1-804-476-776</f>
        <v>-2055</v>
      </c>
      <c r="L6072" t="s">
        <v>18926</v>
      </c>
      <c r="M6072" t="s">
        <v>18927</v>
      </c>
      <c r="N6072" t="s">
        <v>278</v>
      </c>
      <c r="O6072" t="s">
        <v>28</v>
      </c>
      <c r="P6072" t="s">
        <v>29</v>
      </c>
      <c r="Q6072">
        <v>42</v>
      </c>
      <c r="R6072">
        <v>-93.620800000000003</v>
      </c>
    </row>
    <row r="6073" spans="1:18" x14ac:dyDescent="0.2">
      <c r="A6073" t="s">
        <v>270</v>
      </c>
      <c r="B6073" t="s">
        <v>271</v>
      </c>
      <c r="C6073">
        <v>1</v>
      </c>
      <c r="D6073" s="1">
        <v>44362.088842592595</v>
      </c>
      <c r="E6073" t="s">
        <v>18928</v>
      </c>
      <c r="F6073" t="s">
        <v>273</v>
      </c>
      <c r="G6073" t="s">
        <v>18919</v>
      </c>
      <c r="H6073" t="s">
        <v>275</v>
      </c>
      <c r="I6073" t="s">
        <v>29</v>
      </c>
      <c r="J6073">
        <v>1</v>
      </c>
      <c r="K6073">
        <f>1-804-476-776</f>
        <v>-2055</v>
      </c>
      <c r="L6073" t="s">
        <v>18929</v>
      </c>
      <c r="M6073" t="s">
        <v>18930</v>
      </c>
      <c r="N6073" t="s">
        <v>278</v>
      </c>
      <c r="O6073" t="s">
        <v>28</v>
      </c>
      <c r="P6073" t="s">
        <v>29</v>
      </c>
      <c r="Q6073">
        <v>42</v>
      </c>
      <c r="R6073">
        <v>-93.620800000000003</v>
      </c>
    </row>
    <row r="6074" spans="1:18" x14ac:dyDescent="0.2">
      <c r="A6074" t="s">
        <v>270</v>
      </c>
      <c r="B6074" t="s">
        <v>271</v>
      </c>
      <c r="C6074">
        <v>1</v>
      </c>
      <c r="D6074" s="1">
        <v>44362.088796296295</v>
      </c>
      <c r="E6074" t="s">
        <v>18931</v>
      </c>
      <c r="F6074" t="s">
        <v>273</v>
      </c>
      <c r="G6074" t="s">
        <v>18919</v>
      </c>
      <c r="H6074" t="s">
        <v>275</v>
      </c>
      <c r="I6074" t="s">
        <v>29</v>
      </c>
      <c r="J6074">
        <v>1</v>
      </c>
      <c r="K6074">
        <f>1-804-476-776</f>
        <v>-2055</v>
      </c>
      <c r="L6074" t="s">
        <v>18932</v>
      </c>
      <c r="M6074" t="s">
        <v>18933</v>
      </c>
      <c r="N6074" t="s">
        <v>278</v>
      </c>
      <c r="O6074" t="s">
        <v>28</v>
      </c>
      <c r="P6074" t="s">
        <v>29</v>
      </c>
      <c r="Q6074">
        <v>42</v>
      </c>
      <c r="R6074">
        <v>-93.620800000000003</v>
      </c>
    </row>
    <row r="6075" spans="1:18" x14ac:dyDescent="0.2">
      <c r="A6075" t="s">
        <v>270</v>
      </c>
      <c r="B6075" t="s">
        <v>271</v>
      </c>
      <c r="C6075">
        <v>1</v>
      </c>
      <c r="D6075" s="1">
        <v>44083.909953703704</v>
      </c>
      <c r="E6075" t="s">
        <v>18934</v>
      </c>
      <c r="F6075" t="s">
        <v>273</v>
      </c>
      <c r="G6075" t="s">
        <v>18919</v>
      </c>
      <c r="H6075" t="s">
        <v>275</v>
      </c>
      <c r="I6075" t="s">
        <v>29</v>
      </c>
      <c r="J6075">
        <v>1</v>
      </c>
      <c r="K6075">
        <f>1-888-585-4129</f>
        <v>-5601</v>
      </c>
      <c r="L6075" t="s">
        <v>18935</v>
      </c>
      <c r="M6075" t="s">
        <v>18936</v>
      </c>
      <c r="N6075" t="s">
        <v>278</v>
      </c>
      <c r="O6075" t="s">
        <v>28</v>
      </c>
      <c r="P6075" t="s">
        <v>29</v>
      </c>
      <c r="Q6075">
        <v>42</v>
      </c>
      <c r="R6075">
        <v>-93.620800000000003</v>
      </c>
    </row>
    <row r="6076" spans="1:18" x14ac:dyDescent="0.2">
      <c r="A6076" t="s">
        <v>439</v>
      </c>
      <c r="B6076" t="s">
        <v>3094</v>
      </c>
      <c r="C6076">
        <v>1</v>
      </c>
      <c r="D6076" s="1">
        <v>44083.917800925927</v>
      </c>
      <c r="E6076" t="s">
        <v>18937</v>
      </c>
      <c r="F6076" t="s">
        <v>442</v>
      </c>
      <c r="G6076" t="s">
        <v>18938</v>
      </c>
      <c r="H6076" t="s">
        <v>444</v>
      </c>
      <c r="I6076" t="s">
        <v>29</v>
      </c>
      <c r="J6076">
        <v>1</v>
      </c>
      <c r="K6076">
        <f>1-888-984-3213</f>
        <v>-5084</v>
      </c>
      <c r="L6076" t="s">
        <v>18939</v>
      </c>
      <c r="M6076" t="s">
        <v>18940</v>
      </c>
      <c r="N6076" t="s">
        <v>17019</v>
      </c>
      <c r="O6076" t="s">
        <v>28</v>
      </c>
      <c r="P6076" t="s">
        <v>2268</v>
      </c>
      <c r="Q6076">
        <v>46</v>
      </c>
      <c r="R6076">
        <v>-73.567300000000003</v>
      </c>
    </row>
    <row r="6077" spans="1:18" x14ac:dyDescent="0.2">
      <c r="A6077" t="s">
        <v>663</v>
      </c>
      <c r="B6077" t="s">
        <v>4281</v>
      </c>
      <c r="C6077">
        <v>1</v>
      </c>
      <c r="D6077" s="1">
        <v>44083.918182870373</v>
      </c>
      <c r="E6077" t="s">
        <v>18941</v>
      </c>
      <c r="F6077" t="s">
        <v>666</v>
      </c>
      <c r="G6077" t="s">
        <v>18941</v>
      </c>
      <c r="H6077" t="s">
        <v>667</v>
      </c>
      <c r="I6077" t="s">
        <v>29</v>
      </c>
      <c r="J6077">
        <v>1</v>
      </c>
      <c r="K6077">
        <f>1-888-506-669</f>
        <v>-2062</v>
      </c>
      <c r="L6077" t="s">
        <v>18942</v>
      </c>
      <c r="M6077" t="s">
        <v>18943</v>
      </c>
      <c r="N6077">
        <v>227</v>
      </c>
      <c r="O6077" t="s">
        <v>134</v>
      </c>
      <c r="P6077" t="s">
        <v>24</v>
      </c>
      <c r="Q6077">
        <v>50</v>
      </c>
      <c r="R6077">
        <v>8.6843000000000004</v>
      </c>
    </row>
    <row r="6078" spans="1:18" x14ac:dyDescent="0.2">
      <c r="A6078" t="s">
        <v>663</v>
      </c>
      <c r="B6078" t="s">
        <v>664</v>
      </c>
      <c r="C6078">
        <v>1</v>
      </c>
      <c r="D6078" s="1">
        <v>44083.920960648145</v>
      </c>
      <c r="E6078" t="s">
        <v>18944</v>
      </c>
      <c r="F6078" t="s">
        <v>666</v>
      </c>
      <c r="G6078" t="s">
        <v>18945</v>
      </c>
      <c r="H6078" t="s">
        <v>667</v>
      </c>
      <c r="I6078" t="s">
        <v>29</v>
      </c>
      <c r="J6078">
        <v>1</v>
      </c>
      <c r="K6078">
        <f>1-844-314-1906</f>
        <v>-3063</v>
      </c>
      <c r="L6078" t="s">
        <v>18946</v>
      </c>
      <c r="M6078" t="s">
        <v>18947</v>
      </c>
      <c r="N6078" t="s">
        <v>1645</v>
      </c>
      <c r="O6078" t="s">
        <v>28</v>
      </c>
      <c r="P6078" t="s">
        <v>29</v>
      </c>
      <c r="Q6078">
        <v>37</v>
      </c>
      <c r="R6078">
        <v>-99.999999000000003</v>
      </c>
    </row>
    <row r="6079" spans="1:18" x14ac:dyDescent="0.2">
      <c r="A6079" t="s">
        <v>439</v>
      </c>
      <c r="B6079" t="s">
        <v>3094</v>
      </c>
      <c r="C6079">
        <v>1</v>
      </c>
      <c r="D6079" s="1">
        <v>44086.925312500003</v>
      </c>
      <c r="E6079" t="s">
        <v>18948</v>
      </c>
      <c r="F6079" t="s">
        <v>442</v>
      </c>
      <c r="G6079" t="s">
        <v>18949</v>
      </c>
      <c r="H6079" t="s">
        <v>444</v>
      </c>
      <c r="I6079" t="s">
        <v>29</v>
      </c>
      <c r="J6079">
        <v>1</v>
      </c>
      <c r="K6079">
        <f>1-888-210-2717</f>
        <v>-3814</v>
      </c>
      <c r="L6079" t="s">
        <v>18950</v>
      </c>
      <c r="M6079" t="s">
        <v>18951</v>
      </c>
      <c r="N6079" t="s">
        <v>1645</v>
      </c>
      <c r="O6079" t="s">
        <v>28</v>
      </c>
      <c r="P6079" t="s">
        <v>2268</v>
      </c>
      <c r="Q6079">
        <v>46</v>
      </c>
      <c r="R6079">
        <v>-73.567300000000003</v>
      </c>
    </row>
    <row r="6080" spans="1:18" x14ac:dyDescent="0.2">
      <c r="A6080" t="s">
        <v>663</v>
      </c>
      <c r="B6080" t="s">
        <v>4281</v>
      </c>
      <c r="C6080">
        <v>1</v>
      </c>
      <c r="D6080" s="1">
        <v>44083.966446759259</v>
      </c>
      <c r="E6080" t="s">
        <v>18952</v>
      </c>
      <c r="F6080" t="s">
        <v>666</v>
      </c>
      <c r="G6080" t="s">
        <v>18952</v>
      </c>
      <c r="H6080" t="s">
        <v>667</v>
      </c>
      <c r="I6080" t="s">
        <v>29</v>
      </c>
      <c r="J6080">
        <v>1</v>
      </c>
      <c r="K6080">
        <f>1-866-292-2318</f>
        <v>-3475</v>
      </c>
      <c r="L6080" t="s">
        <v>18953</v>
      </c>
      <c r="M6080" t="s">
        <v>18954</v>
      </c>
      <c r="N6080">
        <v>42</v>
      </c>
      <c r="O6080" t="s">
        <v>134</v>
      </c>
      <c r="P6080" t="s">
        <v>24</v>
      </c>
      <c r="Q6080">
        <v>50</v>
      </c>
      <c r="R6080">
        <v>8.6843000000000004</v>
      </c>
    </row>
    <row r="6081" spans="1:18" x14ac:dyDescent="0.2">
      <c r="A6081" t="s">
        <v>2349</v>
      </c>
      <c r="B6081" t="s">
        <v>4667</v>
      </c>
      <c r="C6081">
        <v>49</v>
      </c>
      <c r="D6081" s="1">
        <v>44084.448275462964</v>
      </c>
      <c r="E6081" t="s">
        <v>18955</v>
      </c>
      <c r="F6081" t="s">
        <v>2352</v>
      </c>
      <c r="G6081" t="s">
        <v>18955</v>
      </c>
      <c r="H6081" t="s">
        <v>2353</v>
      </c>
      <c r="I6081" t="s">
        <v>24</v>
      </c>
      <c r="J6081">
        <v>49</v>
      </c>
      <c r="K6081">
        <f>49-322-1112-1845</f>
        <v>-3230</v>
      </c>
      <c r="L6081" t="s">
        <v>18956</v>
      </c>
      <c r="M6081" t="s">
        <v>18957</v>
      </c>
      <c r="N6081">
        <v>67</v>
      </c>
      <c r="O6081" t="s">
        <v>134</v>
      </c>
      <c r="P6081" t="s">
        <v>53</v>
      </c>
      <c r="Q6081">
        <v>36</v>
      </c>
      <c r="R6081">
        <v>99.999999000000003</v>
      </c>
    </row>
    <row r="6082" spans="1:18" x14ac:dyDescent="0.2">
      <c r="A6082" t="s">
        <v>18889</v>
      </c>
      <c r="B6082" t="s">
        <v>676</v>
      </c>
      <c r="C6082">
        <v>1</v>
      </c>
      <c r="D6082" s="1">
        <v>44084.750937500001</v>
      </c>
      <c r="E6082" t="s">
        <v>18958</v>
      </c>
      <c r="F6082" t="s">
        <v>18891</v>
      </c>
      <c r="G6082" t="s">
        <v>18958</v>
      </c>
      <c r="H6082" t="s">
        <v>18892</v>
      </c>
      <c r="I6082" t="s">
        <v>29</v>
      </c>
      <c r="J6082">
        <v>1</v>
      </c>
      <c r="K6082">
        <f>1-844-222-252</f>
        <v>-1317</v>
      </c>
      <c r="L6082" t="s">
        <v>18959</v>
      </c>
      <c r="M6082" t="s">
        <v>18960</v>
      </c>
      <c r="N6082">
        <v>53</v>
      </c>
      <c r="O6082" t="s">
        <v>134</v>
      </c>
      <c r="P6082" t="s">
        <v>29</v>
      </c>
      <c r="Q6082">
        <v>33</v>
      </c>
      <c r="R6082">
        <v>-99.999999000000003</v>
      </c>
    </row>
    <row r="6083" spans="1:18" x14ac:dyDescent="0.2">
      <c r="A6083" t="s">
        <v>439</v>
      </c>
      <c r="B6083" t="s">
        <v>3094</v>
      </c>
      <c r="C6083">
        <v>1</v>
      </c>
      <c r="D6083" s="1">
        <v>44087.630335648151</v>
      </c>
      <c r="E6083" t="s">
        <v>18961</v>
      </c>
      <c r="F6083" t="s">
        <v>442</v>
      </c>
      <c r="G6083" t="s">
        <v>18962</v>
      </c>
      <c r="H6083" t="s">
        <v>444</v>
      </c>
      <c r="I6083" t="s">
        <v>29</v>
      </c>
      <c r="J6083">
        <v>1</v>
      </c>
      <c r="K6083">
        <f>1-888-210-2717</f>
        <v>-3814</v>
      </c>
      <c r="L6083" t="s">
        <v>18963</v>
      </c>
      <c r="M6083" t="s">
        <v>18964</v>
      </c>
      <c r="N6083" t="s">
        <v>5354</v>
      </c>
      <c r="O6083" t="s">
        <v>28</v>
      </c>
      <c r="P6083" t="s">
        <v>2268</v>
      </c>
      <c r="Q6083">
        <v>46</v>
      </c>
      <c r="R6083">
        <v>-73.567300000000003</v>
      </c>
    </row>
    <row r="6084" spans="1:18" x14ac:dyDescent="0.2">
      <c r="A6084" t="s">
        <v>439</v>
      </c>
      <c r="B6084" t="s">
        <v>3094</v>
      </c>
      <c r="C6084">
        <v>1</v>
      </c>
      <c r="D6084" s="1">
        <v>44086.926689814813</v>
      </c>
      <c r="E6084" t="s">
        <v>18961</v>
      </c>
      <c r="F6084" t="s">
        <v>442</v>
      </c>
      <c r="G6084" t="s">
        <v>18962</v>
      </c>
      <c r="H6084" t="s">
        <v>444</v>
      </c>
      <c r="I6084" t="s">
        <v>29</v>
      </c>
      <c r="J6084">
        <v>1</v>
      </c>
      <c r="K6084">
        <f>1-888-225-2655</f>
        <v>-3767</v>
      </c>
      <c r="L6084" t="s">
        <v>18965</v>
      </c>
      <c r="M6084" t="s">
        <v>18966</v>
      </c>
      <c r="N6084" t="s">
        <v>5354</v>
      </c>
      <c r="O6084" t="s">
        <v>28</v>
      </c>
      <c r="P6084" t="s">
        <v>2268</v>
      </c>
      <c r="Q6084">
        <v>46</v>
      </c>
      <c r="R6084">
        <v>-73.567300000000003</v>
      </c>
    </row>
    <row r="6085" spans="1:18" x14ac:dyDescent="0.2">
      <c r="A6085" t="s">
        <v>439</v>
      </c>
      <c r="B6085" t="s">
        <v>3094</v>
      </c>
      <c r="C6085">
        <v>1</v>
      </c>
      <c r="D6085" s="1">
        <v>44084.780347222222</v>
      </c>
      <c r="E6085" t="s">
        <v>18967</v>
      </c>
      <c r="F6085" t="s">
        <v>442</v>
      </c>
      <c r="G6085" t="s">
        <v>18968</v>
      </c>
      <c r="H6085" t="s">
        <v>444</v>
      </c>
      <c r="I6085" t="s">
        <v>29</v>
      </c>
      <c r="J6085">
        <v>1</v>
      </c>
      <c r="K6085">
        <f>1-844-306-8754</f>
        <v>-9903</v>
      </c>
      <c r="L6085" t="s">
        <v>18969</v>
      </c>
      <c r="M6085" t="s">
        <v>18970</v>
      </c>
      <c r="N6085" t="s">
        <v>6329</v>
      </c>
      <c r="O6085" t="s">
        <v>28</v>
      </c>
      <c r="P6085" t="s">
        <v>2268</v>
      </c>
      <c r="Q6085">
        <v>46</v>
      </c>
      <c r="R6085">
        <v>-73.567300000000003</v>
      </c>
    </row>
    <row r="6086" spans="1:18" x14ac:dyDescent="0.2">
      <c r="A6086" t="s">
        <v>2233</v>
      </c>
      <c r="B6086" t="s">
        <v>2234</v>
      </c>
      <c r="C6086">
        <v>1</v>
      </c>
      <c r="D6086" s="1">
        <v>44084.783379629633</v>
      </c>
      <c r="E6086" t="s">
        <v>18971</v>
      </c>
      <c r="F6086" t="s">
        <v>2236</v>
      </c>
      <c r="G6086" t="s">
        <v>18971</v>
      </c>
      <c r="H6086" t="s">
        <v>2237</v>
      </c>
      <c r="I6086" t="s">
        <v>29</v>
      </c>
      <c r="J6086">
        <v>1</v>
      </c>
      <c r="K6086">
        <f>1-888-303-885</f>
        <v>-2075</v>
      </c>
      <c r="L6086" t="s">
        <v>18972</v>
      </c>
      <c r="M6086" t="s">
        <v>18973</v>
      </c>
      <c r="N6086">
        <v>75</v>
      </c>
      <c r="O6086" t="s">
        <v>134</v>
      </c>
      <c r="P6086" t="s">
        <v>29</v>
      </c>
      <c r="Q6086">
        <v>40</v>
      </c>
      <c r="R6086">
        <v>-83.114099999999993</v>
      </c>
    </row>
    <row r="6087" spans="1:18" x14ac:dyDescent="0.2">
      <c r="A6087" t="s">
        <v>439</v>
      </c>
      <c r="B6087" t="s">
        <v>3094</v>
      </c>
      <c r="C6087">
        <v>1</v>
      </c>
      <c r="D6087" s="1">
        <v>44086.963645833333</v>
      </c>
      <c r="E6087" t="s">
        <v>18974</v>
      </c>
      <c r="F6087" t="s">
        <v>442</v>
      </c>
      <c r="G6087" t="s">
        <v>18975</v>
      </c>
      <c r="H6087" t="s">
        <v>444</v>
      </c>
      <c r="I6087" t="s">
        <v>29</v>
      </c>
      <c r="J6087">
        <v>1</v>
      </c>
      <c r="K6087">
        <f>1-888-210-2717</f>
        <v>-3814</v>
      </c>
      <c r="L6087" t="s">
        <v>18976</v>
      </c>
      <c r="M6087" t="s">
        <v>18977</v>
      </c>
      <c r="N6087" t="s">
        <v>1645</v>
      </c>
      <c r="O6087" t="s">
        <v>28</v>
      </c>
      <c r="P6087" t="s">
        <v>2268</v>
      </c>
      <c r="Q6087">
        <v>46</v>
      </c>
      <c r="R6087">
        <v>-73.567300000000003</v>
      </c>
    </row>
    <row r="6088" spans="1:18" x14ac:dyDescent="0.2">
      <c r="A6088" t="s">
        <v>439</v>
      </c>
      <c r="B6088" t="s">
        <v>3094</v>
      </c>
      <c r="C6088">
        <v>1</v>
      </c>
      <c r="D6088" s="1">
        <v>44086.973807870374</v>
      </c>
      <c r="E6088" t="s">
        <v>18978</v>
      </c>
      <c r="F6088" t="s">
        <v>442</v>
      </c>
      <c r="G6088" t="s">
        <v>18979</v>
      </c>
      <c r="H6088" t="s">
        <v>444</v>
      </c>
      <c r="I6088" t="s">
        <v>29</v>
      </c>
      <c r="J6088">
        <v>1</v>
      </c>
      <c r="K6088">
        <f>1-888-210-2717</f>
        <v>-3814</v>
      </c>
      <c r="L6088" t="s">
        <v>18980</v>
      </c>
      <c r="M6088" t="s">
        <v>18981</v>
      </c>
      <c r="N6088" t="s">
        <v>278</v>
      </c>
      <c r="O6088" t="s">
        <v>28</v>
      </c>
      <c r="P6088" t="s">
        <v>2268</v>
      </c>
      <c r="Q6088">
        <v>46</v>
      </c>
      <c r="R6088">
        <v>-73.567300000000003</v>
      </c>
    </row>
    <row r="6089" spans="1:18" x14ac:dyDescent="0.2">
      <c r="A6089" t="s">
        <v>663</v>
      </c>
      <c r="B6089" t="s">
        <v>4281</v>
      </c>
      <c r="C6089">
        <v>1</v>
      </c>
      <c r="D6089" s="1">
        <v>44087.789687500001</v>
      </c>
      <c r="E6089" t="s">
        <v>18982</v>
      </c>
      <c r="F6089" t="s">
        <v>666</v>
      </c>
      <c r="G6089" t="s">
        <v>18982</v>
      </c>
      <c r="H6089" t="s">
        <v>667</v>
      </c>
      <c r="I6089" t="s">
        <v>29</v>
      </c>
      <c r="J6089">
        <v>1</v>
      </c>
      <c r="K6089">
        <f>1-844-313-3749</f>
        <v>-4905</v>
      </c>
      <c r="L6089" t="s">
        <v>18983</v>
      </c>
      <c r="M6089" t="s">
        <v>18984</v>
      </c>
      <c r="N6089">
        <v>47</v>
      </c>
      <c r="O6089" t="s">
        <v>134</v>
      </c>
      <c r="P6089" t="s">
        <v>24</v>
      </c>
      <c r="Q6089">
        <v>50</v>
      </c>
      <c r="R6089">
        <v>8.6843000000000004</v>
      </c>
    </row>
    <row r="6090" spans="1:18" x14ac:dyDescent="0.2">
      <c r="A6090" t="s">
        <v>439</v>
      </c>
      <c r="B6090" t="s">
        <v>3094</v>
      </c>
      <c r="C6090">
        <v>1</v>
      </c>
      <c r="D6090" s="1">
        <v>44088.948599537034</v>
      </c>
      <c r="E6090" t="s">
        <v>18985</v>
      </c>
      <c r="F6090" t="s">
        <v>442</v>
      </c>
      <c r="G6090" t="s">
        <v>18986</v>
      </c>
      <c r="H6090" t="s">
        <v>444</v>
      </c>
      <c r="I6090" t="s">
        <v>29</v>
      </c>
      <c r="J6090">
        <v>1</v>
      </c>
      <c r="K6090">
        <f>1-888-396-4092</f>
        <v>-5375</v>
      </c>
      <c r="L6090" t="s">
        <v>18987</v>
      </c>
      <c r="M6090" t="s">
        <v>18988</v>
      </c>
      <c r="N6090" t="s">
        <v>36</v>
      </c>
      <c r="O6090" t="s">
        <v>28</v>
      </c>
      <c r="P6090" t="s">
        <v>2268</v>
      </c>
      <c r="Q6090">
        <v>46</v>
      </c>
      <c r="R6090">
        <v>-73.567300000000003</v>
      </c>
    </row>
    <row r="6091" spans="1:18" x14ac:dyDescent="0.2">
      <c r="A6091" t="s">
        <v>439</v>
      </c>
      <c r="B6091" t="s">
        <v>3094</v>
      </c>
      <c r="C6091">
        <v>1</v>
      </c>
      <c r="D6091" s="1">
        <v>44088.859340277777</v>
      </c>
      <c r="E6091" t="s">
        <v>18989</v>
      </c>
      <c r="F6091" t="s">
        <v>442</v>
      </c>
      <c r="G6091" t="s">
        <v>18990</v>
      </c>
      <c r="H6091" t="s">
        <v>444</v>
      </c>
      <c r="I6091" t="s">
        <v>29</v>
      </c>
      <c r="J6091">
        <v>1</v>
      </c>
      <c r="K6091">
        <f>1-888-225-2655</f>
        <v>-3767</v>
      </c>
      <c r="L6091" t="s">
        <v>18991</v>
      </c>
      <c r="M6091" t="s">
        <v>18992</v>
      </c>
      <c r="N6091" t="s">
        <v>5354</v>
      </c>
      <c r="O6091" t="s">
        <v>28</v>
      </c>
      <c r="P6091" t="s">
        <v>2268</v>
      </c>
      <c r="Q6091">
        <v>46</v>
      </c>
      <c r="R6091">
        <v>-73.567300000000003</v>
      </c>
    </row>
    <row r="6092" spans="1:18" x14ac:dyDescent="0.2">
      <c r="A6092" t="s">
        <v>439</v>
      </c>
      <c r="B6092" t="s">
        <v>3094</v>
      </c>
      <c r="C6092">
        <v>1</v>
      </c>
      <c r="D6092" s="1">
        <v>44088.79959490741</v>
      </c>
      <c r="E6092" t="s">
        <v>18989</v>
      </c>
      <c r="F6092" t="s">
        <v>442</v>
      </c>
      <c r="G6092" t="s">
        <v>18990</v>
      </c>
      <c r="H6092" t="s">
        <v>444</v>
      </c>
      <c r="I6092" t="s">
        <v>29</v>
      </c>
      <c r="J6092">
        <v>1</v>
      </c>
      <c r="K6092">
        <f>1-888-202-382</f>
        <v>-1471</v>
      </c>
      <c r="L6092" t="s">
        <v>18993</v>
      </c>
      <c r="M6092" t="s">
        <v>18994</v>
      </c>
      <c r="N6092" t="s">
        <v>5354</v>
      </c>
      <c r="O6092" t="s">
        <v>28</v>
      </c>
      <c r="P6092" t="s">
        <v>2268</v>
      </c>
      <c r="Q6092">
        <v>46</v>
      </c>
      <c r="R6092">
        <v>-73.567300000000003</v>
      </c>
    </row>
    <row r="6093" spans="1:18" x14ac:dyDescent="0.2">
      <c r="A6093" t="s">
        <v>663</v>
      </c>
      <c r="B6093" t="s">
        <v>4281</v>
      </c>
      <c r="C6093">
        <v>1</v>
      </c>
      <c r="D6093" s="1">
        <v>44088.809155092589</v>
      </c>
      <c r="E6093" t="s">
        <v>18995</v>
      </c>
      <c r="F6093" t="s">
        <v>666</v>
      </c>
      <c r="G6093" t="s">
        <v>18995</v>
      </c>
      <c r="H6093" t="s">
        <v>667</v>
      </c>
      <c r="I6093" t="s">
        <v>29</v>
      </c>
      <c r="J6093">
        <v>1</v>
      </c>
      <c r="K6093">
        <f>1-844-703-6116</f>
        <v>-7662</v>
      </c>
      <c r="L6093" t="s">
        <v>18996</v>
      </c>
      <c r="M6093" t="s">
        <v>18997</v>
      </c>
      <c r="N6093">
        <v>154</v>
      </c>
      <c r="O6093" t="s">
        <v>134</v>
      </c>
      <c r="P6093" t="s">
        <v>24</v>
      </c>
      <c r="Q6093">
        <v>50</v>
      </c>
      <c r="R6093">
        <v>8.6843000000000004</v>
      </c>
    </row>
    <row r="6094" spans="1:18" x14ac:dyDescent="0.2">
      <c r="A6094" t="s">
        <v>439</v>
      </c>
      <c r="B6094" t="s">
        <v>3094</v>
      </c>
      <c r="C6094">
        <v>1</v>
      </c>
      <c r="D6094" s="1">
        <v>44088.858194444445</v>
      </c>
      <c r="E6094" t="s">
        <v>18998</v>
      </c>
      <c r="F6094" t="s">
        <v>442</v>
      </c>
      <c r="G6094" t="s">
        <v>18999</v>
      </c>
      <c r="H6094" t="s">
        <v>444</v>
      </c>
      <c r="I6094" t="s">
        <v>29</v>
      </c>
      <c r="J6094">
        <v>1</v>
      </c>
      <c r="K6094">
        <f>1-888-210-5802</f>
        <v>-6899</v>
      </c>
      <c r="L6094" t="s">
        <v>19000</v>
      </c>
      <c r="M6094" t="s">
        <v>19001</v>
      </c>
      <c r="N6094" t="s">
        <v>5354</v>
      </c>
      <c r="O6094" t="s">
        <v>28</v>
      </c>
      <c r="P6094" t="s">
        <v>2268</v>
      </c>
      <c r="Q6094">
        <v>46</v>
      </c>
      <c r="R6094">
        <v>-73.567300000000003</v>
      </c>
    </row>
    <row r="6095" spans="1:18" x14ac:dyDescent="0.2">
      <c r="A6095" t="s">
        <v>2233</v>
      </c>
      <c r="B6095" t="s">
        <v>2500</v>
      </c>
      <c r="C6095">
        <v>1</v>
      </c>
      <c r="D6095" s="1">
        <v>44088.899722222224</v>
      </c>
      <c r="E6095" t="s">
        <v>17586</v>
      </c>
      <c r="F6095" t="s">
        <v>2236</v>
      </c>
      <c r="G6095" t="s">
        <v>19002</v>
      </c>
      <c r="H6095" t="s">
        <v>2237</v>
      </c>
      <c r="I6095" t="s">
        <v>29</v>
      </c>
      <c r="J6095">
        <v>1</v>
      </c>
      <c r="K6095">
        <f>1-855-789-393</f>
        <v>-2036</v>
      </c>
      <c r="L6095" t="s">
        <v>19003</v>
      </c>
      <c r="M6095" t="s">
        <v>19004</v>
      </c>
      <c r="N6095" t="s">
        <v>5354</v>
      </c>
      <c r="O6095" t="s">
        <v>28</v>
      </c>
      <c r="P6095" t="s">
        <v>2500</v>
      </c>
      <c r="Q6095">
        <v>1</v>
      </c>
      <c r="R6095">
        <v>99.999999000000003</v>
      </c>
    </row>
    <row r="6096" spans="1:18" x14ac:dyDescent="0.2">
      <c r="A6096" t="s">
        <v>2233</v>
      </c>
      <c r="B6096" t="s">
        <v>4672</v>
      </c>
      <c r="C6096">
        <v>1</v>
      </c>
      <c r="D6096" s="1">
        <v>44088.90315972222</v>
      </c>
      <c r="E6096" t="s">
        <v>19005</v>
      </c>
      <c r="F6096" t="s">
        <v>2236</v>
      </c>
      <c r="G6096" t="s">
        <v>19006</v>
      </c>
      <c r="H6096" t="s">
        <v>2237</v>
      </c>
      <c r="I6096" t="s">
        <v>29</v>
      </c>
      <c r="J6096">
        <v>1</v>
      </c>
      <c r="K6096">
        <f>1-855-737-8706</f>
        <v>-10297</v>
      </c>
      <c r="L6096" t="s">
        <v>19007</v>
      </c>
      <c r="M6096" t="s">
        <v>19008</v>
      </c>
      <c r="N6096" t="s">
        <v>6757</v>
      </c>
      <c r="O6096" t="s">
        <v>28</v>
      </c>
      <c r="P6096" t="s">
        <v>782</v>
      </c>
      <c r="Q6096">
        <v>-34</v>
      </c>
      <c r="R6096">
        <v>99.999999000000003</v>
      </c>
    </row>
    <row r="6097" spans="1:18" x14ac:dyDescent="0.2">
      <c r="A6097" t="s">
        <v>2233</v>
      </c>
      <c r="B6097" t="s">
        <v>2500</v>
      </c>
      <c r="C6097">
        <v>1</v>
      </c>
      <c r="D6097" s="1">
        <v>44088.907037037039</v>
      </c>
      <c r="E6097" t="s">
        <v>17586</v>
      </c>
      <c r="F6097" t="s">
        <v>2236</v>
      </c>
      <c r="G6097" t="s">
        <v>19009</v>
      </c>
      <c r="H6097" t="s">
        <v>2237</v>
      </c>
      <c r="I6097" t="s">
        <v>29</v>
      </c>
      <c r="J6097">
        <v>1</v>
      </c>
      <c r="K6097">
        <f>1-855-737-8706</f>
        <v>-10297</v>
      </c>
      <c r="L6097" t="s">
        <v>19010</v>
      </c>
      <c r="M6097" t="s">
        <v>19011</v>
      </c>
      <c r="N6097" t="s">
        <v>5354</v>
      </c>
      <c r="O6097" t="s">
        <v>28</v>
      </c>
      <c r="P6097" t="s">
        <v>2500</v>
      </c>
      <c r="Q6097">
        <v>1</v>
      </c>
      <c r="R6097">
        <v>99.999999000000003</v>
      </c>
    </row>
    <row r="6098" spans="1:18" x14ac:dyDescent="0.2">
      <c r="A6098" t="s">
        <v>270</v>
      </c>
      <c r="B6098" t="s">
        <v>271</v>
      </c>
      <c r="C6098">
        <v>1</v>
      </c>
      <c r="D6098" s="1">
        <v>44366.914236111108</v>
      </c>
      <c r="E6098" t="s">
        <v>19012</v>
      </c>
      <c r="F6098" t="s">
        <v>273</v>
      </c>
      <c r="G6098" t="s">
        <v>19013</v>
      </c>
      <c r="H6098" t="s">
        <v>275</v>
      </c>
      <c r="I6098" t="s">
        <v>29</v>
      </c>
      <c r="J6098">
        <v>1</v>
      </c>
      <c r="K6098">
        <f>1-740-287-4920</f>
        <v>-5946</v>
      </c>
      <c r="L6098" t="s">
        <v>19014</v>
      </c>
      <c r="M6098" t="s">
        <v>19015</v>
      </c>
      <c r="N6098" t="s">
        <v>278</v>
      </c>
      <c r="O6098" t="s">
        <v>28</v>
      </c>
      <c r="P6098" t="s">
        <v>29</v>
      </c>
      <c r="Q6098">
        <v>42</v>
      </c>
      <c r="R6098">
        <v>-93.620800000000003</v>
      </c>
    </row>
    <row r="6099" spans="1:18" x14ac:dyDescent="0.2">
      <c r="A6099" t="s">
        <v>270</v>
      </c>
      <c r="B6099" t="s">
        <v>271</v>
      </c>
      <c r="C6099">
        <v>1</v>
      </c>
      <c r="D6099" s="1">
        <v>44366.914166666669</v>
      </c>
      <c r="E6099" t="s">
        <v>19016</v>
      </c>
      <c r="F6099" t="s">
        <v>273</v>
      </c>
      <c r="G6099" t="s">
        <v>19013</v>
      </c>
      <c r="H6099" t="s">
        <v>275</v>
      </c>
      <c r="I6099" t="s">
        <v>29</v>
      </c>
      <c r="J6099">
        <v>1</v>
      </c>
      <c r="K6099">
        <f>1-740-287-4920</f>
        <v>-5946</v>
      </c>
      <c r="L6099" t="s">
        <v>19017</v>
      </c>
      <c r="M6099" t="s">
        <v>19018</v>
      </c>
      <c r="N6099" t="s">
        <v>278</v>
      </c>
      <c r="O6099" t="s">
        <v>28</v>
      </c>
      <c r="P6099" t="s">
        <v>29</v>
      </c>
      <c r="Q6099">
        <v>42</v>
      </c>
      <c r="R6099">
        <v>-93.620800000000003</v>
      </c>
    </row>
    <row r="6100" spans="1:18" x14ac:dyDescent="0.2">
      <c r="A6100" t="s">
        <v>270</v>
      </c>
      <c r="B6100" t="s">
        <v>271</v>
      </c>
      <c r="C6100">
        <v>1</v>
      </c>
      <c r="D6100" s="1">
        <v>44366.9141087963</v>
      </c>
      <c r="E6100" t="s">
        <v>19019</v>
      </c>
      <c r="F6100" t="s">
        <v>273</v>
      </c>
      <c r="G6100" t="s">
        <v>19013</v>
      </c>
      <c r="H6100" t="s">
        <v>275</v>
      </c>
      <c r="I6100" t="s">
        <v>29</v>
      </c>
      <c r="J6100">
        <v>1</v>
      </c>
      <c r="K6100">
        <f>1-740-287-4920</f>
        <v>-5946</v>
      </c>
      <c r="L6100" t="s">
        <v>19020</v>
      </c>
      <c r="M6100" t="s">
        <v>19021</v>
      </c>
      <c r="N6100" t="s">
        <v>278</v>
      </c>
      <c r="O6100" t="s">
        <v>28</v>
      </c>
      <c r="P6100" t="s">
        <v>29</v>
      </c>
      <c r="Q6100">
        <v>42</v>
      </c>
      <c r="R6100">
        <v>-93.620800000000003</v>
      </c>
    </row>
    <row r="6101" spans="1:18" x14ac:dyDescent="0.2">
      <c r="A6101" t="s">
        <v>270</v>
      </c>
      <c r="B6101" t="s">
        <v>271</v>
      </c>
      <c r="C6101">
        <v>1</v>
      </c>
      <c r="D6101" s="1">
        <v>44366.914050925923</v>
      </c>
      <c r="E6101" t="s">
        <v>19022</v>
      </c>
      <c r="F6101" t="s">
        <v>273</v>
      </c>
      <c r="G6101" t="s">
        <v>19013</v>
      </c>
      <c r="H6101" t="s">
        <v>275</v>
      </c>
      <c r="I6101" t="s">
        <v>29</v>
      </c>
      <c r="J6101">
        <v>1</v>
      </c>
      <c r="K6101">
        <f>1-740-287-4920</f>
        <v>-5946</v>
      </c>
      <c r="L6101" t="s">
        <v>19023</v>
      </c>
      <c r="M6101" t="s">
        <v>19024</v>
      </c>
      <c r="N6101" t="s">
        <v>278</v>
      </c>
      <c r="O6101" t="s">
        <v>28</v>
      </c>
      <c r="P6101" t="s">
        <v>29</v>
      </c>
      <c r="Q6101">
        <v>42</v>
      </c>
      <c r="R6101">
        <v>-93.620800000000003</v>
      </c>
    </row>
    <row r="6102" spans="1:18" x14ac:dyDescent="0.2">
      <c r="A6102" t="s">
        <v>270</v>
      </c>
      <c r="B6102" t="s">
        <v>271</v>
      </c>
      <c r="C6102">
        <v>1</v>
      </c>
      <c r="D6102" s="1">
        <v>44366.913993055554</v>
      </c>
      <c r="E6102" t="s">
        <v>19025</v>
      </c>
      <c r="F6102" t="s">
        <v>273</v>
      </c>
      <c r="G6102" t="s">
        <v>19013</v>
      </c>
      <c r="H6102" t="s">
        <v>275</v>
      </c>
      <c r="I6102" t="s">
        <v>29</v>
      </c>
      <c r="J6102">
        <v>1</v>
      </c>
      <c r="K6102">
        <f>1-740-287-4920</f>
        <v>-5946</v>
      </c>
      <c r="L6102" t="s">
        <v>19026</v>
      </c>
      <c r="M6102" t="s">
        <v>19027</v>
      </c>
      <c r="N6102" t="s">
        <v>278</v>
      </c>
      <c r="O6102" t="s">
        <v>28</v>
      </c>
      <c r="P6102" t="s">
        <v>29</v>
      </c>
      <c r="Q6102">
        <v>42</v>
      </c>
      <c r="R6102">
        <v>-93.620800000000003</v>
      </c>
    </row>
    <row r="6103" spans="1:18" x14ac:dyDescent="0.2">
      <c r="A6103" t="s">
        <v>270</v>
      </c>
      <c r="B6103" t="s">
        <v>271</v>
      </c>
      <c r="C6103">
        <v>1</v>
      </c>
      <c r="D6103" s="1">
        <v>44365.948842592596</v>
      </c>
      <c r="E6103" t="s">
        <v>19028</v>
      </c>
      <c r="F6103" t="s">
        <v>273</v>
      </c>
      <c r="G6103" t="s">
        <v>19013</v>
      </c>
      <c r="H6103" t="s">
        <v>275</v>
      </c>
      <c r="I6103" t="s">
        <v>29</v>
      </c>
      <c r="J6103">
        <v>1</v>
      </c>
      <c r="K6103">
        <f t="shared" ref="K6103:K6113" si="52">1-614-697-4180</f>
        <v>-5490</v>
      </c>
      <c r="L6103" t="s">
        <v>19029</v>
      </c>
      <c r="M6103" t="s">
        <v>19030</v>
      </c>
      <c r="N6103" t="s">
        <v>278</v>
      </c>
      <c r="O6103" t="s">
        <v>28</v>
      </c>
      <c r="P6103" t="s">
        <v>29</v>
      </c>
      <c r="Q6103">
        <v>42</v>
      </c>
      <c r="R6103">
        <v>-93.620800000000003</v>
      </c>
    </row>
    <row r="6104" spans="1:18" x14ac:dyDescent="0.2">
      <c r="A6104" t="s">
        <v>270</v>
      </c>
      <c r="B6104" t="s">
        <v>271</v>
      </c>
      <c r="C6104">
        <v>1</v>
      </c>
      <c r="D6104" s="1">
        <v>44365.948784722219</v>
      </c>
      <c r="E6104" t="s">
        <v>19031</v>
      </c>
      <c r="F6104" t="s">
        <v>273</v>
      </c>
      <c r="G6104" t="s">
        <v>19013</v>
      </c>
      <c r="H6104" t="s">
        <v>275</v>
      </c>
      <c r="I6104" t="s">
        <v>29</v>
      </c>
      <c r="J6104">
        <v>1</v>
      </c>
      <c r="K6104">
        <f t="shared" si="52"/>
        <v>-5490</v>
      </c>
      <c r="L6104" t="s">
        <v>19032</v>
      </c>
      <c r="M6104" t="s">
        <v>19033</v>
      </c>
      <c r="N6104" t="s">
        <v>278</v>
      </c>
      <c r="O6104" t="s">
        <v>28</v>
      </c>
      <c r="P6104" t="s">
        <v>29</v>
      </c>
      <c r="Q6104">
        <v>42</v>
      </c>
      <c r="R6104">
        <v>-93.620800000000003</v>
      </c>
    </row>
    <row r="6105" spans="1:18" x14ac:dyDescent="0.2">
      <c r="A6105" t="s">
        <v>270</v>
      </c>
      <c r="B6105" t="s">
        <v>271</v>
      </c>
      <c r="C6105">
        <v>1</v>
      </c>
      <c r="D6105" s="1">
        <v>44365.948576388888</v>
      </c>
      <c r="E6105" t="s">
        <v>19034</v>
      </c>
      <c r="F6105" t="s">
        <v>273</v>
      </c>
      <c r="G6105" t="s">
        <v>19013</v>
      </c>
      <c r="H6105" t="s">
        <v>275</v>
      </c>
      <c r="I6105" t="s">
        <v>29</v>
      </c>
      <c r="J6105">
        <v>1</v>
      </c>
      <c r="K6105">
        <f t="shared" si="52"/>
        <v>-5490</v>
      </c>
      <c r="L6105" t="s">
        <v>19035</v>
      </c>
      <c r="M6105" t="s">
        <v>19036</v>
      </c>
      <c r="N6105" t="s">
        <v>278</v>
      </c>
      <c r="O6105" t="s">
        <v>28</v>
      </c>
      <c r="P6105" t="s">
        <v>29</v>
      </c>
      <c r="Q6105">
        <v>42</v>
      </c>
      <c r="R6105">
        <v>-93.620800000000003</v>
      </c>
    </row>
    <row r="6106" spans="1:18" x14ac:dyDescent="0.2">
      <c r="A6106" t="s">
        <v>270</v>
      </c>
      <c r="B6106" t="s">
        <v>271</v>
      </c>
      <c r="C6106">
        <v>1</v>
      </c>
      <c r="D6106" s="1">
        <v>44365.948506944442</v>
      </c>
      <c r="E6106" t="s">
        <v>19037</v>
      </c>
      <c r="F6106" t="s">
        <v>273</v>
      </c>
      <c r="G6106" t="s">
        <v>19013</v>
      </c>
      <c r="H6106" t="s">
        <v>275</v>
      </c>
      <c r="I6106" t="s">
        <v>29</v>
      </c>
      <c r="J6106">
        <v>1</v>
      </c>
      <c r="K6106">
        <f t="shared" si="52"/>
        <v>-5490</v>
      </c>
      <c r="L6106" t="s">
        <v>19038</v>
      </c>
      <c r="M6106" t="s">
        <v>19039</v>
      </c>
      <c r="N6106" t="s">
        <v>278</v>
      </c>
      <c r="O6106" t="s">
        <v>28</v>
      </c>
      <c r="P6106" t="s">
        <v>29</v>
      </c>
      <c r="Q6106">
        <v>42</v>
      </c>
      <c r="R6106">
        <v>-93.620800000000003</v>
      </c>
    </row>
    <row r="6107" spans="1:18" x14ac:dyDescent="0.2">
      <c r="A6107" t="s">
        <v>270</v>
      </c>
      <c r="B6107" t="s">
        <v>271</v>
      </c>
      <c r="C6107">
        <v>1</v>
      </c>
      <c r="D6107" s="1">
        <v>44365.948449074072</v>
      </c>
      <c r="E6107" t="s">
        <v>19040</v>
      </c>
      <c r="F6107" t="s">
        <v>273</v>
      </c>
      <c r="G6107" t="s">
        <v>19013</v>
      </c>
      <c r="H6107" t="s">
        <v>275</v>
      </c>
      <c r="I6107" t="s">
        <v>29</v>
      </c>
      <c r="J6107">
        <v>1</v>
      </c>
      <c r="K6107">
        <f t="shared" si="52"/>
        <v>-5490</v>
      </c>
      <c r="L6107" t="s">
        <v>19041</v>
      </c>
      <c r="M6107" t="s">
        <v>19042</v>
      </c>
      <c r="N6107" t="s">
        <v>278</v>
      </c>
      <c r="O6107" t="s">
        <v>28</v>
      </c>
      <c r="P6107" t="s">
        <v>29</v>
      </c>
      <c r="Q6107">
        <v>42</v>
      </c>
      <c r="R6107">
        <v>-93.620800000000003</v>
      </c>
    </row>
    <row r="6108" spans="1:18" x14ac:dyDescent="0.2">
      <c r="A6108" t="s">
        <v>270</v>
      </c>
      <c r="B6108" t="s">
        <v>271</v>
      </c>
      <c r="C6108">
        <v>1</v>
      </c>
      <c r="D6108" s="1">
        <v>44365.948391203703</v>
      </c>
      <c r="E6108" t="s">
        <v>19043</v>
      </c>
      <c r="F6108" t="s">
        <v>273</v>
      </c>
      <c r="G6108" t="s">
        <v>19013</v>
      </c>
      <c r="H6108" t="s">
        <v>275</v>
      </c>
      <c r="I6108" t="s">
        <v>29</v>
      </c>
      <c r="J6108">
        <v>1</v>
      </c>
      <c r="K6108">
        <f t="shared" si="52"/>
        <v>-5490</v>
      </c>
      <c r="L6108" t="s">
        <v>19044</v>
      </c>
      <c r="M6108" t="s">
        <v>19045</v>
      </c>
      <c r="N6108" t="s">
        <v>278</v>
      </c>
      <c r="O6108" t="s">
        <v>28</v>
      </c>
      <c r="P6108" t="s">
        <v>29</v>
      </c>
      <c r="Q6108">
        <v>42</v>
      </c>
      <c r="R6108">
        <v>-93.620800000000003</v>
      </c>
    </row>
    <row r="6109" spans="1:18" x14ac:dyDescent="0.2">
      <c r="A6109" t="s">
        <v>270</v>
      </c>
      <c r="B6109" t="s">
        <v>271</v>
      </c>
      <c r="C6109">
        <v>1</v>
      </c>
      <c r="D6109" s="1">
        <v>44365.948321759257</v>
      </c>
      <c r="E6109" t="s">
        <v>19046</v>
      </c>
      <c r="F6109" t="s">
        <v>273</v>
      </c>
      <c r="G6109" t="s">
        <v>19013</v>
      </c>
      <c r="H6109" t="s">
        <v>275</v>
      </c>
      <c r="I6109" t="s">
        <v>29</v>
      </c>
      <c r="J6109">
        <v>1</v>
      </c>
      <c r="K6109">
        <f t="shared" si="52"/>
        <v>-5490</v>
      </c>
      <c r="L6109" t="s">
        <v>19047</v>
      </c>
      <c r="M6109" t="s">
        <v>19048</v>
      </c>
      <c r="N6109" t="s">
        <v>278</v>
      </c>
      <c r="O6109" t="s">
        <v>28</v>
      </c>
      <c r="P6109" t="s">
        <v>29</v>
      </c>
      <c r="Q6109">
        <v>42</v>
      </c>
      <c r="R6109">
        <v>-93.620800000000003</v>
      </c>
    </row>
    <row r="6110" spans="1:18" x14ac:dyDescent="0.2">
      <c r="A6110" t="s">
        <v>270</v>
      </c>
      <c r="B6110" t="s">
        <v>271</v>
      </c>
      <c r="C6110">
        <v>1</v>
      </c>
      <c r="D6110" s="1">
        <v>44365.948263888888</v>
      </c>
      <c r="E6110" t="s">
        <v>19049</v>
      </c>
      <c r="F6110" t="s">
        <v>273</v>
      </c>
      <c r="G6110" t="s">
        <v>19013</v>
      </c>
      <c r="H6110" t="s">
        <v>275</v>
      </c>
      <c r="I6110" t="s">
        <v>29</v>
      </c>
      <c r="J6110">
        <v>1</v>
      </c>
      <c r="K6110">
        <f t="shared" si="52"/>
        <v>-5490</v>
      </c>
      <c r="L6110" t="s">
        <v>19050</v>
      </c>
      <c r="M6110" t="s">
        <v>19051</v>
      </c>
      <c r="N6110" t="s">
        <v>278</v>
      </c>
      <c r="O6110" t="s">
        <v>28</v>
      </c>
      <c r="P6110" t="s">
        <v>29</v>
      </c>
      <c r="Q6110">
        <v>42</v>
      </c>
      <c r="R6110">
        <v>-93.620800000000003</v>
      </c>
    </row>
    <row r="6111" spans="1:18" x14ac:dyDescent="0.2">
      <c r="A6111" t="s">
        <v>270</v>
      </c>
      <c r="B6111" t="s">
        <v>271</v>
      </c>
      <c r="C6111">
        <v>1</v>
      </c>
      <c r="D6111" s="1">
        <v>44365.948206018518</v>
      </c>
      <c r="E6111" t="s">
        <v>19052</v>
      </c>
      <c r="F6111" t="s">
        <v>273</v>
      </c>
      <c r="G6111" t="s">
        <v>19013</v>
      </c>
      <c r="H6111" t="s">
        <v>275</v>
      </c>
      <c r="I6111" t="s">
        <v>29</v>
      </c>
      <c r="J6111">
        <v>1</v>
      </c>
      <c r="K6111">
        <f t="shared" si="52"/>
        <v>-5490</v>
      </c>
      <c r="L6111" t="s">
        <v>19053</v>
      </c>
      <c r="M6111" t="s">
        <v>19054</v>
      </c>
      <c r="N6111" t="s">
        <v>278</v>
      </c>
      <c r="O6111" t="s">
        <v>28</v>
      </c>
      <c r="P6111" t="s">
        <v>29</v>
      </c>
      <c r="Q6111">
        <v>42</v>
      </c>
      <c r="R6111">
        <v>-93.620800000000003</v>
      </c>
    </row>
    <row r="6112" spans="1:18" x14ac:dyDescent="0.2">
      <c r="A6112" t="s">
        <v>270</v>
      </c>
      <c r="B6112" t="s">
        <v>271</v>
      </c>
      <c r="C6112">
        <v>1</v>
      </c>
      <c r="D6112" s="1">
        <v>44365.947777777779</v>
      </c>
      <c r="E6112" t="s">
        <v>19055</v>
      </c>
      <c r="F6112" t="s">
        <v>273</v>
      </c>
      <c r="G6112" t="s">
        <v>19013</v>
      </c>
      <c r="H6112" t="s">
        <v>275</v>
      </c>
      <c r="I6112" t="s">
        <v>29</v>
      </c>
      <c r="J6112">
        <v>1</v>
      </c>
      <c r="K6112">
        <f t="shared" si="52"/>
        <v>-5490</v>
      </c>
      <c r="L6112" t="s">
        <v>19056</v>
      </c>
      <c r="M6112" t="s">
        <v>19057</v>
      </c>
      <c r="N6112" t="s">
        <v>278</v>
      </c>
      <c r="O6112" t="s">
        <v>28</v>
      </c>
      <c r="P6112" t="s">
        <v>29</v>
      </c>
      <c r="Q6112">
        <v>42</v>
      </c>
      <c r="R6112">
        <v>-93.620800000000003</v>
      </c>
    </row>
    <row r="6113" spans="1:18" x14ac:dyDescent="0.2">
      <c r="A6113" t="s">
        <v>270</v>
      </c>
      <c r="B6113" t="s">
        <v>271</v>
      </c>
      <c r="C6113">
        <v>1</v>
      </c>
      <c r="D6113" s="1">
        <v>44365.129537037035</v>
      </c>
      <c r="E6113" t="s">
        <v>19058</v>
      </c>
      <c r="F6113" t="s">
        <v>273</v>
      </c>
      <c r="G6113" t="s">
        <v>19013</v>
      </c>
      <c r="H6113" t="s">
        <v>275</v>
      </c>
      <c r="I6113" t="s">
        <v>29</v>
      </c>
      <c r="J6113">
        <v>1</v>
      </c>
      <c r="K6113">
        <f t="shared" si="52"/>
        <v>-5490</v>
      </c>
      <c r="L6113" t="s">
        <v>19059</v>
      </c>
      <c r="M6113" t="s">
        <v>19060</v>
      </c>
      <c r="N6113" t="s">
        <v>278</v>
      </c>
      <c r="O6113" t="s">
        <v>28</v>
      </c>
      <c r="P6113" t="s">
        <v>29</v>
      </c>
      <c r="Q6113">
        <v>42</v>
      </c>
      <c r="R6113">
        <v>-93.620800000000003</v>
      </c>
    </row>
    <row r="6114" spans="1:18" x14ac:dyDescent="0.2">
      <c r="A6114" t="s">
        <v>270</v>
      </c>
      <c r="B6114" t="s">
        <v>271</v>
      </c>
      <c r="C6114">
        <v>1</v>
      </c>
      <c r="D6114" s="1">
        <v>44361.952418981484</v>
      </c>
      <c r="E6114" t="s">
        <v>19061</v>
      </c>
      <c r="F6114" t="s">
        <v>273</v>
      </c>
      <c r="G6114" t="s">
        <v>19013</v>
      </c>
      <c r="H6114" t="s">
        <v>275</v>
      </c>
      <c r="I6114" t="s">
        <v>29</v>
      </c>
      <c r="J6114">
        <v>1</v>
      </c>
      <c r="K6114">
        <f>1-804-223-945</f>
        <v>-1971</v>
      </c>
      <c r="L6114" t="s">
        <v>19062</v>
      </c>
      <c r="M6114" t="s">
        <v>19063</v>
      </c>
      <c r="N6114" t="s">
        <v>278</v>
      </c>
      <c r="O6114" t="s">
        <v>28</v>
      </c>
      <c r="P6114" t="s">
        <v>29</v>
      </c>
      <c r="Q6114">
        <v>42</v>
      </c>
      <c r="R6114">
        <v>-93.620800000000003</v>
      </c>
    </row>
    <row r="6115" spans="1:18" x14ac:dyDescent="0.2">
      <c r="A6115" t="s">
        <v>270</v>
      </c>
      <c r="B6115" t="s">
        <v>271</v>
      </c>
      <c r="C6115">
        <v>1</v>
      </c>
      <c r="D6115" s="1">
        <v>44358.150034722225</v>
      </c>
      <c r="E6115" t="s">
        <v>19064</v>
      </c>
      <c r="F6115" t="s">
        <v>273</v>
      </c>
      <c r="G6115" t="s">
        <v>19013</v>
      </c>
      <c r="H6115" t="s">
        <v>275</v>
      </c>
      <c r="I6115" t="s">
        <v>29</v>
      </c>
      <c r="J6115">
        <v>1</v>
      </c>
      <c r="K6115">
        <f t="shared" ref="K6115:K6120" si="53">1-210-888-9085</f>
        <v>-10182</v>
      </c>
      <c r="L6115" t="s">
        <v>19065</v>
      </c>
      <c r="M6115" t="s">
        <v>19066</v>
      </c>
      <c r="N6115" t="s">
        <v>278</v>
      </c>
      <c r="O6115" t="s">
        <v>28</v>
      </c>
      <c r="P6115" t="s">
        <v>29</v>
      </c>
      <c r="Q6115">
        <v>42</v>
      </c>
      <c r="R6115">
        <v>-93.620800000000003</v>
      </c>
    </row>
    <row r="6116" spans="1:18" x14ac:dyDescent="0.2">
      <c r="A6116" t="s">
        <v>270</v>
      </c>
      <c r="B6116" t="s">
        <v>271</v>
      </c>
      <c r="C6116">
        <v>1</v>
      </c>
      <c r="D6116" s="1">
        <v>44358.013460648152</v>
      </c>
      <c r="E6116" t="s">
        <v>19067</v>
      </c>
      <c r="F6116" t="s">
        <v>273</v>
      </c>
      <c r="G6116" t="s">
        <v>19013</v>
      </c>
      <c r="H6116" t="s">
        <v>275</v>
      </c>
      <c r="I6116" t="s">
        <v>29</v>
      </c>
      <c r="J6116">
        <v>1</v>
      </c>
      <c r="K6116">
        <f t="shared" si="53"/>
        <v>-10182</v>
      </c>
      <c r="L6116" t="s">
        <v>19068</v>
      </c>
      <c r="M6116" t="s">
        <v>19069</v>
      </c>
      <c r="N6116" t="s">
        <v>278</v>
      </c>
      <c r="O6116" t="s">
        <v>28</v>
      </c>
      <c r="P6116" t="s">
        <v>29</v>
      </c>
      <c r="Q6116">
        <v>42</v>
      </c>
      <c r="R6116">
        <v>-93.620800000000003</v>
      </c>
    </row>
    <row r="6117" spans="1:18" x14ac:dyDescent="0.2">
      <c r="A6117" t="s">
        <v>270</v>
      </c>
      <c r="B6117" t="s">
        <v>271</v>
      </c>
      <c r="C6117">
        <v>1</v>
      </c>
      <c r="D6117" s="1">
        <v>44358.013321759259</v>
      </c>
      <c r="E6117" t="s">
        <v>19070</v>
      </c>
      <c r="F6117" t="s">
        <v>273</v>
      </c>
      <c r="G6117" t="s">
        <v>19013</v>
      </c>
      <c r="H6117" t="s">
        <v>275</v>
      </c>
      <c r="I6117" t="s">
        <v>29</v>
      </c>
      <c r="J6117">
        <v>1</v>
      </c>
      <c r="K6117">
        <f t="shared" si="53"/>
        <v>-10182</v>
      </c>
      <c r="L6117" t="s">
        <v>19071</v>
      </c>
      <c r="M6117" t="s">
        <v>19072</v>
      </c>
      <c r="N6117" t="s">
        <v>278</v>
      </c>
      <c r="O6117" t="s">
        <v>28</v>
      </c>
      <c r="P6117" t="s">
        <v>29</v>
      </c>
      <c r="Q6117">
        <v>42</v>
      </c>
      <c r="R6117">
        <v>-93.620800000000003</v>
      </c>
    </row>
    <row r="6118" spans="1:18" x14ac:dyDescent="0.2">
      <c r="A6118" t="s">
        <v>270</v>
      </c>
      <c r="B6118" t="s">
        <v>271</v>
      </c>
      <c r="C6118">
        <v>1</v>
      </c>
      <c r="D6118" s="1">
        <v>44358.013124999998</v>
      </c>
      <c r="E6118" t="s">
        <v>19073</v>
      </c>
      <c r="F6118" t="s">
        <v>273</v>
      </c>
      <c r="G6118" t="s">
        <v>19013</v>
      </c>
      <c r="H6118" t="s">
        <v>275</v>
      </c>
      <c r="I6118" t="s">
        <v>29</v>
      </c>
      <c r="J6118">
        <v>1</v>
      </c>
      <c r="K6118">
        <f t="shared" si="53"/>
        <v>-10182</v>
      </c>
      <c r="L6118" t="s">
        <v>19074</v>
      </c>
      <c r="M6118" t="s">
        <v>19075</v>
      </c>
      <c r="N6118" t="s">
        <v>278</v>
      </c>
      <c r="O6118" t="s">
        <v>28</v>
      </c>
      <c r="P6118" t="s">
        <v>29</v>
      </c>
      <c r="Q6118">
        <v>42</v>
      </c>
      <c r="R6118">
        <v>-93.620800000000003</v>
      </c>
    </row>
    <row r="6119" spans="1:18" x14ac:dyDescent="0.2">
      <c r="A6119" t="s">
        <v>270</v>
      </c>
      <c r="B6119" t="s">
        <v>271</v>
      </c>
      <c r="C6119">
        <v>1</v>
      </c>
      <c r="D6119" s="1">
        <v>44358.012858796297</v>
      </c>
      <c r="E6119" t="s">
        <v>19076</v>
      </c>
      <c r="F6119" t="s">
        <v>273</v>
      </c>
      <c r="G6119" t="s">
        <v>19013</v>
      </c>
      <c r="H6119" t="s">
        <v>275</v>
      </c>
      <c r="I6119" t="s">
        <v>29</v>
      </c>
      <c r="J6119">
        <v>1</v>
      </c>
      <c r="K6119">
        <f t="shared" si="53"/>
        <v>-10182</v>
      </c>
      <c r="L6119" t="s">
        <v>19077</v>
      </c>
      <c r="M6119" t="s">
        <v>19078</v>
      </c>
      <c r="N6119" t="s">
        <v>278</v>
      </c>
      <c r="O6119" t="s">
        <v>28</v>
      </c>
      <c r="P6119" t="s">
        <v>29</v>
      </c>
      <c r="Q6119">
        <v>42</v>
      </c>
      <c r="R6119">
        <v>-93.620800000000003</v>
      </c>
    </row>
    <row r="6120" spans="1:18" x14ac:dyDescent="0.2">
      <c r="A6120" t="s">
        <v>270</v>
      </c>
      <c r="B6120" t="s">
        <v>271</v>
      </c>
      <c r="C6120">
        <v>1</v>
      </c>
      <c r="D6120" s="1">
        <v>44358.012499999997</v>
      </c>
      <c r="E6120" t="s">
        <v>19079</v>
      </c>
      <c r="F6120" t="s">
        <v>273</v>
      </c>
      <c r="G6120" t="s">
        <v>19013</v>
      </c>
      <c r="H6120" t="s">
        <v>275</v>
      </c>
      <c r="I6120" t="s">
        <v>29</v>
      </c>
      <c r="J6120">
        <v>1</v>
      </c>
      <c r="K6120">
        <f t="shared" si="53"/>
        <v>-10182</v>
      </c>
      <c r="L6120" t="s">
        <v>19080</v>
      </c>
      <c r="M6120" t="s">
        <v>19081</v>
      </c>
      <c r="N6120" t="s">
        <v>278</v>
      </c>
      <c r="O6120" t="s">
        <v>28</v>
      </c>
      <c r="P6120" t="s">
        <v>29</v>
      </c>
      <c r="Q6120">
        <v>42</v>
      </c>
      <c r="R6120">
        <v>-93.620800000000003</v>
      </c>
    </row>
    <row r="6121" spans="1:18" x14ac:dyDescent="0.2">
      <c r="A6121" t="s">
        <v>270</v>
      </c>
      <c r="B6121" t="s">
        <v>271</v>
      </c>
      <c r="C6121">
        <v>1</v>
      </c>
      <c r="D6121" s="1">
        <v>44359.088946759257</v>
      </c>
      <c r="E6121" t="s">
        <v>19082</v>
      </c>
      <c r="F6121" t="s">
        <v>273</v>
      </c>
      <c r="G6121" t="s">
        <v>19013</v>
      </c>
      <c r="H6121" t="s">
        <v>275</v>
      </c>
      <c r="I6121" t="s">
        <v>29</v>
      </c>
      <c r="J6121">
        <v>1</v>
      </c>
      <c r="K6121">
        <f>1-573-747-4332</f>
        <v>-5651</v>
      </c>
      <c r="L6121" t="s">
        <v>19083</v>
      </c>
      <c r="M6121" t="s">
        <v>19084</v>
      </c>
      <c r="N6121" t="s">
        <v>278</v>
      </c>
      <c r="O6121" t="s">
        <v>28</v>
      </c>
      <c r="P6121" t="s">
        <v>29</v>
      </c>
      <c r="Q6121">
        <v>42</v>
      </c>
      <c r="R6121">
        <v>-93.620800000000003</v>
      </c>
    </row>
    <row r="6122" spans="1:18" x14ac:dyDescent="0.2">
      <c r="A6122" t="s">
        <v>270</v>
      </c>
      <c r="B6122" t="s">
        <v>271</v>
      </c>
      <c r="C6122">
        <v>1</v>
      </c>
      <c r="D6122" s="1">
        <v>44358.003125000003</v>
      </c>
      <c r="E6122" t="s">
        <v>19085</v>
      </c>
      <c r="F6122" t="s">
        <v>273</v>
      </c>
      <c r="G6122" t="s">
        <v>19013</v>
      </c>
      <c r="H6122" t="s">
        <v>275</v>
      </c>
      <c r="I6122" t="s">
        <v>29</v>
      </c>
      <c r="J6122">
        <v>1</v>
      </c>
      <c r="K6122">
        <f>1-210-888-9085</f>
        <v>-10182</v>
      </c>
      <c r="L6122" t="s">
        <v>19086</v>
      </c>
      <c r="M6122" t="s">
        <v>19087</v>
      </c>
      <c r="N6122" t="s">
        <v>278</v>
      </c>
      <c r="O6122" t="s">
        <v>28</v>
      </c>
      <c r="P6122" t="s">
        <v>29</v>
      </c>
      <c r="Q6122">
        <v>42</v>
      </c>
      <c r="R6122">
        <v>-93.620800000000003</v>
      </c>
    </row>
    <row r="6123" spans="1:18" x14ac:dyDescent="0.2">
      <c r="A6123" t="s">
        <v>270</v>
      </c>
      <c r="B6123" t="s">
        <v>271</v>
      </c>
      <c r="C6123">
        <v>1</v>
      </c>
      <c r="D6123" s="1">
        <v>44359.059525462966</v>
      </c>
      <c r="E6123" t="s">
        <v>19088</v>
      </c>
      <c r="F6123" t="s">
        <v>273</v>
      </c>
      <c r="G6123" t="s">
        <v>19013</v>
      </c>
      <c r="H6123" t="s">
        <v>275</v>
      </c>
      <c r="I6123" t="s">
        <v>29</v>
      </c>
      <c r="J6123">
        <v>1</v>
      </c>
      <c r="K6123">
        <f>1-573-747-4332</f>
        <v>-5651</v>
      </c>
      <c r="L6123" t="s">
        <v>19089</v>
      </c>
      <c r="M6123" t="s">
        <v>19090</v>
      </c>
      <c r="N6123" t="s">
        <v>278</v>
      </c>
      <c r="O6123" t="s">
        <v>28</v>
      </c>
      <c r="P6123" t="s">
        <v>29</v>
      </c>
      <c r="Q6123">
        <v>42</v>
      </c>
      <c r="R6123">
        <v>-93.620800000000003</v>
      </c>
    </row>
    <row r="6124" spans="1:18" x14ac:dyDescent="0.2">
      <c r="A6124" t="s">
        <v>270</v>
      </c>
      <c r="B6124" t="s">
        <v>271</v>
      </c>
      <c r="C6124">
        <v>1</v>
      </c>
      <c r="D6124" s="1">
        <v>44359.089201388888</v>
      </c>
      <c r="E6124" t="s">
        <v>19091</v>
      </c>
      <c r="F6124" t="s">
        <v>273</v>
      </c>
      <c r="G6124" t="s">
        <v>19013</v>
      </c>
      <c r="H6124" t="s">
        <v>275</v>
      </c>
      <c r="I6124" t="s">
        <v>29</v>
      </c>
      <c r="J6124">
        <v>1</v>
      </c>
      <c r="K6124">
        <f>1-573-747-4332</f>
        <v>-5651</v>
      </c>
      <c r="L6124" t="s">
        <v>19092</v>
      </c>
      <c r="M6124" t="s">
        <v>19093</v>
      </c>
      <c r="N6124" t="s">
        <v>278</v>
      </c>
      <c r="O6124" t="s">
        <v>28</v>
      </c>
      <c r="P6124" t="s">
        <v>29</v>
      </c>
      <c r="Q6124">
        <v>42</v>
      </c>
      <c r="R6124">
        <v>-93.620800000000003</v>
      </c>
    </row>
    <row r="6125" spans="1:18" x14ac:dyDescent="0.2">
      <c r="A6125" t="s">
        <v>270</v>
      </c>
      <c r="B6125" t="s">
        <v>271</v>
      </c>
      <c r="C6125">
        <v>1</v>
      </c>
      <c r="D6125" s="1">
        <v>44359.089513888888</v>
      </c>
      <c r="E6125" t="s">
        <v>19094</v>
      </c>
      <c r="F6125" t="s">
        <v>273</v>
      </c>
      <c r="G6125" t="s">
        <v>19013</v>
      </c>
      <c r="H6125" t="s">
        <v>275</v>
      </c>
      <c r="I6125" t="s">
        <v>29</v>
      </c>
      <c r="J6125">
        <v>1</v>
      </c>
      <c r="K6125">
        <f>1-573-747-4332</f>
        <v>-5651</v>
      </c>
      <c r="L6125" t="s">
        <v>19095</v>
      </c>
      <c r="M6125" t="s">
        <v>19096</v>
      </c>
      <c r="N6125" t="s">
        <v>278</v>
      </c>
      <c r="O6125" t="s">
        <v>28</v>
      </c>
      <c r="P6125" t="s">
        <v>29</v>
      </c>
      <c r="Q6125">
        <v>42</v>
      </c>
      <c r="R6125">
        <v>-93.620800000000003</v>
      </c>
    </row>
    <row r="6126" spans="1:18" x14ac:dyDescent="0.2">
      <c r="A6126" t="s">
        <v>270</v>
      </c>
      <c r="B6126" t="s">
        <v>271</v>
      </c>
      <c r="C6126">
        <v>1</v>
      </c>
      <c r="D6126" s="1">
        <v>44359.059374999997</v>
      </c>
      <c r="E6126" t="s">
        <v>19097</v>
      </c>
      <c r="F6126" t="s">
        <v>273</v>
      </c>
      <c r="G6126" t="s">
        <v>19013</v>
      </c>
      <c r="H6126" t="s">
        <v>275</v>
      </c>
      <c r="I6126" t="s">
        <v>29</v>
      </c>
      <c r="J6126">
        <v>1</v>
      </c>
      <c r="K6126">
        <f>1-573-747-4332</f>
        <v>-5651</v>
      </c>
      <c r="L6126" t="s">
        <v>19098</v>
      </c>
      <c r="M6126" t="s">
        <v>19099</v>
      </c>
      <c r="N6126" t="s">
        <v>278</v>
      </c>
      <c r="O6126" t="s">
        <v>28</v>
      </c>
      <c r="P6126" t="s">
        <v>29</v>
      </c>
      <c r="Q6126">
        <v>42</v>
      </c>
      <c r="R6126">
        <v>-93.620800000000003</v>
      </c>
    </row>
    <row r="6127" spans="1:18" x14ac:dyDescent="0.2">
      <c r="A6127" t="s">
        <v>270</v>
      </c>
      <c r="B6127" t="s">
        <v>271</v>
      </c>
      <c r="C6127">
        <v>1</v>
      </c>
      <c r="D6127" s="1">
        <v>44359.059050925927</v>
      </c>
      <c r="E6127" t="s">
        <v>19100</v>
      </c>
      <c r="F6127" t="s">
        <v>273</v>
      </c>
      <c r="G6127" t="s">
        <v>19013</v>
      </c>
      <c r="H6127" t="s">
        <v>275</v>
      </c>
      <c r="I6127" t="s">
        <v>29</v>
      </c>
      <c r="J6127">
        <v>1</v>
      </c>
      <c r="K6127">
        <f>1-210-888-9085</f>
        <v>-10182</v>
      </c>
      <c r="L6127" t="s">
        <v>19101</v>
      </c>
      <c r="M6127" t="s">
        <v>19102</v>
      </c>
      <c r="N6127" t="s">
        <v>278</v>
      </c>
      <c r="O6127" t="s">
        <v>28</v>
      </c>
      <c r="P6127" t="s">
        <v>29</v>
      </c>
      <c r="Q6127">
        <v>42</v>
      </c>
      <c r="R6127">
        <v>-93.620800000000003</v>
      </c>
    </row>
    <row r="6128" spans="1:18" x14ac:dyDescent="0.2">
      <c r="A6128" t="s">
        <v>270</v>
      </c>
      <c r="B6128" t="s">
        <v>271</v>
      </c>
      <c r="C6128">
        <v>1</v>
      </c>
      <c r="D6128" s="1">
        <v>44359.058993055558</v>
      </c>
      <c r="E6128" t="s">
        <v>19103</v>
      </c>
      <c r="F6128" t="s">
        <v>273</v>
      </c>
      <c r="G6128" t="s">
        <v>19013</v>
      </c>
      <c r="H6128" t="s">
        <v>275</v>
      </c>
      <c r="I6128" t="s">
        <v>29</v>
      </c>
      <c r="J6128">
        <v>1</v>
      </c>
      <c r="K6128">
        <f>1-210-888-9085</f>
        <v>-10182</v>
      </c>
      <c r="L6128" t="s">
        <v>19104</v>
      </c>
      <c r="M6128" t="s">
        <v>19105</v>
      </c>
      <c r="N6128" t="s">
        <v>278</v>
      </c>
      <c r="O6128" t="s">
        <v>28</v>
      </c>
      <c r="P6128" t="s">
        <v>29</v>
      </c>
      <c r="Q6128">
        <v>42</v>
      </c>
      <c r="R6128">
        <v>-93.620800000000003</v>
      </c>
    </row>
    <row r="6129" spans="1:18" x14ac:dyDescent="0.2">
      <c r="A6129" t="s">
        <v>270</v>
      </c>
      <c r="B6129" t="s">
        <v>271</v>
      </c>
      <c r="C6129">
        <v>1</v>
      </c>
      <c r="D6129" s="1">
        <v>44357.994571759256</v>
      </c>
      <c r="E6129" t="s">
        <v>19106</v>
      </c>
      <c r="F6129" t="s">
        <v>273</v>
      </c>
      <c r="G6129" t="s">
        <v>19013</v>
      </c>
      <c r="H6129" t="s">
        <v>275</v>
      </c>
      <c r="I6129" t="s">
        <v>29</v>
      </c>
      <c r="J6129">
        <v>1</v>
      </c>
      <c r="K6129">
        <f>1-210-888-9085</f>
        <v>-10182</v>
      </c>
      <c r="L6129" t="s">
        <v>19107</v>
      </c>
      <c r="M6129" t="s">
        <v>19108</v>
      </c>
      <c r="N6129" t="s">
        <v>278</v>
      </c>
      <c r="O6129" t="s">
        <v>28</v>
      </c>
      <c r="P6129" t="s">
        <v>29</v>
      </c>
      <c r="Q6129">
        <v>42</v>
      </c>
      <c r="R6129">
        <v>-93.620800000000003</v>
      </c>
    </row>
    <row r="6130" spans="1:18" x14ac:dyDescent="0.2">
      <c r="A6130" t="s">
        <v>270</v>
      </c>
      <c r="B6130" t="s">
        <v>271</v>
      </c>
      <c r="C6130">
        <v>1</v>
      </c>
      <c r="D6130" s="1">
        <v>44359.058703703704</v>
      </c>
      <c r="E6130" t="s">
        <v>19109</v>
      </c>
      <c r="F6130" t="s">
        <v>273</v>
      </c>
      <c r="G6130" t="s">
        <v>19013</v>
      </c>
      <c r="H6130" t="s">
        <v>275</v>
      </c>
      <c r="I6130" t="s">
        <v>29</v>
      </c>
      <c r="J6130">
        <v>1</v>
      </c>
      <c r="K6130">
        <f>1-210-888-9085</f>
        <v>-10182</v>
      </c>
      <c r="L6130" t="s">
        <v>19110</v>
      </c>
      <c r="M6130" t="s">
        <v>19111</v>
      </c>
      <c r="N6130" t="s">
        <v>278</v>
      </c>
      <c r="O6130" t="s">
        <v>28</v>
      </c>
      <c r="P6130" t="s">
        <v>29</v>
      </c>
      <c r="Q6130">
        <v>42</v>
      </c>
      <c r="R6130">
        <v>-93.620800000000003</v>
      </c>
    </row>
    <row r="6131" spans="1:18" x14ac:dyDescent="0.2">
      <c r="A6131" t="s">
        <v>270</v>
      </c>
      <c r="B6131" t="s">
        <v>271</v>
      </c>
      <c r="C6131">
        <v>1</v>
      </c>
      <c r="D6131" s="1">
        <v>44359.058159722219</v>
      </c>
      <c r="E6131" t="s">
        <v>19112</v>
      </c>
      <c r="F6131" t="s">
        <v>273</v>
      </c>
      <c r="G6131" t="s">
        <v>19013</v>
      </c>
      <c r="H6131" t="s">
        <v>275</v>
      </c>
      <c r="I6131" t="s">
        <v>29</v>
      </c>
      <c r="J6131">
        <v>1</v>
      </c>
      <c r="K6131">
        <f>1-210-888-9085</f>
        <v>-10182</v>
      </c>
      <c r="L6131" t="s">
        <v>19113</v>
      </c>
      <c r="M6131" t="s">
        <v>19114</v>
      </c>
      <c r="N6131" t="s">
        <v>278</v>
      </c>
      <c r="O6131" t="s">
        <v>28</v>
      </c>
      <c r="P6131" t="s">
        <v>29</v>
      </c>
      <c r="Q6131">
        <v>42</v>
      </c>
      <c r="R6131">
        <v>-93.620800000000003</v>
      </c>
    </row>
    <row r="6132" spans="1:18" x14ac:dyDescent="0.2">
      <c r="A6132" t="s">
        <v>270</v>
      </c>
      <c r="B6132" t="s">
        <v>271</v>
      </c>
      <c r="C6132">
        <v>1</v>
      </c>
      <c r="D6132" s="1">
        <v>44359.057152777779</v>
      </c>
      <c r="E6132" t="s">
        <v>19115</v>
      </c>
      <c r="F6132" t="s">
        <v>273</v>
      </c>
      <c r="G6132" t="s">
        <v>19013</v>
      </c>
      <c r="H6132" t="s">
        <v>275</v>
      </c>
      <c r="I6132" t="s">
        <v>29</v>
      </c>
      <c r="J6132">
        <v>1</v>
      </c>
      <c r="K6132">
        <f>1-573-747-4332</f>
        <v>-5651</v>
      </c>
      <c r="L6132" t="s">
        <v>19116</v>
      </c>
      <c r="M6132" t="s">
        <v>19117</v>
      </c>
      <c r="N6132" t="s">
        <v>278</v>
      </c>
      <c r="O6132" t="s">
        <v>28</v>
      </c>
      <c r="P6132" t="s">
        <v>29</v>
      </c>
      <c r="Q6132">
        <v>42</v>
      </c>
      <c r="R6132">
        <v>-93.620800000000003</v>
      </c>
    </row>
    <row r="6133" spans="1:18" x14ac:dyDescent="0.2">
      <c r="A6133" t="s">
        <v>270</v>
      </c>
      <c r="B6133" t="s">
        <v>271</v>
      </c>
      <c r="C6133">
        <v>1</v>
      </c>
      <c r="D6133" s="1">
        <v>44359.057013888887</v>
      </c>
      <c r="E6133" t="s">
        <v>19118</v>
      </c>
      <c r="F6133" t="s">
        <v>273</v>
      </c>
      <c r="G6133" t="s">
        <v>19013</v>
      </c>
      <c r="H6133" t="s">
        <v>275</v>
      </c>
      <c r="I6133" t="s">
        <v>29</v>
      </c>
      <c r="J6133">
        <v>1</v>
      </c>
      <c r="K6133">
        <f>1-573-747-4332</f>
        <v>-5651</v>
      </c>
      <c r="L6133" t="s">
        <v>19119</v>
      </c>
      <c r="M6133" t="s">
        <v>19120</v>
      </c>
      <c r="N6133" t="s">
        <v>278</v>
      </c>
      <c r="O6133" t="s">
        <v>28</v>
      </c>
      <c r="P6133" t="s">
        <v>29</v>
      </c>
      <c r="Q6133">
        <v>42</v>
      </c>
      <c r="R6133">
        <v>-93.620800000000003</v>
      </c>
    </row>
    <row r="6134" spans="1:18" x14ac:dyDescent="0.2">
      <c r="A6134" t="s">
        <v>270</v>
      </c>
      <c r="B6134" t="s">
        <v>271</v>
      </c>
      <c r="C6134">
        <v>1</v>
      </c>
      <c r="D6134" s="1">
        <v>44359.056701388887</v>
      </c>
      <c r="E6134" t="s">
        <v>19121</v>
      </c>
      <c r="F6134" t="s">
        <v>273</v>
      </c>
      <c r="G6134" t="s">
        <v>19013</v>
      </c>
      <c r="H6134" t="s">
        <v>275</v>
      </c>
      <c r="I6134" t="s">
        <v>29</v>
      </c>
      <c r="J6134">
        <v>1</v>
      </c>
      <c r="K6134">
        <f>1-573-747-4332</f>
        <v>-5651</v>
      </c>
      <c r="L6134" t="s">
        <v>19122</v>
      </c>
      <c r="M6134" t="s">
        <v>19123</v>
      </c>
      <c r="N6134" t="s">
        <v>278</v>
      </c>
      <c r="O6134" t="s">
        <v>28</v>
      </c>
      <c r="P6134" t="s">
        <v>29</v>
      </c>
      <c r="Q6134">
        <v>42</v>
      </c>
      <c r="R6134">
        <v>-93.620800000000003</v>
      </c>
    </row>
    <row r="6135" spans="1:18" x14ac:dyDescent="0.2">
      <c r="A6135" t="s">
        <v>270</v>
      </c>
      <c r="B6135" t="s">
        <v>271</v>
      </c>
      <c r="C6135">
        <v>1</v>
      </c>
      <c r="D6135" s="1">
        <v>44359.056481481479</v>
      </c>
      <c r="E6135" t="s">
        <v>19124</v>
      </c>
      <c r="F6135" t="s">
        <v>273</v>
      </c>
      <c r="G6135" t="s">
        <v>19013</v>
      </c>
      <c r="H6135" t="s">
        <v>275</v>
      </c>
      <c r="I6135" t="s">
        <v>29</v>
      </c>
      <c r="J6135">
        <v>1</v>
      </c>
      <c r="K6135">
        <f>1-573-747-4332</f>
        <v>-5651</v>
      </c>
      <c r="L6135" t="s">
        <v>19125</v>
      </c>
      <c r="M6135" t="s">
        <v>19126</v>
      </c>
      <c r="N6135" t="s">
        <v>278</v>
      </c>
      <c r="O6135" t="s">
        <v>28</v>
      </c>
      <c r="P6135" t="s">
        <v>29</v>
      </c>
      <c r="Q6135">
        <v>42</v>
      </c>
      <c r="R6135">
        <v>-93.620800000000003</v>
      </c>
    </row>
    <row r="6136" spans="1:18" x14ac:dyDescent="0.2">
      <c r="A6136" t="s">
        <v>270</v>
      </c>
      <c r="B6136" t="s">
        <v>271</v>
      </c>
      <c r="C6136">
        <v>1</v>
      </c>
      <c r="D6136" s="1">
        <v>44359.057453703703</v>
      </c>
      <c r="E6136" t="s">
        <v>19127</v>
      </c>
      <c r="F6136" t="s">
        <v>273</v>
      </c>
      <c r="G6136" t="s">
        <v>19013</v>
      </c>
      <c r="H6136" t="s">
        <v>275</v>
      </c>
      <c r="I6136" t="s">
        <v>29</v>
      </c>
      <c r="J6136">
        <v>1</v>
      </c>
      <c r="K6136">
        <f>1-573-747-4332</f>
        <v>-5651</v>
      </c>
      <c r="L6136" t="s">
        <v>19128</v>
      </c>
      <c r="M6136" t="s">
        <v>19129</v>
      </c>
      <c r="N6136" t="s">
        <v>278</v>
      </c>
      <c r="O6136" t="s">
        <v>28</v>
      </c>
      <c r="P6136" t="s">
        <v>29</v>
      </c>
      <c r="Q6136">
        <v>42</v>
      </c>
      <c r="R6136">
        <v>-93.620800000000003</v>
      </c>
    </row>
    <row r="6137" spans="1:18" x14ac:dyDescent="0.2">
      <c r="A6137" t="s">
        <v>270</v>
      </c>
      <c r="B6137" t="s">
        <v>271</v>
      </c>
      <c r="C6137">
        <v>1</v>
      </c>
      <c r="D6137" s="1">
        <v>44359.057847222219</v>
      </c>
      <c r="E6137" t="s">
        <v>19130</v>
      </c>
      <c r="F6137" t="s">
        <v>273</v>
      </c>
      <c r="G6137" t="s">
        <v>19013</v>
      </c>
      <c r="H6137" t="s">
        <v>275</v>
      </c>
      <c r="I6137" t="s">
        <v>29</v>
      </c>
      <c r="J6137">
        <v>1</v>
      </c>
      <c r="K6137">
        <f>1-210-888-9085</f>
        <v>-10182</v>
      </c>
      <c r="L6137" t="s">
        <v>19131</v>
      </c>
      <c r="M6137" t="s">
        <v>19132</v>
      </c>
      <c r="N6137" t="s">
        <v>278</v>
      </c>
      <c r="O6137" t="s">
        <v>28</v>
      </c>
      <c r="P6137" t="s">
        <v>29</v>
      </c>
      <c r="Q6137">
        <v>42</v>
      </c>
      <c r="R6137">
        <v>-93.620800000000003</v>
      </c>
    </row>
    <row r="6138" spans="1:18" x14ac:dyDescent="0.2">
      <c r="A6138" t="s">
        <v>270</v>
      </c>
      <c r="B6138" t="s">
        <v>271</v>
      </c>
      <c r="C6138">
        <v>1</v>
      </c>
      <c r="D6138" s="1">
        <v>44361.909513888888</v>
      </c>
      <c r="E6138" t="s">
        <v>19133</v>
      </c>
      <c r="F6138" t="s">
        <v>273</v>
      </c>
      <c r="G6138" t="s">
        <v>19013</v>
      </c>
      <c r="H6138" t="s">
        <v>275</v>
      </c>
      <c r="I6138" t="s">
        <v>29</v>
      </c>
      <c r="J6138">
        <v>1</v>
      </c>
      <c r="K6138">
        <f>1-804-223-945</f>
        <v>-1971</v>
      </c>
      <c r="L6138" t="s">
        <v>19134</v>
      </c>
      <c r="M6138" t="s">
        <v>19135</v>
      </c>
      <c r="N6138" t="s">
        <v>278</v>
      </c>
      <c r="O6138" t="s">
        <v>28</v>
      </c>
      <c r="P6138" t="s">
        <v>29</v>
      </c>
      <c r="Q6138">
        <v>42</v>
      </c>
      <c r="R6138">
        <v>-93.620800000000003</v>
      </c>
    </row>
    <row r="6139" spans="1:18" x14ac:dyDescent="0.2">
      <c r="A6139" t="s">
        <v>270</v>
      </c>
      <c r="B6139" t="s">
        <v>271</v>
      </c>
      <c r="C6139">
        <v>1</v>
      </c>
      <c r="D6139" s="1">
        <v>44361.929270833331</v>
      </c>
      <c r="E6139" t="s">
        <v>19136</v>
      </c>
      <c r="F6139" t="s">
        <v>273</v>
      </c>
      <c r="G6139" t="s">
        <v>19013</v>
      </c>
      <c r="H6139" t="s">
        <v>275</v>
      </c>
      <c r="I6139" t="s">
        <v>29</v>
      </c>
      <c r="J6139">
        <v>1</v>
      </c>
      <c r="K6139">
        <f>1-804-223-945</f>
        <v>-1971</v>
      </c>
      <c r="L6139" t="s">
        <v>19137</v>
      </c>
      <c r="M6139" t="s">
        <v>19138</v>
      </c>
      <c r="N6139" t="s">
        <v>278</v>
      </c>
      <c r="O6139" t="s">
        <v>28</v>
      </c>
      <c r="P6139" t="s">
        <v>29</v>
      </c>
      <c r="Q6139">
        <v>42</v>
      </c>
      <c r="R6139">
        <v>-93.620800000000003</v>
      </c>
    </row>
    <row r="6140" spans="1:18" x14ac:dyDescent="0.2">
      <c r="A6140" t="s">
        <v>270</v>
      </c>
      <c r="B6140" t="s">
        <v>271</v>
      </c>
      <c r="C6140">
        <v>1</v>
      </c>
      <c r="D6140" s="1">
        <v>44357.973622685182</v>
      </c>
      <c r="E6140" t="s">
        <v>19139</v>
      </c>
      <c r="F6140" t="s">
        <v>273</v>
      </c>
      <c r="G6140" t="s">
        <v>19013</v>
      </c>
      <c r="H6140" t="s">
        <v>275</v>
      </c>
      <c r="I6140" t="s">
        <v>29</v>
      </c>
      <c r="J6140">
        <v>1</v>
      </c>
      <c r="K6140">
        <f t="shared" ref="K6140:K6149" si="54">1-210-888-9085</f>
        <v>-10182</v>
      </c>
      <c r="L6140" t="s">
        <v>19140</v>
      </c>
      <c r="M6140" t="s">
        <v>19141</v>
      </c>
      <c r="N6140" t="s">
        <v>278</v>
      </c>
      <c r="O6140" t="s">
        <v>28</v>
      </c>
      <c r="P6140" t="s">
        <v>29</v>
      </c>
      <c r="Q6140">
        <v>42</v>
      </c>
      <c r="R6140">
        <v>-93.620800000000003</v>
      </c>
    </row>
    <row r="6141" spans="1:18" x14ac:dyDescent="0.2">
      <c r="A6141" t="s">
        <v>270</v>
      </c>
      <c r="B6141" t="s">
        <v>271</v>
      </c>
      <c r="C6141">
        <v>1</v>
      </c>
      <c r="D6141" s="1">
        <v>44357.973564814813</v>
      </c>
      <c r="E6141" t="s">
        <v>19142</v>
      </c>
      <c r="F6141" t="s">
        <v>273</v>
      </c>
      <c r="G6141" t="s">
        <v>19013</v>
      </c>
      <c r="H6141" t="s">
        <v>275</v>
      </c>
      <c r="I6141" t="s">
        <v>29</v>
      </c>
      <c r="J6141">
        <v>1</v>
      </c>
      <c r="K6141">
        <f t="shared" si="54"/>
        <v>-10182</v>
      </c>
      <c r="L6141" t="s">
        <v>19143</v>
      </c>
      <c r="M6141" t="s">
        <v>19144</v>
      </c>
      <c r="N6141" t="s">
        <v>278</v>
      </c>
      <c r="O6141" t="s">
        <v>28</v>
      </c>
      <c r="P6141" t="s">
        <v>29</v>
      </c>
      <c r="Q6141">
        <v>42</v>
      </c>
      <c r="R6141">
        <v>-93.620800000000003</v>
      </c>
    </row>
    <row r="6142" spans="1:18" x14ac:dyDescent="0.2">
      <c r="A6142" t="s">
        <v>270</v>
      </c>
      <c r="B6142" t="s">
        <v>271</v>
      </c>
      <c r="C6142">
        <v>1</v>
      </c>
      <c r="D6142" s="1">
        <v>44357.973506944443</v>
      </c>
      <c r="E6142" t="s">
        <v>19145</v>
      </c>
      <c r="F6142" t="s">
        <v>273</v>
      </c>
      <c r="G6142" t="s">
        <v>19013</v>
      </c>
      <c r="H6142" t="s">
        <v>275</v>
      </c>
      <c r="I6142" t="s">
        <v>29</v>
      </c>
      <c r="J6142">
        <v>1</v>
      </c>
      <c r="K6142">
        <f t="shared" si="54"/>
        <v>-10182</v>
      </c>
      <c r="L6142" t="s">
        <v>19146</v>
      </c>
      <c r="M6142" t="s">
        <v>19147</v>
      </c>
      <c r="N6142" t="s">
        <v>278</v>
      </c>
      <c r="O6142" t="s">
        <v>28</v>
      </c>
      <c r="P6142" t="s">
        <v>29</v>
      </c>
      <c r="Q6142">
        <v>42</v>
      </c>
      <c r="R6142">
        <v>-93.620800000000003</v>
      </c>
    </row>
    <row r="6143" spans="1:18" x14ac:dyDescent="0.2">
      <c r="A6143" t="s">
        <v>270</v>
      </c>
      <c r="B6143" t="s">
        <v>271</v>
      </c>
      <c r="C6143">
        <v>1</v>
      </c>
      <c r="D6143" s="1">
        <v>44357.973449074074</v>
      </c>
      <c r="E6143" t="s">
        <v>19148</v>
      </c>
      <c r="F6143" t="s">
        <v>273</v>
      </c>
      <c r="G6143" t="s">
        <v>19013</v>
      </c>
      <c r="H6143" t="s">
        <v>275</v>
      </c>
      <c r="I6143" t="s">
        <v>29</v>
      </c>
      <c r="J6143">
        <v>1</v>
      </c>
      <c r="K6143">
        <f t="shared" si="54"/>
        <v>-10182</v>
      </c>
      <c r="L6143" t="s">
        <v>19149</v>
      </c>
      <c r="M6143" t="s">
        <v>19150</v>
      </c>
      <c r="N6143" t="s">
        <v>278</v>
      </c>
      <c r="O6143" t="s">
        <v>28</v>
      </c>
      <c r="P6143" t="s">
        <v>29</v>
      </c>
      <c r="Q6143">
        <v>42</v>
      </c>
      <c r="R6143">
        <v>-93.620800000000003</v>
      </c>
    </row>
    <row r="6144" spans="1:18" x14ac:dyDescent="0.2">
      <c r="A6144" t="s">
        <v>270</v>
      </c>
      <c r="B6144" t="s">
        <v>271</v>
      </c>
      <c r="C6144">
        <v>1</v>
      </c>
      <c r="D6144" s="1">
        <v>44357.973194444443</v>
      </c>
      <c r="E6144" t="s">
        <v>19151</v>
      </c>
      <c r="F6144" t="s">
        <v>273</v>
      </c>
      <c r="G6144" t="s">
        <v>19013</v>
      </c>
      <c r="H6144" t="s">
        <v>275</v>
      </c>
      <c r="I6144" t="s">
        <v>29</v>
      </c>
      <c r="J6144">
        <v>1</v>
      </c>
      <c r="K6144">
        <f t="shared" si="54"/>
        <v>-10182</v>
      </c>
      <c r="L6144" t="s">
        <v>19152</v>
      </c>
      <c r="M6144" t="s">
        <v>19153</v>
      </c>
      <c r="N6144" t="s">
        <v>278</v>
      </c>
      <c r="O6144" t="s">
        <v>28</v>
      </c>
      <c r="P6144" t="s">
        <v>29</v>
      </c>
      <c r="Q6144">
        <v>42</v>
      </c>
      <c r="R6144">
        <v>-93.620800000000003</v>
      </c>
    </row>
    <row r="6145" spans="1:18" x14ac:dyDescent="0.2">
      <c r="A6145" t="s">
        <v>270</v>
      </c>
      <c r="B6145" t="s">
        <v>271</v>
      </c>
      <c r="C6145">
        <v>1</v>
      </c>
      <c r="D6145" s="1">
        <v>44357.972256944442</v>
      </c>
      <c r="E6145" t="s">
        <v>19154</v>
      </c>
      <c r="F6145" t="s">
        <v>273</v>
      </c>
      <c r="G6145" t="s">
        <v>19013</v>
      </c>
      <c r="H6145" t="s">
        <v>275</v>
      </c>
      <c r="I6145" t="s">
        <v>29</v>
      </c>
      <c r="J6145">
        <v>1</v>
      </c>
      <c r="K6145">
        <f t="shared" si="54"/>
        <v>-10182</v>
      </c>
      <c r="L6145" t="s">
        <v>19155</v>
      </c>
      <c r="M6145" t="s">
        <v>19156</v>
      </c>
      <c r="N6145" t="s">
        <v>278</v>
      </c>
      <c r="O6145" t="s">
        <v>28</v>
      </c>
      <c r="P6145" t="s">
        <v>29</v>
      </c>
      <c r="Q6145">
        <v>42</v>
      </c>
      <c r="R6145">
        <v>-93.620800000000003</v>
      </c>
    </row>
    <row r="6146" spans="1:18" x14ac:dyDescent="0.2">
      <c r="A6146" t="s">
        <v>270</v>
      </c>
      <c r="B6146" t="s">
        <v>271</v>
      </c>
      <c r="C6146">
        <v>1</v>
      </c>
      <c r="D6146" s="1">
        <v>44357.97215277778</v>
      </c>
      <c r="E6146" t="s">
        <v>19157</v>
      </c>
      <c r="F6146" t="s">
        <v>273</v>
      </c>
      <c r="G6146" t="s">
        <v>19013</v>
      </c>
      <c r="H6146" t="s">
        <v>275</v>
      </c>
      <c r="I6146" t="s">
        <v>29</v>
      </c>
      <c r="J6146">
        <v>1</v>
      </c>
      <c r="K6146">
        <f t="shared" si="54"/>
        <v>-10182</v>
      </c>
      <c r="L6146" t="s">
        <v>19158</v>
      </c>
      <c r="M6146" t="s">
        <v>19159</v>
      </c>
      <c r="N6146" t="s">
        <v>278</v>
      </c>
      <c r="O6146" t="s">
        <v>28</v>
      </c>
      <c r="P6146" t="s">
        <v>29</v>
      </c>
      <c r="Q6146">
        <v>42</v>
      </c>
      <c r="R6146">
        <v>-93.620800000000003</v>
      </c>
    </row>
    <row r="6147" spans="1:18" x14ac:dyDescent="0.2">
      <c r="A6147" t="s">
        <v>270</v>
      </c>
      <c r="B6147" t="s">
        <v>271</v>
      </c>
      <c r="C6147">
        <v>1</v>
      </c>
      <c r="D6147" s="1">
        <v>44357.971979166665</v>
      </c>
      <c r="E6147" t="s">
        <v>19160</v>
      </c>
      <c r="F6147" t="s">
        <v>273</v>
      </c>
      <c r="G6147" t="s">
        <v>19013</v>
      </c>
      <c r="H6147" t="s">
        <v>275</v>
      </c>
      <c r="I6147" t="s">
        <v>29</v>
      </c>
      <c r="J6147">
        <v>1</v>
      </c>
      <c r="K6147">
        <f t="shared" si="54"/>
        <v>-10182</v>
      </c>
      <c r="L6147" t="s">
        <v>19161</v>
      </c>
      <c r="M6147" t="s">
        <v>19162</v>
      </c>
      <c r="N6147" t="s">
        <v>278</v>
      </c>
      <c r="O6147" t="s">
        <v>28</v>
      </c>
      <c r="P6147" t="s">
        <v>29</v>
      </c>
      <c r="Q6147">
        <v>42</v>
      </c>
      <c r="R6147">
        <v>-93.620800000000003</v>
      </c>
    </row>
    <row r="6148" spans="1:18" x14ac:dyDescent="0.2">
      <c r="A6148" t="s">
        <v>270</v>
      </c>
      <c r="B6148" t="s">
        <v>271</v>
      </c>
      <c r="C6148">
        <v>1</v>
      </c>
      <c r="D6148" s="1">
        <v>44357.855405092596</v>
      </c>
      <c r="E6148" t="s">
        <v>19163</v>
      </c>
      <c r="F6148" t="s">
        <v>273</v>
      </c>
      <c r="G6148" t="s">
        <v>19013</v>
      </c>
      <c r="H6148" t="s">
        <v>275</v>
      </c>
      <c r="I6148" t="s">
        <v>29</v>
      </c>
      <c r="J6148">
        <v>1</v>
      </c>
      <c r="K6148">
        <f t="shared" si="54"/>
        <v>-10182</v>
      </c>
      <c r="L6148" t="s">
        <v>19164</v>
      </c>
      <c r="M6148" t="s">
        <v>19165</v>
      </c>
      <c r="N6148" t="s">
        <v>278</v>
      </c>
      <c r="O6148" t="s">
        <v>28</v>
      </c>
      <c r="P6148" t="s">
        <v>29</v>
      </c>
      <c r="Q6148">
        <v>42</v>
      </c>
      <c r="R6148">
        <v>-93.620800000000003</v>
      </c>
    </row>
    <row r="6149" spans="1:18" x14ac:dyDescent="0.2">
      <c r="A6149" t="s">
        <v>270</v>
      </c>
      <c r="B6149" t="s">
        <v>271</v>
      </c>
      <c r="C6149">
        <v>1</v>
      </c>
      <c r="D6149" s="1">
        <v>44357.855162037034</v>
      </c>
      <c r="E6149" t="s">
        <v>19166</v>
      </c>
      <c r="F6149" t="s">
        <v>273</v>
      </c>
      <c r="G6149" t="s">
        <v>19013</v>
      </c>
      <c r="H6149" t="s">
        <v>275</v>
      </c>
      <c r="I6149" t="s">
        <v>29</v>
      </c>
      <c r="J6149">
        <v>1</v>
      </c>
      <c r="K6149">
        <f t="shared" si="54"/>
        <v>-10182</v>
      </c>
      <c r="L6149" t="s">
        <v>19167</v>
      </c>
      <c r="M6149" t="s">
        <v>19168</v>
      </c>
      <c r="N6149" t="s">
        <v>278</v>
      </c>
      <c r="O6149" t="s">
        <v>28</v>
      </c>
      <c r="P6149" t="s">
        <v>29</v>
      </c>
      <c r="Q6149">
        <v>42</v>
      </c>
      <c r="R6149">
        <v>-93.620800000000003</v>
      </c>
    </row>
    <row r="6150" spans="1:18" x14ac:dyDescent="0.2">
      <c r="A6150" t="s">
        <v>270</v>
      </c>
      <c r="B6150" t="s">
        <v>271</v>
      </c>
      <c r="C6150">
        <v>1</v>
      </c>
      <c r="D6150" s="1">
        <v>44356.030659722222</v>
      </c>
      <c r="E6150" t="s">
        <v>19169</v>
      </c>
      <c r="F6150" t="s">
        <v>273</v>
      </c>
      <c r="G6150" t="s">
        <v>19013</v>
      </c>
      <c r="H6150" t="s">
        <v>275</v>
      </c>
      <c r="I6150" t="s">
        <v>29</v>
      </c>
      <c r="J6150">
        <v>1</v>
      </c>
      <c r="K6150">
        <f t="shared" ref="K6150:K6164" si="55">1-210-807-3270</f>
        <v>-4286</v>
      </c>
      <c r="L6150" t="s">
        <v>19170</v>
      </c>
      <c r="M6150" t="s">
        <v>19171</v>
      </c>
      <c r="N6150" t="s">
        <v>278</v>
      </c>
      <c r="O6150" t="s">
        <v>28</v>
      </c>
      <c r="P6150" t="s">
        <v>29</v>
      </c>
      <c r="Q6150">
        <v>42</v>
      </c>
      <c r="R6150">
        <v>-93.620800000000003</v>
      </c>
    </row>
    <row r="6151" spans="1:18" x14ac:dyDescent="0.2">
      <c r="A6151" t="s">
        <v>270</v>
      </c>
      <c r="B6151" t="s">
        <v>271</v>
      </c>
      <c r="C6151">
        <v>1</v>
      </c>
      <c r="D6151" s="1">
        <v>44356.019641203704</v>
      </c>
      <c r="E6151" t="s">
        <v>19172</v>
      </c>
      <c r="F6151" t="s">
        <v>273</v>
      </c>
      <c r="G6151" t="s">
        <v>19013</v>
      </c>
      <c r="H6151" t="s">
        <v>275</v>
      </c>
      <c r="I6151" t="s">
        <v>29</v>
      </c>
      <c r="J6151">
        <v>1</v>
      </c>
      <c r="K6151">
        <f t="shared" si="55"/>
        <v>-4286</v>
      </c>
      <c r="L6151" t="s">
        <v>19173</v>
      </c>
      <c r="M6151" t="s">
        <v>19174</v>
      </c>
      <c r="N6151" t="s">
        <v>278</v>
      </c>
      <c r="O6151" t="s">
        <v>28</v>
      </c>
      <c r="P6151" t="s">
        <v>29</v>
      </c>
      <c r="Q6151">
        <v>42</v>
      </c>
      <c r="R6151">
        <v>-93.620800000000003</v>
      </c>
    </row>
    <row r="6152" spans="1:18" x14ac:dyDescent="0.2">
      <c r="A6152" t="s">
        <v>270</v>
      </c>
      <c r="B6152" t="s">
        <v>271</v>
      </c>
      <c r="C6152">
        <v>1</v>
      </c>
      <c r="D6152" s="1">
        <v>44356.002615740741</v>
      </c>
      <c r="E6152" t="s">
        <v>19175</v>
      </c>
      <c r="F6152" t="s">
        <v>273</v>
      </c>
      <c r="G6152" t="s">
        <v>19013</v>
      </c>
      <c r="H6152" t="s">
        <v>275</v>
      </c>
      <c r="I6152" t="s">
        <v>29</v>
      </c>
      <c r="J6152">
        <v>1</v>
      </c>
      <c r="K6152">
        <f t="shared" si="55"/>
        <v>-4286</v>
      </c>
      <c r="L6152" t="s">
        <v>19176</v>
      </c>
      <c r="M6152" t="s">
        <v>19177</v>
      </c>
      <c r="N6152" t="s">
        <v>278</v>
      </c>
      <c r="O6152" t="s">
        <v>28</v>
      </c>
      <c r="P6152" t="s">
        <v>29</v>
      </c>
      <c r="Q6152">
        <v>42</v>
      </c>
      <c r="R6152">
        <v>-93.620800000000003</v>
      </c>
    </row>
    <row r="6153" spans="1:18" x14ac:dyDescent="0.2">
      <c r="A6153" t="s">
        <v>270</v>
      </c>
      <c r="B6153" t="s">
        <v>271</v>
      </c>
      <c r="C6153">
        <v>1</v>
      </c>
      <c r="D6153" s="1">
        <v>44355.978854166664</v>
      </c>
      <c r="E6153" t="s">
        <v>19178</v>
      </c>
      <c r="F6153" t="s">
        <v>273</v>
      </c>
      <c r="G6153" t="s">
        <v>19013</v>
      </c>
      <c r="H6153" t="s">
        <v>275</v>
      </c>
      <c r="I6153" t="s">
        <v>29</v>
      </c>
      <c r="J6153">
        <v>1</v>
      </c>
      <c r="K6153">
        <f t="shared" si="55"/>
        <v>-4286</v>
      </c>
      <c r="L6153" t="s">
        <v>19179</v>
      </c>
      <c r="M6153" t="s">
        <v>19180</v>
      </c>
      <c r="N6153" t="s">
        <v>278</v>
      </c>
      <c r="O6153" t="s">
        <v>28</v>
      </c>
      <c r="P6153" t="s">
        <v>29</v>
      </c>
      <c r="Q6153">
        <v>42</v>
      </c>
      <c r="R6153">
        <v>-93.620800000000003</v>
      </c>
    </row>
    <row r="6154" spans="1:18" x14ac:dyDescent="0.2">
      <c r="A6154" t="s">
        <v>270</v>
      </c>
      <c r="B6154" t="s">
        <v>271</v>
      </c>
      <c r="C6154">
        <v>1</v>
      </c>
      <c r="D6154" s="1">
        <v>44355.974363425928</v>
      </c>
      <c r="E6154" t="s">
        <v>19181</v>
      </c>
      <c r="F6154" t="s">
        <v>273</v>
      </c>
      <c r="G6154" t="s">
        <v>19013</v>
      </c>
      <c r="H6154" t="s">
        <v>275</v>
      </c>
      <c r="I6154" t="s">
        <v>29</v>
      </c>
      <c r="J6154">
        <v>1</v>
      </c>
      <c r="K6154">
        <f t="shared" si="55"/>
        <v>-4286</v>
      </c>
      <c r="L6154" t="s">
        <v>19182</v>
      </c>
      <c r="M6154" t="s">
        <v>19183</v>
      </c>
      <c r="N6154" t="s">
        <v>278</v>
      </c>
      <c r="O6154" t="s">
        <v>28</v>
      </c>
      <c r="P6154" t="s">
        <v>29</v>
      </c>
      <c r="Q6154">
        <v>42</v>
      </c>
      <c r="R6154">
        <v>-93.620800000000003</v>
      </c>
    </row>
    <row r="6155" spans="1:18" x14ac:dyDescent="0.2">
      <c r="A6155" t="s">
        <v>270</v>
      </c>
      <c r="B6155" t="s">
        <v>271</v>
      </c>
      <c r="C6155">
        <v>1</v>
      </c>
      <c r="D6155" s="1">
        <v>44355.779131944444</v>
      </c>
      <c r="E6155" t="s">
        <v>19184</v>
      </c>
      <c r="F6155" t="s">
        <v>273</v>
      </c>
      <c r="G6155" t="s">
        <v>19013</v>
      </c>
      <c r="H6155" t="s">
        <v>275</v>
      </c>
      <c r="I6155" t="s">
        <v>29</v>
      </c>
      <c r="J6155">
        <v>1</v>
      </c>
      <c r="K6155">
        <f t="shared" si="55"/>
        <v>-4286</v>
      </c>
      <c r="L6155" t="s">
        <v>19185</v>
      </c>
      <c r="M6155" t="s">
        <v>19186</v>
      </c>
      <c r="N6155" t="s">
        <v>278</v>
      </c>
      <c r="O6155" t="s">
        <v>28</v>
      </c>
      <c r="P6155" t="s">
        <v>29</v>
      </c>
      <c r="Q6155">
        <v>42</v>
      </c>
      <c r="R6155">
        <v>-93.620800000000003</v>
      </c>
    </row>
    <row r="6156" spans="1:18" x14ac:dyDescent="0.2">
      <c r="A6156" t="s">
        <v>270</v>
      </c>
      <c r="B6156" t="s">
        <v>271</v>
      </c>
      <c r="C6156">
        <v>1</v>
      </c>
      <c r="D6156" s="1">
        <v>44355.779027777775</v>
      </c>
      <c r="E6156" t="s">
        <v>19187</v>
      </c>
      <c r="F6156" t="s">
        <v>273</v>
      </c>
      <c r="G6156" t="s">
        <v>19013</v>
      </c>
      <c r="H6156" t="s">
        <v>275</v>
      </c>
      <c r="I6156" t="s">
        <v>29</v>
      </c>
      <c r="J6156">
        <v>1</v>
      </c>
      <c r="K6156">
        <f t="shared" si="55"/>
        <v>-4286</v>
      </c>
      <c r="L6156" t="s">
        <v>19188</v>
      </c>
      <c r="M6156" t="s">
        <v>19189</v>
      </c>
      <c r="N6156" t="s">
        <v>278</v>
      </c>
      <c r="O6156" t="s">
        <v>28</v>
      </c>
      <c r="P6156" t="s">
        <v>29</v>
      </c>
      <c r="Q6156">
        <v>42</v>
      </c>
      <c r="R6156">
        <v>-93.620800000000003</v>
      </c>
    </row>
    <row r="6157" spans="1:18" x14ac:dyDescent="0.2">
      <c r="A6157" t="s">
        <v>270</v>
      </c>
      <c r="B6157" t="s">
        <v>271</v>
      </c>
      <c r="C6157">
        <v>1</v>
      </c>
      <c r="D6157" s="1">
        <v>44355.778877314813</v>
      </c>
      <c r="E6157" t="s">
        <v>19190</v>
      </c>
      <c r="F6157" t="s">
        <v>273</v>
      </c>
      <c r="G6157" t="s">
        <v>19013</v>
      </c>
      <c r="H6157" t="s">
        <v>275</v>
      </c>
      <c r="I6157" t="s">
        <v>29</v>
      </c>
      <c r="J6157">
        <v>1</v>
      </c>
      <c r="K6157">
        <f t="shared" si="55"/>
        <v>-4286</v>
      </c>
      <c r="L6157" t="s">
        <v>19191</v>
      </c>
      <c r="M6157" t="s">
        <v>19192</v>
      </c>
      <c r="N6157" t="s">
        <v>278</v>
      </c>
      <c r="O6157" t="s">
        <v>28</v>
      </c>
      <c r="P6157" t="s">
        <v>29</v>
      </c>
      <c r="Q6157">
        <v>42</v>
      </c>
      <c r="R6157">
        <v>-93.620800000000003</v>
      </c>
    </row>
    <row r="6158" spans="1:18" x14ac:dyDescent="0.2">
      <c r="A6158" t="s">
        <v>270</v>
      </c>
      <c r="B6158" t="s">
        <v>271</v>
      </c>
      <c r="C6158">
        <v>1</v>
      </c>
      <c r="D6158" s="1">
        <v>44355.778819444444</v>
      </c>
      <c r="E6158" t="s">
        <v>19193</v>
      </c>
      <c r="F6158" t="s">
        <v>273</v>
      </c>
      <c r="G6158" t="s">
        <v>19013</v>
      </c>
      <c r="H6158" t="s">
        <v>275</v>
      </c>
      <c r="I6158" t="s">
        <v>29</v>
      </c>
      <c r="J6158">
        <v>1</v>
      </c>
      <c r="K6158">
        <f t="shared" si="55"/>
        <v>-4286</v>
      </c>
      <c r="L6158" t="s">
        <v>19194</v>
      </c>
      <c r="M6158" t="s">
        <v>19195</v>
      </c>
      <c r="N6158" t="s">
        <v>278</v>
      </c>
      <c r="O6158" t="s">
        <v>28</v>
      </c>
      <c r="P6158" t="s">
        <v>29</v>
      </c>
      <c r="Q6158">
        <v>42</v>
      </c>
      <c r="R6158">
        <v>-93.620800000000003</v>
      </c>
    </row>
    <row r="6159" spans="1:18" x14ac:dyDescent="0.2">
      <c r="A6159" t="s">
        <v>270</v>
      </c>
      <c r="B6159" t="s">
        <v>271</v>
      </c>
      <c r="C6159">
        <v>1</v>
      </c>
      <c r="D6159" s="1">
        <v>44355.778611111113</v>
      </c>
      <c r="E6159" t="s">
        <v>19196</v>
      </c>
      <c r="F6159" t="s">
        <v>273</v>
      </c>
      <c r="G6159" t="s">
        <v>19013</v>
      </c>
      <c r="H6159" t="s">
        <v>275</v>
      </c>
      <c r="I6159" t="s">
        <v>29</v>
      </c>
      <c r="J6159">
        <v>1</v>
      </c>
      <c r="K6159">
        <f t="shared" si="55"/>
        <v>-4286</v>
      </c>
      <c r="L6159" t="s">
        <v>19197</v>
      </c>
      <c r="M6159" t="s">
        <v>19198</v>
      </c>
      <c r="N6159" t="s">
        <v>278</v>
      </c>
      <c r="O6159" t="s">
        <v>28</v>
      </c>
      <c r="P6159" t="s">
        <v>29</v>
      </c>
      <c r="Q6159">
        <v>42</v>
      </c>
      <c r="R6159">
        <v>-93.620800000000003</v>
      </c>
    </row>
    <row r="6160" spans="1:18" x14ac:dyDescent="0.2">
      <c r="A6160" t="s">
        <v>270</v>
      </c>
      <c r="B6160" t="s">
        <v>271</v>
      </c>
      <c r="C6160">
        <v>1</v>
      </c>
      <c r="D6160" s="1">
        <v>44355.778425925928</v>
      </c>
      <c r="E6160" t="s">
        <v>19199</v>
      </c>
      <c r="F6160" t="s">
        <v>273</v>
      </c>
      <c r="G6160" t="s">
        <v>19013</v>
      </c>
      <c r="H6160" t="s">
        <v>275</v>
      </c>
      <c r="I6160" t="s">
        <v>29</v>
      </c>
      <c r="J6160">
        <v>1</v>
      </c>
      <c r="K6160">
        <f t="shared" si="55"/>
        <v>-4286</v>
      </c>
      <c r="L6160" t="s">
        <v>19200</v>
      </c>
      <c r="M6160" t="s">
        <v>19201</v>
      </c>
      <c r="N6160" t="s">
        <v>278</v>
      </c>
      <c r="O6160" t="s">
        <v>28</v>
      </c>
      <c r="P6160" t="s">
        <v>29</v>
      </c>
      <c r="Q6160">
        <v>42</v>
      </c>
      <c r="R6160">
        <v>-93.620800000000003</v>
      </c>
    </row>
    <row r="6161" spans="1:18" x14ac:dyDescent="0.2">
      <c r="A6161" t="s">
        <v>270</v>
      </c>
      <c r="B6161" t="s">
        <v>271</v>
      </c>
      <c r="C6161">
        <v>1</v>
      </c>
      <c r="D6161" s="1">
        <v>44355.778240740743</v>
      </c>
      <c r="E6161" t="s">
        <v>19202</v>
      </c>
      <c r="F6161" t="s">
        <v>273</v>
      </c>
      <c r="G6161" t="s">
        <v>19013</v>
      </c>
      <c r="H6161" t="s">
        <v>275</v>
      </c>
      <c r="I6161" t="s">
        <v>29</v>
      </c>
      <c r="J6161">
        <v>1</v>
      </c>
      <c r="K6161">
        <f t="shared" si="55"/>
        <v>-4286</v>
      </c>
      <c r="L6161" t="s">
        <v>19203</v>
      </c>
      <c r="M6161" t="s">
        <v>19204</v>
      </c>
      <c r="N6161" t="s">
        <v>278</v>
      </c>
      <c r="O6161" t="s">
        <v>28</v>
      </c>
      <c r="P6161" t="s">
        <v>29</v>
      </c>
      <c r="Q6161">
        <v>42</v>
      </c>
      <c r="R6161">
        <v>-93.620800000000003</v>
      </c>
    </row>
    <row r="6162" spans="1:18" x14ac:dyDescent="0.2">
      <c r="A6162" t="s">
        <v>270</v>
      </c>
      <c r="B6162" t="s">
        <v>271</v>
      </c>
      <c r="C6162">
        <v>1</v>
      </c>
      <c r="D6162" s="1">
        <v>44355.778009259258</v>
      </c>
      <c r="E6162" t="s">
        <v>19205</v>
      </c>
      <c r="F6162" t="s">
        <v>273</v>
      </c>
      <c r="G6162" t="s">
        <v>19013</v>
      </c>
      <c r="H6162" t="s">
        <v>275</v>
      </c>
      <c r="I6162" t="s">
        <v>29</v>
      </c>
      <c r="J6162">
        <v>1</v>
      </c>
      <c r="K6162">
        <f t="shared" si="55"/>
        <v>-4286</v>
      </c>
      <c r="L6162" t="s">
        <v>19206</v>
      </c>
      <c r="M6162" t="s">
        <v>19207</v>
      </c>
      <c r="N6162" t="s">
        <v>278</v>
      </c>
      <c r="O6162" t="s">
        <v>28</v>
      </c>
      <c r="P6162" t="s">
        <v>29</v>
      </c>
      <c r="Q6162">
        <v>42</v>
      </c>
      <c r="R6162">
        <v>-93.620800000000003</v>
      </c>
    </row>
    <row r="6163" spans="1:18" x14ac:dyDescent="0.2">
      <c r="A6163" t="s">
        <v>270</v>
      </c>
      <c r="B6163" t="s">
        <v>271</v>
      </c>
      <c r="C6163">
        <v>1</v>
      </c>
      <c r="D6163" s="1">
        <v>44355.777858796297</v>
      </c>
      <c r="E6163" t="s">
        <v>19208</v>
      </c>
      <c r="F6163" t="s">
        <v>273</v>
      </c>
      <c r="G6163" t="s">
        <v>19013</v>
      </c>
      <c r="H6163" t="s">
        <v>275</v>
      </c>
      <c r="I6163" t="s">
        <v>29</v>
      </c>
      <c r="J6163">
        <v>1</v>
      </c>
      <c r="K6163">
        <f t="shared" si="55"/>
        <v>-4286</v>
      </c>
      <c r="L6163" t="s">
        <v>19209</v>
      </c>
      <c r="M6163" t="s">
        <v>19210</v>
      </c>
      <c r="N6163" t="s">
        <v>278</v>
      </c>
      <c r="O6163" t="s">
        <v>28</v>
      </c>
      <c r="P6163" t="s">
        <v>29</v>
      </c>
      <c r="Q6163">
        <v>42</v>
      </c>
      <c r="R6163">
        <v>-93.620800000000003</v>
      </c>
    </row>
    <row r="6164" spans="1:18" x14ac:dyDescent="0.2">
      <c r="A6164" t="s">
        <v>270</v>
      </c>
      <c r="B6164" t="s">
        <v>271</v>
      </c>
      <c r="C6164">
        <v>1</v>
      </c>
      <c r="D6164" s="1">
        <v>44355.777662037035</v>
      </c>
      <c r="E6164" t="s">
        <v>19211</v>
      </c>
      <c r="F6164" t="s">
        <v>273</v>
      </c>
      <c r="G6164" t="s">
        <v>19013</v>
      </c>
      <c r="H6164" t="s">
        <v>275</v>
      </c>
      <c r="I6164" t="s">
        <v>29</v>
      </c>
      <c r="J6164">
        <v>1</v>
      </c>
      <c r="K6164">
        <f t="shared" si="55"/>
        <v>-4286</v>
      </c>
      <c r="L6164" t="s">
        <v>19212</v>
      </c>
      <c r="M6164" t="s">
        <v>19213</v>
      </c>
      <c r="N6164" t="s">
        <v>278</v>
      </c>
      <c r="O6164" t="s">
        <v>28</v>
      </c>
      <c r="P6164" t="s">
        <v>29</v>
      </c>
      <c r="Q6164">
        <v>42</v>
      </c>
      <c r="R6164">
        <v>-93.620800000000003</v>
      </c>
    </row>
    <row r="6165" spans="1:18" x14ac:dyDescent="0.2">
      <c r="A6165" t="s">
        <v>270</v>
      </c>
      <c r="B6165" t="s">
        <v>271</v>
      </c>
      <c r="C6165">
        <v>1</v>
      </c>
      <c r="D6165" s="1">
        <v>44351.767361111109</v>
      </c>
      <c r="E6165" t="s">
        <v>19214</v>
      </c>
      <c r="F6165" t="s">
        <v>273</v>
      </c>
      <c r="G6165" t="s">
        <v>19013</v>
      </c>
      <c r="H6165" t="s">
        <v>275</v>
      </c>
      <c r="I6165" t="s">
        <v>29</v>
      </c>
      <c r="J6165">
        <v>1</v>
      </c>
      <c r="K6165">
        <f>1-509-392-6376</f>
        <v>-7276</v>
      </c>
      <c r="L6165" t="s">
        <v>19215</v>
      </c>
      <c r="M6165" t="s">
        <v>19216</v>
      </c>
      <c r="N6165" t="s">
        <v>278</v>
      </c>
      <c r="O6165" t="s">
        <v>28</v>
      </c>
      <c r="P6165" t="s">
        <v>29</v>
      </c>
      <c r="Q6165">
        <v>42</v>
      </c>
      <c r="R6165">
        <v>-93.620800000000003</v>
      </c>
    </row>
    <row r="6166" spans="1:18" x14ac:dyDescent="0.2">
      <c r="A6166" t="s">
        <v>270</v>
      </c>
      <c r="B6166" t="s">
        <v>271</v>
      </c>
      <c r="C6166">
        <v>1</v>
      </c>
      <c r="D6166" s="1">
        <v>44350.017557870371</v>
      </c>
      <c r="E6166" t="s">
        <v>19217</v>
      </c>
      <c r="F6166" t="s">
        <v>273</v>
      </c>
      <c r="G6166" t="s">
        <v>19013</v>
      </c>
      <c r="H6166" t="s">
        <v>275</v>
      </c>
      <c r="I6166" t="s">
        <v>29</v>
      </c>
      <c r="J6166">
        <v>1</v>
      </c>
      <c r="K6166">
        <f>1-812-652-4565</f>
        <v>-6028</v>
      </c>
      <c r="L6166" t="s">
        <v>19218</v>
      </c>
      <c r="M6166" t="s">
        <v>19219</v>
      </c>
      <c r="N6166" t="s">
        <v>278</v>
      </c>
      <c r="O6166" t="s">
        <v>28</v>
      </c>
      <c r="P6166" t="s">
        <v>29</v>
      </c>
      <c r="Q6166">
        <v>42</v>
      </c>
      <c r="R6166">
        <v>-93.620800000000003</v>
      </c>
    </row>
    <row r="6167" spans="1:18" x14ac:dyDescent="0.2">
      <c r="A6167" t="s">
        <v>270</v>
      </c>
      <c r="B6167" t="s">
        <v>271</v>
      </c>
      <c r="C6167">
        <v>1</v>
      </c>
      <c r="D6167" s="1">
        <v>44349.941354166665</v>
      </c>
      <c r="E6167" t="s">
        <v>19220</v>
      </c>
      <c r="F6167" t="s">
        <v>273</v>
      </c>
      <c r="G6167" t="s">
        <v>19013</v>
      </c>
      <c r="H6167" t="s">
        <v>275</v>
      </c>
      <c r="I6167" t="s">
        <v>29</v>
      </c>
      <c r="J6167">
        <v>1</v>
      </c>
      <c r="K6167">
        <f>1-304-518-618</f>
        <v>-1439</v>
      </c>
      <c r="L6167" t="s">
        <v>19221</v>
      </c>
      <c r="M6167" t="s">
        <v>19222</v>
      </c>
      <c r="N6167" t="s">
        <v>278</v>
      </c>
      <c r="O6167" t="s">
        <v>28</v>
      </c>
      <c r="P6167" t="s">
        <v>29</v>
      </c>
      <c r="Q6167">
        <v>42</v>
      </c>
      <c r="R6167">
        <v>-93.620800000000003</v>
      </c>
    </row>
    <row r="6168" spans="1:18" x14ac:dyDescent="0.2">
      <c r="A6168" t="s">
        <v>270</v>
      </c>
      <c r="B6168" t="s">
        <v>271</v>
      </c>
      <c r="C6168">
        <v>1</v>
      </c>
      <c r="D6168" s="1">
        <v>44349.941087962965</v>
      </c>
      <c r="E6168" t="s">
        <v>19223</v>
      </c>
      <c r="F6168" t="s">
        <v>273</v>
      </c>
      <c r="G6168" t="s">
        <v>19013</v>
      </c>
      <c r="H6168" t="s">
        <v>275</v>
      </c>
      <c r="I6168" t="s">
        <v>29</v>
      </c>
      <c r="J6168">
        <v>1</v>
      </c>
      <c r="K6168">
        <f>1-304-518-618</f>
        <v>-1439</v>
      </c>
      <c r="L6168" t="s">
        <v>19224</v>
      </c>
      <c r="M6168" t="s">
        <v>19225</v>
      </c>
      <c r="N6168" t="s">
        <v>278</v>
      </c>
      <c r="O6168" t="s">
        <v>28</v>
      </c>
      <c r="P6168" t="s">
        <v>29</v>
      </c>
      <c r="Q6168">
        <v>42</v>
      </c>
      <c r="R6168">
        <v>-93.620800000000003</v>
      </c>
    </row>
    <row r="6169" spans="1:18" x14ac:dyDescent="0.2">
      <c r="A6169" t="s">
        <v>270</v>
      </c>
      <c r="B6169" t="s">
        <v>271</v>
      </c>
      <c r="C6169">
        <v>1</v>
      </c>
      <c r="D6169" s="1">
        <v>44349.940868055557</v>
      </c>
      <c r="E6169" t="s">
        <v>19226</v>
      </c>
      <c r="F6169" t="s">
        <v>273</v>
      </c>
      <c r="G6169" t="s">
        <v>19013</v>
      </c>
      <c r="H6169" t="s">
        <v>275</v>
      </c>
      <c r="I6169" t="s">
        <v>29</v>
      </c>
      <c r="J6169">
        <v>1</v>
      </c>
      <c r="K6169">
        <f>1-304-518-618</f>
        <v>-1439</v>
      </c>
      <c r="L6169" t="s">
        <v>19227</v>
      </c>
      <c r="M6169" t="s">
        <v>19228</v>
      </c>
      <c r="N6169" t="s">
        <v>278</v>
      </c>
      <c r="O6169" t="s">
        <v>28</v>
      </c>
      <c r="P6169" t="s">
        <v>29</v>
      </c>
      <c r="Q6169">
        <v>42</v>
      </c>
      <c r="R6169">
        <v>-93.620800000000003</v>
      </c>
    </row>
    <row r="6170" spans="1:18" x14ac:dyDescent="0.2">
      <c r="A6170" t="s">
        <v>270</v>
      </c>
      <c r="B6170" t="s">
        <v>271</v>
      </c>
      <c r="C6170">
        <v>1</v>
      </c>
      <c r="D6170" s="1">
        <v>44349.940706018519</v>
      </c>
      <c r="E6170" t="s">
        <v>19229</v>
      </c>
      <c r="F6170" t="s">
        <v>273</v>
      </c>
      <c r="G6170" t="s">
        <v>19013</v>
      </c>
      <c r="H6170" t="s">
        <v>275</v>
      </c>
      <c r="I6170" t="s">
        <v>29</v>
      </c>
      <c r="J6170">
        <v>1</v>
      </c>
      <c r="K6170">
        <f>1-304-518-618</f>
        <v>-1439</v>
      </c>
      <c r="L6170" t="s">
        <v>19230</v>
      </c>
      <c r="M6170" t="s">
        <v>19231</v>
      </c>
      <c r="N6170" t="s">
        <v>278</v>
      </c>
      <c r="O6170" t="s">
        <v>28</v>
      </c>
      <c r="P6170" t="s">
        <v>29</v>
      </c>
      <c r="Q6170">
        <v>42</v>
      </c>
      <c r="R6170">
        <v>-93.620800000000003</v>
      </c>
    </row>
    <row r="6171" spans="1:18" x14ac:dyDescent="0.2">
      <c r="A6171" t="s">
        <v>270</v>
      </c>
      <c r="B6171" t="s">
        <v>271</v>
      </c>
      <c r="C6171">
        <v>1</v>
      </c>
      <c r="D6171" s="1">
        <v>44349.930462962962</v>
      </c>
      <c r="E6171" t="s">
        <v>19232</v>
      </c>
      <c r="F6171" t="s">
        <v>273</v>
      </c>
      <c r="G6171" t="s">
        <v>19013</v>
      </c>
      <c r="H6171" t="s">
        <v>275</v>
      </c>
      <c r="I6171" t="s">
        <v>29</v>
      </c>
      <c r="J6171">
        <v>1</v>
      </c>
      <c r="K6171">
        <f>1-304-518-618</f>
        <v>-1439</v>
      </c>
      <c r="L6171" t="s">
        <v>19233</v>
      </c>
      <c r="M6171" t="s">
        <v>19234</v>
      </c>
      <c r="N6171" t="s">
        <v>278</v>
      </c>
      <c r="O6171" t="s">
        <v>28</v>
      </c>
      <c r="P6171" t="s">
        <v>29</v>
      </c>
      <c r="Q6171">
        <v>42</v>
      </c>
      <c r="R6171">
        <v>-93.620800000000003</v>
      </c>
    </row>
    <row r="6172" spans="1:18" x14ac:dyDescent="0.2">
      <c r="A6172" t="s">
        <v>270</v>
      </c>
      <c r="B6172" t="s">
        <v>271</v>
      </c>
      <c r="C6172">
        <v>1</v>
      </c>
      <c r="D6172" s="1">
        <v>44349.024965277778</v>
      </c>
      <c r="E6172" t="s">
        <v>19235</v>
      </c>
      <c r="F6172" t="s">
        <v>273</v>
      </c>
      <c r="G6172" t="s">
        <v>19013</v>
      </c>
      <c r="H6172" t="s">
        <v>275</v>
      </c>
      <c r="I6172" t="s">
        <v>29</v>
      </c>
      <c r="J6172">
        <v>1</v>
      </c>
      <c r="K6172">
        <f>1-540-779-949</f>
        <v>-2267</v>
      </c>
      <c r="L6172" t="s">
        <v>19236</v>
      </c>
      <c r="M6172" t="s">
        <v>19237</v>
      </c>
      <c r="N6172" t="s">
        <v>278</v>
      </c>
      <c r="O6172" t="s">
        <v>28</v>
      </c>
      <c r="P6172" t="s">
        <v>29</v>
      </c>
      <c r="Q6172">
        <v>42</v>
      </c>
      <c r="R6172">
        <v>-93.620800000000003</v>
      </c>
    </row>
    <row r="6173" spans="1:18" x14ac:dyDescent="0.2">
      <c r="A6173" t="s">
        <v>270</v>
      </c>
      <c r="B6173" t="s">
        <v>271</v>
      </c>
      <c r="C6173">
        <v>1</v>
      </c>
      <c r="D6173" s="1">
        <v>44348.819062499999</v>
      </c>
      <c r="E6173" t="s">
        <v>19238</v>
      </c>
      <c r="F6173" t="s">
        <v>273</v>
      </c>
      <c r="G6173" t="s">
        <v>19013</v>
      </c>
      <c r="H6173" t="s">
        <v>275</v>
      </c>
      <c r="I6173" t="s">
        <v>29</v>
      </c>
      <c r="J6173">
        <v>1</v>
      </c>
      <c r="K6173">
        <f>1-888-927-2495</f>
        <v>-4309</v>
      </c>
      <c r="L6173" t="s">
        <v>19239</v>
      </c>
      <c r="M6173" t="s">
        <v>19240</v>
      </c>
      <c r="N6173" t="s">
        <v>278</v>
      </c>
      <c r="O6173" t="s">
        <v>28</v>
      </c>
      <c r="P6173" t="s">
        <v>29</v>
      </c>
      <c r="Q6173">
        <v>42</v>
      </c>
      <c r="R6173">
        <v>-93.620800000000003</v>
      </c>
    </row>
    <row r="6174" spans="1:18" x14ac:dyDescent="0.2">
      <c r="A6174" t="s">
        <v>270</v>
      </c>
      <c r="B6174" t="s">
        <v>271</v>
      </c>
      <c r="C6174">
        <v>1</v>
      </c>
      <c r="D6174" s="1">
        <v>44346.805856481478</v>
      </c>
      <c r="E6174" t="s">
        <v>19241</v>
      </c>
      <c r="F6174" t="s">
        <v>273</v>
      </c>
      <c r="G6174" t="s">
        <v>19013</v>
      </c>
      <c r="H6174" t="s">
        <v>275</v>
      </c>
      <c r="I6174" t="s">
        <v>29</v>
      </c>
      <c r="J6174">
        <v>1</v>
      </c>
      <c r="K6174">
        <f>1-804-571-199</f>
        <v>-1573</v>
      </c>
      <c r="L6174" t="s">
        <v>19242</v>
      </c>
      <c r="M6174" t="s">
        <v>19243</v>
      </c>
      <c r="N6174" t="s">
        <v>278</v>
      </c>
      <c r="O6174" t="s">
        <v>28</v>
      </c>
      <c r="P6174" t="s">
        <v>29</v>
      </c>
      <c r="Q6174">
        <v>42</v>
      </c>
      <c r="R6174">
        <v>-93.620800000000003</v>
      </c>
    </row>
    <row r="6175" spans="1:18" x14ac:dyDescent="0.2">
      <c r="A6175" t="s">
        <v>270</v>
      </c>
      <c r="B6175" t="s">
        <v>271</v>
      </c>
      <c r="C6175">
        <v>1</v>
      </c>
      <c r="D6175" s="1">
        <v>44346.805648148147</v>
      </c>
      <c r="E6175" t="s">
        <v>19244</v>
      </c>
      <c r="F6175" t="s">
        <v>273</v>
      </c>
      <c r="G6175" t="s">
        <v>19013</v>
      </c>
      <c r="H6175" t="s">
        <v>275</v>
      </c>
      <c r="I6175" t="s">
        <v>29</v>
      </c>
      <c r="J6175">
        <v>1</v>
      </c>
      <c r="K6175">
        <f>1-804-571-199</f>
        <v>-1573</v>
      </c>
      <c r="L6175" t="s">
        <v>19245</v>
      </c>
      <c r="M6175" t="s">
        <v>19246</v>
      </c>
      <c r="N6175" t="s">
        <v>278</v>
      </c>
      <c r="O6175" t="s">
        <v>28</v>
      </c>
      <c r="P6175" t="s">
        <v>29</v>
      </c>
      <c r="Q6175">
        <v>42</v>
      </c>
      <c r="R6175">
        <v>-93.620800000000003</v>
      </c>
    </row>
    <row r="6176" spans="1:18" x14ac:dyDescent="0.2">
      <c r="A6176" t="s">
        <v>270</v>
      </c>
      <c r="B6176" t="s">
        <v>271</v>
      </c>
      <c r="C6176">
        <v>1</v>
      </c>
      <c r="D6176" s="1">
        <v>44346.805300925924</v>
      </c>
      <c r="E6176" t="s">
        <v>19247</v>
      </c>
      <c r="F6176" t="s">
        <v>273</v>
      </c>
      <c r="G6176" t="s">
        <v>19013</v>
      </c>
      <c r="H6176" t="s">
        <v>275</v>
      </c>
      <c r="I6176" t="s">
        <v>29</v>
      </c>
      <c r="J6176">
        <v>1</v>
      </c>
      <c r="K6176">
        <f>1-804-571-199</f>
        <v>-1573</v>
      </c>
      <c r="L6176" t="s">
        <v>19248</v>
      </c>
      <c r="M6176" t="s">
        <v>19249</v>
      </c>
      <c r="N6176" t="s">
        <v>278</v>
      </c>
      <c r="O6176" t="s">
        <v>28</v>
      </c>
      <c r="P6176" t="s">
        <v>29</v>
      </c>
      <c r="Q6176">
        <v>42</v>
      </c>
      <c r="R6176">
        <v>-93.620800000000003</v>
      </c>
    </row>
    <row r="6177" spans="1:18" x14ac:dyDescent="0.2">
      <c r="A6177" t="s">
        <v>270</v>
      </c>
      <c r="B6177" t="s">
        <v>271</v>
      </c>
      <c r="C6177">
        <v>1</v>
      </c>
      <c r="D6177" s="1">
        <v>44346.805092592593</v>
      </c>
      <c r="E6177" t="s">
        <v>19250</v>
      </c>
      <c r="F6177" t="s">
        <v>273</v>
      </c>
      <c r="G6177" t="s">
        <v>19013</v>
      </c>
      <c r="H6177" t="s">
        <v>275</v>
      </c>
      <c r="I6177" t="s">
        <v>29</v>
      </c>
      <c r="J6177">
        <v>1</v>
      </c>
      <c r="K6177">
        <f>1-757-447-4970</f>
        <v>-6173</v>
      </c>
      <c r="L6177" t="s">
        <v>19251</v>
      </c>
      <c r="M6177" t="s">
        <v>19252</v>
      </c>
      <c r="N6177" t="s">
        <v>278</v>
      </c>
      <c r="O6177" t="s">
        <v>28</v>
      </c>
      <c r="P6177" t="s">
        <v>29</v>
      </c>
      <c r="Q6177">
        <v>42</v>
      </c>
      <c r="R6177">
        <v>-93.620800000000003</v>
      </c>
    </row>
    <row r="6178" spans="1:18" x14ac:dyDescent="0.2">
      <c r="A6178" t="s">
        <v>270</v>
      </c>
      <c r="B6178" t="s">
        <v>271</v>
      </c>
      <c r="C6178">
        <v>1</v>
      </c>
      <c r="D6178" s="1">
        <v>44346.804942129631</v>
      </c>
      <c r="E6178" t="s">
        <v>19253</v>
      </c>
      <c r="F6178" t="s">
        <v>273</v>
      </c>
      <c r="G6178" t="s">
        <v>19013</v>
      </c>
      <c r="H6178" t="s">
        <v>275</v>
      </c>
      <c r="I6178" t="s">
        <v>29</v>
      </c>
      <c r="J6178">
        <v>1</v>
      </c>
      <c r="K6178">
        <f>1-757-447-4970</f>
        <v>-6173</v>
      </c>
      <c r="L6178" t="s">
        <v>19254</v>
      </c>
      <c r="M6178" t="s">
        <v>19255</v>
      </c>
      <c r="N6178" t="s">
        <v>278</v>
      </c>
      <c r="O6178" t="s">
        <v>28</v>
      </c>
      <c r="P6178" t="s">
        <v>29</v>
      </c>
      <c r="Q6178">
        <v>42</v>
      </c>
      <c r="R6178">
        <v>-93.620800000000003</v>
      </c>
    </row>
    <row r="6179" spans="1:18" x14ac:dyDescent="0.2">
      <c r="A6179" t="s">
        <v>270</v>
      </c>
      <c r="B6179" t="s">
        <v>271</v>
      </c>
      <c r="C6179">
        <v>1</v>
      </c>
      <c r="D6179" s="1">
        <v>44346.804756944446</v>
      </c>
      <c r="E6179" t="s">
        <v>19256</v>
      </c>
      <c r="F6179" t="s">
        <v>273</v>
      </c>
      <c r="G6179" t="s">
        <v>19013</v>
      </c>
      <c r="H6179" t="s">
        <v>275</v>
      </c>
      <c r="I6179" t="s">
        <v>29</v>
      </c>
      <c r="J6179">
        <v>1</v>
      </c>
      <c r="K6179">
        <f>1-757-447-4970</f>
        <v>-6173</v>
      </c>
      <c r="L6179" t="s">
        <v>19257</v>
      </c>
      <c r="M6179" t="s">
        <v>19258</v>
      </c>
      <c r="N6179" t="s">
        <v>278</v>
      </c>
      <c r="O6179" t="s">
        <v>28</v>
      </c>
      <c r="P6179" t="s">
        <v>29</v>
      </c>
      <c r="Q6179">
        <v>42</v>
      </c>
      <c r="R6179">
        <v>-93.620800000000003</v>
      </c>
    </row>
    <row r="6180" spans="1:18" x14ac:dyDescent="0.2">
      <c r="A6180" t="s">
        <v>270</v>
      </c>
      <c r="B6180" t="s">
        <v>271</v>
      </c>
      <c r="C6180">
        <v>1</v>
      </c>
      <c r="D6180" s="1">
        <v>44346.804583333331</v>
      </c>
      <c r="E6180" t="s">
        <v>19259</v>
      </c>
      <c r="F6180" t="s">
        <v>273</v>
      </c>
      <c r="G6180" t="s">
        <v>19013</v>
      </c>
      <c r="H6180" t="s">
        <v>275</v>
      </c>
      <c r="I6180" t="s">
        <v>29</v>
      </c>
      <c r="J6180">
        <v>1</v>
      </c>
      <c r="K6180">
        <f>1-757-447-4970</f>
        <v>-6173</v>
      </c>
      <c r="L6180" t="s">
        <v>19260</v>
      </c>
      <c r="M6180" t="s">
        <v>19261</v>
      </c>
      <c r="N6180" t="s">
        <v>278</v>
      </c>
      <c r="O6180" t="s">
        <v>28</v>
      </c>
      <c r="P6180" t="s">
        <v>29</v>
      </c>
      <c r="Q6180">
        <v>42</v>
      </c>
      <c r="R6180">
        <v>-93.620800000000003</v>
      </c>
    </row>
    <row r="6181" spans="1:18" x14ac:dyDescent="0.2">
      <c r="A6181" t="s">
        <v>270</v>
      </c>
      <c r="B6181" t="s">
        <v>271</v>
      </c>
      <c r="C6181">
        <v>1</v>
      </c>
      <c r="D6181" s="1">
        <v>44346.804398148146</v>
      </c>
      <c r="E6181" t="s">
        <v>19262</v>
      </c>
      <c r="F6181" t="s">
        <v>273</v>
      </c>
      <c r="G6181" t="s">
        <v>19013</v>
      </c>
      <c r="H6181" t="s">
        <v>275</v>
      </c>
      <c r="I6181" t="s">
        <v>29</v>
      </c>
      <c r="J6181">
        <v>1</v>
      </c>
      <c r="K6181">
        <f>1-757-447-4970</f>
        <v>-6173</v>
      </c>
      <c r="L6181" t="s">
        <v>19263</v>
      </c>
      <c r="M6181" t="s">
        <v>19264</v>
      </c>
      <c r="N6181" t="s">
        <v>278</v>
      </c>
      <c r="O6181" t="s">
        <v>28</v>
      </c>
      <c r="P6181" t="s">
        <v>29</v>
      </c>
      <c r="Q6181">
        <v>42</v>
      </c>
      <c r="R6181">
        <v>-93.620800000000003</v>
      </c>
    </row>
    <row r="6182" spans="1:18" x14ac:dyDescent="0.2">
      <c r="A6182" t="s">
        <v>270</v>
      </c>
      <c r="B6182" t="s">
        <v>271</v>
      </c>
      <c r="C6182">
        <v>1</v>
      </c>
      <c r="D6182" s="1">
        <v>44346.804236111115</v>
      </c>
      <c r="E6182" t="s">
        <v>19265</v>
      </c>
      <c r="F6182" t="s">
        <v>273</v>
      </c>
      <c r="G6182" t="s">
        <v>19013</v>
      </c>
      <c r="H6182" t="s">
        <v>275</v>
      </c>
      <c r="I6182" t="s">
        <v>29</v>
      </c>
      <c r="J6182">
        <v>1</v>
      </c>
      <c r="K6182">
        <f>1-804-518-6522</f>
        <v>-7843</v>
      </c>
      <c r="L6182" t="s">
        <v>19266</v>
      </c>
      <c r="M6182" t="s">
        <v>19267</v>
      </c>
      <c r="N6182" t="s">
        <v>278</v>
      </c>
      <c r="O6182" t="s">
        <v>28</v>
      </c>
      <c r="P6182" t="s">
        <v>29</v>
      </c>
      <c r="Q6182">
        <v>42</v>
      </c>
      <c r="R6182">
        <v>-93.620800000000003</v>
      </c>
    </row>
    <row r="6183" spans="1:18" x14ac:dyDescent="0.2">
      <c r="A6183" t="s">
        <v>270</v>
      </c>
      <c r="B6183" t="s">
        <v>271</v>
      </c>
      <c r="C6183">
        <v>1</v>
      </c>
      <c r="D6183" s="1">
        <v>44346.804062499999</v>
      </c>
      <c r="E6183" t="s">
        <v>19268</v>
      </c>
      <c r="F6183" t="s">
        <v>273</v>
      </c>
      <c r="G6183" t="s">
        <v>19013</v>
      </c>
      <c r="H6183" t="s">
        <v>275</v>
      </c>
      <c r="I6183" t="s">
        <v>29</v>
      </c>
      <c r="J6183">
        <v>1</v>
      </c>
      <c r="K6183">
        <f>1-804-518-6522</f>
        <v>-7843</v>
      </c>
      <c r="L6183" t="s">
        <v>19269</v>
      </c>
      <c r="M6183" t="s">
        <v>19270</v>
      </c>
      <c r="N6183" t="s">
        <v>278</v>
      </c>
      <c r="O6183" t="s">
        <v>28</v>
      </c>
      <c r="P6183" t="s">
        <v>29</v>
      </c>
      <c r="Q6183">
        <v>42</v>
      </c>
      <c r="R6183">
        <v>-93.620800000000003</v>
      </c>
    </row>
    <row r="6184" spans="1:18" x14ac:dyDescent="0.2">
      <c r="A6184" t="s">
        <v>270</v>
      </c>
      <c r="B6184" t="s">
        <v>271</v>
      </c>
      <c r="C6184">
        <v>1</v>
      </c>
      <c r="D6184" s="1">
        <v>44346.803854166668</v>
      </c>
      <c r="E6184" t="s">
        <v>19271</v>
      </c>
      <c r="F6184" t="s">
        <v>273</v>
      </c>
      <c r="G6184" t="s">
        <v>19013</v>
      </c>
      <c r="H6184" t="s">
        <v>275</v>
      </c>
      <c r="I6184" t="s">
        <v>29</v>
      </c>
      <c r="J6184">
        <v>1</v>
      </c>
      <c r="K6184">
        <f>1-804-518-6522</f>
        <v>-7843</v>
      </c>
      <c r="L6184" t="s">
        <v>19272</v>
      </c>
      <c r="M6184" t="s">
        <v>19273</v>
      </c>
      <c r="N6184" t="s">
        <v>278</v>
      </c>
      <c r="O6184" t="s">
        <v>28</v>
      </c>
      <c r="P6184" t="s">
        <v>29</v>
      </c>
      <c r="Q6184">
        <v>42</v>
      </c>
      <c r="R6184">
        <v>-93.620800000000003</v>
      </c>
    </row>
    <row r="6185" spans="1:18" x14ac:dyDescent="0.2">
      <c r="A6185" t="s">
        <v>270</v>
      </c>
      <c r="B6185" t="s">
        <v>271</v>
      </c>
      <c r="C6185">
        <v>1</v>
      </c>
      <c r="D6185" s="1">
        <v>44346.803668981483</v>
      </c>
      <c r="E6185" t="s">
        <v>19274</v>
      </c>
      <c r="F6185" t="s">
        <v>273</v>
      </c>
      <c r="G6185" t="s">
        <v>19013</v>
      </c>
      <c r="H6185" t="s">
        <v>275</v>
      </c>
      <c r="I6185" t="s">
        <v>29</v>
      </c>
      <c r="J6185">
        <v>1</v>
      </c>
      <c r="K6185">
        <f>1-757-447-4970</f>
        <v>-6173</v>
      </c>
      <c r="L6185" t="s">
        <v>19275</v>
      </c>
      <c r="M6185" t="s">
        <v>19276</v>
      </c>
      <c r="N6185" t="s">
        <v>278</v>
      </c>
      <c r="O6185" t="s">
        <v>28</v>
      </c>
      <c r="P6185" t="s">
        <v>29</v>
      </c>
      <c r="Q6185">
        <v>42</v>
      </c>
      <c r="R6185">
        <v>-93.620800000000003</v>
      </c>
    </row>
    <row r="6186" spans="1:18" x14ac:dyDescent="0.2">
      <c r="A6186" t="s">
        <v>270</v>
      </c>
      <c r="B6186" t="s">
        <v>271</v>
      </c>
      <c r="C6186">
        <v>1</v>
      </c>
      <c r="D6186" s="1">
        <v>44346.803495370368</v>
      </c>
      <c r="E6186" t="s">
        <v>19277</v>
      </c>
      <c r="F6186" t="s">
        <v>273</v>
      </c>
      <c r="G6186" t="s">
        <v>19013</v>
      </c>
      <c r="H6186" t="s">
        <v>275</v>
      </c>
      <c r="I6186" t="s">
        <v>29</v>
      </c>
      <c r="J6186">
        <v>1</v>
      </c>
      <c r="K6186">
        <f>1-804-518-6522</f>
        <v>-7843</v>
      </c>
      <c r="L6186" t="s">
        <v>19278</v>
      </c>
      <c r="M6186" t="s">
        <v>19279</v>
      </c>
      <c r="N6186" t="s">
        <v>278</v>
      </c>
      <c r="O6186" t="s">
        <v>28</v>
      </c>
      <c r="P6186" t="s">
        <v>29</v>
      </c>
      <c r="Q6186">
        <v>42</v>
      </c>
      <c r="R6186">
        <v>-93.620800000000003</v>
      </c>
    </row>
    <row r="6187" spans="1:18" x14ac:dyDescent="0.2">
      <c r="A6187" t="s">
        <v>270</v>
      </c>
      <c r="B6187" t="s">
        <v>271</v>
      </c>
      <c r="C6187">
        <v>1</v>
      </c>
      <c r="D6187" s="1">
        <v>44346.803391203706</v>
      </c>
      <c r="E6187" t="s">
        <v>19280</v>
      </c>
      <c r="F6187" t="s">
        <v>273</v>
      </c>
      <c r="G6187" t="s">
        <v>19013</v>
      </c>
      <c r="H6187" t="s">
        <v>275</v>
      </c>
      <c r="I6187" t="s">
        <v>29</v>
      </c>
      <c r="J6187">
        <v>1</v>
      </c>
      <c r="K6187">
        <f>1-804-571-199</f>
        <v>-1573</v>
      </c>
      <c r="L6187" t="s">
        <v>19281</v>
      </c>
      <c r="M6187" t="s">
        <v>19282</v>
      </c>
      <c r="N6187" t="s">
        <v>278</v>
      </c>
      <c r="O6187" t="s">
        <v>28</v>
      </c>
      <c r="P6187" t="s">
        <v>29</v>
      </c>
      <c r="Q6187">
        <v>42</v>
      </c>
      <c r="R6187">
        <v>-93.620800000000003</v>
      </c>
    </row>
    <row r="6188" spans="1:18" x14ac:dyDescent="0.2">
      <c r="A6188" t="s">
        <v>270</v>
      </c>
      <c r="B6188" t="s">
        <v>271</v>
      </c>
      <c r="C6188">
        <v>1</v>
      </c>
      <c r="D6188" s="1">
        <v>44341.923148148147</v>
      </c>
      <c r="E6188" t="s">
        <v>19283</v>
      </c>
      <c r="F6188" t="s">
        <v>273</v>
      </c>
      <c r="G6188" t="s">
        <v>19013</v>
      </c>
      <c r="H6188" t="s">
        <v>275</v>
      </c>
      <c r="I6188" t="s">
        <v>29</v>
      </c>
      <c r="J6188">
        <v>1</v>
      </c>
      <c r="K6188">
        <f>1-630-233-4386</f>
        <v>-5248</v>
      </c>
      <c r="L6188" t="s">
        <v>19284</v>
      </c>
      <c r="M6188" t="s">
        <v>19285</v>
      </c>
      <c r="N6188" t="s">
        <v>278</v>
      </c>
      <c r="O6188" t="s">
        <v>28</v>
      </c>
      <c r="P6188" t="s">
        <v>29</v>
      </c>
      <c r="Q6188">
        <v>42</v>
      </c>
      <c r="R6188">
        <v>-93.620800000000003</v>
      </c>
    </row>
    <row r="6189" spans="1:18" x14ac:dyDescent="0.2">
      <c r="A6189" t="s">
        <v>270</v>
      </c>
      <c r="B6189" t="s">
        <v>271</v>
      </c>
      <c r="C6189">
        <v>1</v>
      </c>
      <c r="D6189" s="1">
        <v>44341.923055555555</v>
      </c>
      <c r="E6189" t="s">
        <v>19286</v>
      </c>
      <c r="F6189" t="s">
        <v>273</v>
      </c>
      <c r="G6189" t="s">
        <v>19013</v>
      </c>
      <c r="H6189" t="s">
        <v>275</v>
      </c>
      <c r="I6189" t="s">
        <v>29</v>
      </c>
      <c r="J6189">
        <v>1</v>
      </c>
      <c r="K6189">
        <f>1-630-233-4386</f>
        <v>-5248</v>
      </c>
      <c r="L6189" t="s">
        <v>19287</v>
      </c>
      <c r="M6189" t="s">
        <v>19288</v>
      </c>
      <c r="N6189" t="s">
        <v>278</v>
      </c>
      <c r="O6189" t="s">
        <v>28</v>
      </c>
      <c r="P6189" t="s">
        <v>29</v>
      </c>
      <c r="Q6189">
        <v>42</v>
      </c>
      <c r="R6189">
        <v>-93.620800000000003</v>
      </c>
    </row>
    <row r="6190" spans="1:18" x14ac:dyDescent="0.2">
      <c r="A6190" t="s">
        <v>270</v>
      </c>
      <c r="B6190" t="s">
        <v>271</v>
      </c>
      <c r="C6190">
        <v>1</v>
      </c>
      <c r="D6190" s="1">
        <v>44341.922974537039</v>
      </c>
      <c r="E6190" t="s">
        <v>19289</v>
      </c>
      <c r="F6190" t="s">
        <v>273</v>
      </c>
      <c r="G6190" t="s">
        <v>19013</v>
      </c>
      <c r="H6190" t="s">
        <v>275</v>
      </c>
      <c r="I6190" t="s">
        <v>29</v>
      </c>
      <c r="J6190">
        <v>1</v>
      </c>
      <c r="K6190">
        <f>1-630-233-4386</f>
        <v>-5248</v>
      </c>
      <c r="L6190" t="s">
        <v>19290</v>
      </c>
      <c r="M6190" t="s">
        <v>19291</v>
      </c>
      <c r="N6190" t="s">
        <v>278</v>
      </c>
      <c r="O6190" t="s">
        <v>28</v>
      </c>
      <c r="P6190" t="s">
        <v>29</v>
      </c>
      <c r="Q6190">
        <v>42</v>
      </c>
      <c r="R6190">
        <v>-93.620800000000003</v>
      </c>
    </row>
    <row r="6191" spans="1:18" x14ac:dyDescent="0.2">
      <c r="A6191" t="s">
        <v>270</v>
      </c>
      <c r="B6191" t="s">
        <v>271</v>
      </c>
      <c r="C6191">
        <v>1</v>
      </c>
      <c r="D6191" s="1">
        <v>44341.922893518517</v>
      </c>
      <c r="E6191" t="s">
        <v>19292</v>
      </c>
      <c r="F6191" t="s">
        <v>273</v>
      </c>
      <c r="G6191" t="s">
        <v>19013</v>
      </c>
      <c r="H6191" t="s">
        <v>275</v>
      </c>
      <c r="I6191" t="s">
        <v>29</v>
      </c>
      <c r="J6191">
        <v>1</v>
      </c>
      <c r="K6191">
        <f>1-630-233-4386</f>
        <v>-5248</v>
      </c>
      <c r="L6191" t="s">
        <v>19293</v>
      </c>
      <c r="M6191" t="s">
        <v>19294</v>
      </c>
      <c r="N6191" t="s">
        <v>278</v>
      </c>
      <c r="O6191" t="s">
        <v>28</v>
      </c>
      <c r="P6191" t="s">
        <v>29</v>
      </c>
      <c r="Q6191">
        <v>42</v>
      </c>
      <c r="R6191">
        <v>-93.620800000000003</v>
      </c>
    </row>
    <row r="6192" spans="1:18" x14ac:dyDescent="0.2">
      <c r="A6192" t="s">
        <v>270</v>
      </c>
      <c r="B6192" t="s">
        <v>271</v>
      </c>
      <c r="C6192">
        <v>1</v>
      </c>
      <c r="D6192" s="1">
        <v>44341.922812500001</v>
      </c>
      <c r="E6192" t="s">
        <v>19295</v>
      </c>
      <c r="F6192" t="s">
        <v>273</v>
      </c>
      <c r="G6192" t="s">
        <v>19013</v>
      </c>
      <c r="H6192" t="s">
        <v>275</v>
      </c>
      <c r="I6192" t="s">
        <v>29</v>
      </c>
      <c r="J6192">
        <v>1</v>
      </c>
      <c r="K6192">
        <f>1-630-233-4386</f>
        <v>-5248</v>
      </c>
      <c r="L6192" t="s">
        <v>19296</v>
      </c>
      <c r="M6192" t="s">
        <v>19297</v>
      </c>
      <c r="N6192" t="s">
        <v>278</v>
      </c>
      <c r="O6192" t="s">
        <v>28</v>
      </c>
      <c r="P6192" t="s">
        <v>29</v>
      </c>
      <c r="Q6192">
        <v>42</v>
      </c>
      <c r="R6192">
        <v>-93.620800000000003</v>
      </c>
    </row>
    <row r="6193" spans="1:18" x14ac:dyDescent="0.2">
      <c r="A6193" t="s">
        <v>270</v>
      </c>
      <c r="B6193" t="s">
        <v>271</v>
      </c>
      <c r="C6193">
        <v>1</v>
      </c>
      <c r="D6193" s="1">
        <v>44342.935694444444</v>
      </c>
      <c r="E6193" t="s">
        <v>19298</v>
      </c>
      <c r="F6193" t="s">
        <v>273</v>
      </c>
      <c r="G6193" t="s">
        <v>19013</v>
      </c>
      <c r="H6193" t="s">
        <v>275</v>
      </c>
      <c r="I6193" t="s">
        <v>29</v>
      </c>
      <c r="J6193">
        <v>1</v>
      </c>
      <c r="K6193">
        <f>1-740-214-6850</f>
        <v>-7803</v>
      </c>
      <c r="L6193" t="s">
        <v>19299</v>
      </c>
      <c r="M6193" t="s">
        <v>19300</v>
      </c>
      <c r="N6193" t="s">
        <v>278</v>
      </c>
      <c r="O6193" t="s">
        <v>28</v>
      </c>
      <c r="P6193" t="s">
        <v>29</v>
      </c>
      <c r="Q6193">
        <v>42</v>
      </c>
      <c r="R6193">
        <v>-93.620800000000003</v>
      </c>
    </row>
    <row r="6194" spans="1:18" x14ac:dyDescent="0.2">
      <c r="A6194" t="s">
        <v>270</v>
      </c>
      <c r="B6194" t="s">
        <v>271</v>
      </c>
      <c r="C6194">
        <v>1</v>
      </c>
      <c r="D6194" s="1">
        <v>44344.647037037037</v>
      </c>
      <c r="E6194" t="s">
        <v>19301</v>
      </c>
      <c r="F6194" t="s">
        <v>273</v>
      </c>
      <c r="G6194" t="s">
        <v>19013</v>
      </c>
      <c r="H6194" t="s">
        <v>275</v>
      </c>
      <c r="I6194" t="s">
        <v>29</v>
      </c>
      <c r="J6194">
        <v>1</v>
      </c>
      <c r="K6194">
        <f>1-757-447-4970</f>
        <v>-6173</v>
      </c>
      <c r="L6194" t="s">
        <v>19302</v>
      </c>
      <c r="M6194" t="s">
        <v>19303</v>
      </c>
      <c r="N6194" t="s">
        <v>278</v>
      </c>
      <c r="O6194" t="s">
        <v>28</v>
      </c>
      <c r="P6194" t="s">
        <v>29</v>
      </c>
      <c r="Q6194">
        <v>42</v>
      </c>
      <c r="R6194">
        <v>-93.620800000000003</v>
      </c>
    </row>
    <row r="6195" spans="1:18" x14ac:dyDescent="0.2">
      <c r="A6195" t="s">
        <v>270</v>
      </c>
      <c r="B6195" t="s">
        <v>271</v>
      </c>
      <c r="C6195">
        <v>1</v>
      </c>
      <c r="D6195" s="1">
        <v>44342.935972222222</v>
      </c>
      <c r="E6195" t="s">
        <v>19304</v>
      </c>
      <c r="F6195" t="s">
        <v>273</v>
      </c>
      <c r="G6195" t="s">
        <v>19013</v>
      </c>
      <c r="H6195" t="s">
        <v>275</v>
      </c>
      <c r="I6195" t="s">
        <v>29</v>
      </c>
      <c r="J6195">
        <v>1</v>
      </c>
      <c r="K6195">
        <f>1-740-214-6850</f>
        <v>-7803</v>
      </c>
      <c r="L6195" t="s">
        <v>19305</v>
      </c>
      <c r="M6195" t="s">
        <v>19306</v>
      </c>
      <c r="N6195" t="s">
        <v>278</v>
      </c>
      <c r="O6195" t="s">
        <v>28</v>
      </c>
      <c r="P6195" t="s">
        <v>29</v>
      </c>
      <c r="Q6195">
        <v>42</v>
      </c>
      <c r="R6195">
        <v>-93.620800000000003</v>
      </c>
    </row>
    <row r="6196" spans="1:18" x14ac:dyDescent="0.2">
      <c r="A6196" t="s">
        <v>270</v>
      </c>
      <c r="B6196" t="s">
        <v>271</v>
      </c>
      <c r="C6196">
        <v>1</v>
      </c>
      <c r="D6196" s="1">
        <v>44342.935416666667</v>
      </c>
      <c r="E6196" t="s">
        <v>19307</v>
      </c>
      <c r="F6196" t="s">
        <v>273</v>
      </c>
      <c r="G6196" t="s">
        <v>19013</v>
      </c>
      <c r="H6196" t="s">
        <v>275</v>
      </c>
      <c r="I6196" t="s">
        <v>29</v>
      </c>
      <c r="J6196">
        <v>1</v>
      </c>
      <c r="K6196">
        <f>1-740-214-6850</f>
        <v>-7803</v>
      </c>
      <c r="L6196" t="s">
        <v>19308</v>
      </c>
      <c r="M6196" t="s">
        <v>19309</v>
      </c>
      <c r="N6196" t="s">
        <v>278</v>
      </c>
      <c r="O6196" t="s">
        <v>28</v>
      </c>
      <c r="P6196" t="s">
        <v>29</v>
      </c>
      <c r="Q6196">
        <v>42</v>
      </c>
      <c r="R6196">
        <v>-93.620800000000003</v>
      </c>
    </row>
    <row r="6197" spans="1:18" x14ac:dyDescent="0.2">
      <c r="A6197" t="s">
        <v>270</v>
      </c>
      <c r="B6197" t="s">
        <v>271</v>
      </c>
      <c r="C6197">
        <v>1</v>
      </c>
      <c r="D6197" s="1">
        <v>44342.935347222221</v>
      </c>
      <c r="E6197" t="s">
        <v>19310</v>
      </c>
      <c r="F6197" t="s">
        <v>273</v>
      </c>
      <c r="G6197" t="s">
        <v>19013</v>
      </c>
      <c r="H6197" t="s">
        <v>275</v>
      </c>
      <c r="I6197" t="s">
        <v>29</v>
      </c>
      <c r="J6197">
        <v>1</v>
      </c>
      <c r="K6197">
        <f>1-740-214-6850</f>
        <v>-7803</v>
      </c>
      <c r="L6197" t="s">
        <v>19311</v>
      </c>
      <c r="M6197" t="s">
        <v>19312</v>
      </c>
      <c r="N6197" t="s">
        <v>278</v>
      </c>
      <c r="O6197" t="s">
        <v>28</v>
      </c>
      <c r="P6197" t="s">
        <v>29</v>
      </c>
      <c r="Q6197">
        <v>42</v>
      </c>
      <c r="R6197">
        <v>-93.620800000000003</v>
      </c>
    </row>
    <row r="6198" spans="1:18" x14ac:dyDescent="0.2">
      <c r="A6198" t="s">
        <v>270</v>
      </c>
      <c r="B6198" t="s">
        <v>271</v>
      </c>
      <c r="C6198">
        <v>1</v>
      </c>
      <c r="D6198" s="1">
        <v>44342.935219907406</v>
      </c>
      <c r="E6198" t="s">
        <v>19313</v>
      </c>
      <c r="F6198" t="s">
        <v>273</v>
      </c>
      <c r="G6198" t="s">
        <v>19013</v>
      </c>
      <c r="H6198" t="s">
        <v>275</v>
      </c>
      <c r="I6198" t="s">
        <v>29</v>
      </c>
      <c r="J6198">
        <v>1</v>
      </c>
      <c r="K6198">
        <f>1-740-214-6850</f>
        <v>-7803</v>
      </c>
      <c r="L6198" t="s">
        <v>19314</v>
      </c>
      <c r="M6198" t="s">
        <v>19315</v>
      </c>
      <c r="N6198" t="s">
        <v>278</v>
      </c>
      <c r="O6198" t="s">
        <v>28</v>
      </c>
      <c r="P6198" t="s">
        <v>29</v>
      </c>
      <c r="Q6198">
        <v>42</v>
      </c>
      <c r="R6198">
        <v>-93.620800000000003</v>
      </c>
    </row>
    <row r="6199" spans="1:18" x14ac:dyDescent="0.2">
      <c r="A6199" t="s">
        <v>270</v>
      </c>
      <c r="B6199" t="s">
        <v>271</v>
      </c>
      <c r="C6199">
        <v>1</v>
      </c>
      <c r="D6199" s="1">
        <v>44340.946377314816</v>
      </c>
      <c r="E6199" t="s">
        <v>19316</v>
      </c>
      <c r="F6199" t="s">
        <v>273</v>
      </c>
      <c r="G6199" t="s">
        <v>19013</v>
      </c>
      <c r="H6199" t="s">
        <v>275</v>
      </c>
      <c r="I6199" t="s">
        <v>29</v>
      </c>
      <c r="J6199">
        <v>1</v>
      </c>
      <c r="K6199">
        <f>1-630-233-4386</f>
        <v>-5248</v>
      </c>
      <c r="L6199" t="s">
        <v>19317</v>
      </c>
      <c r="M6199" t="s">
        <v>19318</v>
      </c>
      <c r="N6199" t="s">
        <v>278</v>
      </c>
      <c r="O6199" t="s">
        <v>28</v>
      </c>
      <c r="P6199" t="s">
        <v>29</v>
      </c>
      <c r="Q6199">
        <v>42</v>
      </c>
      <c r="R6199">
        <v>-93.620800000000003</v>
      </c>
    </row>
    <row r="6200" spans="1:18" x14ac:dyDescent="0.2">
      <c r="A6200" t="s">
        <v>270</v>
      </c>
      <c r="B6200" t="s">
        <v>271</v>
      </c>
      <c r="C6200">
        <v>1</v>
      </c>
      <c r="D6200" s="1">
        <v>44340.946238425924</v>
      </c>
      <c r="E6200" t="s">
        <v>19319</v>
      </c>
      <c r="F6200" t="s">
        <v>273</v>
      </c>
      <c r="G6200" t="s">
        <v>19013</v>
      </c>
      <c r="H6200" t="s">
        <v>275</v>
      </c>
      <c r="I6200" t="s">
        <v>29</v>
      </c>
      <c r="J6200">
        <v>1</v>
      </c>
      <c r="K6200">
        <f>1-630-233-4386</f>
        <v>-5248</v>
      </c>
      <c r="L6200" t="s">
        <v>19320</v>
      </c>
      <c r="M6200" t="s">
        <v>19321</v>
      </c>
      <c r="N6200" t="s">
        <v>278</v>
      </c>
      <c r="O6200" t="s">
        <v>28</v>
      </c>
      <c r="P6200" t="s">
        <v>29</v>
      </c>
      <c r="Q6200">
        <v>42</v>
      </c>
      <c r="R6200">
        <v>-93.620800000000003</v>
      </c>
    </row>
    <row r="6201" spans="1:18" x14ac:dyDescent="0.2">
      <c r="A6201" t="s">
        <v>270</v>
      </c>
      <c r="B6201" t="s">
        <v>271</v>
      </c>
      <c r="C6201">
        <v>1</v>
      </c>
      <c r="D6201" s="1">
        <v>44340.946226851855</v>
      </c>
      <c r="E6201" t="s">
        <v>19322</v>
      </c>
      <c r="F6201" t="s">
        <v>273</v>
      </c>
      <c r="G6201" t="s">
        <v>19013</v>
      </c>
      <c r="H6201" t="s">
        <v>275</v>
      </c>
      <c r="I6201" t="s">
        <v>29</v>
      </c>
      <c r="J6201">
        <v>1</v>
      </c>
      <c r="K6201">
        <f>1-630-233-4386</f>
        <v>-5248</v>
      </c>
      <c r="L6201" t="s">
        <v>19323</v>
      </c>
      <c r="M6201" t="s">
        <v>19324</v>
      </c>
      <c r="N6201" t="s">
        <v>278</v>
      </c>
      <c r="O6201" t="s">
        <v>28</v>
      </c>
      <c r="P6201" t="s">
        <v>29</v>
      </c>
      <c r="Q6201">
        <v>42</v>
      </c>
      <c r="R6201">
        <v>-93.620800000000003</v>
      </c>
    </row>
    <row r="6202" spans="1:18" x14ac:dyDescent="0.2">
      <c r="A6202" t="s">
        <v>270</v>
      </c>
      <c r="B6202" t="s">
        <v>271</v>
      </c>
      <c r="C6202">
        <v>1</v>
      </c>
      <c r="D6202" s="1">
        <v>44340.946076388886</v>
      </c>
      <c r="E6202" t="s">
        <v>19325</v>
      </c>
      <c r="F6202" t="s">
        <v>273</v>
      </c>
      <c r="G6202" t="s">
        <v>19013</v>
      </c>
      <c r="H6202" t="s">
        <v>275</v>
      </c>
      <c r="I6202" t="s">
        <v>29</v>
      </c>
      <c r="J6202">
        <v>1</v>
      </c>
      <c r="K6202">
        <f>1-630-233-4386</f>
        <v>-5248</v>
      </c>
      <c r="L6202" t="s">
        <v>19326</v>
      </c>
      <c r="M6202" t="s">
        <v>19327</v>
      </c>
      <c r="N6202" t="s">
        <v>278</v>
      </c>
      <c r="O6202" t="s">
        <v>28</v>
      </c>
      <c r="P6202" t="s">
        <v>29</v>
      </c>
      <c r="Q6202">
        <v>42</v>
      </c>
      <c r="R6202">
        <v>-93.620800000000003</v>
      </c>
    </row>
    <row r="6203" spans="1:18" x14ac:dyDescent="0.2">
      <c r="A6203" t="s">
        <v>270</v>
      </c>
      <c r="B6203" t="s">
        <v>271</v>
      </c>
      <c r="C6203">
        <v>1</v>
      </c>
      <c r="D6203" s="1">
        <v>44340.945844907408</v>
      </c>
      <c r="E6203" t="s">
        <v>19328</v>
      </c>
      <c r="F6203" t="s">
        <v>273</v>
      </c>
      <c r="G6203" t="s">
        <v>19013</v>
      </c>
      <c r="H6203" t="s">
        <v>275</v>
      </c>
      <c r="I6203" t="s">
        <v>29</v>
      </c>
      <c r="J6203">
        <v>1</v>
      </c>
      <c r="K6203">
        <f>1-630-233-4386</f>
        <v>-5248</v>
      </c>
      <c r="L6203" t="s">
        <v>19329</v>
      </c>
      <c r="M6203" t="s">
        <v>19330</v>
      </c>
      <c r="N6203" t="s">
        <v>278</v>
      </c>
      <c r="O6203" t="s">
        <v>28</v>
      </c>
      <c r="P6203" t="s">
        <v>29</v>
      </c>
      <c r="Q6203">
        <v>42</v>
      </c>
      <c r="R6203">
        <v>-93.620800000000003</v>
      </c>
    </row>
    <row r="6204" spans="1:18" x14ac:dyDescent="0.2">
      <c r="A6204" t="s">
        <v>270</v>
      </c>
      <c r="B6204" t="s">
        <v>271</v>
      </c>
      <c r="C6204">
        <v>1</v>
      </c>
      <c r="D6204" s="1">
        <v>44339.810960648145</v>
      </c>
      <c r="E6204" t="s">
        <v>19331</v>
      </c>
      <c r="F6204" t="s">
        <v>273</v>
      </c>
      <c r="G6204" t="s">
        <v>19013</v>
      </c>
      <c r="H6204" t="s">
        <v>275</v>
      </c>
      <c r="I6204" t="s">
        <v>29</v>
      </c>
      <c r="J6204">
        <v>1</v>
      </c>
      <c r="K6204">
        <f>1-870-587-4369</f>
        <v>-5825</v>
      </c>
      <c r="L6204" t="s">
        <v>19332</v>
      </c>
      <c r="M6204" t="s">
        <v>19333</v>
      </c>
      <c r="N6204" t="s">
        <v>278</v>
      </c>
      <c r="O6204" t="s">
        <v>28</v>
      </c>
      <c r="P6204" t="s">
        <v>29</v>
      </c>
      <c r="Q6204">
        <v>42</v>
      </c>
      <c r="R6204">
        <v>-93.620800000000003</v>
      </c>
    </row>
    <row r="6205" spans="1:18" x14ac:dyDescent="0.2">
      <c r="A6205" t="s">
        <v>270</v>
      </c>
      <c r="B6205" t="s">
        <v>271</v>
      </c>
      <c r="C6205">
        <v>1</v>
      </c>
      <c r="D6205" s="1">
        <v>44339.810648148145</v>
      </c>
      <c r="E6205" t="s">
        <v>19334</v>
      </c>
      <c r="F6205" t="s">
        <v>273</v>
      </c>
      <c r="G6205" t="s">
        <v>19013</v>
      </c>
      <c r="H6205" t="s">
        <v>275</v>
      </c>
      <c r="I6205" t="s">
        <v>29</v>
      </c>
      <c r="J6205">
        <v>1</v>
      </c>
      <c r="K6205">
        <f>1-870-587-4369</f>
        <v>-5825</v>
      </c>
      <c r="L6205" t="s">
        <v>19335</v>
      </c>
      <c r="M6205" t="s">
        <v>19336</v>
      </c>
      <c r="N6205" t="s">
        <v>278</v>
      </c>
      <c r="O6205" t="s">
        <v>28</v>
      </c>
      <c r="P6205" t="s">
        <v>29</v>
      </c>
      <c r="Q6205">
        <v>42</v>
      </c>
      <c r="R6205">
        <v>-93.620800000000003</v>
      </c>
    </row>
    <row r="6206" spans="1:18" x14ac:dyDescent="0.2">
      <c r="A6206" t="s">
        <v>270</v>
      </c>
      <c r="B6206" t="s">
        <v>271</v>
      </c>
      <c r="C6206">
        <v>1</v>
      </c>
      <c r="D6206" s="1">
        <v>44339.713159722225</v>
      </c>
      <c r="E6206" t="s">
        <v>19337</v>
      </c>
      <c r="F6206" t="s">
        <v>273</v>
      </c>
      <c r="G6206" t="s">
        <v>19013</v>
      </c>
      <c r="H6206" t="s">
        <v>275</v>
      </c>
      <c r="I6206" t="s">
        <v>29</v>
      </c>
      <c r="J6206">
        <v>1</v>
      </c>
      <c r="K6206">
        <f>1-870-587-4369</f>
        <v>-5825</v>
      </c>
      <c r="L6206" t="s">
        <v>19338</v>
      </c>
      <c r="M6206" t="s">
        <v>19339</v>
      </c>
      <c r="N6206" t="s">
        <v>278</v>
      </c>
      <c r="O6206" t="s">
        <v>28</v>
      </c>
      <c r="P6206" t="s">
        <v>29</v>
      </c>
      <c r="Q6206">
        <v>42</v>
      </c>
      <c r="R6206">
        <v>-93.620800000000003</v>
      </c>
    </row>
    <row r="6207" spans="1:18" x14ac:dyDescent="0.2">
      <c r="A6207" t="s">
        <v>270</v>
      </c>
      <c r="B6207" t="s">
        <v>271</v>
      </c>
      <c r="C6207">
        <v>1</v>
      </c>
      <c r="D6207" s="1">
        <v>44339.712731481479</v>
      </c>
      <c r="E6207" t="s">
        <v>19340</v>
      </c>
      <c r="F6207" t="s">
        <v>273</v>
      </c>
      <c r="G6207" t="s">
        <v>19013</v>
      </c>
      <c r="H6207" t="s">
        <v>275</v>
      </c>
      <c r="I6207" t="s">
        <v>29</v>
      </c>
      <c r="J6207">
        <v>1</v>
      </c>
      <c r="K6207">
        <f>1-870-587-4369</f>
        <v>-5825</v>
      </c>
      <c r="L6207" t="s">
        <v>19341</v>
      </c>
      <c r="M6207" t="s">
        <v>19342</v>
      </c>
      <c r="N6207" t="s">
        <v>278</v>
      </c>
      <c r="O6207" t="s">
        <v>28</v>
      </c>
      <c r="P6207" t="s">
        <v>29</v>
      </c>
      <c r="Q6207">
        <v>42</v>
      </c>
      <c r="R6207">
        <v>-93.620800000000003</v>
      </c>
    </row>
    <row r="6208" spans="1:18" x14ac:dyDescent="0.2">
      <c r="A6208" t="s">
        <v>270</v>
      </c>
      <c r="B6208" t="s">
        <v>271</v>
      </c>
      <c r="C6208">
        <v>1</v>
      </c>
      <c r="D6208" s="1">
        <v>44337.993958333333</v>
      </c>
      <c r="E6208" t="s">
        <v>19343</v>
      </c>
      <c r="F6208" t="s">
        <v>273</v>
      </c>
      <c r="G6208" t="s">
        <v>19013</v>
      </c>
      <c r="H6208" t="s">
        <v>275</v>
      </c>
      <c r="I6208" t="s">
        <v>29</v>
      </c>
      <c r="J6208">
        <v>1</v>
      </c>
      <c r="K6208">
        <f t="shared" ref="K6208:K6213" si="56">1-815-595-4636</f>
        <v>-6045</v>
      </c>
      <c r="L6208" t="s">
        <v>19344</v>
      </c>
      <c r="M6208" t="s">
        <v>19345</v>
      </c>
      <c r="N6208" t="s">
        <v>278</v>
      </c>
      <c r="O6208" t="s">
        <v>28</v>
      </c>
      <c r="P6208" t="s">
        <v>29</v>
      </c>
      <c r="Q6208">
        <v>42</v>
      </c>
      <c r="R6208">
        <v>-93.620800000000003</v>
      </c>
    </row>
    <row r="6209" spans="1:18" x14ac:dyDescent="0.2">
      <c r="A6209" t="s">
        <v>270</v>
      </c>
      <c r="B6209" t="s">
        <v>271</v>
      </c>
      <c r="C6209">
        <v>1</v>
      </c>
      <c r="D6209" s="1">
        <v>44337.99386574074</v>
      </c>
      <c r="E6209" t="s">
        <v>19346</v>
      </c>
      <c r="F6209" t="s">
        <v>273</v>
      </c>
      <c r="G6209" t="s">
        <v>19013</v>
      </c>
      <c r="H6209" t="s">
        <v>275</v>
      </c>
      <c r="I6209" t="s">
        <v>29</v>
      </c>
      <c r="J6209">
        <v>1</v>
      </c>
      <c r="K6209">
        <f t="shared" si="56"/>
        <v>-6045</v>
      </c>
      <c r="L6209" t="s">
        <v>19347</v>
      </c>
      <c r="M6209" t="s">
        <v>19348</v>
      </c>
      <c r="N6209" t="s">
        <v>278</v>
      </c>
      <c r="O6209" t="s">
        <v>28</v>
      </c>
      <c r="P6209" t="s">
        <v>29</v>
      </c>
      <c r="Q6209">
        <v>42</v>
      </c>
      <c r="R6209">
        <v>-93.620800000000003</v>
      </c>
    </row>
    <row r="6210" spans="1:18" x14ac:dyDescent="0.2">
      <c r="A6210" t="s">
        <v>270</v>
      </c>
      <c r="B6210" t="s">
        <v>271</v>
      </c>
      <c r="C6210">
        <v>1</v>
      </c>
      <c r="D6210" s="1">
        <v>44337.993761574071</v>
      </c>
      <c r="E6210" t="s">
        <v>19349</v>
      </c>
      <c r="F6210" t="s">
        <v>273</v>
      </c>
      <c r="G6210" t="s">
        <v>19013</v>
      </c>
      <c r="H6210" t="s">
        <v>275</v>
      </c>
      <c r="I6210" t="s">
        <v>29</v>
      </c>
      <c r="J6210">
        <v>1</v>
      </c>
      <c r="K6210">
        <f t="shared" si="56"/>
        <v>-6045</v>
      </c>
      <c r="L6210" t="s">
        <v>19350</v>
      </c>
      <c r="M6210" t="s">
        <v>19351</v>
      </c>
      <c r="N6210" t="s">
        <v>278</v>
      </c>
      <c r="O6210" t="s">
        <v>28</v>
      </c>
      <c r="P6210" t="s">
        <v>29</v>
      </c>
      <c r="Q6210">
        <v>42</v>
      </c>
      <c r="R6210">
        <v>-93.620800000000003</v>
      </c>
    </row>
    <row r="6211" spans="1:18" x14ac:dyDescent="0.2">
      <c r="A6211" t="s">
        <v>270</v>
      </c>
      <c r="B6211" t="s">
        <v>271</v>
      </c>
      <c r="C6211">
        <v>1</v>
      </c>
      <c r="D6211" s="1">
        <v>44337.989525462966</v>
      </c>
      <c r="E6211" t="s">
        <v>19352</v>
      </c>
      <c r="F6211" t="s">
        <v>273</v>
      </c>
      <c r="G6211" t="s">
        <v>19013</v>
      </c>
      <c r="H6211" t="s">
        <v>275</v>
      </c>
      <c r="I6211" t="s">
        <v>29</v>
      </c>
      <c r="J6211">
        <v>1</v>
      </c>
      <c r="K6211">
        <f t="shared" si="56"/>
        <v>-6045</v>
      </c>
      <c r="L6211" t="s">
        <v>19353</v>
      </c>
      <c r="M6211" t="s">
        <v>19354</v>
      </c>
      <c r="N6211" t="s">
        <v>278</v>
      </c>
      <c r="O6211" t="s">
        <v>28</v>
      </c>
      <c r="P6211" t="s">
        <v>29</v>
      </c>
      <c r="Q6211">
        <v>42</v>
      </c>
      <c r="R6211">
        <v>-93.620800000000003</v>
      </c>
    </row>
    <row r="6212" spans="1:18" x14ac:dyDescent="0.2">
      <c r="A6212" t="s">
        <v>270</v>
      </c>
      <c r="B6212" t="s">
        <v>271</v>
      </c>
      <c r="C6212">
        <v>1</v>
      </c>
      <c r="D6212" s="1">
        <v>44337.949687499997</v>
      </c>
      <c r="E6212" t="s">
        <v>19355</v>
      </c>
      <c r="F6212" t="s">
        <v>273</v>
      </c>
      <c r="G6212" t="s">
        <v>19013</v>
      </c>
      <c r="H6212" t="s">
        <v>275</v>
      </c>
      <c r="I6212" t="s">
        <v>29</v>
      </c>
      <c r="J6212">
        <v>1</v>
      </c>
      <c r="K6212">
        <f t="shared" si="56"/>
        <v>-6045</v>
      </c>
      <c r="L6212" t="s">
        <v>19356</v>
      </c>
      <c r="M6212" t="s">
        <v>19357</v>
      </c>
      <c r="N6212" t="s">
        <v>278</v>
      </c>
      <c r="O6212" t="s">
        <v>28</v>
      </c>
      <c r="P6212" t="s">
        <v>29</v>
      </c>
      <c r="Q6212">
        <v>42</v>
      </c>
      <c r="R6212">
        <v>-93.620800000000003</v>
      </c>
    </row>
    <row r="6213" spans="1:18" x14ac:dyDescent="0.2">
      <c r="A6213" t="s">
        <v>270</v>
      </c>
      <c r="B6213" t="s">
        <v>271</v>
      </c>
      <c r="C6213">
        <v>1</v>
      </c>
      <c r="D6213" s="1">
        <v>44337.911319444444</v>
      </c>
      <c r="E6213" t="s">
        <v>19358</v>
      </c>
      <c r="F6213" t="s">
        <v>273</v>
      </c>
      <c r="G6213" t="s">
        <v>19013</v>
      </c>
      <c r="H6213" t="s">
        <v>275</v>
      </c>
      <c r="I6213" t="s">
        <v>29</v>
      </c>
      <c r="J6213">
        <v>1</v>
      </c>
      <c r="K6213">
        <f t="shared" si="56"/>
        <v>-6045</v>
      </c>
      <c r="L6213" t="s">
        <v>19359</v>
      </c>
      <c r="M6213" t="s">
        <v>19360</v>
      </c>
      <c r="N6213" t="s">
        <v>278</v>
      </c>
      <c r="O6213" t="s">
        <v>28</v>
      </c>
      <c r="P6213" t="s">
        <v>29</v>
      </c>
      <c r="Q6213">
        <v>42</v>
      </c>
      <c r="R6213">
        <v>-93.620800000000003</v>
      </c>
    </row>
    <row r="6214" spans="1:18" x14ac:dyDescent="0.2">
      <c r="A6214" t="s">
        <v>270</v>
      </c>
      <c r="B6214" t="s">
        <v>271</v>
      </c>
      <c r="C6214">
        <v>1</v>
      </c>
      <c r="D6214" s="1">
        <v>44337.893807870372</v>
      </c>
      <c r="E6214" t="s">
        <v>19361</v>
      </c>
      <c r="F6214" t="s">
        <v>273</v>
      </c>
      <c r="G6214" t="s">
        <v>19013</v>
      </c>
      <c r="H6214" t="s">
        <v>275</v>
      </c>
      <c r="I6214" t="s">
        <v>29</v>
      </c>
      <c r="J6214">
        <v>1</v>
      </c>
      <c r="K6214">
        <f>1-571-384-8482</f>
        <v>-9436</v>
      </c>
      <c r="L6214" t="s">
        <v>19362</v>
      </c>
      <c r="M6214" t="s">
        <v>19363</v>
      </c>
      <c r="N6214" t="s">
        <v>278</v>
      </c>
      <c r="O6214" t="s">
        <v>28</v>
      </c>
      <c r="P6214" t="s">
        <v>29</v>
      </c>
      <c r="Q6214">
        <v>42</v>
      </c>
      <c r="R6214">
        <v>-93.620800000000003</v>
      </c>
    </row>
    <row r="6215" spans="1:18" x14ac:dyDescent="0.2">
      <c r="A6215" t="s">
        <v>270</v>
      </c>
      <c r="B6215" t="s">
        <v>271</v>
      </c>
      <c r="C6215">
        <v>1</v>
      </c>
      <c r="D6215" s="1">
        <v>44337.893703703703</v>
      </c>
      <c r="E6215" t="s">
        <v>19364</v>
      </c>
      <c r="F6215" t="s">
        <v>273</v>
      </c>
      <c r="G6215" t="s">
        <v>19013</v>
      </c>
      <c r="H6215" t="s">
        <v>275</v>
      </c>
      <c r="I6215" t="s">
        <v>29</v>
      </c>
      <c r="J6215">
        <v>1</v>
      </c>
      <c r="K6215">
        <f>1-571-384-8482</f>
        <v>-9436</v>
      </c>
      <c r="L6215" t="s">
        <v>19365</v>
      </c>
      <c r="M6215" t="s">
        <v>19366</v>
      </c>
      <c r="N6215" t="s">
        <v>278</v>
      </c>
      <c r="O6215" t="s">
        <v>28</v>
      </c>
      <c r="P6215" t="s">
        <v>29</v>
      </c>
      <c r="Q6215">
        <v>42</v>
      </c>
      <c r="R6215">
        <v>-93.620800000000003</v>
      </c>
    </row>
    <row r="6216" spans="1:18" x14ac:dyDescent="0.2">
      <c r="A6216" t="s">
        <v>270</v>
      </c>
      <c r="B6216" t="s">
        <v>271</v>
      </c>
      <c r="C6216">
        <v>1</v>
      </c>
      <c r="D6216" s="1">
        <v>44337.887870370374</v>
      </c>
      <c r="E6216" t="s">
        <v>19367</v>
      </c>
      <c r="F6216" t="s">
        <v>273</v>
      </c>
      <c r="G6216" t="s">
        <v>19013</v>
      </c>
      <c r="H6216" t="s">
        <v>275</v>
      </c>
      <c r="I6216" t="s">
        <v>29</v>
      </c>
      <c r="J6216">
        <v>1</v>
      </c>
      <c r="K6216">
        <f>1-571-384-8482</f>
        <v>-9436</v>
      </c>
      <c r="L6216" t="s">
        <v>19368</v>
      </c>
      <c r="M6216" t="s">
        <v>19369</v>
      </c>
      <c r="N6216" t="s">
        <v>278</v>
      </c>
      <c r="O6216" t="s">
        <v>28</v>
      </c>
      <c r="P6216" t="s">
        <v>29</v>
      </c>
      <c r="Q6216">
        <v>42</v>
      </c>
      <c r="R6216">
        <v>-93.620800000000003</v>
      </c>
    </row>
    <row r="6217" spans="1:18" x14ac:dyDescent="0.2">
      <c r="A6217" t="s">
        <v>270</v>
      </c>
      <c r="B6217" t="s">
        <v>271</v>
      </c>
      <c r="C6217">
        <v>1</v>
      </c>
      <c r="D6217" s="1">
        <v>44337.884062500001</v>
      </c>
      <c r="E6217" t="s">
        <v>19370</v>
      </c>
      <c r="F6217" t="s">
        <v>273</v>
      </c>
      <c r="G6217" t="s">
        <v>19013</v>
      </c>
      <c r="H6217" t="s">
        <v>275</v>
      </c>
      <c r="I6217" t="s">
        <v>29</v>
      </c>
      <c r="J6217">
        <v>1</v>
      </c>
      <c r="K6217">
        <f>1-571-384-8482</f>
        <v>-9436</v>
      </c>
      <c r="L6217" t="s">
        <v>19371</v>
      </c>
      <c r="M6217" t="s">
        <v>19372</v>
      </c>
      <c r="N6217" t="s">
        <v>278</v>
      </c>
      <c r="O6217" t="s">
        <v>28</v>
      </c>
      <c r="P6217" t="s">
        <v>29</v>
      </c>
      <c r="Q6217">
        <v>42</v>
      </c>
      <c r="R6217">
        <v>-93.620800000000003</v>
      </c>
    </row>
    <row r="6218" spans="1:18" x14ac:dyDescent="0.2">
      <c r="A6218" t="s">
        <v>270</v>
      </c>
      <c r="B6218" t="s">
        <v>271</v>
      </c>
      <c r="C6218">
        <v>1</v>
      </c>
      <c r="D6218" s="1">
        <v>44337.883958333332</v>
      </c>
      <c r="E6218" t="s">
        <v>19373</v>
      </c>
      <c r="F6218" t="s">
        <v>273</v>
      </c>
      <c r="G6218" t="s">
        <v>19013</v>
      </c>
      <c r="H6218" t="s">
        <v>275</v>
      </c>
      <c r="I6218" t="s">
        <v>29</v>
      </c>
      <c r="J6218">
        <v>1</v>
      </c>
      <c r="K6218">
        <f>1-740-235-4823</f>
        <v>-5797</v>
      </c>
      <c r="L6218" t="s">
        <v>19374</v>
      </c>
      <c r="M6218" t="s">
        <v>19375</v>
      </c>
      <c r="N6218" t="s">
        <v>278</v>
      </c>
      <c r="O6218" t="s">
        <v>28</v>
      </c>
      <c r="P6218" t="s">
        <v>29</v>
      </c>
      <c r="Q6218">
        <v>42</v>
      </c>
      <c r="R6218">
        <v>-93.620800000000003</v>
      </c>
    </row>
    <row r="6219" spans="1:18" x14ac:dyDescent="0.2">
      <c r="A6219" t="s">
        <v>270</v>
      </c>
      <c r="B6219" t="s">
        <v>271</v>
      </c>
      <c r="C6219">
        <v>1</v>
      </c>
      <c r="D6219" s="1">
        <v>44337.883831018517</v>
      </c>
      <c r="E6219" t="s">
        <v>19358</v>
      </c>
      <c r="F6219" t="s">
        <v>273</v>
      </c>
      <c r="G6219" t="s">
        <v>19013</v>
      </c>
      <c r="H6219" t="s">
        <v>275</v>
      </c>
      <c r="I6219" t="s">
        <v>29</v>
      </c>
      <c r="J6219">
        <v>1</v>
      </c>
      <c r="K6219">
        <f>1-740-235-4823</f>
        <v>-5797</v>
      </c>
      <c r="L6219" t="s">
        <v>19376</v>
      </c>
      <c r="M6219" t="s">
        <v>19377</v>
      </c>
      <c r="N6219" t="s">
        <v>278</v>
      </c>
      <c r="O6219" t="s">
        <v>28</v>
      </c>
      <c r="P6219" t="s">
        <v>29</v>
      </c>
      <c r="Q6219">
        <v>42</v>
      </c>
      <c r="R6219">
        <v>-93.620800000000003</v>
      </c>
    </row>
    <row r="6220" spans="1:18" x14ac:dyDescent="0.2">
      <c r="A6220" t="s">
        <v>270</v>
      </c>
      <c r="B6220" t="s">
        <v>271</v>
      </c>
      <c r="C6220">
        <v>1</v>
      </c>
      <c r="D6220" s="1">
        <v>44337.883819444447</v>
      </c>
      <c r="E6220" t="s">
        <v>19378</v>
      </c>
      <c r="F6220" t="s">
        <v>273</v>
      </c>
      <c r="G6220" t="s">
        <v>19013</v>
      </c>
      <c r="H6220" t="s">
        <v>275</v>
      </c>
      <c r="I6220" t="s">
        <v>29</v>
      </c>
      <c r="J6220">
        <v>1</v>
      </c>
      <c r="K6220">
        <f>1-740-235-4823</f>
        <v>-5797</v>
      </c>
      <c r="L6220" t="s">
        <v>19379</v>
      </c>
      <c r="M6220" t="s">
        <v>19380</v>
      </c>
      <c r="N6220" t="s">
        <v>278</v>
      </c>
      <c r="O6220" t="s">
        <v>28</v>
      </c>
      <c r="P6220" t="s">
        <v>29</v>
      </c>
      <c r="Q6220">
        <v>42</v>
      </c>
      <c r="R6220">
        <v>-93.620800000000003</v>
      </c>
    </row>
    <row r="6221" spans="1:18" x14ac:dyDescent="0.2">
      <c r="A6221" t="s">
        <v>270</v>
      </c>
      <c r="B6221" t="s">
        <v>271</v>
      </c>
      <c r="C6221">
        <v>1</v>
      </c>
      <c r="D6221" s="1">
        <v>44337.883761574078</v>
      </c>
      <c r="E6221" t="s">
        <v>19381</v>
      </c>
      <c r="F6221" t="s">
        <v>273</v>
      </c>
      <c r="G6221" t="s">
        <v>19013</v>
      </c>
      <c r="H6221" t="s">
        <v>275</v>
      </c>
      <c r="I6221" t="s">
        <v>29</v>
      </c>
      <c r="J6221">
        <v>1</v>
      </c>
      <c r="K6221">
        <f>1-740-235-4823</f>
        <v>-5797</v>
      </c>
      <c r="L6221" t="s">
        <v>19382</v>
      </c>
      <c r="M6221" t="s">
        <v>19383</v>
      </c>
      <c r="N6221" t="s">
        <v>278</v>
      </c>
      <c r="O6221" t="s">
        <v>28</v>
      </c>
      <c r="P6221" t="s">
        <v>29</v>
      </c>
      <c r="Q6221">
        <v>42</v>
      </c>
      <c r="R6221">
        <v>-93.620800000000003</v>
      </c>
    </row>
    <row r="6222" spans="1:18" x14ac:dyDescent="0.2">
      <c r="A6222" t="s">
        <v>270</v>
      </c>
      <c r="B6222" t="s">
        <v>271</v>
      </c>
      <c r="C6222">
        <v>1</v>
      </c>
      <c r="D6222" s="1">
        <v>44337.88354166667</v>
      </c>
      <c r="E6222" t="s">
        <v>19384</v>
      </c>
      <c r="F6222" t="s">
        <v>273</v>
      </c>
      <c r="G6222" t="s">
        <v>19013</v>
      </c>
      <c r="H6222" t="s">
        <v>275</v>
      </c>
      <c r="I6222" t="s">
        <v>29</v>
      </c>
      <c r="J6222">
        <v>1</v>
      </c>
      <c r="K6222">
        <f>1-740-235-4823</f>
        <v>-5797</v>
      </c>
      <c r="L6222" t="s">
        <v>19385</v>
      </c>
      <c r="M6222" t="s">
        <v>19386</v>
      </c>
      <c r="N6222" t="s">
        <v>278</v>
      </c>
      <c r="O6222" t="s">
        <v>28</v>
      </c>
      <c r="P6222" t="s">
        <v>29</v>
      </c>
      <c r="Q6222">
        <v>42</v>
      </c>
      <c r="R6222">
        <v>-93.620800000000003</v>
      </c>
    </row>
    <row r="6223" spans="1:18" x14ac:dyDescent="0.2">
      <c r="A6223" t="s">
        <v>270</v>
      </c>
      <c r="B6223" t="s">
        <v>271</v>
      </c>
      <c r="C6223">
        <v>1</v>
      </c>
      <c r="D6223" s="1">
        <v>44336.006782407407</v>
      </c>
      <c r="E6223" t="s">
        <v>19387</v>
      </c>
      <c r="F6223" t="s">
        <v>273</v>
      </c>
      <c r="G6223" t="s">
        <v>19013</v>
      </c>
      <c r="H6223" t="s">
        <v>275</v>
      </c>
      <c r="I6223" t="s">
        <v>29</v>
      </c>
      <c r="J6223">
        <v>1</v>
      </c>
      <c r="K6223">
        <f t="shared" ref="K6223:K6231" si="57">1-910-933-663</f>
        <v>-2505</v>
      </c>
      <c r="L6223" t="s">
        <v>19388</v>
      </c>
      <c r="M6223" t="s">
        <v>19389</v>
      </c>
      <c r="N6223" t="s">
        <v>278</v>
      </c>
      <c r="O6223" t="s">
        <v>28</v>
      </c>
      <c r="P6223" t="s">
        <v>29</v>
      </c>
      <c r="Q6223">
        <v>42</v>
      </c>
      <c r="R6223">
        <v>-93.620800000000003</v>
      </c>
    </row>
    <row r="6224" spans="1:18" x14ac:dyDescent="0.2">
      <c r="A6224" t="s">
        <v>270</v>
      </c>
      <c r="B6224" t="s">
        <v>271</v>
      </c>
      <c r="C6224">
        <v>1</v>
      </c>
      <c r="D6224" s="1">
        <v>44336.002615740741</v>
      </c>
      <c r="E6224" t="s">
        <v>19390</v>
      </c>
      <c r="F6224" t="s">
        <v>273</v>
      </c>
      <c r="G6224" t="s">
        <v>19013</v>
      </c>
      <c r="H6224" t="s">
        <v>275</v>
      </c>
      <c r="I6224" t="s">
        <v>29</v>
      </c>
      <c r="J6224">
        <v>1</v>
      </c>
      <c r="K6224">
        <f t="shared" si="57"/>
        <v>-2505</v>
      </c>
      <c r="L6224" t="s">
        <v>19391</v>
      </c>
      <c r="M6224" t="s">
        <v>19392</v>
      </c>
      <c r="N6224" t="s">
        <v>278</v>
      </c>
      <c r="O6224" t="s">
        <v>28</v>
      </c>
      <c r="P6224" t="s">
        <v>29</v>
      </c>
      <c r="Q6224">
        <v>42</v>
      </c>
      <c r="R6224">
        <v>-93.620800000000003</v>
      </c>
    </row>
    <row r="6225" spans="1:18" x14ac:dyDescent="0.2">
      <c r="A6225" t="s">
        <v>270</v>
      </c>
      <c r="B6225" t="s">
        <v>271</v>
      </c>
      <c r="C6225">
        <v>1</v>
      </c>
      <c r="D6225" s="1">
        <v>44336.002430555556</v>
      </c>
      <c r="E6225" t="s">
        <v>19393</v>
      </c>
      <c r="F6225" t="s">
        <v>273</v>
      </c>
      <c r="G6225" t="s">
        <v>19013</v>
      </c>
      <c r="H6225" t="s">
        <v>275</v>
      </c>
      <c r="I6225" t="s">
        <v>29</v>
      </c>
      <c r="J6225">
        <v>1</v>
      </c>
      <c r="K6225">
        <f t="shared" si="57"/>
        <v>-2505</v>
      </c>
      <c r="L6225" t="s">
        <v>19394</v>
      </c>
      <c r="M6225" t="s">
        <v>19395</v>
      </c>
      <c r="N6225" t="s">
        <v>278</v>
      </c>
      <c r="O6225" t="s">
        <v>28</v>
      </c>
      <c r="P6225" t="s">
        <v>29</v>
      </c>
      <c r="Q6225">
        <v>42</v>
      </c>
      <c r="R6225">
        <v>-93.620800000000003</v>
      </c>
    </row>
    <row r="6226" spans="1:18" x14ac:dyDescent="0.2">
      <c r="A6226" t="s">
        <v>270</v>
      </c>
      <c r="B6226" t="s">
        <v>271</v>
      </c>
      <c r="C6226">
        <v>1</v>
      </c>
      <c r="D6226" s="1">
        <v>44336.001886574071</v>
      </c>
      <c r="E6226" t="s">
        <v>19396</v>
      </c>
      <c r="F6226" t="s">
        <v>273</v>
      </c>
      <c r="G6226" t="s">
        <v>19013</v>
      </c>
      <c r="H6226" t="s">
        <v>275</v>
      </c>
      <c r="I6226" t="s">
        <v>29</v>
      </c>
      <c r="J6226">
        <v>1</v>
      </c>
      <c r="K6226">
        <f t="shared" si="57"/>
        <v>-2505</v>
      </c>
      <c r="L6226" t="s">
        <v>19397</v>
      </c>
      <c r="M6226" t="s">
        <v>19398</v>
      </c>
      <c r="N6226" t="s">
        <v>278</v>
      </c>
      <c r="O6226" t="s">
        <v>28</v>
      </c>
      <c r="P6226" t="s">
        <v>29</v>
      </c>
      <c r="Q6226">
        <v>42</v>
      </c>
      <c r="R6226">
        <v>-93.620800000000003</v>
      </c>
    </row>
    <row r="6227" spans="1:18" x14ac:dyDescent="0.2">
      <c r="A6227" t="s">
        <v>270</v>
      </c>
      <c r="B6227" t="s">
        <v>271</v>
      </c>
      <c r="C6227">
        <v>1</v>
      </c>
      <c r="D6227" s="1">
        <v>44336.001747685186</v>
      </c>
      <c r="E6227" t="s">
        <v>19399</v>
      </c>
      <c r="F6227" t="s">
        <v>273</v>
      </c>
      <c r="G6227" t="s">
        <v>19013</v>
      </c>
      <c r="H6227" t="s">
        <v>275</v>
      </c>
      <c r="I6227" t="s">
        <v>29</v>
      </c>
      <c r="J6227">
        <v>1</v>
      </c>
      <c r="K6227">
        <f t="shared" si="57"/>
        <v>-2505</v>
      </c>
      <c r="L6227" t="s">
        <v>19400</v>
      </c>
      <c r="M6227" t="s">
        <v>19401</v>
      </c>
      <c r="N6227" t="s">
        <v>278</v>
      </c>
      <c r="O6227" t="s">
        <v>28</v>
      </c>
      <c r="P6227" t="s">
        <v>29</v>
      </c>
      <c r="Q6227">
        <v>42</v>
      </c>
      <c r="R6227">
        <v>-93.620800000000003</v>
      </c>
    </row>
    <row r="6228" spans="1:18" x14ac:dyDescent="0.2">
      <c r="A6228" t="s">
        <v>270</v>
      </c>
      <c r="B6228" t="s">
        <v>271</v>
      </c>
      <c r="C6228">
        <v>1</v>
      </c>
      <c r="D6228" s="1">
        <v>44336.001273148147</v>
      </c>
      <c r="E6228" t="s">
        <v>19402</v>
      </c>
      <c r="F6228" t="s">
        <v>273</v>
      </c>
      <c r="G6228" t="s">
        <v>19013</v>
      </c>
      <c r="H6228" t="s">
        <v>275</v>
      </c>
      <c r="I6228" t="s">
        <v>29</v>
      </c>
      <c r="J6228">
        <v>1</v>
      </c>
      <c r="K6228">
        <f t="shared" si="57"/>
        <v>-2505</v>
      </c>
      <c r="L6228" t="s">
        <v>19403</v>
      </c>
      <c r="M6228" t="s">
        <v>19404</v>
      </c>
      <c r="N6228" t="s">
        <v>278</v>
      </c>
      <c r="O6228" t="s">
        <v>28</v>
      </c>
      <c r="P6228" t="s">
        <v>29</v>
      </c>
      <c r="Q6228">
        <v>42</v>
      </c>
      <c r="R6228">
        <v>-93.620800000000003</v>
      </c>
    </row>
    <row r="6229" spans="1:18" x14ac:dyDescent="0.2">
      <c r="A6229" t="s">
        <v>270</v>
      </c>
      <c r="B6229" t="s">
        <v>271</v>
      </c>
      <c r="C6229">
        <v>1</v>
      </c>
      <c r="D6229" s="1">
        <v>44336.000509259262</v>
      </c>
      <c r="E6229" t="s">
        <v>19405</v>
      </c>
      <c r="F6229" t="s">
        <v>273</v>
      </c>
      <c r="G6229" t="s">
        <v>19013</v>
      </c>
      <c r="H6229" t="s">
        <v>275</v>
      </c>
      <c r="I6229" t="s">
        <v>29</v>
      </c>
      <c r="J6229">
        <v>1</v>
      </c>
      <c r="K6229">
        <f t="shared" si="57"/>
        <v>-2505</v>
      </c>
      <c r="L6229" t="s">
        <v>19406</v>
      </c>
      <c r="M6229" t="s">
        <v>19407</v>
      </c>
      <c r="N6229" t="s">
        <v>278</v>
      </c>
      <c r="O6229" t="s">
        <v>28</v>
      </c>
      <c r="P6229" t="s">
        <v>29</v>
      </c>
      <c r="Q6229">
        <v>42</v>
      </c>
      <c r="R6229">
        <v>-93.620800000000003</v>
      </c>
    </row>
    <row r="6230" spans="1:18" x14ac:dyDescent="0.2">
      <c r="A6230" t="s">
        <v>270</v>
      </c>
      <c r="B6230" t="s">
        <v>271</v>
      </c>
      <c r="C6230">
        <v>1</v>
      </c>
      <c r="D6230" s="1">
        <v>44335.999155092592</v>
      </c>
      <c r="E6230" t="s">
        <v>19408</v>
      </c>
      <c r="F6230" t="s">
        <v>273</v>
      </c>
      <c r="G6230" t="s">
        <v>19013</v>
      </c>
      <c r="H6230" t="s">
        <v>275</v>
      </c>
      <c r="I6230" t="s">
        <v>29</v>
      </c>
      <c r="J6230">
        <v>1</v>
      </c>
      <c r="K6230">
        <f t="shared" si="57"/>
        <v>-2505</v>
      </c>
      <c r="L6230" t="s">
        <v>19409</v>
      </c>
      <c r="M6230" t="s">
        <v>19410</v>
      </c>
      <c r="N6230" t="s">
        <v>278</v>
      </c>
      <c r="O6230" t="s">
        <v>28</v>
      </c>
      <c r="P6230" t="s">
        <v>29</v>
      </c>
      <c r="Q6230">
        <v>42</v>
      </c>
      <c r="R6230">
        <v>-93.620800000000003</v>
      </c>
    </row>
    <row r="6231" spans="1:18" x14ac:dyDescent="0.2">
      <c r="A6231" t="s">
        <v>270</v>
      </c>
      <c r="B6231" t="s">
        <v>271</v>
      </c>
      <c r="C6231">
        <v>1</v>
      </c>
      <c r="D6231" s="1">
        <v>44335.949571759258</v>
      </c>
      <c r="E6231" t="s">
        <v>19411</v>
      </c>
      <c r="F6231" t="s">
        <v>273</v>
      </c>
      <c r="G6231" t="s">
        <v>19013</v>
      </c>
      <c r="H6231" t="s">
        <v>275</v>
      </c>
      <c r="I6231" t="s">
        <v>29</v>
      </c>
      <c r="J6231">
        <v>1</v>
      </c>
      <c r="K6231">
        <f t="shared" si="57"/>
        <v>-2505</v>
      </c>
      <c r="L6231" t="s">
        <v>19412</v>
      </c>
      <c r="M6231" t="s">
        <v>19413</v>
      </c>
      <c r="N6231" t="s">
        <v>278</v>
      </c>
      <c r="O6231" t="s">
        <v>28</v>
      </c>
      <c r="P6231" t="s">
        <v>29</v>
      </c>
      <c r="Q6231">
        <v>42</v>
      </c>
      <c r="R6231">
        <v>-93.620800000000003</v>
      </c>
    </row>
    <row r="6232" spans="1:18" x14ac:dyDescent="0.2">
      <c r="A6232" t="s">
        <v>270</v>
      </c>
      <c r="B6232" t="s">
        <v>271</v>
      </c>
      <c r="C6232">
        <v>1</v>
      </c>
      <c r="D6232" s="1">
        <v>44335.738171296296</v>
      </c>
      <c r="E6232" t="s">
        <v>19414</v>
      </c>
      <c r="F6232" t="s">
        <v>273</v>
      </c>
      <c r="G6232" t="s">
        <v>19013</v>
      </c>
      <c r="H6232" t="s">
        <v>275</v>
      </c>
      <c r="I6232" t="s">
        <v>29</v>
      </c>
      <c r="J6232">
        <v>1</v>
      </c>
      <c r="K6232">
        <f>1-210-209-9388</f>
        <v>-9806</v>
      </c>
      <c r="L6232" t="s">
        <v>19415</v>
      </c>
      <c r="M6232" t="s">
        <v>19416</v>
      </c>
      <c r="N6232" t="s">
        <v>278</v>
      </c>
      <c r="O6232" t="s">
        <v>134</v>
      </c>
      <c r="P6232" t="s">
        <v>29</v>
      </c>
      <c r="Q6232">
        <v>42</v>
      </c>
      <c r="R6232">
        <v>-93.620800000000003</v>
      </c>
    </row>
    <row r="6233" spans="1:18" x14ac:dyDescent="0.2">
      <c r="A6233" t="s">
        <v>270</v>
      </c>
      <c r="B6233" t="s">
        <v>271</v>
      </c>
      <c r="C6233">
        <v>1</v>
      </c>
      <c r="D6233" s="1">
        <v>44335.738009259258</v>
      </c>
      <c r="E6233" t="s">
        <v>19417</v>
      </c>
      <c r="F6233" t="s">
        <v>273</v>
      </c>
      <c r="G6233" t="s">
        <v>19013</v>
      </c>
      <c r="H6233" t="s">
        <v>275</v>
      </c>
      <c r="I6233" t="s">
        <v>29</v>
      </c>
      <c r="J6233">
        <v>1</v>
      </c>
      <c r="K6233">
        <f>1-210-209-9388</f>
        <v>-9806</v>
      </c>
      <c r="L6233" t="s">
        <v>19418</v>
      </c>
      <c r="M6233" t="s">
        <v>19419</v>
      </c>
      <c r="N6233" t="s">
        <v>278</v>
      </c>
      <c r="O6233" t="s">
        <v>134</v>
      </c>
      <c r="P6233" t="s">
        <v>29</v>
      </c>
      <c r="Q6233">
        <v>42</v>
      </c>
      <c r="R6233">
        <v>-93.620800000000003</v>
      </c>
    </row>
    <row r="6234" spans="1:18" x14ac:dyDescent="0.2">
      <c r="A6234" t="s">
        <v>270</v>
      </c>
      <c r="B6234" t="s">
        <v>271</v>
      </c>
      <c r="C6234">
        <v>1</v>
      </c>
      <c r="D6234" s="1">
        <v>44335.737870370373</v>
      </c>
      <c r="E6234" t="s">
        <v>19420</v>
      </c>
      <c r="F6234" t="s">
        <v>273</v>
      </c>
      <c r="G6234" t="s">
        <v>19013</v>
      </c>
      <c r="H6234" t="s">
        <v>275</v>
      </c>
      <c r="I6234" t="s">
        <v>29</v>
      </c>
      <c r="J6234">
        <v>1</v>
      </c>
      <c r="K6234">
        <f>1-210-209-9388</f>
        <v>-9806</v>
      </c>
      <c r="L6234" t="s">
        <v>19421</v>
      </c>
      <c r="M6234" t="s">
        <v>19422</v>
      </c>
      <c r="N6234" t="s">
        <v>278</v>
      </c>
      <c r="O6234" t="s">
        <v>134</v>
      </c>
      <c r="P6234" t="s">
        <v>29</v>
      </c>
      <c r="Q6234">
        <v>42</v>
      </c>
      <c r="R6234">
        <v>-93.620800000000003</v>
      </c>
    </row>
    <row r="6235" spans="1:18" x14ac:dyDescent="0.2">
      <c r="A6235" t="s">
        <v>270</v>
      </c>
      <c r="B6235" t="s">
        <v>271</v>
      </c>
      <c r="C6235">
        <v>1</v>
      </c>
      <c r="D6235" s="1">
        <v>44335.165173611109</v>
      </c>
      <c r="E6235" t="s">
        <v>19423</v>
      </c>
      <c r="F6235" t="s">
        <v>273</v>
      </c>
      <c r="G6235" t="s">
        <v>19013</v>
      </c>
      <c r="H6235" t="s">
        <v>275</v>
      </c>
      <c r="I6235" t="s">
        <v>29</v>
      </c>
      <c r="J6235">
        <v>1</v>
      </c>
      <c r="K6235">
        <f>1-815-595-4636</f>
        <v>-6045</v>
      </c>
      <c r="L6235" t="s">
        <v>19424</v>
      </c>
      <c r="M6235" t="s">
        <v>19425</v>
      </c>
      <c r="N6235" t="s">
        <v>278</v>
      </c>
      <c r="O6235" t="s">
        <v>134</v>
      </c>
      <c r="P6235" t="s">
        <v>29</v>
      </c>
      <c r="Q6235">
        <v>42</v>
      </c>
      <c r="R6235">
        <v>-93.620800000000003</v>
      </c>
    </row>
    <row r="6236" spans="1:18" x14ac:dyDescent="0.2">
      <c r="A6236" t="s">
        <v>270</v>
      </c>
      <c r="B6236" t="s">
        <v>271</v>
      </c>
      <c r="C6236">
        <v>1</v>
      </c>
      <c r="D6236" s="1">
        <v>44335.076608796298</v>
      </c>
      <c r="E6236" t="s">
        <v>19426</v>
      </c>
      <c r="F6236" t="s">
        <v>273</v>
      </c>
      <c r="G6236" t="s">
        <v>19013</v>
      </c>
      <c r="H6236" t="s">
        <v>275</v>
      </c>
      <c r="I6236" t="s">
        <v>29</v>
      </c>
      <c r="J6236">
        <v>1</v>
      </c>
      <c r="K6236">
        <f>1-815-595-4636</f>
        <v>-6045</v>
      </c>
      <c r="L6236" t="s">
        <v>19427</v>
      </c>
      <c r="M6236" t="s">
        <v>19428</v>
      </c>
      <c r="N6236" t="s">
        <v>278</v>
      </c>
      <c r="O6236" t="s">
        <v>28</v>
      </c>
      <c r="P6236" t="s">
        <v>29</v>
      </c>
      <c r="Q6236">
        <v>42</v>
      </c>
      <c r="R6236">
        <v>-93.620800000000003</v>
      </c>
    </row>
    <row r="6237" spans="1:18" x14ac:dyDescent="0.2">
      <c r="A6237" t="s">
        <v>270</v>
      </c>
      <c r="B6237" t="s">
        <v>271</v>
      </c>
      <c r="C6237">
        <v>1</v>
      </c>
      <c r="D6237" s="1">
        <v>44335.076412037037</v>
      </c>
      <c r="E6237" t="s">
        <v>19429</v>
      </c>
      <c r="F6237" t="s">
        <v>273</v>
      </c>
      <c r="G6237" t="s">
        <v>19013</v>
      </c>
      <c r="H6237" t="s">
        <v>275</v>
      </c>
      <c r="I6237" t="s">
        <v>29</v>
      </c>
      <c r="J6237">
        <v>1</v>
      </c>
      <c r="K6237">
        <f>1-815-595-4636</f>
        <v>-6045</v>
      </c>
      <c r="L6237" t="s">
        <v>19430</v>
      </c>
      <c r="M6237" t="s">
        <v>19431</v>
      </c>
      <c r="N6237" t="s">
        <v>278</v>
      </c>
      <c r="O6237" t="s">
        <v>28</v>
      </c>
      <c r="P6237" t="s">
        <v>29</v>
      </c>
      <c r="Q6237">
        <v>42</v>
      </c>
      <c r="R6237">
        <v>-93.620800000000003</v>
      </c>
    </row>
    <row r="6238" spans="1:18" x14ac:dyDescent="0.2">
      <c r="A6238" t="s">
        <v>270</v>
      </c>
      <c r="B6238" t="s">
        <v>271</v>
      </c>
      <c r="C6238">
        <v>1</v>
      </c>
      <c r="D6238" s="1">
        <v>44335.075532407405</v>
      </c>
      <c r="E6238" t="s">
        <v>19432</v>
      </c>
      <c r="F6238" t="s">
        <v>273</v>
      </c>
      <c r="G6238" t="s">
        <v>19013</v>
      </c>
      <c r="H6238" t="s">
        <v>275</v>
      </c>
      <c r="I6238" t="s">
        <v>29</v>
      </c>
      <c r="J6238">
        <v>1</v>
      </c>
      <c r="K6238">
        <f>1-815-595-4636</f>
        <v>-6045</v>
      </c>
      <c r="L6238" t="s">
        <v>19433</v>
      </c>
      <c r="M6238" t="s">
        <v>19434</v>
      </c>
      <c r="N6238" t="s">
        <v>278</v>
      </c>
      <c r="O6238" t="s">
        <v>28</v>
      </c>
      <c r="P6238" t="s">
        <v>29</v>
      </c>
      <c r="Q6238">
        <v>42</v>
      </c>
      <c r="R6238">
        <v>-93.620800000000003</v>
      </c>
    </row>
    <row r="6239" spans="1:18" x14ac:dyDescent="0.2">
      <c r="A6239" t="s">
        <v>270</v>
      </c>
      <c r="B6239" t="s">
        <v>271</v>
      </c>
      <c r="C6239">
        <v>1</v>
      </c>
      <c r="D6239" s="1">
        <v>44334.966296296298</v>
      </c>
      <c r="E6239" t="s">
        <v>19435</v>
      </c>
      <c r="F6239" t="s">
        <v>273</v>
      </c>
      <c r="G6239" t="s">
        <v>19013</v>
      </c>
      <c r="H6239" t="s">
        <v>275</v>
      </c>
      <c r="I6239" t="s">
        <v>29</v>
      </c>
      <c r="J6239">
        <v>1</v>
      </c>
      <c r="K6239">
        <f>1-210-209-9388</f>
        <v>-9806</v>
      </c>
      <c r="L6239" t="s">
        <v>19436</v>
      </c>
      <c r="M6239" t="s">
        <v>19437</v>
      </c>
      <c r="N6239" t="s">
        <v>278</v>
      </c>
      <c r="O6239" t="s">
        <v>28</v>
      </c>
      <c r="P6239" t="s">
        <v>29</v>
      </c>
      <c r="Q6239">
        <v>42</v>
      </c>
      <c r="R6239">
        <v>-93.620800000000003</v>
      </c>
    </row>
    <row r="6240" spans="1:18" x14ac:dyDescent="0.2">
      <c r="A6240" t="s">
        <v>270</v>
      </c>
      <c r="B6240" t="s">
        <v>271</v>
      </c>
      <c r="C6240">
        <v>1</v>
      </c>
      <c r="D6240" s="1">
        <v>44334.991400462961</v>
      </c>
      <c r="E6240" t="s">
        <v>19438</v>
      </c>
      <c r="F6240" t="s">
        <v>273</v>
      </c>
      <c r="G6240" t="s">
        <v>19013</v>
      </c>
      <c r="H6240" t="s">
        <v>275</v>
      </c>
      <c r="I6240" t="s">
        <v>29</v>
      </c>
      <c r="J6240">
        <v>1</v>
      </c>
      <c r="K6240">
        <f>1-815-595-4636</f>
        <v>-6045</v>
      </c>
      <c r="L6240" t="s">
        <v>19439</v>
      </c>
      <c r="M6240" t="s">
        <v>19440</v>
      </c>
      <c r="N6240" t="s">
        <v>278</v>
      </c>
      <c r="O6240" t="s">
        <v>28</v>
      </c>
      <c r="P6240" t="s">
        <v>29</v>
      </c>
      <c r="Q6240">
        <v>42</v>
      </c>
      <c r="R6240">
        <v>-93.620800000000003</v>
      </c>
    </row>
    <row r="6241" spans="1:18" x14ac:dyDescent="0.2">
      <c r="A6241" t="s">
        <v>270</v>
      </c>
      <c r="B6241" t="s">
        <v>271</v>
      </c>
      <c r="C6241">
        <v>1</v>
      </c>
      <c r="D6241" s="1">
        <v>44215.707442129627</v>
      </c>
      <c r="E6241" t="s">
        <v>19441</v>
      </c>
      <c r="F6241" t="s">
        <v>273</v>
      </c>
      <c r="G6241" t="s">
        <v>19013</v>
      </c>
      <c r="H6241" t="s">
        <v>275</v>
      </c>
      <c r="I6241" t="s">
        <v>29</v>
      </c>
      <c r="J6241">
        <v>1</v>
      </c>
      <c r="K6241">
        <f>1-888-210-2510</f>
        <v>-3607</v>
      </c>
      <c r="L6241" t="s">
        <v>19442</v>
      </c>
      <c r="M6241" t="s">
        <v>19443</v>
      </c>
      <c r="N6241" t="s">
        <v>278</v>
      </c>
      <c r="O6241" t="s">
        <v>28</v>
      </c>
      <c r="P6241" t="s">
        <v>29</v>
      </c>
      <c r="Q6241">
        <v>42</v>
      </c>
      <c r="R6241">
        <v>-93.620800000000003</v>
      </c>
    </row>
    <row r="6242" spans="1:18" x14ac:dyDescent="0.2">
      <c r="A6242" t="s">
        <v>270</v>
      </c>
      <c r="B6242" t="s">
        <v>271</v>
      </c>
      <c r="C6242">
        <v>1</v>
      </c>
      <c r="D6242" s="1">
        <v>44176.809895833336</v>
      </c>
      <c r="E6242" t="s">
        <v>19444</v>
      </c>
      <c r="F6242" t="s">
        <v>273</v>
      </c>
      <c r="G6242" t="s">
        <v>19013</v>
      </c>
      <c r="H6242" t="s">
        <v>275</v>
      </c>
      <c r="I6242" t="s">
        <v>29</v>
      </c>
      <c r="J6242">
        <v>1</v>
      </c>
      <c r="K6242">
        <f>1-888-312-1438</f>
        <v>-2637</v>
      </c>
      <c r="L6242" t="s">
        <v>19445</v>
      </c>
      <c r="M6242" t="s">
        <v>19446</v>
      </c>
      <c r="N6242" t="s">
        <v>278</v>
      </c>
      <c r="O6242" t="s">
        <v>28</v>
      </c>
      <c r="P6242" t="s">
        <v>29</v>
      </c>
      <c r="Q6242">
        <v>42</v>
      </c>
      <c r="R6242">
        <v>-93.620800000000003</v>
      </c>
    </row>
    <row r="6243" spans="1:18" x14ac:dyDescent="0.2">
      <c r="A6243" t="s">
        <v>270</v>
      </c>
      <c r="B6243" t="s">
        <v>271</v>
      </c>
      <c r="C6243">
        <v>1</v>
      </c>
      <c r="D6243" s="1">
        <v>44158.907673611109</v>
      </c>
      <c r="E6243" t="s">
        <v>19447</v>
      </c>
      <c r="F6243" t="s">
        <v>273</v>
      </c>
      <c r="G6243" t="s">
        <v>19013</v>
      </c>
      <c r="H6243" t="s">
        <v>275</v>
      </c>
      <c r="I6243" t="s">
        <v>29</v>
      </c>
      <c r="J6243">
        <v>1</v>
      </c>
      <c r="K6243">
        <f>1-844-303-2140</f>
        <v>-3286</v>
      </c>
      <c r="L6243" t="s">
        <v>19448</v>
      </c>
      <c r="M6243" t="s">
        <v>19449</v>
      </c>
      <c r="N6243" t="s">
        <v>278</v>
      </c>
      <c r="O6243" t="s">
        <v>28</v>
      </c>
      <c r="P6243" t="s">
        <v>29</v>
      </c>
      <c r="Q6243">
        <v>42</v>
      </c>
      <c r="R6243">
        <v>-93.620800000000003</v>
      </c>
    </row>
    <row r="6244" spans="1:18" x14ac:dyDescent="0.2">
      <c r="A6244" t="s">
        <v>270</v>
      </c>
      <c r="B6244" t="s">
        <v>271</v>
      </c>
      <c r="C6244">
        <v>1</v>
      </c>
      <c r="D6244" s="1">
        <v>44149.137881944444</v>
      </c>
      <c r="E6244" t="s">
        <v>19450</v>
      </c>
      <c r="F6244" t="s">
        <v>273</v>
      </c>
      <c r="G6244" t="s">
        <v>19013</v>
      </c>
      <c r="H6244" t="s">
        <v>275</v>
      </c>
      <c r="I6244" t="s">
        <v>29</v>
      </c>
      <c r="J6244">
        <v>1</v>
      </c>
      <c r="K6244">
        <f>1-844-293-617</f>
        <v>-1753</v>
      </c>
      <c r="L6244" t="s">
        <v>19451</v>
      </c>
      <c r="M6244" t="s">
        <v>19452</v>
      </c>
      <c r="N6244" t="s">
        <v>278</v>
      </c>
      <c r="O6244" t="s">
        <v>134</v>
      </c>
      <c r="P6244" t="s">
        <v>29</v>
      </c>
      <c r="Q6244">
        <v>42</v>
      </c>
      <c r="R6244">
        <v>-93.620800000000003</v>
      </c>
    </row>
    <row r="6245" spans="1:18" x14ac:dyDescent="0.2">
      <c r="A6245" t="s">
        <v>270</v>
      </c>
      <c r="B6245" t="s">
        <v>271</v>
      </c>
      <c r="C6245">
        <v>1</v>
      </c>
      <c r="D6245" s="1">
        <v>44149.136122685188</v>
      </c>
      <c r="E6245" t="s">
        <v>19453</v>
      </c>
      <c r="F6245" t="s">
        <v>273</v>
      </c>
      <c r="G6245" t="s">
        <v>19013</v>
      </c>
      <c r="H6245" t="s">
        <v>275</v>
      </c>
      <c r="I6245" t="s">
        <v>29</v>
      </c>
      <c r="J6245">
        <v>1</v>
      </c>
      <c r="K6245">
        <f>1-844-288-9125</f>
        <v>-10256</v>
      </c>
      <c r="L6245" t="s">
        <v>19454</v>
      </c>
      <c r="M6245" t="s">
        <v>19455</v>
      </c>
      <c r="N6245" t="s">
        <v>278</v>
      </c>
      <c r="O6245" t="s">
        <v>134</v>
      </c>
      <c r="P6245" t="s">
        <v>29</v>
      </c>
      <c r="Q6245">
        <v>42</v>
      </c>
      <c r="R6245">
        <v>-93.620800000000003</v>
      </c>
    </row>
    <row r="6246" spans="1:18" x14ac:dyDescent="0.2">
      <c r="A6246" t="s">
        <v>270</v>
      </c>
      <c r="B6246" t="s">
        <v>271</v>
      </c>
      <c r="C6246">
        <v>1</v>
      </c>
      <c r="D6246" s="1">
        <v>44149.123715277776</v>
      </c>
      <c r="E6246" t="s">
        <v>19456</v>
      </c>
      <c r="F6246" t="s">
        <v>273</v>
      </c>
      <c r="G6246" t="s">
        <v>19013</v>
      </c>
      <c r="H6246" t="s">
        <v>275</v>
      </c>
      <c r="I6246" t="s">
        <v>29</v>
      </c>
      <c r="J6246">
        <v>1</v>
      </c>
      <c r="K6246">
        <f>1-844-295-5840</f>
        <v>-6978</v>
      </c>
      <c r="L6246" t="s">
        <v>19457</v>
      </c>
      <c r="M6246" t="s">
        <v>19458</v>
      </c>
      <c r="N6246" t="s">
        <v>278</v>
      </c>
      <c r="O6246" t="s">
        <v>134</v>
      </c>
      <c r="P6246" t="s">
        <v>29</v>
      </c>
      <c r="Q6246">
        <v>42</v>
      </c>
      <c r="R6246">
        <v>-93.620800000000003</v>
      </c>
    </row>
    <row r="6247" spans="1:18" x14ac:dyDescent="0.2">
      <c r="A6247" t="s">
        <v>270</v>
      </c>
      <c r="B6247" t="s">
        <v>271</v>
      </c>
      <c r="C6247">
        <v>1</v>
      </c>
      <c r="D6247" s="1">
        <v>44102.822731481479</v>
      </c>
      <c r="E6247" t="s">
        <v>19459</v>
      </c>
      <c r="F6247" t="s">
        <v>273</v>
      </c>
      <c r="G6247" t="s">
        <v>19013</v>
      </c>
      <c r="H6247" t="s">
        <v>275</v>
      </c>
      <c r="I6247" t="s">
        <v>29</v>
      </c>
      <c r="J6247">
        <v>1</v>
      </c>
      <c r="K6247">
        <f>1-888-228-8619</f>
        <v>-9734</v>
      </c>
      <c r="L6247" t="s">
        <v>19460</v>
      </c>
      <c r="M6247" t="s">
        <v>19461</v>
      </c>
      <c r="N6247" t="s">
        <v>278</v>
      </c>
      <c r="O6247" t="s">
        <v>28</v>
      </c>
      <c r="P6247" t="s">
        <v>29</v>
      </c>
      <c r="Q6247">
        <v>42</v>
      </c>
      <c r="R6247">
        <v>-93.620800000000003</v>
      </c>
    </row>
    <row r="6248" spans="1:18" x14ac:dyDescent="0.2">
      <c r="A6248" t="s">
        <v>270</v>
      </c>
      <c r="B6248" t="s">
        <v>271</v>
      </c>
      <c r="C6248">
        <v>1</v>
      </c>
      <c r="D6248" s="1">
        <v>44096.368819444448</v>
      </c>
      <c r="E6248" t="s">
        <v>19462</v>
      </c>
      <c r="F6248" t="s">
        <v>273</v>
      </c>
      <c r="G6248" t="s">
        <v>19013</v>
      </c>
      <c r="H6248" t="s">
        <v>275</v>
      </c>
      <c r="I6248" t="s">
        <v>29</v>
      </c>
      <c r="J6248">
        <v>1</v>
      </c>
      <c r="K6248">
        <f>1-844-305-9953</f>
        <v>-11101</v>
      </c>
      <c r="L6248" t="s">
        <v>19463</v>
      </c>
      <c r="M6248" t="s">
        <v>19464</v>
      </c>
      <c r="N6248" t="s">
        <v>278</v>
      </c>
      <c r="O6248" t="s">
        <v>28</v>
      </c>
      <c r="P6248" t="s">
        <v>29</v>
      </c>
      <c r="Q6248">
        <v>42</v>
      </c>
      <c r="R6248">
        <v>-93.620800000000003</v>
      </c>
    </row>
    <row r="6249" spans="1:18" x14ac:dyDescent="0.2">
      <c r="A6249" t="s">
        <v>270</v>
      </c>
      <c r="B6249" t="s">
        <v>271</v>
      </c>
      <c r="C6249">
        <v>1</v>
      </c>
      <c r="D6249" s="1">
        <v>44096.367696759262</v>
      </c>
      <c r="E6249" t="s">
        <v>19465</v>
      </c>
      <c r="F6249" t="s">
        <v>273</v>
      </c>
      <c r="G6249" t="s">
        <v>19013</v>
      </c>
      <c r="H6249" t="s">
        <v>275</v>
      </c>
      <c r="I6249" t="s">
        <v>29</v>
      </c>
      <c r="J6249">
        <v>1</v>
      </c>
      <c r="K6249">
        <f>1-844-305-9953</f>
        <v>-11101</v>
      </c>
      <c r="L6249" t="s">
        <v>19466</v>
      </c>
      <c r="M6249" t="s">
        <v>19467</v>
      </c>
      <c r="N6249" t="s">
        <v>278</v>
      </c>
      <c r="O6249" t="s">
        <v>28</v>
      </c>
      <c r="P6249" t="s">
        <v>29</v>
      </c>
      <c r="Q6249">
        <v>42</v>
      </c>
      <c r="R6249">
        <v>-93.620800000000003</v>
      </c>
    </row>
    <row r="6250" spans="1:18" x14ac:dyDescent="0.2">
      <c r="A6250" t="s">
        <v>270</v>
      </c>
      <c r="B6250" t="s">
        <v>271</v>
      </c>
      <c r="C6250">
        <v>1</v>
      </c>
      <c r="D6250" s="1">
        <v>44090.992997685185</v>
      </c>
      <c r="E6250" t="s">
        <v>19468</v>
      </c>
      <c r="F6250" t="s">
        <v>273</v>
      </c>
      <c r="G6250" t="s">
        <v>19013</v>
      </c>
      <c r="H6250" t="s">
        <v>275</v>
      </c>
      <c r="I6250" t="s">
        <v>29</v>
      </c>
      <c r="J6250">
        <v>1</v>
      </c>
      <c r="K6250">
        <f>1-844-242-3148</f>
        <v>-4233</v>
      </c>
      <c r="L6250" t="s">
        <v>19469</v>
      </c>
      <c r="M6250" t="s">
        <v>19470</v>
      </c>
      <c r="N6250" t="s">
        <v>278</v>
      </c>
      <c r="O6250" t="s">
        <v>28</v>
      </c>
      <c r="P6250" t="s">
        <v>29</v>
      </c>
      <c r="Q6250">
        <v>42</v>
      </c>
      <c r="R6250">
        <v>-93.620800000000003</v>
      </c>
    </row>
    <row r="6251" spans="1:18" x14ac:dyDescent="0.2">
      <c r="A6251" t="s">
        <v>270</v>
      </c>
      <c r="B6251" t="s">
        <v>271</v>
      </c>
      <c r="C6251">
        <v>1</v>
      </c>
      <c r="D6251" s="1">
        <v>44090.416365740741</v>
      </c>
      <c r="E6251" t="s">
        <v>19471</v>
      </c>
      <c r="F6251" t="s">
        <v>273</v>
      </c>
      <c r="G6251" t="s">
        <v>19013</v>
      </c>
      <c r="H6251" t="s">
        <v>275</v>
      </c>
      <c r="I6251" t="s">
        <v>29</v>
      </c>
      <c r="J6251">
        <v>1</v>
      </c>
      <c r="K6251">
        <f>1-844-318-8589</f>
        <v>-9750</v>
      </c>
      <c r="L6251" t="s">
        <v>19472</v>
      </c>
      <c r="M6251" t="s">
        <v>19473</v>
      </c>
      <c r="N6251" t="s">
        <v>278</v>
      </c>
      <c r="O6251" t="s">
        <v>28</v>
      </c>
      <c r="P6251" t="s">
        <v>29</v>
      </c>
      <c r="Q6251">
        <v>42</v>
      </c>
      <c r="R6251">
        <v>-93.620800000000003</v>
      </c>
    </row>
    <row r="6252" spans="1:18" x14ac:dyDescent="0.2">
      <c r="A6252" t="s">
        <v>270</v>
      </c>
      <c r="B6252" t="s">
        <v>271</v>
      </c>
      <c r="C6252">
        <v>1</v>
      </c>
      <c r="D6252" s="1">
        <v>44088.939895833333</v>
      </c>
      <c r="E6252" t="s">
        <v>19474</v>
      </c>
      <c r="F6252" t="s">
        <v>273</v>
      </c>
      <c r="G6252" t="s">
        <v>19013</v>
      </c>
      <c r="H6252" t="s">
        <v>275</v>
      </c>
      <c r="I6252" t="s">
        <v>29</v>
      </c>
      <c r="J6252">
        <v>1</v>
      </c>
      <c r="K6252">
        <f>1-844-210-4337</f>
        <v>-5390</v>
      </c>
      <c r="L6252" t="s">
        <v>19475</v>
      </c>
      <c r="M6252" t="s">
        <v>19476</v>
      </c>
      <c r="N6252" t="s">
        <v>278</v>
      </c>
      <c r="O6252" t="s">
        <v>28</v>
      </c>
      <c r="P6252" t="s">
        <v>29</v>
      </c>
      <c r="Q6252">
        <v>42</v>
      </c>
      <c r="R6252">
        <v>-93.620800000000003</v>
      </c>
    </row>
    <row r="6253" spans="1:18" x14ac:dyDescent="0.2">
      <c r="A6253" t="s">
        <v>453</v>
      </c>
      <c r="B6253" t="s">
        <v>454</v>
      </c>
      <c r="C6253">
        <v>33</v>
      </c>
      <c r="D6253" s="1">
        <v>44096.395486111112</v>
      </c>
      <c r="E6253" t="s">
        <v>19477</v>
      </c>
      <c r="F6253" t="s">
        <v>456</v>
      </c>
      <c r="G6253" t="s">
        <v>19478</v>
      </c>
      <c r="H6253" t="s">
        <v>458</v>
      </c>
      <c r="I6253" t="s">
        <v>292</v>
      </c>
      <c r="J6253">
        <v>33</v>
      </c>
      <c r="K6253">
        <f t="shared" ref="K6253:K6262" si="58">33-7-55-53-87-14</f>
        <v>-183</v>
      </c>
      <c r="L6253" t="s">
        <v>19479</v>
      </c>
      <c r="M6253" t="s">
        <v>19480</v>
      </c>
      <c r="N6253" t="s">
        <v>452</v>
      </c>
      <c r="O6253" t="s">
        <v>134</v>
      </c>
      <c r="P6253" t="s">
        <v>461</v>
      </c>
      <c r="Q6253">
        <v>52</v>
      </c>
      <c r="R6253">
        <v>4.8975</v>
      </c>
    </row>
    <row r="6254" spans="1:18" x14ac:dyDescent="0.2">
      <c r="A6254" t="s">
        <v>453</v>
      </c>
      <c r="B6254" t="s">
        <v>454</v>
      </c>
      <c r="C6254">
        <v>33</v>
      </c>
      <c r="D6254" s="1">
        <v>44085.038611111115</v>
      </c>
      <c r="E6254" t="s">
        <v>19477</v>
      </c>
      <c r="F6254" t="s">
        <v>456</v>
      </c>
      <c r="G6254" t="s">
        <v>19478</v>
      </c>
      <c r="H6254" t="s">
        <v>458</v>
      </c>
      <c r="I6254" t="s">
        <v>292</v>
      </c>
      <c r="J6254">
        <v>33</v>
      </c>
      <c r="K6254">
        <f t="shared" si="58"/>
        <v>-183</v>
      </c>
      <c r="L6254" t="s">
        <v>19481</v>
      </c>
      <c r="M6254" t="s">
        <v>19482</v>
      </c>
      <c r="N6254" t="s">
        <v>452</v>
      </c>
      <c r="O6254" t="s">
        <v>134</v>
      </c>
      <c r="P6254" t="s">
        <v>461</v>
      </c>
      <c r="Q6254">
        <v>52</v>
      </c>
      <c r="R6254">
        <v>4.8975</v>
      </c>
    </row>
    <row r="6255" spans="1:18" x14ac:dyDescent="0.2">
      <c r="A6255" t="s">
        <v>453</v>
      </c>
      <c r="B6255" t="s">
        <v>454</v>
      </c>
      <c r="C6255">
        <v>33</v>
      </c>
      <c r="D6255" s="1">
        <v>44085.038472222222</v>
      </c>
      <c r="E6255" t="s">
        <v>19483</v>
      </c>
      <c r="F6255" t="s">
        <v>456</v>
      </c>
      <c r="G6255" t="s">
        <v>19478</v>
      </c>
      <c r="H6255" t="s">
        <v>458</v>
      </c>
      <c r="I6255" t="s">
        <v>292</v>
      </c>
      <c r="J6255">
        <v>33</v>
      </c>
      <c r="K6255">
        <f t="shared" si="58"/>
        <v>-183</v>
      </c>
      <c r="L6255" t="s">
        <v>19484</v>
      </c>
      <c r="M6255" t="s">
        <v>19485</v>
      </c>
      <c r="N6255" t="s">
        <v>452</v>
      </c>
      <c r="O6255" t="s">
        <v>134</v>
      </c>
      <c r="P6255" t="s">
        <v>461</v>
      </c>
      <c r="Q6255">
        <v>52</v>
      </c>
      <c r="R6255">
        <v>4.8975</v>
      </c>
    </row>
    <row r="6256" spans="1:18" x14ac:dyDescent="0.2">
      <c r="A6256" t="s">
        <v>453</v>
      </c>
      <c r="B6256" t="s">
        <v>454</v>
      </c>
      <c r="C6256">
        <v>33</v>
      </c>
      <c r="D6256" s="1">
        <v>44085.03837962963</v>
      </c>
      <c r="E6256" t="s">
        <v>19486</v>
      </c>
      <c r="F6256" t="s">
        <v>456</v>
      </c>
      <c r="G6256" t="s">
        <v>19478</v>
      </c>
      <c r="H6256" t="s">
        <v>458</v>
      </c>
      <c r="I6256" t="s">
        <v>292</v>
      </c>
      <c r="J6256">
        <v>33</v>
      </c>
      <c r="K6256">
        <f t="shared" si="58"/>
        <v>-183</v>
      </c>
      <c r="L6256" t="s">
        <v>19487</v>
      </c>
      <c r="M6256" t="s">
        <v>19488</v>
      </c>
      <c r="N6256" t="s">
        <v>452</v>
      </c>
      <c r="O6256" t="s">
        <v>134</v>
      </c>
      <c r="P6256" t="s">
        <v>461</v>
      </c>
      <c r="Q6256">
        <v>52</v>
      </c>
      <c r="R6256">
        <v>4.8975</v>
      </c>
    </row>
    <row r="6257" spans="1:18" x14ac:dyDescent="0.2">
      <c r="A6257" t="s">
        <v>453</v>
      </c>
      <c r="B6257" t="s">
        <v>454</v>
      </c>
      <c r="C6257">
        <v>33</v>
      </c>
      <c r="D6257" s="1">
        <v>44085.038275462961</v>
      </c>
      <c r="E6257" t="s">
        <v>19489</v>
      </c>
      <c r="F6257" t="s">
        <v>456</v>
      </c>
      <c r="G6257" t="s">
        <v>19478</v>
      </c>
      <c r="H6257" t="s">
        <v>458</v>
      </c>
      <c r="I6257" t="s">
        <v>292</v>
      </c>
      <c r="J6257">
        <v>33</v>
      </c>
      <c r="K6257">
        <f t="shared" si="58"/>
        <v>-183</v>
      </c>
      <c r="L6257" t="s">
        <v>19490</v>
      </c>
      <c r="M6257" t="s">
        <v>19491</v>
      </c>
      <c r="N6257" t="s">
        <v>452</v>
      </c>
      <c r="O6257" t="s">
        <v>134</v>
      </c>
      <c r="P6257" t="s">
        <v>461</v>
      </c>
      <c r="Q6257">
        <v>52</v>
      </c>
      <c r="R6257">
        <v>4.8975</v>
      </c>
    </row>
    <row r="6258" spans="1:18" x14ac:dyDescent="0.2">
      <c r="A6258" t="s">
        <v>453</v>
      </c>
      <c r="B6258" t="s">
        <v>454</v>
      </c>
      <c r="C6258">
        <v>33</v>
      </c>
      <c r="D6258" s="1">
        <v>44085.037418981483</v>
      </c>
      <c r="E6258" t="s">
        <v>19492</v>
      </c>
      <c r="F6258" t="s">
        <v>456</v>
      </c>
      <c r="G6258" t="s">
        <v>19478</v>
      </c>
      <c r="H6258" t="s">
        <v>458</v>
      </c>
      <c r="I6258" t="s">
        <v>292</v>
      </c>
      <c r="J6258">
        <v>33</v>
      </c>
      <c r="K6258">
        <f t="shared" si="58"/>
        <v>-183</v>
      </c>
      <c r="L6258" t="s">
        <v>19493</v>
      </c>
      <c r="M6258" t="s">
        <v>19494</v>
      </c>
      <c r="N6258" t="s">
        <v>452</v>
      </c>
      <c r="O6258" t="s">
        <v>134</v>
      </c>
      <c r="P6258" t="s">
        <v>461</v>
      </c>
      <c r="Q6258">
        <v>52</v>
      </c>
      <c r="R6258">
        <v>4.8975</v>
      </c>
    </row>
    <row r="6259" spans="1:18" x14ac:dyDescent="0.2">
      <c r="A6259" t="s">
        <v>453</v>
      </c>
      <c r="B6259" t="s">
        <v>454</v>
      </c>
      <c r="C6259">
        <v>33</v>
      </c>
      <c r="D6259" s="1">
        <v>44085.037349537037</v>
      </c>
      <c r="E6259" t="s">
        <v>19495</v>
      </c>
      <c r="F6259" t="s">
        <v>456</v>
      </c>
      <c r="G6259" t="s">
        <v>19478</v>
      </c>
      <c r="H6259" t="s">
        <v>458</v>
      </c>
      <c r="I6259" t="s">
        <v>292</v>
      </c>
      <c r="J6259">
        <v>33</v>
      </c>
      <c r="K6259">
        <f t="shared" si="58"/>
        <v>-183</v>
      </c>
      <c r="L6259" t="s">
        <v>19496</v>
      </c>
      <c r="M6259" t="s">
        <v>19497</v>
      </c>
      <c r="N6259" t="s">
        <v>452</v>
      </c>
      <c r="O6259" t="s">
        <v>134</v>
      </c>
      <c r="P6259" t="s">
        <v>461</v>
      </c>
      <c r="Q6259">
        <v>52</v>
      </c>
      <c r="R6259">
        <v>4.8975</v>
      </c>
    </row>
    <row r="6260" spans="1:18" x14ac:dyDescent="0.2">
      <c r="A6260" t="s">
        <v>453</v>
      </c>
      <c r="B6260" t="s">
        <v>454</v>
      </c>
      <c r="C6260">
        <v>33</v>
      </c>
      <c r="D6260" s="1">
        <v>44085.037291666667</v>
      </c>
      <c r="E6260" t="s">
        <v>19498</v>
      </c>
      <c r="F6260" t="s">
        <v>456</v>
      </c>
      <c r="G6260" t="s">
        <v>19478</v>
      </c>
      <c r="H6260" t="s">
        <v>458</v>
      </c>
      <c r="I6260" t="s">
        <v>292</v>
      </c>
      <c r="J6260">
        <v>33</v>
      </c>
      <c r="K6260">
        <f t="shared" si="58"/>
        <v>-183</v>
      </c>
      <c r="L6260" t="s">
        <v>19499</v>
      </c>
      <c r="M6260" t="s">
        <v>19500</v>
      </c>
      <c r="N6260" t="s">
        <v>452</v>
      </c>
      <c r="O6260" t="s">
        <v>134</v>
      </c>
      <c r="P6260" t="s">
        <v>461</v>
      </c>
      <c r="Q6260">
        <v>52</v>
      </c>
      <c r="R6260">
        <v>4.8975</v>
      </c>
    </row>
    <row r="6261" spans="1:18" x14ac:dyDescent="0.2">
      <c r="A6261" t="s">
        <v>453</v>
      </c>
      <c r="B6261" t="s">
        <v>454</v>
      </c>
      <c r="C6261">
        <v>33</v>
      </c>
      <c r="D6261" s="1">
        <v>44085.037164351852</v>
      </c>
      <c r="E6261" t="s">
        <v>19501</v>
      </c>
      <c r="F6261" t="s">
        <v>456</v>
      </c>
      <c r="G6261" t="s">
        <v>19478</v>
      </c>
      <c r="H6261" t="s">
        <v>458</v>
      </c>
      <c r="I6261" t="s">
        <v>292</v>
      </c>
      <c r="J6261">
        <v>33</v>
      </c>
      <c r="K6261">
        <f t="shared" si="58"/>
        <v>-183</v>
      </c>
      <c r="L6261" t="s">
        <v>19502</v>
      </c>
      <c r="M6261" t="s">
        <v>19503</v>
      </c>
      <c r="N6261" t="s">
        <v>452</v>
      </c>
      <c r="O6261" t="s">
        <v>134</v>
      </c>
      <c r="P6261" t="s">
        <v>461</v>
      </c>
      <c r="Q6261">
        <v>52</v>
      </c>
      <c r="R6261">
        <v>4.8975</v>
      </c>
    </row>
    <row r="6262" spans="1:18" x14ac:dyDescent="0.2">
      <c r="A6262" t="s">
        <v>453</v>
      </c>
      <c r="B6262" t="s">
        <v>454</v>
      </c>
      <c r="C6262">
        <v>33</v>
      </c>
      <c r="D6262" s="1">
        <v>44085.035844907405</v>
      </c>
      <c r="E6262" t="s">
        <v>19504</v>
      </c>
      <c r="F6262" t="s">
        <v>456</v>
      </c>
      <c r="G6262" t="s">
        <v>19478</v>
      </c>
      <c r="H6262" t="s">
        <v>458</v>
      </c>
      <c r="I6262" t="s">
        <v>292</v>
      </c>
      <c r="J6262">
        <v>33</v>
      </c>
      <c r="K6262">
        <f t="shared" si="58"/>
        <v>-183</v>
      </c>
      <c r="L6262" t="s">
        <v>19505</v>
      </c>
      <c r="M6262" t="s">
        <v>19506</v>
      </c>
      <c r="N6262" t="s">
        <v>452</v>
      </c>
      <c r="O6262" t="s">
        <v>134</v>
      </c>
      <c r="P6262" t="s">
        <v>461</v>
      </c>
      <c r="Q6262">
        <v>52</v>
      </c>
      <c r="R6262">
        <v>4.8975</v>
      </c>
    </row>
    <row r="6263" spans="1:18" x14ac:dyDescent="0.2">
      <c r="A6263" t="s">
        <v>439</v>
      </c>
      <c r="B6263" t="s">
        <v>3094</v>
      </c>
      <c r="C6263">
        <v>1</v>
      </c>
      <c r="D6263" s="1">
        <v>44085.683923611112</v>
      </c>
      <c r="E6263" t="s">
        <v>19507</v>
      </c>
      <c r="F6263" t="s">
        <v>442</v>
      </c>
      <c r="G6263" t="s">
        <v>19508</v>
      </c>
      <c r="H6263" t="s">
        <v>444</v>
      </c>
      <c r="I6263" t="s">
        <v>29</v>
      </c>
      <c r="J6263">
        <v>1</v>
      </c>
      <c r="K6263">
        <f>1-888-229-6235</f>
        <v>-7351</v>
      </c>
      <c r="L6263" t="s">
        <v>19509</v>
      </c>
      <c r="M6263" t="s">
        <v>19510</v>
      </c>
      <c r="N6263" t="s">
        <v>1645</v>
      </c>
      <c r="O6263" t="s">
        <v>28</v>
      </c>
      <c r="P6263" t="s">
        <v>2268</v>
      </c>
      <c r="Q6263">
        <v>46</v>
      </c>
      <c r="R6263">
        <v>-73.567300000000003</v>
      </c>
    </row>
    <row r="6264" spans="1:18" x14ac:dyDescent="0.2">
      <c r="A6264" t="s">
        <v>663</v>
      </c>
      <c r="B6264" t="s">
        <v>664</v>
      </c>
      <c r="C6264">
        <v>1</v>
      </c>
      <c r="D6264" s="1">
        <v>44085.980740740742</v>
      </c>
      <c r="E6264" t="s">
        <v>19511</v>
      </c>
      <c r="F6264" t="s">
        <v>666</v>
      </c>
      <c r="G6264" t="s">
        <v>19511</v>
      </c>
      <c r="H6264" t="s">
        <v>667</v>
      </c>
      <c r="I6264" t="s">
        <v>29</v>
      </c>
      <c r="J6264">
        <v>1</v>
      </c>
      <c r="K6264">
        <f>1-844-384-8708</f>
        <v>-9935</v>
      </c>
      <c r="L6264" t="s">
        <v>19512</v>
      </c>
      <c r="M6264" t="s">
        <v>19513</v>
      </c>
      <c r="N6264">
        <v>44</v>
      </c>
      <c r="O6264" t="s">
        <v>134</v>
      </c>
      <c r="P6264" t="s">
        <v>29</v>
      </c>
      <c r="Q6264">
        <v>37</v>
      </c>
      <c r="R6264">
        <v>-99.999999000000003</v>
      </c>
    </row>
    <row r="6265" spans="1:18" x14ac:dyDescent="0.2">
      <c r="A6265" t="s">
        <v>439</v>
      </c>
      <c r="B6265" t="s">
        <v>3094</v>
      </c>
      <c r="C6265">
        <v>1</v>
      </c>
      <c r="D6265" s="1">
        <v>44085.981481481482</v>
      </c>
      <c r="E6265" t="s">
        <v>19514</v>
      </c>
      <c r="F6265" t="s">
        <v>442</v>
      </c>
      <c r="G6265" t="s">
        <v>19515</v>
      </c>
      <c r="H6265" t="s">
        <v>444</v>
      </c>
      <c r="I6265" t="s">
        <v>29</v>
      </c>
      <c r="J6265">
        <v>1</v>
      </c>
      <c r="K6265">
        <f>1-888-203-2064</f>
        <v>-3154</v>
      </c>
      <c r="L6265" t="s">
        <v>19516</v>
      </c>
      <c r="M6265" t="s">
        <v>19517</v>
      </c>
      <c r="N6265" t="s">
        <v>5354</v>
      </c>
      <c r="O6265" t="s">
        <v>28</v>
      </c>
      <c r="P6265" t="s">
        <v>2268</v>
      </c>
      <c r="Q6265">
        <v>46</v>
      </c>
      <c r="R6265">
        <v>-73.567300000000003</v>
      </c>
    </row>
    <row r="6266" spans="1:18" x14ac:dyDescent="0.2">
      <c r="A6266" t="s">
        <v>439</v>
      </c>
      <c r="B6266" t="s">
        <v>3094</v>
      </c>
      <c r="C6266">
        <v>1</v>
      </c>
      <c r="D6266" s="1">
        <v>44086.702280092592</v>
      </c>
      <c r="E6266" t="s">
        <v>19518</v>
      </c>
      <c r="F6266" t="s">
        <v>442</v>
      </c>
      <c r="G6266" t="s">
        <v>19519</v>
      </c>
      <c r="H6266" t="s">
        <v>444</v>
      </c>
      <c r="I6266" t="s">
        <v>29</v>
      </c>
      <c r="J6266">
        <v>1</v>
      </c>
      <c r="K6266">
        <f>1-888-203-2064</f>
        <v>-3154</v>
      </c>
      <c r="L6266" t="s">
        <v>19520</v>
      </c>
      <c r="M6266" t="s">
        <v>19521</v>
      </c>
      <c r="N6266" t="s">
        <v>1645</v>
      </c>
      <c r="O6266" t="s">
        <v>28</v>
      </c>
      <c r="P6266" t="s">
        <v>2268</v>
      </c>
      <c r="Q6266">
        <v>46</v>
      </c>
      <c r="R6266">
        <v>-73.567300000000003</v>
      </c>
    </row>
    <row r="6267" spans="1:18" x14ac:dyDescent="0.2">
      <c r="A6267" t="s">
        <v>663</v>
      </c>
      <c r="B6267" t="s">
        <v>664</v>
      </c>
      <c r="C6267">
        <v>1</v>
      </c>
      <c r="D6267" s="1">
        <v>44085.837291666663</v>
      </c>
      <c r="E6267" t="s">
        <v>19522</v>
      </c>
      <c r="F6267" t="s">
        <v>666</v>
      </c>
      <c r="G6267" t="s">
        <v>19522</v>
      </c>
      <c r="H6267" t="s">
        <v>667</v>
      </c>
      <c r="I6267" t="s">
        <v>29</v>
      </c>
      <c r="J6267">
        <v>1</v>
      </c>
      <c r="K6267">
        <f>1-888-610-7624</f>
        <v>-9121</v>
      </c>
      <c r="L6267" t="s">
        <v>19523</v>
      </c>
      <c r="M6267" t="s">
        <v>19524</v>
      </c>
      <c r="N6267">
        <v>136</v>
      </c>
      <c r="O6267" t="s">
        <v>134</v>
      </c>
      <c r="P6267" t="s">
        <v>29</v>
      </c>
      <c r="Q6267">
        <v>37</v>
      </c>
      <c r="R6267">
        <v>-99.999999000000003</v>
      </c>
    </row>
    <row r="6268" spans="1:18" x14ac:dyDescent="0.2">
      <c r="A6268" t="s">
        <v>663</v>
      </c>
      <c r="B6268" t="s">
        <v>4281</v>
      </c>
      <c r="C6268">
        <v>1</v>
      </c>
      <c r="D6268" s="1">
        <v>44085.85765046296</v>
      </c>
      <c r="E6268" t="s">
        <v>19525</v>
      </c>
      <c r="F6268" t="s">
        <v>666</v>
      </c>
      <c r="G6268" t="s">
        <v>19525</v>
      </c>
      <c r="H6268" t="s">
        <v>667</v>
      </c>
      <c r="I6268" t="s">
        <v>29</v>
      </c>
      <c r="J6268">
        <v>1</v>
      </c>
      <c r="K6268">
        <f>1-844-384-6788</f>
        <v>-8015</v>
      </c>
      <c r="L6268" t="s">
        <v>19526</v>
      </c>
      <c r="M6268" t="s">
        <v>19527</v>
      </c>
      <c r="N6268">
        <v>233</v>
      </c>
      <c r="O6268" t="s">
        <v>134</v>
      </c>
      <c r="P6268" t="s">
        <v>24</v>
      </c>
      <c r="Q6268">
        <v>50</v>
      </c>
      <c r="R6268">
        <v>8.6843000000000004</v>
      </c>
    </row>
    <row r="6269" spans="1:18" x14ac:dyDescent="0.2">
      <c r="A6269" t="s">
        <v>663</v>
      </c>
      <c r="B6269" t="s">
        <v>4281</v>
      </c>
      <c r="C6269">
        <v>1</v>
      </c>
      <c r="D6269" s="1">
        <v>44085.859016203707</v>
      </c>
      <c r="E6269" t="s">
        <v>19528</v>
      </c>
      <c r="F6269" t="s">
        <v>666</v>
      </c>
      <c r="G6269" t="s">
        <v>19528</v>
      </c>
      <c r="H6269" t="s">
        <v>667</v>
      </c>
      <c r="I6269" t="s">
        <v>29</v>
      </c>
      <c r="J6269">
        <v>1</v>
      </c>
      <c r="K6269">
        <f>1-844-312-5808</f>
        <v>-6963</v>
      </c>
      <c r="L6269" t="s">
        <v>19529</v>
      </c>
      <c r="M6269" t="s">
        <v>19530</v>
      </c>
      <c r="N6269">
        <v>170</v>
      </c>
      <c r="O6269" t="s">
        <v>134</v>
      </c>
      <c r="P6269" t="s">
        <v>24</v>
      </c>
      <c r="Q6269">
        <v>50</v>
      </c>
      <c r="R6269">
        <v>8.6843000000000004</v>
      </c>
    </row>
    <row r="6270" spans="1:18" x14ac:dyDescent="0.2">
      <c r="A6270" t="s">
        <v>663</v>
      </c>
      <c r="B6270" t="s">
        <v>664</v>
      </c>
      <c r="C6270">
        <v>1</v>
      </c>
      <c r="D6270" s="1">
        <v>44085.862349537034</v>
      </c>
      <c r="E6270" t="s">
        <v>19531</v>
      </c>
      <c r="F6270" t="s">
        <v>666</v>
      </c>
      <c r="G6270" t="s">
        <v>19531</v>
      </c>
      <c r="H6270" t="s">
        <v>667</v>
      </c>
      <c r="I6270" t="s">
        <v>29</v>
      </c>
      <c r="J6270">
        <v>1</v>
      </c>
      <c r="K6270">
        <f>1-855-460-6171</f>
        <v>-7485</v>
      </c>
      <c r="L6270" t="s">
        <v>19532</v>
      </c>
      <c r="M6270" t="s">
        <v>19533</v>
      </c>
      <c r="N6270">
        <v>113</v>
      </c>
      <c r="O6270" t="s">
        <v>134</v>
      </c>
      <c r="P6270" t="s">
        <v>29</v>
      </c>
      <c r="Q6270">
        <v>37</v>
      </c>
      <c r="R6270">
        <v>-99.999999000000003</v>
      </c>
    </row>
    <row r="6271" spans="1:18" x14ac:dyDescent="0.2">
      <c r="A6271" t="s">
        <v>439</v>
      </c>
      <c r="B6271" t="s">
        <v>3094</v>
      </c>
      <c r="C6271">
        <v>1</v>
      </c>
      <c r="D6271" s="1">
        <v>44085.864814814813</v>
      </c>
      <c r="E6271" t="s">
        <v>19534</v>
      </c>
      <c r="F6271" t="s">
        <v>442</v>
      </c>
      <c r="G6271" t="s">
        <v>19535</v>
      </c>
      <c r="H6271" t="s">
        <v>444</v>
      </c>
      <c r="I6271" t="s">
        <v>29</v>
      </c>
      <c r="J6271">
        <v>1</v>
      </c>
      <c r="K6271">
        <f>1-844-384-8708</f>
        <v>-9935</v>
      </c>
      <c r="L6271" t="s">
        <v>19536</v>
      </c>
      <c r="M6271" t="s">
        <v>19537</v>
      </c>
      <c r="N6271" t="s">
        <v>674</v>
      </c>
      <c r="O6271" t="s">
        <v>28</v>
      </c>
      <c r="P6271" t="s">
        <v>2268</v>
      </c>
      <c r="Q6271">
        <v>46</v>
      </c>
      <c r="R6271">
        <v>-73.567300000000003</v>
      </c>
    </row>
    <row r="6272" spans="1:18" x14ac:dyDescent="0.2">
      <c r="A6272" t="s">
        <v>663</v>
      </c>
      <c r="B6272" t="s">
        <v>4281</v>
      </c>
      <c r="C6272">
        <v>1</v>
      </c>
      <c r="D6272" s="1">
        <v>44085.865925925929</v>
      </c>
      <c r="E6272" t="s">
        <v>19538</v>
      </c>
      <c r="F6272" t="s">
        <v>666</v>
      </c>
      <c r="G6272" t="s">
        <v>19538</v>
      </c>
      <c r="H6272" t="s">
        <v>667</v>
      </c>
      <c r="I6272" t="s">
        <v>29</v>
      </c>
      <c r="J6272">
        <v>1</v>
      </c>
      <c r="K6272">
        <f>1-844-312-5808</f>
        <v>-6963</v>
      </c>
      <c r="L6272" t="s">
        <v>19539</v>
      </c>
      <c r="M6272" t="s">
        <v>19540</v>
      </c>
      <c r="N6272">
        <v>231</v>
      </c>
      <c r="O6272" t="s">
        <v>134</v>
      </c>
      <c r="P6272" t="s">
        <v>24</v>
      </c>
      <c r="Q6272">
        <v>50</v>
      </c>
      <c r="R6272">
        <v>8.6843000000000004</v>
      </c>
    </row>
    <row r="6273" spans="1:18" x14ac:dyDescent="0.2">
      <c r="A6273" t="s">
        <v>663</v>
      </c>
      <c r="B6273" t="s">
        <v>4281</v>
      </c>
      <c r="C6273">
        <v>1</v>
      </c>
      <c r="D6273" s="1">
        <v>44085.872418981482</v>
      </c>
      <c r="E6273" t="s">
        <v>19541</v>
      </c>
      <c r="F6273" t="s">
        <v>666</v>
      </c>
      <c r="G6273" t="s">
        <v>19541</v>
      </c>
      <c r="H6273" t="s">
        <v>667</v>
      </c>
      <c r="I6273" t="s">
        <v>29</v>
      </c>
      <c r="J6273">
        <v>1</v>
      </c>
      <c r="K6273">
        <f>1-844-312-5808</f>
        <v>-6963</v>
      </c>
      <c r="L6273" t="s">
        <v>19542</v>
      </c>
      <c r="M6273" t="s">
        <v>19543</v>
      </c>
      <c r="N6273">
        <v>5</v>
      </c>
      <c r="O6273" t="s">
        <v>134</v>
      </c>
      <c r="P6273" t="s">
        <v>24</v>
      </c>
      <c r="Q6273">
        <v>50</v>
      </c>
      <c r="R6273">
        <v>8.6843000000000004</v>
      </c>
    </row>
    <row r="6274" spans="1:18" x14ac:dyDescent="0.2">
      <c r="A6274" t="s">
        <v>439</v>
      </c>
      <c r="B6274" t="s">
        <v>3094</v>
      </c>
      <c r="C6274">
        <v>1</v>
      </c>
      <c r="D6274" s="1">
        <v>44085.874236111114</v>
      </c>
      <c r="E6274" t="s">
        <v>19544</v>
      </c>
      <c r="F6274" t="s">
        <v>442</v>
      </c>
      <c r="G6274" t="s">
        <v>19545</v>
      </c>
      <c r="H6274" t="s">
        <v>444</v>
      </c>
      <c r="I6274" t="s">
        <v>29</v>
      </c>
      <c r="J6274">
        <v>1</v>
      </c>
      <c r="K6274">
        <f>1-855-460-6171</f>
        <v>-7485</v>
      </c>
      <c r="L6274" t="s">
        <v>19546</v>
      </c>
      <c r="M6274" t="s">
        <v>19547</v>
      </c>
      <c r="N6274" t="s">
        <v>213</v>
      </c>
      <c r="O6274" t="s">
        <v>28</v>
      </c>
      <c r="P6274" t="s">
        <v>2268</v>
      </c>
      <c r="Q6274">
        <v>46</v>
      </c>
      <c r="R6274">
        <v>-73.567300000000003</v>
      </c>
    </row>
    <row r="6275" spans="1:18" x14ac:dyDescent="0.2">
      <c r="A6275" t="s">
        <v>663</v>
      </c>
      <c r="B6275" t="s">
        <v>4281</v>
      </c>
      <c r="C6275">
        <v>1</v>
      </c>
      <c r="D6275" s="1">
        <v>44085.916747685187</v>
      </c>
      <c r="E6275" t="s">
        <v>19548</v>
      </c>
      <c r="F6275" t="s">
        <v>666</v>
      </c>
      <c r="G6275" t="s">
        <v>19548</v>
      </c>
      <c r="H6275" t="s">
        <v>667</v>
      </c>
      <c r="I6275" t="s">
        <v>29</v>
      </c>
      <c r="J6275">
        <v>1</v>
      </c>
      <c r="K6275">
        <f>1-855-460-6171</f>
        <v>-7485</v>
      </c>
      <c r="L6275" t="s">
        <v>19549</v>
      </c>
      <c r="M6275" t="s">
        <v>19550</v>
      </c>
      <c r="N6275">
        <v>66</v>
      </c>
      <c r="O6275" t="s">
        <v>134</v>
      </c>
      <c r="P6275" t="s">
        <v>24</v>
      </c>
      <c r="Q6275">
        <v>50</v>
      </c>
      <c r="R6275">
        <v>8.6843000000000004</v>
      </c>
    </row>
    <row r="6276" spans="1:18" x14ac:dyDescent="0.2">
      <c r="A6276" t="s">
        <v>439</v>
      </c>
      <c r="B6276" t="s">
        <v>3094</v>
      </c>
      <c r="C6276">
        <v>1</v>
      </c>
      <c r="D6276" s="1">
        <v>44085.983275462961</v>
      </c>
      <c r="E6276" t="s">
        <v>19551</v>
      </c>
      <c r="F6276" t="s">
        <v>442</v>
      </c>
      <c r="G6276" t="s">
        <v>19552</v>
      </c>
      <c r="H6276" t="s">
        <v>444</v>
      </c>
      <c r="I6276" t="s">
        <v>29</v>
      </c>
      <c r="J6276">
        <v>1</v>
      </c>
      <c r="K6276">
        <f>1-888-202-1879</f>
        <v>-2968</v>
      </c>
      <c r="L6276" t="s">
        <v>19553</v>
      </c>
      <c r="M6276" t="s">
        <v>19554</v>
      </c>
      <c r="N6276" t="s">
        <v>1645</v>
      </c>
      <c r="O6276" t="s">
        <v>28</v>
      </c>
      <c r="P6276" t="s">
        <v>2268</v>
      </c>
      <c r="Q6276">
        <v>46</v>
      </c>
      <c r="R6276">
        <v>-73.567300000000003</v>
      </c>
    </row>
    <row r="6277" spans="1:18" x14ac:dyDescent="0.2">
      <c r="A6277" t="s">
        <v>663</v>
      </c>
      <c r="B6277" t="s">
        <v>4281</v>
      </c>
      <c r="C6277">
        <v>1</v>
      </c>
      <c r="D6277" s="1">
        <v>44086.02070601852</v>
      </c>
      <c r="E6277" t="s">
        <v>19555</v>
      </c>
      <c r="F6277" t="s">
        <v>666</v>
      </c>
      <c r="G6277" t="s">
        <v>19555</v>
      </c>
      <c r="H6277" t="s">
        <v>667</v>
      </c>
      <c r="I6277" t="s">
        <v>29</v>
      </c>
      <c r="J6277">
        <v>1</v>
      </c>
      <c r="K6277">
        <f>1-844-313-3749</f>
        <v>-4905</v>
      </c>
      <c r="L6277" t="s">
        <v>19556</v>
      </c>
      <c r="M6277" t="s">
        <v>19557</v>
      </c>
      <c r="N6277">
        <v>226</v>
      </c>
      <c r="O6277" t="s">
        <v>134</v>
      </c>
      <c r="P6277" t="s">
        <v>24</v>
      </c>
      <c r="Q6277">
        <v>50</v>
      </c>
      <c r="R6277">
        <v>8.6843000000000004</v>
      </c>
    </row>
    <row r="6278" spans="1:18" x14ac:dyDescent="0.2">
      <c r="A6278" t="s">
        <v>439</v>
      </c>
      <c r="B6278" t="s">
        <v>3094</v>
      </c>
      <c r="C6278">
        <v>1</v>
      </c>
      <c r="D6278" s="1">
        <v>44086.020844907405</v>
      </c>
      <c r="E6278" t="s">
        <v>19558</v>
      </c>
      <c r="F6278" t="s">
        <v>442</v>
      </c>
      <c r="G6278" t="s">
        <v>19559</v>
      </c>
      <c r="H6278" t="s">
        <v>444</v>
      </c>
      <c r="I6278" t="s">
        <v>29</v>
      </c>
      <c r="J6278">
        <v>1</v>
      </c>
      <c r="K6278">
        <f>1-888-412-7745</f>
        <v>-9044</v>
      </c>
      <c r="L6278" t="s">
        <v>19560</v>
      </c>
      <c r="M6278" t="s">
        <v>19561</v>
      </c>
      <c r="N6278" t="s">
        <v>36</v>
      </c>
      <c r="O6278" t="s">
        <v>28</v>
      </c>
      <c r="P6278" t="s">
        <v>2268</v>
      </c>
      <c r="Q6278">
        <v>46</v>
      </c>
      <c r="R6278">
        <v>-73.567300000000003</v>
      </c>
    </row>
    <row r="6279" spans="1:18" x14ac:dyDescent="0.2">
      <c r="A6279" t="s">
        <v>439</v>
      </c>
      <c r="B6279" t="s">
        <v>3094</v>
      </c>
      <c r="C6279">
        <v>1</v>
      </c>
      <c r="D6279" s="1">
        <v>44086.032951388886</v>
      </c>
      <c r="E6279" t="s">
        <v>19562</v>
      </c>
      <c r="F6279" t="s">
        <v>442</v>
      </c>
      <c r="G6279" t="s">
        <v>19563</v>
      </c>
      <c r="H6279" t="s">
        <v>444</v>
      </c>
      <c r="I6279" t="s">
        <v>29</v>
      </c>
      <c r="J6279">
        <v>1</v>
      </c>
      <c r="K6279">
        <f>1-888-203-2064</f>
        <v>-3154</v>
      </c>
      <c r="L6279" t="s">
        <v>19564</v>
      </c>
      <c r="M6279" t="s">
        <v>19565</v>
      </c>
      <c r="N6279" t="s">
        <v>683</v>
      </c>
      <c r="O6279" t="s">
        <v>28</v>
      </c>
      <c r="P6279" t="s">
        <v>2268</v>
      </c>
      <c r="Q6279">
        <v>46</v>
      </c>
      <c r="R6279">
        <v>-73.567300000000003</v>
      </c>
    </row>
    <row r="6280" spans="1:18" x14ac:dyDescent="0.2">
      <c r="A6280" t="s">
        <v>439</v>
      </c>
      <c r="B6280" t="s">
        <v>3094</v>
      </c>
      <c r="C6280">
        <v>1</v>
      </c>
      <c r="D6280" s="1">
        <v>44086.052141203705</v>
      </c>
      <c r="E6280" t="s">
        <v>19566</v>
      </c>
      <c r="F6280" t="s">
        <v>442</v>
      </c>
      <c r="G6280" t="s">
        <v>19567</v>
      </c>
      <c r="H6280" t="s">
        <v>444</v>
      </c>
      <c r="I6280" t="s">
        <v>29</v>
      </c>
      <c r="J6280">
        <v>1</v>
      </c>
      <c r="K6280">
        <f>1-888-203-2064</f>
        <v>-3154</v>
      </c>
      <c r="L6280" t="s">
        <v>19568</v>
      </c>
      <c r="M6280" t="s">
        <v>19569</v>
      </c>
      <c r="N6280" t="s">
        <v>5354</v>
      </c>
      <c r="O6280" t="s">
        <v>28</v>
      </c>
      <c r="P6280" t="s">
        <v>2268</v>
      </c>
      <c r="Q6280">
        <v>46</v>
      </c>
      <c r="R6280">
        <v>-73.567300000000003</v>
      </c>
    </row>
    <row r="6281" spans="1:18" x14ac:dyDescent="0.2">
      <c r="A6281" t="s">
        <v>675</v>
      </c>
      <c r="B6281" t="s">
        <v>1412</v>
      </c>
      <c r="C6281">
        <v>1</v>
      </c>
      <c r="D6281" s="1">
        <v>44086.070729166669</v>
      </c>
      <c r="E6281" t="s">
        <v>19570</v>
      </c>
      <c r="F6281" t="s">
        <v>678</v>
      </c>
      <c r="G6281" t="s">
        <v>19571</v>
      </c>
      <c r="H6281" t="s">
        <v>680</v>
      </c>
      <c r="I6281" t="s">
        <v>29</v>
      </c>
      <c r="J6281">
        <v>1</v>
      </c>
      <c r="K6281">
        <f>1-855-948-3708</f>
        <v>-5510</v>
      </c>
      <c r="L6281" t="s">
        <v>19572</v>
      </c>
      <c r="M6281" t="s">
        <v>19573</v>
      </c>
      <c r="N6281" t="s">
        <v>19574</v>
      </c>
      <c r="O6281" t="s">
        <v>28</v>
      </c>
      <c r="P6281" t="s">
        <v>29</v>
      </c>
      <c r="Q6281">
        <v>41</v>
      </c>
      <c r="R6281">
        <v>-74.172399999999996</v>
      </c>
    </row>
    <row r="6282" spans="1:18" x14ac:dyDescent="0.2">
      <c r="A6282" t="s">
        <v>439</v>
      </c>
      <c r="B6282" t="s">
        <v>3094</v>
      </c>
      <c r="C6282">
        <v>1</v>
      </c>
      <c r="D6282" s="1">
        <v>44086.070902777778</v>
      </c>
      <c r="E6282" t="s">
        <v>19575</v>
      </c>
      <c r="F6282" t="s">
        <v>442</v>
      </c>
      <c r="G6282" t="s">
        <v>19576</v>
      </c>
      <c r="H6282" t="s">
        <v>444</v>
      </c>
      <c r="I6282" t="s">
        <v>29</v>
      </c>
      <c r="J6282">
        <v>1</v>
      </c>
      <c r="K6282">
        <f>1-877-916-7097</f>
        <v>-8889</v>
      </c>
      <c r="L6282" t="s">
        <v>19577</v>
      </c>
      <c r="M6282" t="s">
        <v>19578</v>
      </c>
      <c r="N6282" t="s">
        <v>5354</v>
      </c>
      <c r="O6282" t="s">
        <v>28</v>
      </c>
      <c r="P6282" t="s">
        <v>2268</v>
      </c>
      <c r="Q6282">
        <v>46</v>
      </c>
      <c r="R6282">
        <v>-73.567300000000003</v>
      </c>
    </row>
    <row r="6283" spans="1:18" x14ac:dyDescent="0.2">
      <c r="A6283" t="s">
        <v>663</v>
      </c>
      <c r="B6283" t="s">
        <v>2493</v>
      </c>
      <c r="C6283">
        <v>1</v>
      </c>
      <c r="D6283" s="1">
        <v>44086.07099537037</v>
      </c>
      <c r="E6283" t="s">
        <v>19579</v>
      </c>
      <c r="F6283" t="s">
        <v>666</v>
      </c>
      <c r="G6283" t="s">
        <v>19579</v>
      </c>
      <c r="H6283" t="s">
        <v>667</v>
      </c>
      <c r="I6283" t="s">
        <v>29</v>
      </c>
      <c r="J6283">
        <v>1</v>
      </c>
      <c r="K6283">
        <f>1-831-346-1681</f>
        <v>-2857</v>
      </c>
      <c r="L6283" t="s">
        <v>19580</v>
      </c>
      <c r="M6283" t="s">
        <v>19581</v>
      </c>
      <c r="N6283">
        <v>122</v>
      </c>
      <c r="O6283" t="s">
        <v>134</v>
      </c>
      <c r="P6283" t="s">
        <v>29</v>
      </c>
      <c r="Q6283">
        <v>41</v>
      </c>
      <c r="R6283">
        <v>-74.024699999999996</v>
      </c>
    </row>
    <row r="6284" spans="1:18" x14ac:dyDescent="0.2">
      <c r="A6284" t="s">
        <v>18</v>
      </c>
      <c r="B6284" t="s">
        <v>19</v>
      </c>
      <c r="C6284">
        <v>1</v>
      </c>
      <c r="D6284" s="1">
        <v>44086.071111111109</v>
      </c>
      <c r="E6284" t="s">
        <v>19582</v>
      </c>
      <c r="F6284" t="s">
        <v>6575</v>
      </c>
      <c r="G6284" t="s">
        <v>19583</v>
      </c>
      <c r="H6284" t="s">
        <v>466</v>
      </c>
      <c r="I6284" t="s">
        <v>29</v>
      </c>
      <c r="J6284">
        <v>1</v>
      </c>
      <c r="K6284">
        <f>1-724-436-4757</f>
        <v>-5916</v>
      </c>
      <c r="L6284" t="s">
        <v>19584</v>
      </c>
      <c r="M6284" t="s">
        <v>19585</v>
      </c>
      <c r="N6284" t="s">
        <v>5354</v>
      </c>
      <c r="O6284" t="s">
        <v>28</v>
      </c>
      <c r="P6284" t="s">
        <v>29</v>
      </c>
      <c r="Q6284">
        <v>30</v>
      </c>
      <c r="R6284">
        <v>-95.369799999999998</v>
      </c>
    </row>
    <row r="6285" spans="1:18" x14ac:dyDescent="0.2">
      <c r="A6285" t="s">
        <v>663</v>
      </c>
      <c r="B6285" t="s">
        <v>4281</v>
      </c>
      <c r="C6285">
        <v>1</v>
      </c>
      <c r="D6285" s="1">
        <v>44086.849236111113</v>
      </c>
      <c r="E6285" t="s">
        <v>19586</v>
      </c>
      <c r="F6285" t="s">
        <v>666</v>
      </c>
      <c r="G6285" t="s">
        <v>19586</v>
      </c>
      <c r="H6285" t="s">
        <v>667</v>
      </c>
      <c r="I6285" t="s">
        <v>29</v>
      </c>
      <c r="J6285">
        <v>1</v>
      </c>
      <c r="K6285">
        <f>1-844-312-5808</f>
        <v>-6963</v>
      </c>
      <c r="L6285" t="s">
        <v>19587</v>
      </c>
      <c r="M6285" t="s">
        <v>19588</v>
      </c>
      <c r="N6285">
        <v>188</v>
      </c>
      <c r="O6285" t="s">
        <v>134</v>
      </c>
      <c r="P6285" t="s">
        <v>24</v>
      </c>
      <c r="Q6285">
        <v>50</v>
      </c>
      <c r="R6285">
        <v>8.6843000000000004</v>
      </c>
    </row>
    <row r="6286" spans="1:18" x14ac:dyDescent="0.2">
      <c r="A6286" t="s">
        <v>439</v>
      </c>
      <c r="B6286" t="s">
        <v>3094</v>
      </c>
      <c r="C6286">
        <v>1</v>
      </c>
      <c r="D6286" s="1">
        <v>44089.026203703703</v>
      </c>
      <c r="E6286" t="s">
        <v>19589</v>
      </c>
      <c r="F6286" t="s">
        <v>442</v>
      </c>
      <c r="G6286" t="s">
        <v>19590</v>
      </c>
      <c r="H6286" t="s">
        <v>444</v>
      </c>
      <c r="I6286" t="s">
        <v>29</v>
      </c>
      <c r="J6286">
        <v>1</v>
      </c>
      <c r="K6286">
        <f>1-888-381-9223</f>
        <v>-10491</v>
      </c>
      <c r="L6286" t="s">
        <v>19591</v>
      </c>
      <c r="M6286" t="s">
        <v>19592</v>
      </c>
      <c r="N6286" t="s">
        <v>36</v>
      </c>
      <c r="O6286" t="s">
        <v>28</v>
      </c>
      <c r="P6286" t="s">
        <v>2268</v>
      </c>
      <c r="Q6286">
        <v>46</v>
      </c>
      <c r="R6286">
        <v>-73.567300000000003</v>
      </c>
    </row>
    <row r="6287" spans="1:18" x14ac:dyDescent="0.2">
      <c r="A6287" t="s">
        <v>439</v>
      </c>
      <c r="B6287" t="s">
        <v>3094</v>
      </c>
      <c r="C6287">
        <v>61</v>
      </c>
      <c r="D6287" s="1">
        <v>44089.383692129632</v>
      </c>
      <c r="E6287" t="s">
        <v>19593</v>
      </c>
      <c r="F6287" t="s">
        <v>442</v>
      </c>
      <c r="G6287" t="s">
        <v>19594</v>
      </c>
      <c r="H6287" t="s">
        <v>444</v>
      </c>
      <c r="I6287" t="s">
        <v>782</v>
      </c>
      <c r="J6287">
        <v>61</v>
      </c>
      <c r="K6287">
        <f>61-1800-5-886</f>
        <v>-2630</v>
      </c>
      <c r="L6287" t="s">
        <v>19595</v>
      </c>
      <c r="M6287" t="s">
        <v>19596</v>
      </c>
      <c r="N6287" t="s">
        <v>2475</v>
      </c>
      <c r="O6287" t="s">
        <v>28</v>
      </c>
      <c r="P6287" t="s">
        <v>2268</v>
      </c>
      <c r="Q6287">
        <v>46</v>
      </c>
      <c r="R6287">
        <v>-73.567300000000003</v>
      </c>
    </row>
    <row r="6288" spans="1:18" x14ac:dyDescent="0.2">
      <c r="A6288" t="s">
        <v>663</v>
      </c>
      <c r="B6288" t="s">
        <v>4281</v>
      </c>
      <c r="C6288">
        <v>1</v>
      </c>
      <c r="D6288" s="1">
        <v>44087.870497685188</v>
      </c>
      <c r="E6288" t="s">
        <v>19597</v>
      </c>
      <c r="F6288" t="s">
        <v>666</v>
      </c>
      <c r="G6288" t="s">
        <v>19597</v>
      </c>
      <c r="H6288" t="s">
        <v>667</v>
      </c>
      <c r="I6288" t="s">
        <v>29</v>
      </c>
      <c r="J6288">
        <v>1</v>
      </c>
      <c r="K6288">
        <f>1-844-309-2136</f>
        <v>-3288</v>
      </c>
      <c r="L6288" t="s">
        <v>19598</v>
      </c>
      <c r="M6288" t="s">
        <v>19599</v>
      </c>
      <c r="N6288">
        <v>193</v>
      </c>
      <c r="O6288" t="s">
        <v>134</v>
      </c>
      <c r="P6288" t="s">
        <v>24</v>
      </c>
      <c r="Q6288">
        <v>50</v>
      </c>
      <c r="R6288">
        <v>8.6843000000000004</v>
      </c>
    </row>
    <row r="6289" spans="1:18" x14ac:dyDescent="0.2">
      <c r="A6289" t="s">
        <v>663</v>
      </c>
      <c r="B6289" t="s">
        <v>4281</v>
      </c>
      <c r="C6289">
        <v>1</v>
      </c>
      <c r="D6289" s="1">
        <v>44087.897361111114</v>
      </c>
      <c r="E6289" t="s">
        <v>19600</v>
      </c>
      <c r="F6289" t="s">
        <v>666</v>
      </c>
      <c r="G6289" t="s">
        <v>19600</v>
      </c>
      <c r="H6289" t="s">
        <v>667</v>
      </c>
      <c r="I6289" t="s">
        <v>29</v>
      </c>
      <c r="J6289">
        <v>1</v>
      </c>
      <c r="K6289">
        <f>1-844-384-8708</f>
        <v>-9935</v>
      </c>
      <c r="L6289" t="s">
        <v>19601</v>
      </c>
      <c r="M6289" t="s">
        <v>19602</v>
      </c>
      <c r="N6289">
        <v>175</v>
      </c>
      <c r="O6289" t="s">
        <v>134</v>
      </c>
      <c r="P6289" t="s">
        <v>24</v>
      </c>
      <c r="Q6289">
        <v>50</v>
      </c>
      <c r="R6289">
        <v>8.6843000000000004</v>
      </c>
    </row>
    <row r="6290" spans="1:18" x14ac:dyDescent="0.2">
      <c r="A6290" t="s">
        <v>2225</v>
      </c>
      <c r="B6290" t="s">
        <v>2226</v>
      </c>
      <c r="C6290">
        <v>81</v>
      </c>
      <c r="D6290" s="1">
        <v>44088.255254629628</v>
      </c>
      <c r="E6290" t="s">
        <v>19603</v>
      </c>
      <c r="F6290" t="s">
        <v>2228</v>
      </c>
      <c r="G6290" t="s">
        <v>19604</v>
      </c>
      <c r="H6290" t="s">
        <v>2230</v>
      </c>
      <c r="I6290" t="s">
        <v>53</v>
      </c>
      <c r="J6290">
        <v>81</v>
      </c>
      <c r="K6290">
        <f>81-50-5534-4750</f>
        <v>-10253</v>
      </c>
      <c r="L6290" t="s">
        <v>19605</v>
      </c>
      <c r="M6290" t="s">
        <v>19606</v>
      </c>
      <c r="N6290" t="s">
        <v>2475</v>
      </c>
      <c r="O6290" t="s">
        <v>28</v>
      </c>
      <c r="P6290" t="s">
        <v>24</v>
      </c>
      <c r="Q6290">
        <v>50</v>
      </c>
      <c r="R6290">
        <v>12.365</v>
      </c>
    </row>
    <row r="6291" spans="1:18" x14ac:dyDescent="0.2">
      <c r="A6291" t="s">
        <v>439</v>
      </c>
      <c r="B6291" t="s">
        <v>3094</v>
      </c>
      <c r="C6291">
        <v>1</v>
      </c>
      <c r="D6291" s="1">
        <v>44088.080833333333</v>
      </c>
      <c r="E6291" t="s">
        <v>19607</v>
      </c>
      <c r="F6291" t="s">
        <v>442</v>
      </c>
      <c r="G6291" t="s">
        <v>19608</v>
      </c>
      <c r="H6291" t="s">
        <v>444</v>
      </c>
      <c r="I6291" t="s">
        <v>29</v>
      </c>
      <c r="J6291">
        <v>1</v>
      </c>
      <c r="K6291">
        <f>1-888-210-2717</f>
        <v>-3814</v>
      </c>
      <c r="L6291" t="s">
        <v>19609</v>
      </c>
      <c r="M6291" t="s">
        <v>19610</v>
      </c>
      <c r="N6291" t="s">
        <v>683</v>
      </c>
      <c r="O6291" t="s">
        <v>28</v>
      </c>
      <c r="P6291" t="s">
        <v>2268</v>
      </c>
      <c r="Q6291">
        <v>46</v>
      </c>
      <c r="R6291">
        <v>-73.567300000000003</v>
      </c>
    </row>
    <row r="6292" spans="1:18" x14ac:dyDescent="0.2">
      <c r="A6292" t="s">
        <v>2225</v>
      </c>
      <c r="B6292" t="s">
        <v>2226</v>
      </c>
      <c r="C6292">
        <v>81</v>
      </c>
      <c r="D6292" s="1">
        <v>44088.255358796298</v>
      </c>
      <c r="E6292" t="s">
        <v>19611</v>
      </c>
      <c r="F6292" t="s">
        <v>2228</v>
      </c>
      <c r="G6292" t="s">
        <v>19612</v>
      </c>
      <c r="H6292" t="s">
        <v>2230</v>
      </c>
      <c r="I6292" t="s">
        <v>53</v>
      </c>
      <c r="J6292">
        <v>81</v>
      </c>
      <c r="K6292">
        <f>81-50-5806-2276</f>
        <v>-8051</v>
      </c>
      <c r="L6292" t="s">
        <v>19613</v>
      </c>
      <c r="M6292" t="s">
        <v>19614</v>
      </c>
      <c r="N6292" t="s">
        <v>2475</v>
      </c>
      <c r="O6292" t="s">
        <v>28</v>
      </c>
      <c r="P6292" t="s">
        <v>24</v>
      </c>
      <c r="Q6292">
        <v>50</v>
      </c>
      <c r="R6292">
        <v>12.365</v>
      </c>
    </row>
    <row r="6293" spans="1:18" x14ac:dyDescent="0.2">
      <c r="A6293" t="s">
        <v>2225</v>
      </c>
      <c r="B6293" t="s">
        <v>2226</v>
      </c>
      <c r="C6293">
        <v>61</v>
      </c>
      <c r="D6293" s="1">
        <v>44088.288622685184</v>
      </c>
      <c r="E6293" t="s">
        <v>19615</v>
      </c>
      <c r="F6293" t="s">
        <v>2228</v>
      </c>
      <c r="G6293" t="s">
        <v>19616</v>
      </c>
      <c r="H6293" t="s">
        <v>2230</v>
      </c>
      <c r="I6293" t="s">
        <v>782</v>
      </c>
      <c r="J6293">
        <v>61</v>
      </c>
      <c r="K6293">
        <f>61-1800-5-886</f>
        <v>-2630</v>
      </c>
      <c r="L6293" t="s">
        <v>19617</v>
      </c>
      <c r="M6293" t="s">
        <v>19618</v>
      </c>
      <c r="N6293" t="s">
        <v>2475</v>
      </c>
      <c r="O6293" t="s">
        <v>28</v>
      </c>
      <c r="P6293" t="s">
        <v>24</v>
      </c>
      <c r="Q6293">
        <v>50</v>
      </c>
      <c r="R6293">
        <v>12.365</v>
      </c>
    </row>
    <row r="6294" spans="1:18" x14ac:dyDescent="0.2">
      <c r="A6294" t="s">
        <v>2349</v>
      </c>
      <c r="B6294" t="s">
        <v>10634</v>
      </c>
      <c r="C6294">
        <v>49</v>
      </c>
      <c r="D6294" s="1">
        <v>44088.488483796296</v>
      </c>
      <c r="E6294" t="s">
        <v>19619</v>
      </c>
      <c r="F6294" t="s">
        <v>2352</v>
      </c>
      <c r="G6294" t="s">
        <v>19619</v>
      </c>
      <c r="H6294" t="s">
        <v>2353</v>
      </c>
      <c r="I6294" t="s">
        <v>24</v>
      </c>
      <c r="J6294">
        <v>49</v>
      </c>
      <c r="K6294">
        <f>49-800-100-2326</f>
        <v>-3177</v>
      </c>
      <c r="L6294" t="s">
        <v>19620</v>
      </c>
      <c r="M6294" t="s">
        <v>19621</v>
      </c>
      <c r="N6294">
        <v>33</v>
      </c>
      <c r="O6294" t="s">
        <v>134</v>
      </c>
      <c r="P6294" t="s">
        <v>292</v>
      </c>
      <c r="Q6294">
        <v>49</v>
      </c>
      <c r="R6294">
        <v>2.3868999999999998</v>
      </c>
    </row>
    <row r="6295" spans="1:18" x14ac:dyDescent="0.2">
      <c r="A6295" t="s">
        <v>439</v>
      </c>
      <c r="B6295" t="s">
        <v>3094</v>
      </c>
      <c r="C6295">
        <v>1</v>
      </c>
      <c r="D6295" s="1">
        <v>44088.550023148149</v>
      </c>
      <c r="E6295" t="s">
        <v>19607</v>
      </c>
      <c r="F6295" t="s">
        <v>442</v>
      </c>
      <c r="G6295" t="s">
        <v>19622</v>
      </c>
      <c r="H6295" t="s">
        <v>444</v>
      </c>
      <c r="I6295" t="s">
        <v>29</v>
      </c>
      <c r="J6295">
        <v>1</v>
      </c>
      <c r="K6295">
        <f>1-888-225-2655</f>
        <v>-3767</v>
      </c>
      <c r="L6295" t="s">
        <v>19623</v>
      </c>
      <c r="M6295" t="s">
        <v>19624</v>
      </c>
      <c r="N6295" t="s">
        <v>683</v>
      </c>
      <c r="O6295" t="s">
        <v>28</v>
      </c>
      <c r="P6295" t="s">
        <v>2268</v>
      </c>
      <c r="Q6295">
        <v>46</v>
      </c>
      <c r="R6295">
        <v>-73.567300000000003</v>
      </c>
    </row>
    <row r="6296" spans="1:18" x14ac:dyDescent="0.2">
      <c r="A6296" t="s">
        <v>439</v>
      </c>
      <c r="B6296" t="s">
        <v>3094</v>
      </c>
      <c r="C6296">
        <v>1</v>
      </c>
      <c r="D6296" s="1">
        <v>44088.742430555554</v>
      </c>
      <c r="E6296" t="s">
        <v>19625</v>
      </c>
      <c r="F6296" t="s">
        <v>442</v>
      </c>
      <c r="G6296" t="s">
        <v>19626</v>
      </c>
      <c r="H6296" t="s">
        <v>444</v>
      </c>
      <c r="I6296" t="s">
        <v>29</v>
      </c>
      <c r="J6296">
        <v>1</v>
      </c>
      <c r="K6296">
        <f>1-888-210-2717</f>
        <v>-3814</v>
      </c>
      <c r="L6296" t="s">
        <v>19627</v>
      </c>
      <c r="M6296" t="s">
        <v>19628</v>
      </c>
      <c r="N6296" t="s">
        <v>1645</v>
      </c>
      <c r="O6296" t="s">
        <v>28</v>
      </c>
      <c r="P6296" t="s">
        <v>2268</v>
      </c>
      <c r="Q6296">
        <v>46</v>
      </c>
      <c r="R6296">
        <v>-73.567300000000003</v>
      </c>
    </row>
    <row r="6297" spans="1:18" x14ac:dyDescent="0.2">
      <c r="A6297" t="s">
        <v>2349</v>
      </c>
      <c r="B6297" t="s">
        <v>10634</v>
      </c>
      <c r="C6297">
        <v>49</v>
      </c>
      <c r="D6297" s="1">
        <v>44089.489548611113</v>
      </c>
      <c r="E6297" t="s">
        <v>19629</v>
      </c>
      <c r="F6297" t="s">
        <v>2352</v>
      </c>
      <c r="G6297" t="s">
        <v>19629</v>
      </c>
      <c r="H6297" t="s">
        <v>2353</v>
      </c>
      <c r="I6297" t="s">
        <v>24</v>
      </c>
      <c r="J6297">
        <v>49</v>
      </c>
      <c r="K6297">
        <f>49-800-100-2326</f>
        <v>-3177</v>
      </c>
      <c r="L6297" t="s">
        <v>19630</v>
      </c>
      <c r="M6297" t="s">
        <v>19631</v>
      </c>
      <c r="N6297">
        <v>60</v>
      </c>
      <c r="O6297" t="s">
        <v>134</v>
      </c>
      <c r="P6297" t="s">
        <v>292</v>
      </c>
      <c r="Q6297">
        <v>49</v>
      </c>
      <c r="R6297">
        <v>2.3868999999999998</v>
      </c>
    </row>
    <row r="6298" spans="1:18" x14ac:dyDescent="0.2">
      <c r="A6298" t="s">
        <v>439</v>
      </c>
      <c r="B6298" t="s">
        <v>3094</v>
      </c>
      <c r="C6298">
        <v>44</v>
      </c>
      <c r="D6298" s="1">
        <v>44089.590081018519</v>
      </c>
      <c r="E6298" t="s">
        <v>19632</v>
      </c>
      <c r="F6298" t="s">
        <v>442</v>
      </c>
      <c r="G6298" t="s">
        <v>19633</v>
      </c>
      <c r="H6298" t="s">
        <v>444</v>
      </c>
      <c r="I6298" t="s">
        <v>618</v>
      </c>
      <c r="J6298">
        <v>44</v>
      </c>
      <c r="K6298">
        <f>44-800-51-6735</f>
        <v>-7542</v>
      </c>
      <c r="L6298" t="s">
        <v>19634</v>
      </c>
      <c r="M6298" t="s">
        <v>19635</v>
      </c>
      <c r="N6298" t="s">
        <v>2475</v>
      </c>
      <c r="O6298" t="s">
        <v>28</v>
      </c>
      <c r="P6298" t="s">
        <v>2268</v>
      </c>
      <c r="Q6298">
        <v>46</v>
      </c>
      <c r="R6298">
        <v>-73.567300000000003</v>
      </c>
    </row>
    <row r="6299" spans="1:18" x14ac:dyDescent="0.2">
      <c r="A6299" t="s">
        <v>439</v>
      </c>
      <c r="B6299" t="s">
        <v>3094</v>
      </c>
      <c r="C6299">
        <v>1</v>
      </c>
      <c r="D6299" s="1">
        <v>44089.774201388886</v>
      </c>
      <c r="E6299" t="s">
        <v>19636</v>
      </c>
      <c r="F6299" t="s">
        <v>442</v>
      </c>
      <c r="G6299" t="s">
        <v>19637</v>
      </c>
      <c r="H6299" t="s">
        <v>444</v>
      </c>
      <c r="I6299" t="s">
        <v>29</v>
      </c>
      <c r="J6299">
        <v>1</v>
      </c>
      <c r="K6299">
        <f>1-888-535-5785</f>
        <v>-7207</v>
      </c>
      <c r="L6299" t="s">
        <v>19638</v>
      </c>
      <c r="M6299" t="s">
        <v>19639</v>
      </c>
      <c r="N6299" t="s">
        <v>452</v>
      </c>
      <c r="O6299" t="s">
        <v>28</v>
      </c>
      <c r="P6299" t="s">
        <v>2268</v>
      </c>
      <c r="Q6299">
        <v>46</v>
      </c>
      <c r="R6299">
        <v>-73.567300000000003</v>
      </c>
    </row>
    <row r="6300" spans="1:18" x14ac:dyDescent="0.2">
      <c r="A6300" t="s">
        <v>439</v>
      </c>
      <c r="B6300" t="s">
        <v>3094</v>
      </c>
      <c r="C6300">
        <v>1</v>
      </c>
      <c r="D6300" s="1">
        <v>44089.77480324074</v>
      </c>
      <c r="E6300" t="s">
        <v>19640</v>
      </c>
      <c r="F6300" t="s">
        <v>442</v>
      </c>
      <c r="G6300" t="s">
        <v>19641</v>
      </c>
      <c r="H6300" t="s">
        <v>444</v>
      </c>
      <c r="I6300" t="s">
        <v>29</v>
      </c>
      <c r="J6300">
        <v>1</v>
      </c>
      <c r="K6300">
        <f>1-888-204-3095</f>
        <v>-4186</v>
      </c>
      <c r="L6300" t="s">
        <v>19642</v>
      </c>
      <c r="M6300" t="s">
        <v>19643</v>
      </c>
      <c r="N6300" t="s">
        <v>1645</v>
      </c>
      <c r="O6300" t="s">
        <v>28</v>
      </c>
      <c r="P6300" t="s">
        <v>2268</v>
      </c>
      <c r="Q6300">
        <v>46</v>
      </c>
      <c r="R6300">
        <v>-73.567300000000003</v>
      </c>
    </row>
    <row r="6301" spans="1:18" x14ac:dyDescent="0.2">
      <c r="A6301" t="s">
        <v>439</v>
      </c>
      <c r="B6301" t="s">
        <v>3094</v>
      </c>
      <c r="C6301">
        <v>1</v>
      </c>
      <c r="D6301" s="1">
        <v>44089.81108796296</v>
      </c>
      <c r="E6301" t="s">
        <v>19644</v>
      </c>
      <c r="F6301" t="s">
        <v>442</v>
      </c>
      <c r="G6301" t="s">
        <v>19645</v>
      </c>
      <c r="H6301" t="s">
        <v>444</v>
      </c>
      <c r="I6301" t="s">
        <v>29</v>
      </c>
      <c r="J6301">
        <v>1</v>
      </c>
      <c r="K6301">
        <f>1-844-306-8754</f>
        <v>-9903</v>
      </c>
      <c r="L6301" t="s">
        <v>19646</v>
      </c>
      <c r="M6301" t="s">
        <v>19647</v>
      </c>
      <c r="N6301" t="s">
        <v>3305</v>
      </c>
      <c r="O6301" t="s">
        <v>28</v>
      </c>
      <c r="P6301" t="s">
        <v>2268</v>
      </c>
      <c r="Q6301">
        <v>46</v>
      </c>
      <c r="R6301">
        <v>-73.567300000000003</v>
      </c>
    </row>
    <row r="6302" spans="1:18" x14ac:dyDescent="0.2">
      <c r="A6302" t="s">
        <v>439</v>
      </c>
      <c r="B6302" t="s">
        <v>3094</v>
      </c>
      <c r="C6302">
        <v>1</v>
      </c>
      <c r="D6302" s="1">
        <v>44089.819374999999</v>
      </c>
      <c r="E6302" t="s">
        <v>19648</v>
      </c>
      <c r="F6302" t="s">
        <v>442</v>
      </c>
      <c r="G6302" t="s">
        <v>19649</v>
      </c>
      <c r="H6302" t="s">
        <v>444</v>
      </c>
      <c r="I6302" t="s">
        <v>29</v>
      </c>
      <c r="J6302">
        <v>1</v>
      </c>
      <c r="K6302">
        <f>1-888-204-3095</f>
        <v>-4186</v>
      </c>
      <c r="L6302" t="s">
        <v>19650</v>
      </c>
      <c r="M6302" t="s">
        <v>19651</v>
      </c>
      <c r="N6302" t="s">
        <v>683</v>
      </c>
      <c r="O6302" t="s">
        <v>28</v>
      </c>
      <c r="P6302" t="s">
        <v>2268</v>
      </c>
      <c r="Q6302">
        <v>46</v>
      </c>
      <c r="R6302">
        <v>-73.567300000000003</v>
      </c>
    </row>
    <row r="6303" spans="1:18" x14ac:dyDescent="0.2">
      <c r="A6303" t="s">
        <v>439</v>
      </c>
      <c r="B6303" t="s">
        <v>3094</v>
      </c>
      <c r="C6303">
        <v>1</v>
      </c>
      <c r="D6303" s="1">
        <v>44089.826469907406</v>
      </c>
      <c r="E6303" t="s">
        <v>19644</v>
      </c>
      <c r="F6303" t="s">
        <v>442</v>
      </c>
      <c r="G6303" t="s">
        <v>19652</v>
      </c>
      <c r="H6303" t="s">
        <v>444</v>
      </c>
      <c r="I6303" t="s">
        <v>29</v>
      </c>
      <c r="J6303">
        <v>1</v>
      </c>
      <c r="K6303">
        <f>1-888-597-1444</f>
        <v>-2928</v>
      </c>
      <c r="L6303" t="s">
        <v>19653</v>
      </c>
      <c r="M6303" t="s">
        <v>19654</v>
      </c>
      <c r="N6303" t="s">
        <v>3305</v>
      </c>
      <c r="O6303" t="s">
        <v>28</v>
      </c>
      <c r="P6303" t="s">
        <v>2268</v>
      </c>
      <c r="Q6303">
        <v>46</v>
      </c>
      <c r="R6303">
        <v>-73.567300000000003</v>
      </c>
    </row>
    <row r="6304" spans="1:18" x14ac:dyDescent="0.2">
      <c r="A6304" t="s">
        <v>439</v>
      </c>
      <c r="B6304" t="s">
        <v>3094</v>
      </c>
      <c r="C6304">
        <v>1</v>
      </c>
      <c r="D6304" s="1">
        <v>44089.858923611115</v>
      </c>
      <c r="E6304" t="s">
        <v>19655</v>
      </c>
      <c r="F6304" t="s">
        <v>442</v>
      </c>
      <c r="G6304" t="s">
        <v>19656</v>
      </c>
      <c r="H6304" t="s">
        <v>444</v>
      </c>
      <c r="I6304" t="s">
        <v>29</v>
      </c>
      <c r="J6304">
        <v>1</v>
      </c>
      <c r="K6304">
        <f>1-888-210-6414</f>
        <v>-7511</v>
      </c>
      <c r="L6304" t="s">
        <v>19657</v>
      </c>
      <c r="M6304" t="s">
        <v>19658</v>
      </c>
      <c r="N6304" t="s">
        <v>5354</v>
      </c>
      <c r="O6304" t="s">
        <v>28</v>
      </c>
      <c r="P6304" t="s">
        <v>2268</v>
      </c>
      <c r="Q6304">
        <v>46</v>
      </c>
      <c r="R6304">
        <v>-73.567300000000003</v>
      </c>
    </row>
    <row r="6305" spans="1:18" x14ac:dyDescent="0.2">
      <c r="A6305" t="s">
        <v>439</v>
      </c>
      <c r="B6305" t="s">
        <v>3094</v>
      </c>
      <c r="C6305">
        <v>1</v>
      </c>
      <c r="D6305" s="1">
        <v>44089.826655092591</v>
      </c>
      <c r="E6305" t="s">
        <v>19655</v>
      </c>
      <c r="F6305" t="s">
        <v>442</v>
      </c>
      <c r="G6305" t="s">
        <v>19656</v>
      </c>
      <c r="H6305" t="s">
        <v>444</v>
      </c>
      <c r="I6305" t="s">
        <v>29</v>
      </c>
      <c r="J6305">
        <v>1</v>
      </c>
      <c r="K6305">
        <f>1-888-204-3095</f>
        <v>-4186</v>
      </c>
      <c r="L6305" t="s">
        <v>19659</v>
      </c>
      <c r="M6305" t="s">
        <v>19660</v>
      </c>
      <c r="N6305" t="s">
        <v>5354</v>
      </c>
      <c r="O6305" t="s">
        <v>28</v>
      </c>
      <c r="P6305" t="s">
        <v>2268</v>
      </c>
      <c r="Q6305">
        <v>46</v>
      </c>
      <c r="R6305">
        <v>-73.567300000000003</v>
      </c>
    </row>
    <row r="6306" spans="1:18" x14ac:dyDescent="0.2">
      <c r="A6306" t="s">
        <v>2233</v>
      </c>
      <c r="B6306" t="s">
        <v>4672</v>
      </c>
      <c r="C6306">
        <v>1</v>
      </c>
      <c r="D6306" s="1">
        <v>44089.852696759262</v>
      </c>
      <c r="E6306" t="s">
        <v>19661</v>
      </c>
      <c r="F6306" t="s">
        <v>2236</v>
      </c>
      <c r="G6306" t="s">
        <v>19662</v>
      </c>
      <c r="H6306" t="s">
        <v>2237</v>
      </c>
      <c r="I6306" t="s">
        <v>29</v>
      </c>
      <c r="J6306">
        <v>1</v>
      </c>
      <c r="K6306">
        <f>1-855-608-1265</f>
        <v>-2727</v>
      </c>
      <c r="L6306" t="s">
        <v>19663</v>
      </c>
      <c r="M6306" t="s">
        <v>19664</v>
      </c>
      <c r="N6306" t="s">
        <v>6761</v>
      </c>
      <c r="O6306" t="s">
        <v>28</v>
      </c>
      <c r="P6306" t="s">
        <v>782</v>
      </c>
      <c r="Q6306">
        <v>-34</v>
      </c>
      <c r="R6306">
        <v>99.999999000000003</v>
      </c>
    </row>
    <row r="6307" spans="1:18" x14ac:dyDescent="0.2">
      <c r="A6307" t="s">
        <v>2233</v>
      </c>
      <c r="B6307" t="s">
        <v>16955</v>
      </c>
      <c r="C6307">
        <v>1</v>
      </c>
      <c r="D6307" s="1">
        <v>44089.85355324074</v>
      </c>
      <c r="E6307" t="s">
        <v>19665</v>
      </c>
      <c r="F6307" t="s">
        <v>2236</v>
      </c>
      <c r="G6307" t="s">
        <v>19666</v>
      </c>
      <c r="H6307" t="s">
        <v>2237</v>
      </c>
      <c r="I6307" t="s">
        <v>29</v>
      </c>
      <c r="J6307">
        <v>1</v>
      </c>
      <c r="K6307">
        <f>1-855-608-1265</f>
        <v>-2727</v>
      </c>
      <c r="L6307" t="s">
        <v>19667</v>
      </c>
      <c r="M6307" t="s">
        <v>19668</v>
      </c>
      <c r="N6307" t="s">
        <v>5354</v>
      </c>
      <c r="O6307" t="s">
        <v>28</v>
      </c>
      <c r="P6307" t="s">
        <v>16960</v>
      </c>
      <c r="Q6307">
        <v>38</v>
      </c>
      <c r="R6307">
        <v>99.999999000000003</v>
      </c>
    </row>
    <row r="6308" spans="1:18" x14ac:dyDescent="0.2">
      <c r="A6308" t="s">
        <v>439</v>
      </c>
      <c r="B6308" t="s">
        <v>3094</v>
      </c>
      <c r="C6308">
        <v>1</v>
      </c>
      <c r="D6308" s="1">
        <v>44089.858784722222</v>
      </c>
      <c r="E6308" t="s">
        <v>19669</v>
      </c>
      <c r="F6308" t="s">
        <v>442</v>
      </c>
      <c r="G6308" t="s">
        <v>19670</v>
      </c>
      <c r="H6308" t="s">
        <v>444</v>
      </c>
      <c r="I6308" t="s">
        <v>29</v>
      </c>
      <c r="J6308">
        <v>1</v>
      </c>
      <c r="K6308">
        <f>1-844-255-9841</f>
        <v>-10939</v>
      </c>
      <c r="L6308" t="s">
        <v>19671</v>
      </c>
      <c r="M6308" t="s">
        <v>19672</v>
      </c>
      <c r="N6308" t="s">
        <v>3305</v>
      </c>
      <c r="O6308" t="s">
        <v>28</v>
      </c>
      <c r="P6308" t="s">
        <v>2268</v>
      </c>
      <c r="Q6308">
        <v>46</v>
      </c>
      <c r="R6308">
        <v>-73.567300000000003</v>
      </c>
    </row>
    <row r="6309" spans="1:18" x14ac:dyDescent="0.2">
      <c r="A6309" t="s">
        <v>2233</v>
      </c>
      <c r="B6309" t="s">
        <v>4672</v>
      </c>
      <c r="C6309">
        <v>1</v>
      </c>
      <c r="D6309" s="1">
        <v>44089.903831018521</v>
      </c>
      <c r="E6309" t="s">
        <v>19673</v>
      </c>
      <c r="F6309" t="s">
        <v>2236</v>
      </c>
      <c r="G6309" t="s">
        <v>19674</v>
      </c>
      <c r="H6309" t="s">
        <v>2237</v>
      </c>
      <c r="I6309" t="s">
        <v>29</v>
      </c>
      <c r="J6309">
        <v>1</v>
      </c>
      <c r="K6309">
        <f>1-855-737-8706</f>
        <v>-10297</v>
      </c>
      <c r="L6309" t="s">
        <v>19675</v>
      </c>
      <c r="M6309" t="s">
        <v>19676</v>
      </c>
      <c r="N6309" t="s">
        <v>10633</v>
      </c>
      <c r="O6309" t="s">
        <v>28</v>
      </c>
      <c r="P6309" t="s">
        <v>782</v>
      </c>
      <c r="Q6309">
        <v>-34</v>
      </c>
      <c r="R6309">
        <v>99.999999000000003</v>
      </c>
    </row>
    <row r="6310" spans="1:18" x14ac:dyDescent="0.2">
      <c r="A6310" t="s">
        <v>439</v>
      </c>
      <c r="B6310" t="s">
        <v>3094</v>
      </c>
      <c r="C6310">
        <v>1</v>
      </c>
      <c r="D6310" s="1">
        <v>44089.986180555556</v>
      </c>
      <c r="E6310" t="s">
        <v>19677</v>
      </c>
      <c r="F6310" t="s">
        <v>442</v>
      </c>
      <c r="G6310" t="s">
        <v>19678</v>
      </c>
      <c r="H6310" t="s">
        <v>444</v>
      </c>
      <c r="I6310" t="s">
        <v>29</v>
      </c>
      <c r="J6310">
        <v>1</v>
      </c>
      <c r="K6310">
        <f>1-888-210-6414</f>
        <v>-7511</v>
      </c>
      <c r="L6310" t="s">
        <v>19679</v>
      </c>
      <c r="M6310" t="s">
        <v>19680</v>
      </c>
      <c r="N6310" t="s">
        <v>683</v>
      </c>
      <c r="O6310" t="s">
        <v>28</v>
      </c>
      <c r="P6310" t="s">
        <v>2268</v>
      </c>
      <c r="Q6310">
        <v>46</v>
      </c>
      <c r="R6310">
        <v>-73.567300000000003</v>
      </c>
    </row>
    <row r="6311" spans="1:18" x14ac:dyDescent="0.2">
      <c r="A6311" t="s">
        <v>270</v>
      </c>
      <c r="B6311" t="s">
        <v>440</v>
      </c>
      <c r="C6311">
        <v>1</v>
      </c>
      <c r="D6311" s="1">
        <v>44096.369479166664</v>
      </c>
      <c r="E6311" t="s">
        <v>19681</v>
      </c>
      <c r="F6311" t="s">
        <v>273</v>
      </c>
      <c r="G6311" t="s">
        <v>19682</v>
      </c>
      <c r="H6311" t="s">
        <v>275</v>
      </c>
      <c r="I6311" t="s">
        <v>29</v>
      </c>
      <c r="J6311">
        <v>1</v>
      </c>
      <c r="K6311">
        <f>1-844-316-9077</f>
        <v>-10236</v>
      </c>
      <c r="L6311" t="s">
        <v>19683</v>
      </c>
      <c r="M6311" t="s">
        <v>19684</v>
      </c>
      <c r="N6311" t="s">
        <v>278</v>
      </c>
      <c r="O6311" t="s">
        <v>28</v>
      </c>
      <c r="P6311" t="s">
        <v>29</v>
      </c>
      <c r="Q6311">
        <v>39</v>
      </c>
      <c r="R6311">
        <v>-77.487399999999994</v>
      </c>
    </row>
    <row r="6312" spans="1:18" x14ac:dyDescent="0.2">
      <c r="A6312" t="s">
        <v>270</v>
      </c>
      <c r="B6312" t="s">
        <v>440</v>
      </c>
      <c r="C6312">
        <v>1</v>
      </c>
      <c r="D6312" s="1">
        <v>44096.369212962964</v>
      </c>
      <c r="E6312" t="s">
        <v>19685</v>
      </c>
      <c r="F6312" t="s">
        <v>273</v>
      </c>
      <c r="G6312" t="s">
        <v>19682</v>
      </c>
      <c r="H6312" t="s">
        <v>275</v>
      </c>
      <c r="I6312" t="s">
        <v>29</v>
      </c>
      <c r="J6312">
        <v>1</v>
      </c>
      <c r="K6312">
        <f>1-844-312-611</f>
        <v>-1766</v>
      </c>
      <c r="L6312" t="s">
        <v>19686</v>
      </c>
      <c r="M6312" t="s">
        <v>19687</v>
      </c>
      <c r="N6312" t="s">
        <v>278</v>
      </c>
      <c r="O6312" t="s">
        <v>28</v>
      </c>
      <c r="P6312" t="s">
        <v>29</v>
      </c>
      <c r="Q6312">
        <v>39</v>
      </c>
      <c r="R6312">
        <v>-77.487399999999994</v>
      </c>
    </row>
    <row r="6313" spans="1:18" x14ac:dyDescent="0.2">
      <c r="A6313" t="s">
        <v>270</v>
      </c>
      <c r="B6313" t="s">
        <v>440</v>
      </c>
      <c r="C6313">
        <v>1</v>
      </c>
      <c r="D6313" s="1">
        <v>44096.36886574074</v>
      </c>
      <c r="E6313" t="s">
        <v>19688</v>
      </c>
      <c r="F6313" t="s">
        <v>273</v>
      </c>
      <c r="G6313" t="s">
        <v>19682</v>
      </c>
      <c r="H6313" t="s">
        <v>275</v>
      </c>
      <c r="I6313" t="s">
        <v>29</v>
      </c>
      <c r="J6313">
        <v>1</v>
      </c>
      <c r="K6313">
        <f>1-844-312-611</f>
        <v>-1766</v>
      </c>
      <c r="L6313" t="s">
        <v>19689</v>
      </c>
      <c r="M6313" t="s">
        <v>19690</v>
      </c>
      <c r="N6313" t="s">
        <v>278</v>
      </c>
      <c r="O6313" t="s">
        <v>28</v>
      </c>
      <c r="P6313" t="s">
        <v>29</v>
      </c>
      <c r="Q6313">
        <v>39</v>
      </c>
      <c r="R6313">
        <v>-77.487399999999994</v>
      </c>
    </row>
    <row r="6314" spans="1:18" x14ac:dyDescent="0.2">
      <c r="A6314" t="s">
        <v>270</v>
      </c>
      <c r="B6314" t="s">
        <v>440</v>
      </c>
      <c r="C6314">
        <v>1</v>
      </c>
      <c r="D6314" s="1">
        <v>44090.991493055553</v>
      </c>
      <c r="E6314" t="s">
        <v>19691</v>
      </c>
      <c r="F6314" t="s">
        <v>273</v>
      </c>
      <c r="G6314" t="s">
        <v>19682</v>
      </c>
      <c r="H6314" t="s">
        <v>275</v>
      </c>
      <c r="I6314" t="s">
        <v>29</v>
      </c>
      <c r="J6314">
        <v>1</v>
      </c>
      <c r="K6314">
        <f>1-844-242-3148</f>
        <v>-4233</v>
      </c>
      <c r="L6314" t="s">
        <v>19692</v>
      </c>
      <c r="M6314" t="s">
        <v>19693</v>
      </c>
      <c r="N6314" t="s">
        <v>278</v>
      </c>
      <c r="O6314" t="s">
        <v>28</v>
      </c>
      <c r="P6314" t="s">
        <v>29</v>
      </c>
      <c r="Q6314">
        <v>39</v>
      </c>
      <c r="R6314">
        <v>-77.487399999999994</v>
      </c>
    </row>
    <row r="6315" spans="1:18" x14ac:dyDescent="0.2">
      <c r="A6315" t="s">
        <v>270</v>
      </c>
      <c r="B6315" t="s">
        <v>440</v>
      </c>
      <c r="C6315">
        <v>1</v>
      </c>
      <c r="D6315" s="1">
        <v>44090.797708333332</v>
      </c>
      <c r="E6315" t="s">
        <v>19694</v>
      </c>
      <c r="F6315" t="s">
        <v>273</v>
      </c>
      <c r="G6315" t="s">
        <v>19682</v>
      </c>
      <c r="H6315" t="s">
        <v>275</v>
      </c>
      <c r="I6315" t="s">
        <v>29</v>
      </c>
      <c r="J6315">
        <v>1</v>
      </c>
      <c r="K6315">
        <f>1-844-214-1003</f>
        <v>-2060</v>
      </c>
      <c r="L6315" t="s">
        <v>19695</v>
      </c>
      <c r="M6315" t="s">
        <v>19696</v>
      </c>
      <c r="N6315" t="s">
        <v>278</v>
      </c>
      <c r="O6315" t="s">
        <v>28</v>
      </c>
      <c r="P6315" t="s">
        <v>29</v>
      </c>
      <c r="Q6315">
        <v>39</v>
      </c>
      <c r="R6315">
        <v>-77.487399999999994</v>
      </c>
    </row>
    <row r="6316" spans="1:18" x14ac:dyDescent="0.2">
      <c r="A6316" t="s">
        <v>270</v>
      </c>
      <c r="B6316" t="s">
        <v>440</v>
      </c>
      <c r="C6316">
        <v>1</v>
      </c>
      <c r="D6316" s="1">
        <v>44090.416226851848</v>
      </c>
      <c r="E6316" t="s">
        <v>19697</v>
      </c>
      <c r="F6316" t="s">
        <v>273</v>
      </c>
      <c r="G6316" t="s">
        <v>19682</v>
      </c>
      <c r="H6316" t="s">
        <v>275</v>
      </c>
      <c r="I6316" t="s">
        <v>29</v>
      </c>
      <c r="J6316">
        <v>1</v>
      </c>
      <c r="K6316">
        <f>1-844-254-8317</f>
        <v>-9414</v>
      </c>
      <c r="L6316" t="s">
        <v>19698</v>
      </c>
      <c r="M6316" t="s">
        <v>19699</v>
      </c>
      <c r="N6316" t="s">
        <v>278</v>
      </c>
      <c r="O6316" t="s">
        <v>28</v>
      </c>
      <c r="P6316" t="s">
        <v>29</v>
      </c>
      <c r="Q6316">
        <v>39</v>
      </c>
      <c r="R6316">
        <v>-77.487399999999994</v>
      </c>
    </row>
    <row r="6317" spans="1:18" x14ac:dyDescent="0.2">
      <c r="A6317" t="s">
        <v>270</v>
      </c>
      <c r="B6317" t="s">
        <v>440</v>
      </c>
      <c r="C6317">
        <v>1</v>
      </c>
      <c r="D6317" s="1">
        <v>44090.415023148147</v>
      </c>
      <c r="E6317" t="s">
        <v>19700</v>
      </c>
      <c r="F6317" t="s">
        <v>273</v>
      </c>
      <c r="G6317" t="s">
        <v>19682</v>
      </c>
      <c r="H6317" t="s">
        <v>275</v>
      </c>
      <c r="I6317" t="s">
        <v>29</v>
      </c>
      <c r="J6317">
        <v>1</v>
      </c>
      <c r="K6317">
        <f>1-844-293-8713</f>
        <v>-9849</v>
      </c>
      <c r="L6317" t="s">
        <v>19701</v>
      </c>
      <c r="M6317" t="s">
        <v>19702</v>
      </c>
      <c r="N6317" t="s">
        <v>278</v>
      </c>
      <c r="O6317" t="s">
        <v>28</v>
      </c>
      <c r="P6317" t="s">
        <v>29</v>
      </c>
      <c r="Q6317">
        <v>39</v>
      </c>
      <c r="R6317">
        <v>-77.487399999999994</v>
      </c>
    </row>
    <row r="6318" spans="1:18" x14ac:dyDescent="0.2">
      <c r="A6318" t="s">
        <v>270</v>
      </c>
      <c r="B6318" t="s">
        <v>440</v>
      </c>
      <c r="C6318">
        <v>1</v>
      </c>
      <c r="D6318" s="1">
        <v>44090.414525462962</v>
      </c>
      <c r="E6318" t="s">
        <v>10204</v>
      </c>
      <c r="F6318" t="s">
        <v>273</v>
      </c>
      <c r="G6318" t="s">
        <v>19682</v>
      </c>
      <c r="H6318" t="s">
        <v>275</v>
      </c>
      <c r="I6318" t="s">
        <v>29</v>
      </c>
      <c r="J6318">
        <v>1</v>
      </c>
      <c r="K6318">
        <f>1-844-311-7591</f>
        <v>-8745</v>
      </c>
      <c r="L6318" t="s">
        <v>19703</v>
      </c>
      <c r="M6318" t="s">
        <v>19704</v>
      </c>
      <c r="N6318" t="s">
        <v>278</v>
      </c>
      <c r="O6318" t="s">
        <v>28</v>
      </c>
      <c r="P6318" t="s">
        <v>29</v>
      </c>
      <c r="Q6318">
        <v>39</v>
      </c>
      <c r="R6318">
        <v>-77.487399999999994</v>
      </c>
    </row>
    <row r="6319" spans="1:18" x14ac:dyDescent="0.2">
      <c r="A6319" t="s">
        <v>2349</v>
      </c>
      <c r="B6319" t="s">
        <v>10634</v>
      </c>
      <c r="C6319">
        <v>49</v>
      </c>
      <c r="D6319" s="1">
        <v>44090.570763888885</v>
      </c>
      <c r="E6319" t="s">
        <v>19705</v>
      </c>
      <c r="F6319" t="s">
        <v>2352</v>
      </c>
      <c r="G6319" t="s">
        <v>19705</v>
      </c>
      <c r="H6319" t="s">
        <v>2353</v>
      </c>
      <c r="I6319" t="s">
        <v>24</v>
      </c>
      <c r="J6319">
        <v>49</v>
      </c>
      <c r="K6319">
        <f>49-800-100-2326</f>
        <v>-3177</v>
      </c>
      <c r="L6319" t="s">
        <v>19706</v>
      </c>
      <c r="M6319" t="s">
        <v>19707</v>
      </c>
      <c r="N6319">
        <v>195</v>
      </c>
      <c r="O6319" t="s">
        <v>134</v>
      </c>
      <c r="P6319" t="s">
        <v>292</v>
      </c>
      <c r="Q6319">
        <v>49</v>
      </c>
      <c r="R6319">
        <v>2.3868999999999998</v>
      </c>
    </row>
    <row r="6320" spans="1:18" x14ac:dyDescent="0.2">
      <c r="A6320" t="s">
        <v>270</v>
      </c>
      <c r="B6320" t="s">
        <v>5337</v>
      </c>
      <c r="C6320">
        <v>1</v>
      </c>
      <c r="D6320" s="1">
        <v>44134.738634259258</v>
      </c>
      <c r="E6320" t="s">
        <v>19708</v>
      </c>
      <c r="F6320" t="s">
        <v>273</v>
      </c>
      <c r="G6320" t="s">
        <v>19709</v>
      </c>
      <c r="H6320" t="s">
        <v>275</v>
      </c>
      <c r="I6320" t="s">
        <v>29</v>
      </c>
      <c r="J6320">
        <v>1</v>
      </c>
      <c r="K6320">
        <f>1-888-239-5452</f>
        <v>-6578</v>
      </c>
      <c r="L6320" t="s">
        <v>19710</v>
      </c>
      <c r="M6320" t="s">
        <v>19711</v>
      </c>
      <c r="N6320" t="s">
        <v>278</v>
      </c>
      <c r="O6320" t="s">
        <v>28</v>
      </c>
      <c r="P6320" t="s">
        <v>29</v>
      </c>
      <c r="Q6320">
        <v>38</v>
      </c>
      <c r="R6320">
        <v>-99.999999000000003</v>
      </c>
    </row>
    <row r="6321" spans="1:18" x14ac:dyDescent="0.2">
      <c r="A6321" t="s">
        <v>270</v>
      </c>
      <c r="B6321" t="s">
        <v>5337</v>
      </c>
      <c r="C6321">
        <v>1</v>
      </c>
      <c r="D6321" s="1">
        <v>44103.839525462965</v>
      </c>
      <c r="E6321" t="s">
        <v>19712</v>
      </c>
      <c r="F6321" t="s">
        <v>273</v>
      </c>
      <c r="G6321" t="s">
        <v>19709</v>
      </c>
      <c r="H6321" t="s">
        <v>275</v>
      </c>
      <c r="I6321" t="s">
        <v>29</v>
      </c>
      <c r="J6321">
        <v>1</v>
      </c>
      <c r="K6321">
        <f>1-888-223-1452</f>
        <v>-2562</v>
      </c>
      <c r="L6321" t="s">
        <v>19713</v>
      </c>
      <c r="M6321" t="s">
        <v>19714</v>
      </c>
      <c r="N6321" t="s">
        <v>278</v>
      </c>
      <c r="O6321" t="s">
        <v>28</v>
      </c>
      <c r="P6321" t="s">
        <v>29</v>
      </c>
      <c r="Q6321">
        <v>38</v>
      </c>
      <c r="R6321">
        <v>-99.999999000000003</v>
      </c>
    </row>
    <row r="6322" spans="1:18" x14ac:dyDescent="0.2">
      <c r="A6322" t="s">
        <v>270</v>
      </c>
      <c r="B6322" t="s">
        <v>5337</v>
      </c>
      <c r="C6322">
        <v>1</v>
      </c>
      <c r="D6322" s="1">
        <v>44095.78398148148</v>
      </c>
      <c r="E6322" t="s">
        <v>19715</v>
      </c>
      <c r="F6322" t="s">
        <v>273</v>
      </c>
      <c r="G6322" t="s">
        <v>19709</v>
      </c>
      <c r="H6322" t="s">
        <v>275</v>
      </c>
      <c r="I6322" t="s">
        <v>29</v>
      </c>
      <c r="J6322">
        <v>1</v>
      </c>
      <c r="K6322">
        <f>1-844-288-9111</f>
        <v>-10242</v>
      </c>
      <c r="L6322" t="s">
        <v>19716</v>
      </c>
      <c r="M6322" t="s">
        <v>19717</v>
      </c>
      <c r="N6322" t="s">
        <v>278</v>
      </c>
      <c r="O6322" t="s">
        <v>28</v>
      </c>
      <c r="P6322" t="s">
        <v>29</v>
      </c>
      <c r="Q6322">
        <v>38</v>
      </c>
      <c r="R6322">
        <v>-99.999999000000003</v>
      </c>
    </row>
    <row r="6323" spans="1:18" x14ac:dyDescent="0.2">
      <c r="A6323" t="s">
        <v>270</v>
      </c>
      <c r="B6323" t="s">
        <v>5337</v>
      </c>
      <c r="C6323">
        <v>1</v>
      </c>
      <c r="D6323" s="1">
        <v>44090.415775462963</v>
      </c>
      <c r="E6323" t="s">
        <v>9685</v>
      </c>
      <c r="F6323" t="s">
        <v>273</v>
      </c>
      <c r="G6323" t="s">
        <v>19709</v>
      </c>
      <c r="H6323" t="s">
        <v>275</v>
      </c>
      <c r="I6323" t="s">
        <v>29</v>
      </c>
      <c r="J6323">
        <v>1</v>
      </c>
      <c r="K6323">
        <f>1-844-293-8713</f>
        <v>-9849</v>
      </c>
      <c r="L6323" t="s">
        <v>19718</v>
      </c>
      <c r="M6323" t="s">
        <v>19719</v>
      </c>
      <c r="N6323" t="s">
        <v>278</v>
      </c>
      <c r="O6323" t="s">
        <v>28</v>
      </c>
      <c r="P6323" t="s">
        <v>29</v>
      </c>
      <c r="Q6323">
        <v>38</v>
      </c>
      <c r="R6323">
        <v>-99.999999000000003</v>
      </c>
    </row>
    <row r="6324" spans="1:18" x14ac:dyDescent="0.2">
      <c r="A6324" t="s">
        <v>270</v>
      </c>
      <c r="B6324" t="s">
        <v>10394</v>
      </c>
      <c r="C6324">
        <v>1</v>
      </c>
      <c r="D6324" s="1">
        <v>44103.838923611111</v>
      </c>
      <c r="E6324" t="s">
        <v>19720</v>
      </c>
      <c r="F6324" t="s">
        <v>273</v>
      </c>
      <c r="G6324" t="s">
        <v>19721</v>
      </c>
      <c r="H6324" t="s">
        <v>275</v>
      </c>
      <c r="I6324" t="s">
        <v>29</v>
      </c>
      <c r="J6324">
        <v>1</v>
      </c>
      <c r="K6324">
        <f>1-888-211-8144</f>
        <v>-9242</v>
      </c>
      <c r="L6324" t="s">
        <v>19722</v>
      </c>
      <c r="M6324" t="s">
        <v>19723</v>
      </c>
      <c r="N6324" t="s">
        <v>278</v>
      </c>
      <c r="O6324" t="s">
        <v>28</v>
      </c>
      <c r="P6324" t="s">
        <v>29</v>
      </c>
      <c r="Q6324">
        <v>29</v>
      </c>
      <c r="R6324">
        <v>-98.5</v>
      </c>
    </row>
    <row r="6325" spans="1:18" x14ac:dyDescent="0.2">
      <c r="A6325" t="s">
        <v>270</v>
      </c>
      <c r="B6325" t="s">
        <v>10394</v>
      </c>
      <c r="C6325">
        <v>1</v>
      </c>
      <c r="D6325" s="1">
        <v>44103.762604166666</v>
      </c>
      <c r="E6325" t="s">
        <v>19724</v>
      </c>
      <c r="F6325" t="s">
        <v>273</v>
      </c>
      <c r="G6325" t="s">
        <v>19721</v>
      </c>
      <c r="H6325" t="s">
        <v>275</v>
      </c>
      <c r="I6325" t="s">
        <v>29</v>
      </c>
      <c r="J6325">
        <v>1</v>
      </c>
      <c r="K6325">
        <f>1-888-210-6654</f>
        <v>-7751</v>
      </c>
      <c r="L6325" t="s">
        <v>19725</v>
      </c>
      <c r="M6325" t="s">
        <v>19726</v>
      </c>
      <c r="N6325" t="s">
        <v>278</v>
      </c>
      <c r="O6325" t="s">
        <v>134</v>
      </c>
      <c r="P6325" t="s">
        <v>29</v>
      </c>
      <c r="Q6325">
        <v>29</v>
      </c>
      <c r="R6325">
        <v>-98.5</v>
      </c>
    </row>
    <row r="6326" spans="1:18" x14ac:dyDescent="0.2">
      <c r="A6326" t="s">
        <v>270</v>
      </c>
      <c r="B6326" t="s">
        <v>10394</v>
      </c>
      <c r="C6326">
        <v>1</v>
      </c>
      <c r="D6326" s="1">
        <v>44102.823009259257</v>
      </c>
      <c r="E6326" t="s">
        <v>19727</v>
      </c>
      <c r="F6326" t="s">
        <v>273</v>
      </c>
      <c r="G6326" t="s">
        <v>19721</v>
      </c>
      <c r="H6326" t="s">
        <v>275</v>
      </c>
      <c r="I6326" t="s">
        <v>29</v>
      </c>
      <c r="J6326">
        <v>1</v>
      </c>
      <c r="K6326">
        <f>1-888-250-5625</f>
        <v>-6762</v>
      </c>
      <c r="L6326" t="s">
        <v>19728</v>
      </c>
      <c r="M6326" t="s">
        <v>19729</v>
      </c>
      <c r="N6326" t="s">
        <v>278</v>
      </c>
      <c r="O6326" t="s">
        <v>28</v>
      </c>
      <c r="P6326" t="s">
        <v>29</v>
      </c>
      <c r="Q6326">
        <v>29</v>
      </c>
      <c r="R6326">
        <v>-98.5</v>
      </c>
    </row>
    <row r="6327" spans="1:18" x14ac:dyDescent="0.2">
      <c r="A6327" t="s">
        <v>270</v>
      </c>
      <c r="B6327" t="s">
        <v>10394</v>
      </c>
      <c r="C6327">
        <v>1</v>
      </c>
      <c r="D6327" s="1">
        <v>44102.817106481481</v>
      </c>
      <c r="E6327" t="s">
        <v>19730</v>
      </c>
      <c r="F6327" t="s">
        <v>273</v>
      </c>
      <c r="G6327" t="s">
        <v>19721</v>
      </c>
      <c r="H6327" t="s">
        <v>275</v>
      </c>
      <c r="I6327" t="s">
        <v>29</v>
      </c>
      <c r="J6327">
        <v>1</v>
      </c>
      <c r="K6327">
        <f>1-888-241-5082</f>
        <v>-6210</v>
      </c>
      <c r="L6327" t="s">
        <v>19731</v>
      </c>
      <c r="M6327" t="s">
        <v>19732</v>
      </c>
      <c r="N6327" t="s">
        <v>278</v>
      </c>
      <c r="O6327" t="s">
        <v>28</v>
      </c>
      <c r="P6327" t="s">
        <v>29</v>
      </c>
      <c r="Q6327">
        <v>29</v>
      </c>
      <c r="R6327">
        <v>-98.5</v>
      </c>
    </row>
    <row r="6328" spans="1:18" x14ac:dyDescent="0.2">
      <c r="A6328" t="s">
        <v>270</v>
      </c>
      <c r="B6328" t="s">
        <v>10394</v>
      </c>
      <c r="C6328">
        <v>1</v>
      </c>
      <c r="D6328" s="1">
        <v>44097.941932870373</v>
      </c>
      <c r="E6328" t="s">
        <v>19733</v>
      </c>
      <c r="F6328" t="s">
        <v>273</v>
      </c>
      <c r="G6328" t="s">
        <v>19721</v>
      </c>
      <c r="H6328" t="s">
        <v>275</v>
      </c>
      <c r="I6328" t="s">
        <v>29</v>
      </c>
      <c r="J6328">
        <v>1</v>
      </c>
      <c r="K6328">
        <f>1-888-210-3352</f>
        <v>-4449</v>
      </c>
      <c r="L6328" t="s">
        <v>19734</v>
      </c>
      <c r="M6328" t="s">
        <v>19735</v>
      </c>
      <c r="N6328" t="s">
        <v>278</v>
      </c>
      <c r="O6328" t="s">
        <v>28</v>
      </c>
      <c r="P6328" t="s">
        <v>29</v>
      </c>
      <c r="Q6328">
        <v>29</v>
      </c>
      <c r="R6328">
        <v>-98.5</v>
      </c>
    </row>
    <row r="6329" spans="1:18" x14ac:dyDescent="0.2">
      <c r="A6329" t="s">
        <v>270</v>
      </c>
      <c r="B6329" t="s">
        <v>10394</v>
      </c>
      <c r="C6329">
        <v>1</v>
      </c>
      <c r="D6329" s="1">
        <v>44096.369525462964</v>
      </c>
      <c r="E6329" t="s">
        <v>19736</v>
      </c>
      <c r="F6329" t="s">
        <v>273</v>
      </c>
      <c r="G6329" t="s">
        <v>19721</v>
      </c>
      <c r="H6329" t="s">
        <v>275</v>
      </c>
      <c r="I6329" t="s">
        <v>29</v>
      </c>
      <c r="J6329">
        <v>1</v>
      </c>
      <c r="K6329">
        <f>1-844-316-9077</f>
        <v>-10236</v>
      </c>
      <c r="L6329" t="s">
        <v>19737</v>
      </c>
      <c r="M6329" t="s">
        <v>19738</v>
      </c>
      <c r="N6329" t="s">
        <v>278</v>
      </c>
      <c r="O6329" t="s">
        <v>28</v>
      </c>
      <c r="P6329" t="s">
        <v>29</v>
      </c>
      <c r="Q6329">
        <v>29</v>
      </c>
      <c r="R6329">
        <v>-98.5</v>
      </c>
    </row>
    <row r="6330" spans="1:18" x14ac:dyDescent="0.2">
      <c r="A6330" t="s">
        <v>270</v>
      </c>
      <c r="B6330" t="s">
        <v>10394</v>
      </c>
      <c r="C6330">
        <v>1</v>
      </c>
      <c r="D6330" s="1">
        <v>44096.367893518516</v>
      </c>
      <c r="E6330" t="s">
        <v>19739</v>
      </c>
      <c r="F6330" t="s">
        <v>273</v>
      </c>
      <c r="G6330" t="s">
        <v>19721</v>
      </c>
      <c r="H6330" t="s">
        <v>275</v>
      </c>
      <c r="I6330" t="s">
        <v>29</v>
      </c>
      <c r="J6330">
        <v>1</v>
      </c>
      <c r="K6330">
        <f>1-844-305-9953</f>
        <v>-11101</v>
      </c>
      <c r="L6330" t="s">
        <v>19740</v>
      </c>
      <c r="M6330" t="s">
        <v>19741</v>
      </c>
      <c r="N6330" t="s">
        <v>278</v>
      </c>
      <c r="O6330" t="s">
        <v>28</v>
      </c>
      <c r="P6330" t="s">
        <v>29</v>
      </c>
      <c r="Q6330">
        <v>29</v>
      </c>
      <c r="R6330">
        <v>-98.5</v>
      </c>
    </row>
    <row r="6331" spans="1:18" x14ac:dyDescent="0.2">
      <c r="A6331" t="s">
        <v>270</v>
      </c>
      <c r="B6331" t="s">
        <v>10394</v>
      </c>
      <c r="C6331">
        <v>1</v>
      </c>
      <c r="D6331" s="1">
        <v>44090.993831018517</v>
      </c>
      <c r="E6331" t="s">
        <v>19742</v>
      </c>
      <c r="F6331" t="s">
        <v>273</v>
      </c>
      <c r="G6331" t="s">
        <v>19721</v>
      </c>
      <c r="H6331" t="s">
        <v>275</v>
      </c>
      <c r="I6331" t="s">
        <v>29</v>
      </c>
      <c r="J6331">
        <v>1</v>
      </c>
      <c r="K6331">
        <f>1-844-242-3148</f>
        <v>-4233</v>
      </c>
      <c r="L6331" t="s">
        <v>19743</v>
      </c>
      <c r="M6331" t="s">
        <v>19744</v>
      </c>
      <c r="N6331" t="s">
        <v>278</v>
      </c>
      <c r="O6331" t="s">
        <v>28</v>
      </c>
      <c r="P6331" t="s">
        <v>29</v>
      </c>
      <c r="Q6331">
        <v>29</v>
      </c>
      <c r="R6331">
        <v>-98.5</v>
      </c>
    </row>
    <row r="6332" spans="1:18" x14ac:dyDescent="0.2">
      <c r="A6332" t="s">
        <v>270</v>
      </c>
      <c r="B6332" t="s">
        <v>10394</v>
      </c>
      <c r="C6332">
        <v>1</v>
      </c>
      <c r="D6332" s="1">
        <v>44090.992743055554</v>
      </c>
      <c r="E6332" t="s">
        <v>19745</v>
      </c>
      <c r="F6332" t="s">
        <v>273</v>
      </c>
      <c r="G6332" t="s">
        <v>19721</v>
      </c>
      <c r="H6332" t="s">
        <v>275</v>
      </c>
      <c r="I6332" t="s">
        <v>29</v>
      </c>
      <c r="J6332">
        <v>1</v>
      </c>
      <c r="K6332">
        <f>1-844-242-3148</f>
        <v>-4233</v>
      </c>
      <c r="L6332" t="s">
        <v>19746</v>
      </c>
      <c r="M6332" t="s">
        <v>19747</v>
      </c>
      <c r="N6332" t="s">
        <v>278</v>
      </c>
      <c r="O6332" t="s">
        <v>28</v>
      </c>
      <c r="P6332" t="s">
        <v>29</v>
      </c>
      <c r="Q6332">
        <v>29</v>
      </c>
      <c r="R6332">
        <v>-98.5</v>
      </c>
    </row>
    <row r="6333" spans="1:18" x14ac:dyDescent="0.2">
      <c r="A6333" t="s">
        <v>270</v>
      </c>
      <c r="B6333" t="s">
        <v>10394</v>
      </c>
      <c r="C6333">
        <v>1</v>
      </c>
      <c r="D6333" s="1">
        <v>44090.991701388892</v>
      </c>
      <c r="E6333" t="s">
        <v>19748</v>
      </c>
      <c r="F6333" t="s">
        <v>273</v>
      </c>
      <c r="G6333" t="s">
        <v>19721</v>
      </c>
      <c r="H6333" t="s">
        <v>275</v>
      </c>
      <c r="I6333" t="s">
        <v>29</v>
      </c>
      <c r="J6333">
        <v>1</v>
      </c>
      <c r="K6333">
        <f>1-844-242-3148</f>
        <v>-4233</v>
      </c>
      <c r="L6333" t="s">
        <v>19749</v>
      </c>
      <c r="M6333" t="s">
        <v>19750</v>
      </c>
      <c r="N6333" t="s">
        <v>278</v>
      </c>
      <c r="O6333" t="s">
        <v>28</v>
      </c>
      <c r="P6333" t="s">
        <v>29</v>
      </c>
      <c r="Q6333">
        <v>29</v>
      </c>
      <c r="R6333">
        <v>-98.5</v>
      </c>
    </row>
    <row r="6334" spans="1:18" x14ac:dyDescent="0.2">
      <c r="A6334" t="s">
        <v>270</v>
      </c>
      <c r="B6334" t="s">
        <v>10394</v>
      </c>
      <c r="C6334">
        <v>1</v>
      </c>
      <c r="D6334" s="1">
        <v>44090.798877314817</v>
      </c>
      <c r="E6334" t="s">
        <v>19751</v>
      </c>
      <c r="F6334" t="s">
        <v>273</v>
      </c>
      <c r="G6334" t="s">
        <v>19721</v>
      </c>
      <c r="H6334" t="s">
        <v>275</v>
      </c>
      <c r="I6334" t="s">
        <v>29</v>
      </c>
      <c r="J6334">
        <v>1</v>
      </c>
      <c r="K6334">
        <f>1-844-221-2340</f>
        <v>-3404</v>
      </c>
      <c r="L6334" t="s">
        <v>19752</v>
      </c>
      <c r="M6334" t="s">
        <v>19753</v>
      </c>
      <c r="N6334" t="s">
        <v>278</v>
      </c>
      <c r="O6334" t="s">
        <v>28</v>
      </c>
      <c r="P6334" t="s">
        <v>29</v>
      </c>
      <c r="Q6334">
        <v>29</v>
      </c>
      <c r="R6334">
        <v>-98.5</v>
      </c>
    </row>
    <row r="6335" spans="1:18" x14ac:dyDescent="0.2">
      <c r="A6335" t="s">
        <v>270</v>
      </c>
      <c r="B6335" t="s">
        <v>10394</v>
      </c>
      <c r="C6335">
        <v>1</v>
      </c>
      <c r="D6335" s="1">
        <v>44090.797766203701</v>
      </c>
      <c r="E6335" t="s">
        <v>19754</v>
      </c>
      <c r="F6335" t="s">
        <v>273</v>
      </c>
      <c r="G6335" t="s">
        <v>19721</v>
      </c>
      <c r="H6335" t="s">
        <v>275</v>
      </c>
      <c r="I6335" t="s">
        <v>29</v>
      </c>
      <c r="J6335">
        <v>1</v>
      </c>
      <c r="K6335">
        <f>1-844-214-1003</f>
        <v>-2060</v>
      </c>
      <c r="L6335" t="s">
        <v>19755</v>
      </c>
      <c r="M6335" t="s">
        <v>19756</v>
      </c>
      <c r="N6335" t="s">
        <v>278</v>
      </c>
      <c r="O6335" t="s">
        <v>28</v>
      </c>
      <c r="P6335" t="s">
        <v>29</v>
      </c>
      <c r="Q6335">
        <v>29</v>
      </c>
      <c r="R6335">
        <v>-98.5</v>
      </c>
    </row>
    <row r="6336" spans="1:18" x14ac:dyDescent="0.2">
      <c r="A6336" t="s">
        <v>270</v>
      </c>
      <c r="B6336" t="s">
        <v>10394</v>
      </c>
      <c r="C6336">
        <v>1</v>
      </c>
      <c r="D6336" s="1">
        <v>44090.416608796295</v>
      </c>
      <c r="E6336" t="s">
        <v>19757</v>
      </c>
      <c r="F6336" t="s">
        <v>273</v>
      </c>
      <c r="G6336" t="s">
        <v>19721</v>
      </c>
      <c r="H6336" t="s">
        <v>275</v>
      </c>
      <c r="I6336" t="s">
        <v>29</v>
      </c>
      <c r="J6336">
        <v>1</v>
      </c>
      <c r="K6336">
        <f>1-844-318-8589</f>
        <v>-9750</v>
      </c>
      <c r="L6336" t="s">
        <v>19758</v>
      </c>
      <c r="M6336" t="s">
        <v>19759</v>
      </c>
      <c r="N6336" t="s">
        <v>278</v>
      </c>
      <c r="O6336" t="s">
        <v>28</v>
      </c>
      <c r="P6336" t="s">
        <v>29</v>
      </c>
      <c r="Q6336">
        <v>29</v>
      </c>
      <c r="R6336">
        <v>-98.5</v>
      </c>
    </row>
    <row r="6337" spans="1:18" x14ac:dyDescent="0.2">
      <c r="A6337" t="s">
        <v>270</v>
      </c>
      <c r="B6337" t="s">
        <v>10394</v>
      </c>
      <c r="C6337">
        <v>1</v>
      </c>
      <c r="D6337" s="1">
        <v>44090.416261574072</v>
      </c>
      <c r="E6337" t="s">
        <v>19760</v>
      </c>
      <c r="F6337" t="s">
        <v>273</v>
      </c>
      <c r="G6337" t="s">
        <v>19721</v>
      </c>
      <c r="H6337" t="s">
        <v>275</v>
      </c>
      <c r="I6337" t="s">
        <v>29</v>
      </c>
      <c r="J6337">
        <v>1</v>
      </c>
      <c r="K6337">
        <f>1-844-318-8589</f>
        <v>-9750</v>
      </c>
      <c r="L6337" t="s">
        <v>19761</v>
      </c>
      <c r="M6337" t="s">
        <v>19762</v>
      </c>
      <c r="N6337" t="s">
        <v>278</v>
      </c>
      <c r="O6337" t="s">
        <v>28</v>
      </c>
      <c r="P6337" t="s">
        <v>29</v>
      </c>
      <c r="Q6337">
        <v>29</v>
      </c>
      <c r="R6337">
        <v>-98.5</v>
      </c>
    </row>
    <row r="6338" spans="1:18" x14ac:dyDescent="0.2">
      <c r="A6338" t="s">
        <v>270</v>
      </c>
      <c r="B6338" t="s">
        <v>4672</v>
      </c>
      <c r="C6338">
        <v>1</v>
      </c>
      <c r="D6338" s="1">
        <v>44149.138020833336</v>
      </c>
      <c r="E6338" t="s">
        <v>19763</v>
      </c>
      <c r="F6338" t="s">
        <v>273</v>
      </c>
      <c r="G6338" t="s">
        <v>19764</v>
      </c>
      <c r="H6338" t="s">
        <v>275</v>
      </c>
      <c r="I6338" t="s">
        <v>29</v>
      </c>
      <c r="J6338">
        <v>1</v>
      </c>
      <c r="K6338">
        <f>1-844-293-617</f>
        <v>-1753</v>
      </c>
      <c r="L6338" t="s">
        <v>19765</v>
      </c>
      <c r="M6338" t="s">
        <v>19766</v>
      </c>
      <c r="N6338" t="s">
        <v>278</v>
      </c>
      <c r="O6338" t="s">
        <v>134</v>
      </c>
      <c r="P6338" t="s">
        <v>782</v>
      </c>
      <c r="Q6338">
        <v>-34</v>
      </c>
      <c r="R6338">
        <v>99.999999000000003</v>
      </c>
    </row>
    <row r="6339" spans="1:18" x14ac:dyDescent="0.2">
      <c r="A6339" t="s">
        <v>270</v>
      </c>
      <c r="B6339" t="s">
        <v>4672</v>
      </c>
      <c r="C6339">
        <v>1</v>
      </c>
      <c r="D6339" s="1">
        <v>44149.135185185187</v>
      </c>
      <c r="E6339" t="s">
        <v>19767</v>
      </c>
      <c r="F6339" t="s">
        <v>273</v>
      </c>
      <c r="G6339" t="s">
        <v>19764</v>
      </c>
      <c r="H6339" t="s">
        <v>275</v>
      </c>
      <c r="I6339" t="s">
        <v>29</v>
      </c>
      <c r="J6339">
        <v>1</v>
      </c>
      <c r="K6339">
        <f>1-844-295-578</f>
        <v>-1716</v>
      </c>
      <c r="L6339" t="s">
        <v>19768</v>
      </c>
      <c r="M6339" t="s">
        <v>19769</v>
      </c>
      <c r="N6339" t="s">
        <v>278</v>
      </c>
      <c r="O6339" t="s">
        <v>134</v>
      </c>
      <c r="P6339" t="s">
        <v>782</v>
      </c>
      <c r="Q6339">
        <v>-34</v>
      </c>
      <c r="R6339">
        <v>99.999999000000003</v>
      </c>
    </row>
    <row r="6340" spans="1:18" x14ac:dyDescent="0.2">
      <c r="A6340" t="s">
        <v>270</v>
      </c>
      <c r="B6340" t="s">
        <v>4672</v>
      </c>
      <c r="C6340">
        <v>1</v>
      </c>
      <c r="D6340" s="1">
        <v>44140.786597222221</v>
      </c>
      <c r="E6340" t="s">
        <v>19770</v>
      </c>
      <c r="F6340" t="s">
        <v>273</v>
      </c>
      <c r="G6340" t="s">
        <v>19764</v>
      </c>
      <c r="H6340" t="s">
        <v>275</v>
      </c>
      <c r="I6340" t="s">
        <v>29</v>
      </c>
      <c r="J6340">
        <v>1</v>
      </c>
      <c r="K6340">
        <f>1-888-392-7351</f>
        <v>-8630</v>
      </c>
      <c r="L6340" t="s">
        <v>19771</v>
      </c>
      <c r="M6340" t="s">
        <v>19772</v>
      </c>
      <c r="N6340" t="s">
        <v>278</v>
      </c>
      <c r="O6340" t="s">
        <v>28</v>
      </c>
      <c r="P6340" t="s">
        <v>782</v>
      </c>
      <c r="Q6340">
        <v>-34</v>
      </c>
      <c r="R6340">
        <v>99.999999000000003</v>
      </c>
    </row>
    <row r="6341" spans="1:18" x14ac:dyDescent="0.2">
      <c r="A6341" t="s">
        <v>270</v>
      </c>
      <c r="B6341" t="s">
        <v>4672</v>
      </c>
      <c r="C6341">
        <v>1</v>
      </c>
      <c r="D6341" s="1">
        <v>44140.778807870367</v>
      </c>
      <c r="E6341" t="s">
        <v>19773</v>
      </c>
      <c r="F6341" t="s">
        <v>273</v>
      </c>
      <c r="G6341" t="s">
        <v>19764</v>
      </c>
      <c r="H6341" t="s">
        <v>275</v>
      </c>
      <c r="I6341" t="s">
        <v>29</v>
      </c>
      <c r="J6341">
        <v>1</v>
      </c>
      <c r="K6341">
        <f>1-888-397-7606</f>
        <v>-8890</v>
      </c>
      <c r="L6341" t="s">
        <v>19774</v>
      </c>
      <c r="M6341" t="s">
        <v>19775</v>
      </c>
      <c r="N6341" t="s">
        <v>278</v>
      </c>
      <c r="O6341" t="s">
        <v>28</v>
      </c>
      <c r="P6341" t="s">
        <v>782</v>
      </c>
      <c r="Q6341">
        <v>-34</v>
      </c>
      <c r="R6341">
        <v>99.999999000000003</v>
      </c>
    </row>
    <row r="6342" spans="1:18" x14ac:dyDescent="0.2">
      <c r="A6342" t="s">
        <v>270</v>
      </c>
      <c r="B6342" t="s">
        <v>4672</v>
      </c>
      <c r="C6342">
        <v>1</v>
      </c>
      <c r="D6342" s="1">
        <v>44103.83929398148</v>
      </c>
      <c r="E6342" t="s">
        <v>19776</v>
      </c>
      <c r="F6342" t="s">
        <v>273</v>
      </c>
      <c r="G6342" t="s">
        <v>19764</v>
      </c>
      <c r="H6342" t="s">
        <v>275</v>
      </c>
      <c r="I6342" t="s">
        <v>29</v>
      </c>
      <c r="J6342">
        <v>1</v>
      </c>
      <c r="K6342">
        <f>1-888-211-8144</f>
        <v>-9242</v>
      </c>
      <c r="L6342" t="s">
        <v>19777</v>
      </c>
      <c r="M6342" t="s">
        <v>19778</v>
      </c>
      <c r="N6342" t="s">
        <v>278</v>
      </c>
      <c r="O6342" t="s">
        <v>28</v>
      </c>
      <c r="P6342" t="s">
        <v>782</v>
      </c>
      <c r="Q6342">
        <v>-34</v>
      </c>
      <c r="R6342">
        <v>99.999999000000003</v>
      </c>
    </row>
    <row r="6343" spans="1:18" x14ac:dyDescent="0.2">
      <c r="A6343" t="s">
        <v>270</v>
      </c>
      <c r="B6343" t="s">
        <v>4672</v>
      </c>
      <c r="C6343">
        <v>1</v>
      </c>
      <c r="D6343" s="1">
        <v>44102.822847222225</v>
      </c>
      <c r="E6343" t="s">
        <v>19779</v>
      </c>
      <c r="F6343" t="s">
        <v>273</v>
      </c>
      <c r="G6343" t="s">
        <v>19764</v>
      </c>
      <c r="H6343" t="s">
        <v>275</v>
      </c>
      <c r="I6343" t="s">
        <v>29</v>
      </c>
      <c r="J6343">
        <v>1</v>
      </c>
      <c r="K6343">
        <f>1-888-259-4874</f>
        <v>-6020</v>
      </c>
      <c r="L6343" t="s">
        <v>19780</v>
      </c>
      <c r="M6343" t="s">
        <v>19781</v>
      </c>
      <c r="N6343" t="s">
        <v>278</v>
      </c>
      <c r="O6343" t="s">
        <v>28</v>
      </c>
      <c r="P6343" t="s">
        <v>782</v>
      </c>
      <c r="Q6343">
        <v>-34</v>
      </c>
      <c r="R6343">
        <v>99.999999000000003</v>
      </c>
    </row>
    <row r="6344" spans="1:18" x14ac:dyDescent="0.2">
      <c r="A6344" t="s">
        <v>270</v>
      </c>
      <c r="B6344" t="s">
        <v>4672</v>
      </c>
      <c r="C6344">
        <v>1</v>
      </c>
      <c r="D6344" s="1">
        <v>44098.835775462961</v>
      </c>
      <c r="E6344" t="s">
        <v>4773</v>
      </c>
      <c r="F6344" t="s">
        <v>273</v>
      </c>
      <c r="G6344" t="s">
        <v>19764</v>
      </c>
      <c r="H6344" t="s">
        <v>275</v>
      </c>
      <c r="I6344" t="s">
        <v>29</v>
      </c>
      <c r="J6344">
        <v>1</v>
      </c>
      <c r="K6344">
        <f>1-888-254-1267</f>
        <v>-2408</v>
      </c>
      <c r="L6344" t="s">
        <v>19782</v>
      </c>
      <c r="M6344" t="s">
        <v>19783</v>
      </c>
      <c r="N6344" t="s">
        <v>278</v>
      </c>
      <c r="O6344" t="s">
        <v>28</v>
      </c>
      <c r="P6344" t="s">
        <v>782</v>
      </c>
      <c r="Q6344">
        <v>-34</v>
      </c>
      <c r="R6344">
        <v>99.999999000000003</v>
      </c>
    </row>
    <row r="6345" spans="1:18" x14ac:dyDescent="0.2">
      <c r="A6345" t="s">
        <v>270</v>
      </c>
      <c r="B6345" t="s">
        <v>4672</v>
      </c>
      <c r="C6345">
        <v>1</v>
      </c>
      <c r="D6345" s="1">
        <v>44098.786793981482</v>
      </c>
      <c r="E6345" t="s">
        <v>12559</v>
      </c>
      <c r="F6345" t="s">
        <v>273</v>
      </c>
      <c r="G6345" t="s">
        <v>19764</v>
      </c>
      <c r="H6345" t="s">
        <v>275</v>
      </c>
      <c r="I6345" t="s">
        <v>29</v>
      </c>
      <c r="J6345">
        <v>1</v>
      </c>
      <c r="K6345">
        <f>1-888-261-35</f>
        <v>-1183</v>
      </c>
      <c r="L6345" t="s">
        <v>19784</v>
      </c>
      <c r="M6345" t="s">
        <v>19785</v>
      </c>
      <c r="N6345" t="s">
        <v>278</v>
      </c>
      <c r="O6345" t="s">
        <v>28</v>
      </c>
      <c r="P6345" t="s">
        <v>782</v>
      </c>
      <c r="Q6345">
        <v>-34</v>
      </c>
      <c r="R6345">
        <v>99.999999000000003</v>
      </c>
    </row>
    <row r="6346" spans="1:18" x14ac:dyDescent="0.2">
      <c r="A6346" t="s">
        <v>270</v>
      </c>
      <c r="B6346" t="s">
        <v>4672</v>
      </c>
      <c r="C6346">
        <v>1</v>
      </c>
      <c r="D6346" s="1">
        <v>44098.786782407406</v>
      </c>
      <c r="E6346" t="s">
        <v>1292</v>
      </c>
      <c r="F6346" t="s">
        <v>273</v>
      </c>
      <c r="G6346" t="s">
        <v>19764</v>
      </c>
      <c r="H6346" t="s">
        <v>275</v>
      </c>
      <c r="I6346" t="s">
        <v>29</v>
      </c>
      <c r="J6346">
        <v>1</v>
      </c>
      <c r="K6346">
        <f>1-888-261-35</f>
        <v>-1183</v>
      </c>
      <c r="L6346" t="s">
        <v>19786</v>
      </c>
      <c r="M6346" t="s">
        <v>19787</v>
      </c>
      <c r="N6346" t="s">
        <v>278</v>
      </c>
      <c r="O6346" t="s">
        <v>28</v>
      </c>
      <c r="P6346" t="s">
        <v>782</v>
      </c>
      <c r="Q6346">
        <v>-34</v>
      </c>
      <c r="R6346">
        <v>99.999999000000003</v>
      </c>
    </row>
    <row r="6347" spans="1:18" x14ac:dyDescent="0.2">
      <c r="A6347" t="s">
        <v>270</v>
      </c>
      <c r="B6347" t="s">
        <v>4672</v>
      </c>
      <c r="C6347">
        <v>1</v>
      </c>
      <c r="D6347" s="1">
        <v>44096.75105324074</v>
      </c>
      <c r="E6347" t="s">
        <v>19788</v>
      </c>
      <c r="F6347" t="s">
        <v>273</v>
      </c>
      <c r="G6347" t="s">
        <v>19764</v>
      </c>
      <c r="H6347" t="s">
        <v>275</v>
      </c>
      <c r="I6347" t="s">
        <v>29</v>
      </c>
      <c r="J6347">
        <v>1</v>
      </c>
      <c r="K6347">
        <f>1-888-210-6063</f>
        <v>-7160</v>
      </c>
      <c r="L6347" t="s">
        <v>19789</v>
      </c>
      <c r="M6347" t="s">
        <v>19790</v>
      </c>
      <c r="N6347" t="s">
        <v>278</v>
      </c>
      <c r="O6347" t="s">
        <v>28</v>
      </c>
      <c r="P6347" t="s">
        <v>782</v>
      </c>
      <c r="Q6347">
        <v>-34</v>
      </c>
      <c r="R6347">
        <v>99.999999000000003</v>
      </c>
    </row>
    <row r="6348" spans="1:18" x14ac:dyDescent="0.2">
      <c r="A6348" t="s">
        <v>270</v>
      </c>
      <c r="B6348" t="s">
        <v>4672</v>
      </c>
      <c r="C6348">
        <v>1</v>
      </c>
      <c r="D6348" s="1">
        <v>44096.368703703702</v>
      </c>
      <c r="E6348" t="s">
        <v>19791</v>
      </c>
      <c r="F6348" t="s">
        <v>273</v>
      </c>
      <c r="G6348" t="s">
        <v>19764</v>
      </c>
      <c r="H6348" t="s">
        <v>275</v>
      </c>
      <c r="I6348" t="s">
        <v>29</v>
      </c>
      <c r="J6348">
        <v>1</v>
      </c>
      <c r="K6348">
        <f>1-844-318-5957</f>
        <v>-7118</v>
      </c>
      <c r="L6348" t="s">
        <v>19792</v>
      </c>
      <c r="M6348" t="s">
        <v>19793</v>
      </c>
      <c r="N6348" t="s">
        <v>278</v>
      </c>
      <c r="O6348" t="s">
        <v>28</v>
      </c>
      <c r="P6348" t="s">
        <v>782</v>
      </c>
      <c r="Q6348">
        <v>-34</v>
      </c>
      <c r="R6348">
        <v>99.999999000000003</v>
      </c>
    </row>
    <row r="6349" spans="1:18" x14ac:dyDescent="0.2">
      <c r="A6349" t="s">
        <v>270</v>
      </c>
      <c r="B6349" t="s">
        <v>4672</v>
      </c>
      <c r="C6349">
        <v>1</v>
      </c>
      <c r="D6349" s="1">
        <v>44096.367835648147</v>
      </c>
      <c r="E6349" t="s">
        <v>19794</v>
      </c>
      <c r="F6349" t="s">
        <v>273</v>
      </c>
      <c r="G6349" t="s">
        <v>19764</v>
      </c>
      <c r="H6349" t="s">
        <v>275</v>
      </c>
      <c r="I6349" t="s">
        <v>29</v>
      </c>
      <c r="J6349">
        <v>1</v>
      </c>
      <c r="K6349">
        <f>1-844-305-9953</f>
        <v>-11101</v>
      </c>
      <c r="L6349" t="s">
        <v>19795</v>
      </c>
      <c r="M6349" t="s">
        <v>19796</v>
      </c>
      <c r="N6349" t="s">
        <v>278</v>
      </c>
      <c r="O6349" t="s">
        <v>28</v>
      </c>
      <c r="P6349" t="s">
        <v>782</v>
      </c>
      <c r="Q6349">
        <v>-34</v>
      </c>
      <c r="R6349">
        <v>99.999999000000003</v>
      </c>
    </row>
    <row r="6350" spans="1:18" x14ac:dyDescent="0.2">
      <c r="A6350" t="s">
        <v>270</v>
      </c>
      <c r="B6350" t="s">
        <v>4672</v>
      </c>
      <c r="C6350">
        <v>1</v>
      </c>
      <c r="D6350" s="1">
        <v>44090.993171296293</v>
      </c>
      <c r="E6350" t="s">
        <v>19797</v>
      </c>
      <c r="F6350" t="s">
        <v>273</v>
      </c>
      <c r="G6350" t="s">
        <v>19764</v>
      </c>
      <c r="H6350" t="s">
        <v>275</v>
      </c>
      <c r="I6350" t="s">
        <v>29</v>
      </c>
      <c r="J6350">
        <v>1</v>
      </c>
      <c r="K6350">
        <f>1-844-242-3148</f>
        <v>-4233</v>
      </c>
      <c r="L6350" t="s">
        <v>19798</v>
      </c>
      <c r="M6350" t="s">
        <v>19799</v>
      </c>
      <c r="N6350" t="s">
        <v>278</v>
      </c>
      <c r="O6350" t="s">
        <v>28</v>
      </c>
      <c r="P6350" t="s">
        <v>782</v>
      </c>
      <c r="Q6350">
        <v>-34</v>
      </c>
      <c r="R6350">
        <v>99.999999000000003</v>
      </c>
    </row>
    <row r="6351" spans="1:18" x14ac:dyDescent="0.2">
      <c r="A6351" t="s">
        <v>270</v>
      </c>
      <c r="B6351" t="s">
        <v>4672</v>
      </c>
      <c r="C6351">
        <v>1</v>
      </c>
      <c r="D6351" s="1">
        <v>44090.991863425923</v>
      </c>
      <c r="E6351" t="s">
        <v>19800</v>
      </c>
      <c r="F6351" t="s">
        <v>273</v>
      </c>
      <c r="G6351" t="s">
        <v>19764</v>
      </c>
      <c r="H6351" t="s">
        <v>275</v>
      </c>
      <c r="I6351" t="s">
        <v>29</v>
      </c>
      <c r="J6351">
        <v>1</v>
      </c>
      <c r="K6351">
        <f>1-844-242-3148</f>
        <v>-4233</v>
      </c>
      <c r="L6351" t="s">
        <v>19801</v>
      </c>
      <c r="M6351" t="s">
        <v>19802</v>
      </c>
      <c r="N6351" t="s">
        <v>278</v>
      </c>
      <c r="O6351" t="s">
        <v>28</v>
      </c>
      <c r="P6351" t="s">
        <v>782</v>
      </c>
      <c r="Q6351">
        <v>-34</v>
      </c>
      <c r="R6351">
        <v>99.999999000000003</v>
      </c>
    </row>
    <row r="6352" spans="1:18" x14ac:dyDescent="0.2">
      <c r="A6352" t="s">
        <v>270</v>
      </c>
      <c r="B6352" t="s">
        <v>4672</v>
      </c>
      <c r="C6352">
        <v>1</v>
      </c>
      <c r="D6352" s="1">
        <v>44090.798842592594</v>
      </c>
      <c r="E6352" t="s">
        <v>19803</v>
      </c>
      <c r="F6352" t="s">
        <v>273</v>
      </c>
      <c r="G6352" t="s">
        <v>19764</v>
      </c>
      <c r="H6352" t="s">
        <v>275</v>
      </c>
      <c r="I6352" t="s">
        <v>29</v>
      </c>
      <c r="J6352">
        <v>1</v>
      </c>
      <c r="K6352">
        <f>1-844-221-2340</f>
        <v>-3404</v>
      </c>
      <c r="L6352" t="s">
        <v>19804</v>
      </c>
      <c r="M6352" t="s">
        <v>19805</v>
      </c>
      <c r="N6352" t="s">
        <v>278</v>
      </c>
      <c r="O6352" t="s">
        <v>28</v>
      </c>
      <c r="P6352" t="s">
        <v>782</v>
      </c>
      <c r="Q6352">
        <v>-34</v>
      </c>
      <c r="R6352">
        <v>99.999999000000003</v>
      </c>
    </row>
    <row r="6353" spans="1:18" x14ac:dyDescent="0.2">
      <c r="A6353" t="s">
        <v>270</v>
      </c>
      <c r="B6353" t="s">
        <v>4672</v>
      </c>
      <c r="C6353">
        <v>1</v>
      </c>
      <c r="D6353" s="1">
        <v>44090.417071759257</v>
      </c>
      <c r="E6353" t="s">
        <v>19806</v>
      </c>
      <c r="F6353" t="s">
        <v>273</v>
      </c>
      <c r="G6353" t="s">
        <v>19764</v>
      </c>
      <c r="H6353" t="s">
        <v>275</v>
      </c>
      <c r="I6353" t="s">
        <v>29</v>
      </c>
      <c r="J6353">
        <v>1</v>
      </c>
      <c r="K6353">
        <f>1-844-318-8589</f>
        <v>-9750</v>
      </c>
      <c r="L6353" t="s">
        <v>19807</v>
      </c>
      <c r="M6353" t="s">
        <v>19808</v>
      </c>
      <c r="N6353" t="s">
        <v>278</v>
      </c>
      <c r="O6353" t="s">
        <v>28</v>
      </c>
      <c r="P6353" t="s">
        <v>782</v>
      </c>
      <c r="Q6353">
        <v>-34</v>
      </c>
      <c r="R6353">
        <v>99.999999000000003</v>
      </c>
    </row>
    <row r="6354" spans="1:18" x14ac:dyDescent="0.2">
      <c r="A6354" t="s">
        <v>439</v>
      </c>
      <c r="B6354" t="s">
        <v>440</v>
      </c>
      <c r="C6354">
        <v>1</v>
      </c>
      <c r="D6354" s="1">
        <v>44307.73159722222</v>
      </c>
      <c r="E6354" t="s">
        <v>19809</v>
      </c>
      <c r="F6354" t="s">
        <v>442</v>
      </c>
      <c r="G6354" t="s">
        <v>19810</v>
      </c>
      <c r="H6354" t="s">
        <v>444</v>
      </c>
      <c r="I6354" t="s">
        <v>29</v>
      </c>
      <c r="J6354">
        <v>1</v>
      </c>
      <c r="K6354">
        <f>1-844-857-2786</f>
        <v>-4486</v>
      </c>
      <c r="L6354" t="s">
        <v>19811</v>
      </c>
      <c r="M6354" t="s">
        <v>19812</v>
      </c>
      <c r="N6354" t="s">
        <v>452</v>
      </c>
      <c r="O6354" t="s">
        <v>28</v>
      </c>
      <c r="P6354" t="s">
        <v>29</v>
      </c>
      <c r="Q6354">
        <v>39</v>
      </c>
      <c r="R6354">
        <v>-77.487399999999994</v>
      </c>
    </row>
    <row r="6355" spans="1:18" x14ac:dyDescent="0.2">
      <c r="A6355" t="s">
        <v>439</v>
      </c>
      <c r="B6355" t="s">
        <v>3094</v>
      </c>
      <c r="C6355">
        <v>1</v>
      </c>
      <c r="D6355" s="1">
        <v>44090.632997685185</v>
      </c>
      <c r="E6355" t="s">
        <v>19813</v>
      </c>
      <c r="F6355" t="s">
        <v>442</v>
      </c>
      <c r="G6355" t="s">
        <v>19810</v>
      </c>
      <c r="H6355" t="s">
        <v>444</v>
      </c>
      <c r="I6355" t="s">
        <v>29</v>
      </c>
      <c r="J6355">
        <v>1</v>
      </c>
      <c r="K6355">
        <f>1-888-203-6989</f>
        <v>-8079</v>
      </c>
      <c r="L6355" t="s">
        <v>19814</v>
      </c>
      <c r="M6355" t="s">
        <v>19815</v>
      </c>
      <c r="N6355" t="s">
        <v>12375</v>
      </c>
      <c r="O6355" t="s">
        <v>28</v>
      </c>
      <c r="P6355" t="s">
        <v>2268</v>
      </c>
      <c r="Q6355">
        <v>46</v>
      </c>
      <c r="R6355">
        <v>-73.567300000000003</v>
      </c>
    </row>
    <row r="6356" spans="1:18" x14ac:dyDescent="0.2">
      <c r="A6356" t="s">
        <v>439</v>
      </c>
      <c r="B6356" t="s">
        <v>3094</v>
      </c>
      <c r="C6356">
        <v>1</v>
      </c>
      <c r="D6356" s="1">
        <v>44090.748506944445</v>
      </c>
      <c r="E6356" t="s">
        <v>19816</v>
      </c>
      <c r="F6356" t="s">
        <v>442</v>
      </c>
      <c r="G6356" t="s">
        <v>19817</v>
      </c>
      <c r="H6356" t="s">
        <v>444</v>
      </c>
      <c r="I6356" t="s">
        <v>29</v>
      </c>
      <c r="J6356">
        <v>1</v>
      </c>
      <c r="K6356">
        <f>1-888-203-6989</f>
        <v>-8079</v>
      </c>
      <c r="L6356" t="s">
        <v>19818</v>
      </c>
      <c r="M6356" t="s">
        <v>19819</v>
      </c>
      <c r="N6356" t="s">
        <v>2475</v>
      </c>
      <c r="O6356" t="s">
        <v>28</v>
      </c>
      <c r="P6356" t="s">
        <v>2268</v>
      </c>
      <c r="Q6356">
        <v>46</v>
      </c>
      <c r="R6356">
        <v>-73.567300000000003</v>
      </c>
    </row>
    <row r="6357" spans="1:18" x14ac:dyDescent="0.2">
      <c r="A6357" t="s">
        <v>439</v>
      </c>
      <c r="B6357" t="s">
        <v>3094</v>
      </c>
      <c r="C6357">
        <v>61</v>
      </c>
      <c r="D6357" s="1">
        <v>44090.444884259261</v>
      </c>
      <c r="E6357" t="s">
        <v>19820</v>
      </c>
      <c r="F6357" t="s">
        <v>442</v>
      </c>
      <c r="G6357" t="s">
        <v>19821</v>
      </c>
      <c r="H6357" t="s">
        <v>444</v>
      </c>
      <c r="I6357" t="s">
        <v>782</v>
      </c>
      <c r="J6357">
        <v>61</v>
      </c>
      <c r="K6357">
        <f>61-1800-5-886</f>
        <v>-2630</v>
      </c>
      <c r="L6357" t="s">
        <v>19822</v>
      </c>
      <c r="M6357" t="s">
        <v>19823</v>
      </c>
      <c r="N6357" t="s">
        <v>2475</v>
      </c>
      <c r="O6357" t="s">
        <v>28</v>
      </c>
      <c r="P6357" t="s">
        <v>2268</v>
      </c>
      <c r="Q6357">
        <v>46</v>
      </c>
      <c r="R6357">
        <v>-73.567300000000003</v>
      </c>
    </row>
    <row r="6358" spans="1:18" x14ac:dyDescent="0.2">
      <c r="A6358" t="s">
        <v>439</v>
      </c>
      <c r="B6358" t="s">
        <v>3094</v>
      </c>
      <c r="C6358">
        <v>61</v>
      </c>
      <c r="D6358" s="1">
        <v>44090.44390046296</v>
      </c>
      <c r="E6358" t="s">
        <v>19824</v>
      </c>
      <c r="F6358" t="s">
        <v>442</v>
      </c>
      <c r="G6358" t="s">
        <v>19825</v>
      </c>
      <c r="H6358" t="s">
        <v>444</v>
      </c>
      <c r="I6358" t="s">
        <v>782</v>
      </c>
      <c r="J6358">
        <v>61</v>
      </c>
      <c r="K6358">
        <f>61-1800-5-886</f>
        <v>-2630</v>
      </c>
      <c r="L6358" t="s">
        <v>19826</v>
      </c>
      <c r="M6358" t="s">
        <v>19827</v>
      </c>
      <c r="N6358" t="s">
        <v>2475</v>
      </c>
      <c r="O6358" t="s">
        <v>28</v>
      </c>
      <c r="P6358" t="s">
        <v>2268</v>
      </c>
      <c r="Q6358">
        <v>46</v>
      </c>
      <c r="R6358">
        <v>-73.567300000000003</v>
      </c>
    </row>
    <row r="6359" spans="1:18" x14ac:dyDescent="0.2">
      <c r="A6359" t="s">
        <v>439</v>
      </c>
      <c r="B6359" t="s">
        <v>3094</v>
      </c>
      <c r="C6359">
        <v>1</v>
      </c>
      <c r="D6359" s="1">
        <v>44090.800706018519</v>
      </c>
      <c r="E6359" t="s">
        <v>19828</v>
      </c>
      <c r="F6359" t="s">
        <v>442</v>
      </c>
      <c r="G6359" t="s">
        <v>19829</v>
      </c>
      <c r="H6359" t="s">
        <v>444</v>
      </c>
      <c r="I6359" t="s">
        <v>29</v>
      </c>
      <c r="J6359">
        <v>1</v>
      </c>
      <c r="K6359">
        <f>1-888-535-5785</f>
        <v>-7207</v>
      </c>
      <c r="L6359" t="s">
        <v>19830</v>
      </c>
      <c r="M6359" t="s">
        <v>19831</v>
      </c>
      <c r="N6359" t="s">
        <v>452</v>
      </c>
      <c r="O6359" t="s">
        <v>28</v>
      </c>
      <c r="P6359" t="s">
        <v>2268</v>
      </c>
      <c r="Q6359">
        <v>46</v>
      </c>
      <c r="R6359">
        <v>-73.567300000000003</v>
      </c>
    </row>
    <row r="6360" spans="1:18" x14ac:dyDescent="0.2">
      <c r="A6360" t="s">
        <v>663</v>
      </c>
      <c r="B6360" t="s">
        <v>4281</v>
      </c>
      <c r="C6360">
        <v>49</v>
      </c>
      <c r="D6360" s="1">
        <v>44091.581458333334</v>
      </c>
      <c r="E6360" t="s">
        <v>19832</v>
      </c>
      <c r="F6360" t="s">
        <v>666</v>
      </c>
      <c r="G6360" t="s">
        <v>19832</v>
      </c>
      <c r="H6360" t="s">
        <v>667</v>
      </c>
      <c r="I6360" t="s">
        <v>24</v>
      </c>
      <c r="J6360">
        <v>49</v>
      </c>
      <c r="K6360">
        <f>49-3724-126-3682</f>
        <v>-7483</v>
      </c>
      <c r="L6360" t="s">
        <v>19833</v>
      </c>
      <c r="M6360" t="s">
        <v>19834</v>
      </c>
      <c r="N6360">
        <v>180</v>
      </c>
      <c r="O6360" t="s">
        <v>134</v>
      </c>
      <c r="P6360" t="s">
        <v>24</v>
      </c>
      <c r="Q6360">
        <v>50</v>
      </c>
      <c r="R6360">
        <v>8.6843000000000004</v>
      </c>
    </row>
    <row r="6361" spans="1:18" x14ac:dyDescent="0.2">
      <c r="A6361" t="s">
        <v>663</v>
      </c>
      <c r="B6361" t="s">
        <v>4281</v>
      </c>
      <c r="C6361">
        <v>49</v>
      </c>
      <c r="D6361" s="1">
        <v>44091.460960648146</v>
      </c>
      <c r="E6361" t="s">
        <v>19832</v>
      </c>
      <c r="F6361" t="s">
        <v>666</v>
      </c>
      <c r="G6361" t="s">
        <v>19832</v>
      </c>
      <c r="H6361" t="s">
        <v>667</v>
      </c>
      <c r="I6361" t="s">
        <v>24</v>
      </c>
      <c r="J6361">
        <v>49</v>
      </c>
      <c r="K6361">
        <f>49-3724-126-3682</f>
        <v>-7483</v>
      </c>
      <c r="L6361" t="s">
        <v>19835</v>
      </c>
      <c r="M6361" t="s">
        <v>19836</v>
      </c>
      <c r="N6361">
        <v>180</v>
      </c>
      <c r="O6361" t="s">
        <v>134</v>
      </c>
      <c r="P6361" t="s">
        <v>24</v>
      </c>
      <c r="Q6361">
        <v>50</v>
      </c>
      <c r="R6361">
        <v>8.6843000000000004</v>
      </c>
    </row>
    <row r="6362" spans="1:18" x14ac:dyDescent="0.2">
      <c r="A6362" t="s">
        <v>439</v>
      </c>
      <c r="B6362" t="s">
        <v>3094</v>
      </c>
      <c r="C6362">
        <v>1</v>
      </c>
      <c r="D6362" s="1">
        <v>44090.846944444442</v>
      </c>
      <c r="E6362" t="s">
        <v>19837</v>
      </c>
      <c r="F6362" t="s">
        <v>442</v>
      </c>
      <c r="G6362" t="s">
        <v>19838</v>
      </c>
      <c r="H6362" t="s">
        <v>444</v>
      </c>
      <c r="I6362" t="s">
        <v>29</v>
      </c>
      <c r="J6362">
        <v>1</v>
      </c>
      <c r="K6362">
        <f>1-888-203-6989</f>
        <v>-8079</v>
      </c>
      <c r="L6362" t="s">
        <v>19839</v>
      </c>
      <c r="M6362" t="s">
        <v>19840</v>
      </c>
      <c r="N6362" t="s">
        <v>683</v>
      </c>
      <c r="O6362" t="s">
        <v>28</v>
      </c>
      <c r="P6362" t="s">
        <v>2268</v>
      </c>
      <c r="Q6362">
        <v>46</v>
      </c>
      <c r="R6362">
        <v>-73.567300000000003</v>
      </c>
    </row>
    <row r="6363" spans="1:18" x14ac:dyDescent="0.2">
      <c r="A6363" t="s">
        <v>663</v>
      </c>
      <c r="B6363" t="s">
        <v>2500</v>
      </c>
      <c r="C6363">
        <v>81</v>
      </c>
      <c r="D6363" s="1">
        <v>44091.156828703701</v>
      </c>
      <c r="E6363" t="s">
        <v>19841</v>
      </c>
      <c r="F6363" t="s">
        <v>666</v>
      </c>
      <c r="G6363" t="s">
        <v>19841</v>
      </c>
      <c r="H6363" t="s">
        <v>667</v>
      </c>
      <c r="I6363" t="s">
        <v>53</v>
      </c>
      <c r="J6363">
        <v>81</v>
      </c>
      <c r="K6363">
        <f>81-120-49-729</f>
        <v>-817</v>
      </c>
      <c r="L6363" t="s">
        <v>19842</v>
      </c>
      <c r="M6363" t="s">
        <v>19843</v>
      </c>
      <c r="N6363">
        <v>10</v>
      </c>
      <c r="O6363" t="s">
        <v>134</v>
      </c>
      <c r="P6363" t="s">
        <v>2500</v>
      </c>
      <c r="Q6363">
        <v>1</v>
      </c>
      <c r="R6363">
        <v>99.999999000000003</v>
      </c>
    </row>
    <row r="6364" spans="1:18" x14ac:dyDescent="0.2">
      <c r="A6364" t="s">
        <v>663</v>
      </c>
      <c r="B6364" t="s">
        <v>2500</v>
      </c>
      <c r="C6364">
        <v>81</v>
      </c>
      <c r="D6364" s="1">
        <v>44169.754027777781</v>
      </c>
      <c r="E6364" t="s">
        <v>19844</v>
      </c>
      <c r="F6364" t="s">
        <v>666</v>
      </c>
      <c r="G6364" t="s">
        <v>19845</v>
      </c>
      <c r="H6364" t="s">
        <v>667</v>
      </c>
      <c r="I6364" t="s">
        <v>53</v>
      </c>
      <c r="J6364">
        <v>81</v>
      </c>
      <c r="K6364">
        <f>81-50-5806-5110</f>
        <v>-10885</v>
      </c>
      <c r="L6364" t="s">
        <v>19846</v>
      </c>
      <c r="M6364" t="s">
        <v>19847</v>
      </c>
      <c r="N6364" t="s">
        <v>447</v>
      </c>
      <c r="O6364" t="s">
        <v>134</v>
      </c>
      <c r="P6364" t="s">
        <v>2500</v>
      </c>
      <c r="Q6364">
        <v>1</v>
      </c>
      <c r="R6364">
        <v>99.999999000000003</v>
      </c>
    </row>
    <row r="6365" spans="1:18" x14ac:dyDescent="0.2">
      <c r="A6365" t="s">
        <v>663</v>
      </c>
      <c r="B6365" t="s">
        <v>2500</v>
      </c>
      <c r="C6365">
        <v>81</v>
      </c>
      <c r="D6365" s="1">
        <v>44169.751273148147</v>
      </c>
      <c r="E6365" t="s">
        <v>19848</v>
      </c>
      <c r="F6365" t="s">
        <v>666</v>
      </c>
      <c r="G6365" t="s">
        <v>19845</v>
      </c>
      <c r="H6365" t="s">
        <v>667</v>
      </c>
      <c r="I6365" t="s">
        <v>53</v>
      </c>
      <c r="J6365">
        <v>81</v>
      </c>
      <c r="K6365">
        <f>81-50-5806-5110</f>
        <v>-10885</v>
      </c>
      <c r="L6365" t="s">
        <v>19849</v>
      </c>
      <c r="M6365" t="s">
        <v>19850</v>
      </c>
      <c r="N6365" t="s">
        <v>3454</v>
      </c>
      <c r="O6365" t="s">
        <v>134</v>
      </c>
      <c r="P6365" t="s">
        <v>2500</v>
      </c>
      <c r="Q6365">
        <v>1</v>
      </c>
      <c r="R6365">
        <v>99.999999000000003</v>
      </c>
    </row>
    <row r="6366" spans="1:18" x14ac:dyDescent="0.2">
      <c r="A6366" t="s">
        <v>663</v>
      </c>
      <c r="B6366" t="s">
        <v>2500</v>
      </c>
      <c r="C6366">
        <v>81</v>
      </c>
      <c r="D6366" s="1">
        <v>44169.749432870369</v>
      </c>
      <c r="E6366" t="s">
        <v>19851</v>
      </c>
      <c r="F6366" t="s">
        <v>666</v>
      </c>
      <c r="G6366" t="s">
        <v>19845</v>
      </c>
      <c r="H6366" t="s">
        <v>667</v>
      </c>
      <c r="I6366" t="s">
        <v>53</v>
      </c>
      <c r="J6366">
        <v>81</v>
      </c>
      <c r="K6366">
        <f>81-50-5806-5110</f>
        <v>-10885</v>
      </c>
      <c r="L6366" t="s">
        <v>19852</v>
      </c>
      <c r="M6366" t="s">
        <v>19853</v>
      </c>
      <c r="N6366" t="s">
        <v>213</v>
      </c>
      <c r="O6366" t="s">
        <v>134</v>
      </c>
      <c r="P6366" t="s">
        <v>2500</v>
      </c>
      <c r="Q6366">
        <v>1</v>
      </c>
      <c r="R6366">
        <v>99.999999000000003</v>
      </c>
    </row>
    <row r="6367" spans="1:18" x14ac:dyDescent="0.2">
      <c r="A6367" t="s">
        <v>663</v>
      </c>
      <c r="B6367" t="s">
        <v>2500</v>
      </c>
      <c r="C6367">
        <v>81</v>
      </c>
      <c r="D6367" s="1">
        <v>44169.745196759257</v>
      </c>
      <c r="E6367" t="s">
        <v>19854</v>
      </c>
      <c r="F6367" t="s">
        <v>666</v>
      </c>
      <c r="G6367" t="s">
        <v>19845</v>
      </c>
      <c r="H6367" t="s">
        <v>667</v>
      </c>
      <c r="I6367" t="s">
        <v>53</v>
      </c>
      <c r="J6367">
        <v>81</v>
      </c>
      <c r="K6367">
        <f>81-50-5809-6750</f>
        <v>-12528</v>
      </c>
      <c r="L6367" t="s">
        <v>19855</v>
      </c>
      <c r="M6367" t="s">
        <v>19856</v>
      </c>
      <c r="N6367" t="s">
        <v>447</v>
      </c>
      <c r="O6367" t="s">
        <v>134</v>
      </c>
      <c r="P6367" t="s">
        <v>2500</v>
      </c>
      <c r="Q6367">
        <v>1</v>
      </c>
      <c r="R6367">
        <v>99.999999000000003</v>
      </c>
    </row>
    <row r="6368" spans="1:18" x14ac:dyDescent="0.2">
      <c r="A6368" t="s">
        <v>663</v>
      </c>
      <c r="B6368" t="s">
        <v>2500</v>
      </c>
      <c r="C6368">
        <v>81</v>
      </c>
      <c r="D6368" s="1">
        <v>44169.743275462963</v>
      </c>
      <c r="E6368" t="s">
        <v>19857</v>
      </c>
      <c r="F6368" t="s">
        <v>666</v>
      </c>
      <c r="G6368" t="s">
        <v>19845</v>
      </c>
      <c r="H6368" t="s">
        <v>667</v>
      </c>
      <c r="I6368" t="s">
        <v>53</v>
      </c>
      <c r="J6368">
        <v>81</v>
      </c>
      <c r="K6368">
        <f>81-50-5809-6750</f>
        <v>-12528</v>
      </c>
      <c r="L6368" t="s">
        <v>19858</v>
      </c>
      <c r="M6368" t="s">
        <v>19859</v>
      </c>
      <c r="N6368" t="s">
        <v>3454</v>
      </c>
      <c r="O6368" t="s">
        <v>134</v>
      </c>
      <c r="P6368" t="s">
        <v>2500</v>
      </c>
      <c r="Q6368">
        <v>1</v>
      </c>
      <c r="R6368">
        <v>99.999999000000003</v>
      </c>
    </row>
    <row r="6369" spans="1:18" x14ac:dyDescent="0.2">
      <c r="A6369" t="s">
        <v>663</v>
      </c>
      <c r="B6369" t="s">
        <v>2500</v>
      </c>
      <c r="C6369">
        <v>81</v>
      </c>
      <c r="D6369" s="1">
        <v>44169.739976851852</v>
      </c>
      <c r="E6369" t="s">
        <v>19860</v>
      </c>
      <c r="F6369" t="s">
        <v>666</v>
      </c>
      <c r="G6369" t="s">
        <v>19845</v>
      </c>
      <c r="H6369" t="s">
        <v>667</v>
      </c>
      <c r="I6369" t="s">
        <v>53</v>
      </c>
      <c r="J6369">
        <v>81</v>
      </c>
      <c r="K6369">
        <f>81-50-5809-6750</f>
        <v>-12528</v>
      </c>
      <c r="L6369" t="s">
        <v>19861</v>
      </c>
      <c r="M6369" t="s">
        <v>19862</v>
      </c>
      <c r="N6369" t="s">
        <v>5354</v>
      </c>
      <c r="O6369" t="s">
        <v>134</v>
      </c>
      <c r="P6369" t="s">
        <v>2500</v>
      </c>
      <c r="Q6369">
        <v>1</v>
      </c>
      <c r="R6369">
        <v>99.999999000000003</v>
      </c>
    </row>
    <row r="6370" spans="1:18" x14ac:dyDescent="0.2">
      <c r="A6370" t="s">
        <v>663</v>
      </c>
      <c r="B6370" t="s">
        <v>2500</v>
      </c>
      <c r="C6370">
        <v>81</v>
      </c>
      <c r="D6370" s="1">
        <v>44169.734131944446</v>
      </c>
      <c r="E6370" t="s">
        <v>19863</v>
      </c>
      <c r="F6370" t="s">
        <v>666</v>
      </c>
      <c r="G6370" t="s">
        <v>19845</v>
      </c>
      <c r="H6370" t="s">
        <v>667</v>
      </c>
      <c r="I6370" t="s">
        <v>53</v>
      </c>
      <c r="J6370">
        <v>81</v>
      </c>
      <c r="K6370">
        <f>81-50-5534-5805</f>
        <v>-11308</v>
      </c>
      <c r="L6370" t="s">
        <v>19864</v>
      </c>
      <c r="M6370" t="s">
        <v>19865</v>
      </c>
      <c r="N6370" t="s">
        <v>3454</v>
      </c>
      <c r="O6370" t="s">
        <v>134</v>
      </c>
      <c r="P6370" t="s">
        <v>2500</v>
      </c>
      <c r="Q6370">
        <v>1</v>
      </c>
      <c r="R6370">
        <v>99.999999000000003</v>
      </c>
    </row>
    <row r="6371" spans="1:18" x14ac:dyDescent="0.2">
      <c r="A6371" t="s">
        <v>663</v>
      </c>
      <c r="B6371" t="s">
        <v>2500</v>
      </c>
      <c r="C6371">
        <v>81</v>
      </c>
      <c r="D6371" s="1">
        <v>44169.713634259257</v>
      </c>
      <c r="E6371" t="s">
        <v>19866</v>
      </c>
      <c r="F6371" t="s">
        <v>666</v>
      </c>
      <c r="G6371" t="s">
        <v>19845</v>
      </c>
      <c r="H6371" t="s">
        <v>667</v>
      </c>
      <c r="I6371" t="s">
        <v>53</v>
      </c>
      <c r="J6371">
        <v>81</v>
      </c>
      <c r="K6371">
        <f>81-50-5806-5110</f>
        <v>-10885</v>
      </c>
      <c r="L6371" t="s">
        <v>19867</v>
      </c>
      <c r="M6371" t="s">
        <v>19868</v>
      </c>
      <c r="N6371" t="s">
        <v>447</v>
      </c>
      <c r="O6371" t="s">
        <v>134</v>
      </c>
      <c r="P6371" t="s">
        <v>2500</v>
      </c>
      <c r="Q6371">
        <v>1</v>
      </c>
      <c r="R6371">
        <v>99.999999000000003</v>
      </c>
    </row>
    <row r="6372" spans="1:18" x14ac:dyDescent="0.2">
      <c r="A6372" t="s">
        <v>663</v>
      </c>
      <c r="B6372" t="s">
        <v>2500</v>
      </c>
      <c r="C6372">
        <v>81</v>
      </c>
      <c r="D6372" s="1">
        <v>44110.467488425929</v>
      </c>
      <c r="E6372" t="s">
        <v>19866</v>
      </c>
      <c r="F6372" t="s">
        <v>666</v>
      </c>
      <c r="G6372" t="s">
        <v>19845</v>
      </c>
      <c r="H6372" t="s">
        <v>667</v>
      </c>
      <c r="I6372" t="s">
        <v>53</v>
      </c>
      <c r="J6372">
        <v>81</v>
      </c>
      <c r="K6372">
        <f>81-50-5806-5110</f>
        <v>-10885</v>
      </c>
      <c r="L6372" t="s">
        <v>19869</v>
      </c>
      <c r="M6372" t="s">
        <v>19870</v>
      </c>
      <c r="N6372" t="s">
        <v>447</v>
      </c>
      <c r="O6372" t="s">
        <v>28</v>
      </c>
      <c r="P6372" t="s">
        <v>2500</v>
      </c>
      <c r="Q6372">
        <v>1</v>
      </c>
      <c r="R6372">
        <v>99.999999000000003</v>
      </c>
    </row>
    <row r="6373" spans="1:18" x14ac:dyDescent="0.2">
      <c r="A6373" t="s">
        <v>663</v>
      </c>
      <c r="B6373" t="s">
        <v>2500</v>
      </c>
      <c r="C6373">
        <v>81</v>
      </c>
      <c r="D6373" s="1">
        <v>44110.30940972222</v>
      </c>
      <c r="E6373" t="s">
        <v>19871</v>
      </c>
      <c r="F6373" t="s">
        <v>666</v>
      </c>
      <c r="G6373" t="s">
        <v>19845</v>
      </c>
      <c r="H6373" t="s">
        <v>667</v>
      </c>
      <c r="I6373" t="s">
        <v>53</v>
      </c>
      <c r="J6373">
        <v>81</v>
      </c>
      <c r="K6373">
        <f>81-50-5806-5110</f>
        <v>-10885</v>
      </c>
      <c r="L6373" t="s">
        <v>19872</v>
      </c>
      <c r="M6373" t="s">
        <v>19873</v>
      </c>
      <c r="N6373" t="s">
        <v>447</v>
      </c>
      <c r="O6373" t="s">
        <v>28</v>
      </c>
      <c r="P6373" t="s">
        <v>2500</v>
      </c>
      <c r="Q6373">
        <v>1</v>
      </c>
      <c r="R6373">
        <v>99.999999000000003</v>
      </c>
    </row>
    <row r="6374" spans="1:18" x14ac:dyDescent="0.2">
      <c r="A6374" t="s">
        <v>663</v>
      </c>
      <c r="B6374" t="s">
        <v>2500</v>
      </c>
      <c r="C6374">
        <v>81</v>
      </c>
      <c r="D6374" s="1">
        <v>44097.309212962966</v>
      </c>
      <c r="E6374" t="s">
        <v>19874</v>
      </c>
      <c r="F6374" t="s">
        <v>666</v>
      </c>
      <c r="G6374" t="s">
        <v>19845</v>
      </c>
      <c r="H6374" t="s">
        <v>667</v>
      </c>
      <c r="I6374" t="s">
        <v>53</v>
      </c>
      <c r="J6374">
        <v>81</v>
      </c>
      <c r="K6374">
        <f>81-50-5806-5110</f>
        <v>-10885</v>
      </c>
      <c r="L6374" t="s">
        <v>19875</v>
      </c>
      <c r="M6374" t="s">
        <v>19876</v>
      </c>
      <c r="N6374" t="s">
        <v>447</v>
      </c>
      <c r="O6374" t="s">
        <v>28</v>
      </c>
      <c r="P6374" t="s">
        <v>2500</v>
      </c>
      <c r="Q6374">
        <v>1</v>
      </c>
      <c r="R6374">
        <v>99.999999000000003</v>
      </c>
    </row>
    <row r="6375" spans="1:18" x14ac:dyDescent="0.2">
      <c r="A6375" t="s">
        <v>663</v>
      </c>
      <c r="B6375" t="s">
        <v>2500</v>
      </c>
      <c r="C6375">
        <v>81</v>
      </c>
      <c r="D6375" s="1">
        <v>44096.184745370374</v>
      </c>
      <c r="E6375" t="s">
        <v>19877</v>
      </c>
      <c r="F6375" t="s">
        <v>666</v>
      </c>
      <c r="G6375" t="s">
        <v>19845</v>
      </c>
      <c r="H6375" t="s">
        <v>667</v>
      </c>
      <c r="I6375" t="s">
        <v>53</v>
      </c>
      <c r="J6375">
        <v>81</v>
      </c>
      <c r="K6375">
        <f>81-50-5806-5110</f>
        <v>-10885</v>
      </c>
      <c r="L6375" t="s">
        <v>19878</v>
      </c>
      <c r="M6375" t="s">
        <v>19879</v>
      </c>
      <c r="N6375" t="s">
        <v>447</v>
      </c>
      <c r="O6375" t="s">
        <v>28</v>
      </c>
      <c r="P6375" t="s">
        <v>2500</v>
      </c>
      <c r="Q6375">
        <v>1</v>
      </c>
      <c r="R6375">
        <v>99.999999000000003</v>
      </c>
    </row>
    <row r="6376" spans="1:18" x14ac:dyDescent="0.2">
      <c r="A6376" t="s">
        <v>663</v>
      </c>
      <c r="B6376" t="s">
        <v>2500</v>
      </c>
      <c r="C6376">
        <v>81</v>
      </c>
      <c r="D6376" s="1">
        <v>44093.775173611109</v>
      </c>
      <c r="E6376" t="s">
        <v>19880</v>
      </c>
      <c r="F6376" t="s">
        <v>666</v>
      </c>
      <c r="G6376" t="s">
        <v>19845</v>
      </c>
      <c r="H6376" t="s">
        <v>667</v>
      </c>
      <c r="I6376" t="s">
        <v>53</v>
      </c>
      <c r="J6376">
        <v>81</v>
      </c>
      <c r="K6376">
        <f t="shared" ref="K6376:K6384" si="59">81-50-5534-5805</f>
        <v>-11308</v>
      </c>
      <c r="L6376" t="s">
        <v>19881</v>
      </c>
      <c r="M6376" t="s">
        <v>19882</v>
      </c>
      <c r="N6376" t="s">
        <v>447</v>
      </c>
      <c r="O6376" t="s">
        <v>134</v>
      </c>
      <c r="P6376" t="s">
        <v>2500</v>
      </c>
      <c r="Q6376">
        <v>1</v>
      </c>
      <c r="R6376">
        <v>99.999999000000003</v>
      </c>
    </row>
    <row r="6377" spans="1:18" x14ac:dyDescent="0.2">
      <c r="A6377" t="s">
        <v>663</v>
      </c>
      <c r="B6377" t="s">
        <v>2500</v>
      </c>
      <c r="C6377">
        <v>81</v>
      </c>
      <c r="D6377" s="1">
        <v>44093.775034722225</v>
      </c>
      <c r="E6377" t="s">
        <v>19883</v>
      </c>
      <c r="F6377" t="s">
        <v>666</v>
      </c>
      <c r="G6377" t="s">
        <v>19845</v>
      </c>
      <c r="H6377" t="s">
        <v>667</v>
      </c>
      <c r="I6377" t="s">
        <v>53</v>
      </c>
      <c r="J6377">
        <v>81</v>
      </c>
      <c r="K6377">
        <f t="shared" si="59"/>
        <v>-11308</v>
      </c>
      <c r="L6377" t="s">
        <v>19884</v>
      </c>
      <c r="M6377" t="s">
        <v>19885</v>
      </c>
      <c r="N6377" t="s">
        <v>3454</v>
      </c>
      <c r="O6377" t="s">
        <v>134</v>
      </c>
      <c r="P6377" t="s">
        <v>2500</v>
      </c>
      <c r="Q6377">
        <v>1</v>
      </c>
      <c r="R6377">
        <v>99.999999000000003</v>
      </c>
    </row>
    <row r="6378" spans="1:18" x14ac:dyDescent="0.2">
      <c r="A6378" t="s">
        <v>663</v>
      </c>
      <c r="B6378" t="s">
        <v>2500</v>
      </c>
      <c r="C6378">
        <v>81</v>
      </c>
      <c r="D6378" s="1">
        <v>44093.208287037036</v>
      </c>
      <c r="E6378" t="s">
        <v>19880</v>
      </c>
      <c r="F6378" t="s">
        <v>666</v>
      </c>
      <c r="G6378" t="s">
        <v>19845</v>
      </c>
      <c r="H6378" t="s">
        <v>667</v>
      </c>
      <c r="I6378" t="s">
        <v>53</v>
      </c>
      <c r="J6378">
        <v>81</v>
      </c>
      <c r="K6378">
        <f t="shared" si="59"/>
        <v>-11308</v>
      </c>
      <c r="L6378" t="s">
        <v>19886</v>
      </c>
      <c r="M6378" t="s">
        <v>19887</v>
      </c>
      <c r="N6378" t="s">
        <v>447</v>
      </c>
      <c r="O6378" t="s">
        <v>28</v>
      </c>
      <c r="P6378" t="s">
        <v>2500</v>
      </c>
      <c r="Q6378">
        <v>1</v>
      </c>
      <c r="R6378">
        <v>99.999999000000003</v>
      </c>
    </row>
    <row r="6379" spans="1:18" x14ac:dyDescent="0.2">
      <c r="A6379" t="s">
        <v>663</v>
      </c>
      <c r="B6379" t="s">
        <v>2500</v>
      </c>
      <c r="C6379">
        <v>81</v>
      </c>
      <c r="D6379" s="1">
        <v>44092.584918981483</v>
      </c>
      <c r="E6379" t="s">
        <v>19888</v>
      </c>
      <c r="F6379" t="s">
        <v>666</v>
      </c>
      <c r="G6379" t="s">
        <v>19845</v>
      </c>
      <c r="H6379" t="s">
        <v>667</v>
      </c>
      <c r="I6379" t="s">
        <v>53</v>
      </c>
      <c r="J6379">
        <v>81</v>
      </c>
      <c r="K6379">
        <f t="shared" si="59"/>
        <v>-11308</v>
      </c>
      <c r="L6379" t="s">
        <v>19889</v>
      </c>
      <c r="M6379" t="s">
        <v>19890</v>
      </c>
      <c r="N6379" t="s">
        <v>447</v>
      </c>
      <c r="O6379" t="s">
        <v>134</v>
      </c>
      <c r="P6379" t="s">
        <v>2500</v>
      </c>
      <c r="Q6379">
        <v>1</v>
      </c>
      <c r="R6379">
        <v>99.999999000000003</v>
      </c>
    </row>
    <row r="6380" spans="1:18" x14ac:dyDescent="0.2">
      <c r="A6380" t="s">
        <v>663</v>
      </c>
      <c r="B6380" t="s">
        <v>2500</v>
      </c>
      <c r="C6380">
        <v>81</v>
      </c>
      <c r="D6380" s="1">
        <v>44092.584756944445</v>
      </c>
      <c r="E6380" t="s">
        <v>19891</v>
      </c>
      <c r="F6380" t="s">
        <v>666</v>
      </c>
      <c r="G6380" t="s">
        <v>19845</v>
      </c>
      <c r="H6380" t="s">
        <v>667</v>
      </c>
      <c r="I6380" t="s">
        <v>53</v>
      </c>
      <c r="J6380">
        <v>81</v>
      </c>
      <c r="K6380">
        <f t="shared" si="59"/>
        <v>-11308</v>
      </c>
      <c r="L6380" t="s">
        <v>19892</v>
      </c>
      <c r="M6380" t="s">
        <v>19893</v>
      </c>
      <c r="N6380" t="s">
        <v>447</v>
      </c>
      <c r="O6380" t="s">
        <v>134</v>
      </c>
      <c r="P6380" t="s">
        <v>2500</v>
      </c>
      <c r="Q6380">
        <v>1</v>
      </c>
      <c r="R6380">
        <v>99.999999000000003</v>
      </c>
    </row>
    <row r="6381" spans="1:18" x14ac:dyDescent="0.2">
      <c r="A6381" t="s">
        <v>663</v>
      </c>
      <c r="B6381" t="s">
        <v>2500</v>
      </c>
      <c r="C6381">
        <v>81</v>
      </c>
      <c r="D6381" s="1">
        <v>44092.584560185183</v>
      </c>
      <c r="E6381" t="s">
        <v>19894</v>
      </c>
      <c r="F6381" t="s">
        <v>666</v>
      </c>
      <c r="G6381" t="s">
        <v>19845</v>
      </c>
      <c r="H6381" t="s">
        <v>667</v>
      </c>
      <c r="I6381" t="s">
        <v>53</v>
      </c>
      <c r="J6381">
        <v>81</v>
      </c>
      <c r="K6381">
        <f t="shared" si="59"/>
        <v>-11308</v>
      </c>
      <c r="L6381" t="s">
        <v>19895</v>
      </c>
      <c r="M6381" t="s">
        <v>19896</v>
      </c>
      <c r="N6381" t="s">
        <v>447</v>
      </c>
      <c r="O6381" t="s">
        <v>134</v>
      </c>
      <c r="P6381" t="s">
        <v>2500</v>
      </c>
      <c r="Q6381">
        <v>1</v>
      </c>
      <c r="R6381">
        <v>99.999999000000003</v>
      </c>
    </row>
    <row r="6382" spans="1:18" x14ac:dyDescent="0.2">
      <c r="A6382" t="s">
        <v>663</v>
      </c>
      <c r="B6382" t="s">
        <v>2500</v>
      </c>
      <c r="C6382">
        <v>81</v>
      </c>
      <c r="D6382" s="1">
        <v>44092.584421296298</v>
      </c>
      <c r="E6382" t="s">
        <v>19897</v>
      </c>
      <c r="F6382" t="s">
        <v>666</v>
      </c>
      <c r="G6382" t="s">
        <v>19845</v>
      </c>
      <c r="H6382" t="s">
        <v>667</v>
      </c>
      <c r="I6382" t="s">
        <v>53</v>
      </c>
      <c r="J6382">
        <v>81</v>
      </c>
      <c r="K6382">
        <f t="shared" si="59"/>
        <v>-11308</v>
      </c>
      <c r="L6382" t="s">
        <v>19898</v>
      </c>
      <c r="M6382" t="s">
        <v>19899</v>
      </c>
      <c r="N6382" t="s">
        <v>447</v>
      </c>
      <c r="O6382" t="s">
        <v>134</v>
      </c>
      <c r="P6382" t="s">
        <v>2500</v>
      </c>
      <c r="Q6382">
        <v>1</v>
      </c>
      <c r="R6382">
        <v>99.999999000000003</v>
      </c>
    </row>
    <row r="6383" spans="1:18" x14ac:dyDescent="0.2">
      <c r="A6383" t="s">
        <v>663</v>
      </c>
      <c r="B6383" t="s">
        <v>2500</v>
      </c>
      <c r="C6383">
        <v>81</v>
      </c>
      <c r="D6383" s="1">
        <v>44092.163460648146</v>
      </c>
      <c r="E6383" t="s">
        <v>19863</v>
      </c>
      <c r="F6383" t="s">
        <v>666</v>
      </c>
      <c r="G6383" t="s">
        <v>19845</v>
      </c>
      <c r="H6383" t="s">
        <v>667</v>
      </c>
      <c r="I6383" t="s">
        <v>53</v>
      </c>
      <c r="J6383">
        <v>81</v>
      </c>
      <c r="K6383">
        <f t="shared" si="59"/>
        <v>-11308</v>
      </c>
      <c r="L6383" t="s">
        <v>19900</v>
      </c>
      <c r="M6383" t="s">
        <v>19901</v>
      </c>
      <c r="N6383" t="s">
        <v>3454</v>
      </c>
      <c r="O6383" t="s">
        <v>28</v>
      </c>
      <c r="P6383" t="s">
        <v>2500</v>
      </c>
      <c r="Q6383">
        <v>1</v>
      </c>
      <c r="R6383">
        <v>99.999999000000003</v>
      </c>
    </row>
    <row r="6384" spans="1:18" x14ac:dyDescent="0.2">
      <c r="A6384" t="s">
        <v>663</v>
      </c>
      <c r="B6384" t="s">
        <v>2500</v>
      </c>
      <c r="C6384">
        <v>81</v>
      </c>
      <c r="D6384" s="1">
        <v>44091.159062500003</v>
      </c>
      <c r="E6384" t="s">
        <v>19902</v>
      </c>
      <c r="F6384" t="s">
        <v>666</v>
      </c>
      <c r="G6384" t="s">
        <v>19845</v>
      </c>
      <c r="H6384" t="s">
        <v>667</v>
      </c>
      <c r="I6384" t="s">
        <v>53</v>
      </c>
      <c r="J6384">
        <v>81</v>
      </c>
      <c r="K6384">
        <f t="shared" si="59"/>
        <v>-11308</v>
      </c>
      <c r="L6384" t="s">
        <v>19903</v>
      </c>
      <c r="M6384" t="s">
        <v>19904</v>
      </c>
      <c r="N6384" t="s">
        <v>213</v>
      </c>
      <c r="O6384" t="s">
        <v>28</v>
      </c>
      <c r="P6384" t="s">
        <v>2500</v>
      </c>
      <c r="Q6384">
        <v>1</v>
      </c>
      <c r="R6384">
        <v>99.999999000000003</v>
      </c>
    </row>
    <row r="6385" spans="1:18" x14ac:dyDescent="0.2">
      <c r="A6385" t="s">
        <v>2233</v>
      </c>
      <c r="B6385" t="s">
        <v>4672</v>
      </c>
      <c r="C6385">
        <v>1</v>
      </c>
      <c r="D6385" s="1">
        <v>44091.043819444443</v>
      </c>
      <c r="E6385" t="s">
        <v>19905</v>
      </c>
      <c r="F6385" t="s">
        <v>2236</v>
      </c>
      <c r="G6385" t="s">
        <v>19906</v>
      </c>
      <c r="H6385" t="s">
        <v>2237</v>
      </c>
      <c r="I6385" t="s">
        <v>29</v>
      </c>
      <c r="J6385">
        <v>1</v>
      </c>
      <c r="K6385">
        <f>1-855-910-136</f>
        <v>-1900</v>
      </c>
      <c r="L6385" t="s">
        <v>19907</v>
      </c>
      <c r="M6385" t="s">
        <v>19908</v>
      </c>
      <c r="N6385" t="s">
        <v>7822</v>
      </c>
      <c r="O6385" t="s">
        <v>28</v>
      </c>
      <c r="P6385" t="s">
        <v>782</v>
      </c>
      <c r="Q6385">
        <v>-34</v>
      </c>
      <c r="R6385">
        <v>99.999999000000003</v>
      </c>
    </row>
    <row r="6386" spans="1:18" x14ac:dyDescent="0.2">
      <c r="A6386" t="s">
        <v>2349</v>
      </c>
      <c r="B6386" t="s">
        <v>454</v>
      </c>
      <c r="C6386">
        <v>49</v>
      </c>
      <c r="D6386" s="1">
        <v>44091.49927083333</v>
      </c>
      <c r="E6386" t="s">
        <v>19909</v>
      </c>
      <c r="F6386" t="s">
        <v>2352</v>
      </c>
      <c r="G6386" t="s">
        <v>19909</v>
      </c>
      <c r="H6386" t="s">
        <v>2353</v>
      </c>
      <c r="I6386" t="s">
        <v>24</v>
      </c>
      <c r="J6386">
        <v>49</v>
      </c>
      <c r="K6386">
        <f>49-800-100-2326</f>
        <v>-3177</v>
      </c>
      <c r="L6386" t="s">
        <v>19910</v>
      </c>
      <c r="M6386" t="s">
        <v>19911</v>
      </c>
      <c r="N6386">
        <v>120</v>
      </c>
      <c r="O6386" t="s">
        <v>134</v>
      </c>
      <c r="P6386" t="s">
        <v>461</v>
      </c>
      <c r="Q6386">
        <v>52</v>
      </c>
      <c r="R6386">
        <v>4.6562999999999999</v>
      </c>
    </row>
    <row r="6387" spans="1:18" x14ac:dyDescent="0.2">
      <c r="A6387" t="s">
        <v>439</v>
      </c>
      <c r="B6387" t="s">
        <v>3094</v>
      </c>
      <c r="C6387">
        <v>1</v>
      </c>
      <c r="D6387" s="1">
        <v>44091.514641203707</v>
      </c>
      <c r="E6387" t="s">
        <v>19912</v>
      </c>
      <c r="F6387" t="s">
        <v>442</v>
      </c>
      <c r="G6387" t="s">
        <v>19913</v>
      </c>
      <c r="H6387" t="s">
        <v>444</v>
      </c>
      <c r="I6387" t="s">
        <v>29</v>
      </c>
      <c r="J6387">
        <v>1</v>
      </c>
      <c r="K6387">
        <f>1-888-203-6989</f>
        <v>-8079</v>
      </c>
      <c r="L6387" t="s">
        <v>19914</v>
      </c>
      <c r="M6387" t="s">
        <v>19915</v>
      </c>
      <c r="N6387" t="s">
        <v>6172</v>
      </c>
      <c r="O6387" t="s">
        <v>28</v>
      </c>
      <c r="P6387" t="s">
        <v>2268</v>
      </c>
      <c r="Q6387">
        <v>46</v>
      </c>
      <c r="R6387">
        <v>-73.567300000000003</v>
      </c>
    </row>
    <row r="6388" spans="1:18" x14ac:dyDescent="0.2">
      <c r="A6388" t="s">
        <v>439</v>
      </c>
      <c r="B6388" t="s">
        <v>3094</v>
      </c>
      <c r="C6388">
        <v>1</v>
      </c>
      <c r="D6388" s="1">
        <v>44091.755879629629</v>
      </c>
      <c r="E6388" t="s">
        <v>19916</v>
      </c>
      <c r="F6388" t="s">
        <v>442</v>
      </c>
      <c r="G6388" t="s">
        <v>19917</v>
      </c>
      <c r="H6388" t="s">
        <v>444</v>
      </c>
      <c r="I6388" t="s">
        <v>29</v>
      </c>
      <c r="J6388">
        <v>1</v>
      </c>
      <c r="K6388">
        <f>1-888-203-6989</f>
        <v>-8079</v>
      </c>
      <c r="L6388" t="s">
        <v>19918</v>
      </c>
      <c r="M6388" t="s">
        <v>19919</v>
      </c>
      <c r="N6388" t="s">
        <v>683</v>
      </c>
      <c r="O6388" t="s">
        <v>28</v>
      </c>
      <c r="P6388" t="s">
        <v>2268</v>
      </c>
      <c r="Q6388">
        <v>46</v>
      </c>
      <c r="R6388">
        <v>-73.567300000000003</v>
      </c>
    </row>
    <row r="6389" spans="1:18" x14ac:dyDescent="0.2">
      <c r="A6389" t="s">
        <v>270</v>
      </c>
      <c r="B6389" t="s">
        <v>271</v>
      </c>
      <c r="C6389">
        <v>1</v>
      </c>
      <c r="D6389" s="1">
        <v>44109.924143518518</v>
      </c>
      <c r="E6389" t="s">
        <v>19920</v>
      </c>
      <c r="F6389" t="s">
        <v>273</v>
      </c>
      <c r="G6389" t="s">
        <v>19921</v>
      </c>
      <c r="H6389" t="s">
        <v>275</v>
      </c>
      <c r="I6389" t="s">
        <v>29</v>
      </c>
      <c r="J6389">
        <v>1</v>
      </c>
      <c r="K6389">
        <f>1-888-279-3869</f>
        <v>-5035</v>
      </c>
      <c r="L6389" t="s">
        <v>19922</v>
      </c>
      <c r="M6389" t="s">
        <v>19923</v>
      </c>
      <c r="N6389" t="s">
        <v>278</v>
      </c>
      <c r="O6389" t="s">
        <v>28</v>
      </c>
      <c r="P6389" t="s">
        <v>29</v>
      </c>
      <c r="Q6389">
        <v>42</v>
      </c>
      <c r="R6389">
        <v>-93.620800000000003</v>
      </c>
    </row>
    <row r="6390" spans="1:18" x14ac:dyDescent="0.2">
      <c r="A6390" t="s">
        <v>270</v>
      </c>
      <c r="B6390" t="s">
        <v>271</v>
      </c>
      <c r="C6390">
        <v>1</v>
      </c>
      <c r="D6390" s="1">
        <v>44100.951898148145</v>
      </c>
      <c r="E6390" t="s">
        <v>19924</v>
      </c>
      <c r="F6390" t="s">
        <v>273</v>
      </c>
      <c r="G6390" t="s">
        <v>19921</v>
      </c>
      <c r="H6390" t="s">
        <v>275</v>
      </c>
      <c r="I6390" t="s">
        <v>29</v>
      </c>
      <c r="J6390">
        <v>1</v>
      </c>
      <c r="K6390">
        <f>1-888-353-5591</f>
        <v>-6831</v>
      </c>
      <c r="L6390" t="s">
        <v>19925</v>
      </c>
      <c r="M6390" t="s">
        <v>19926</v>
      </c>
      <c r="N6390" t="s">
        <v>278</v>
      </c>
      <c r="O6390" t="s">
        <v>28</v>
      </c>
      <c r="P6390" t="s">
        <v>29</v>
      </c>
      <c r="Q6390">
        <v>42</v>
      </c>
      <c r="R6390">
        <v>-93.620800000000003</v>
      </c>
    </row>
    <row r="6391" spans="1:18" x14ac:dyDescent="0.2">
      <c r="A6391" t="s">
        <v>270</v>
      </c>
      <c r="B6391" t="s">
        <v>271</v>
      </c>
      <c r="C6391">
        <v>1</v>
      </c>
      <c r="D6391" s="1">
        <v>44099.029664351852</v>
      </c>
      <c r="E6391" t="s">
        <v>19927</v>
      </c>
      <c r="F6391" t="s">
        <v>273</v>
      </c>
      <c r="G6391" t="s">
        <v>19921</v>
      </c>
      <c r="H6391" t="s">
        <v>275</v>
      </c>
      <c r="I6391" t="s">
        <v>29</v>
      </c>
      <c r="J6391">
        <v>1</v>
      </c>
      <c r="K6391">
        <f>1-888-335-442</f>
        <v>-1664</v>
      </c>
      <c r="L6391" t="s">
        <v>19928</v>
      </c>
      <c r="M6391" t="s">
        <v>19929</v>
      </c>
      <c r="N6391" t="s">
        <v>278</v>
      </c>
      <c r="O6391" t="s">
        <v>28</v>
      </c>
      <c r="P6391" t="s">
        <v>29</v>
      </c>
      <c r="Q6391">
        <v>42</v>
      </c>
      <c r="R6391">
        <v>-93.620800000000003</v>
      </c>
    </row>
    <row r="6392" spans="1:18" x14ac:dyDescent="0.2">
      <c r="A6392" t="s">
        <v>270</v>
      </c>
      <c r="B6392" t="s">
        <v>271</v>
      </c>
      <c r="C6392">
        <v>1</v>
      </c>
      <c r="D6392" s="1">
        <v>44098.983483796299</v>
      </c>
      <c r="E6392" t="s">
        <v>19930</v>
      </c>
      <c r="F6392" t="s">
        <v>273</v>
      </c>
      <c r="G6392" t="s">
        <v>19921</v>
      </c>
      <c r="H6392" t="s">
        <v>275</v>
      </c>
      <c r="I6392" t="s">
        <v>29</v>
      </c>
      <c r="J6392">
        <v>1</v>
      </c>
      <c r="K6392">
        <f>1-888-375-4620</f>
        <v>-5882</v>
      </c>
      <c r="L6392" t="s">
        <v>19931</v>
      </c>
      <c r="M6392" t="s">
        <v>19932</v>
      </c>
      <c r="N6392" t="s">
        <v>278</v>
      </c>
      <c r="O6392" t="s">
        <v>28</v>
      </c>
      <c r="P6392" t="s">
        <v>29</v>
      </c>
      <c r="Q6392">
        <v>42</v>
      </c>
      <c r="R6392">
        <v>-93.620800000000003</v>
      </c>
    </row>
    <row r="6393" spans="1:18" x14ac:dyDescent="0.2">
      <c r="A6393" t="s">
        <v>270</v>
      </c>
      <c r="B6393" t="s">
        <v>271</v>
      </c>
      <c r="C6393">
        <v>1</v>
      </c>
      <c r="D6393" s="1">
        <v>44098.010092592594</v>
      </c>
      <c r="E6393" t="s">
        <v>19933</v>
      </c>
      <c r="F6393" t="s">
        <v>273</v>
      </c>
      <c r="G6393" t="s">
        <v>19921</v>
      </c>
      <c r="H6393" t="s">
        <v>275</v>
      </c>
      <c r="I6393" t="s">
        <v>29</v>
      </c>
      <c r="J6393">
        <v>1</v>
      </c>
      <c r="K6393">
        <f>1-888-214-2910</f>
        <v>-4011</v>
      </c>
      <c r="L6393" t="s">
        <v>19934</v>
      </c>
      <c r="M6393" t="s">
        <v>19935</v>
      </c>
      <c r="N6393" t="s">
        <v>278</v>
      </c>
      <c r="O6393" t="s">
        <v>28</v>
      </c>
      <c r="P6393" t="s">
        <v>29</v>
      </c>
      <c r="Q6393">
        <v>42</v>
      </c>
      <c r="R6393">
        <v>-93.620800000000003</v>
      </c>
    </row>
    <row r="6394" spans="1:18" x14ac:dyDescent="0.2">
      <c r="A6394" t="s">
        <v>270</v>
      </c>
      <c r="B6394" t="s">
        <v>271</v>
      </c>
      <c r="C6394">
        <v>1</v>
      </c>
      <c r="D6394" s="1">
        <v>44097.913414351853</v>
      </c>
      <c r="E6394" t="s">
        <v>19936</v>
      </c>
      <c r="F6394" t="s">
        <v>273</v>
      </c>
      <c r="G6394" t="s">
        <v>19921</v>
      </c>
      <c r="H6394" t="s">
        <v>275</v>
      </c>
      <c r="I6394" t="s">
        <v>29</v>
      </c>
      <c r="J6394">
        <v>1</v>
      </c>
      <c r="K6394">
        <f>1-888-308-5126</f>
        <v>-6321</v>
      </c>
      <c r="L6394" t="s">
        <v>19937</v>
      </c>
      <c r="M6394" t="s">
        <v>19938</v>
      </c>
      <c r="N6394" t="s">
        <v>278</v>
      </c>
      <c r="O6394" t="s">
        <v>28</v>
      </c>
      <c r="P6394" t="s">
        <v>29</v>
      </c>
      <c r="Q6394">
        <v>42</v>
      </c>
      <c r="R6394">
        <v>-93.620800000000003</v>
      </c>
    </row>
    <row r="6395" spans="1:18" x14ac:dyDescent="0.2">
      <c r="A6395" t="s">
        <v>270</v>
      </c>
      <c r="B6395" t="s">
        <v>271</v>
      </c>
      <c r="C6395">
        <v>1</v>
      </c>
      <c r="D6395" s="1">
        <v>44096.965185185189</v>
      </c>
      <c r="E6395" t="s">
        <v>19939</v>
      </c>
      <c r="F6395" t="s">
        <v>273</v>
      </c>
      <c r="G6395" t="s">
        <v>19921</v>
      </c>
      <c r="H6395" t="s">
        <v>275</v>
      </c>
      <c r="I6395" t="s">
        <v>29</v>
      </c>
      <c r="J6395">
        <v>1</v>
      </c>
      <c r="K6395">
        <f>1-888-210-5571</f>
        <v>-6668</v>
      </c>
      <c r="L6395" t="s">
        <v>19940</v>
      </c>
      <c r="M6395" t="s">
        <v>19941</v>
      </c>
      <c r="N6395" t="s">
        <v>278</v>
      </c>
      <c r="O6395" t="s">
        <v>28</v>
      </c>
      <c r="P6395" t="s">
        <v>29</v>
      </c>
      <c r="Q6395">
        <v>42</v>
      </c>
      <c r="R6395">
        <v>-93.620800000000003</v>
      </c>
    </row>
    <row r="6396" spans="1:18" x14ac:dyDescent="0.2">
      <c r="A6396" t="s">
        <v>270</v>
      </c>
      <c r="B6396" t="s">
        <v>271</v>
      </c>
      <c r="C6396">
        <v>1</v>
      </c>
      <c r="D6396" s="1">
        <v>44096.849618055552</v>
      </c>
      <c r="E6396" t="s">
        <v>19942</v>
      </c>
      <c r="F6396" t="s">
        <v>273</v>
      </c>
      <c r="G6396" t="s">
        <v>19921</v>
      </c>
      <c r="H6396" t="s">
        <v>275</v>
      </c>
      <c r="I6396" t="s">
        <v>29</v>
      </c>
      <c r="J6396">
        <v>1</v>
      </c>
      <c r="K6396">
        <f>1-888-210-2639</f>
        <v>-3736</v>
      </c>
      <c r="L6396" t="s">
        <v>19943</v>
      </c>
      <c r="M6396" t="s">
        <v>19944</v>
      </c>
      <c r="N6396" t="s">
        <v>278</v>
      </c>
      <c r="O6396" t="s">
        <v>28</v>
      </c>
      <c r="P6396" t="s">
        <v>29</v>
      </c>
      <c r="Q6396">
        <v>42</v>
      </c>
      <c r="R6396">
        <v>-93.620800000000003</v>
      </c>
    </row>
    <row r="6397" spans="1:18" x14ac:dyDescent="0.2">
      <c r="A6397" t="s">
        <v>270</v>
      </c>
      <c r="B6397" t="s">
        <v>271</v>
      </c>
      <c r="C6397">
        <v>1</v>
      </c>
      <c r="D6397" s="1">
        <v>44092.97892361111</v>
      </c>
      <c r="E6397" t="s">
        <v>19945</v>
      </c>
      <c r="F6397" t="s">
        <v>273</v>
      </c>
      <c r="G6397" t="s">
        <v>19921</v>
      </c>
      <c r="H6397" t="s">
        <v>275</v>
      </c>
      <c r="I6397" t="s">
        <v>29</v>
      </c>
      <c r="J6397">
        <v>1</v>
      </c>
      <c r="K6397">
        <f>1-888-231-5388</f>
        <v>-6506</v>
      </c>
      <c r="L6397" t="s">
        <v>19946</v>
      </c>
      <c r="M6397" t="s">
        <v>19947</v>
      </c>
      <c r="N6397" t="s">
        <v>278</v>
      </c>
      <c r="O6397" t="s">
        <v>28</v>
      </c>
      <c r="P6397" t="s">
        <v>29</v>
      </c>
      <c r="Q6397">
        <v>42</v>
      </c>
      <c r="R6397">
        <v>-93.620800000000003</v>
      </c>
    </row>
    <row r="6398" spans="1:18" x14ac:dyDescent="0.2">
      <c r="A6398" t="s">
        <v>270</v>
      </c>
      <c r="B6398" t="s">
        <v>271</v>
      </c>
      <c r="C6398">
        <v>1</v>
      </c>
      <c r="D6398" s="1">
        <v>44091.928414351853</v>
      </c>
      <c r="E6398" t="s">
        <v>19948</v>
      </c>
      <c r="F6398" t="s">
        <v>273</v>
      </c>
      <c r="G6398" t="s">
        <v>19921</v>
      </c>
      <c r="H6398" t="s">
        <v>275</v>
      </c>
      <c r="I6398" t="s">
        <v>29</v>
      </c>
      <c r="J6398">
        <v>1</v>
      </c>
      <c r="K6398">
        <f>1-888-207-319</f>
        <v>-1413</v>
      </c>
      <c r="L6398" t="s">
        <v>19949</v>
      </c>
      <c r="M6398" t="s">
        <v>19950</v>
      </c>
      <c r="N6398" t="s">
        <v>278</v>
      </c>
      <c r="O6398" t="s">
        <v>28</v>
      </c>
      <c r="P6398" t="s">
        <v>29</v>
      </c>
      <c r="Q6398">
        <v>42</v>
      </c>
      <c r="R6398">
        <v>-93.620800000000003</v>
      </c>
    </row>
    <row r="6399" spans="1:18" x14ac:dyDescent="0.2">
      <c r="A6399" t="s">
        <v>439</v>
      </c>
      <c r="B6399" t="s">
        <v>3094</v>
      </c>
      <c r="C6399">
        <v>1</v>
      </c>
      <c r="D6399" s="1">
        <v>44091.933506944442</v>
      </c>
      <c r="E6399" t="s">
        <v>19951</v>
      </c>
      <c r="F6399" t="s">
        <v>442</v>
      </c>
      <c r="G6399" t="s">
        <v>19952</v>
      </c>
      <c r="H6399" t="s">
        <v>444</v>
      </c>
      <c r="I6399" t="s">
        <v>29</v>
      </c>
      <c r="J6399">
        <v>1</v>
      </c>
      <c r="K6399">
        <f>1-888-203-6989</f>
        <v>-8079</v>
      </c>
      <c r="L6399" t="s">
        <v>19953</v>
      </c>
      <c r="M6399" t="s">
        <v>19954</v>
      </c>
      <c r="N6399" t="s">
        <v>683</v>
      </c>
      <c r="O6399" t="s">
        <v>28</v>
      </c>
      <c r="P6399" t="s">
        <v>2268</v>
      </c>
      <c r="Q6399">
        <v>46</v>
      </c>
      <c r="R6399">
        <v>-73.567300000000003</v>
      </c>
    </row>
    <row r="6400" spans="1:18" x14ac:dyDescent="0.2">
      <c r="A6400" t="s">
        <v>663</v>
      </c>
      <c r="B6400" t="s">
        <v>664</v>
      </c>
      <c r="C6400">
        <v>61</v>
      </c>
      <c r="D6400" s="1">
        <v>44092.123240740744</v>
      </c>
      <c r="E6400" t="s">
        <v>19955</v>
      </c>
      <c r="F6400" t="s">
        <v>2495</v>
      </c>
      <c r="G6400" t="s">
        <v>19955</v>
      </c>
      <c r="H6400" t="s">
        <v>667</v>
      </c>
      <c r="I6400" t="s">
        <v>782</v>
      </c>
      <c r="J6400">
        <v>61</v>
      </c>
      <c r="K6400">
        <f>61-1800-825-497</f>
        <v>-3061</v>
      </c>
      <c r="L6400" t="s">
        <v>19956</v>
      </c>
      <c r="M6400" t="s">
        <v>19957</v>
      </c>
      <c r="N6400">
        <v>175</v>
      </c>
      <c r="O6400" t="s">
        <v>134</v>
      </c>
      <c r="P6400" t="s">
        <v>29</v>
      </c>
      <c r="Q6400">
        <v>37</v>
      </c>
      <c r="R6400">
        <v>-99.999999000000003</v>
      </c>
    </row>
    <row r="6401" spans="1:18" x14ac:dyDescent="0.2">
      <c r="A6401" t="s">
        <v>439</v>
      </c>
      <c r="B6401" t="s">
        <v>3094</v>
      </c>
      <c r="C6401">
        <v>81</v>
      </c>
      <c r="D6401" s="1">
        <v>44092.163344907407</v>
      </c>
      <c r="E6401" t="s">
        <v>19958</v>
      </c>
      <c r="F6401" t="s">
        <v>442</v>
      </c>
      <c r="G6401" t="s">
        <v>19959</v>
      </c>
      <c r="H6401" t="s">
        <v>444</v>
      </c>
      <c r="I6401" t="s">
        <v>53</v>
      </c>
      <c r="J6401">
        <v>81</v>
      </c>
      <c r="K6401">
        <f>81-50-5539-9947</f>
        <v>-15455</v>
      </c>
      <c r="L6401" t="s">
        <v>19960</v>
      </c>
      <c r="M6401" t="s">
        <v>19961</v>
      </c>
      <c r="N6401" t="s">
        <v>674</v>
      </c>
      <c r="O6401" t="s">
        <v>28</v>
      </c>
      <c r="P6401" t="s">
        <v>2268</v>
      </c>
      <c r="Q6401">
        <v>46</v>
      </c>
      <c r="R6401">
        <v>-73.567300000000003</v>
      </c>
    </row>
    <row r="6402" spans="1:18" x14ac:dyDescent="0.2">
      <c r="A6402" t="s">
        <v>17711</v>
      </c>
      <c r="B6402" t="s">
        <v>19962</v>
      </c>
      <c r="C6402">
        <v>1</v>
      </c>
      <c r="D6402" s="1">
        <v>44092.587118055555</v>
      </c>
      <c r="E6402" t="s">
        <v>19963</v>
      </c>
      <c r="F6402" t="s">
        <v>19964</v>
      </c>
      <c r="G6402" t="s">
        <v>19965</v>
      </c>
      <c r="H6402" t="s">
        <v>17716</v>
      </c>
      <c r="I6402" t="s">
        <v>29</v>
      </c>
      <c r="J6402">
        <v>1</v>
      </c>
      <c r="K6402">
        <f>1-888-295-1423</f>
        <v>-2605</v>
      </c>
      <c r="L6402" t="s">
        <v>19966</v>
      </c>
      <c r="M6402" t="s">
        <v>19967</v>
      </c>
      <c r="N6402" t="s">
        <v>17142</v>
      </c>
      <c r="O6402" t="s">
        <v>28</v>
      </c>
      <c r="P6402" t="s">
        <v>19962</v>
      </c>
      <c r="Q6402">
        <v>22</v>
      </c>
      <c r="R6402">
        <v>99.999999000000003</v>
      </c>
    </row>
    <row r="6403" spans="1:18" x14ac:dyDescent="0.2">
      <c r="A6403" t="s">
        <v>439</v>
      </c>
      <c r="B6403" t="s">
        <v>3094</v>
      </c>
      <c r="C6403">
        <v>1</v>
      </c>
      <c r="D6403" s="1">
        <v>44092.682893518519</v>
      </c>
      <c r="E6403" t="s">
        <v>19968</v>
      </c>
      <c r="F6403" t="s">
        <v>442</v>
      </c>
      <c r="G6403" t="s">
        <v>19969</v>
      </c>
      <c r="H6403" t="s">
        <v>444</v>
      </c>
      <c r="I6403" t="s">
        <v>29</v>
      </c>
      <c r="J6403">
        <v>1</v>
      </c>
      <c r="K6403">
        <f>1-888-269-3088</f>
        <v>-4244</v>
      </c>
      <c r="L6403" t="s">
        <v>19970</v>
      </c>
      <c r="M6403" t="s">
        <v>19971</v>
      </c>
      <c r="N6403" t="s">
        <v>1645</v>
      </c>
      <c r="O6403" t="s">
        <v>28</v>
      </c>
      <c r="P6403" t="s">
        <v>2268</v>
      </c>
      <c r="Q6403">
        <v>46</v>
      </c>
      <c r="R6403">
        <v>-73.567300000000003</v>
      </c>
    </row>
    <row r="6404" spans="1:18" x14ac:dyDescent="0.2">
      <c r="A6404" t="s">
        <v>439</v>
      </c>
      <c r="B6404" t="s">
        <v>3094</v>
      </c>
      <c r="C6404">
        <v>1</v>
      </c>
      <c r="D6404" s="1">
        <v>44092.706446759257</v>
      </c>
      <c r="E6404" t="s">
        <v>19972</v>
      </c>
      <c r="F6404" t="s">
        <v>442</v>
      </c>
      <c r="G6404" t="s">
        <v>19973</v>
      </c>
      <c r="H6404" t="s">
        <v>444</v>
      </c>
      <c r="I6404" t="s">
        <v>29</v>
      </c>
      <c r="J6404">
        <v>1</v>
      </c>
      <c r="K6404">
        <f>1-888-269-3088</f>
        <v>-4244</v>
      </c>
      <c r="L6404" t="s">
        <v>19974</v>
      </c>
      <c r="M6404" t="s">
        <v>19975</v>
      </c>
      <c r="N6404" t="s">
        <v>1645</v>
      </c>
      <c r="O6404" t="s">
        <v>28</v>
      </c>
      <c r="P6404" t="s">
        <v>2268</v>
      </c>
      <c r="Q6404">
        <v>46</v>
      </c>
      <c r="R6404">
        <v>-73.567300000000003</v>
      </c>
    </row>
    <row r="6405" spans="1:18" x14ac:dyDescent="0.2">
      <c r="A6405" t="s">
        <v>439</v>
      </c>
      <c r="B6405" t="s">
        <v>3094</v>
      </c>
      <c r="C6405">
        <v>1</v>
      </c>
      <c r="D6405" s="1">
        <v>44092.808506944442</v>
      </c>
      <c r="E6405" t="s">
        <v>19976</v>
      </c>
      <c r="F6405" t="s">
        <v>442</v>
      </c>
      <c r="G6405" t="s">
        <v>19977</v>
      </c>
      <c r="H6405" t="s">
        <v>444</v>
      </c>
      <c r="I6405" t="s">
        <v>29</v>
      </c>
      <c r="J6405">
        <v>1</v>
      </c>
      <c r="K6405">
        <f>1-888-217-2548</f>
        <v>-3652</v>
      </c>
      <c r="L6405" t="s">
        <v>19978</v>
      </c>
      <c r="M6405" t="s">
        <v>19979</v>
      </c>
      <c r="N6405" t="s">
        <v>1645</v>
      </c>
      <c r="O6405" t="s">
        <v>28</v>
      </c>
      <c r="P6405" t="s">
        <v>2268</v>
      </c>
      <c r="Q6405">
        <v>46</v>
      </c>
      <c r="R6405">
        <v>-73.567300000000003</v>
      </c>
    </row>
    <row r="6406" spans="1:18" x14ac:dyDescent="0.2">
      <c r="A6406" t="s">
        <v>439</v>
      </c>
      <c r="B6406" t="s">
        <v>3094</v>
      </c>
      <c r="C6406">
        <v>1</v>
      </c>
      <c r="D6406" s="1">
        <v>44092.87159722222</v>
      </c>
      <c r="E6406" t="s">
        <v>19980</v>
      </c>
      <c r="F6406" t="s">
        <v>442</v>
      </c>
      <c r="G6406" t="s">
        <v>19981</v>
      </c>
      <c r="H6406" t="s">
        <v>444</v>
      </c>
      <c r="I6406" t="s">
        <v>29</v>
      </c>
      <c r="J6406">
        <v>1</v>
      </c>
      <c r="K6406">
        <f>1-888-414-5313</f>
        <v>-6614</v>
      </c>
      <c r="L6406" t="s">
        <v>19982</v>
      </c>
      <c r="M6406" t="s">
        <v>19983</v>
      </c>
      <c r="N6406" t="s">
        <v>36</v>
      </c>
      <c r="O6406" t="s">
        <v>28</v>
      </c>
      <c r="P6406" t="s">
        <v>2268</v>
      </c>
      <c r="Q6406">
        <v>46</v>
      </c>
      <c r="R6406">
        <v>-73.567300000000003</v>
      </c>
    </row>
    <row r="6407" spans="1:18" x14ac:dyDescent="0.2">
      <c r="A6407" t="s">
        <v>2233</v>
      </c>
      <c r="B6407" t="s">
        <v>4672</v>
      </c>
      <c r="C6407">
        <v>1</v>
      </c>
      <c r="D6407" s="1">
        <v>44092.890370370369</v>
      </c>
      <c r="E6407" t="s">
        <v>19984</v>
      </c>
      <c r="F6407" t="s">
        <v>2236</v>
      </c>
      <c r="G6407" t="s">
        <v>19985</v>
      </c>
      <c r="H6407" t="s">
        <v>2237</v>
      </c>
      <c r="I6407" t="s">
        <v>29</v>
      </c>
      <c r="J6407">
        <v>1</v>
      </c>
      <c r="K6407">
        <f>1-855-867-4156</f>
        <v>-5877</v>
      </c>
      <c r="L6407" t="s">
        <v>19986</v>
      </c>
      <c r="M6407" t="s">
        <v>19987</v>
      </c>
      <c r="N6407" t="s">
        <v>19988</v>
      </c>
      <c r="O6407" t="s">
        <v>28</v>
      </c>
      <c r="P6407" t="s">
        <v>782</v>
      </c>
      <c r="Q6407">
        <v>-34</v>
      </c>
      <c r="R6407">
        <v>99.999999000000003</v>
      </c>
    </row>
    <row r="6408" spans="1:18" x14ac:dyDescent="0.2">
      <c r="A6408" t="s">
        <v>439</v>
      </c>
      <c r="B6408" t="s">
        <v>3094</v>
      </c>
      <c r="C6408">
        <v>1</v>
      </c>
      <c r="D6408" s="1">
        <v>44092.979687500003</v>
      </c>
      <c r="E6408" t="s">
        <v>19989</v>
      </c>
      <c r="F6408" t="s">
        <v>442</v>
      </c>
      <c r="G6408" t="s">
        <v>19990</v>
      </c>
      <c r="H6408" t="s">
        <v>444</v>
      </c>
      <c r="I6408" t="s">
        <v>29</v>
      </c>
      <c r="J6408">
        <v>1</v>
      </c>
      <c r="K6408">
        <f>1-888-210-2459</f>
        <v>-3556</v>
      </c>
      <c r="L6408" t="s">
        <v>19991</v>
      </c>
      <c r="M6408" t="s">
        <v>19992</v>
      </c>
      <c r="N6408" t="s">
        <v>6172</v>
      </c>
      <c r="O6408" t="s">
        <v>28</v>
      </c>
      <c r="P6408" t="s">
        <v>2268</v>
      </c>
      <c r="Q6408">
        <v>46</v>
      </c>
      <c r="R6408">
        <v>-73.567300000000003</v>
      </c>
    </row>
    <row r="6409" spans="1:18" x14ac:dyDescent="0.2">
      <c r="A6409" t="s">
        <v>439</v>
      </c>
      <c r="B6409" t="s">
        <v>3094</v>
      </c>
      <c r="C6409">
        <v>81</v>
      </c>
      <c r="D6409" s="1">
        <v>44093.208124999997</v>
      </c>
      <c r="E6409" t="s">
        <v>19993</v>
      </c>
      <c r="F6409" t="s">
        <v>442</v>
      </c>
      <c r="G6409" t="s">
        <v>19994</v>
      </c>
      <c r="H6409" t="s">
        <v>444</v>
      </c>
      <c r="I6409" t="s">
        <v>53</v>
      </c>
      <c r="J6409">
        <v>81</v>
      </c>
      <c r="K6409">
        <f>81-50-5539-9947</f>
        <v>-15455</v>
      </c>
      <c r="L6409" t="s">
        <v>19995</v>
      </c>
      <c r="M6409" t="s">
        <v>19996</v>
      </c>
      <c r="N6409" t="s">
        <v>447</v>
      </c>
      <c r="O6409" t="s">
        <v>28</v>
      </c>
      <c r="P6409" t="s">
        <v>2268</v>
      </c>
      <c r="Q6409">
        <v>46</v>
      </c>
      <c r="R6409">
        <v>-73.567300000000003</v>
      </c>
    </row>
    <row r="6410" spans="1:18" x14ac:dyDescent="0.2">
      <c r="A6410" t="s">
        <v>439</v>
      </c>
      <c r="B6410" t="s">
        <v>3094</v>
      </c>
      <c r="C6410">
        <v>1</v>
      </c>
      <c r="D6410" s="1">
        <v>44093.075891203705</v>
      </c>
      <c r="E6410" t="s">
        <v>19997</v>
      </c>
      <c r="F6410" t="s">
        <v>442</v>
      </c>
      <c r="G6410" t="s">
        <v>19998</v>
      </c>
      <c r="H6410" t="s">
        <v>444</v>
      </c>
      <c r="I6410" t="s">
        <v>29</v>
      </c>
      <c r="J6410">
        <v>1</v>
      </c>
      <c r="K6410">
        <f>1-888-210-6763</f>
        <v>-7860</v>
      </c>
      <c r="L6410" t="s">
        <v>19999</v>
      </c>
      <c r="M6410" t="s">
        <v>20000</v>
      </c>
      <c r="N6410" t="s">
        <v>2475</v>
      </c>
      <c r="O6410" t="s">
        <v>28</v>
      </c>
      <c r="P6410" t="s">
        <v>2268</v>
      </c>
      <c r="Q6410">
        <v>46</v>
      </c>
      <c r="R6410">
        <v>-73.567300000000003</v>
      </c>
    </row>
    <row r="6411" spans="1:18" x14ac:dyDescent="0.2">
      <c r="A6411" t="s">
        <v>2349</v>
      </c>
      <c r="B6411" t="s">
        <v>6134</v>
      </c>
      <c r="C6411">
        <v>1</v>
      </c>
      <c r="D6411" s="1">
        <v>44093.089872685188</v>
      </c>
      <c r="E6411" t="s">
        <v>20001</v>
      </c>
      <c r="F6411" t="s">
        <v>2352</v>
      </c>
      <c r="G6411" t="s">
        <v>20002</v>
      </c>
      <c r="H6411" t="s">
        <v>2353</v>
      </c>
      <c r="I6411" t="s">
        <v>29</v>
      </c>
      <c r="J6411">
        <v>1</v>
      </c>
      <c r="K6411">
        <f>1-888-908-576</f>
        <v>-2371</v>
      </c>
      <c r="L6411" t="s">
        <v>20003</v>
      </c>
      <c r="M6411" t="s">
        <v>20004</v>
      </c>
      <c r="N6411" t="s">
        <v>5986</v>
      </c>
      <c r="O6411" t="s">
        <v>28</v>
      </c>
      <c r="P6411" t="s">
        <v>29</v>
      </c>
      <c r="Q6411">
        <v>33</v>
      </c>
      <c r="R6411">
        <v>-96.802099999999996</v>
      </c>
    </row>
    <row r="6412" spans="1:18" x14ac:dyDescent="0.2">
      <c r="A6412" t="s">
        <v>2349</v>
      </c>
      <c r="B6412" t="s">
        <v>10634</v>
      </c>
      <c r="C6412">
        <v>49</v>
      </c>
      <c r="D6412" s="1">
        <v>44093.480740740742</v>
      </c>
      <c r="E6412" t="s">
        <v>20005</v>
      </c>
      <c r="F6412" t="s">
        <v>2352</v>
      </c>
      <c r="G6412" t="s">
        <v>20005</v>
      </c>
      <c r="H6412" t="s">
        <v>2353</v>
      </c>
      <c r="I6412" t="s">
        <v>24</v>
      </c>
      <c r="J6412">
        <v>49</v>
      </c>
      <c r="K6412">
        <f>49-800-100-2326</f>
        <v>-3177</v>
      </c>
      <c r="L6412" t="s">
        <v>20006</v>
      </c>
      <c r="M6412" t="s">
        <v>20007</v>
      </c>
      <c r="N6412">
        <v>226</v>
      </c>
      <c r="O6412" t="s">
        <v>134</v>
      </c>
      <c r="P6412" t="s">
        <v>292</v>
      </c>
      <c r="Q6412">
        <v>49</v>
      </c>
      <c r="R6412">
        <v>2.3868999999999998</v>
      </c>
    </row>
    <row r="6413" spans="1:18" x14ac:dyDescent="0.2">
      <c r="A6413" t="s">
        <v>1200</v>
      </c>
      <c r="B6413" t="s">
        <v>2500</v>
      </c>
      <c r="C6413">
        <v>1</v>
      </c>
      <c r="D6413" s="1">
        <v>44093.538136574076</v>
      </c>
      <c r="E6413" t="s">
        <v>20008</v>
      </c>
      <c r="F6413" t="s">
        <v>1203</v>
      </c>
      <c r="G6413" t="s">
        <v>20009</v>
      </c>
      <c r="H6413" t="s">
        <v>1205</v>
      </c>
      <c r="I6413" t="s">
        <v>29</v>
      </c>
      <c r="J6413">
        <v>1</v>
      </c>
      <c r="K6413">
        <f>1-833-314-2030</f>
        <v>-3176</v>
      </c>
      <c r="L6413" t="s">
        <v>20010</v>
      </c>
      <c r="M6413" t="s">
        <v>20011</v>
      </c>
      <c r="N6413" t="s">
        <v>5354</v>
      </c>
      <c r="O6413" t="s">
        <v>28</v>
      </c>
      <c r="P6413" t="s">
        <v>2500</v>
      </c>
      <c r="Q6413">
        <v>1</v>
      </c>
      <c r="R6413">
        <v>99.999999000000003</v>
      </c>
    </row>
    <row r="6414" spans="1:18" x14ac:dyDescent="0.2">
      <c r="A6414" t="s">
        <v>439</v>
      </c>
      <c r="B6414" t="s">
        <v>3094</v>
      </c>
      <c r="C6414">
        <v>1</v>
      </c>
      <c r="D6414" s="1">
        <v>44093.782488425924</v>
      </c>
      <c r="E6414" t="s">
        <v>20012</v>
      </c>
      <c r="F6414" t="s">
        <v>442</v>
      </c>
      <c r="G6414" t="s">
        <v>20013</v>
      </c>
      <c r="H6414" t="s">
        <v>444</v>
      </c>
      <c r="I6414" t="s">
        <v>29</v>
      </c>
      <c r="J6414">
        <v>1</v>
      </c>
      <c r="K6414">
        <f>1-888-210-6369</f>
        <v>-7466</v>
      </c>
      <c r="L6414" t="s">
        <v>20014</v>
      </c>
      <c r="M6414" t="s">
        <v>20015</v>
      </c>
      <c r="N6414" t="s">
        <v>1645</v>
      </c>
      <c r="O6414" t="s">
        <v>28</v>
      </c>
      <c r="P6414" t="s">
        <v>2268</v>
      </c>
      <c r="Q6414">
        <v>46</v>
      </c>
      <c r="R6414">
        <v>-73.567300000000003</v>
      </c>
    </row>
    <row r="6415" spans="1:18" x14ac:dyDescent="0.2">
      <c r="A6415" t="s">
        <v>663</v>
      </c>
      <c r="B6415" t="s">
        <v>4281</v>
      </c>
      <c r="C6415">
        <v>1</v>
      </c>
      <c r="D6415" s="1">
        <v>44093.787326388891</v>
      </c>
      <c r="E6415" t="s">
        <v>20016</v>
      </c>
      <c r="F6415" t="s">
        <v>666</v>
      </c>
      <c r="G6415" t="s">
        <v>20016</v>
      </c>
      <c r="H6415" t="s">
        <v>667</v>
      </c>
      <c r="I6415" t="s">
        <v>29</v>
      </c>
      <c r="J6415">
        <v>1</v>
      </c>
      <c r="K6415">
        <f>1-844-292-4957</f>
        <v>-6092</v>
      </c>
      <c r="L6415" t="s">
        <v>20017</v>
      </c>
      <c r="M6415" t="s">
        <v>20018</v>
      </c>
      <c r="N6415">
        <v>221</v>
      </c>
      <c r="O6415" t="s">
        <v>134</v>
      </c>
      <c r="P6415" t="s">
        <v>24</v>
      </c>
      <c r="Q6415">
        <v>50</v>
      </c>
      <c r="R6415">
        <v>8.6843000000000004</v>
      </c>
    </row>
    <row r="6416" spans="1:18" x14ac:dyDescent="0.2">
      <c r="A6416" t="s">
        <v>663</v>
      </c>
      <c r="B6416" t="s">
        <v>664</v>
      </c>
      <c r="C6416">
        <v>1</v>
      </c>
      <c r="D6416" s="1">
        <v>44093.979953703703</v>
      </c>
      <c r="E6416" t="s">
        <v>20019</v>
      </c>
      <c r="F6416" t="s">
        <v>2495</v>
      </c>
      <c r="G6416" t="s">
        <v>20019</v>
      </c>
      <c r="H6416" t="s">
        <v>667</v>
      </c>
      <c r="I6416" t="s">
        <v>29</v>
      </c>
      <c r="J6416">
        <v>1</v>
      </c>
      <c r="K6416">
        <f>1-888-217-8662</f>
        <v>-9766</v>
      </c>
      <c r="L6416" t="s">
        <v>20020</v>
      </c>
      <c r="M6416" t="s">
        <v>20021</v>
      </c>
      <c r="N6416">
        <v>197</v>
      </c>
      <c r="O6416" t="s">
        <v>134</v>
      </c>
      <c r="P6416" t="s">
        <v>29</v>
      </c>
      <c r="Q6416">
        <v>37</v>
      </c>
      <c r="R6416">
        <v>-99.999999000000003</v>
      </c>
    </row>
    <row r="6417" spans="1:18" x14ac:dyDescent="0.2">
      <c r="A6417" t="s">
        <v>2233</v>
      </c>
      <c r="B6417" t="s">
        <v>4672</v>
      </c>
      <c r="C6417">
        <v>1</v>
      </c>
      <c r="D6417" s="1">
        <v>44093.997997685183</v>
      </c>
      <c r="E6417" t="s">
        <v>20022</v>
      </c>
      <c r="F6417" t="s">
        <v>2236</v>
      </c>
      <c r="G6417" t="s">
        <v>20023</v>
      </c>
      <c r="H6417" t="s">
        <v>2237</v>
      </c>
      <c r="I6417" t="s">
        <v>29</v>
      </c>
      <c r="J6417">
        <v>1</v>
      </c>
      <c r="K6417">
        <f>1-877-674-1679</f>
        <v>-3229</v>
      </c>
      <c r="L6417" t="s">
        <v>20024</v>
      </c>
      <c r="M6417" t="s">
        <v>20025</v>
      </c>
      <c r="O6417" t="s">
        <v>28</v>
      </c>
      <c r="P6417" t="s">
        <v>782</v>
      </c>
      <c r="Q6417">
        <v>-34</v>
      </c>
      <c r="R6417">
        <v>99.999999000000003</v>
      </c>
    </row>
    <row r="6418" spans="1:18" x14ac:dyDescent="0.2">
      <c r="A6418" t="s">
        <v>2233</v>
      </c>
      <c r="B6418" t="s">
        <v>4672</v>
      </c>
      <c r="C6418">
        <v>1</v>
      </c>
      <c r="D6418" s="1">
        <v>44093.999745370369</v>
      </c>
      <c r="E6418" t="s">
        <v>20026</v>
      </c>
      <c r="F6418" t="s">
        <v>2236</v>
      </c>
      <c r="G6418" t="s">
        <v>20027</v>
      </c>
      <c r="H6418" t="s">
        <v>2237</v>
      </c>
      <c r="I6418" t="s">
        <v>29</v>
      </c>
      <c r="J6418">
        <v>1</v>
      </c>
      <c r="K6418">
        <f>1-877-674-1679</f>
        <v>-3229</v>
      </c>
      <c r="L6418" t="s">
        <v>20028</v>
      </c>
      <c r="M6418" t="s">
        <v>20029</v>
      </c>
      <c r="N6418" t="s">
        <v>20030</v>
      </c>
      <c r="O6418" t="s">
        <v>28</v>
      </c>
      <c r="P6418" t="s">
        <v>782</v>
      </c>
      <c r="Q6418">
        <v>-34</v>
      </c>
      <c r="R6418">
        <v>99.999999000000003</v>
      </c>
    </row>
    <row r="6419" spans="1:18" x14ac:dyDescent="0.2">
      <c r="A6419" t="s">
        <v>439</v>
      </c>
      <c r="B6419" t="s">
        <v>3094</v>
      </c>
      <c r="C6419">
        <v>81</v>
      </c>
      <c r="D6419" s="1">
        <v>44094.41196759259</v>
      </c>
      <c r="E6419" t="s">
        <v>20031</v>
      </c>
      <c r="F6419" t="s">
        <v>442</v>
      </c>
      <c r="G6419" t="s">
        <v>20032</v>
      </c>
      <c r="H6419" t="s">
        <v>444</v>
      </c>
      <c r="I6419" t="s">
        <v>53</v>
      </c>
      <c r="J6419">
        <v>81</v>
      </c>
      <c r="K6419">
        <f>81-50-5539-9947</f>
        <v>-15455</v>
      </c>
      <c r="L6419" t="s">
        <v>20033</v>
      </c>
      <c r="M6419" t="s">
        <v>20034</v>
      </c>
      <c r="N6419" t="s">
        <v>213</v>
      </c>
      <c r="O6419" t="s">
        <v>28</v>
      </c>
      <c r="P6419" t="s">
        <v>2268</v>
      </c>
      <c r="Q6419">
        <v>46</v>
      </c>
      <c r="R6419">
        <v>-73.567300000000003</v>
      </c>
    </row>
    <row r="6420" spans="1:18" x14ac:dyDescent="0.2">
      <c r="A6420" t="s">
        <v>5349</v>
      </c>
      <c r="B6420" t="s">
        <v>440</v>
      </c>
      <c r="C6420">
        <v>81</v>
      </c>
      <c r="D6420" s="1">
        <v>44094.413425925923</v>
      </c>
      <c r="E6420" t="s">
        <v>20035</v>
      </c>
      <c r="F6420" t="s">
        <v>7023</v>
      </c>
      <c r="G6420" t="s">
        <v>20035</v>
      </c>
      <c r="H6420" t="s">
        <v>2237</v>
      </c>
      <c r="I6420" t="s">
        <v>53</v>
      </c>
      <c r="J6420">
        <v>81</v>
      </c>
      <c r="K6420">
        <f>81-50-3136-8533</f>
        <v>-11638</v>
      </c>
      <c r="L6420" t="s">
        <v>20036</v>
      </c>
      <c r="M6420" t="s">
        <v>20037</v>
      </c>
      <c r="N6420">
        <v>215</v>
      </c>
      <c r="O6420" t="s">
        <v>134</v>
      </c>
      <c r="P6420" t="s">
        <v>29</v>
      </c>
      <c r="Q6420">
        <v>39</v>
      </c>
      <c r="R6420">
        <v>-77.487399999999994</v>
      </c>
    </row>
    <row r="6421" spans="1:18" x14ac:dyDescent="0.2">
      <c r="A6421" t="s">
        <v>439</v>
      </c>
      <c r="B6421" t="s">
        <v>3094</v>
      </c>
      <c r="C6421">
        <v>1</v>
      </c>
      <c r="D6421" s="1">
        <v>44094.747499999998</v>
      </c>
      <c r="E6421" t="s">
        <v>20038</v>
      </c>
      <c r="F6421" t="s">
        <v>442</v>
      </c>
      <c r="G6421" t="s">
        <v>20039</v>
      </c>
      <c r="H6421" t="s">
        <v>444</v>
      </c>
      <c r="I6421" t="s">
        <v>29</v>
      </c>
      <c r="J6421">
        <v>1</v>
      </c>
      <c r="K6421">
        <f>1-833-917-6111</f>
        <v>-7860</v>
      </c>
      <c r="L6421" t="s">
        <v>20040</v>
      </c>
      <c r="M6421" t="s">
        <v>20041</v>
      </c>
      <c r="N6421" t="s">
        <v>5354</v>
      </c>
      <c r="O6421" t="s">
        <v>28</v>
      </c>
      <c r="P6421" t="s">
        <v>2268</v>
      </c>
      <c r="Q6421">
        <v>46</v>
      </c>
      <c r="R6421">
        <v>-73.567300000000003</v>
      </c>
    </row>
    <row r="6422" spans="1:18" x14ac:dyDescent="0.2">
      <c r="A6422" t="s">
        <v>439</v>
      </c>
      <c r="B6422" t="s">
        <v>3094</v>
      </c>
      <c r="C6422">
        <v>1</v>
      </c>
      <c r="D6422" s="1">
        <v>44094.782361111109</v>
      </c>
      <c r="E6422" t="s">
        <v>20042</v>
      </c>
      <c r="F6422" t="s">
        <v>442</v>
      </c>
      <c r="G6422" t="s">
        <v>20043</v>
      </c>
      <c r="H6422" t="s">
        <v>444</v>
      </c>
      <c r="I6422" t="s">
        <v>29</v>
      </c>
      <c r="J6422">
        <v>1</v>
      </c>
      <c r="K6422">
        <f>1-833-917-6111</f>
        <v>-7860</v>
      </c>
      <c r="L6422" t="s">
        <v>20044</v>
      </c>
      <c r="M6422" t="s">
        <v>20045</v>
      </c>
      <c r="N6422" t="s">
        <v>5354</v>
      </c>
      <c r="O6422" t="s">
        <v>28</v>
      </c>
      <c r="P6422" t="s">
        <v>2268</v>
      </c>
      <c r="Q6422">
        <v>46</v>
      </c>
      <c r="R6422">
        <v>-73.567300000000003</v>
      </c>
    </row>
    <row r="6423" spans="1:18" x14ac:dyDescent="0.2">
      <c r="A6423" t="s">
        <v>2349</v>
      </c>
      <c r="B6423" t="s">
        <v>10634</v>
      </c>
      <c r="C6423">
        <v>49</v>
      </c>
      <c r="D6423" s="1">
        <v>44095.523414351854</v>
      </c>
      <c r="E6423" t="s">
        <v>20046</v>
      </c>
      <c r="F6423" t="s">
        <v>4584</v>
      </c>
      <c r="G6423" t="s">
        <v>20046</v>
      </c>
      <c r="H6423" t="s">
        <v>2353</v>
      </c>
      <c r="I6423" t="s">
        <v>24</v>
      </c>
      <c r="J6423">
        <v>49</v>
      </c>
      <c r="K6423">
        <f>49-800-100-2326</f>
        <v>-3177</v>
      </c>
      <c r="L6423" t="s">
        <v>20047</v>
      </c>
      <c r="M6423" t="s">
        <v>20048</v>
      </c>
      <c r="N6423">
        <v>26</v>
      </c>
      <c r="O6423" t="s">
        <v>134</v>
      </c>
      <c r="P6423" t="s">
        <v>292</v>
      </c>
      <c r="Q6423">
        <v>49</v>
      </c>
      <c r="R6423">
        <v>2.3678300000000001</v>
      </c>
    </row>
    <row r="6424" spans="1:18" x14ac:dyDescent="0.2">
      <c r="A6424" t="s">
        <v>439</v>
      </c>
      <c r="B6424" t="s">
        <v>3094</v>
      </c>
      <c r="C6424">
        <v>44</v>
      </c>
      <c r="D6424" s="1">
        <v>44095.554525462961</v>
      </c>
      <c r="E6424" t="s">
        <v>20049</v>
      </c>
      <c r="F6424" t="s">
        <v>442</v>
      </c>
      <c r="G6424" t="s">
        <v>20050</v>
      </c>
      <c r="H6424" t="s">
        <v>444</v>
      </c>
      <c r="I6424" t="s">
        <v>618</v>
      </c>
      <c r="J6424">
        <v>44</v>
      </c>
      <c r="K6424">
        <f>44-800-51-6735</f>
        <v>-7542</v>
      </c>
      <c r="L6424" t="s">
        <v>20051</v>
      </c>
      <c r="M6424" t="s">
        <v>20052</v>
      </c>
      <c r="N6424" t="s">
        <v>2475</v>
      </c>
      <c r="O6424" t="s">
        <v>28</v>
      </c>
      <c r="P6424" t="s">
        <v>2268</v>
      </c>
      <c r="Q6424">
        <v>46</v>
      </c>
      <c r="R6424">
        <v>-73.567300000000003</v>
      </c>
    </row>
    <row r="6425" spans="1:18" x14ac:dyDescent="0.2">
      <c r="A6425" t="s">
        <v>2233</v>
      </c>
      <c r="B6425" t="s">
        <v>2234</v>
      </c>
      <c r="C6425">
        <v>41</v>
      </c>
      <c r="D6425" s="1">
        <v>44095.579780092594</v>
      </c>
      <c r="E6425" t="s">
        <v>20053</v>
      </c>
      <c r="F6425" t="s">
        <v>2236</v>
      </c>
      <c r="G6425" t="s">
        <v>20053</v>
      </c>
      <c r="H6425" t="s">
        <v>2237</v>
      </c>
      <c r="I6425" t="s">
        <v>204</v>
      </c>
      <c r="J6425">
        <v>41</v>
      </c>
      <c r="K6425">
        <f>41-44-585-26-72</f>
        <v>-686</v>
      </c>
      <c r="L6425" t="s">
        <v>20054</v>
      </c>
      <c r="M6425" t="s">
        <v>20055</v>
      </c>
      <c r="N6425">
        <v>133</v>
      </c>
      <c r="O6425" t="s">
        <v>134</v>
      </c>
      <c r="P6425" t="s">
        <v>6188</v>
      </c>
      <c r="Q6425">
        <v>53</v>
      </c>
      <c r="R6425">
        <v>-6.2603099999999996</v>
      </c>
    </row>
    <row r="6426" spans="1:18" x14ac:dyDescent="0.2">
      <c r="A6426" t="s">
        <v>439</v>
      </c>
      <c r="B6426" t="s">
        <v>3094</v>
      </c>
      <c r="C6426">
        <v>1</v>
      </c>
      <c r="D6426" s="1">
        <v>44095.671238425923</v>
      </c>
      <c r="E6426" t="s">
        <v>20056</v>
      </c>
      <c r="F6426" t="s">
        <v>442</v>
      </c>
      <c r="G6426" t="s">
        <v>20057</v>
      </c>
      <c r="H6426" t="s">
        <v>444</v>
      </c>
      <c r="I6426" t="s">
        <v>29</v>
      </c>
      <c r="J6426">
        <v>1</v>
      </c>
      <c r="K6426">
        <f>1-888-224-9520</f>
        <v>-10631</v>
      </c>
      <c r="L6426" t="s">
        <v>20058</v>
      </c>
      <c r="M6426" t="s">
        <v>20059</v>
      </c>
      <c r="N6426" t="s">
        <v>5354</v>
      </c>
      <c r="O6426" t="s">
        <v>28</v>
      </c>
      <c r="P6426" t="s">
        <v>2268</v>
      </c>
      <c r="Q6426">
        <v>46</v>
      </c>
      <c r="R6426">
        <v>-73.567300000000003</v>
      </c>
    </row>
    <row r="6427" spans="1:18" x14ac:dyDescent="0.2">
      <c r="A6427" t="s">
        <v>439</v>
      </c>
      <c r="B6427" t="s">
        <v>3094</v>
      </c>
      <c r="C6427">
        <v>1</v>
      </c>
      <c r="D6427" s="1">
        <v>44095.775752314818</v>
      </c>
      <c r="E6427" t="s">
        <v>20060</v>
      </c>
      <c r="F6427" t="s">
        <v>442</v>
      </c>
      <c r="G6427" t="s">
        <v>20061</v>
      </c>
      <c r="H6427" t="s">
        <v>444</v>
      </c>
      <c r="I6427" t="s">
        <v>29</v>
      </c>
      <c r="J6427">
        <v>1</v>
      </c>
      <c r="K6427">
        <f>1-888-250-6804</f>
        <v>-7941</v>
      </c>
      <c r="L6427" t="s">
        <v>20062</v>
      </c>
      <c r="M6427" t="s">
        <v>20063</v>
      </c>
      <c r="N6427" t="s">
        <v>1645</v>
      </c>
      <c r="O6427" t="s">
        <v>28</v>
      </c>
      <c r="P6427" t="s">
        <v>2268</v>
      </c>
      <c r="Q6427">
        <v>46</v>
      </c>
      <c r="R6427">
        <v>-73.567300000000003</v>
      </c>
    </row>
    <row r="6428" spans="1:18" x14ac:dyDescent="0.2">
      <c r="A6428" t="s">
        <v>439</v>
      </c>
      <c r="B6428" t="s">
        <v>3094</v>
      </c>
      <c r="C6428">
        <v>1</v>
      </c>
      <c r="D6428" s="1">
        <v>44095.775902777779</v>
      </c>
      <c r="E6428" t="s">
        <v>20064</v>
      </c>
      <c r="F6428" t="s">
        <v>442</v>
      </c>
      <c r="G6428" t="s">
        <v>20065</v>
      </c>
      <c r="H6428" t="s">
        <v>444</v>
      </c>
      <c r="I6428" t="s">
        <v>29</v>
      </c>
      <c r="J6428">
        <v>1</v>
      </c>
      <c r="K6428">
        <f>1-888-854-7151</f>
        <v>-8892</v>
      </c>
      <c r="L6428" t="s">
        <v>20066</v>
      </c>
      <c r="M6428" t="s">
        <v>20067</v>
      </c>
      <c r="N6428" t="s">
        <v>3454</v>
      </c>
      <c r="O6428" t="s">
        <v>28</v>
      </c>
      <c r="P6428" t="s">
        <v>2268</v>
      </c>
      <c r="Q6428">
        <v>46</v>
      </c>
      <c r="R6428">
        <v>-73.567300000000003</v>
      </c>
    </row>
    <row r="6429" spans="1:18" x14ac:dyDescent="0.2">
      <c r="A6429" t="s">
        <v>663</v>
      </c>
      <c r="B6429" t="s">
        <v>454</v>
      </c>
      <c r="C6429">
        <v>1</v>
      </c>
      <c r="D6429" s="1">
        <v>44095.779861111114</v>
      </c>
      <c r="E6429" t="s">
        <v>20068</v>
      </c>
      <c r="F6429" t="s">
        <v>666</v>
      </c>
      <c r="G6429" t="s">
        <v>20068</v>
      </c>
      <c r="H6429" t="s">
        <v>667</v>
      </c>
      <c r="I6429" t="s">
        <v>29</v>
      </c>
      <c r="J6429">
        <v>1</v>
      </c>
      <c r="K6429">
        <f>1-855-460-6171</f>
        <v>-7485</v>
      </c>
      <c r="L6429" t="s">
        <v>20069</v>
      </c>
      <c r="M6429" t="s">
        <v>20070</v>
      </c>
      <c r="N6429">
        <v>144</v>
      </c>
      <c r="O6429" t="s">
        <v>134</v>
      </c>
      <c r="P6429" t="s">
        <v>461</v>
      </c>
      <c r="Q6429">
        <v>52</v>
      </c>
      <c r="R6429">
        <v>4.9391999999999996</v>
      </c>
    </row>
    <row r="6430" spans="1:18" x14ac:dyDescent="0.2">
      <c r="A6430" t="s">
        <v>439</v>
      </c>
      <c r="B6430" t="s">
        <v>3094</v>
      </c>
      <c r="C6430">
        <v>1</v>
      </c>
      <c r="D6430" s="1">
        <v>44095.853009259263</v>
      </c>
      <c r="E6430" t="s">
        <v>20071</v>
      </c>
      <c r="F6430" t="s">
        <v>442</v>
      </c>
      <c r="G6430" t="s">
        <v>20072</v>
      </c>
      <c r="H6430" t="s">
        <v>444</v>
      </c>
      <c r="I6430" t="s">
        <v>29</v>
      </c>
      <c r="J6430">
        <v>1</v>
      </c>
      <c r="K6430">
        <f>1-888-381-7209</f>
        <v>-8477</v>
      </c>
      <c r="L6430" t="s">
        <v>20073</v>
      </c>
      <c r="M6430" t="s">
        <v>20074</v>
      </c>
      <c r="N6430" t="s">
        <v>36</v>
      </c>
      <c r="O6430" t="s">
        <v>28</v>
      </c>
      <c r="P6430" t="s">
        <v>2268</v>
      </c>
      <c r="Q6430">
        <v>46</v>
      </c>
      <c r="R6430">
        <v>-73.567300000000003</v>
      </c>
    </row>
    <row r="6431" spans="1:18" x14ac:dyDescent="0.2">
      <c r="A6431" t="s">
        <v>2233</v>
      </c>
      <c r="B6431" t="s">
        <v>16955</v>
      </c>
      <c r="C6431">
        <v>1</v>
      </c>
      <c r="D6431" s="1">
        <v>44095.855046296296</v>
      </c>
      <c r="E6431" t="s">
        <v>20075</v>
      </c>
      <c r="F6431" t="s">
        <v>2236</v>
      </c>
      <c r="G6431" t="s">
        <v>20076</v>
      </c>
      <c r="H6431" t="s">
        <v>2237</v>
      </c>
      <c r="I6431" t="s">
        <v>29</v>
      </c>
      <c r="J6431">
        <v>1</v>
      </c>
      <c r="K6431">
        <f>1-855-789-393</f>
        <v>-2036</v>
      </c>
      <c r="L6431" t="s">
        <v>20077</v>
      </c>
      <c r="M6431" t="s">
        <v>20078</v>
      </c>
      <c r="N6431" t="s">
        <v>10633</v>
      </c>
      <c r="O6431" t="s">
        <v>28</v>
      </c>
      <c r="P6431" t="s">
        <v>16960</v>
      </c>
      <c r="Q6431">
        <v>38</v>
      </c>
      <c r="R6431">
        <v>99.999999000000003</v>
      </c>
    </row>
    <row r="6432" spans="1:18" x14ac:dyDescent="0.2">
      <c r="A6432" t="s">
        <v>2233</v>
      </c>
      <c r="B6432" t="s">
        <v>4672</v>
      </c>
      <c r="C6432">
        <v>1</v>
      </c>
      <c r="D6432" s="1">
        <v>44095.859467592592</v>
      </c>
      <c r="E6432" t="s">
        <v>20079</v>
      </c>
      <c r="F6432" t="s">
        <v>2236</v>
      </c>
      <c r="G6432" t="s">
        <v>20080</v>
      </c>
      <c r="H6432" t="s">
        <v>2237</v>
      </c>
      <c r="I6432" t="s">
        <v>29</v>
      </c>
      <c r="J6432">
        <v>1</v>
      </c>
      <c r="K6432">
        <f>1-855-789-393</f>
        <v>-2036</v>
      </c>
      <c r="L6432" t="s">
        <v>20081</v>
      </c>
      <c r="M6432" t="s">
        <v>20082</v>
      </c>
      <c r="N6432" t="s">
        <v>5354</v>
      </c>
      <c r="O6432" t="s">
        <v>28</v>
      </c>
      <c r="P6432" t="s">
        <v>782</v>
      </c>
      <c r="Q6432">
        <v>-34</v>
      </c>
      <c r="R6432">
        <v>99.999999000000003</v>
      </c>
    </row>
    <row r="6433" spans="1:18" x14ac:dyDescent="0.2">
      <c r="A6433" t="s">
        <v>439</v>
      </c>
      <c r="B6433" t="s">
        <v>3094</v>
      </c>
      <c r="C6433">
        <v>1</v>
      </c>
      <c r="D6433" s="1">
        <v>44095.879479166666</v>
      </c>
      <c r="E6433" t="s">
        <v>20083</v>
      </c>
      <c r="F6433" t="s">
        <v>442</v>
      </c>
      <c r="G6433" t="s">
        <v>20084</v>
      </c>
      <c r="H6433" t="s">
        <v>444</v>
      </c>
      <c r="I6433" t="s">
        <v>29</v>
      </c>
      <c r="J6433">
        <v>1</v>
      </c>
      <c r="K6433">
        <f>1-888-767-4722</f>
        <v>-6376</v>
      </c>
      <c r="L6433" t="s">
        <v>20085</v>
      </c>
      <c r="M6433" t="s">
        <v>20086</v>
      </c>
      <c r="N6433" t="s">
        <v>3441</v>
      </c>
      <c r="O6433" t="s">
        <v>28</v>
      </c>
      <c r="P6433" t="s">
        <v>2268</v>
      </c>
      <c r="Q6433">
        <v>46</v>
      </c>
      <c r="R6433">
        <v>-73.567300000000003</v>
      </c>
    </row>
    <row r="6434" spans="1:18" x14ac:dyDescent="0.2">
      <c r="A6434" t="s">
        <v>439</v>
      </c>
      <c r="B6434" t="s">
        <v>3094</v>
      </c>
      <c r="C6434">
        <v>1</v>
      </c>
      <c r="D6434" s="1">
        <v>44095.882418981484</v>
      </c>
      <c r="E6434" t="s">
        <v>20087</v>
      </c>
      <c r="F6434" t="s">
        <v>442</v>
      </c>
      <c r="G6434" t="s">
        <v>20088</v>
      </c>
      <c r="H6434" t="s">
        <v>444</v>
      </c>
      <c r="I6434" t="s">
        <v>29</v>
      </c>
      <c r="J6434">
        <v>1</v>
      </c>
      <c r="K6434">
        <f>1-888-413-7626</f>
        <v>-8926</v>
      </c>
      <c r="L6434" t="s">
        <v>20089</v>
      </c>
      <c r="M6434" t="s">
        <v>20090</v>
      </c>
      <c r="N6434" t="s">
        <v>36</v>
      </c>
      <c r="O6434" t="s">
        <v>28</v>
      </c>
      <c r="P6434" t="s">
        <v>2268</v>
      </c>
      <c r="Q6434">
        <v>46</v>
      </c>
      <c r="R6434">
        <v>-73.567300000000003</v>
      </c>
    </row>
    <row r="6435" spans="1:18" x14ac:dyDescent="0.2">
      <c r="A6435" t="s">
        <v>439</v>
      </c>
      <c r="B6435" t="s">
        <v>3094</v>
      </c>
      <c r="C6435">
        <v>1</v>
      </c>
      <c r="D6435" s="1">
        <v>44095.934872685182</v>
      </c>
      <c r="E6435" t="s">
        <v>20091</v>
      </c>
      <c r="F6435" t="s">
        <v>442</v>
      </c>
      <c r="G6435" t="s">
        <v>20092</v>
      </c>
      <c r="H6435" t="s">
        <v>444</v>
      </c>
      <c r="I6435" t="s">
        <v>29</v>
      </c>
      <c r="J6435">
        <v>1</v>
      </c>
      <c r="K6435">
        <f>1-888-525-713</f>
        <v>-2125</v>
      </c>
      <c r="L6435" t="s">
        <v>20093</v>
      </c>
      <c r="M6435" t="s">
        <v>20094</v>
      </c>
      <c r="N6435" t="s">
        <v>1645</v>
      </c>
      <c r="O6435" t="s">
        <v>28</v>
      </c>
      <c r="P6435" t="s">
        <v>2268</v>
      </c>
      <c r="Q6435">
        <v>46</v>
      </c>
      <c r="R6435">
        <v>-73.567300000000003</v>
      </c>
    </row>
    <row r="6436" spans="1:18" x14ac:dyDescent="0.2">
      <c r="A6436" t="s">
        <v>1200</v>
      </c>
      <c r="B6436" t="s">
        <v>2500</v>
      </c>
      <c r="C6436">
        <v>1</v>
      </c>
      <c r="D6436" s="1">
        <v>44095.984560185185</v>
      </c>
      <c r="E6436" t="s">
        <v>20095</v>
      </c>
      <c r="F6436" t="s">
        <v>1203</v>
      </c>
      <c r="G6436" t="s">
        <v>20096</v>
      </c>
      <c r="H6436" t="s">
        <v>1205</v>
      </c>
      <c r="I6436" t="s">
        <v>29</v>
      </c>
      <c r="J6436">
        <v>1</v>
      </c>
      <c r="K6436">
        <f>1-866-707-3465</f>
        <v>-5037</v>
      </c>
      <c r="L6436" t="s">
        <v>20097</v>
      </c>
      <c r="M6436" t="s">
        <v>20098</v>
      </c>
      <c r="N6436" t="s">
        <v>3441</v>
      </c>
      <c r="O6436" t="s">
        <v>134</v>
      </c>
      <c r="P6436" t="s">
        <v>2500</v>
      </c>
      <c r="Q6436">
        <v>1</v>
      </c>
      <c r="R6436">
        <v>99.999999000000003</v>
      </c>
    </row>
    <row r="6437" spans="1:18" x14ac:dyDescent="0.2">
      <c r="A6437" t="s">
        <v>439</v>
      </c>
      <c r="B6437" t="s">
        <v>5337</v>
      </c>
      <c r="C6437">
        <v>81</v>
      </c>
      <c r="D6437" s="1">
        <v>44096.277997685182</v>
      </c>
      <c r="E6437" t="s">
        <v>20099</v>
      </c>
      <c r="F6437" t="s">
        <v>442</v>
      </c>
      <c r="G6437" t="s">
        <v>20100</v>
      </c>
      <c r="H6437" t="s">
        <v>444</v>
      </c>
      <c r="I6437" t="s">
        <v>53</v>
      </c>
      <c r="J6437">
        <v>81</v>
      </c>
      <c r="K6437">
        <f>81-50-5534-9928</f>
        <v>-15431</v>
      </c>
      <c r="L6437" t="s">
        <v>20101</v>
      </c>
      <c r="M6437" t="s">
        <v>20102</v>
      </c>
      <c r="N6437" t="s">
        <v>2475</v>
      </c>
      <c r="O6437" t="s">
        <v>28</v>
      </c>
      <c r="P6437" t="s">
        <v>29</v>
      </c>
      <c r="Q6437">
        <v>38</v>
      </c>
      <c r="R6437">
        <v>-99.999999000000003</v>
      </c>
    </row>
    <row r="6438" spans="1:18" x14ac:dyDescent="0.2">
      <c r="A6438" t="s">
        <v>439</v>
      </c>
      <c r="B6438" t="s">
        <v>4321</v>
      </c>
      <c r="C6438">
        <v>1</v>
      </c>
      <c r="D6438" s="1">
        <v>44333.987013888887</v>
      </c>
      <c r="E6438" t="s">
        <v>20103</v>
      </c>
      <c r="F6438" t="s">
        <v>442</v>
      </c>
      <c r="G6438" t="s">
        <v>20104</v>
      </c>
      <c r="H6438" t="s">
        <v>444</v>
      </c>
      <c r="I6438" t="s">
        <v>29</v>
      </c>
      <c r="J6438">
        <v>1</v>
      </c>
      <c r="K6438">
        <f>1-844-855-686</f>
        <v>-2384</v>
      </c>
      <c r="L6438" t="s">
        <v>20105</v>
      </c>
      <c r="M6438" t="s">
        <v>20106</v>
      </c>
      <c r="N6438" t="s">
        <v>3441</v>
      </c>
      <c r="O6438" t="s">
        <v>28</v>
      </c>
      <c r="P6438" t="s">
        <v>29</v>
      </c>
      <c r="Q6438">
        <v>42</v>
      </c>
      <c r="R6438">
        <v>-87.629800000000003</v>
      </c>
    </row>
    <row r="6439" spans="1:18" x14ac:dyDescent="0.2">
      <c r="A6439" t="s">
        <v>439</v>
      </c>
      <c r="B6439" t="s">
        <v>3094</v>
      </c>
      <c r="C6439">
        <v>61</v>
      </c>
      <c r="D6439" s="1">
        <v>44096.278634259259</v>
      </c>
      <c r="E6439" t="s">
        <v>20107</v>
      </c>
      <c r="F6439" t="s">
        <v>442</v>
      </c>
      <c r="G6439" t="s">
        <v>20104</v>
      </c>
      <c r="H6439" t="s">
        <v>444</v>
      </c>
      <c r="I6439" t="s">
        <v>782</v>
      </c>
      <c r="J6439">
        <v>61</v>
      </c>
      <c r="K6439">
        <f>61-1800-5-886</f>
        <v>-2630</v>
      </c>
      <c r="L6439" t="s">
        <v>20108</v>
      </c>
      <c r="M6439" t="s">
        <v>20109</v>
      </c>
      <c r="N6439" t="s">
        <v>2475</v>
      </c>
      <c r="O6439" t="s">
        <v>28</v>
      </c>
      <c r="P6439" t="s">
        <v>2268</v>
      </c>
      <c r="Q6439">
        <v>46</v>
      </c>
      <c r="R6439">
        <v>-73.567300000000003</v>
      </c>
    </row>
    <row r="6440" spans="1:18" x14ac:dyDescent="0.2">
      <c r="A6440" t="s">
        <v>270</v>
      </c>
      <c r="B6440" t="s">
        <v>440</v>
      </c>
      <c r="C6440">
        <v>1</v>
      </c>
      <c r="D6440" s="1">
        <v>44149.121932870374</v>
      </c>
      <c r="E6440" t="s">
        <v>20110</v>
      </c>
      <c r="F6440" t="s">
        <v>273</v>
      </c>
      <c r="G6440" t="s">
        <v>20111</v>
      </c>
      <c r="H6440" t="s">
        <v>275</v>
      </c>
      <c r="I6440" t="s">
        <v>29</v>
      </c>
      <c r="J6440">
        <v>1</v>
      </c>
      <c r="K6440">
        <f>1-844-295-7564</f>
        <v>-8702</v>
      </c>
      <c r="L6440" t="s">
        <v>20112</v>
      </c>
      <c r="M6440" t="s">
        <v>20113</v>
      </c>
      <c r="N6440" t="s">
        <v>278</v>
      </c>
      <c r="O6440" t="s">
        <v>134</v>
      </c>
      <c r="P6440" t="s">
        <v>29</v>
      </c>
      <c r="Q6440">
        <v>39</v>
      </c>
      <c r="R6440">
        <v>-77.487399999999994</v>
      </c>
    </row>
    <row r="6441" spans="1:18" x14ac:dyDescent="0.2">
      <c r="A6441" t="s">
        <v>270</v>
      </c>
      <c r="B6441" t="s">
        <v>440</v>
      </c>
      <c r="C6441">
        <v>1</v>
      </c>
      <c r="D6441" s="1">
        <v>44140.779386574075</v>
      </c>
      <c r="E6441" t="s">
        <v>20114</v>
      </c>
      <c r="F6441" t="s">
        <v>273</v>
      </c>
      <c r="G6441" t="s">
        <v>20111</v>
      </c>
      <c r="H6441" t="s">
        <v>275</v>
      </c>
      <c r="I6441" t="s">
        <v>29</v>
      </c>
      <c r="J6441">
        <v>1</v>
      </c>
      <c r="K6441">
        <f>1-888-397-7606</f>
        <v>-8890</v>
      </c>
      <c r="L6441" t="s">
        <v>20115</v>
      </c>
      <c r="M6441" t="s">
        <v>20116</v>
      </c>
      <c r="N6441" t="s">
        <v>278</v>
      </c>
      <c r="O6441" t="s">
        <v>28</v>
      </c>
      <c r="P6441" t="s">
        <v>29</v>
      </c>
      <c r="Q6441">
        <v>39</v>
      </c>
      <c r="R6441">
        <v>-77.487399999999994</v>
      </c>
    </row>
    <row r="6442" spans="1:18" x14ac:dyDescent="0.2">
      <c r="A6442" t="s">
        <v>270</v>
      </c>
      <c r="B6442" t="s">
        <v>440</v>
      </c>
      <c r="C6442">
        <v>1</v>
      </c>
      <c r="D6442" s="1">
        <v>44134.748530092591</v>
      </c>
      <c r="E6442" t="s">
        <v>20117</v>
      </c>
      <c r="F6442" t="s">
        <v>273</v>
      </c>
      <c r="G6442" t="s">
        <v>20111</v>
      </c>
      <c r="H6442" t="s">
        <v>275</v>
      </c>
      <c r="I6442" t="s">
        <v>29</v>
      </c>
      <c r="J6442">
        <v>1</v>
      </c>
      <c r="K6442">
        <f>1-888-238-7465</f>
        <v>-8590</v>
      </c>
      <c r="L6442" t="s">
        <v>20118</v>
      </c>
      <c r="M6442" t="s">
        <v>20119</v>
      </c>
      <c r="N6442" t="s">
        <v>278</v>
      </c>
      <c r="O6442" t="s">
        <v>28</v>
      </c>
      <c r="P6442" t="s">
        <v>29</v>
      </c>
      <c r="Q6442">
        <v>39</v>
      </c>
      <c r="R6442">
        <v>-77.487399999999994</v>
      </c>
    </row>
    <row r="6443" spans="1:18" x14ac:dyDescent="0.2">
      <c r="A6443" t="s">
        <v>270</v>
      </c>
      <c r="B6443" t="s">
        <v>440</v>
      </c>
      <c r="C6443">
        <v>1</v>
      </c>
      <c r="D6443" s="1">
        <v>44113.779756944445</v>
      </c>
      <c r="E6443" t="s">
        <v>20120</v>
      </c>
      <c r="F6443" t="s">
        <v>273</v>
      </c>
      <c r="G6443" t="s">
        <v>20111</v>
      </c>
      <c r="H6443" t="s">
        <v>275</v>
      </c>
      <c r="I6443" t="s">
        <v>29</v>
      </c>
      <c r="J6443">
        <v>1</v>
      </c>
      <c r="K6443">
        <f>1-888-340-3989</f>
        <v>-5216</v>
      </c>
      <c r="L6443" t="s">
        <v>20121</v>
      </c>
      <c r="M6443" t="s">
        <v>20122</v>
      </c>
      <c r="N6443" t="s">
        <v>278</v>
      </c>
      <c r="O6443" t="s">
        <v>28</v>
      </c>
      <c r="P6443" t="s">
        <v>29</v>
      </c>
      <c r="Q6443">
        <v>39</v>
      </c>
      <c r="R6443">
        <v>-77.487399999999994</v>
      </c>
    </row>
    <row r="6444" spans="1:18" x14ac:dyDescent="0.2">
      <c r="A6444" t="s">
        <v>270</v>
      </c>
      <c r="B6444" t="s">
        <v>440</v>
      </c>
      <c r="C6444">
        <v>1</v>
      </c>
      <c r="D6444" s="1">
        <v>44112.78733796296</v>
      </c>
      <c r="E6444" t="s">
        <v>20123</v>
      </c>
      <c r="F6444" t="s">
        <v>273</v>
      </c>
      <c r="G6444" t="s">
        <v>20111</v>
      </c>
      <c r="H6444" t="s">
        <v>275</v>
      </c>
      <c r="I6444" t="s">
        <v>29</v>
      </c>
      <c r="J6444">
        <v>1</v>
      </c>
      <c r="K6444">
        <f>1-888-334-1270</f>
        <v>-2491</v>
      </c>
      <c r="L6444" t="s">
        <v>20124</v>
      </c>
      <c r="M6444" t="s">
        <v>20125</v>
      </c>
      <c r="N6444" t="s">
        <v>278</v>
      </c>
      <c r="O6444" t="s">
        <v>28</v>
      </c>
      <c r="P6444" t="s">
        <v>29</v>
      </c>
      <c r="Q6444">
        <v>39</v>
      </c>
      <c r="R6444">
        <v>-77.487399999999994</v>
      </c>
    </row>
    <row r="6445" spans="1:18" x14ac:dyDescent="0.2">
      <c r="A6445" t="s">
        <v>270</v>
      </c>
      <c r="B6445" t="s">
        <v>440</v>
      </c>
      <c r="C6445">
        <v>1</v>
      </c>
      <c r="D6445" s="1">
        <v>44105.864537037036</v>
      </c>
      <c r="E6445" t="s">
        <v>20126</v>
      </c>
      <c r="F6445" t="s">
        <v>273</v>
      </c>
      <c r="G6445" t="s">
        <v>20111</v>
      </c>
      <c r="H6445" t="s">
        <v>275</v>
      </c>
      <c r="I6445" t="s">
        <v>29</v>
      </c>
      <c r="J6445">
        <v>1</v>
      </c>
      <c r="K6445">
        <f>1-888-210-2036</f>
        <v>-3133</v>
      </c>
      <c r="L6445" t="s">
        <v>20127</v>
      </c>
      <c r="M6445" t="s">
        <v>20128</v>
      </c>
      <c r="N6445" t="s">
        <v>278</v>
      </c>
      <c r="O6445" t="s">
        <v>28</v>
      </c>
      <c r="P6445" t="s">
        <v>29</v>
      </c>
      <c r="Q6445">
        <v>39</v>
      </c>
      <c r="R6445">
        <v>-77.487399999999994</v>
      </c>
    </row>
    <row r="6446" spans="1:18" x14ac:dyDescent="0.2">
      <c r="A6446" t="s">
        <v>270</v>
      </c>
      <c r="B6446" t="s">
        <v>440</v>
      </c>
      <c r="C6446">
        <v>1</v>
      </c>
      <c r="D6446" s="1">
        <v>44103.83971064815</v>
      </c>
      <c r="E6446" t="s">
        <v>20129</v>
      </c>
      <c r="F6446" t="s">
        <v>273</v>
      </c>
      <c r="G6446" t="s">
        <v>20111</v>
      </c>
      <c r="H6446" t="s">
        <v>275</v>
      </c>
      <c r="I6446" t="s">
        <v>29</v>
      </c>
      <c r="J6446">
        <v>1</v>
      </c>
      <c r="K6446">
        <f>1-888-211-6160</f>
        <v>-7258</v>
      </c>
      <c r="L6446" t="s">
        <v>20130</v>
      </c>
      <c r="M6446" t="s">
        <v>20131</v>
      </c>
      <c r="N6446" t="s">
        <v>278</v>
      </c>
      <c r="O6446" t="s">
        <v>28</v>
      </c>
      <c r="P6446" t="s">
        <v>29</v>
      </c>
      <c r="Q6446">
        <v>39</v>
      </c>
      <c r="R6446">
        <v>-77.487399999999994</v>
      </c>
    </row>
    <row r="6447" spans="1:18" x14ac:dyDescent="0.2">
      <c r="A6447" t="s">
        <v>270</v>
      </c>
      <c r="B6447" t="s">
        <v>440</v>
      </c>
      <c r="C6447">
        <v>1</v>
      </c>
      <c r="D6447" s="1">
        <v>44103.839363425926</v>
      </c>
      <c r="E6447" t="s">
        <v>20132</v>
      </c>
      <c r="F6447" t="s">
        <v>273</v>
      </c>
      <c r="G6447" t="s">
        <v>20111</v>
      </c>
      <c r="H6447" t="s">
        <v>275</v>
      </c>
      <c r="I6447" t="s">
        <v>29</v>
      </c>
      <c r="J6447">
        <v>1</v>
      </c>
      <c r="K6447">
        <f>1-888-211-8144</f>
        <v>-9242</v>
      </c>
      <c r="L6447" t="s">
        <v>20133</v>
      </c>
      <c r="M6447" t="s">
        <v>20134</v>
      </c>
      <c r="N6447" t="s">
        <v>278</v>
      </c>
      <c r="O6447" t="s">
        <v>28</v>
      </c>
      <c r="P6447" t="s">
        <v>29</v>
      </c>
      <c r="Q6447">
        <v>39</v>
      </c>
      <c r="R6447">
        <v>-77.487399999999994</v>
      </c>
    </row>
    <row r="6448" spans="1:18" x14ac:dyDescent="0.2">
      <c r="A6448" t="s">
        <v>270</v>
      </c>
      <c r="B6448" t="s">
        <v>440</v>
      </c>
      <c r="C6448">
        <v>1</v>
      </c>
      <c r="D6448" s="1">
        <v>44102.82309027778</v>
      </c>
      <c r="E6448" t="s">
        <v>20135</v>
      </c>
      <c r="F6448" t="s">
        <v>273</v>
      </c>
      <c r="G6448" t="s">
        <v>20111</v>
      </c>
      <c r="H6448" t="s">
        <v>275</v>
      </c>
      <c r="I6448" t="s">
        <v>29</v>
      </c>
      <c r="J6448">
        <v>1</v>
      </c>
      <c r="K6448">
        <f>1-888-250-5625</f>
        <v>-6762</v>
      </c>
      <c r="L6448" t="s">
        <v>20136</v>
      </c>
      <c r="M6448" t="s">
        <v>20137</v>
      </c>
      <c r="N6448" t="s">
        <v>278</v>
      </c>
      <c r="O6448" t="s">
        <v>28</v>
      </c>
      <c r="P6448" t="s">
        <v>29</v>
      </c>
      <c r="Q6448">
        <v>39</v>
      </c>
      <c r="R6448">
        <v>-77.487399999999994</v>
      </c>
    </row>
    <row r="6449" spans="1:18" x14ac:dyDescent="0.2">
      <c r="A6449" t="s">
        <v>270</v>
      </c>
      <c r="B6449" t="s">
        <v>440</v>
      </c>
      <c r="C6449">
        <v>1</v>
      </c>
      <c r="D6449" s="1">
        <v>44102.822858796295</v>
      </c>
      <c r="E6449" t="s">
        <v>20138</v>
      </c>
      <c r="F6449" t="s">
        <v>273</v>
      </c>
      <c r="G6449" t="s">
        <v>20111</v>
      </c>
      <c r="H6449" t="s">
        <v>275</v>
      </c>
      <c r="I6449" t="s">
        <v>29</v>
      </c>
      <c r="J6449">
        <v>1</v>
      </c>
      <c r="K6449">
        <f>1-888-252-7514</f>
        <v>-8653</v>
      </c>
      <c r="L6449" t="s">
        <v>20139</v>
      </c>
      <c r="M6449" t="s">
        <v>20140</v>
      </c>
      <c r="N6449" t="s">
        <v>278</v>
      </c>
      <c r="O6449" t="s">
        <v>28</v>
      </c>
      <c r="P6449" t="s">
        <v>29</v>
      </c>
      <c r="Q6449">
        <v>39</v>
      </c>
      <c r="R6449">
        <v>-77.487399999999994</v>
      </c>
    </row>
    <row r="6450" spans="1:18" x14ac:dyDescent="0.2">
      <c r="A6450" t="s">
        <v>270</v>
      </c>
      <c r="B6450" t="s">
        <v>440</v>
      </c>
      <c r="C6450">
        <v>1</v>
      </c>
      <c r="D6450" s="1">
        <v>44099.358368055553</v>
      </c>
      <c r="E6450" t="s">
        <v>6055</v>
      </c>
      <c r="F6450" t="s">
        <v>273</v>
      </c>
      <c r="G6450" t="s">
        <v>20111</v>
      </c>
      <c r="H6450" t="s">
        <v>275</v>
      </c>
      <c r="I6450" t="s">
        <v>29</v>
      </c>
      <c r="J6450">
        <v>1</v>
      </c>
      <c r="K6450">
        <f>1-888-254-1267</f>
        <v>-2408</v>
      </c>
      <c r="L6450" t="s">
        <v>20141</v>
      </c>
      <c r="M6450" t="s">
        <v>20142</v>
      </c>
      <c r="N6450" t="s">
        <v>278</v>
      </c>
      <c r="O6450" t="s">
        <v>28</v>
      </c>
      <c r="P6450" t="s">
        <v>29</v>
      </c>
      <c r="Q6450">
        <v>39</v>
      </c>
      <c r="R6450">
        <v>-77.487399999999994</v>
      </c>
    </row>
    <row r="6451" spans="1:18" x14ac:dyDescent="0.2">
      <c r="A6451" t="s">
        <v>270</v>
      </c>
      <c r="B6451" t="s">
        <v>440</v>
      </c>
      <c r="C6451">
        <v>1</v>
      </c>
      <c r="D6451" s="1">
        <v>44097.464375000003</v>
      </c>
      <c r="E6451" t="s">
        <v>20143</v>
      </c>
      <c r="F6451" t="s">
        <v>273</v>
      </c>
      <c r="G6451" t="s">
        <v>20111</v>
      </c>
      <c r="H6451" t="s">
        <v>275</v>
      </c>
      <c r="I6451" t="s">
        <v>29</v>
      </c>
      <c r="J6451">
        <v>1</v>
      </c>
      <c r="K6451">
        <f>1-888-229-7472</f>
        <v>-8588</v>
      </c>
      <c r="L6451" t="s">
        <v>20144</v>
      </c>
      <c r="M6451" t="s">
        <v>20145</v>
      </c>
      <c r="N6451" t="s">
        <v>278</v>
      </c>
      <c r="O6451" t="s">
        <v>28</v>
      </c>
      <c r="P6451" t="s">
        <v>29</v>
      </c>
      <c r="Q6451">
        <v>39</v>
      </c>
      <c r="R6451">
        <v>-77.487399999999994</v>
      </c>
    </row>
    <row r="6452" spans="1:18" x14ac:dyDescent="0.2">
      <c r="A6452" t="s">
        <v>270</v>
      </c>
      <c r="B6452" t="s">
        <v>440</v>
      </c>
      <c r="C6452">
        <v>1</v>
      </c>
      <c r="D6452" s="1">
        <v>44096.837361111109</v>
      </c>
      <c r="E6452" t="s">
        <v>20146</v>
      </c>
      <c r="F6452" t="s">
        <v>273</v>
      </c>
      <c r="G6452" t="s">
        <v>20111</v>
      </c>
      <c r="H6452" t="s">
        <v>275</v>
      </c>
      <c r="I6452" t="s">
        <v>29</v>
      </c>
      <c r="J6452">
        <v>1</v>
      </c>
      <c r="K6452">
        <f>1-888-257-7505</f>
        <v>-8649</v>
      </c>
      <c r="L6452" t="s">
        <v>20147</v>
      </c>
      <c r="M6452" t="s">
        <v>20148</v>
      </c>
      <c r="N6452" t="s">
        <v>278</v>
      </c>
      <c r="O6452" t="s">
        <v>28</v>
      </c>
      <c r="P6452" t="s">
        <v>29</v>
      </c>
      <c r="Q6452">
        <v>39</v>
      </c>
      <c r="R6452">
        <v>-77.487399999999994</v>
      </c>
    </row>
    <row r="6453" spans="1:18" x14ac:dyDescent="0.2">
      <c r="A6453" t="s">
        <v>270</v>
      </c>
      <c r="B6453" t="s">
        <v>440</v>
      </c>
      <c r="C6453">
        <v>1</v>
      </c>
      <c r="D6453" s="1">
        <v>44096.366678240738</v>
      </c>
      <c r="E6453" t="s">
        <v>20149</v>
      </c>
      <c r="F6453" t="s">
        <v>273</v>
      </c>
      <c r="G6453" t="s">
        <v>20111</v>
      </c>
      <c r="H6453" t="s">
        <v>275</v>
      </c>
      <c r="I6453" t="s">
        <v>29</v>
      </c>
      <c r="J6453">
        <v>1</v>
      </c>
      <c r="K6453">
        <f>1-844-309-2655</f>
        <v>-3807</v>
      </c>
      <c r="L6453" t="s">
        <v>20150</v>
      </c>
      <c r="M6453" t="s">
        <v>20151</v>
      </c>
      <c r="N6453" t="s">
        <v>278</v>
      </c>
      <c r="O6453" t="s">
        <v>28</v>
      </c>
      <c r="P6453" t="s">
        <v>29</v>
      </c>
      <c r="Q6453">
        <v>39</v>
      </c>
      <c r="R6453">
        <v>-77.487399999999994</v>
      </c>
    </row>
    <row r="6454" spans="1:18" x14ac:dyDescent="0.2">
      <c r="A6454" t="s">
        <v>20152</v>
      </c>
      <c r="B6454" t="s">
        <v>20153</v>
      </c>
      <c r="C6454">
        <v>1</v>
      </c>
      <c r="D6454" s="1">
        <v>44096.381180555552</v>
      </c>
      <c r="E6454" t="s">
        <v>20154</v>
      </c>
      <c r="F6454" t="s">
        <v>20155</v>
      </c>
      <c r="G6454" t="s">
        <v>20156</v>
      </c>
      <c r="H6454" t="s">
        <v>20157</v>
      </c>
      <c r="I6454" t="s">
        <v>29</v>
      </c>
      <c r="J6454">
        <v>1</v>
      </c>
      <c r="K6454">
        <f>1-888-984-4462</f>
        <v>-6333</v>
      </c>
      <c r="L6454" t="s">
        <v>20158</v>
      </c>
      <c r="M6454" t="s">
        <v>20159</v>
      </c>
      <c r="N6454" t="s">
        <v>20160</v>
      </c>
      <c r="O6454" t="s">
        <v>134</v>
      </c>
      <c r="P6454" t="s">
        <v>618</v>
      </c>
      <c r="Q6454">
        <v>53</v>
      </c>
      <c r="R6454">
        <v>-0.58250000000000002</v>
      </c>
    </row>
    <row r="6455" spans="1:18" x14ac:dyDescent="0.2">
      <c r="A6455" t="s">
        <v>6287</v>
      </c>
      <c r="B6455" t="s">
        <v>20161</v>
      </c>
      <c r="C6455">
        <v>1</v>
      </c>
      <c r="D6455" s="1">
        <v>44096.381412037037</v>
      </c>
      <c r="E6455" t="s">
        <v>20162</v>
      </c>
      <c r="F6455" t="s">
        <v>20163</v>
      </c>
      <c r="G6455" t="s">
        <v>20164</v>
      </c>
      <c r="H6455" t="s">
        <v>6289</v>
      </c>
      <c r="I6455" t="s">
        <v>29</v>
      </c>
      <c r="J6455">
        <v>1</v>
      </c>
      <c r="K6455">
        <f>1-888-984-4462</f>
        <v>-6333</v>
      </c>
      <c r="L6455" t="s">
        <v>20165</v>
      </c>
      <c r="M6455" t="s">
        <v>20166</v>
      </c>
      <c r="N6455" t="s">
        <v>5468</v>
      </c>
      <c r="O6455" t="s">
        <v>28</v>
      </c>
      <c r="P6455" t="s">
        <v>5789</v>
      </c>
      <c r="Q6455">
        <v>19</v>
      </c>
      <c r="R6455">
        <v>73.006799999999998</v>
      </c>
    </row>
    <row r="6456" spans="1:18" x14ac:dyDescent="0.2">
      <c r="A6456" t="s">
        <v>1200</v>
      </c>
      <c r="B6456" t="s">
        <v>1201</v>
      </c>
      <c r="C6456">
        <v>1</v>
      </c>
      <c r="D6456" s="1">
        <v>44096.382384259261</v>
      </c>
      <c r="E6456" t="s">
        <v>20167</v>
      </c>
      <c r="F6456" t="s">
        <v>1203</v>
      </c>
      <c r="G6456" t="s">
        <v>20168</v>
      </c>
      <c r="H6456" t="s">
        <v>1205</v>
      </c>
      <c r="I6456" t="s">
        <v>29</v>
      </c>
      <c r="J6456">
        <v>1</v>
      </c>
      <c r="K6456">
        <f>1-888-984-4462</f>
        <v>-6333</v>
      </c>
      <c r="L6456" t="s">
        <v>20169</v>
      </c>
      <c r="M6456" t="s">
        <v>20170</v>
      </c>
      <c r="N6456" t="s">
        <v>5354</v>
      </c>
      <c r="O6456" t="s">
        <v>134</v>
      </c>
      <c r="P6456" t="s">
        <v>29</v>
      </c>
      <c r="Q6456">
        <v>34</v>
      </c>
      <c r="R6456">
        <v>-99.999999000000003</v>
      </c>
    </row>
    <row r="6457" spans="1:18" x14ac:dyDescent="0.2">
      <c r="A6457" t="s">
        <v>663</v>
      </c>
      <c r="B6457" t="s">
        <v>4281</v>
      </c>
      <c r="C6457">
        <v>1</v>
      </c>
      <c r="D6457" s="1">
        <v>44096.395243055558</v>
      </c>
      <c r="E6457" t="s">
        <v>20171</v>
      </c>
      <c r="F6457" t="s">
        <v>666</v>
      </c>
      <c r="G6457" t="s">
        <v>20171</v>
      </c>
      <c r="H6457" t="s">
        <v>667</v>
      </c>
      <c r="I6457" t="s">
        <v>29</v>
      </c>
      <c r="J6457">
        <v>1</v>
      </c>
      <c r="K6457">
        <f>1-844-309-2066</f>
        <v>-3218</v>
      </c>
      <c r="L6457" t="s">
        <v>20172</v>
      </c>
      <c r="M6457" t="s">
        <v>20173</v>
      </c>
      <c r="N6457">
        <v>105</v>
      </c>
      <c r="O6457" t="s">
        <v>134</v>
      </c>
      <c r="P6457" t="s">
        <v>24</v>
      </c>
      <c r="Q6457">
        <v>50</v>
      </c>
      <c r="R6457">
        <v>8.6843000000000004</v>
      </c>
    </row>
    <row r="6458" spans="1:18" x14ac:dyDescent="0.2">
      <c r="A6458" t="s">
        <v>2349</v>
      </c>
      <c r="B6458" t="s">
        <v>10634</v>
      </c>
      <c r="C6458">
        <v>49</v>
      </c>
      <c r="D6458" s="1">
        <v>44096.455081018517</v>
      </c>
      <c r="E6458" t="s">
        <v>20174</v>
      </c>
      <c r="F6458" t="s">
        <v>4584</v>
      </c>
      <c r="G6458" t="s">
        <v>20174</v>
      </c>
      <c r="H6458" t="s">
        <v>2353</v>
      </c>
      <c r="I6458" t="s">
        <v>24</v>
      </c>
      <c r="J6458">
        <v>49</v>
      </c>
      <c r="K6458">
        <f>49-800-100-2326</f>
        <v>-3177</v>
      </c>
      <c r="L6458" t="s">
        <v>20175</v>
      </c>
      <c r="M6458" t="s">
        <v>20176</v>
      </c>
      <c r="N6458">
        <v>124</v>
      </c>
      <c r="O6458" t="s">
        <v>134</v>
      </c>
      <c r="P6458" t="s">
        <v>292</v>
      </c>
      <c r="Q6458">
        <v>49</v>
      </c>
      <c r="R6458">
        <v>2.3678300000000001</v>
      </c>
    </row>
    <row r="6459" spans="1:18" x14ac:dyDescent="0.2">
      <c r="A6459" t="s">
        <v>663</v>
      </c>
      <c r="B6459" t="s">
        <v>4281</v>
      </c>
      <c r="C6459">
        <v>43</v>
      </c>
      <c r="D6459" s="1">
        <v>44096.530532407407</v>
      </c>
      <c r="E6459" t="s">
        <v>20177</v>
      </c>
      <c r="F6459" t="s">
        <v>666</v>
      </c>
      <c r="G6459" t="s">
        <v>20177</v>
      </c>
      <c r="H6459" t="s">
        <v>667</v>
      </c>
      <c r="I6459" t="s">
        <v>3432</v>
      </c>
      <c r="J6459">
        <v>43</v>
      </c>
      <c r="K6459">
        <f>43-800-90006</f>
        <v>-90763</v>
      </c>
      <c r="L6459" t="s">
        <v>20178</v>
      </c>
      <c r="M6459" t="s">
        <v>20179</v>
      </c>
      <c r="N6459">
        <v>69</v>
      </c>
      <c r="O6459" t="s">
        <v>134</v>
      </c>
      <c r="P6459" t="s">
        <v>24</v>
      </c>
      <c r="Q6459">
        <v>50</v>
      </c>
      <c r="R6459">
        <v>8.6843000000000004</v>
      </c>
    </row>
    <row r="6460" spans="1:18" x14ac:dyDescent="0.2">
      <c r="A6460" t="s">
        <v>2233</v>
      </c>
      <c r="B6460" t="s">
        <v>2234</v>
      </c>
      <c r="C6460">
        <v>31</v>
      </c>
      <c r="D6460" s="1">
        <v>44096.553090277775</v>
      </c>
      <c r="E6460" t="s">
        <v>20180</v>
      </c>
      <c r="F6460" t="s">
        <v>7023</v>
      </c>
      <c r="G6460" t="s">
        <v>20180</v>
      </c>
      <c r="H6460" t="s">
        <v>2237</v>
      </c>
      <c r="I6460" t="s">
        <v>461</v>
      </c>
      <c r="J6460">
        <v>31</v>
      </c>
      <c r="K6460">
        <f>31-30-3690457</f>
        <v>-3690456</v>
      </c>
      <c r="L6460" t="s">
        <v>20181</v>
      </c>
      <c r="M6460" t="s">
        <v>20182</v>
      </c>
      <c r="N6460">
        <v>25</v>
      </c>
      <c r="O6460" t="s">
        <v>134</v>
      </c>
      <c r="P6460" t="s">
        <v>6188</v>
      </c>
      <c r="Q6460">
        <v>53</v>
      </c>
      <c r="R6460">
        <v>-6.2603099999999996</v>
      </c>
    </row>
    <row r="6461" spans="1:18" x14ac:dyDescent="0.2">
      <c r="A6461" t="s">
        <v>2349</v>
      </c>
      <c r="B6461" t="s">
        <v>20183</v>
      </c>
      <c r="C6461">
        <v>49</v>
      </c>
      <c r="D6461" s="1">
        <v>44096.587175925924</v>
      </c>
      <c r="E6461" t="s">
        <v>20184</v>
      </c>
      <c r="F6461" t="s">
        <v>2352</v>
      </c>
      <c r="G6461" t="s">
        <v>20184</v>
      </c>
      <c r="H6461" t="s">
        <v>2353</v>
      </c>
      <c r="I6461" t="s">
        <v>24</v>
      </c>
      <c r="J6461">
        <v>49</v>
      </c>
      <c r="K6461">
        <f>49-800-100-2326</f>
        <v>-3177</v>
      </c>
      <c r="L6461" t="s">
        <v>20185</v>
      </c>
      <c r="M6461" t="s">
        <v>20186</v>
      </c>
      <c r="N6461">
        <v>42</v>
      </c>
      <c r="O6461" t="s">
        <v>134</v>
      </c>
      <c r="P6461" t="s">
        <v>292</v>
      </c>
      <c r="Q6461">
        <v>49</v>
      </c>
      <c r="R6461">
        <v>2.3660999999999999</v>
      </c>
    </row>
    <row r="6462" spans="1:18" x14ac:dyDescent="0.2">
      <c r="A6462" t="s">
        <v>439</v>
      </c>
      <c r="B6462" t="s">
        <v>3094</v>
      </c>
      <c r="C6462">
        <v>1</v>
      </c>
      <c r="D6462" s="1">
        <v>44096.680185185185</v>
      </c>
      <c r="E6462" t="s">
        <v>20187</v>
      </c>
      <c r="F6462" t="s">
        <v>442</v>
      </c>
      <c r="G6462" t="s">
        <v>20188</v>
      </c>
      <c r="H6462" t="s">
        <v>444</v>
      </c>
      <c r="I6462" t="s">
        <v>29</v>
      </c>
      <c r="J6462">
        <v>1</v>
      </c>
      <c r="K6462">
        <f>1-888-308-4615</f>
        <v>-5810</v>
      </c>
      <c r="L6462" t="s">
        <v>20189</v>
      </c>
      <c r="M6462" t="s">
        <v>20190</v>
      </c>
      <c r="N6462" t="s">
        <v>5354</v>
      </c>
      <c r="O6462" t="s">
        <v>28</v>
      </c>
      <c r="P6462" t="s">
        <v>2268</v>
      </c>
      <c r="Q6462">
        <v>46</v>
      </c>
      <c r="R6462">
        <v>-73.567300000000003</v>
      </c>
    </row>
    <row r="6463" spans="1:18" x14ac:dyDescent="0.2">
      <c r="A6463" t="s">
        <v>439</v>
      </c>
      <c r="B6463" t="s">
        <v>3094</v>
      </c>
      <c r="C6463">
        <v>1</v>
      </c>
      <c r="D6463" s="1">
        <v>44096.709745370368</v>
      </c>
      <c r="E6463" t="s">
        <v>20191</v>
      </c>
      <c r="F6463" t="s">
        <v>442</v>
      </c>
      <c r="G6463" t="s">
        <v>20192</v>
      </c>
      <c r="H6463" t="s">
        <v>444</v>
      </c>
      <c r="I6463" t="s">
        <v>29</v>
      </c>
      <c r="J6463">
        <v>1</v>
      </c>
      <c r="K6463">
        <f>1-888-308-4615</f>
        <v>-5810</v>
      </c>
      <c r="L6463" t="s">
        <v>20193</v>
      </c>
      <c r="M6463" t="s">
        <v>20194</v>
      </c>
      <c r="N6463" t="s">
        <v>5354</v>
      </c>
      <c r="O6463" t="s">
        <v>28</v>
      </c>
      <c r="P6463" t="s">
        <v>2268</v>
      </c>
      <c r="Q6463">
        <v>46</v>
      </c>
      <c r="R6463">
        <v>-73.567300000000003</v>
      </c>
    </row>
    <row r="6464" spans="1:18" x14ac:dyDescent="0.2">
      <c r="A6464" t="s">
        <v>439</v>
      </c>
      <c r="B6464" t="s">
        <v>3094</v>
      </c>
      <c r="C6464">
        <v>1</v>
      </c>
      <c r="D6464" s="1">
        <v>44096.751087962963</v>
      </c>
      <c r="E6464" t="s">
        <v>20195</v>
      </c>
      <c r="F6464" t="s">
        <v>442</v>
      </c>
      <c r="G6464" t="s">
        <v>20196</v>
      </c>
      <c r="H6464" t="s">
        <v>444</v>
      </c>
      <c r="I6464" t="s">
        <v>29</v>
      </c>
      <c r="J6464">
        <v>1</v>
      </c>
      <c r="K6464">
        <f>1-888-375-1127</f>
        <v>-2389</v>
      </c>
      <c r="L6464" t="s">
        <v>20197</v>
      </c>
      <c r="M6464" t="s">
        <v>20198</v>
      </c>
      <c r="N6464" t="s">
        <v>1645</v>
      </c>
      <c r="O6464" t="s">
        <v>28</v>
      </c>
      <c r="P6464" t="s">
        <v>2268</v>
      </c>
      <c r="Q6464">
        <v>46</v>
      </c>
      <c r="R6464">
        <v>-73.567300000000003</v>
      </c>
    </row>
    <row r="6465" spans="1:18" x14ac:dyDescent="0.2">
      <c r="A6465" t="s">
        <v>675</v>
      </c>
      <c r="B6465" t="s">
        <v>1412</v>
      </c>
      <c r="C6465">
        <v>1</v>
      </c>
      <c r="D6465" s="1">
        <v>44096.820243055554</v>
      </c>
      <c r="E6465" t="s">
        <v>20199</v>
      </c>
      <c r="F6465" t="s">
        <v>678</v>
      </c>
      <c r="G6465" t="s">
        <v>20200</v>
      </c>
      <c r="H6465" t="s">
        <v>680</v>
      </c>
      <c r="I6465" t="s">
        <v>29</v>
      </c>
      <c r="J6465">
        <v>1</v>
      </c>
      <c r="K6465">
        <f>1-855-944-234</f>
        <v>-2032</v>
      </c>
      <c r="L6465" t="s">
        <v>20201</v>
      </c>
      <c r="M6465" t="s">
        <v>20202</v>
      </c>
      <c r="N6465" t="s">
        <v>452</v>
      </c>
      <c r="O6465" t="s">
        <v>28</v>
      </c>
      <c r="P6465" t="s">
        <v>29</v>
      </c>
      <c r="Q6465">
        <v>41</v>
      </c>
      <c r="R6465">
        <v>-74.172399999999996</v>
      </c>
    </row>
    <row r="6466" spans="1:18" x14ac:dyDescent="0.2">
      <c r="A6466" t="s">
        <v>675</v>
      </c>
      <c r="B6466" t="s">
        <v>1412</v>
      </c>
      <c r="C6466">
        <v>1</v>
      </c>
      <c r="D6466" s="1">
        <v>44096.768900462965</v>
      </c>
      <c r="E6466" t="s">
        <v>20203</v>
      </c>
      <c r="F6466" t="s">
        <v>678</v>
      </c>
      <c r="G6466" t="s">
        <v>20200</v>
      </c>
      <c r="H6466" t="s">
        <v>680</v>
      </c>
      <c r="I6466" t="s">
        <v>29</v>
      </c>
      <c r="J6466">
        <v>1</v>
      </c>
      <c r="K6466">
        <f>1-855-944-234</f>
        <v>-2032</v>
      </c>
      <c r="L6466" t="s">
        <v>20204</v>
      </c>
      <c r="M6466" t="s">
        <v>20205</v>
      </c>
      <c r="N6466" t="s">
        <v>452</v>
      </c>
      <c r="O6466" t="s">
        <v>28</v>
      </c>
      <c r="P6466" t="s">
        <v>29</v>
      </c>
      <c r="Q6466">
        <v>41</v>
      </c>
      <c r="R6466">
        <v>-74.172399999999996</v>
      </c>
    </row>
    <row r="6467" spans="1:18" x14ac:dyDescent="0.2">
      <c r="A6467" t="s">
        <v>663</v>
      </c>
      <c r="B6467" t="s">
        <v>664</v>
      </c>
      <c r="C6467">
        <v>1</v>
      </c>
      <c r="D6467" s="1">
        <v>44096.780648148146</v>
      </c>
      <c r="E6467" t="s">
        <v>20206</v>
      </c>
      <c r="F6467" t="s">
        <v>2495</v>
      </c>
      <c r="G6467" t="s">
        <v>20207</v>
      </c>
      <c r="H6467" t="s">
        <v>667</v>
      </c>
      <c r="I6467" t="s">
        <v>29</v>
      </c>
      <c r="J6467">
        <v>1</v>
      </c>
      <c r="K6467">
        <f>1-888-319-2745</f>
        <v>-3951</v>
      </c>
      <c r="L6467" t="s">
        <v>20208</v>
      </c>
      <c r="M6467" t="s">
        <v>20209</v>
      </c>
      <c r="N6467" t="s">
        <v>1645</v>
      </c>
      <c r="O6467" t="s">
        <v>28</v>
      </c>
      <c r="P6467" t="s">
        <v>29</v>
      </c>
      <c r="Q6467">
        <v>37</v>
      </c>
      <c r="R6467">
        <v>-99.999999000000003</v>
      </c>
    </row>
    <row r="6468" spans="1:18" x14ac:dyDescent="0.2">
      <c r="A6468" t="s">
        <v>439</v>
      </c>
      <c r="B6468" t="s">
        <v>3094</v>
      </c>
      <c r="C6468">
        <v>1</v>
      </c>
      <c r="D6468" s="1">
        <v>44096.793680555558</v>
      </c>
      <c r="E6468" t="s">
        <v>20210</v>
      </c>
      <c r="F6468" t="s">
        <v>442</v>
      </c>
      <c r="G6468" t="s">
        <v>20211</v>
      </c>
      <c r="H6468" t="s">
        <v>444</v>
      </c>
      <c r="I6468" t="s">
        <v>29</v>
      </c>
      <c r="J6468">
        <v>1</v>
      </c>
      <c r="K6468">
        <f>1-888-375-1127</f>
        <v>-2389</v>
      </c>
      <c r="L6468" t="s">
        <v>20212</v>
      </c>
      <c r="M6468" t="s">
        <v>20213</v>
      </c>
      <c r="N6468" t="s">
        <v>5354</v>
      </c>
      <c r="O6468" t="s">
        <v>28</v>
      </c>
      <c r="P6468" t="s">
        <v>2268</v>
      </c>
      <c r="Q6468">
        <v>46</v>
      </c>
      <c r="R6468">
        <v>-73.567300000000003</v>
      </c>
    </row>
    <row r="6469" spans="1:18" x14ac:dyDescent="0.2">
      <c r="A6469" t="s">
        <v>1637</v>
      </c>
      <c r="B6469" t="s">
        <v>5740</v>
      </c>
      <c r="C6469">
        <v>1</v>
      </c>
      <c r="D6469" s="1">
        <v>44143.837129629632</v>
      </c>
      <c r="E6469" t="s">
        <v>20214</v>
      </c>
      <c r="F6469" t="s">
        <v>5753</v>
      </c>
      <c r="G6469" t="s">
        <v>20215</v>
      </c>
      <c r="H6469" t="s">
        <v>1642</v>
      </c>
      <c r="I6469" t="s">
        <v>29</v>
      </c>
      <c r="J6469">
        <v>1</v>
      </c>
      <c r="K6469">
        <f>1-888-383-139</f>
        <v>-1409</v>
      </c>
      <c r="L6469" t="s">
        <v>20216</v>
      </c>
      <c r="M6469" t="s">
        <v>20217</v>
      </c>
      <c r="N6469" t="s">
        <v>36</v>
      </c>
      <c r="O6469" t="s">
        <v>134</v>
      </c>
      <c r="P6469" t="s">
        <v>292</v>
      </c>
      <c r="Q6469">
        <v>49</v>
      </c>
      <c r="R6469">
        <v>2.3985099999999999</v>
      </c>
    </row>
    <row r="6470" spans="1:18" x14ac:dyDescent="0.2">
      <c r="A6470" t="s">
        <v>1637</v>
      </c>
      <c r="B6470" t="s">
        <v>5740</v>
      </c>
      <c r="C6470">
        <v>1</v>
      </c>
      <c r="D6470" s="1">
        <v>44110.908148148148</v>
      </c>
      <c r="E6470" t="s">
        <v>20218</v>
      </c>
      <c r="F6470" t="s">
        <v>5753</v>
      </c>
      <c r="G6470" t="s">
        <v>20215</v>
      </c>
      <c r="H6470" t="s">
        <v>1642</v>
      </c>
      <c r="I6470" t="s">
        <v>29</v>
      </c>
      <c r="J6470">
        <v>1</v>
      </c>
      <c r="K6470">
        <f>1-888-835-2360</f>
        <v>-4082</v>
      </c>
      <c r="L6470" t="s">
        <v>20219</v>
      </c>
      <c r="M6470" t="s">
        <v>20220</v>
      </c>
      <c r="N6470" t="s">
        <v>1645</v>
      </c>
      <c r="O6470" t="s">
        <v>134</v>
      </c>
      <c r="P6470" t="s">
        <v>292</v>
      </c>
      <c r="Q6470">
        <v>49</v>
      </c>
      <c r="R6470">
        <v>2.3985099999999999</v>
      </c>
    </row>
    <row r="6471" spans="1:18" x14ac:dyDescent="0.2">
      <c r="A6471" t="s">
        <v>1637</v>
      </c>
      <c r="B6471" t="s">
        <v>5740</v>
      </c>
      <c r="C6471">
        <v>1</v>
      </c>
      <c r="D6471" s="1">
        <v>44096.812962962962</v>
      </c>
      <c r="E6471" t="s">
        <v>20221</v>
      </c>
      <c r="F6471" t="s">
        <v>5753</v>
      </c>
      <c r="G6471" t="s">
        <v>20215</v>
      </c>
      <c r="H6471" t="s">
        <v>1642</v>
      </c>
      <c r="I6471" t="s">
        <v>29</v>
      </c>
      <c r="J6471">
        <v>1</v>
      </c>
      <c r="K6471">
        <f>1-888-465-690</f>
        <v>-2042</v>
      </c>
      <c r="L6471" t="s">
        <v>20222</v>
      </c>
      <c r="M6471" t="s">
        <v>20223</v>
      </c>
      <c r="N6471" t="s">
        <v>36</v>
      </c>
      <c r="O6471" t="s">
        <v>134</v>
      </c>
      <c r="P6471" t="s">
        <v>292</v>
      </c>
      <c r="Q6471">
        <v>49</v>
      </c>
      <c r="R6471">
        <v>2.3985099999999999</v>
      </c>
    </row>
    <row r="6472" spans="1:18" x14ac:dyDescent="0.2">
      <c r="A6472" t="s">
        <v>439</v>
      </c>
      <c r="B6472" t="s">
        <v>3094</v>
      </c>
      <c r="C6472">
        <v>1</v>
      </c>
      <c r="D6472" s="1">
        <v>44096.814363425925</v>
      </c>
      <c r="E6472" t="s">
        <v>20224</v>
      </c>
      <c r="F6472" t="s">
        <v>442</v>
      </c>
      <c r="G6472" t="s">
        <v>20225</v>
      </c>
      <c r="H6472" t="s">
        <v>444</v>
      </c>
      <c r="I6472" t="s">
        <v>29</v>
      </c>
      <c r="J6472">
        <v>1</v>
      </c>
      <c r="K6472">
        <f>1-888-375-1127</f>
        <v>-2389</v>
      </c>
      <c r="L6472" t="s">
        <v>20226</v>
      </c>
      <c r="M6472" t="s">
        <v>20227</v>
      </c>
      <c r="N6472" t="s">
        <v>1645</v>
      </c>
      <c r="O6472" t="s">
        <v>28</v>
      </c>
      <c r="P6472" t="s">
        <v>2268</v>
      </c>
      <c r="Q6472">
        <v>46</v>
      </c>
      <c r="R6472">
        <v>-73.567300000000003</v>
      </c>
    </row>
    <row r="6473" spans="1:18" x14ac:dyDescent="0.2">
      <c r="A6473" t="s">
        <v>2233</v>
      </c>
      <c r="B6473" t="s">
        <v>2234</v>
      </c>
      <c r="C6473">
        <v>1</v>
      </c>
      <c r="D6473" s="1">
        <v>44293.904479166667</v>
      </c>
      <c r="E6473" t="s">
        <v>20228</v>
      </c>
      <c r="F6473" t="s">
        <v>2236</v>
      </c>
      <c r="G6473" t="s">
        <v>20229</v>
      </c>
      <c r="H6473" t="s">
        <v>2237</v>
      </c>
      <c r="I6473" t="s">
        <v>29</v>
      </c>
      <c r="J6473">
        <v>1</v>
      </c>
      <c r="K6473">
        <f>1-888-441-3237</f>
        <v>-4565</v>
      </c>
      <c r="L6473" t="s">
        <v>20230</v>
      </c>
      <c r="M6473" t="s">
        <v>20231</v>
      </c>
      <c r="N6473" t="s">
        <v>5354</v>
      </c>
      <c r="O6473" t="s">
        <v>28</v>
      </c>
      <c r="P6473" t="s">
        <v>29</v>
      </c>
      <c r="Q6473">
        <v>40</v>
      </c>
      <c r="R6473">
        <v>-83.114099999999993</v>
      </c>
    </row>
    <row r="6474" spans="1:18" x14ac:dyDescent="0.2">
      <c r="A6474" t="s">
        <v>2233</v>
      </c>
      <c r="B6474" t="s">
        <v>2234</v>
      </c>
      <c r="C6474">
        <v>1</v>
      </c>
      <c r="D6474" s="1">
        <v>44096.896597222221</v>
      </c>
      <c r="E6474" t="s">
        <v>20232</v>
      </c>
      <c r="F6474" t="s">
        <v>2236</v>
      </c>
      <c r="G6474" t="s">
        <v>20229</v>
      </c>
      <c r="H6474" t="s">
        <v>2237</v>
      </c>
      <c r="I6474" t="s">
        <v>29</v>
      </c>
      <c r="J6474">
        <v>1</v>
      </c>
      <c r="K6474">
        <f>1-877-570-9733</f>
        <v>-11179</v>
      </c>
      <c r="L6474" t="s">
        <v>20233</v>
      </c>
      <c r="M6474" t="s">
        <v>20234</v>
      </c>
      <c r="N6474" t="s">
        <v>5354</v>
      </c>
      <c r="O6474" t="s">
        <v>28</v>
      </c>
      <c r="P6474" t="s">
        <v>29</v>
      </c>
      <c r="Q6474">
        <v>40</v>
      </c>
      <c r="R6474">
        <v>-83.114099999999993</v>
      </c>
    </row>
    <row r="6475" spans="1:18" x14ac:dyDescent="0.2">
      <c r="A6475" t="s">
        <v>439</v>
      </c>
      <c r="B6475" t="s">
        <v>3094</v>
      </c>
      <c r="C6475">
        <v>1</v>
      </c>
      <c r="D6475" s="1">
        <v>44096.938796296294</v>
      </c>
      <c r="E6475" t="s">
        <v>20235</v>
      </c>
      <c r="F6475" t="s">
        <v>442</v>
      </c>
      <c r="G6475" t="s">
        <v>20236</v>
      </c>
      <c r="H6475" t="s">
        <v>444</v>
      </c>
      <c r="I6475" t="s">
        <v>29</v>
      </c>
      <c r="J6475">
        <v>1</v>
      </c>
      <c r="K6475">
        <f>1-888-335-3771</f>
        <v>-4993</v>
      </c>
      <c r="L6475" t="s">
        <v>20237</v>
      </c>
      <c r="M6475" t="s">
        <v>20238</v>
      </c>
      <c r="N6475" t="s">
        <v>1645</v>
      </c>
      <c r="O6475" t="s">
        <v>28</v>
      </c>
      <c r="P6475" t="s">
        <v>2268</v>
      </c>
      <c r="Q6475">
        <v>46</v>
      </c>
      <c r="R6475">
        <v>-73.567300000000003</v>
      </c>
    </row>
    <row r="6476" spans="1:18" x14ac:dyDescent="0.2">
      <c r="A6476" t="s">
        <v>439</v>
      </c>
      <c r="B6476" t="s">
        <v>3094</v>
      </c>
      <c r="C6476">
        <v>1</v>
      </c>
      <c r="D6476" s="1">
        <v>44096.999664351853</v>
      </c>
      <c r="E6476" t="s">
        <v>20239</v>
      </c>
      <c r="F6476" t="s">
        <v>442</v>
      </c>
      <c r="G6476" t="s">
        <v>20240</v>
      </c>
      <c r="H6476" t="s">
        <v>444</v>
      </c>
      <c r="I6476" t="s">
        <v>29</v>
      </c>
      <c r="J6476">
        <v>1</v>
      </c>
      <c r="K6476">
        <f>1-888-308-4615</f>
        <v>-5810</v>
      </c>
      <c r="L6476" t="s">
        <v>20241</v>
      </c>
      <c r="M6476" t="s">
        <v>20242</v>
      </c>
      <c r="N6476" t="s">
        <v>683</v>
      </c>
      <c r="O6476" t="s">
        <v>28</v>
      </c>
      <c r="P6476" t="s">
        <v>2268</v>
      </c>
      <c r="Q6476">
        <v>46</v>
      </c>
      <c r="R6476">
        <v>-73.567300000000003</v>
      </c>
    </row>
    <row r="6477" spans="1:18" x14ac:dyDescent="0.2">
      <c r="A6477" t="s">
        <v>439</v>
      </c>
      <c r="B6477" t="s">
        <v>3094</v>
      </c>
      <c r="C6477">
        <v>81</v>
      </c>
      <c r="D6477" s="1">
        <v>44097.309270833335</v>
      </c>
      <c r="E6477" t="s">
        <v>20243</v>
      </c>
      <c r="F6477" t="s">
        <v>442</v>
      </c>
      <c r="G6477" t="s">
        <v>20244</v>
      </c>
      <c r="H6477" t="s">
        <v>444</v>
      </c>
      <c r="I6477" t="s">
        <v>53</v>
      </c>
      <c r="J6477">
        <v>81</v>
      </c>
      <c r="K6477">
        <f>81-50-5539-7589</f>
        <v>-13097</v>
      </c>
      <c r="L6477" t="s">
        <v>20245</v>
      </c>
      <c r="M6477" t="s">
        <v>20246</v>
      </c>
      <c r="N6477" t="s">
        <v>213</v>
      </c>
      <c r="O6477" t="s">
        <v>28</v>
      </c>
      <c r="P6477" t="s">
        <v>2268</v>
      </c>
      <c r="Q6477">
        <v>46</v>
      </c>
      <c r="R6477">
        <v>-73.567300000000003</v>
      </c>
    </row>
    <row r="6478" spans="1:18" x14ac:dyDescent="0.2">
      <c r="A6478" t="s">
        <v>439</v>
      </c>
      <c r="B6478" t="s">
        <v>3094</v>
      </c>
      <c r="C6478">
        <v>81</v>
      </c>
      <c r="D6478" s="1">
        <v>44097.309328703705</v>
      </c>
      <c r="E6478" t="s">
        <v>20247</v>
      </c>
      <c r="F6478" t="s">
        <v>442</v>
      </c>
      <c r="G6478" t="s">
        <v>20248</v>
      </c>
      <c r="H6478" t="s">
        <v>444</v>
      </c>
      <c r="I6478" t="s">
        <v>53</v>
      </c>
      <c r="J6478">
        <v>81</v>
      </c>
      <c r="K6478">
        <f>81-50-5539-7589</f>
        <v>-13097</v>
      </c>
      <c r="L6478" t="s">
        <v>20249</v>
      </c>
      <c r="M6478" t="s">
        <v>20250</v>
      </c>
      <c r="N6478" t="s">
        <v>213</v>
      </c>
      <c r="O6478" t="s">
        <v>28</v>
      </c>
      <c r="P6478" t="s">
        <v>2268</v>
      </c>
      <c r="Q6478">
        <v>46</v>
      </c>
      <c r="R6478">
        <v>-73.567300000000003</v>
      </c>
    </row>
    <row r="6479" spans="1:18" x14ac:dyDescent="0.2">
      <c r="A6479" t="s">
        <v>439</v>
      </c>
      <c r="B6479" t="s">
        <v>3094</v>
      </c>
      <c r="C6479">
        <v>81</v>
      </c>
      <c r="D6479" s="1">
        <v>44097.30940972222</v>
      </c>
      <c r="E6479" t="s">
        <v>20251</v>
      </c>
      <c r="F6479" t="s">
        <v>442</v>
      </c>
      <c r="G6479" t="s">
        <v>20252</v>
      </c>
      <c r="H6479" t="s">
        <v>444</v>
      </c>
      <c r="I6479" t="s">
        <v>53</v>
      </c>
      <c r="J6479">
        <v>81</v>
      </c>
      <c r="K6479">
        <f>81-50-5534-9928</f>
        <v>-15431</v>
      </c>
      <c r="L6479" t="s">
        <v>20253</v>
      </c>
      <c r="M6479" t="s">
        <v>20254</v>
      </c>
      <c r="N6479" t="s">
        <v>2475</v>
      </c>
      <c r="O6479" t="s">
        <v>28</v>
      </c>
      <c r="P6479" t="s">
        <v>2268</v>
      </c>
      <c r="Q6479">
        <v>46</v>
      </c>
      <c r="R6479">
        <v>-73.567300000000003</v>
      </c>
    </row>
    <row r="6480" spans="1:18" x14ac:dyDescent="0.2">
      <c r="A6480" t="s">
        <v>439</v>
      </c>
      <c r="B6480" t="s">
        <v>3094</v>
      </c>
      <c r="C6480">
        <v>81</v>
      </c>
      <c r="D6480" s="1">
        <v>44097.309525462966</v>
      </c>
      <c r="E6480" t="s">
        <v>20255</v>
      </c>
      <c r="F6480" t="s">
        <v>442</v>
      </c>
      <c r="G6480" t="s">
        <v>20256</v>
      </c>
      <c r="H6480" t="s">
        <v>444</v>
      </c>
      <c r="I6480" t="s">
        <v>53</v>
      </c>
      <c r="J6480">
        <v>81</v>
      </c>
      <c r="K6480">
        <f>81-50-5532-6436</f>
        <v>-11937</v>
      </c>
      <c r="L6480" t="s">
        <v>20257</v>
      </c>
      <c r="M6480" t="s">
        <v>20258</v>
      </c>
      <c r="N6480" t="s">
        <v>2475</v>
      </c>
      <c r="O6480" t="s">
        <v>28</v>
      </c>
      <c r="P6480" t="s">
        <v>2268</v>
      </c>
      <c r="Q6480">
        <v>46</v>
      </c>
      <c r="R6480">
        <v>-73.567300000000003</v>
      </c>
    </row>
    <row r="6481" spans="1:18" x14ac:dyDescent="0.2">
      <c r="A6481" t="s">
        <v>2349</v>
      </c>
      <c r="B6481" t="s">
        <v>10634</v>
      </c>
      <c r="C6481">
        <v>49</v>
      </c>
      <c r="D6481" s="1">
        <v>44097.517754629633</v>
      </c>
      <c r="E6481" t="s">
        <v>20259</v>
      </c>
      <c r="F6481" t="s">
        <v>2352</v>
      </c>
      <c r="G6481" t="s">
        <v>20259</v>
      </c>
      <c r="H6481" t="s">
        <v>2353</v>
      </c>
      <c r="I6481" t="s">
        <v>24</v>
      </c>
      <c r="J6481">
        <v>49</v>
      </c>
      <c r="K6481">
        <f>49-800-180-375</f>
        <v>-1306</v>
      </c>
      <c r="L6481" t="s">
        <v>20260</v>
      </c>
      <c r="M6481" t="s">
        <v>20261</v>
      </c>
      <c r="N6481">
        <v>56</v>
      </c>
      <c r="O6481" t="s">
        <v>134</v>
      </c>
      <c r="P6481" t="s">
        <v>292</v>
      </c>
      <c r="Q6481">
        <v>49</v>
      </c>
      <c r="R6481">
        <v>2.3868999999999998</v>
      </c>
    </row>
    <row r="6482" spans="1:18" x14ac:dyDescent="0.2">
      <c r="A6482" t="s">
        <v>2349</v>
      </c>
      <c r="B6482" t="s">
        <v>10634</v>
      </c>
      <c r="C6482">
        <v>49</v>
      </c>
      <c r="D6482" s="1">
        <v>44097.535810185182</v>
      </c>
      <c r="E6482" t="s">
        <v>20262</v>
      </c>
      <c r="F6482" t="s">
        <v>4584</v>
      </c>
      <c r="G6482" t="s">
        <v>20262</v>
      </c>
      <c r="H6482" t="s">
        <v>2353</v>
      </c>
      <c r="I6482" t="s">
        <v>24</v>
      </c>
      <c r="J6482">
        <v>49</v>
      </c>
      <c r="K6482">
        <f>49-800-180-375</f>
        <v>-1306</v>
      </c>
      <c r="L6482" t="s">
        <v>20263</v>
      </c>
      <c r="M6482" t="s">
        <v>20264</v>
      </c>
      <c r="N6482">
        <v>242</v>
      </c>
      <c r="O6482" t="s">
        <v>134</v>
      </c>
      <c r="P6482" t="s">
        <v>292</v>
      </c>
      <c r="Q6482">
        <v>49</v>
      </c>
      <c r="R6482">
        <v>2.3868999999999998</v>
      </c>
    </row>
    <row r="6483" spans="1:18" x14ac:dyDescent="0.2">
      <c r="A6483" t="s">
        <v>2233</v>
      </c>
      <c r="B6483" t="s">
        <v>4281</v>
      </c>
      <c r="C6483">
        <v>49</v>
      </c>
      <c r="D6483" s="1">
        <v>44097.568055555559</v>
      </c>
      <c r="E6483" t="s">
        <v>20265</v>
      </c>
      <c r="F6483" t="s">
        <v>6618</v>
      </c>
      <c r="G6483" t="s">
        <v>20266</v>
      </c>
      <c r="H6483" t="s">
        <v>2237</v>
      </c>
      <c r="I6483" t="s">
        <v>24</v>
      </c>
      <c r="J6483">
        <v>49</v>
      </c>
      <c r="K6483">
        <f>49-32-221-94-847</f>
        <v>-1145</v>
      </c>
      <c r="L6483" t="s">
        <v>20267</v>
      </c>
      <c r="M6483" t="s">
        <v>20268</v>
      </c>
      <c r="N6483" t="s">
        <v>278</v>
      </c>
      <c r="O6483" t="s">
        <v>28</v>
      </c>
      <c r="P6483" t="s">
        <v>24</v>
      </c>
      <c r="Q6483">
        <v>50</v>
      </c>
      <c r="R6483">
        <v>8.6821300000000008</v>
      </c>
    </row>
    <row r="6484" spans="1:18" x14ac:dyDescent="0.2">
      <c r="A6484" t="s">
        <v>439</v>
      </c>
      <c r="B6484" t="s">
        <v>3094</v>
      </c>
      <c r="C6484">
        <v>1</v>
      </c>
      <c r="D6484" s="1">
        <v>44097.626956018517</v>
      </c>
      <c r="E6484" t="s">
        <v>20269</v>
      </c>
      <c r="F6484" t="s">
        <v>442</v>
      </c>
      <c r="G6484" t="s">
        <v>20270</v>
      </c>
      <c r="H6484" t="s">
        <v>444</v>
      </c>
      <c r="I6484" t="s">
        <v>29</v>
      </c>
      <c r="J6484">
        <v>1</v>
      </c>
      <c r="K6484">
        <f>1-888-324-7531</f>
        <v>-8742</v>
      </c>
      <c r="L6484" t="s">
        <v>20271</v>
      </c>
      <c r="M6484" t="s">
        <v>20272</v>
      </c>
      <c r="N6484" t="s">
        <v>6172</v>
      </c>
      <c r="O6484" t="s">
        <v>28</v>
      </c>
      <c r="P6484" t="s">
        <v>2268</v>
      </c>
      <c r="Q6484">
        <v>46</v>
      </c>
      <c r="R6484">
        <v>-73.567300000000003</v>
      </c>
    </row>
    <row r="6485" spans="1:18" x14ac:dyDescent="0.2">
      <c r="A6485" t="s">
        <v>439</v>
      </c>
      <c r="B6485" t="s">
        <v>3094</v>
      </c>
      <c r="C6485">
        <v>1</v>
      </c>
      <c r="D6485" s="1">
        <v>44097.760949074072</v>
      </c>
      <c r="E6485" t="s">
        <v>20273</v>
      </c>
      <c r="F6485" t="s">
        <v>442</v>
      </c>
      <c r="G6485" t="s">
        <v>20274</v>
      </c>
      <c r="H6485" t="s">
        <v>444</v>
      </c>
      <c r="I6485" t="s">
        <v>29</v>
      </c>
      <c r="J6485">
        <v>1</v>
      </c>
      <c r="K6485">
        <f>1-888-308-4615</f>
        <v>-5810</v>
      </c>
      <c r="L6485" t="s">
        <v>20275</v>
      </c>
      <c r="M6485" t="s">
        <v>20276</v>
      </c>
      <c r="N6485" t="s">
        <v>278</v>
      </c>
      <c r="O6485" t="s">
        <v>28</v>
      </c>
      <c r="P6485" t="s">
        <v>2268</v>
      </c>
      <c r="Q6485">
        <v>46</v>
      </c>
      <c r="R6485">
        <v>-73.567300000000003</v>
      </c>
    </row>
    <row r="6486" spans="1:18" x14ac:dyDescent="0.2">
      <c r="A6486" t="s">
        <v>439</v>
      </c>
      <c r="B6486" t="s">
        <v>3094</v>
      </c>
      <c r="C6486">
        <v>1</v>
      </c>
      <c r="D6486" s="1">
        <v>44097.884409722225</v>
      </c>
      <c r="E6486" t="s">
        <v>20277</v>
      </c>
      <c r="F6486" t="s">
        <v>442</v>
      </c>
      <c r="G6486" t="s">
        <v>20278</v>
      </c>
      <c r="H6486" t="s">
        <v>444</v>
      </c>
      <c r="I6486" t="s">
        <v>29</v>
      </c>
      <c r="J6486">
        <v>1</v>
      </c>
      <c r="K6486">
        <f>1-888-210-6287</f>
        <v>-7384</v>
      </c>
      <c r="L6486" t="s">
        <v>20279</v>
      </c>
      <c r="M6486" t="s">
        <v>20280</v>
      </c>
      <c r="N6486" t="s">
        <v>452</v>
      </c>
      <c r="O6486" t="s">
        <v>28</v>
      </c>
      <c r="P6486" t="s">
        <v>2268</v>
      </c>
      <c r="Q6486">
        <v>46</v>
      </c>
      <c r="R6486">
        <v>-73.567300000000003</v>
      </c>
    </row>
    <row r="6487" spans="1:18" x14ac:dyDescent="0.2">
      <c r="A6487" t="s">
        <v>2349</v>
      </c>
      <c r="B6487" t="s">
        <v>10634</v>
      </c>
      <c r="C6487">
        <v>49</v>
      </c>
      <c r="D6487" s="1">
        <v>44098.613645833335</v>
      </c>
      <c r="E6487" t="s">
        <v>20281</v>
      </c>
      <c r="F6487" t="s">
        <v>4584</v>
      </c>
      <c r="G6487" t="s">
        <v>20281</v>
      </c>
      <c r="H6487" t="s">
        <v>2353</v>
      </c>
      <c r="I6487" t="s">
        <v>24</v>
      </c>
      <c r="J6487">
        <v>49</v>
      </c>
      <c r="K6487">
        <f>49-800-180-375</f>
        <v>-1306</v>
      </c>
      <c r="L6487" t="s">
        <v>20282</v>
      </c>
      <c r="M6487" t="s">
        <v>20283</v>
      </c>
      <c r="N6487">
        <v>217</v>
      </c>
      <c r="O6487" t="s">
        <v>134</v>
      </c>
      <c r="P6487" t="s">
        <v>292</v>
      </c>
      <c r="Q6487">
        <v>49</v>
      </c>
      <c r="R6487">
        <v>2.3678300000000001</v>
      </c>
    </row>
    <row r="6488" spans="1:18" x14ac:dyDescent="0.2">
      <c r="A6488" t="s">
        <v>663</v>
      </c>
      <c r="B6488" t="s">
        <v>664</v>
      </c>
      <c r="C6488">
        <v>1</v>
      </c>
      <c r="D6488" s="1">
        <v>44098.096782407411</v>
      </c>
      <c r="E6488" t="s">
        <v>20284</v>
      </c>
      <c r="F6488" t="s">
        <v>2495</v>
      </c>
      <c r="G6488" t="s">
        <v>20284</v>
      </c>
      <c r="H6488" t="s">
        <v>667</v>
      </c>
      <c r="I6488" t="s">
        <v>29</v>
      </c>
      <c r="J6488">
        <v>1</v>
      </c>
      <c r="K6488">
        <f>1-888-380-9648</f>
        <v>-10915</v>
      </c>
      <c r="L6488" t="s">
        <v>20285</v>
      </c>
      <c r="M6488" t="s">
        <v>20286</v>
      </c>
      <c r="N6488">
        <v>242</v>
      </c>
      <c r="O6488" t="s">
        <v>134</v>
      </c>
      <c r="P6488" t="s">
        <v>29</v>
      </c>
      <c r="Q6488">
        <v>37</v>
      </c>
      <c r="R6488">
        <v>-99.999999000000003</v>
      </c>
    </row>
    <row r="6489" spans="1:18" x14ac:dyDescent="0.2">
      <c r="A6489" t="s">
        <v>439</v>
      </c>
      <c r="B6489" t="s">
        <v>3094</v>
      </c>
      <c r="C6489">
        <v>81</v>
      </c>
      <c r="D6489" s="1">
        <v>44098.461828703701</v>
      </c>
      <c r="E6489" t="s">
        <v>20287</v>
      </c>
      <c r="F6489" t="s">
        <v>442</v>
      </c>
      <c r="G6489" t="s">
        <v>20288</v>
      </c>
      <c r="H6489" t="s">
        <v>444</v>
      </c>
      <c r="I6489" t="s">
        <v>53</v>
      </c>
      <c r="J6489">
        <v>81</v>
      </c>
      <c r="K6489">
        <f>81-50-5534-9928</f>
        <v>-15431</v>
      </c>
      <c r="L6489" t="s">
        <v>20289</v>
      </c>
      <c r="M6489" t="s">
        <v>20290</v>
      </c>
      <c r="N6489" t="s">
        <v>2475</v>
      </c>
      <c r="O6489" t="s">
        <v>28</v>
      </c>
      <c r="P6489" t="s">
        <v>2268</v>
      </c>
      <c r="Q6489">
        <v>46</v>
      </c>
      <c r="R6489">
        <v>-73.567300000000003</v>
      </c>
    </row>
    <row r="6490" spans="1:18" x14ac:dyDescent="0.2">
      <c r="A6490" t="s">
        <v>439</v>
      </c>
      <c r="B6490" t="s">
        <v>3094</v>
      </c>
      <c r="C6490">
        <v>81</v>
      </c>
      <c r="D6490" s="1">
        <v>44098.47</v>
      </c>
      <c r="E6490" t="s">
        <v>20291</v>
      </c>
      <c r="F6490" t="s">
        <v>442</v>
      </c>
      <c r="G6490" t="s">
        <v>20292</v>
      </c>
      <c r="H6490" t="s">
        <v>444</v>
      </c>
      <c r="I6490" t="s">
        <v>53</v>
      </c>
      <c r="J6490">
        <v>81</v>
      </c>
      <c r="K6490">
        <f>81-50-5534-2027</f>
        <v>-7530</v>
      </c>
      <c r="L6490" t="s">
        <v>20293</v>
      </c>
      <c r="M6490" t="s">
        <v>20294</v>
      </c>
      <c r="N6490" t="s">
        <v>2475</v>
      </c>
      <c r="O6490" t="s">
        <v>28</v>
      </c>
      <c r="P6490" t="s">
        <v>2268</v>
      </c>
      <c r="Q6490">
        <v>46</v>
      </c>
      <c r="R6490">
        <v>-73.567300000000003</v>
      </c>
    </row>
    <row r="6491" spans="1:18" x14ac:dyDescent="0.2">
      <c r="A6491" t="s">
        <v>663</v>
      </c>
      <c r="B6491" t="s">
        <v>4281</v>
      </c>
      <c r="C6491">
        <v>1</v>
      </c>
      <c r="D6491" s="1">
        <v>44098.708726851852</v>
      </c>
      <c r="E6491" t="s">
        <v>20295</v>
      </c>
      <c r="F6491" t="s">
        <v>666</v>
      </c>
      <c r="G6491" t="s">
        <v>20295</v>
      </c>
      <c r="H6491" t="s">
        <v>667</v>
      </c>
      <c r="I6491" t="s">
        <v>29</v>
      </c>
      <c r="J6491">
        <v>1</v>
      </c>
      <c r="K6491">
        <f>1-844-292-4957</f>
        <v>-6092</v>
      </c>
      <c r="L6491" t="s">
        <v>20296</v>
      </c>
      <c r="M6491" t="s">
        <v>20297</v>
      </c>
      <c r="N6491">
        <v>188</v>
      </c>
      <c r="O6491" t="s">
        <v>134</v>
      </c>
      <c r="P6491" t="s">
        <v>24</v>
      </c>
      <c r="Q6491">
        <v>50</v>
      </c>
      <c r="R6491">
        <v>8.6843000000000004</v>
      </c>
    </row>
    <row r="6492" spans="1:18" x14ac:dyDescent="0.2">
      <c r="A6492" t="s">
        <v>663</v>
      </c>
      <c r="B6492" t="s">
        <v>4281</v>
      </c>
      <c r="C6492">
        <v>1</v>
      </c>
      <c r="D6492" s="1">
        <v>44098.761435185188</v>
      </c>
      <c r="E6492" t="s">
        <v>20298</v>
      </c>
      <c r="F6492" t="s">
        <v>666</v>
      </c>
      <c r="G6492" t="s">
        <v>20298</v>
      </c>
      <c r="H6492" t="s">
        <v>667</v>
      </c>
      <c r="I6492" t="s">
        <v>29</v>
      </c>
      <c r="J6492">
        <v>1</v>
      </c>
      <c r="K6492">
        <f>1-855-460-6171</f>
        <v>-7485</v>
      </c>
      <c r="L6492" t="s">
        <v>20299</v>
      </c>
      <c r="M6492" t="s">
        <v>20300</v>
      </c>
      <c r="N6492">
        <v>30</v>
      </c>
      <c r="O6492" t="s">
        <v>134</v>
      </c>
      <c r="P6492" t="s">
        <v>24</v>
      </c>
      <c r="Q6492">
        <v>50</v>
      </c>
      <c r="R6492">
        <v>8.6843000000000004</v>
      </c>
    </row>
    <row r="6493" spans="1:18" x14ac:dyDescent="0.2">
      <c r="A6493" t="s">
        <v>439</v>
      </c>
      <c r="B6493" t="s">
        <v>3094</v>
      </c>
      <c r="C6493">
        <v>1</v>
      </c>
      <c r="D6493" s="1">
        <v>44098.805902777778</v>
      </c>
      <c r="E6493" t="s">
        <v>20301</v>
      </c>
      <c r="F6493" t="s">
        <v>442</v>
      </c>
      <c r="G6493" t="s">
        <v>20302</v>
      </c>
      <c r="H6493" t="s">
        <v>444</v>
      </c>
      <c r="I6493" t="s">
        <v>29</v>
      </c>
      <c r="J6493">
        <v>1</v>
      </c>
      <c r="K6493">
        <f>1-888-316-6757</f>
        <v>-7960</v>
      </c>
      <c r="L6493" t="s">
        <v>20303</v>
      </c>
      <c r="M6493" t="s">
        <v>20304</v>
      </c>
      <c r="N6493" t="s">
        <v>1645</v>
      </c>
      <c r="O6493" t="s">
        <v>28</v>
      </c>
      <c r="P6493" t="s">
        <v>2268</v>
      </c>
      <c r="Q6493">
        <v>46</v>
      </c>
      <c r="R6493">
        <v>-73.567300000000003</v>
      </c>
    </row>
    <row r="6494" spans="1:18" x14ac:dyDescent="0.2">
      <c r="A6494" t="s">
        <v>439</v>
      </c>
      <c r="B6494" t="s">
        <v>3094</v>
      </c>
      <c r="C6494">
        <v>1</v>
      </c>
      <c r="D6494" s="1">
        <v>44098.793113425927</v>
      </c>
      <c r="E6494" t="s">
        <v>20301</v>
      </c>
      <c r="F6494" t="s">
        <v>442</v>
      </c>
      <c r="G6494" t="s">
        <v>20302</v>
      </c>
      <c r="H6494" t="s">
        <v>444</v>
      </c>
      <c r="I6494" t="s">
        <v>29</v>
      </c>
      <c r="J6494">
        <v>1</v>
      </c>
      <c r="K6494">
        <f>1-888-379-8256</f>
        <v>-9522</v>
      </c>
      <c r="L6494" t="s">
        <v>20305</v>
      </c>
      <c r="M6494" t="s">
        <v>20306</v>
      </c>
      <c r="N6494" t="s">
        <v>1645</v>
      </c>
      <c r="O6494" t="s">
        <v>28</v>
      </c>
      <c r="P6494" t="s">
        <v>2268</v>
      </c>
      <c r="Q6494">
        <v>46</v>
      </c>
      <c r="R6494">
        <v>-73.567300000000003</v>
      </c>
    </row>
    <row r="6495" spans="1:18" x14ac:dyDescent="0.2">
      <c r="A6495" t="s">
        <v>439</v>
      </c>
      <c r="B6495" t="s">
        <v>3094</v>
      </c>
      <c r="C6495">
        <v>1</v>
      </c>
      <c r="D6495" s="1">
        <v>44098.775694444441</v>
      </c>
      <c r="E6495" t="s">
        <v>20301</v>
      </c>
      <c r="F6495" t="s">
        <v>442</v>
      </c>
      <c r="G6495" t="s">
        <v>20302</v>
      </c>
      <c r="H6495" t="s">
        <v>444</v>
      </c>
      <c r="I6495" t="s">
        <v>29</v>
      </c>
      <c r="J6495">
        <v>1</v>
      </c>
      <c r="K6495">
        <f>1-888-307-3720</f>
        <v>-4914</v>
      </c>
      <c r="L6495" t="s">
        <v>20307</v>
      </c>
      <c r="M6495" t="s">
        <v>20308</v>
      </c>
      <c r="N6495" t="s">
        <v>1645</v>
      </c>
      <c r="O6495" t="s">
        <v>28</v>
      </c>
      <c r="P6495" t="s">
        <v>2268</v>
      </c>
      <c r="Q6495">
        <v>46</v>
      </c>
      <c r="R6495">
        <v>-73.567300000000003</v>
      </c>
    </row>
    <row r="6496" spans="1:18" x14ac:dyDescent="0.2">
      <c r="A6496" t="s">
        <v>2233</v>
      </c>
      <c r="B6496" t="s">
        <v>16955</v>
      </c>
      <c r="C6496">
        <v>1</v>
      </c>
      <c r="D6496" s="1">
        <v>44098.793587962966</v>
      </c>
      <c r="E6496" t="s">
        <v>20309</v>
      </c>
      <c r="F6496" t="s">
        <v>2236</v>
      </c>
      <c r="G6496" t="s">
        <v>20310</v>
      </c>
      <c r="H6496" t="s">
        <v>2237</v>
      </c>
      <c r="I6496" t="s">
        <v>29</v>
      </c>
      <c r="J6496">
        <v>1</v>
      </c>
      <c r="K6496">
        <f>1-855-702-1437</f>
        <v>-2993</v>
      </c>
      <c r="L6496" t="s">
        <v>20311</v>
      </c>
      <c r="M6496" t="s">
        <v>20312</v>
      </c>
      <c r="N6496" t="s">
        <v>5354</v>
      </c>
      <c r="O6496" t="s">
        <v>28</v>
      </c>
      <c r="P6496" t="s">
        <v>16960</v>
      </c>
      <c r="Q6496">
        <v>38</v>
      </c>
      <c r="R6496">
        <v>99.999999000000003</v>
      </c>
    </row>
    <row r="6497" spans="1:18" x14ac:dyDescent="0.2">
      <c r="A6497" t="s">
        <v>663</v>
      </c>
      <c r="B6497" t="s">
        <v>664</v>
      </c>
      <c r="C6497">
        <v>1</v>
      </c>
      <c r="D6497" s="1">
        <v>44098.80028935185</v>
      </c>
      <c r="E6497" t="s">
        <v>20313</v>
      </c>
      <c r="F6497" t="s">
        <v>666</v>
      </c>
      <c r="G6497" t="s">
        <v>20314</v>
      </c>
      <c r="H6497" t="s">
        <v>667</v>
      </c>
      <c r="I6497" t="s">
        <v>29</v>
      </c>
      <c r="J6497">
        <v>1</v>
      </c>
      <c r="K6497">
        <f>1-888-309-7893</f>
        <v>-9089</v>
      </c>
      <c r="L6497" t="s">
        <v>20315</v>
      </c>
      <c r="M6497" t="s">
        <v>20316</v>
      </c>
      <c r="N6497" t="s">
        <v>1645</v>
      </c>
      <c r="O6497" t="s">
        <v>28</v>
      </c>
      <c r="P6497" t="s">
        <v>29</v>
      </c>
      <c r="Q6497">
        <v>37</v>
      </c>
      <c r="R6497">
        <v>-99.999999000000003</v>
      </c>
    </row>
    <row r="6498" spans="1:18" x14ac:dyDescent="0.2">
      <c r="A6498" t="s">
        <v>439</v>
      </c>
      <c r="B6498" t="s">
        <v>3094</v>
      </c>
      <c r="C6498">
        <v>1</v>
      </c>
      <c r="D6498" s="1">
        <v>44098.805937500001</v>
      </c>
      <c r="E6498" t="s">
        <v>20317</v>
      </c>
      <c r="F6498" t="s">
        <v>442</v>
      </c>
      <c r="G6498" t="s">
        <v>20318</v>
      </c>
      <c r="H6498" t="s">
        <v>444</v>
      </c>
      <c r="I6498" t="s">
        <v>29</v>
      </c>
      <c r="J6498">
        <v>1</v>
      </c>
      <c r="K6498">
        <f>1-844-312-7611</f>
        <v>-8766</v>
      </c>
      <c r="L6498" t="s">
        <v>20319</v>
      </c>
      <c r="M6498" t="s">
        <v>20320</v>
      </c>
      <c r="N6498" t="s">
        <v>213</v>
      </c>
      <c r="O6498" t="s">
        <v>28</v>
      </c>
      <c r="P6498" t="s">
        <v>2268</v>
      </c>
      <c r="Q6498">
        <v>46</v>
      </c>
      <c r="R6498">
        <v>-73.567300000000003</v>
      </c>
    </row>
    <row r="6499" spans="1:18" x14ac:dyDescent="0.2">
      <c r="A6499" t="s">
        <v>663</v>
      </c>
      <c r="B6499" t="s">
        <v>664</v>
      </c>
      <c r="C6499">
        <v>1</v>
      </c>
      <c r="D6499" s="1">
        <v>44098.809398148151</v>
      </c>
      <c r="E6499" t="s">
        <v>20321</v>
      </c>
      <c r="F6499" t="s">
        <v>2495</v>
      </c>
      <c r="G6499" t="s">
        <v>20322</v>
      </c>
      <c r="H6499" t="s">
        <v>667</v>
      </c>
      <c r="I6499" t="s">
        <v>29</v>
      </c>
      <c r="J6499">
        <v>1</v>
      </c>
      <c r="K6499">
        <f>1-866-723-8651</f>
        <v>-10239</v>
      </c>
      <c r="L6499" t="s">
        <v>20323</v>
      </c>
      <c r="M6499" t="s">
        <v>20324</v>
      </c>
      <c r="N6499" t="s">
        <v>452</v>
      </c>
      <c r="O6499" t="s">
        <v>28</v>
      </c>
      <c r="P6499" t="s">
        <v>29</v>
      </c>
      <c r="Q6499">
        <v>37</v>
      </c>
      <c r="R6499">
        <v>-99.999999000000003</v>
      </c>
    </row>
    <row r="6500" spans="1:18" x14ac:dyDescent="0.2">
      <c r="A6500" t="s">
        <v>663</v>
      </c>
      <c r="B6500" t="s">
        <v>4281</v>
      </c>
      <c r="C6500">
        <v>1</v>
      </c>
      <c r="D6500" s="1">
        <v>44098.812013888892</v>
      </c>
      <c r="E6500" t="s">
        <v>20325</v>
      </c>
      <c r="F6500" t="s">
        <v>666</v>
      </c>
      <c r="G6500" t="s">
        <v>20325</v>
      </c>
      <c r="H6500" t="s">
        <v>667</v>
      </c>
      <c r="I6500" t="s">
        <v>29</v>
      </c>
      <c r="J6500">
        <v>1</v>
      </c>
      <c r="K6500">
        <f>1-844-309-2136</f>
        <v>-3288</v>
      </c>
      <c r="L6500" t="s">
        <v>20326</v>
      </c>
      <c r="M6500" t="s">
        <v>20327</v>
      </c>
      <c r="N6500">
        <v>152</v>
      </c>
      <c r="O6500" t="s">
        <v>134</v>
      </c>
      <c r="P6500" t="s">
        <v>24</v>
      </c>
      <c r="Q6500">
        <v>50</v>
      </c>
      <c r="R6500">
        <v>8.6843000000000004</v>
      </c>
    </row>
    <row r="6501" spans="1:18" x14ac:dyDescent="0.2">
      <c r="A6501" t="s">
        <v>663</v>
      </c>
      <c r="B6501" t="s">
        <v>664</v>
      </c>
      <c r="C6501">
        <v>1</v>
      </c>
      <c r="D6501" s="1">
        <v>44098.831180555557</v>
      </c>
      <c r="E6501" t="s">
        <v>20328</v>
      </c>
      <c r="F6501" t="s">
        <v>666</v>
      </c>
      <c r="G6501" t="s">
        <v>20329</v>
      </c>
      <c r="H6501" t="s">
        <v>667</v>
      </c>
      <c r="I6501" t="s">
        <v>29</v>
      </c>
      <c r="J6501">
        <v>1</v>
      </c>
      <c r="K6501">
        <f>1-888-217-3921</f>
        <v>-5025</v>
      </c>
      <c r="L6501" t="s">
        <v>20330</v>
      </c>
      <c r="M6501" t="s">
        <v>20331</v>
      </c>
      <c r="N6501" t="s">
        <v>1645</v>
      </c>
      <c r="O6501" t="s">
        <v>28</v>
      </c>
      <c r="P6501" t="s">
        <v>29</v>
      </c>
      <c r="Q6501">
        <v>37</v>
      </c>
      <c r="R6501">
        <v>-99.999999000000003</v>
      </c>
    </row>
    <row r="6502" spans="1:18" x14ac:dyDescent="0.2">
      <c r="A6502" t="s">
        <v>663</v>
      </c>
      <c r="B6502" t="s">
        <v>664</v>
      </c>
      <c r="C6502">
        <v>1</v>
      </c>
      <c r="D6502" s="1">
        <v>44098.83320601852</v>
      </c>
      <c r="E6502" t="s">
        <v>20332</v>
      </c>
      <c r="F6502" t="s">
        <v>666</v>
      </c>
      <c r="G6502" t="s">
        <v>20332</v>
      </c>
      <c r="H6502" t="s">
        <v>667</v>
      </c>
      <c r="I6502" t="s">
        <v>29</v>
      </c>
      <c r="J6502">
        <v>1</v>
      </c>
      <c r="K6502">
        <f>1-888-308-5901</f>
        <v>-7096</v>
      </c>
      <c r="L6502" t="s">
        <v>20333</v>
      </c>
      <c r="M6502" t="s">
        <v>20334</v>
      </c>
      <c r="N6502">
        <v>233</v>
      </c>
      <c r="O6502" t="s">
        <v>134</v>
      </c>
      <c r="P6502" t="s">
        <v>29</v>
      </c>
      <c r="Q6502">
        <v>37</v>
      </c>
      <c r="R6502">
        <v>-99.999999000000003</v>
      </c>
    </row>
    <row r="6503" spans="1:18" x14ac:dyDescent="0.2">
      <c r="A6503" t="s">
        <v>439</v>
      </c>
      <c r="B6503" t="s">
        <v>3094</v>
      </c>
      <c r="C6503">
        <v>1</v>
      </c>
      <c r="D6503" s="1">
        <v>44098.84479166667</v>
      </c>
      <c r="E6503" t="s">
        <v>20335</v>
      </c>
      <c r="F6503" t="s">
        <v>442</v>
      </c>
      <c r="G6503" t="s">
        <v>20336</v>
      </c>
      <c r="H6503" t="s">
        <v>444</v>
      </c>
      <c r="I6503" t="s">
        <v>29</v>
      </c>
      <c r="J6503">
        <v>1</v>
      </c>
      <c r="K6503">
        <f>1-888-381-1446</f>
        <v>-2714</v>
      </c>
      <c r="L6503" t="s">
        <v>20337</v>
      </c>
      <c r="M6503" t="s">
        <v>20338</v>
      </c>
      <c r="N6503" t="s">
        <v>1645</v>
      </c>
      <c r="O6503" t="s">
        <v>28</v>
      </c>
      <c r="P6503" t="s">
        <v>2268</v>
      </c>
      <c r="Q6503">
        <v>46</v>
      </c>
      <c r="R6503">
        <v>-73.567300000000003</v>
      </c>
    </row>
    <row r="6504" spans="1:18" x14ac:dyDescent="0.2">
      <c r="A6504" t="s">
        <v>439</v>
      </c>
      <c r="B6504" t="s">
        <v>3094</v>
      </c>
      <c r="C6504">
        <v>1</v>
      </c>
      <c r="D6504" s="1">
        <v>44098.83829861111</v>
      </c>
      <c r="E6504" t="s">
        <v>20335</v>
      </c>
      <c r="F6504" t="s">
        <v>442</v>
      </c>
      <c r="G6504" t="s">
        <v>20336</v>
      </c>
      <c r="H6504" t="s">
        <v>444</v>
      </c>
      <c r="I6504" t="s">
        <v>29</v>
      </c>
      <c r="J6504">
        <v>1</v>
      </c>
      <c r="K6504">
        <f>1-888-364-1435</f>
        <v>-2686</v>
      </c>
      <c r="L6504" t="s">
        <v>20339</v>
      </c>
      <c r="M6504" t="s">
        <v>20340</v>
      </c>
      <c r="N6504" t="s">
        <v>1645</v>
      </c>
      <c r="O6504" t="s">
        <v>28</v>
      </c>
      <c r="P6504" t="s">
        <v>2268</v>
      </c>
      <c r="Q6504">
        <v>46</v>
      </c>
      <c r="R6504">
        <v>-73.567300000000003</v>
      </c>
    </row>
    <row r="6505" spans="1:18" x14ac:dyDescent="0.2">
      <c r="A6505" t="s">
        <v>439</v>
      </c>
      <c r="B6505" t="s">
        <v>3094</v>
      </c>
      <c r="C6505">
        <v>1</v>
      </c>
      <c r="D6505" s="1">
        <v>44098.856030092589</v>
      </c>
      <c r="E6505" t="s">
        <v>20341</v>
      </c>
      <c r="F6505" t="s">
        <v>442</v>
      </c>
      <c r="G6505" t="s">
        <v>20342</v>
      </c>
      <c r="H6505" t="s">
        <v>444</v>
      </c>
      <c r="I6505" t="s">
        <v>29</v>
      </c>
      <c r="J6505">
        <v>1</v>
      </c>
      <c r="K6505">
        <f>1-844-313-3749</f>
        <v>-4905</v>
      </c>
      <c r="L6505" t="s">
        <v>20343</v>
      </c>
      <c r="M6505" t="s">
        <v>20344</v>
      </c>
      <c r="N6505" t="s">
        <v>674</v>
      </c>
      <c r="O6505" t="s">
        <v>28</v>
      </c>
      <c r="P6505" t="s">
        <v>2268</v>
      </c>
      <c r="Q6505">
        <v>46</v>
      </c>
      <c r="R6505">
        <v>-73.567300000000003</v>
      </c>
    </row>
    <row r="6506" spans="1:18" x14ac:dyDescent="0.2">
      <c r="A6506" t="s">
        <v>663</v>
      </c>
      <c r="B6506" t="s">
        <v>664</v>
      </c>
      <c r="C6506">
        <v>1</v>
      </c>
      <c r="D6506" s="1">
        <v>44098.871990740743</v>
      </c>
      <c r="E6506" t="s">
        <v>20345</v>
      </c>
      <c r="F6506" t="s">
        <v>666</v>
      </c>
      <c r="G6506" t="s">
        <v>20345</v>
      </c>
      <c r="H6506" t="s">
        <v>667</v>
      </c>
      <c r="I6506" t="s">
        <v>29</v>
      </c>
      <c r="J6506">
        <v>1</v>
      </c>
      <c r="K6506">
        <f>1-888-307-3771</f>
        <v>-4965</v>
      </c>
      <c r="L6506" t="s">
        <v>20346</v>
      </c>
      <c r="M6506" t="s">
        <v>20347</v>
      </c>
      <c r="N6506">
        <v>149</v>
      </c>
      <c r="O6506" t="s">
        <v>134</v>
      </c>
      <c r="P6506" t="s">
        <v>29</v>
      </c>
      <c r="Q6506">
        <v>37</v>
      </c>
      <c r="R6506">
        <v>-99.999999000000003</v>
      </c>
    </row>
    <row r="6507" spans="1:18" x14ac:dyDescent="0.2">
      <c r="A6507" t="s">
        <v>663</v>
      </c>
      <c r="B6507" t="s">
        <v>664</v>
      </c>
      <c r="C6507">
        <v>1</v>
      </c>
      <c r="D6507" s="1">
        <v>44098.862511574072</v>
      </c>
      <c r="E6507" t="s">
        <v>20345</v>
      </c>
      <c r="F6507" t="s">
        <v>666</v>
      </c>
      <c r="G6507" t="s">
        <v>20345</v>
      </c>
      <c r="H6507" t="s">
        <v>667</v>
      </c>
      <c r="I6507" t="s">
        <v>29</v>
      </c>
      <c r="J6507">
        <v>1</v>
      </c>
      <c r="K6507">
        <f>1-888-320-5584</f>
        <v>-6791</v>
      </c>
      <c r="L6507" t="s">
        <v>20348</v>
      </c>
      <c r="M6507" t="s">
        <v>20349</v>
      </c>
      <c r="N6507">
        <v>149</v>
      </c>
      <c r="O6507" t="s">
        <v>134</v>
      </c>
      <c r="P6507" t="s">
        <v>29</v>
      </c>
      <c r="Q6507">
        <v>37</v>
      </c>
      <c r="R6507">
        <v>-99.999999000000003</v>
      </c>
    </row>
    <row r="6508" spans="1:18" x14ac:dyDescent="0.2">
      <c r="A6508" t="s">
        <v>663</v>
      </c>
      <c r="B6508" t="s">
        <v>2493</v>
      </c>
      <c r="C6508">
        <v>1</v>
      </c>
      <c r="D6508" s="1">
        <v>44098.892476851855</v>
      </c>
      <c r="E6508" t="s">
        <v>20350</v>
      </c>
      <c r="F6508" t="s">
        <v>666</v>
      </c>
      <c r="G6508" t="s">
        <v>20351</v>
      </c>
      <c r="H6508" t="s">
        <v>667</v>
      </c>
      <c r="I6508" t="s">
        <v>29</v>
      </c>
      <c r="J6508">
        <v>1</v>
      </c>
      <c r="K6508">
        <f>1-833-748-76</f>
        <v>-1656</v>
      </c>
      <c r="L6508" t="s">
        <v>20352</v>
      </c>
      <c r="M6508" t="s">
        <v>20353</v>
      </c>
      <c r="N6508" t="s">
        <v>2475</v>
      </c>
      <c r="O6508" t="s">
        <v>28</v>
      </c>
      <c r="P6508" t="s">
        <v>29</v>
      </c>
      <c r="Q6508">
        <v>41</v>
      </c>
      <c r="R6508">
        <v>-74.024699999999996</v>
      </c>
    </row>
    <row r="6509" spans="1:18" x14ac:dyDescent="0.2">
      <c r="A6509" t="s">
        <v>663</v>
      </c>
      <c r="B6509" t="s">
        <v>664</v>
      </c>
      <c r="C6509">
        <v>1</v>
      </c>
      <c r="D6509" s="1">
        <v>44098.884837962964</v>
      </c>
      <c r="E6509" t="s">
        <v>20354</v>
      </c>
      <c r="F6509" t="s">
        <v>666</v>
      </c>
      <c r="G6509" t="s">
        <v>20355</v>
      </c>
      <c r="H6509" t="s">
        <v>667</v>
      </c>
      <c r="I6509" t="s">
        <v>29</v>
      </c>
      <c r="J6509">
        <v>1</v>
      </c>
      <c r="K6509">
        <f>1-888-279-3981</f>
        <v>-5147</v>
      </c>
      <c r="L6509" t="s">
        <v>20356</v>
      </c>
      <c r="M6509" t="s">
        <v>20357</v>
      </c>
      <c r="N6509" t="s">
        <v>1645</v>
      </c>
      <c r="O6509" t="s">
        <v>28</v>
      </c>
      <c r="P6509" t="s">
        <v>29</v>
      </c>
      <c r="Q6509">
        <v>37</v>
      </c>
      <c r="R6509">
        <v>-99.999999000000003</v>
      </c>
    </row>
    <row r="6510" spans="1:18" x14ac:dyDescent="0.2">
      <c r="A6510" t="s">
        <v>6586</v>
      </c>
      <c r="B6510" t="s">
        <v>6310</v>
      </c>
      <c r="C6510">
        <v>1</v>
      </c>
      <c r="D6510" s="1">
        <v>44098.879074074073</v>
      </c>
      <c r="E6510" t="s">
        <v>20358</v>
      </c>
      <c r="F6510" t="s">
        <v>6588</v>
      </c>
      <c r="G6510" t="s">
        <v>20359</v>
      </c>
      <c r="H6510" t="s">
        <v>6590</v>
      </c>
      <c r="I6510" t="s">
        <v>29</v>
      </c>
      <c r="J6510">
        <v>1</v>
      </c>
      <c r="K6510">
        <f>1-844-304-4573</f>
        <v>-5720</v>
      </c>
      <c r="L6510" t="s">
        <v>20360</v>
      </c>
      <c r="M6510" t="s">
        <v>20361</v>
      </c>
      <c r="N6510" t="s">
        <v>452</v>
      </c>
      <c r="O6510" t="s">
        <v>28</v>
      </c>
      <c r="P6510" t="s">
        <v>29</v>
      </c>
      <c r="Q6510">
        <v>34</v>
      </c>
      <c r="R6510">
        <v>-84.387100000000004</v>
      </c>
    </row>
    <row r="6511" spans="1:18" x14ac:dyDescent="0.2">
      <c r="A6511" t="s">
        <v>439</v>
      </c>
      <c r="B6511" t="s">
        <v>3094</v>
      </c>
      <c r="C6511">
        <v>1</v>
      </c>
      <c r="D6511" s="1">
        <v>44098.879143518519</v>
      </c>
      <c r="E6511" t="s">
        <v>20335</v>
      </c>
      <c r="F6511" t="s">
        <v>442</v>
      </c>
      <c r="G6511" t="s">
        <v>20362</v>
      </c>
      <c r="H6511" t="s">
        <v>444</v>
      </c>
      <c r="I6511" t="s">
        <v>29</v>
      </c>
      <c r="J6511">
        <v>1</v>
      </c>
      <c r="K6511">
        <f>1-888-339-2864</f>
        <v>-4090</v>
      </c>
      <c r="L6511" t="s">
        <v>20363</v>
      </c>
      <c r="M6511" t="s">
        <v>20364</v>
      </c>
      <c r="N6511" t="s">
        <v>1645</v>
      </c>
      <c r="O6511" t="s">
        <v>28</v>
      </c>
      <c r="P6511" t="s">
        <v>2268</v>
      </c>
      <c r="Q6511">
        <v>46</v>
      </c>
      <c r="R6511">
        <v>-73.567300000000003</v>
      </c>
    </row>
    <row r="6512" spans="1:18" x14ac:dyDescent="0.2">
      <c r="A6512" t="s">
        <v>439</v>
      </c>
      <c r="B6512" t="s">
        <v>3094</v>
      </c>
      <c r="C6512">
        <v>1</v>
      </c>
      <c r="D6512" s="1">
        <v>44098.922951388886</v>
      </c>
      <c r="E6512" t="s">
        <v>20365</v>
      </c>
      <c r="F6512" t="s">
        <v>442</v>
      </c>
      <c r="G6512" t="s">
        <v>20366</v>
      </c>
      <c r="H6512" t="s">
        <v>444</v>
      </c>
      <c r="I6512" t="s">
        <v>29</v>
      </c>
      <c r="J6512">
        <v>1</v>
      </c>
      <c r="K6512">
        <f>1-888-321-895</f>
        <v>-2103</v>
      </c>
      <c r="L6512" t="s">
        <v>20367</v>
      </c>
      <c r="M6512" t="s">
        <v>20368</v>
      </c>
      <c r="N6512" t="s">
        <v>1645</v>
      </c>
      <c r="O6512" t="s">
        <v>28</v>
      </c>
      <c r="P6512" t="s">
        <v>2268</v>
      </c>
      <c r="Q6512">
        <v>46</v>
      </c>
      <c r="R6512">
        <v>-73.567300000000003</v>
      </c>
    </row>
    <row r="6513" spans="1:18" x14ac:dyDescent="0.2">
      <c r="A6513" t="s">
        <v>2349</v>
      </c>
      <c r="B6513" t="s">
        <v>6134</v>
      </c>
      <c r="C6513">
        <v>1</v>
      </c>
      <c r="D6513" s="1">
        <v>44098.931111111109</v>
      </c>
      <c r="E6513" t="s">
        <v>20369</v>
      </c>
      <c r="F6513" t="s">
        <v>2352</v>
      </c>
      <c r="G6513" t="s">
        <v>20370</v>
      </c>
      <c r="H6513" t="s">
        <v>2353</v>
      </c>
      <c r="I6513" t="s">
        <v>29</v>
      </c>
      <c r="J6513">
        <v>1</v>
      </c>
      <c r="K6513">
        <f>1-888-710-1134</f>
        <v>-2731</v>
      </c>
      <c r="L6513" t="s">
        <v>20371</v>
      </c>
      <c r="M6513" t="s">
        <v>20372</v>
      </c>
      <c r="N6513" t="s">
        <v>5986</v>
      </c>
      <c r="O6513" t="s">
        <v>28</v>
      </c>
      <c r="P6513" t="s">
        <v>29</v>
      </c>
      <c r="Q6513">
        <v>33</v>
      </c>
      <c r="R6513">
        <v>-96.802099999999996</v>
      </c>
    </row>
    <row r="6514" spans="1:18" x14ac:dyDescent="0.2">
      <c r="A6514" t="s">
        <v>2233</v>
      </c>
      <c r="B6514" t="s">
        <v>2234</v>
      </c>
      <c r="C6514">
        <v>1</v>
      </c>
      <c r="D6514" s="1">
        <v>44098.936747685184</v>
      </c>
      <c r="E6514" t="s">
        <v>20373</v>
      </c>
      <c r="F6514" t="s">
        <v>2236</v>
      </c>
      <c r="G6514" t="s">
        <v>20373</v>
      </c>
      <c r="H6514" t="s">
        <v>2237</v>
      </c>
      <c r="I6514" t="s">
        <v>29</v>
      </c>
      <c r="J6514">
        <v>1</v>
      </c>
      <c r="K6514">
        <f>1-800-838-975</f>
        <v>-2612</v>
      </c>
      <c r="L6514" t="s">
        <v>20374</v>
      </c>
      <c r="M6514" t="s">
        <v>20375</v>
      </c>
      <c r="N6514">
        <v>71</v>
      </c>
      <c r="O6514" t="s">
        <v>134</v>
      </c>
      <c r="P6514" t="s">
        <v>29</v>
      </c>
      <c r="Q6514">
        <v>40</v>
      </c>
      <c r="R6514">
        <v>-83.114099999999993</v>
      </c>
    </row>
    <row r="6515" spans="1:18" x14ac:dyDescent="0.2">
      <c r="A6515" t="s">
        <v>663</v>
      </c>
      <c r="B6515" t="s">
        <v>2493</v>
      </c>
      <c r="C6515">
        <v>1</v>
      </c>
      <c r="D6515" s="1">
        <v>44098.937800925924</v>
      </c>
      <c r="E6515" t="s">
        <v>20376</v>
      </c>
      <c r="F6515" t="s">
        <v>666</v>
      </c>
      <c r="G6515" t="s">
        <v>20376</v>
      </c>
      <c r="H6515" t="s">
        <v>667</v>
      </c>
      <c r="I6515" t="s">
        <v>29</v>
      </c>
      <c r="J6515">
        <v>1</v>
      </c>
      <c r="K6515">
        <f>1-877-515-980</f>
        <v>-2371</v>
      </c>
      <c r="L6515" t="s">
        <v>20377</v>
      </c>
      <c r="M6515" t="s">
        <v>20378</v>
      </c>
      <c r="N6515">
        <v>105</v>
      </c>
      <c r="O6515" t="s">
        <v>134</v>
      </c>
      <c r="P6515" t="s">
        <v>29</v>
      </c>
      <c r="Q6515">
        <v>41</v>
      </c>
      <c r="R6515">
        <v>-74.024699999999996</v>
      </c>
    </row>
    <row r="6516" spans="1:18" x14ac:dyDescent="0.2">
      <c r="A6516" t="s">
        <v>2349</v>
      </c>
      <c r="B6516" t="s">
        <v>10634</v>
      </c>
      <c r="C6516">
        <v>49</v>
      </c>
      <c r="D6516" s="1">
        <v>44099.490659722222</v>
      </c>
      <c r="E6516" t="s">
        <v>20379</v>
      </c>
      <c r="F6516" t="s">
        <v>4584</v>
      </c>
      <c r="G6516" t="s">
        <v>20379</v>
      </c>
      <c r="H6516" t="s">
        <v>2353</v>
      </c>
      <c r="I6516" t="s">
        <v>24</v>
      </c>
      <c r="J6516">
        <v>49</v>
      </c>
      <c r="K6516">
        <f>49-800-180-375</f>
        <v>-1306</v>
      </c>
      <c r="L6516" t="s">
        <v>20380</v>
      </c>
      <c r="M6516" t="s">
        <v>20381</v>
      </c>
      <c r="N6516">
        <v>99</v>
      </c>
      <c r="O6516" t="s">
        <v>134</v>
      </c>
      <c r="P6516" t="s">
        <v>292</v>
      </c>
      <c r="Q6516">
        <v>49</v>
      </c>
      <c r="R6516">
        <v>2.3868999999999998</v>
      </c>
    </row>
    <row r="6517" spans="1:18" x14ac:dyDescent="0.2">
      <c r="A6517" t="s">
        <v>2233</v>
      </c>
      <c r="B6517" t="s">
        <v>4281</v>
      </c>
      <c r="C6517">
        <v>49</v>
      </c>
      <c r="D6517" s="1">
        <v>44099.511041666665</v>
      </c>
      <c r="E6517" t="s">
        <v>20382</v>
      </c>
      <c r="F6517" t="s">
        <v>6618</v>
      </c>
      <c r="G6517" t="s">
        <v>20383</v>
      </c>
      <c r="H6517" t="s">
        <v>2237</v>
      </c>
      <c r="I6517" t="s">
        <v>24</v>
      </c>
      <c r="J6517">
        <v>49</v>
      </c>
      <c r="K6517">
        <f>49-30-2295-798</f>
        <v>-3074</v>
      </c>
      <c r="L6517" t="s">
        <v>20384</v>
      </c>
      <c r="M6517" t="s">
        <v>20385</v>
      </c>
      <c r="N6517" t="s">
        <v>278</v>
      </c>
      <c r="O6517" t="s">
        <v>28</v>
      </c>
      <c r="P6517" t="s">
        <v>24</v>
      </c>
      <c r="Q6517">
        <v>50</v>
      </c>
      <c r="R6517">
        <v>8.6821300000000008</v>
      </c>
    </row>
    <row r="6518" spans="1:18" x14ac:dyDescent="0.2">
      <c r="A6518" t="s">
        <v>439</v>
      </c>
      <c r="B6518" t="s">
        <v>3094</v>
      </c>
      <c r="C6518">
        <v>1</v>
      </c>
      <c r="D6518" s="1">
        <v>44099.650254629632</v>
      </c>
      <c r="E6518" t="s">
        <v>20386</v>
      </c>
      <c r="F6518" t="s">
        <v>442</v>
      </c>
      <c r="G6518" t="s">
        <v>20387</v>
      </c>
      <c r="H6518" t="s">
        <v>444</v>
      </c>
      <c r="I6518" t="s">
        <v>29</v>
      </c>
      <c r="J6518">
        <v>1</v>
      </c>
      <c r="K6518">
        <f>1-888-307-4671</f>
        <v>-5865</v>
      </c>
      <c r="L6518" t="s">
        <v>20388</v>
      </c>
      <c r="M6518" t="s">
        <v>20389</v>
      </c>
      <c r="N6518" t="s">
        <v>1645</v>
      </c>
      <c r="O6518" t="s">
        <v>28</v>
      </c>
      <c r="P6518" t="s">
        <v>2268</v>
      </c>
      <c r="Q6518">
        <v>46</v>
      </c>
      <c r="R6518">
        <v>-73.567300000000003</v>
      </c>
    </row>
    <row r="6519" spans="1:18" x14ac:dyDescent="0.2">
      <c r="A6519" t="s">
        <v>439</v>
      </c>
      <c r="B6519" t="s">
        <v>3094</v>
      </c>
      <c r="C6519">
        <v>1</v>
      </c>
      <c r="D6519" s="1">
        <v>44099.703865740739</v>
      </c>
      <c r="E6519" t="s">
        <v>20390</v>
      </c>
      <c r="F6519" t="s">
        <v>442</v>
      </c>
      <c r="G6519" t="s">
        <v>20391</v>
      </c>
      <c r="H6519" t="s">
        <v>444</v>
      </c>
      <c r="I6519" t="s">
        <v>29</v>
      </c>
      <c r="J6519">
        <v>1</v>
      </c>
      <c r="K6519">
        <f>1-888-307-4671</f>
        <v>-5865</v>
      </c>
      <c r="L6519" t="s">
        <v>20392</v>
      </c>
      <c r="M6519" t="s">
        <v>20393</v>
      </c>
      <c r="N6519" t="s">
        <v>1645</v>
      </c>
      <c r="O6519" t="s">
        <v>28</v>
      </c>
      <c r="P6519" t="s">
        <v>2268</v>
      </c>
      <c r="Q6519">
        <v>46</v>
      </c>
      <c r="R6519">
        <v>-73.567300000000003</v>
      </c>
    </row>
    <row r="6520" spans="1:18" x14ac:dyDescent="0.2">
      <c r="A6520" t="s">
        <v>439</v>
      </c>
      <c r="B6520" t="s">
        <v>3094</v>
      </c>
      <c r="C6520">
        <v>1</v>
      </c>
      <c r="D6520" s="1">
        <v>44099.771874999999</v>
      </c>
      <c r="E6520" t="s">
        <v>20394</v>
      </c>
      <c r="F6520" t="s">
        <v>442</v>
      </c>
      <c r="G6520" t="s">
        <v>20395</v>
      </c>
      <c r="H6520" t="s">
        <v>444</v>
      </c>
      <c r="I6520" t="s">
        <v>29</v>
      </c>
      <c r="J6520">
        <v>1</v>
      </c>
      <c r="K6520">
        <f>1-888-366-4715</f>
        <v>-5968</v>
      </c>
      <c r="L6520" t="s">
        <v>20396</v>
      </c>
      <c r="M6520" t="s">
        <v>20397</v>
      </c>
      <c r="N6520" t="s">
        <v>278</v>
      </c>
      <c r="O6520" t="s">
        <v>28</v>
      </c>
      <c r="P6520" t="s">
        <v>2268</v>
      </c>
      <c r="Q6520">
        <v>46</v>
      </c>
      <c r="R6520">
        <v>-73.567300000000003</v>
      </c>
    </row>
    <row r="6521" spans="1:18" x14ac:dyDescent="0.2">
      <c r="A6521" t="s">
        <v>2233</v>
      </c>
      <c r="B6521" t="s">
        <v>4672</v>
      </c>
      <c r="C6521">
        <v>1</v>
      </c>
      <c r="D6521" s="1">
        <v>44099.827361111114</v>
      </c>
      <c r="E6521" t="s">
        <v>20398</v>
      </c>
      <c r="F6521" t="s">
        <v>2236</v>
      </c>
      <c r="G6521" t="s">
        <v>20399</v>
      </c>
      <c r="H6521" t="s">
        <v>2237</v>
      </c>
      <c r="I6521" t="s">
        <v>29</v>
      </c>
      <c r="J6521">
        <v>1</v>
      </c>
      <c r="K6521">
        <f>1-855-789-393</f>
        <v>-2036</v>
      </c>
      <c r="L6521" t="s">
        <v>20400</v>
      </c>
      <c r="M6521" t="s">
        <v>20401</v>
      </c>
      <c r="N6521" t="s">
        <v>6757</v>
      </c>
      <c r="O6521" t="s">
        <v>28</v>
      </c>
      <c r="P6521" t="s">
        <v>782</v>
      </c>
      <c r="Q6521">
        <v>-34</v>
      </c>
      <c r="R6521">
        <v>99.999999000000003</v>
      </c>
    </row>
    <row r="6522" spans="1:18" x14ac:dyDescent="0.2">
      <c r="A6522" t="s">
        <v>663</v>
      </c>
      <c r="B6522" t="s">
        <v>664</v>
      </c>
      <c r="C6522">
        <v>1</v>
      </c>
      <c r="D6522" s="1">
        <v>44099.875208333331</v>
      </c>
      <c r="E6522" t="s">
        <v>20402</v>
      </c>
      <c r="F6522" t="s">
        <v>666</v>
      </c>
      <c r="G6522" t="s">
        <v>20403</v>
      </c>
      <c r="H6522" t="s">
        <v>667</v>
      </c>
      <c r="I6522" t="s">
        <v>29</v>
      </c>
      <c r="J6522">
        <v>1</v>
      </c>
      <c r="K6522">
        <f>1-888-336-9410</f>
        <v>-10633</v>
      </c>
      <c r="L6522" t="s">
        <v>20404</v>
      </c>
      <c r="M6522" t="s">
        <v>20405</v>
      </c>
      <c r="N6522" t="s">
        <v>1645</v>
      </c>
      <c r="O6522" t="s">
        <v>28</v>
      </c>
      <c r="P6522" t="s">
        <v>29</v>
      </c>
      <c r="Q6522">
        <v>37</v>
      </c>
      <c r="R6522">
        <v>-99.999999000000003</v>
      </c>
    </row>
    <row r="6523" spans="1:18" x14ac:dyDescent="0.2">
      <c r="A6523" t="s">
        <v>2233</v>
      </c>
      <c r="B6523" t="s">
        <v>4672</v>
      </c>
      <c r="C6523">
        <v>1</v>
      </c>
      <c r="D6523" s="1">
        <v>44099.891192129631</v>
      </c>
      <c r="E6523" t="s">
        <v>20406</v>
      </c>
      <c r="F6523" t="s">
        <v>2236</v>
      </c>
      <c r="G6523" t="s">
        <v>20407</v>
      </c>
      <c r="H6523" t="s">
        <v>2237</v>
      </c>
      <c r="I6523" t="s">
        <v>29</v>
      </c>
      <c r="J6523">
        <v>1</v>
      </c>
      <c r="K6523">
        <f>1-855-702-1437</f>
        <v>-2993</v>
      </c>
      <c r="L6523" t="s">
        <v>20408</v>
      </c>
      <c r="M6523" t="s">
        <v>20409</v>
      </c>
      <c r="O6523" t="s">
        <v>28</v>
      </c>
      <c r="P6523" t="s">
        <v>782</v>
      </c>
      <c r="Q6523">
        <v>-34</v>
      </c>
      <c r="R6523">
        <v>99.999999000000003</v>
      </c>
    </row>
    <row r="6524" spans="1:18" x14ac:dyDescent="0.2">
      <c r="A6524" t="s">
        <v>675</v>
      </c>
      <c r="B6524" t="s">
        <v>1412</v>
      </c>
      <c r="C6524">
        <v>81</v>
      </c>
      <c r="D6524" s="1">
        <v>44176.88957175926</v>
      </c>
      <c r="E6524" t="s">
        <v>20410</v>
      </c>
      <c r="F6524" t="s">
        <v>678</v>
      </c>
      <c r="G6524" t="s">
        <v>20411</v>
      </c>
      <c r="H6524" t="s">
        <v>680</v>
      </c>
      <c r="I6524" t="s">
        <v>53</v>
      </c>
      <c r="J6524">
        <v>81</v>
      </c>
      <c r="K6524">
        <f>81-50-3136-6601</f>
        <v>-9706</v>
      </c>
      <c r="L6524" t="s">
        <v>20412</v>
      </c>
      <c r="M6524" t="s">
        <v>20413</v>
      </c>
      <c r="N6524" t="s">
        <v>2475</v>
      </c>
      <c r="O6524" t="s">
        <v>28</v>
      </c>
      <c r="P6524" t="s">
        <v>29</v>
      </c>
      <c r="Q6524">
        <v>41</v>
      </c>
      <c r="R6524">
        <v>-74.172399999999996</v>
      </c>
    </row>
    <row r="6525" spans="1:18" x14ac:dyDescent="0.2">
      <c r="A6525" t="s">
        <v>675</v>
      </c>
      <c r="B6525" t="s">
        <v>1412</v>
      </c>
      <c r="C6525">
        <v>81</v>
      </c>
      <c r="D6525" s="1">
        <v>44176.886550925927</v>
      </c>
      <c r="E6525" t="s">
        <v>20410</v>
      </c>
      <c r="F6525" t="s">
        <v>678</v>
      </c>
      <c r="G6525" t="s">
        <v>20411</v>
      </c>
      <c r="H6525" t="s">
        <v>680</v>
      </c>
      <c r="I6525" t="s">
        <v>53</v>
      </c>
      <c r="J6525">
        <v>81</v>
      </c>
      <c r="K6525">
        <f>81-50-3136-6601</f>
        <v>-9706</v>
      </c>
      <c r="L6525" t="s">
        <v>20414</v>
      </c>
      <c r="M6525" t="s">
        <v>20415</v>
      </c>
      <c r="N6525" t="s">
        <v>2475</v>
      </c>
      <c r="O6525" t="s">
        <v>28</v>
      </c>
      <c r="P6525" t="s">
        <v>29</v>
      </c>
      <c r="Q6525">
        <v>41</v>
      </c>
      <c r="R6525">
        <v>-74.172399999999996</v>
      </c>
    </row>
    <row r="6526" spans="1:18" x14ac:dyDescent="0.2">
      <c r="A6526" t="s">
        <v>675</v>
      </c>
      <c r="B6526" t="s">
        <v>1412</v>
      </c>
      <c r="C6526">
        <v>81</v>
      </c>
      <c r="D6526" s="1">
        <v>44134.118993055556</v>
      </c>
      <c r="E6526" t="s">
        <v>20416</v>
      </c>
      <c r="F6526" t="s">
        <v>678</v>
      </c>
      <c r="G6526" t="s">
        <v>20411</v>
      </c>
      <c r="H6526" t="s">
        <v>680</v>
      </c>
      <c r="I6526" t="s">
        <v>53</v>
      </c>
      <c r="J6526">
        <v>81</v>
      </c>
      <c r="K6526">
        <f>81-50-5534-4868</f>
        <v>-10371</v>
      </c>
      <c r="L6526" t="s">
        <v>20417</v>
      </c>
      <c r="M6526" t="s">
        <v>20418</v>
      </c>
      <c r="N6526" t="s">
        <v>2475</v>
      </c>
      <c r="O6526" t="s">
        <v>28</v>
      </c>
      <c r="P6526" t="s">
        <v>29</v>
      </c>
      <c r="Q6526">
        <v>41</v>
      </c>
      <c r="R6526">
        <v>-74.172399999999996</v>
      </c>
    </row>
    <row r="6527" spans="1:18" x14ac:dyDescent="0.2">
      <c r="A6527" t="s">
        <v>675</v>
      </c>
      <c r="B6527" t="s">
        <v>1412</v>
      </c>
      <c r="C6527">
        <v>81</v>
      </c>
      <c r="D6527" s="1">
        <v>44134.118356481478</v>
      </c>
      <c r="E6527" t="s">
        <v>20416</v>
      </c>
      <c r="F6527" t="s">
        <v>678</v>
      </c>
      <c r="G6527" t="s">
        <v>20411</v>
      </c>
      <c r="H6527" t="s">
        <v>680</v>
      </c>
      <c r="I6527" t="s">
        <v>53</v>
      </c>
      <c r="J6527">
        <v>81</v>
      </c>
      <c r="K6527">
        <f>81-50-5806-4087</f>
        <v>-9862</v>
      </c>
      <c r="L6527" t="s">
        <v>20419</v>
      </c>
      <c r="M6527" t="s">
        <v>20420</v>
      </c>
      <c r="N6527" t="s">
        <v>2475</v>
      </c>
      <c r="O6527" t="s">
        <v>28</v>
      </c>
      <c r="P6527" t="s">
        <v>29</v>
      </c>
      <c r="Q6527">
        <v>41</v>
      </c>
      <c r="R6527">
        <v>-74.172399999999996</v>
      </c>
    </row>
    <row r="6528" spans="1:18" x14ac:dyDescent="0.2">
      <c r="A6528" t="s">
        <v>675</v>
      </c>
      <c r="B6528" t="s">
        <v>1412</v>
      </c>
      <c r="C6528">
        <v>81</v>
      </c>
      <c r="D6528" s="1">
        <v>44134.118217592593</v>
      </c>
      <c r="E6528" t="s">
        <v>20416</v>
      </c>
      <c r="F6528" t="s">
        <v>678</v>
      </c>
      <c r="G6528" t="s">
        <v>20411</v>
      </c>
      <c r="H6528" t="s">
        <v>680</v>
      </c>
      <c r="I6528" t="s">
        <v>53</v>
      </c>
      <c r="J6528">
        <v>81</v>
      </c>
      <c r="K6528">
        <f>81-50-5534-336</f>
        <v>-5839</v>
      </c>
      <c r="L6528" t="s">
        <v>20421</v>
      </c>
      <c r="M6528" t="s">
        <v>20422</v>
      </c>
      <c r="N6528" t="s">
        <v>2475</v>
      </c>
      <c r="O6528" t="s">
        <v>28</v>
      </c>
      <c r="P6528" t="s">
        <v>29</v>
      </c>
      <c r="Q6528">
        <v>41</v>
      </c>
      <c r="R6528">
        <v>-74.172399999999996</v>
      </c>
    </row>
    <row r="6529" spans="1:18" x14ac:dyDescent="0.2">
      <c r="A6529" t="s">
        <v>675</v>
      </c>
      <c r="B6529" t="s">
        <v>1412</v>
      </c>
      <c r="C6529">
        <v>81</v>
      </c>
      <c r="D6529" s="1">
        <v>44134.1174537037</v>
      </c>
      <c r="E6529" t="s">
        <v>20416</v>
      </c>
      <c r="F6529" t="s">
        <v>678</v>
      </c>
      <c r="G6529" t="s">
        <v>20411</v>
      </c>
      <c r="H6529" t="s">
        <v>680</v>
      </c>
      <c r="I6529" t="s">
        <v>53</v>
      </c>
      <c r="J6529">
        <v>81</v>
      </c>
      <c r="K6529">
        <f>81-50-5539-8851</f>
        <v>-14359</v>
      </c>
      <c r="L6529" t="s">
        <v>20423</v>
      </c>
      <c r="M6529" t="s">
        <v>20424</v>
      </c>
      <c r="N6529" t="s">
        <v>2475</v>
      </c>
      <c r="O6529" t="s">
        <v>28</v>
      </c>
      <c r="P6529" t="s">
        <v>29</v>
      </c>
      <c r="Q6529">
        <v>41</v>
      </c>
      <c r="R6529">
        <v>-74.172399999999996</v>
      </c>
    </row>
    <row r="6530" spans="1:18" x14ac:dyDescent="0.2">
      <c r="A6530" t="s">
        <v>675</v>
      </c>
      <c r="B6530" t="s">
        <v>1412</v>
      </c>
      <c r="C6530">
        <v>1</v>
      </c>
      <c r="D6530" s="1">
        <v>44134.116678240738</v>
      </c>
      <c r="E6530" t="s">
        <v>20416</v>
      </c>
      <c r="F6530" t="s">
        <v>678</v>
      </c>
      <c r="G6530" t="s">
        <v>20411</v>
      </c>
      <c r="H6530" t="s">
        <v>680</v>
      </c>
      <c r="I6530" t="s">
        <v>29</v>
      </c>
      <c r="J6530">
        <v>1</v>
      </c>
      <c r="K6530">
        <f>1-800-591-7978</f>
        <v>-9368</v>
      </c>
      <c r="L6530" t="s">
        <v>20425</v>
      </c>
      <c r="M6530" t="s">
        <v>20426</v>
      </c>
      <c r="N6530" t="s">
        <v>2475</v>
      </c>
      <c r="O6530" t="s">
        <v>28</v>
      </c>
      <c r="P6530" t="s">
        <v>29</v>
      </c>
      <c r="Q6530">
        <v>41</v>
      </c>
      <c r="R6530">
        <v>-74.172399999999996</v>
      </c>
    </row>
    <row r="6531" spans="1:18" x14ac:dyDescent="0.2">
      <c r="A6531" t="s">
        <v>675</v>
      </c>
      <c r="B6531" t="s">
        <v>1412</v>
      </c>
      <c r="C6531">
        <v>1</v>
      </c>
      <c r="D6531" s="1">
        <v>44112.877905092595</v>
      </c>
      <c r="E6531" t="s">
        <v>20427</v>
      </c>
      <c r="F6531" t="s">
        <v>678</v>
      </c>
      <c r="G6531" t="s">
        <v>20411</v>
      </c>
      <c r="H6531" t="s">
        <v>680</v>
      </c>
      <c r="I6531" t="s">
        <v>29</v>
      </c>
      <c r="J6531">
        <v>1</v>
      </c>
      <c r="K6531">
        <f>1-866-246-4874</f>
        <v>-5985</v>
      </c>
      <c r="L6531" t="s">
        <v>20428</v>
      </c>
      <c r="M6531" t="s">
        <v>20429</v>
      </c>
      <c r="N6531" t="s">
        <v>452</v>
      </c>
      <c r="O6531" t="s">
        <v>28</v>
      </c>
      <c r="P6531" t="s">
        <v>29</v>
      </c>
      <c r="Q6531">
        <v>41</v>
      </c>
      <c r="R6531">
        <v>-74.172399999999996</v>
      </c>
    </row>
    <row r="6532" spans="1:18" x14ac:dyDescent="0.2">
      <c r="A6532" t="s">
        <v>675</v>
      </c>
      <c r="B6532" t="s">
        <v>1412</v>
      </c>
      <c r="C6532">
        <v>81</v>
      </c>
      <c r="D6532" s="1">
        <v>44112.117395833331</v>
      </c>
      <c r="E6532" t="s">
        <v>20430</v>
      </c>
      <c r="F6532" t="s">
        <v>678</v>
      </c>
      <c r="G6532" t="s">
        <v>20411</v>
      </c>
      <c r="H6532" t="s">
        <v>680</v>
      </c>
      <c r="I6532" t="s">
        <v>53</v>
      </c>
      <c r="J6532">
        <v>81</v>
      </c>
      <c r="K6532">
        <f>81-50-5532-6691</f>
        <v>-12192</v>
      </c>
      <c r="L6532" t="s">
        <v>20431</v>
      </c>
      <c r="M6532" t="s">
        <v>20432</v>
      </c>
      <c r="N6532" t="s">
        <v>2475</v>
      </c>
      <c r="O6532" t="s">
        <v>28</v>
      </c>
      <c r="P6532" t="s">
        <v>29</v>
      </c>
      <c r="Q6532">
        <v>41</v>
      </c>
      <c r="R6532">
        <v>-74.172399999999996</v>
      </c>
    </row>
    <row r="6533" spans="1:18" x14ac:dyDescent="0.2">
      <c r="A6533" t="s">
        <v>675</v>
      </c>
      <c r="B6533" t="s">
        <v>1412</v>
      </c>
      <c r="C6533">
        <v>81</v>
      </c>
      <c r="D6533" s="1">
        <v>44110.424317129633</v>
      </c>
      <c r="E6533" t="s">
        <v>20433</v>
      </c>
      <c r="F6533" t="s">
        <v>678</v>
      </c>
      <c r="G6533" t="s">
        <v>20411</v>
      </c>
      <c r="H6533" t="s">
        <v>680</v>
      </c>
      <c r="I6533" t="s">
        <v>53</v>
      </c>
      <c r="J6533">
        <v>81</v>
      </c>
      <c r="K6533">
        <f>81-50-5539-8851</f>
        <v>-14359</v>
      </c>
      <c r="L6533" t="s">
        <v>20434</v>
      </c>
      <c r="M6533" t="s">
        <v>20435</v>
      </c>
      <c r="N6533" t="s">
        <v>2475</v>
      </c>
      <c r="O6533" t="s">
        <v>28</v>
      </c>
      <c r="P6533" t="s">
        <v>29</v>
      </c>
      <c r="Q6533">
        <v>41</v>
      </c>
      <c r="R6533">
        <v>-74.172399999999996</v>
      </c>
    </row>
    <row r="6534" spans="1:18" x14ac:dyDescent="0.2">
      <c r="A6534" t="s">
        <v>675</v>
      </c>
      <c r="B6534" t="s">
        <v>1412</v>
      </c>
      <c r="C6534">
        <v>1</v>
      </c>
      <c r="D6534" s="1">
        <v>44099.901238425926</v>
      </c>
      <c r="E6534" t="s">
        <v>20436</v>
      </c>
      <c r="F6534" t="s">
        <v>678</v>
      </c>
      <c r="G6534" t="s">
        <v>20411</v>
      </c>
      <c r="H6534" t="s">
        <v>680</v>
      </c>
      <c r="I6534" t="s">
        <v>29</v>
      </c>
      <c r="J6534">
        <v>1</v>
      </c>
      <c r="K6534">
        <f>1-855-907-3445</f>
        <v>-5206</v>
      </c>
      <c r="L6534" t="s">
        <v>20437</v>
      </c>
      <c r="M6534" t="s">
        <v>20438</v>
      </c>
      <c r="N6534" t="s">
        <v>452</v>
      </c>
      <c r="O6534" t="s">
        <v>28</v>
      </c>
      <c r="P6534" t="s">
        <v>29</v>
      </c>
      <c r="Q6534">
        <v>41</v>
      </c>
      <c r="R6534">
        <v>-74.172399999999996</v>
      </c>
    </row>
    <row r="6535" spans="1:18" x14ac:dyDescent="0.2">
      <c r="A6535" t="s">
        <v>675</v>
      </c>
      <c r="B6535" t="s">
        <v>1412</v>
      </c>
      <c r="C6535">
        <v>1</v>
      </c>
      <c r="D6535" s="1">
        <v>44099.895601851851</v>
      </c>
      <c r="E6535" t="s">
        <v>20439</v>
      </c>
      <c r="F6535" t="s">
        <v>678</v>
      </c>
      <c r="G6535" t="s">
        <v>20411</v>
      </c>
      <c r="H6535" t="s">
        <v>680</v>
      </c>
      <c r="I6535" t="s">
        <v>29</v>
      </c>
      <c r="J6535">
        <v>1</v>
      </c>
      <c r="K6535">
        <f>1-855-907-3445</f>
        <v>-5206</v>
      </c>
      <c r="L6535" t="s">
        <v>20440</v>
      </c>
      <c r="M6535" t="s">
        <v>20441</v>
      </c>
      <c r="N6535" t="s">
        <v>452</v>
      </c>
      <c r="O6535" t="s">
        <v>28</v>
      </c>
      <c r="P6535" t="s">
        <v>29</v>
      </c>
      <c r="Q6535">
        <v>41</v>
      </c>
      <c r="R6535">
        <v>-74.172399999999996</v>
      </c>
    </row>
    <row r="6536" spans="1:18" x14ac:dyDescent="0.2">
      <c r="A6536" t="s">
        <v>663</v>
      </c>
      <c r="B6536" t="s">
        <v>664</v>
      </c>
      <c r="C6536">
        <v>1</v>
      </c>
      <c r="D6536" s="1">
        <v>44100.785810185182</v>
      </c>
      <c r="E6536" t="s">
        <v>20442</v>
      </c>
      <c r="F6536" t="s">
        <v>666</v>
      </c>
      <c r="G6536" t="s">
        <v>20442</v>
      </c>
      <c r="H6536" t="s">
        <v>667</v>
      </c>
      <c r="I6536" t="s">
        <v>29</v>
      </c>
      <c r="J6536">
        <v>1</v>
      </c>
      <c r="K6536">
        <f>1-888-347-7977</f>
        <v>-9211</v>
      </c>
      <c r="L6536" t="s">
        <v>20443</v>
      </c>
      <c r="M6536" t="s">
        <v>20444</v>
      </c>
      <c r="N6536">
        <v>57</v>
      </c>
      <c r="O6536" t="s">
        <v>134</v>
      </c>
      <c r="P6536" t="s">
        <v>29</v>
      </c>
      <c r="Q6536">
        <v>37</v>
      </c>
      <c r="R6536">
        <v>-99.999999000000003</v>
      </c>
    </row>
    <row r="6537" spans="1:18" x14ac:dyDescent="0.2">
      <c r="A6537" t="s">
        <v>663</v>
      </c>
      <c r="B6537" t="s">
        <v>664</v>
      </c>
      <c r="C6537">
        <v>1</v>
      </c>
      <c r="D6537" s="1">
        <v>44100.779444444444</v>
      </c>
      <c r="E6537" t="s">
        <v>20442</v>
      </c>
      <c r="F6537" t="s">
        <v>666</v>
      </c>
      <c r="G6537" t="s">
        <v>20442</v>
      </c>
      <c r="H6537" t="s">
        <v>667</v>
      </c>
      <c r="I6537" t="s">
        <v>29</v>
      </c>
      <c r="J6537">
        <v>1</v>
      </c>
      <c r="K6537">
        <f>1-888-381-9861</f>
        <v>-11129</v>
      </c>
      <c r="L6537" t="s">
        <v>20445</v>
      </c>
      <c r="M6537" t="s">
        <v>20446</v>
      </c>
      <c r="N6537">
        <v>57</v>
      </c>
      <c r="O6537" t="s">
        <v>134</v>
      </c>
      <c r="P6537" t="s">
        <v>29</v>
      </c>
      <c r="Q6537">
        <v>37</v>
      </c>
      <c r="R6537">
        <v>-99.999999000000003</v>
      </c>
    </row>
    <row r="6538" spans="1:18" x14ac:dyDescent="0.2">
      <c r="A6538" t="s">
        <v>663</v>
      </c>
      <c r="B6538" t="s">
        <v>664</v>
      </c>
      <c r="C6538">
        <v>1</v>
      </c>
      <c r="D6538" s="1">
        <v>44100.772141203706</v>
      </c>
      <c r="E6538" t="s">
        <v>20442</v>
      </c>
      <c r="F6538" t="s">
        <v>666</v>
      </c>
      <c r="G6538" t="s">
        <v>20442</v>
      </c>
      <c r="H6538" t="s">
        <v>667</v>
      </c>
      <c r="I6538" t="s">
        <v>29</v>
      </c>
      <c r="J6538">
        <v>1</v>
      </c>
      <c r="K6538">
        <f>1-888-308-2843</f>
        <v>-4038</v>
      </c>
      <c r="L6538" t="s">
        <v>20447</v>
      </c>
      <c r="M6538" t="s">
        <v>20448</v>
      </c>
      <c r="N6538">
        <v>57</v>
      </c>
      <c r="O6538" t="s">
        <v>134</v>
      </c>
      <c r="P6538" t="s">
        <v>29</v>
      </c>
      <c r="Q6538">
        <v>37</v>
      </c>
      <c r="R6538">
        <v>-99.999999000000003</v>
      </c>
    </row>
    <row r="6539" spans="1:18" x14ac:dyDescent="0.2">
      <c r="A6539" t="s">
        <v>663</v>
      </c>
      <c r="B6539" t="s">
        <v>664</v>
      </c>
      <c r="C6539">
        <v>1</v>
      </c>
      <c r="D6539" s="1">
        <v>44099.935543981483</v>
      </c>
      <c r="E6539" t="s">
        <v>20449</v>
      </c>
      <c r="F6539" t="s">
        <v>2495</v>
      </c>
      <c r="G6539" t="s">
        <v>20449</v>
      </c>
      <c r="H6539" t="s">
        <v>667</v>
      </c>
      <c r="I6539" t="s">
        <v>29</v>
      </c>
      <c r="J6539">
        <v>1</v>
      </c>
      <c r="K6539">
        <f>1-888-308-4330</f>
        <v>-5525</v>
      </c>
      <c r="L6539" t="s">
        <v>20450</v>
      </c>
      <c r="M6539" t="s">
        <v>20451</v>
      </c>
      <c r="N6539">
        <v>214</v>
      </c>
      <c r="O6539" t="s">
        <v>134</v>
      </c>
      <c r="P6539" t="s">
        <v>29</v>
      </c>
      <c r="Q6539">
        <v>37</v>
      </c>
      <c r="R6539">
        <v>-99.999999000000003</v>
      </c>
    </row>
    <row r="6540" spans="1:18" x14ac:dyDescent="0.2">
      <c r="A6540" t="s">
        <v>2233</v>
      </c>
      <c r="B6540" t="s">
        <v>2263</v>
      </c>
      <c r="C6540">
        <v>1</v>
      </c>
      <c r="D6540" s="1">
        <v>44100.691736111112</v>
      </c>
      <c r="E6540" t="s">
        <v>20452</v>
      </c>
      <c r="F6540" t="s">
        <v>2236</v>
      </c>
      <c r="G6540" t="s">
        <v>20453</v>
      </c>
      <c r="H6540" t="s">
        <v>2237</v>
      </c>
      <c r="I6540" t="s">
        <v>29</v>
      </c>
      <c r="J6540">
        <v>1</v>
      </c>
      <c r="K6540">
        <f>1-888-556-7701</f>
        <v>-9144</v>
      </c>
      <c r="L6540" t="s">
        <v>20454</v>
      </c>
      <c r="M6540" t="s">
        <v>20455</v>
      </c>
      <c r="N6540" t="s">
        <v>5354</v>
      </c>
      <c r="O6540" t="s">
        <v>134</v>
      </c>
      <c r="P6540" t="s">
        <v>2268</v>
      </c>
      <c r="Q6540">
        <v>44</v>
      </c>
      <c r="R6540">
        <v>-79.383200000000002</v>
      </c>
    </row>
    <row r="6541" spans="1:18" x14ac:dyDescent="0.2">
      <c r="A6541" t="s">
        <v>663</v>
      </c>
      <c r="B6541" t="s">
        <v>664</v>
      </c>
      <c r="C6541">
        <v>1</v>
      </c>
      <c r="D6541" s="1">
        <v>44100.765462962961</v>
      </c>
      <c r="E6541" t="s">
        <v>20456</v>
      </c>
      <c r="F6541" t="s">
        <v>666</v>
      </c>
      <c r="G6541" t="s">
        <v>20457</v>
      </c>
      <c r="H6541" t="s">
        <v>667</v>
      </c>
      <c r="I6541" t="s">
        <v>29</v>
      </c>
      <c r="J6541">
        <v>1</v>
      </c>
      <c r="K6541">
        <f>1-888-327-8642</f>
        <v>-9856</v>
      </c>
      <c r="L6541" t="s">
        <v>20458</v>
      </c>
      <c r="M6541" t="s">
        <v>20459</v>
      </c>
      <c r="N6541" t="s">
        <v>1645</v>
      </c>
      <c r="O6541" t="s">
        <v>28</v>
      </c>
      <c r="P6541" t="s">
        <v>29</v>
      </c>
      <c r="Q6541">
        <v>37</v>
      </c>
      <c r="R6541">
        <v>-99.999999000000003</v>
      </c>
    </row>
    <row r="6542" spans="1:18" x14ac:dyDescent="0.2">
      <c r="A6542" t="s">
        <v>663</v>
      </c>
      <c r="B6542" t="s">
        <v>664</v>
      </c>
      <c r="C6542">
        <v>1</v>
      </c>
      <c r="D6542" s="1">
        <v>44100.785671296297</v>
      </c>
      <c r="E6542" t="s">
        <v>20460</v>
      </c>
      <c r="F6542" t="s">
        <v>666</v>
      </c>
      <c r="G6542" t="s">
        <v>20460</v>
      </c>
      <c r="H6542" t="s">
        <v>667</v>
      </c>
      <c r="I6542" t="s">
        <v>29</v>
      </c>
      <c r="J6542">
        <v>1</v>
      </c>
      <c r="K6542">
        <f>1-888-308-5921</f>
        <v>-7116</v>
      </c>
      <c r="L6542" t="s">
        <v>20461</v>
      </c>
      <c r="M6542" t="s">
        <v>20462</v>
      </c>
      <c r="N6542">
        <v>0</v>
      </c>
      <c r="O6542" t="s">
        <v>134</v>
      </c>
      <c r="P6542" t="s">
        <v>29</v>
      </c>
      <c r="Q6542">
        <v>37</v>
      </c>
      <c r="R6542">
        <v>-99.999999000000003</v>
      </c>
    </row>
    <row r="6543" spans="1:18" x14ac:dyDescent="0.2">
      <c r="A6543" t="s">
        <v>663</v>
      </c>
      <c r="B6543" t="s">
        <v>664</v>
      </c>
      <c r="C6543">
        <v>1</v>
      </c>
      <c r="D6543" s="1">
        <v>44100.79314814815</v>
      </c>
      <c r="E6543" t="s">
        <v>20463</v>
      </c>
      <c r="F6543" t="s">
        <v>666</v>
      </c>
      <c r="G6543" t="s">
        <v>20464</v>
      </c>
      <c r="H6543" t="s">
        <v>667</v>
      </c>
      <c r="I6543" t="s">
        <v>29</v>
      </c>
      <c r="J6543">
        <v>1</v>
      </c>
      <c r="K6543">
        <f>1-888-358-248</f>
        <v>-1493</v>
      </c>
      <c r="L6543" t="s">
        <v>20465</v>
      </c>
      <c r="M6543" t="s">
        <v>20466</v>
      </c>
      <c r="N6543" t="s">
        <v>1645</v>
      </c>
      <c r="O6543" t="s">
        <v>28</v>
      </c>
      <c r="P6543" t="s">
        <v>29</v>
      </c>
      <c r="Q6543">
        <v>37</v>
      </c>
      <c r="R6543">
        <v>-99.999999000000003</v>
      </c>
    </row>
    <row r="6544" spans="1:18" x14ac:dyDescent="0.2">
      <c r="A6544" t="s">
        <v>439</v>
      </c>
      <c r="B6544" t="s">
        <v>3094</v>
      </c>
      <c r="C6544">
        <v>1</v>
      </c>
      <c r="D6544" s="1">
        <v>44100.845300925925</v>
      </c>
      <c r="E6544" t="s">
        <v>20467</v>
      </c>
      <c r="F6544" t="s">
        <v>442</v>
      </c>
      <c r="G6544" t="s">
        <v>20468</v>
      </c>
      <c r="H6544" t="s">
        <v>444</v>
      </c>
      <c r="I6544" t="s">
        <v>29</v>
      </c>
      <c r="J6544">
        <v>1</v>
      </c>
      <c r="K6544">
        <f>1-888-335-9806</f>
        <v>-11028</v>
      </c>
      <c r="L6544" t="s">
        <v>20469</v>
      </c>
      <c r="M6544" t="s">
        <v>20470</v>
      </c>
      <c r="N6544" t="s">
        <v>1645</v>
      </c>
      <c r="O6544" t="s">
        <v>28</v>
      </c>
      <c r="P6544" t="s">
        <v>2268</v>
      </c>
      <c r="Q6544">
        <v>46</v>
      </c>
      <c r="R6544">
        <v>-73.567300000000003</v>
      </c>
    </row>
    <row r="6545" spans="1:18" x14ac:dyDescent="0.2">
      <c r="A6545" t="s">
        <v>439</v>
      </c>
      <c r="B6545" t="s">
        <v>3094</v>
      </c>
      <c r="C6545">
        <v>1</v>
      </c>
      <c r="D6545" s="1">
        <v>44100.809212962966</v>
      </c>
      <c r="E6545" t="s">
        <v>20467</v>
      </c>
      <c r="F6545" t="s">
        <v>442</v>
      </c>
      <c r="G6545" t="s">
        <v>20468</v>
      </c>
      <c r="H6545" t="s">
        <v>444</v>
      </c>
      <c r="I6545" t="s">
        <v>29</v>
      </c>
      <c r="J6545">
        <v>1</v>
      </c>
      <c r="K6545">
        <f>1-888-381-1678</f>
        <v>-2946</v>
      </c>
      <c r="L6545" t="s">
        <v>20471</v>
      </c>
      <c r="M6545" t="s">
        <v>20472</v>
      </c>
      <c r="N6545" t="s">
        <v>1645</v>
      </c>
      <c r="O6545" t="s">
        <v>28</v>
      </c>
      <c r="P6545" t="s">
        <v>2268</v>
      </c>
      <c r="Q6545">
        <v>46</v>
      </c>
      <c r="R6545">
        <v>-73.567300000000003</v>
      </c>
    </row>
    <row r="6546" spans="1:18" x14ac:dyDescent="0.2">
      <c r="A6546" t="s">
        <v>439</v>
      </c>
      <c r="B6546" t="s">
        <v>3094</v>
      </c>
      <c r="C6546">
        <v>1</v>
      </c>
      <c r="D6546" s="1">
        <v>44100.870729166665</v>
      </c>
      <c r="E6546" t="s">
        <v>20473</v>
      </c>
      <c r="F6546" t="s">
        <v>442</v>
      </c>
      <c r="G6546" t="s">
        <v>20474</v>
      </c>
      <c r="H6546" t="s">
        <v>444</v>
      </c>
      <c r="I6546" t="s">
        <v>29</v>
      </c>
      <c r="J6546">
        <v>1</v>
      </c>
      <c r="K6546">
        <f>1-888-308-4389</f>
        <v>-5584</v>
      </c>
      <c r="L6546" t="s">
        <v>20475</v>
      </c>
      <c r="M6546" t="s">
        <v>20476</v>
      </c>
      <c r="N6546" t="s">
        <v>5354</v>
      </c>
      <c r="O6546" t="s">
        <v>28</v>
      </c>
      <c r="P6546" t="s">
        <v>2268</v>
      </c>
      <c r="Q6546">
        <v>46</v>
      </c>
      <c r="R6546">
        <v>-73.567300000000003</v>
      </c>
    </row>
    <row r="6547" spans="1:18" x14ac:dyDescent="0.2">
      <c r="A6547" t="s">
        <v>439</v>
      </c>
      <c r="B6547" t="s">
        <v>3094</v>
      </c>
      <c r="C6547">
        <v>1</v>
      </c>
      <c r="D6547" s="1">
        <v>44100.860590277778</v>
      </c>
      <c r="E6547" t="s">
        <v>20473</v>
      </c>
      <c r="F6547" t="s">
        <v>442</v>
      </c>
      <c r="G6547" t="s">
        <v>20474</v>
      </c>
      <c r="H6547" t="s">
        <v>444</v>
      </c>
      <c r="I6547" t="s">
        <v>29</v>
      </c>
      <c r="J6547">
        <v>1</v>
      </c>
      <c r="K6547">
        <f>1-888-339-1559</f>
        <v>-2785</v>
      </c>
      <c r="L6547" t="s">
        <v>20477</v>
      </c>
      <c r="M6547" t="s">
        <v>20478</v>
      </c>
      <c r="N6547" t="s">
        <v>5354</v>
      </c>
      <c r="O6547" t="s">
        <v>28</v>
      </c>
      <c r="P6547" t="s">
        <v>2268</v>
      </c>
      <c r="Q6547">
        <v>46</v>
      </c>
      <c r="R6547">
        <v>-73.567300000000003</v>
      </c>
    </row>
    <row r="6548" spans="1:18" x14ac:dyDescent="0.2">
      <c r="A6548" t="s">
        <v>663</v>
      </c>
      <c r="B6548" t="s">
        <v>664</v>
      </c>
      <c r="C6548">
        <v>1</v>
      </c>
      <c r="D6548" s="1">
        <v>44100.901655092595</v>
      </c>
      <c r="E6548" t="s">
        <v>20479</v>
      </c>
      <c r="F6548" t="s">
        <v>666</v>
      </c>
      <c r="G6548" t="s">
        <v>20480</v>
      </c>
      <c r="H6548" t="s">
        <v>667</v>
      </c>
      <c r="I6548" t="s">
        <v>29</v>
      </c>
      <c r="J6548">
        <v>1</v>
      </c>
      <c r="K6548">
        <f>1-888-380-7169</f>
        <v>-8436</v>
      </c>
      <c r="L6548" t="s">
        <v>20481</v>
      </c>
      <c r="M6548" t="s">
        <v>20482</v>
      </c>
      <c r="N6548" t="s">
        <v>1645</v>
      </c>
      <c r="O6548" t="s">
        <v>28</v>
      </c>
      <c r="P6548" t="s">
        <v>29</v>
      </c>
      <c r="Q6548">
        <v>37</v>
      </c>
      <c r="R6548">
        <v>-99.999999000000003</v>
      </c>
    </row>
    <row r="6549" spans="1:18" x14ac:dyDescent="0.2">
      <c r="A6549" t="s">
        <v>663</v>
      </c>
      <c r="B6549" t="s">
        <v>664</v>
      </c>
      <c r="C6549">
        <v>1</v>
      </c>
      <c r="D6549" s="1">
        <v>44100.901805555557</v>
      </c>
      <c r="E6549" t="s">
        <v>20483</v>
      </c>
      <c r="F6549" t="s">
        <v>2495</v>
      </c>
      <c r="G6549" t="s">
        <v>20483</v>
      </c>
      <c r="H6549" t="s">
        <v>667</v>
      </c>
      <c r="I6549" t="s">
        <v>29</v>
      </c>
      <c r="J6549">
        <v>1</v>
      </c>
      <c r="K6549">
        <f>1-888-365-6570</f>
        <v>-7822</v>
      </c>
      <c r="L6549" t="s">
        <v>20484</v>
      </c>
      <c r="M6549" t="s">
        <v>20485</v>
      </c>
      <c r="N6549">
        <v>89</v>
      </c>
      <c r="O6549" t="s">
        <v>134</v>
      </c>
      <c r="P6549" t="s">
        <v>29</v>
      </c>
      <c r="Q6549">
        <v>37</v>
      </c>
      <c r="R6549">
        <v>-99.999999000000003</v>
      </c>
    </row>
    <row r="6550" spans="1:18" x14ac:dyDescent="0.2">
      <c r="A6550" t="s">
        <v>663</v>
      </c>
      <c r="B6550" t="s">
        <v>4281</v>
      </c>
      <c r="C6550">
        <v>1</v>
      </c>
      <c r="D6550" s="1">
        <v>44100.901967592596</v>
      </c>
      <c r="E6550" t="s">
        <v>20486</v>
      </c>
      <c r="F6550" t="s">
        <v>666</v>
      </c>
      <c r="G6550" t="s">
        <v>20486</v>
      </c>
      <c r="H6550" t="s">
        <v>667</v>
      </c>
      <c r="I6550" t="s">
        <v>29</v>
      </c>
      <c r="J6550">
        <v>1</v>
      </c>
      <c r="K6550">
        <f>1-888-279-3961</f>
        <v>-5127</v>
      </c>
      <c r="L6550" t="s">
        <v>20487</v>
      </c>
      <c r="M6550" t="s">
        <v>20488</v>
      </c>
      <c r="N6550">
        <v>50</v>
      </c>
      <c r="O6550" t="s">
        <v>134</v>
      </c>
      <c r="P6550" t="s">
        <v>24</v>
      </c>
      <c r="Q6550">
        <v>50</v>
      </c>
      <c r="R6550">
        <v>8.6843000000000004</v>
      </c>
    </row>
    <row r="6551" spans="1:18" x14ac:dyDescent="0.2">
      <c r="A6551" t="s">
        <v>663</v>
      </c>
      <c r="B6551" t="s">
        <v>664</v>
      </c>
      <c r="C6551">
        <v>1</v>
      </c>
      <c r="D6551" s="1">
        <v>44101.059629629628</v>
      </c>
      <c r="E6551" t="s">
        <v>20489</v>
      </c>
      <c r="F6551" t="s">
        <v>666</v>
      </c>
      <c r="G6551" t="s">
        <v>20489</v>
      </c>
      <c r="H6551" t="s">
        <v>667</v>
      </c>
      <c r="I6551" t="s">
        <v>29</v>
      </c>
      <c r="J6551">
        <v>1</v>
      </c>
      <c r="K6551">
        <f>1-888-308-5727</f>
        <v>-6922</v>
      </c>
      <c r="L6551" t="s">
        <v>20490</v>
      </c>
      <c r="M6551" t="s">
        <v>20491</v>
      </c>
      <c r="N6551">
        <v>208</v>
      </c>
      <c r="O6551" t="s">
        <v>134</v>
      </c>
      <c r="P6551" t="s">
        <v>29</v>
      </c>
      <c r="Q6551">
        <v>37</v>
      </c>
      <c r="R6551">
        <v>-99.999999000000003</v>
      </c>
    </row>
    <row r="6552" spans="1:18" x14ac:dyDescent="0.2">
      <c r="A6552" t="s">
        <v>2349</v>
      </c>
      <c r="B6552" t="s">
        <v>6134</v>
      </c>
      <c r="C6552">
        <v>1</v>
      </c>
      <c r="D6552" s="1">
        <v>44101.198217592595</v>
      </c>
      <c r="E6552" t="s">
        <v>20492</v>
      </c>
      <c r="F6552" t="s">
        <v>2352</v>
      </c>
      <c r="G6552" t="s">
        <v>20493</v>
      </c>
      <c r="H6552" t="s">
        <v>2353</v>
      </c>
      <c r="I6552" t="s">
        <v>29</v>
      </c>
      <c r="J6552">
        <v>1</v>
      </c>
      <c r="K6552">
        <f>1-888-710-1093</f>
        <v>-2690</v>
      </c>
      <c r="L6552" t="s">
        <v>20494</v>
      </c>
      <c r="M6552" t="s">
        <v>20495</v>
      </c>
      <c r="N6552" t="s">
        <v>5986</v>
      </c>
      <c r="O6552" t="s">
        <v>28</v>
      </c>
      <c r="P6552" t="s">
        <v>29</v>
      </c>
      <c r="Q6552">
        <v>33</v>
      </c>
      <c r="R6552">
        <v>-96.833600000000004</v>
      </c>
    </row>
    <row r="6553" spans="1:18" x14ac:dyDescent="0.2">
      <c r="A6553" t="s">
        <v>439</v>
      </c>
      <c r="B6553" t="s">
        <v>3094</v>
      </c>
      <c r="C6553">
        <v>1</v>
      </c>
      <c r="D6553" s="1">
        <v>44101.635868055557</v>
      </c>
      <c r="E6553" t="s">
        <v>20496</v>
      </c>
      <c r="F6553" t="s">
        <v>442</v>
      </c>
      <c r="G6553" t="s">
        <v>20497</v>
      </c>
      <c r="H6553" t="s">
        <v>444</v>
      </c>
      <c r="I6553" t="s">
        <v>29</v>
      </c>
      <c r="J6553">
        <v>1</v>
      </c>
      <c r="K6553">
        <f>1-833-809-7470</f>
        <v>-9111</v>
      </c>
      <c r="L6553" t="s">
        <v>20498</v>
      </c>
      <c r="M6553" t="s">
        <v>20499</v>
      </c>
      <c r="N6553" t="s">
        <v>452</v>
      </c>
      <c r="O6553" t="s">
        <v>28</v>
      </c>
      <c r="P6553" t="s">
        <v>2268</v>
      </c>
      <c r="Q6553">
        <v>46</v>
      </c>
      <c r="R6553">
        <v>-73.567300000000003</v>
      </c>
    </row>
    <row r="6554" spans="1:18" x14ac:dyDescent="0.2">
      <c r="A6554" t="s">
        <v>439</v>
      </c>
      <c r="B6554" t="s">
        <v>3094</v>
      </c>
      <c r="C6554">
        <v>41</v>
      </c>
      <c r="D6554" s="1">
        <v>44101.652337962965</v>
      </c>
      <c r="E6554" t="s">
        <v>20500</v>
      </c>
      <c r="F6554" t="s">
        <v>442</v>
      </c>
      <c r="G6554" t="s">
        <v>20501</v>
      </c>
      <c r="H6554" t="s">
        <v>444</v>
      </c>
      <c r="I6554" t="s">
        <v>204</v>
      </c>
      <c r="J6554">
        <v>41</v>
      </c>
      <c r="K6554">
        <f>41-44-586-24-6</f>
        <v>-619</v>
      </c>
      <c r="L6554" t="s">
        <v>20502</v>
      </c>
      <c r="M6554" t="s">
        <v>20503</v>
      </c>
      <c r="N6554" t="s">
        <v>3454</v>
      </c>
      <c r="O6554" t="s">
        <v>134</v>
      </c>
      <c r="P6554" t="s">
        <v>2268</v>
      </c>
      <c r="Q6554">
        <v>46</v>
      </c>
      <c r="R6554">
        <v>-73.567300000000003</v>
      </c>
    </row>
    <row r="6555" spans="1:18" x14ac:dyDescent="0.2">
      <c r="A6555" t="s">
        <v>663</v>
      </c>
      <c r="B6555" t="s">
        <v>664</v>
      </c>
      <c r="C6555">
        <v>1</v>
      </c>
      <c r="D6555" s="1">
        <v>44101.758020833331</v>
      </c>
      <c r="E6555" t="s">
        <v>20504</v>
      </c>
      <c r="F6555" t="s">
        <v>2495</v>
      </c>
      <c r="G6555" t="s">
        <v>20504</v>
      </c>
      <c r="H6555" t="s">
        <v>667</v>
      </c>
      <c r="I6555" t="s">
        <v>29</v>
      </c>
      <c r="J6555">
        <v>1</v>
      </c>
      <c r="K6555">
        <f>1-888-308-5132</f>
        <v>-6327</v>
      </c>
      <c r="L6555" t="s">
        <v>20505</v>
      </c>
      <c r="M6555" t="s">
        <v>20506</v>
      </c>
      <c r="N6555">
        <v>86</v>
      </c>
      <c r="O6555" t="s">
        <v>134</v>
      </c>
      <c r="P6555" t="s">
        <v>29</v>
      </c>
      <c r="Q6555">
        <v>37</v>
      </c>
      <c r="R6555">
        <v>-99.999999000000003</v>
      </c>
    </row>
    <row r="6556" spans="1:18" x14ac:dyDescent="0.2">
      <c r="A6556" t="s">
        <v>663</v>
      </c>
      <c r="B6556" t="s">
        <v>664</v>
      </c>
      <c r="C6556">
        <v>1</v>
      </c>
      <c r="D6556" s="1">
        <v>44101.805925925924</v>
      </c>
      <c r="E6556" t="s">
        <v>20507</v>
      </c>
      <c r="F6556" t="s">
        <v>666</v>
      </c>
      <c r="G6556" t="s">
        <v>20508</v>
      </c>
      <c r="H6556" t="s">
        <v>667</v>
      </c>
      <c r="I6556" t="s">
        <v>29</v>
      </c>
      <c r="J6556">
        <v>1</v>
      </c>
      <c r="K6556">
        <f>1-888-308-4860</f>
        <v>-6055</v>
      </c>
      <c r="L6556" t="s">
        <v>20509</v>
      </c>
      <c r="M6556" t="s">
        <v>20510</v>
      </c>
      <c r="N6556" t="s">
        <v>1645</v>
      </c>
      <c r="O6556" t="s">
        <v>28</v>
      </c>
      <c r="P6556" t="s">
        <v>29</v>
      </c>
      <c r="Q6556">
        <v>37</v>
      </c>
      <c r="R6556">
        <v>-99.999999000000003</v>
      </c>
    </row>
    <row r="6557" spans="1:18" x14ac:dyDescent="0.2">
      <c r="A6557" t="s">
        <v>663</v>
      </c>
      <c r="B6557" t="s">
        <v>664</v>
      </c>
      <c r="C6557">
        <v>1</v>
      </c>
      <c r="D6557" s="1">
        <v>44101.846412037034</v>
      </c>
      <c r="E6557" t="s">
        <v>20511</v>
      </c>
      <c r="F6557" t="s">
        <v>666</v>
      </c>
      <c r="G6557" t="s">
        <v>20512</v>
      </c>
      <c r="H6557" t="s">
        <v>667</v>
      </c>
      <c r="I6557" t="s">
        <v>29</v>
      </c>
      <c r="J6557">
        <v>1</v>
      </c>
      <c r="K6557">
        <f>1-888-308-5926</f>
        <v>-7121</v>
      </c>
      <c r="L6557" t="s">
        <v>20513</v>
      </c>
      <c r="M6557" t="s">
        <v>20514</v>
      </c>
      <c r="N6557" t="s">
        <v>1645</v>
      </c>
      <c r="O6557" t="s">
        <v>28</v>
      </c>
      <c r="P6557" t="s">
        <v>29</v>
      </c>
      <c r="Q6557">
        <v>37</v>
      </c>
      <c r="R6557">
        <v>-99.999999000000003</v>
      </c>
    </row>
    <row r="6558" spans="1:18" x14ac:dyDescent="0.2">
      <c r="A6558" t="s">
        <v>663</v>
      </c>
      <c r="B6558" t="s">
        <v>664</v>
      </c>
      <c r="C6558">
        <v>1</v>
      </c>
      <c r="D6558" s="1">
        <v>44101.86341435185</v>
      </c>
      <c r="E6558" t="s">
        <v>20515</v>
      </c>
      <c r="F6558" t="s">
        <v>666</v>
      </c>
      <c r="G6558" t="s">
        <v>20515</v>
      </c>
      <c r="H6558" t="s">
        <v>667</v>
      </c>
      <c r="I6558" t="s">
        <v>29</v>
      </c>
      <c r="J6558">
        <v>1</v>
      </c>
      <c r="K6558">
        <f>1-888-353-7352</f>
        <v>-8592</v>
      </c>
      <c r="L6558" t="s">
        <v>20516</v>
      </c>
      <c r="M6558" t="s">
        <v>20517</v>
      </c>
      <c r="N6558">
        <v>146</v>
      </c>
      <c r="O6558" t="s">
        <v>134</v>
      </c>
      <c r="P6558" t="s">
        <v>29</v>
      </c>
      <c r="Q6558">
        <v>37</v>
      </c>
      <c r="R6558">
        <v>-99.999999000000003</v>
      </c>
    </row>
    <row r="6559" spans="1:18" x14ac:dyDescent="0.2">
      <c r="A6559" t="s">
        <v>663</v>
      </c>
      <c r="B6559" t="s">
        <v>664</v>
      </c>
      <c r="C6559">
        <v>1</v>
      </c>
      <c r="D6559" s="1">
        <v>44101.870266203703</v>
      </c>
      <c r="E6559" t="s">
        <v>20518</v>
      </c>
      <c r="F6559" t="s">
        <v>2495</v>
      </c>
      <c r="G6559" t="s">
        <v>20518</v>
      </c>
      <c r="H6559" t="s">
        <v>667</v>
      </c>
      <c r="I6559" t="s">
        <v>29</v>
      </c>
      <c r="J6559">
        <v>1</v>
      </c>
      <c r="K6559">
        <f>1-888-320-4465</f>
        <v>-5672</v>
      </c>
      <c r="L6559" t="s">
        <v>20519</v>
      </c>
      <c r="M6559" t="s">
        <v>20520</v>
      </c>
      <c r="N6559">
        <v>58</v>
      </c>
      <c r="O6559" t="s">
        <v>134</v>
      </c>
      <c r="P6559" t="s">
        <v>29</v>
      </c>
      <c r="Q6559">
        <v>37</v>
      </c>
      <c r="R6559">
        <v>-99.999999000000003</v>
      </c>
    </row>
    <row r="6560" spans="1:18" x14ac:dyDescent="0.2">
      <c r="A6560" t="s">
        <v>439</v>
      </c>
      <c r="B6560" t="s">
        <v>3094</v>
      </c>
      <c r="C6560">
        <v>1</v>
      </c>
      <c r="D6560" s="1">
        <v>44101.874409722222</v>
      </c>
      <c r="E6560" t="s">
        <v>20521</v>
      </c>
      <c r="F6560" t="s">
        <v>442</v>
      </c>
      <c r="G6560" t="s">
        <v>20522</v>
      </c>
      <c r="H6560" t="s">
        <v>444</v>
      </c>
      <c r="I6560" t="s">
        <v>29</v>
      </c>
      <c r="J6560">
        <v>1</v>
      </c>
      <c r="K6560">
        <f>1-888-331-1785</f>
        <v>-3003</v>
      </c>
      <c r="L6560" t="s">
        <v>20523</v>
      </c>
      <c r="M6560" t="s">
        <v>20524</v>
      </c>
      <c r="N6560" t="s">
        <v>447</v>
      </c>
      <c r="O6560" t="s">
        <v>28</v>
      </c>
      <c r="P6560" t="s">
        <v>2268</v>
      </c>
      <c r="Q6560">
        <v>46</v>
      </c>
      <c r="R6560">
        <v>-73.567300000000003</v>
      </c>
    </row>
    <row r="6561" spans="1:18" x14ac:dyDescent="0.2">
      <c r="A6561" t="s">
        <v>663</v>
      </c>
      <c r="B6561" t="s">
        <v>664</v>
      </c>
      <c r="C6561">
        <v>1</v>
      </c>
      <c r="D6561" s="1">
        <v>44101.883229166669</v>
      </c>
      <c r="E6561" t="s">
        <v>20525</v>
      </c>
      <c r="F6561" t="s">
        <v>2495</v>
      </c>
      <c r="G6561" t="s">
        <v>20525</v>
      </c>
      <c r="H6561" t="s">
        <v>667</v>
      </c>
      <c r="I6561" t="s">
        <v>29</v>
      </c>
      <c r="J6561">
        <v>1</v>
      </c>
      <c r="K6561">
        <f>1-888-322-9882</f>
        <v>-11091</v>
      </c>
      <c r="L6561" t="s">
        <v>20526</v>
      </c>
      <c r="M6561" t="s">
        <v>20527</v>
      </c>
      <c r="N6561">
        <v>63</v>
      </c>
      <c r="O6561" t="s">
        <v>134</v>
      </c>
      <c r="P6561" t="s">
        <v>29</v>
      </c>
      <c r="Q6561">
        <v>37</v>
      </c>
      <c r="R6561">
        <v>-99.999999000000003</v>
      </c>
    </row>
    <row r="6562" spans="1:18" x14ac:dyDescent="0.2">
      <c r="A6562" t="s">
        <v>663</v>
      </c>
      <c r="B6562" t="s">
        <v>664</v>
      </c>
      <c r="C6562">
        <v>1</v>
      </c>
      <c r="D6562" s="1">
        <v>44101.91233796296</v>
      </c>
      <c r="E6562" t="s">
        <v>20528</v>
      </c>
      <c r="F6562" t="s">
        <v>666</v>
      </c>
      <c r="G6562" t="s">
        <v>20528</v>
      </c>
      <c r="H6562" t="s">
        <v>667</v>
      </c>
      <c r="I6562" t="s">
        <v>29</v>
      </c>
      <c r="J6562">
        <v>1</v>
      </c>
      <c r="K6562">
        <f>1-888-296-5494</f>
        <v>-6677</v>
      </c>
      <c r="L6562" t="s">
        <v>20529</v>
      </c>
      <c r="M6562" t="s">
        <v>20530</v>
      </c>
      <c r="N6562">
        <v>56</v>
      </c>
      <c r="O6562" t="s">
        <v>134</v>
      </c>
      <c r="P6562" t="s">
        <v>29</v>
      </c>
      <c r="Q6562">
        <v>37</v>
      </c>
      <c r="R6562">
        <v>-99.999999000000003</v>
      </c>
    </row>
    <row r="6563" spans="1:18" x14ac:dyDescent="0.2">
      <c r="A6563" t="s">
        <v>663</v>
      </c>
      <c r="B6563" t="s">
        <v>664</v>
      </c>
      <c r="C6563">
        <v>1</v>
      </c>
      <c r="D6563" s="1">
        <v>44101.918506944443</v>
      </c>
      <c r="E6563" t="s">
        <v>20531</v>
      </c>
      <c r="F6563" t="s">
        <v>666</v>
      </c>
      <c r="G6563" t="s">
        <v>20531</v>
      </c>
      <c r="H6563" t="s">
        <v>667</v>
      </c>
      <c r="I6563" t="s">
        <v>29</v>
      </c>
      <c r="J6563">
        <v>1</v>
      </c>
      <c r="K6563">
        <f>1-888-352-3910</f>
        <v>-5149</v>
      </c>
      <c r="L6563" t="s">
        <v>20532</v>
      </c>
      <c r="M6563" t="s">
        <v>20533</v>
      </c>
      <c r="N6563">
        <v>155</v>
      </c>
      <c r="O6563" t="s">
        <v>134</v>
      </c>
      <c r="P6563" t="s">
        <v>29</v>
      </c>
      <c r="Q6563">
        <v>37</v>
      </c>
      <c r="R6563">
        <v>-99.999999000000003</v>
      </c>
    </row>
    <row r="6564" spans="1:18" x14ac:dyDescent="0.2">
      <c r="A6564" t="s">
        <v>663</v>
      </c>
      <c r="B6564" t="s">
        <v>664</v>
      </c>
      <c r="C6564">
        <v>1</v>
      </c>
      <c r="D6564" s="1">
        <v>44101.918993055559</v>
      </c>
      <c r="E6564" t="s">
        <v>20534</v>
      </c>
      <c r="F6564" t="s">
        <v>666</v>
      </c>
      <c r="G6564" t="s">
        <v>20535</v>
      </c>
      <c r="H6564" t="s">
        <v>667</v>
      </c>
      <c r="I6564" t="s">
        <v>29</v>
      </c>
      <c r="J6564">
        <v>1</v>
      </c>
      <c r="K6564">
        <f>1-888-291-2858</f>
        <v>-4036</v>
      </c>
      <c r="L6564" t="s">
        <v>20536</v>
      </c>
      <c r="M6564" t="s">
        <v>20537</v>
      </c>
      <c r="N6564" t="s">
        <v>1645</v>
      </c>
      <c r="O6564" t="s">
        <v>28</v>
      </c>
      <c r="P6564" t="s">
        <v>29</v>
      </c>
      <c r="Q6564">
        <v>37</v>
      </c>
      <c r="R6564">
        <v>-99.999999000000003</v>
      </c>
    </row>
    <row r="6565" spans="1:18" x14ac:dyDescent="0.2">
      <c r="A6565" t="s">
        <v>663</v>
      </c>
      <c r="B6565" t="s">
        <v>3245</v>
      </c>
      <c r="C6565">
        <v>1</v>
      </c>
      <c r="D6565" s="1">
        <v>44101.988182870373</v>
      </c>
      <c r="E6565" t="s">
        <v>20538</v>
      </c>
      <c r="F6565" t="s">
        <v>666</v>
      </c>
      <c r="G6565" t="s">
        <v>20539</v>
      </c>
      <c r="H6565" t="s">
        <v>667</v>
      </c>
      <c r="I6565" t="s">
        <v>29</v>
      </c>
      <c r="J6565">
        <v>1</v>
      </c>
      <c r="K6565">
        <f>1-888-346-677</f>
        <v>-1910</v>
      </c>
      <c r="L6565" t="s">
        <v>20540</v>
      </c>
      <c r="M6565" t="s">
        <v>20541</v>
      </c>
      <c r="N6565" t="s">
        <v>1645</v>
      </c>
      <c r="O6565" t="s">
        <v>28</v>
      </c>
      <c r="P6565" t="s">
        <v>29</v>
      </c>
      <c r="Q6565">
        <v>41</v>
      </c>
      <c r="R6565">
        <v>-74.140299999999996</v>
      </c>
    </row>
    <row r="6566" spans="1:18" x14ac:dyDescent="0.2">
      <c r="A6566" t="s">
        <v>663</v>
      </c>
      <c r="B6566" t="s">
        <v>664</v>
      </c>
      <c r="C6566">
        <v>1</v>
      </c>
      <c r="D6566" s="1">
        <v>44102.001631944448</v>
      </c>
      <c r="E6566" t="s">
        <v>20542</v>
      </c>
      <c r="F6566" t="s">
        <v>2495</v>
      </c>
      <c r="G6566" t="s">
        <v>20542</v>
      </c>
      <c r="H6566" t="s">
        <v>667</v>
      </c>
      <c r="I6566" t="s">
        <v>29</v>
      </c>
      <c r="J6566">
        <v>1</v>
      </c>
      <c r="K6566">
        <f>1-888-374-1885</f>
        <v>-3146</v>
      </c>
      <c r="L6566" t="s">
        <v>20543</v>
      </c>
      <c r="M6566" t="s">
        <v>20544</v>
      </c>
      <c r="N6566">
        <v>7</v>
      </c>
      <c r="O6566" t="s">
        <v>134</v>
      </c>
      <c r="P6566" t="s">
        <v>29</v>
      </c>
      <c r="Q6566">
        <v>37</v>
      </c>
      <c r="R6566">
        <v>-99.999999000000003</v>
      </c>
    </row>
    <row r="6567" spans="1:18" x14ac:dyDescent="0.2">
      <c r="A6567" t="s">
        <v>2233</v>
      </c>
      <c r="B6567" t="s">
        <v>454</v>
      </c>
      <c r="C6567">
        <v>49</v>
      </c>
      <c r="D6567" s="1">
        <v>44102.423773148148</v>
      </c>
      <c r="E6567" t="s">
        <v>20545</v>
      </c>
      <c r="F6567" t="s">
        <v>6618</v>
      </c>
      <c r="G6567" t="s">
        <v>20546</v>
      </c>
      <c r="H6567" t="s">
        <v>2237</v>
      </c>
      <c r="I6567" t="s">
        <v>24</v>
      </c>
      <c r="J6567">
        <v>49</v>
      </c>
      <c r="K6567">
        <f>49-30-2295-7981</f>
        <v>-10257</v>
      </c>
      <c r="L6567" t="s">
        <v>20547</v>
      </c>
      <c r="M6567" t="s">
        <v>20548</v>
      </c>
      <c r="N6567" t="s">
        <v>278</v>
      </c>
      <c r="O6567" t="s">
        <v>28</v>
      </c>
      <c r="P6567" t="s">
        <v>461</v>
      </c>
      <c r="Q6567">
        <v>52</v>
      </c>
      <c r="R6567">
        <v>4.8945400000000001</v>
      </c>
    </row>
    <row r="6568" spans="1:18" x14ac:dyDescent="0.2">
      <c r="A6568" t="s">
        <v>439</v>
      </c>
      <c r="B6568" t="s">
        <v>3094</v>
      </c>
      <c r="C6568">
        <v>1</v>
      </c>
      <c r="D6568" s="1">
        <v>44102.787824074076</v>
      </c>
      <c r="E6568" t="s">
        <v>20549</v>
      </c>
      <c r="F6568" t="s">
        <v>442</v>
      </c>
      <c r="G6568" t="s">
        <v>20550</v>
      </c>
      <c r="H6568" t="s">
        <v>444</v>
      </c>
      <c r="I6568" t="s">
        <v>29</v>
      </c>
      <c r="J6568">
        <v>1</v>
      </c>
      <c r="K6568">
        <f>1-888-297-447</f>
        <v>-1631</v>
      </c>
      <c r="L6568" t="s">
        <v>20551</v>
      </c>
      <c r="M6568" t="s">
        <v>20552</v>
      </c>
      <c r="N6568" t="s">
        <v>20553</v>
      </c>
      <c r="O6568" t="s">
        <v>28</v>
      </c>
      <c r="P6568" t="s">
        <v>2268</v>
      </c>
      <c r="Q6568">
        <v>46</v>
      </c>
      <c r="R6568">
        <v>-73.567300000000003</v>
      </c>
    </row>
    <row r="6569" spans="1:18" x14ac:dyDescent="0.2">
      <c r="A6569" t="s">
        <v>439</v>
      </c>
      <c r="B6569" t="s">
        <v>3094</v>
      </c>
      <c r="C6569">
        <v>1</v>
      </c>
      <c r="D6569" s="1">
        <v>44102.832708333335</v>
      </c>
      <c r="E6569" t="s">
        <v>20554</v>
      </c>
      <c r="F6569" t="s">
        <v>442</v>
      </c>
      <c r="G6569" t="s">
        <v>20555</v>
      </c>
      <c r="H6569" t="s">
        <v>444</v>
      </c>
      <c r="I6569" t="s">
        <v>29</v>
      </c>
      <c r="J6569">
        <v>1</v>
      </c>
      <c r="K6569">
        <f>1-888-527-5414</f>
        <v>-6828</v>
      </c>
      <c r="L6569" t="s">
        <v>20556</v>
      </c>
      <c r="M6569" t="s">
        <v>20557</v>
      </c>
      <c r="N6569" t="s">
        <v>452</v>
      </c>
      <c r="O6569" t="s">
        <v>28</v>
      </c>
      <c r="P6569" t="s">
        <v>2268</v>
      </c>
      <c r="Q6569">
        <v>46</v>
      </c>
      <c r="R6569">
        <v>-73.567300000000003</v>
      </c>
    </row>
    <row r="6570" spans="1:18" x14ac:dyDescent="0.2">
      <c r="A6570" t="s">
        <v>439</v>
      </c>
      <c r="B6570" t="s">
        <v>3094</v>
      </c>
      <c r="C6570">
        <v>1</v>
      </c>
      <c r="D6570" s="1">
        <v>44102.84003472222</v>
      </c>
      <c r="E6570" t="s">
        <v>20558</v>
      </c>
      <c r="F6570" t="s">
        <v>442</v>
      </c>
      <c r="G6570" t="s">
        <v>20559</v>
      </c>
      <c r="H6570" t="s">
        <v>444</v>
      </c>
      <c r="I6570" t="s">
        <v>29</v>
      </c>
      <c r="J6570">
        <v>1</v>
      </c>
      <c r="K6570">
        <f>1-888-308-5194</f>
        <v>-6389</v>
      </c>
      <c r="L6570" t="s">
        <v>20560</v>
      </c>
      <c r="M6570" t="s">
        <v>20561</v>
      </c>
      <c r="N6570" t="s">
        <v>5354</v>
      </c>
      <c r="O6570" t="s">
        <v>28</v>
      </c>
      <c r="P6570" t="s">
        <v>2268</v>
      </c>
      <c r="Q6570">
        <v>46</v>
      </c>
      <c r="R6570">
        <v>-73.567300000000003</v>
      </c>
    </row>
    <row r="6571" spans="1:18" x14ac:dyDescent="0.2">
      <c r="A6571" t="s">
        <v>1200</v>
      </c>
      <c r="B6571" t="s">
        <v>2500</v>
      </c>
      <c r="C6571">
        <v>1</v>
      </c>
      <c r="D6571" s="1">
        <v>44102.853715277779</v>
      </c>
      <c r="E6571" t="s">
        <v>20562</v>
      </c>
      <c r="F6571" t="s">
        <v>1203</v>
      </c>
      <c r="G6571" t="s">
        <v>20563</v>
      </c>
      <c r="H6571" t="s">
        <v>1205</v>
      </c>
      <c r="I6571" t="s">
        <v>29</v>
      </c>
      <c r="J6571">
        <v>1</v>
      </c>
      <c r="K6571">
        <f>1-844-211-1911</f>
        <v>-2965</v>
      </c>
      <c r="L6571" t="s">
        <v>20564</v>
      </c>
      <c r="M6571" t="s">
        <v>20565</v>
      </c>
      <c r="N6571" t="s">
        <v>452</v>
      </c>
      <c r="O6571" t="s">
        <v>28</v>
      </c>
      <c r="P6571" t="s">
        <v>2500</v>
      </c>
      <c r="Q6571">
        <v>1</v>
      </c>
      <c r="R6571">
        <v>99.999999000000003</v>
      </c>
    </row>
    <row r="6572" spans="1:18" x14ac:dyDescent="0.2">
      <c r="A6572" t="s">
        <v>2349</v>
      </c>
      <c r="B6572" t="s">
        <v>10634</v>
      </c>
      <c r="C6572">
        <v>49</v>
      </c>
      <c r="D6572" s="1">
        <v>44103.475636574076</v>
      </c>
      <c r="E6572" t="s">
        <v>20566</v>
      </c>
      <c r="F6572" t="s">
        <v>2352</v>
      </c>
      <c r="G6572" t="s">
        <v>20566</v>
      </c>
      <c r="H6572" t="s">
        <v>2353</v>
      </c>
      <c r="I6572" t="s">
        <v>24</v>
      </c>
      <c r="J6572">
        <v>49</v>
      </c>
      <c r="K6572">
        <f>49-800-100-2326</f>
        <v>-3177</v>
      </c>
      <c r="L6572" t="s">
        <v>20567</v>
      </c>
      <c r="M6572" t="s">
        <v>20568</v>
      </c>
      <c r="N6572">
        <v>134</v>
      </c>
      <c r="O6572" t="s">
        <v>134</v>
      </c>
      <c r="P6572" t="s">
        <v>292</v>
      </c>
      <c r="Q6572">
        <v>49</v>
      </c>
      <c r="R6572">
        <v>2.3868999999999998</v>
      </c>
    </row>
    <row r="6573" spans="1:18" x14ac:dyDescent="0.2">
      <c r="A6573" t="s">
        <v>439</v>
      </c>
      <c r="B6573" t="s">
        <v>3094</v>
      </c>
      <c r="C6573">
        <v>1</v>
      </c>
      <c r="D6573" s="1">
        <v>44102.880509259259</v>
      </c>
      <c r="E6573" t="s">
        <v>20569</v>
      </c>
      <c r="F6573" t="s">
        <v>442</v>
      </c>
      <c r="G6573" t="s">
        <v>20570</v>
      </c>
      <c r="H6573" t="s">
        <v>444</v>
      </c>
      <c r="I6573" t="s">
        <v>29</v>
      </c>
      <c r="J6573">
        <v>1</v>
      </c>
      <c r="K6573">
        <f>1-888-527-5414</f>
        <v>-6828</v>
      </c>
      <c r="L6573" t="s">
        <v>20571</v>
      </c>
      <c r="M6573" t="s">
        <v>20572</v>
      </c>
      <c r="N6573" t="s">
        <v>452</v>
      </c>
      <c r="O6573" t="s">
        <v>28</v>
      </c>
      <c r="P6573" t="s">
        <v>2268</v>
      </c>
      <c r="Q6573">
        <v>46</v>
      </c>
      <c r="R6573">
        <v>-73.567300000000003</v>
      </c>
    </row>
    <row r="6574" spans="1:18" x14ac:dyDescent="0.2">
      <c r="A6574" t="s">
        <v>439</v>
      </c>
      <c r="B6574" t="s">
        <v>3094</v>
      </c>
      <c r="C6574">
        <v>1</v>
      </c>
      <c r="D6574" s="1">
        <v>44102.889374999999</v>
      </c>
      <c r="E6574" t="s">
        <v>20573</v>
      </c>
      <c r="F6574" t="s">
        <v>442</v>
      </c>
      <c r="G6574" t="s">
        <v>20574</v>
      </c>
      <c r="H6574" t="s">
        <v>444</v>
      </c>
      <c r="I6574" t="s">
        <v>29</v>
      </c>
      <c r="J6574">
        <v>1</v>
      </c>
      <c r="K6574">
        <f>1-888-323-237</f>
        <v>-1447</v>
      </c>
      <c r="L6574" t="s">
        <v>20575</v>
      </c>
      <c r="M6574" t="s">
        <v>20576</v>
      </c>
      <c r="N6574" t="s">
        <v>452</v>
      </c>
      <c r="O6574" t="s">
        <v>28</v>
      </c>
      <c r="P6574" t="s">
        <v>2268</v>
      </c>
      <c r="Q6574">
        <v>46</v>
      </c>
      <c r="R6574">
        <v>-73.567300000000003</v>
      </c>
    </row>
    <row r="6575" spans="1:18" x14ac:dyDescent="0.2">
      <c r="A6575" t="s">
        <v>2233</v>
      </c>
      <c r="B6575" t="s">
        <v>2234</v>
      </c>
      <c r="C6575">
        <v>1</v>
      </c>
      <c r="D6575" s="1">
        <v>44103.348796296297</v>
      </c>
      <c r="E6575" t="s">
        <v>20577</v>
      </c>
      <c r="F6575" t="s">
        <v>2236</v>
      </c>
      <c r="G6575" t="s">
        <v>20578</v>
      </c>
      <c r="H6575" t="s">
        <v>2237</v>
      </c>
      <c r="I6575" t="s">
        <v>29</v>
      </c>
      <c r="J6575">
        <v>1</v>
      </c>
      <c r="K6575">
        <f>1-888-598-1467</f>
        <v>-2952</v>
      </c>
      <c r="L6575" t="s">
        <v>20579</v>
      </c>
      <c r="M6575" t="s">
        <v>20580</v>
      </c>
      <c r="N6575" t="s">
        <v>6761</v>
      </c>
      <c r="O6575" t="s">
        <v>28</v>
      </c>
      <c r="P6575" t="s">
        <v>29</v>
      </c>
      <c r="Q6575">
        <v>40</v>
      </c>
      <c r="R6575">
        <v>-83.114099999999993</v>
      </c>
    </row>
    <row r="6576" spans="1:18" x14ac:dyDescent="0.2">
      <c r="A6576" t="s">
        <v>439</v>
      </c>
      <c r="B6576" t="s">
        <v>3094</v>
      </c>
      <c r="C6576">
        <v>81</v>
      </c>
      <c r="D6576" s="1">
        <v>44103.448171296295</v>
      </c>
      <c r="E6576" t="s">
        <v>20581</v>
      </c>
      <c r="F6576" t="s">
        <v>442</v>
      </c>
      <c r="G6576" t="s">
        <v>20582</v>
      </c>
      <c r="H6576" t="s">
        <v>444</v>
      </c>
      <c r="I6576" t="s">
        <v>53</v>
      </c>
      <c r="J6576">
        <v>81</v>
      </c>
      <c r="K6576">
        <f>81-50-5534-9928</f>
        <v>-15431</v>
      </c>
      <c r="L6576" t="s">
        <v>20583</v>
      </c>
      <c r="M6576" t="s">
        <v>20584</v>
      </c>
      <c r="N6576" t="s">
        <v>2475</v>
      </c>
      <c r="O6576" t="s">
        <v>28</v>
      </c>
      <c r="P6576" t="s">
        <v>2268</v>
      </c>
      <c r="Q6576">
        <v>46</v>
      </c>
      <c r="R6576">
        <v>-73.567300000000003</v>
      </c>
    </row>
    <row r="6577" spans="1:18" x14ac:dyDescent="0.2">
      <c r="A6577" t="s">
        <v>439</v>
      </c>
      <c r="B6577" t="s">
        <v>3094</v>
      </c>
      <c r="C6577">
        <v>81</v>
      </c>
      <c r="D6577" s="1">
        <v>44103.448263888888</v>
      </c>
      <c r="E6577" t="s">
        <v>20585</v>
      </c>
      <c r="F6577" t="s">
        <v>442</v>
      </c>
      <c r="G6577" t="s">
        <v>20586</v>
      </c>
      <c r="H6577" t="s">
        <v>444</v>
      </c>
      <c r="I6577" t="s">
        <v>53</v>
      </c>
      <c r="J6577">
        <v>81</v>
      </c>
      <c r="K6577">
        <f>81-50-5532-6436</f>
        <v>-11937</v>
      </c>
      <c r="L6577" t="s">
        <v>20587</v>
      </c>
      <c r="M6577" t="s">
        <v>20588</v>
      </c>
      <c r="N6577" t="s">
        <v>2475</v>
      </c>
      <c r="O6577" t="s">
        <v>28</v>
      </c>
      <c r="P6577" t="s">
        <v>2268</v>
      </c>
      <c r="Q6577">
        <v>46</v>
      </c>
      <c r="R6577">
        <v>-73.567300000000003</v>
      </c>
    </row>
    <row r="6578" spans="1:18" x14ac:dyDescent="0.2">
      <c r="A6578" t="s">
        <v>5349</v>
      </c>
      <c r="B6578" t="s">
        <v>440</v>
      </c>
      <c r="C6578">
        <v>81</v>
      </c>
      <c r="D6578" s="1">
        <v>44103.448344907411</v>
      </c>
      <c r="E6578" t="s">
        <v>20589</v>
      </c>
      <c r="F6578" t="s">
        <v>2236</v>
      </c>
      <c r="G6578" t="s">
        <v>20589</v>
      </c>
      <c r="H6578" t="s">
        <v>2237</v>
      </c>
      <c r="I6578" t="s">
        <v>53</v>
      </c>
      <c r="J6578">
        <v>81</v>
      </c>
      <c r="K6578">
        <f>81-50-3198-903</f>
        <v>-4070</v>
      </c>
      <c r="L6578" t="s">
        <v>20590</v>
      </c>
      <c r="M6578" t="s">
        <v>20591</v>
      </c>
      <c r="N6578">
        <v>43</v>
      </c>
      <c r="O6578" t="s">
        <v>134</v>
      </c>
      <c r="P6578" t="s">
        <v>29</v>
      </c>
      <c r="Q6578">
        <v>39</v>
      </c>
      <c r="R6578">
        <v>-77.487399999999994</v>
      </c>
    </row>
    <row r="6579" spans="1:18" x14ac:dyDescent="0.2">
      <c r="A6579" t="s">
        <v>2233</v>
      </c>
      <c r="B6579" t="s">
        <v>454</v>
      </c>
      <c r="C6579">
        <v>49</v>
      </c>
      <c r="D6579" s="1">
        <v>44103.476122685184</v>
      </c>
      <c r="E6579" t="s">
        <v>20592</v>
      </c>
      <c r="F6579" t="s">
        <v>7023</v>
      </c>
      <c r="G6579" t="s">
        <v>20593</v>
      </c>
      <c r="H6579" t="s">
        <v>2237</v>
      </c>
      <c r="I6579" t="s">
        <v>24</v>
      </c>
      <c r="J6579">
        <v>49</v>
      </c>
      <c r="K6579">
        <f>49-203-8048-1297</f>
        <v>-9499</v>
      </c>
      <c r="L6579" t="s">
        <v>20594</v>
      </c>
      <c r="M6579" t="s">
        <v>20595</v>
      </c>
      <c r="N6579" t="s">
        <v>278</v>
      </c>
      <c r="O6579" t="s">
        <v>28</v>
      </c>
      <c r="P6579" t="s">
        <v>461</v>
      </c>
      <c r="Q6579">
        <v>52</v>
      </c>
      <c r="R6579">
        <v>4.8945400000000001</v>
      </c>
    </row>
    <row r="6580" spans="1:18" x14ac:dyDescent="0.2">
      <c r="A6580" t="s">
        <v>2233</v>
      </c>
      <c r="B6580" t="s">
        <v>454</v>
      </c>
      <c r="C6580">
        <v>49</v>
      </c>
      <c r="D6580" s="1">
        <v>44103.492615740739</v>
      </c>
      <c r="E6580" t="s">
        <v>20596</v>
      </c>
      <c r="F6580" t="s">
        <v>7023</v>
      </c>
      <c r="G6580" t="s">
        <v>20597</v>
      </c>
      <c r="H6580" t="s">
        <v>2237</v>
      </c>
      <c r="I6580" t="s">
        <v>24</v>
      </c>
      <c r="J6580">
        <v>49</v>
      </c>
      <c r="K6580">
        <f>49-203-8048-1297</f>
        <v>-9499</v>
      </c>
      <c r="L6580" t="s">
        <v>20598</v>
      </c>
      <c r="M6580" t="s">
        <v>20599</v>
      </c>
      <c r="N6580" t="s">
        <v>278</v>
      </c>
      <c r="O6580" t="s">
        <v>28</v>
      </c>
      <c r="P6580" t="s">
        <v>461</v>
      </c>
      <c r="Q6580">
        <v>52</v>
      </c>
      <c r="R6580">
        <v>4.8945400000000001</v>
      </c>
    </row>
    <row r="6581" spans="1:18" x14ac:dyDescent="0.2">
      <c r="A6581" t="s">
        <v>439</v>
      </c>
      <c r="B6581" t="s">
        <v>3094</v>
      </c>
      <c r="C6581">
        <v>1</v>
      </c>
      <c r="D6581" s="1">
        <v>44103.662372685183</v>
      </c>
      <c r="E6581" t="s">
        <v>20600</v>
      </c>
      <c r="F6581" t="s">
        <v>442</v>
      </c>
      <c r="G6581" t="s">
        <v>20601</v>
      </c>
      <c r="H6581" t="s">
        <v>444</v>
      </c>
      <c r="I6581" t="s">
        <v>29</v>
      </c>
      <c r="J6581">
        <v>1</v>
      </c>
      <c r="K6581">
        <f>1-888-308-2414</f>
        <v>-3609</v>
      </c>
      <c r="L6581" t="s">
        <v>20602</v>
      </c>
      <c r="M6581" t="s">
        <v>20603</v>
      </c>
      <c r="N6581" t="s">
        <v>2475</v>
      </c>
      <c r="O6581" t="s">
        <v>28</v>
      </c>
      <c r="P6581" t="s">
        <v>2268</v>
      </c>
      <c r="Q6581">
        <v>46</v>
      </c>
      <c r="R6581">
        <v>-73.567300000000003</v>
      </c>
    </row>
    <row r="6582" spans="1:18" x14ac:dyDescent="0.2">
      <c r="A6582" t="s">
        <v>439</v>
      </c>
      <c r="B6582" t="s">
        <v>3094</v>
      </c>
      <c r="C6582">
        <v>1</v>
      </c>
      <c r="D6582" s="1">
        <v>44103.846979166665</v>
      </c>
      <c r="E6582" t="s">
        <v>20604</v>
      </c>
      <c r="F6582" t="s">
        <v>442</v>
      </c>
      <c r="G6582" t="s">
        <v>20605</v>
      </c>
      <c r="H6582" t="s">
        <v>444</v>
      </c>
      <c r="I6582" t="s">
        <v>29</v>
      </c>
      <c r="J6582">
        <v>1</v>
      </c>
      <c r="K6582">
        <f>1-888-309-2419</f>
        <v>-3615</v>
      </c>
      <c r="L6582" t="s">
        <v>20606</v>
      </c>
      <c r="M6582" t="s">
        <v>20607</v>
      </c>
      <c r="N6582" t="s">
        <v>2475</v>
      </c>
      <c r="O6582" t="s">
        <v>28</v>
      </c>
      <c r="P6582" t="s">
        <v>2268</v>
      </c>
      <c r="Q6582">
        <v>46</v>
      </c>
      <c r="R6582">
        <v>-73.567300000000003</v>
      </c>
    </row>
    <row r="6583" spans="1:18" x14ac:dyDescent="0.2">
      <c r="A6583" t="s">
        <v>439</v>
      </c>
      <c r="B6583" t="s">
        <v>3094</v>
      </c>
      <c r="C6583">
        <v>1</v>
      </c>
      <c r="D6583" s="1">
        <v>44103.803912037038</v>
      </c>
      <c r="E6583" t="s">
        <v>20604</v>
      </c>
      <c r="F6583" t="s">
        <v>442</v>
      </c>
      <c r="G6583" t="s">
        <v>20605</v>
      </c>
      <c r="H6583" t="s">
        <v>444</v>
      </c>
      <c r="I6583" t="s">
        <v>29</v>
      </c>
      <c r="J6583">
        <v>1</v>
      </c>
      <c r="K6583">
        <f>1-888-278-7079</f>
        <v>-8244</v>
      </c>
      <c r="L6583" t="s">
        <v>20608</v>
      </c>
      <c r="M6583" t="s">
        <v>20609</v>
      </c>
      <c r="N6583" t="s">
        <v>2475</v>
      </c>
      <c r="O6583" t="s">
        <v>28</v>
      </c>
      <c r="P6583" t="s">
        <v>2268</v>
      </c>
      <c r="Q6583">
        <v>46</v>
      </c>
      <c r="R6583">
        <v>-73.567300000000003</v>
      </c>
    </row>
    <row r="6584" spans="1:18" x14ac:dyDescent="0.2">
      <c r="A6584" t="s">
        <v>439</v>
      </c>
      <c r="B6584" t="s">
        <v>3094</v>
      </c>
      <c r="C6584">
        <v>1</v>
      </c>
      <c r="D6584" s="1">
        <v>44103.922291666669</v>
      </c>
      <c r="E6584" t="s">
        <v>20610</v>
      </c>
      <c r="F6584" t="s">
        <v>442</v>
      </c>
      <c r="G6584" t="s">
        <v>20611</v>
      </c>
      <c r="H6584" t="s">
        <v>444</v>
      </c>
      <c r="I6584" t="s">
        <v>29</v>
      </c>
      <c r="J6584">
        <v>1</v>
      </c>
      <c r="K6584">
        <f>1-888-358-1990</f>
        <v>-3235</v>
      </c>
      <c r="L6584" t="s">
        <v>20612</v>
      </c>
      <c r="M6584" t="s">
        <v>20613</v>
      </c>
      <c r="N6584" t="s">
        <v>1645</v>
      </c>
      <c r="O6584" t="s">
        <v>28</v>
      </c>
      <c r="P6584" t="s">
        <v>2268</v>
      </c>
      <c r="Q6584">
        <v>46</v>
      </c>
      <c r="R6584">
        <v>-73.567300000000003</v>
      </c>
    </row>
    <row r="6585" spans="1:18" x14ac:dyDescent="0.2">
      <c r="A6585" t="s">
        <v>2233</v>
      </c>
      <c r="B6585" t="s">
        <v>2234</v>
      </c>
      <c r="C6585">
        <v>1</v>
      </c>
      <c r="D6585" s="1">
        <v>44104.21471064815</v>
      </c>
      <c r="E6585" t="s">
        <v>20614</v>
      </c>
      <c r="F6585" t="s">
        <v>2236</v>
      </c>
      <c r="G6585" t="s">
        <v>20615</v>
      </c>
      <c r="H6585" t="s">
        <v>2237</v>
      </c>
      <c r="I6585" t="s">
        <v>29</v>
      </c>
      <c r="J6585">
        <v>1</v>
      </c>
      <c r="K6585">
        <f>1-844-492-2758</f>
        <v>-4093</v>
      </c>
      <c r="L6585" t="s">
        <v>20616</v>
      </c>
      <c r="M6585" t="s">
        <v>20617</v>
      </c>
      <c r="N6585" t="s">
        <v>6757</v>
      </c>
      <c r="O6585" t="s">
        <v>28</v>
      </c>
      <c r="P6585" t="s">
        <v>29</v>
      </c>
      <c r="Q6585">
        <v>40</v>
      </c>
      <c r="R6585">
        <v>-83.114099999999993</v>
      </c>
    </row>
    <row r="6586" spans="1:18" x14ac:dyDescent="0.2">
      <c r="A6586" t="s">
        <v>2233</v>
      </c>
      <c r="B6586" t="s">
        <v>2234</v>
      </c>
      <c r="C6586">
        <v>1</v>
      </c>
      <c r="D6586" s="1">
        <v>44104.216354166667</v>
      </c>
      <c r="E6586" t="s">
        <v>20618</v>
      </c>
      <c r="F6586" t="s">
        <v>2236</v>
      </c>
      <c r="G6586" t="s">
        <v>20619</v>
      </c>
      <c r="H6586" t="s">
        <v>2237</v>
      </c>
      <c r="I6586" t="s">
        <v>29</v>
      </c>
      <c r="J6586">
        <v>1</v>
      </c>
      <c r="K6586">
        <f>1-888-343-9380</f>
        <v>-10610</v>
      </c>
      <c r="L6586" t="s">
        <v>20620</v>
      </c>
      <c r="M6586" t="s">
        <v>20621</v>
      </c>
      <c r="N6586" t="s">
        <v>6757</v>
      </c>
      <c r="O6586" t="s">
        <v>28</v>
      </c>
      <c r="P6586" t="s">
        <v>29</v>
      </c>
      <c r="Q6586">
        <v>40</v>
      </c>
      <c r="R6586">
        <v>-83.114099999999993</v>
      </c>
    </row>
    <row r="6587" spans="1:18" x14ac:dyDescent="0.2">
      <c r="A6587" t="s">
        <v>2233</v>
      </c>
      <c r="B6587" t="s">
        <v>2234</v>
      </c>
      <c r="C6587">
        <v>1</v>
      </c>
      <c r="D6587" s="1">
        <v>44104.219386574077</v>
      </c>
      <c r="E6587" t="s">
        <v>20622</v>
      </c>
      <c r="F6587" t="s">
        <v>2236</v>
      </c>
      <c r="G6587" t="s">
        <v>20623</v>
      </c>
      <c r="H6587" t="s">
        <v>2237</v>
      </c>
      <c r="I6587" t="s">
        <v>29</v>
      </c>
      <c r="J6587">
        <v>1</v>
      </c>
      <c r="K6587">
        <f>1-888-351-4098</f>
        <v>-5336</v>
      </c>
      <c r="L6587" t="s">
        <v>20624</v>
      </c>
      <c r="M6587" t="s">
        <v>20625</v>
      </c>
      <c r="N6587" t="s">
        <v>6757</v>
      </c>
      <c r="O6587" t="s">
        <v>28</v>
      </c>
      <c r="P6587" t="s">
        <v>29</v>
      </c>
      <c r="Q6587">
        <v>40</v>
      </c>
      <c r="R6587">
        <v>-83.114099999999993</v>
      </c>
    </row>
    <row r="6588" spans="1:18" x14ac:dyDescent="0.2">
      <c r="A6588" t="s">
        <v>2349</v>
      </c>
      <c r="B6588" t="s">
        <v>18497</v>
      </c>
      <c r="C6588">
        <v>49</v>
      </c>
      <c r="D6588" s="1">
        <v>44104.502546296295</v>
      </c>
      <c r="E6588" t="s">
        <v>20626</v>
      </c>
      <c r="F6588" t="s">
        <v>2352</v>
      </c>
      <c r="G6588" t="s">
        <v>20626</v>
      </c>
      <c r="H6588" t="s">
        <v>2353</v>
      </c>
      <c r="I6588" t="s">
        <v>24</v>
      </c>
      <c r="J6588">
        <v>49</v>
      </c>
      <c r="K6588">
        <f>49-800-100-2326</f>
        <v>-3177</v>
      </c>
      <c r="L6588" t="s">
        <v>20627</v>
      </c>
      <c r="M6588" t="s">
        <v>20628</v>
      </c>
      <c r="N6588">
        <v>133</v>
      </c>
      <c r="O6588" t="s">
        <v>134</v>
      </c>
      <c r="P6588" t="s">
        <v>18501</v>
      </c>
      <c r="Q6588">
        <v>56</v>
      </c>
      <c r="R6588">
        <v>9.9313000000000002</v>
      </c>
    </row>
    <row r="6589" spans="1:18" x14ac:dyDescent="0.2">
      <c r="A6589" t="s">
        <v>2233</v>
      </c>
      <c r="B6589" t="s">
        <v>2234</v>
      </c>
      <c r="C6589">
        <v>41</v>
      </c>
      <c r="D6589" s="1">
        <v>44104.533553240741</v>
      </c>
      <c r="E6589" t="s">
        <v>20629</v>
      </c>
      <c r="F6589" t="s">
        <v>7023</v>
      </c>
      <c r="G6589" t="s">
        <v>20629</v>
      </c>
      <c r="H6589" t="s">
        <v>2237</v>
      </c>
      <c r="I6589" t="s">
        <v>204</v>
      </c>
      <c r="J6589">
        <v>41</v>
      </c>
      <c r="K6589">
        <f>41-44-586-25-7</f>
        <v>-621</v>
      </c>
      <c r="L6589" t="s">
        <v>20630</v>
      </c>
      <c r="M6589" t="s">
        <v>20631</v>
      </c>
      <c r="N6589">
        <v>191</v>
      </c>
      <c r="O6589" t="s">
        <v>134</v>
      </c>
      <c r="P6589" t="s">
        <v>6188</v>
      </c>
      <c r="Q6589">
        <v>53</v>
      </c>
      <c r="R6589">
        <v>-6.2603099999999996</v>
      </c>
    </row>
    <row r="6590" spans="1:18" x14ac:dyDescent="0.2">
      <c r="A6590" t="s">
        <v>439</v>
      </c>
      <c r="B6590" t="s">
        <v>3094</v>
      </c>
      <c r="C6590">
        <v>1</v>
      </c>
      <c r="D6590" s="1">
        <v>44104.682986111111</v>
      </c>
      <c r="E6590" t="s">
        <v>20632</v>
      </c>
      <c r="F6590" t="s">
        <v>442</v>
      </c>
      <c r="G6590" t="s">
        <v>20633</v>
      </c>
      <c r="H6590" t="s">
        <v>444</v>
      </c>
      <c r="I6590" t="s">
        <v>29</v>
      </c>
      <c r="J6590">
        <v>1</v>
      </c>
      <c r="K6590">
        <f>1-888-308-2779</f>
        <v>-3974</v>
      </c>
      <c r="L6590" t="s">
        <v>20634</v>
      </c>
      <c r="M6590" t="s">
        <v>20635</v>
      </c>
      <c r="N6590" t="s">
        <v>1645</v>
      </c>
      <c r="O6590" t="s">
        <v>28</v>
      </c>
      <c r="P6590" t="s">
        <v>2268</v>
      </c>
      <c r="Q6590">
        <v>46</v>
      </c>
      <c r="R6590">
        <v>-73.567300000000003</v>
      </c>
    </row>
    <row r="6591" spans="1:18" x14ac:dyDescent="0.2">
      <c r="A6591" t="s">
        <v>663</v>
      </c>
      <c r="B6591" t="s">
        <v>664</v>
      </c>
      <c r="C6591">
        <v>1</v>
      </c>
      <c r="D6591" s="1">
        <v>44104.82607638889</v>
      </c>
      <c r="E6591" t="s">
        <v>20636</v>
      </c>
      <c r="F6591" t="s">
        <v>666</v>
      </c>
      <c r="G6591" t="s">
        <v>20636</v>
      </c>
      <c r="H6591" t="s">
        <v>667</v>
      </c>
      <c r="I6591" t="s">
        <v>29</v>
      </c>
      <c r="J6591">
        <v>1</v>
      </c>
      <c r="K6591">
        <f>1-888-308-5870</f>
        <v>-7065</v>
      </c>
      <c r="L6591" t="s">
        <v>20637</v>
      </c>
      <c r="M6591" t="s">
        <v>20638</v>
      </c>
      <c r="N6591">
        <v>160</v>
      </c>
      <c r="O6591" t="s">
        <v>134</v>
      </c>
      <c r="P6591" t="s">
        <v>29</v>
      </c>
      <c r="Q6591">
        <v>37</v>
      </c>
      <c r="R6591">
        <v>-99.999999000000003</v>
      </c>
    </row>
    <row r="6592" spans="1:18" x14ac:dyDescent="0.2">
      <c r="A6592" t="s">
        <v>439</v>
      </c>
      <c r="B6592" t="s">
        <v>3094</v>
      </c>
      <c r="C6592">
        <v>1</v>
      </c>
      <c r="D6592" s="1">
        <v>44104.826261574075</v>
      </c>
      <c r="E6592" t="s">
        <v>20639</v>
      </c>
      <c r="F6592" t="s">
        <v>442</v>
      </c>
      <c r="G6592" t="s">
        <v>20640</v>
      </c>
      <c r="H6592" t="s">
        <v>444</v>
      </c>
      <c r="I6592" t="s">
        <v>29</v>
      </c>
      <c r="J6592">
        <v>1</v>
      </c>
      <c r="K6592">
        <f>1-888-308-698</f>
        <v>-1893</v>
      </c>
      <c r="L6592" t="s">
        <v>20641</v>
      </c>
      <c r="M6592" t="s">
        <v>20642</v>
      </c>
      <c r="N6592" t="s">
        <v>36</v>
      </c>
      <c r="O6592" t="s">
        <v>28</v>
      </c>
      <c r="P6592" t="s">
        <v>2268</v>
      </c>
      <c r="Q6592">
        <v>46</v>
      </c>
      <c r="R6592">
        <v>-73.567300000000003</v>
      </c>
    </row>
    <row r="6593" spans="1:18" x14ac:dyDescent="0.2">
      <c r="A6593" t="s">
        <v>663</v>
      </c>
      <c r="B6593" t="s">
        <v>664</v>
      </c>
      <c r="C6593">
        <v>1</v>
      </c>
      <c r="D6593" s="1">
        <v>44104.832048611112</v>
      </c>
      <c r="E6593" t="s">
        <v>20643</v>
      </c>
      <c r="F6593" t="s">
        <v>666</v>
      </c>
      <c r="G6593" t="s">
        <v>20643</v>
      </c>
      <c r="H6593" t="s">
        <v>667</v>
      </c>
      <c r="I6593" t="s">
        <v>29</v>
      </c>
      <c r="J6593">
        <v>1</v>
      </c>
      <c r="K6593">
        <f>1-888-341-1218</f>
        <v>-2446</v>
      </c>
      <c r="L6593" t="s">
        <v>20644</v>
      </c>
      <c r="M6593" t="s">
        <v>20645</v>
      </c>
      <c r="N6593">
        <v>35</v>
      </c>
      <c r="O6593" t="s">
        <v>134</v>
      </c>
      <c r="P6593" t="s">
        <v>29</v>
      </c>
      <c r="Q6593">
        <v>37</v>
      </c>
      <c r="R6593">
        <v>-99.999999000000003</v>
      </c>
    </row>
    <row r="6594" spans="1:18" x14ac:dyDescent="0.2">
      <c r="A6594" t="s">
        <v>663</v>
      </c>
      <c r="B6594" t="s">
        <v>664</v>
      </c>
      <c r="C6594">
        <v>1</v>
      </c>
      <c r="D6594" s="1">
        <v>44104.832476851851</v>
      </c>
      <c r="E6594" t="s">
        <v>20646</v>
      </c>
      <c r="F6594" t="s">
        <v>666</v>
      </c>
      <c r="G6594" t="s">
        <v>20647</v>
      </c>
      <c r="H6594" t="s">
        <v>667</v>
      </c>
      <c r="I6594" t="s">
        <v>29</v>
      </c>
      <c r="J6594">
        <v>1</v>
      </c>
      <c r="K6594">
        <f>1-855-510-354</f>
        <v>-1718</v>
      </c>
      <c r="L6594" t="s">
        <v>20648</v>
      </c>
      <c r="M6594" t="s">
        <v>20649</v>
      </c>
      <c r="N6594" t="s">
        <v>1645</v>
      </c>
      <c r="O6594" t="s">
        <v>28</v>
      </c>
      <c r="P6594" t="s">
        <v>29</v>
      </c>
      <c r="Q6594">
        <v>37</v>
      </c>
      <c r="R6594">
        <v>-99.999999000000003</v>
      </c>
    </row>
    <row r="6595" spans="1:18" x14ac:dyDescent="0.2">
      <c r="A6595" t="s">
        <v>439</v>
      </c>
      <c r="B6595" t="s">
        <v>3094</v>
      </c>
      <c r="C6595">
        <v>1</v>
      </c>
      <c r="D6595" s="1">
        <v>44104.842083333337</v>
      </c>
      <c r="E6595" t="s">
        <v>20639</v>
      </c>
      <c r="F6595" t="s">
        <v>442</v>
      </c>
      <c r="G6595" t="s">
        <v>20650</v>
      </c>
      <c r="H6595" t="s">
        <v>444</v>
      </c>
      <c r="I6595" t="s">
        <v>29</v>
      </c>
      <c r="J6595">
        <v>1</v>
      </c>
      <c r="K6595">
        <f>1-888-375-7946</f>
        <v>-9208</v>
      </c>
      <c r="L6595" t="s">
        <v>20651</v>
      </c>
      <c r="M6595" t="s">
        <v>20652</v>
      </c>
      <c r="N6595" t="s">
        <v>36</v>
      </c>
      <c r="O6595" t="s">
        <v>28</v>
      </c>
      <c r="P6595" t="s">
        <v>2268</v>
      </c>
      <c r="Q6595">
        <v>46</v>
      </c>
      <c r="R6595">
        <v>-73.567300000000003</v>
      </c>
    </row>
    <row r="6596" spans="1:18" x14ac:dyDescent="0.2">
      <c r="A6596" t="s">
        <v>663</v>
      </c>
      <c r="B6596" t="s">
        <v>664</v>
      </c>
      <c r="C6596">
        <v>1</v>
      </c>
      <c r="D6596" s="1">
        <v>44104.865659722222</v>
      </c>
      <c r="E6596" t="s">
        <v>20653</v>
      </c>
      <c r="F6596" t="s">
        <v>666</v>
      </c>
      <c r="G6596" t="s">
        <v>20653</v>
      </c>
      <c r="H6596" t="s">
        <v>667</v>
      </c>
      <c r="I6596" t="s">
        <v>29</v>
      </c>
      <c r="J6596">
        <v>1</v>
      </c>
      <c r="K6596">
        <f>1-888-308-4394</f>
        <v>-5589</v>
      </c>
      <c r="L6596" t="s">
        <v>20654</v>
      </c>
      <c r="M6596" t="s">
        <v>20655</v>
      </c>
      <c r="N6596">
        <v>30</v>
      </c>
      <c r="O6596" t="s">
        <v>134</v>
      </c>
      <c r="P6596" t="s">
        <v>29</v>
      </c>
      <c r="Q6596">
        <v>37</v>
      </c>
      <c r="R6596">
        <v>-99.999999000000003</v>
      </c>
    </row>
    <row r="6597" spans="1:18" x14ac:dyDescent="0.2">
      <c r="A6597" t="s">
        <v>663</v>
      </c>
      <c r="B6597" t="s">
        <v>664</v>
      </c>
      <c r="C6597">
        <v>1</v>
      </c>
      <c r="D6597" s="1">
        <v>44104.859664351854</v>
      </c>
      <c r="E6597" t="s">
        <v>20653</v>
      </c>
      <c r="F6597" t="s">
        <v>666</v>
      </c>
      <c r="G6597" t="s">
        <v>20653</v>
      </c>
      <c r="H6597" t="s">
        <v>667</v>
      </c>
      <c r="I6597" t="s">
        <v>29</v>
      </c>
      <c r="J6597">
        <v>1</v>
      </c>
      <c r="K6597">
        <f>1-888-307-3921</f>
        <v>-5115</v>
      </c>
      <c r="L6597" t="s">
        <v>20656</v>
      </c>
      <c r="M6597" t="s">
        <v>20657</v>
      </c>
      <c r="N6597">
        <v>30</v>
      </c>
      <c r="O6597" t="s">
        <v>134</v>
      </c>
      <c r="P6597" t="s">
        <v>29</v>
      </c>
      <c r="Q6597">
        <v>37</v>
      </c>
      <c r="R6597">
        <v>-99.999999000000003</v>
      </c>
    </row>
    <row r="6598" spans="1:18" x14ac:dyDescent="0.2">
      <c r="A6598" t="s">
        <v>675</v>
      </c>
      <c r="B6598" t="s">
        <v>1412</v>
      </c>
      <c r="C6598">
        <v>61</v>
      </c>
      <c r="D6598" s="1">
        <v>44110.299247685187</v>
      </c>
      <c r="E6598" t="s">
        <v>20658</v>
      </c>
      <c r="F6598" t="s">
        <v>678</v>
      </c>
      <c r="G6598" t="s">
        <v>20659</v>
      </c>
      <c r="H6598" t="s">
        <v>680</v>
      </c>
      <c r="I6598" t="s">
        <v>782</v>
      </c>
      <c r="J6598">
        <v>61</v>
      </c>
      <c r="K6598">
        <f>61-1800-875-294</f>
        <v>-2908</v>
      </c>
      <c r="L6598" t="s">
        <v>20660</v>
      </c>
      <c r="M6598" t="s">
        <v>20661</v>
      </c>
      <c r="N6598" t="s">
        <v>447</v>
      </c>
      <c r="O6598" t="s">
        <v>28</v>
      </c>
      <c r="P6598" t="s">
        <v>29</v>
      </c>
      <c r="Q6598">
        <v>41</v>
      </c>
      <c r="R6598">
        <v>-74.172399999999996</v>
      </c>
    </row>
    <row r="6599" spans="1:18" x14ac:dyDescent="0.2">
      <c r="A6599" t="s">
        <v>675</v>
      </c>
      <c r="B6599" t="s">
        <v>1412</v>
      </c>
      <c r="C6599">
        <v>61</v>
      </c>
      <c r="D6599" s="1">
        <v>44105.414988425924</v>
      </c>
      <c r="E6599" t="s">
        <v>20662</v>
      </c>
      <c r="F6599" t="s">
        <v>678</v>
      </c>
      <c r="G6599" t="s">
        <v>20659</v>
      </c>
      <c r="H6599" t="s">
        <v>680</v>
      </c>
      <c r="I6599" t="s">
        <v>782</v>
      </c>
      <c r="J6599">
        <v>61</v>
      </c>
      <c r="K6599">
        <f>61-1800-875-294</f>
        <v>-2908</v>
      </c>
      <c r="L6599" t="s">
        <v>20663</v>
      </c>
      <c r="M6599" t="s">
        <v>20664</v>
      </c>
      <c r="N6599" t="s">
        <v>447</v>
      </c>
      <c r="O6599" t="s">
        <v>28</v>
      </c>
      <c r="P6599" t="s">
        <v>29</v>
      </c>
      <c r="Q6599">
        <v>41</v>
      </c>
      <c r="R6599">
        <v>-74.172399999999996</v>
      </c>
    </row>
    <row r="6600" spans="1:18" x14ac:dyDescent="0.2">
      <c r="A6600" t="s">
        <v>675</v>
      </c>
      <c r="B6600" t="s">
        <v>1412</v>
      </c>
      <c r="C6600">
        <v>61</v>
      </c>
      <c r="D6600" s="1">
        <v>44106.386967592596</v>
      </c>
      <c r="E6600" t="s">
        <v>20665</v>
      </c>
      <c r="F6600" t="s">
        <v>678</v>
      </c>
      <c r="G6600" t="s">
        <v>20659</v>
      </c>
      <c r="H6600" t="s">
        <v>680</v>
      </c>
      <c r="I6600" t="s">
        <v>782</v>
      </c>
      <c r="J6600">
        <v>61</v>
      </c>
      <c r="K6600">
        <f>61-1800-875-294</f>
        <v>-2908</v>
      </c>
      <c r="L6600" t="s">
        <v>20666</v>
      </c>
      <c r="M6600" t="s">
        <v>20667</v>
      </c>
      <c r="N6600" t="s">
        <v>447</v>
      </c>
      <c r="O6600" t="s">
        <v>28</v>
      </c>
      <c r="P6600" t="s">
        <v>29</v>
      </c>
      <c r="Q6600">
        <v>41</v>
      </c>
      <c r="R6600">
        <v>-74.172399999999996</v>
      </c>
    </row>
    <row r="6601" spans="1:18" x14ac:dyDescent="0.2">
      <c r="A6601" t="s">
        <v>2349</v>
      </c>
      <c r="B6601" t="s">
        <v>10634</v>
      </c>
      <c r="C6601">
        <v>49</v>
      </c>
      <c r="D6601" s="1">
        <v>44106.468599537038</v>
      </c>
      <c r="E6601" t="s">
        <v>20668</v>
      </c>
      <c r="F6601" t="s">
        <v>4584</v>
      </c>
      <c r="G6601" t="s">
        <v>20668</v>
      </c>
      <c r="H6601" t="s">
        <v>2353</v>
      </c>
      <c r="I6601" t="s">
        <v>24</v>
      </c>
      <c r="J6601">
        <v>49</v>
      </c>
      <c r="K6601">
        <f>49-800-100-2326</f>
        <v>-3177</v>
      </c>
      <c r="L6601" t="s">
        <v>20669</v>
      </c>
      <c r="M6601" t="s">
        <v>20670</v>
      </c>
      <c r="N6601">
        <v>245</v>
      </c>
      <c r="O6601" t="s">
        <v>134</v>
      </c>
      <c r="P6601" t="s">
        <v>292</v>
      </c>
      <c r="Q6601">
        <v>49</v>
      </c>
      <c r="R6601">
        <v>2.3868999999999998</v>
      </c>
    </row>
    <row r="6602" spans="1:18" x14ac:dyDescent="0.2">
      <c r="A6602" t="s">
        <v>439</v>
      </c>
      <c r="B6602" t="s">
        <v>3094</v>
      </c>
      <c r="C6602">
        <v>1</v>
      </c>
      <c r="D6602" s="1">
        <v>44106.663113425922</v>
      </c>
      <c r="E6602" t="s">
        <v>20671</v>
      </c>
      <c r="F6602" t="s">
        <v>442</v>
      </c>
      <c r="G6602" t="s">
        <v>20672</v>
      </c>
      <c r="H6602" t="s">
        <v>444</v>
      </c>
      <c r="I6602" t="s">
        <v>29</v>
      </c>
      <c r="J6602">
        <v>1</v>
      </c>
      <c r="K6602">
        <f>1-888-336-757</f>
        <v>-1980</v>
      </c>
      <c r="L6602" t="s">
        <v>20673</v>
      </c>
      <c r="M6602" t="s">
        <v>20674</v>
      </c>
      <c r="N6602" t="s">
        <v>1645</v>
      </c>
      <c r="O6602" t="s">
        <v>28</v>
      </c>
      <c r="P6602" t="s">
        <v>2268</v>
      </c>
      <c r="Q6602">
        <v>46</v>
      </c>
      <c r="R6602">
        <v>-73.567300000000003</v>
      </c>
    </row>
    <row r="6603" spans="1:18" x14ac:dyDescent="0.2">
      <c r="A6603" t="s">
        <v>439</v>
      </c>
      <c r="B6603" t="s">
        <v>3094</v>
      </c>
      <c r="C6603">
        <v>1</v>
      </c>
      <c r="D6603" s="1">
        <v>44106.665613425925</v>
      </c>
      <c r="E6603" t="s">
        <v>20671</v>
      </c>
      <c r="F6603" t="s">
        <v>442</v>
      </c>
      <c r="G6603" t="s">
        <v>20672</v>
      </c>
      <c r="H6603" t="s">
        <v>444</v>
      </c>
      <c r="I6603" t="s">
        <v>29</v>
      </c>
      <c r="J6603">
        <v>1</v>
      </c>
      <c r="K6603">
        <f>1-888-279-1158</f>
        <v>-2324</v>
      </c>
      <c r="L6603" t="s">
        <v>20675</v>
      </c>
      <c r="M6603" t="s">
        <v>20676</v>
      </c>
      <c r="N6603" t="s">
        <v>1645</v>
      </c>
      <c r="O6603" t="s">
        <v>28</v>
      </c>
      <c r="P6603" t="s">
        <v>2268</v>
      </c>
      <c r="Q6603">
        <v>46</v>
      </c>
      <c r="R6603">
        <v>-73.567300000000003</v>
      </c>
    </row>
    <row r="6604" spans="1:18" x14ac:dyDescent="0.2">
      <c r="A6604" t="s">
        <v>2233</v>
      </c>
      <c r="B6604" t="s">
        <v>2234</v>
      </c>
      <c r="C6604">
        <v>41</v>
      </c>
      <c r="D6604" s="1">
        <v>44106.615729166668</v>
      </c>
      <c r="E6604" t="s">
        <v>20677</v>
      </c>
      <c r="F6604" t="s">
        <v>2236</v>
      </c>
      <c r="G6604" t="s">
        <v>20677</v>
      </c>
      <c r="H6604" t="s">
        <v>2237</v>
      </c>
      <c r="I6604" t="s">
        <v>204</v>
      </c>
      <c r="J6604">
        <v>41</v>
      </c>
      <c r="K6604">
        <f>41-44-586-25-7</f>
        <v>-621</v>
      </c>
      <c r="L6604" t="s">
        <v>20678</v>
      </c>
      <c r="M6604" t="s">
        <v>20679</v>
      </c>
      <c r="N6604">
        <v>217</v>
      </c>
      <c r="O6604" t="s">
        <v>134</v>
      </c>
      <c r="P6604" t="s">
        <v>6188</v>
      </c>
      <c r="Q6604">
        <v>53</v>
      </c>
      <c r="R6604">
        <v>-6.2603099999999996</v>
      </c>
    </row>
    <row r="6605" spans="1:18" x14ac:dyDescent="0.2">
      <c r="A6605" t="s">
        <v>2233</v>
      </c>
      <c r="B6605" t="s">
        <v>2234</v>
      </c>
      <c r="C6605">
        <v>32</v>
      </c>
      <c r="D6605" s="1">
        <v>44106.659409722219</v>
      </c>
      <c r="E6605" t="s">
        <v>20680</v>
      </c>
      <c r="F6605" t="s">
        <v>7023</v>
      </c>
      <c r="G6605" t="s">
        <v>20680</v>
      </c>
      <c r="H6605" t="s">
        <v>2237</v>
      </c>
      <c r="I6605" t="s">
        <v>4288</v>
      </c>
      <c r="J6605">
        <v>32</v>
      </c>
      <c r="K6605">
        <f>32-460-22-52-59</f>
        <v>-561</v>
      </c>
      <c r="L6605" t="s">
        <v>20681</v>
      </c>
      <c r="M6605" t="s">
        <v>20682</v>
      </c>
      <c r="N6605">
        <v>6</v>
      </c>
      <c r="O6605" t="s">
        <v>134</v>
      </c>
      <c r="P6605" t="s">
        <v>6188</v>
      </c>
      <c r="Q6605">
        <v>53</v>
      </c>
      <c r="R6605">
        <v>-6.2603099999999996</v>
      </c>
    </row>
    <row r="6606" spans="1:18" x14ac:dyDescent="0.2">
      <c r="A6606" t="s">
        <v>2233</v>
      </c>
      <c r="B6606" t="s">
        <v>2263</v>
      </c>
      <c r="C6606">
        <v>1</v>
      </c>
      <c r="D6606" s="1">
        <v>44106.745925925927</v>
      </c>
      <c r="E6606" t="s">
        <v>20683</v>
      </c>
      <c r="F6606" t="s">
        <v>2236</v>
      </c>
      <c r="G6606" t="s">
        <v>20684</v>
      </c>
      <c r="H6606" t="s">
        <v>2237</v>
      </c>
      <c r="I6606" t="s">
        <v>29</v>
      </c>
      <c r="J6606">
        <v>1</v>
      </c>
      <c r="K6606">
        <f>1-855-457-747</f>
        <v>-2058</v>
      </c>
      <c r="L6606" t="s">
        <v>20685</v>
      </c>
      <c r="M6606" t="s">
        <v>20686</v>
      </c>
      <c r="N6606" t="s">
        <v>5354</v>
      </c>
      <c r="O6606" t="s">
        <v>134</v>
      </c>
      <c r="P6606" t="s">
        <v>2268</v>
      </c>
      <c r="Q6606">
        <v>44</v>
      </c>
      <c r="R6606">
        <v>-79.383200000000002</v>
      </c>
    </row>
    <row r="6607" spans="1:18" x14ac:dyDescent="0.2">
      <c r="A6607" t="s">
        <v>663</v>
      </c>
      <c r="B6607" t="s">
        <v>664</v>
      </c>
      <c r="C6607">
        <v>1</v>
      </c>
      <c r="D6607" s="1">
        <v>44106.750057870369</v>
      </c>
      <c r="E6607" t="s">
        <v>20687</v>
      </c>
      <c r="F6607" t="s">
        <v>666</v>
      </c>
      <c r="G6607" t="s">
        <v>20687</v>
      </c>
      <c r="H6607" t="s">
        <v>667</v>
      </c>
      <c r="I6607" t="s">
        <v>29</v>
      </c>
      <c r="J6607">
        <v>1</v>
      </c>
      <c r="K6607">
        <f>1-888-356-84</f>
        <v>-1327</v>
      </c>
      <c r="L6607" t="s">
        <v>20688</v>
      </c>
      <c r="M6607" t="s">
        <v>20689</v>
      </c>
      <c r="N6607">
        <v>35</v>
      </c>
      <c r="O6607" t="s">
        <v>134</v>
      </c>
      <c r="P6607" t="s">
        <v>29</v>
      </c>
      <c r="Q6607">
        <v>37</v>
      </c>
      <c r="R6607">
        <v>-99.999999000000003</v>
      </c>
    </row>
    <row r="6608" spans="1:18" x14ac:dyDescent="0.2">
      <c r="A6608" t="s">
        <v>663</v>
      </c>
      <c r="B6608" t="s">
        <v>664</v>
      </c>
      <c r="C6608">
        <v>1</v>
      </c>
      <c r="D6608" s="1">
        <v>44106.809930555559</v>
      </c>
      <c r="E6608" t="s">
        <v>20690</v>
      </c>
      <c r="F6608" t="s">
        <v>2495</v>
      </c>
      <c r="G6608" t="s">
        <v>20690</v>
      </c>
      <c r="H6608" t="s">
        <v>667</v>
      </c>
      <c r="I6608" t="s">
        <v>29</v>
      </c>
      <c r="J6608">
        <v>1</v>
      </c>
      <c r="K6608">
        <f>1-888-365-7985</f>
        <v>-9237</v>
      </c>
      <c r="L6608" t="s">
        <v>20691</v>
      </c>
      <c r="M6608" t="s">
        <v>20692</v>
      </c>
      <c r="N6608">
        <v>79</v>
      </c>
      <c r="O6608" t="s">
        <v>134</v>
      </c>
      <c r="P6608" t="s">
        <v>29</v>
      </c>
      <c r="Q6608">
        <v>37</v>
      </c>
      <c r="R6608">
        <v>-99.999999000000003</v>
      </c>
    </row>
    <row r="6609" spans="1:18" x14ac:dyDescent="0.2">
      <c r="A6609" t="s">
        <v>663</v>
      </c>
      <c r="B6609" t="s">
        <v>664</v>
      </c>
      <c r="C6609">
        <v>1</v>
      </c>
      <c r="D6609" s="1">
        <v>44106.802083333336</v>
      </c>
      <c r="E6609" t="s">
        <v>20690</v>
      </c>
      <c r="F6609" t="s">
        <v>2495</v>
      </c>
      <c r="G6609" t="s">
        <v>20690</v>
      </c>
      <c r="H6609" t="s">
        <v>667</v>
      </c>
      <c r="I6609" t="s">
        <v>29</v>
      </c>
      <c r="J6609">
        <v>1</v>
      </c>
      <c r="K6609">
        <f>1-888-296-9615</f>
        <v>-10798</v>
      </c>
      <c r="L6609" t="s">
        <v>20693</v>
      </c>
      <c r="M6609" t="s">
        <v>20694</v>
      </c>
      <c r="N6609">
        <v>79</v>
      </c>
      <c r="O6609" t="s">
        <v>134</v>
      </c>
      <c r="P6609" t="s">
        <v>29</v>
      </c>
      <c r="Q6609">
        <v>37</v>
      </c>
      <c r="R6609">
        <v>-99.999999000000003</v>
      </c>
    </row>
    <row r="6610" spans="1:18" x14ac:dyDescent="0.2">
      <c r="A6610" t="s">
        <v>439</v>
      </c>
      <c r="B6610" t="s">
        <v>4321</v>
      </c>
      <c r="C6610">
        <v>1</v>
      </c>
      <c r="D6610" s="1">
        <v>44106.81827546296</v>
      </c>
      <c r="E6610" t="s">
        <v>20695</v>
      </c>
      <c r="F6610" t="s">
        <v>442</v>
      </c>
      <c r="G6610" t="s">
        <v>20696</v>
      </c>
      <c r="H6610" t="s">
        <v>444</v>
      </c>
      <c r="I6610" t="s">
        <v>29</v>
      </c>
      <c r="J6610">
        <v>1</v>
      </c>
      <c r="K6610">
        <f>1-866-547-4121</f>
        <v>-5533</v>
      </c>
      <c r="L6610" t="s">
        <v>20697</v>
      </c>
      <c r="M6610" t="s">
        <v>20698</v>
      </c>
      <c r="N6610" t="s">
        <v>674</v>
      </c>
      <c r="O6610" t="s">
        <v>28</v>
      </c>
      <c r="P6610" t="s">
        <v>29</v>
      </c>
      <c r="Q6610">
        <v>42</v>
      </c>
      <c r="R6610">
        <v>-87.629800000000003</v>
      </c>
    </row>
    <row r="6611" spans="1:18" x14ac:dyDescent="0.2">
      <c r="A6611" t="s">
        <v>439</v>
      </c>
      <c r="B6611" t="s">
        <v>3094</v>
      </c>
      <c r="C6611">
        <v>1</v>
      </c>
      <c r="D6611" s="1">
        <v>44106.818449074075</v>
      </c>
      <c r="E6611" t="s">
        <v>20699</v>
      </c>
      <c r="F6611" t="s">
        <v>442</v>
      </c>
      <c r="G6611" t="s">
        <v>20700</v>
      </c>
      <c r="H6611" t="s">
        <v>444</v>
      </c>
      <c r="I6611" t="s">
        <v>29</v>
      </c>
      <c r="J6611">
        <v>1</v>
      </c>
      <c r="K6611">
        <f>1-888-308-4694</f>
        <v>-5889</v>
      </c>
      <c r="L6611" t="s">
        <v>20701</v>
      </c>
      <c r="M6611" t="s">
        <v>20702</v>
      </c>
      <c r="N6611" t="s">
        <v>683</v>
      </c>
      <c r="O6611" t="s">
        <v>28</v>
      </c>
      <c r="P6611" t="s">
        <v>2268</v>
      </c>
      <c r="Q6611">
        <v>46</v>
      </c>
      <c r="R6611">
        <v>-73.567300000000003</v>
      </c>
    </row>
    <row r="6612" spans="1:18" x14ac:dyDescent="0.2">
      <c r="A6612" t="s">
        <v>2233</v>
      </c>
      <c r="B6612" t="s">
        <v>4672</v>
      </c>
      <c r="C6612">
        <v>1</v>
      </c>
      <c r="D6612" s="1">
        <v>44104.887997685182</v>
      </c>
      <c r="E6612" t="s">
        <v>20703</v>
      </c>
      <c r="F6612" t="s">
        <v>2236</v>
      </c>
      <c r="G6612" t="s">
        <v>20704</v>
      </c>
      <c r="H6612" t="s">
        <v>2237</v>
      </c>
      <c r="I6612" t="s">
        <v>29</v>
      </c>
      <c r="J6612">
        <v>1</v>
      </c>
      <c r="K6612">
        <f>1-855-949-380</f>
        <v>-2183</v>
      </c>
      <c r="L6612" t="s">
        <v>20705</v>
      </c>
      <c r="M6612" t="s">
        <v>20706</v>
      </c>
      <c r="N6612" t="s">
        <v>5354</v>
      </c>
      <c r="O6612" t="s">
        <v>28</v>
      </c>
      <c r="P6612" t="s">
        <v>782</v>
      </c>
      <c r="Q6612">
        <v>-34</v>
      </c>
      <c r="R6612">
        <v>99.999999000000003</v>
      </c>
    </row>
    <row r="6613" spans="1:18" x14ac:dyDescent="0.2">
      <c r="A6613" t="s">
        <v>2233</v>
      </c>
      <c r="B6613" t="s">
        <v>2234</v>
      </c>
      <c r="C6613">
        <v>1</v>
      </c>
      <c r="D6613" s="1">
        <v>44104.888599537036</v>
      </c>
      <c r="E6613" t="s">
        <v>20707</v>
      </c>
      <c r="F6613" t="s">
        <v>2236</v>
      </c>
      <c r="G6613" t="s">
        <v>20708</v>
      </c>
      <c r="H6613" t="s">
        <v>2237</v>
      </c>
      <c r="I6613" t="s">
        <v>29</v>
      </c>
      <c r="J6613">
        <v>1</v>
      </c>
      <c r="K6613">
        <f>1-888-307-3103</f>
        <v>-4297</v>
      </c>
      <c r="L6613" t="s">
        <v>20709</v>
      </c>
      <c r="M6613" t="s">
        <v>20710</v>
      </c>
      <c r="N6613" t="s">
        <v>6757</v>
      </c>
      <c r="O6613" t="s">
        <v>28</v>
      </c>
      <c r="P6613" t="s">
        <v>29</v>
      </c>
      <c r="Q6613">
        <v>40</v>
      </c>
      <c r="R6613">
        <v>-83.114099999999993</v>
      </c>
    </row>
    <row r="6614" spans="1:18" x14ac:dyDescent="0.2">
      <c r="A6614" t="s">
        <v>439</v>
      </c>
      <c r="B6614" t="s">
        <v>3094</v>
      </c>
      <c r="C6614">
        <v>1</v>
      </c>
      <c r="D6614" s="1">
        <v>44104.893946759257</v>
      </c>
      <c r="E6614" t="s">
        <v>20711</v>
      </c>
      <c r="F6614" t="s">
        <v>442</v>
      </c>
      <c r="G6614" t="s">
        <v>20712</v>
      </c>
      <c r="H6614" t="s">
        <v>444</v>
      </c>
      <c r="I6614" t="s">
        <v>29</v>
      </c>
      <c r="J6614">
        <v>1</v>
      </c>
      <c r="K6614">
        <f>1-888-308-5680</f>
        <v>-6875</v>
      </c>
      <c r="L6614" t="s">
        <v>20713</v>
      </c>
      <c r="M6614" t="s">
        <v>20714</v>
      </c>
      <c r="N6614" t="s">
        <v>5354</v>
      </c>
      <c r="O6614" t="s">
        <v>28</v>
      </c>
      <c r="P6614" t="s">
        <v>2268</v>
      </c>
      <c r="Q6614">
        <v>46</v>
      </c>
      <c r="R6614">
        <v>-73.567300000000003</v>
      </c>
    </row>
    <row r="6615" spans="1:18" x14ac:dyDescent="0.2">
      <c r="A6615" t="s">
        <v>663</v>
      </c>
      <c r="B6615" t="s">
        <v>664</v>
      </c>
      <c r="C6615">
        <v>1</v>
      </c>
      <c r="D6615" s="1">
        <v>44104.907152777778</v>
      </c>
      <c r="E6615" t="s">
        <v>20715</v>
      </c>
      <c r="F6615" t="s">
        <v>666</v>
      </c>
      <c r="G6615" t="s">
        <v>20715</v>
      </c>
      <c r="H6615" t="s">
        <v>667</v>
      </c>
      <c r="I6615" t="s">
        <v>29</v>
      </c>
      <c r="J6615">
        <v>1</v>
      </c>
      <c r="K6615">
        <f>1-888-312-5269</f>
        <v>-6468</v>
      </c>
      <c r="L6615" t="s">
        <v>20716</v>
      </c>
      <c r="M6615" t="s">
        <v>20717</v>
      </c>
      <c r="N6615">
        <v>87</v>
      </c>
      <c r="O6615" t="s">
        <v>134</v>
      </c>
      <c r="P6615" t="s">
        <v>29</v>
      </c>
      <c r="Q6615">
        <v>37</v>
      </c>
      <c r="R6615">
        <v>-99.999999000000003</v>
      </c>
    </row>
    <row r="6616" spans="1:18" x14ac:dyDescent="0.2">
      <c r="A6616" t="s">
        <v>663</v>
      </c>
      <c r="B6616" t="s">
        <v>664</v>
      </c>
      <c r="C6616">
        <v>1</v>
      </c>
      <c r="D6616" s="1">
        <v>44104.907233796293</v>
      </c>
      <c r="E6616" t="s">
        <v>20718</v>
      </c>
      <c r="F6616" t="s">
        <v>666</v>
      </c>
      <c r="G6616" t="s">
        <v>20719</v>
      </c>
      <c r="H6616" t="s">
        <v>667</v>
      </c>
      <c r="I6616" t="s">
        <v>29</v>
      </c>
      <c r="J6616">
        <v>1</v>
      </c>
      <c r="K6616">
        <f>1-855-510-353</f>
        <v>-1717</v>
      </c>
      <c r="L6616" t="s">
        <v>20720</v>
      </c>
      <c r="M6616" t="s">
        <v>20721</v>
      </c>
      <c r="N6616" t="s">
        <v>1645</v>
      </c>
      <c r="O6616" t="s">
        <v>28</v>
      </c>
      <c r="P6616" t="s">
        <v>29</v>
      </c>
      <c r="Q6616">
        <v>37</v>
      </c>
      <c r="R6616">
        <v>-99.999999000000003</v>
      </c>
    </row>
    <row r="6617" spans="1:18" x14ac:dyDescent="0.2">
      <c r="A6617" t="s">
        <v>663</v>
      </c>
      <c r="B6617" t="s">
        <v>664</v>
      </c>
      <c r="C6617">
        <v>1</v>
      </c>
      <c r="D6617" s="1">
        <v>44104.921793981484</v>
      </c>
      <c r="E6617" t="s">
        <v>20722</v>
      </c>
      <c r="F6617" t="s">
        <v>666</v>
      </c>
      <c r="G6617" t="s">
        <v>20723</v>
      </c>
      <c r="H6617" t="s">
        <v>667</v>
      </c>
      <c r="I6617" t="s">
        <v>29</v>
      </c>
      <c r="J6617">
        <v>1</v>
      </c>
      <c r="K6617">
        <f>1-855-510-352</f>
        <v>-1716</v>
      </c>
      <c r="L6617" t="s">
        <v>20724</v>
      </c>
      <c r="M6617" t="s">
        <v>20725</v>
      </c>
      <c r="N6617" t="s">
        <v>1645</v>
      </c>
      <c r="O6617" t="s">
        <v>28</v>
      </c>
      <c r="P6617" t="s">
        <v>29</v>
      </c>
      <c r="Q6617">
        <v>37</v>
      </c>
      <c r="R6617">
        <v>-99.999999000000003</v>
      </c>
    </row>
    <row r="6618" spans="1:18" x14ac:dyDescent="0.2">
      <c r="A6618" t="s">
        <v>663</v>
      </c>
      <c r="B6618" t="s">
        <v>664</v>
      </c>
      <c r="C6618">
        <v>1</v>
      </c>
      <c r="D6618" s="1">
        <v>44104.926018518519</v>
      </c>
      <c r="E6618" t="s">
        <v>20726</v>
      </c>
      <c r="F6618" t="s">
        <v>666</v>
      </c>
      <c r="G6618" t="s">
        <v>20726</v>
      </c>
      <c r="H6618" t="s">
        <v>667</v>
      </c>
      <c r="I6618" t="s">
        <v>29</v>
      </c>
      <c r="J6618">
        <v>1</v>
      </c>
      <c r="K6618">
        <f>1-888-374-1889</f>
        <v>-3150</v>
      </c>
      <c r="L6618" t="s">
        <v>20727</v>
      </c>
      <c r="M6618" t="s">
        <v>20728</v>
      </c>
      <c r="N6618">
        <v>238</v>
      </c>
      <c r="O6618" t="s">
        <v>134</v>
      </c>
      <c r="P6618" t="s">
        <v>29</v>
      </c>
      <c r="Q6618">
        <v>37</v>
      </c>
      <c r="R6618">
        <v>-99.999999000000003</v>
      </c>
    </row>
    <row r="6619" spans="1:18" x14ac:dyDescent="0.2">
      <c r="A6619" t="s">
        <v>270</v>
      </c>
      <c r="B6619" t="s">
        <v>5337</v>
      </c>
      <c r="C6619">
        <v>1</v>
      </c>
      <c r="D6619" s="1">
        <v>44239.81994212963</v>
      </c>
      <c r="E6619" t="s">
        <v>20729</v>
      </c>
      <c r="F6619" t="s">
        <v>273</v>
      </c>
      <c r="G6619" t="s">
        <v>20730</v>
      </c>
      <c r="H6619" t="s">
        <v>275</v>
      </c>
      <c r="I6619" t="s">
        <v>29</v>
      </c>
      <c r="J6619">
        <v>1</v>
      </c>
      <c r="K6619">
        <f>1-888-598-3243</f>
        <v>-4728</v>
      </c>
      <c r="L6619" t="s">
        <v>20731</v>
      </c>
      <c r="M6619" t="s">
        <v>20732</v>
      </c>
      <c r="N6619" t="s">
        <v>278</v>
      </c>
      <c r="O6619" t="s">
        <v>28</v>
      </c>
      <c r="P6619" t="s">
        <v>29</v>
      </c>
      <c r="Q6619">
        <v>38</v>
      </c>
      <c r="R6619">
        <v>-99.999999000000003</v>
      </c>
    </row>
    <row r="6620" spans="1:18" x14ac:dyDescent="0.2">
      <c r="A6620" t="s">
        <v>270</v>
      </c>
      <c r="B6620" t="s">
        <v>5337</v>
      </c>
      <c r="C6620">
        <v>1</v>
      </c>
      <c r="D6620" s="1">
        <v>44224.123495370368</v>
      </c>
      <c r="E6620" t="s">
        <v>20733</v>
      </c>
      <c r="F6620" t="s">
        <v>273</v>
      </c>
      <c r="G6620" t="s">
        <v>20730</v>
      </c>
      <c r="H6620" t="s">
        <v>275</v>
      </c>
      <c r="I6620" t="s">
        <v>29</v>
      </c>
      <c r="J6620">
        <v>1</v>
      </c>
      <c r="K6620">
        <f>1-888-319-8276</f>
        <v>-9482</v>
      </c>
      <c r="L6620" t="s">
        <v>20734</v>
      </c>
      <c r="M6620" t="s">
        <v>20735</v>
      </c>
      <c r="N6620" t="s">
        <v>278</v>
      </c>
      <c r="O6620" t="s">
        <v>28</v>
      </c>
      <c r="P6620" t="s">
        <v>29</v>
      </c>
      <c r="Q6620">
        <v>38</v>
      </c>
      <c r="R6620">
        <v>-99.999999000000003</v>
      </c>
    </row>
    <row r="6621" spans="1:18" x14ac:dyDescent="0.2">
      <c r="A6621" t="s">
        <v>270</v>
      </c>
      <c r="B6621" t="s">
        <v>5337</v>
      </c>
      <c r="C6621">
        <v>1</v>
      </c>
      <c r="D6621" s="1">
        <v>44217.935995370368</v>
      </c>
      <c r="E6621" t="s">
        <v>20736</v>
      </c>
      <c r="F6621" t="s">
        <v>273</v>
      </c>
      <c r="G6621" t="s">
        <v>20730</v>
      </c>
      <c r="H6621" t="s">
        <v>275</v>
      </c>
      <c r="I6621" t="s">
        <v>29</v>
      </c>
      <c r="J6621">
        <v>1</v>
      </c>
      <c r="K6621">
        <f>1-888-351-4372</f>
        <v>-5610</v>
      </c>
      <c r="L6621" t="s">
        <v>20737</v>
      </c>
      <c r="M6621" t="s">
        <v>20738</v>
      </c>
      <c r="N6621" t="s">
        <v>278</v>
      </c>
      <c r="O6621" t="s">
        <v>28</v>
      </c>
      <c r="P6621" t="s">
        <v>29</v>
      </c>
      <c r="Q6621">
        <v>38</v>
      </c>
      <c r="R6621">
        <v>-99.999999000000003</v>
      </c>
    </row>
    <row r="6622" spans="1:18" x14ac:dyDescent="0.2">
      <c r="A6622" t="s">
        <v>270</v>
      </c>
      <c r="B6622" t="s">
        <v>5337</v>
      </c>
      <c r="C6622">
        <v>1</v>
      </c>
      <c r="D6622" s="1">
        <v>44209.870023148149</v>
      </c>
      <c r="E6622" t="s">
        <v>20739</v>
      </c>
      <c r="F6622" t="s">
        <v>273</v>
      </c>
      <c r="G6622" t="s">
        <v>20730</v>
      </c>
      <c r="H6622" t="s">
        <v>275</v>
      </c>
      <c r="I6622" t="s">
        <v>29</v>
      </c>
      <c r="J6622">
        <v>1</v>
      </c>
      <c r="K6622">
        <f>1-888-312-8524</f>
        <v>-9723</v>
      </c>
      <c r="L6622" t="s">
        <v>20740</v>
      </c>
      <c r="M6622" t="s">
        <v>20741</v>
      </c>
      <c r="N6622" t="s">
        <v>278</v>
      </c>
      <c r="O6622" t="s">
        <v>28</v>
      </c>
      <c r="P6622" t="s">
        <v>29</v>
      </c>
      <c r="Q6622">
        <v>38</v>
      </c>
      <c r="R6622">
        <v>-99.999999000000003</v>
      </c>
    </row>
    <row r="6623" spans="1:18" x14ac:dyDescent="0.2">
      <c r="A6623" t="s">
        <v>270</v>
      </c>
      <c r="B6623" t="s">
        <v>5337</v>
      </c>
      <c r="C6623">
        <v>1</v>
      </c>
      <c r="D6623" s="1">
        <v>44207.885821759257</v>
      </c>
      <c r="E6623" t="s">
        <v>20742</v>
      </c>
      <c r="F6623" t="s">
        <v>273</v>
      </c>
      <c r="G6623" t="s">
        <v>20730</v>
      </c>
      <c r="H6623" t="s">
        <v>275</v>
      </c>
      <c r="I6623" t="s">
        <v>29</v>
      </c>
      <c r="J6623">
        <v>1</v>
      </c>
      <c r="K6623">
        <f>1-888-306-539</f>
        <v>-1732</v>
      </c>
      <c r="L6623" t="s">
        <v>20743</v>
      </c>
      <c r="M6623" t="s">
        <v>20744</v>
      </c>
      <c r="N6623" t="s">
        <v>278</v>
      </c>
      <c r="O6623" t="s">
        <v>28</v>
      </c>
      <c r="P6623" t="s">
        <v>29</v>
      </c>
      <c r="Q6623">
        <v>38</v>
      </c>
      <c r="R6623">
        <v>-99.999999000000003</v>
      </c>
    </row>
    <row r="6624" spans="1:18" x14ac:dyDescent="0.2">
      <c r="A6624" t="s">
        <v>270</v>
      </c>
      <c r="B6624" t="s">
        <v>5337</v>
      </c>
      <c r="C6624">
        <v>1</v>
      </c>
      <c r="D6624" s="1">
        <v>44204.872384259259</v>
      </c>
      <c r="E6624" t="s">
        <v>20745</v>
      </c>
      <c r="F6624" t="s">
        <v>273</v>
      </c>
      <c r="G6624" t="s">
        <v>20730</v>
      </c>
      <c r="H6624" t="s">
        <v>275</v>
      </c>
      <c r="I6624" t="s">
        <v>29</v>
      </c>
      <c r="J6624">
        <v>1</v>
      </c>
      <c r="K6624">
        <f>1-888-278-467</f>
        <v>-1632</v>
      </c>
      <c r="L6624" t="s">
        <v>20746</v>
      </c>
      <c r="M6624" t="s">
        <v>20747</v>
      </c>
      <c r="N6624" t="s">
        <v>278</v>
      </c>
      <c r="O6624" t="s">
        <v>28</v>
      </c>
      <c r="P6624" t="s">
        <v>29</v>
      </c>
      <c r="Q6624">
        <v>38</v>
      </c>
      <c r="R6624">
        <v>-99.999999000000003</v>
      </c>
    </row>
    <row r="6625" spans="1:18" x14ac:dyDescent="0.2">
      <c r="A6625" t="s">
        <v>270</v>
      </c>
      <c r="B6625" t="s">
        <v>5337</v>
      </c>
      <c r="C6625">
        <v>1</v>
      </c>
      <c r="D6625" s="1">
        <v>44203.761446759258</v>
      </c>
      <c r="E6625" t="s">
        <v>20748</v>
      </c>
      <c r="F6625" t="s">
        <v>273</v>
      </c>
      <c r="G6625" t="s">
        <v>20730</v>
      </c>
      <c r="H6625" t="s">
        <v>275</v>
      </c>
      <c r="I6625" t="s">
        <v>29</v>
      </c>
      <c r="J6625">
        <v>1</v>
      </c>
      <c r="K6625">
        <f>1-888-344-1995</f>
        <v>-3226</v>
      </c>
      <c r="L6625" t="s">
        <v>20749</v>
      </c>
      <c r="M6625" t="s">
        <v>20750</v>
      </c>
      <c r="N6625" t="s">
        <v>278</v>
      </c>
      <c r="O6625" t="s">
        <v>28</v>
      </c>
      <c r="P6625" t="s">
        <v>29</v>
      </c>
      <c r="Q6625">
        <v>38</v>
      </c>
      <c r="R6625">
        <v>-99.999999000000003</v>
      </c>
    </row>
    <row r="6626" spans="1:18" x14ac:dyDescent="0.2">
      <c r="A6626" t="s">
        <v>270</v>
      </c>
      <c r="B6626" t="s">
        <v>5337</v>
      </c>
      <c r="C6626">
        <v>1</v>
      </c>
      <c r="D6626" s="1">
        <v>44149.154733796298</v>
      </c>
      <c r="E6626" t="s">
        <v>20751</v>
      </c>
      <c r="F6626" t="s">
        <v>273</v>
      </c>
      <c r="G6626" t="s">
        <v>20730</v>
      </c>
      <c r="H6626" t="s">
        <v>275</v>
      </c>
      <c r="I6626" t="s">
        <v>29</v>
      </c>
      <c r="J6626">
        <v>1</v>
      </c>
      <c r="K6626">
        <f>1-844-279-115</f>
        <v>-1237</v>
      </c>
      <c r="L6626" t="s">
        <v>20752</v>
      </c>
      <c r="M6626" t="s">
        <v>20753</v>
      </c>
      <c r="N6626" t="s">
        <v>278</v>
      </c>
      <c r="O6626" t="s">
        <v>134</v>
      </c>
      <c r="P6626" t="s">
        <v>29</v>
      </c>
      <c r="Q6626">
        <v>38</v>
      </c>
      <c r="R6626">
        <v>-99.999999000000003</v>
      </c>
    </row>
    <row r="6627" spans="1:18" x14ac:dyDescent="0.2">
      <c r="A6627" t="s">
        <v>270</v>
      </c>
      <c r="B6627" t="s">
        <v>5337</v>
      </c>
      <c r="C6627">
        <v>1</v>
      </c>
      <c r="D6627" s="1">
        <v>44149.137615740743</v>
      </c>
      <c r="E6627" t="s">
        <v>20754</v>
      </c>
      <c r="F6627" t="s">
        <v>273</v>
      </c>
      <c r="G6627" t="s">
        <v>20730</v>
      </c>
      <c r="H6627" t="s">
        <v>275</v>
      </c>
      <c r="I6627" t="s">
        <v>29</v>
      </c>
      <c r="J6627">
        <v>1</v>
      </c>
      <c r="K6627">
        <f>1-844-293-617</f>
        <v>-1753</v>
      </c>
      <c r="L6627" t="s">
        <v>20755</v>
      </c>
      <c r="M6627" t="s">
        <v>20756</v>
      </c>
      <c r="N6627" t="s">
        <v>278</v>
      </c>
      <c r="O6627" t="s">
        <v>134</v>
      </c>
      <c r="P6627" t="s">
        <v>29</v>
      </c>
      <c r="Q6627">
        <v>38</v>
      </c>
      <c r="R6627">
        <v>-99.999999000000003</v>
      </c>
    </row>
    <row r="6628" spans="1:18" x14ac:dyDescent="0.2">
      <c r="A6628" t="s">
        <v>270</v>
      </c>
      <c r="B6628" t="s">
        <v>5337</v>
      </c>
      <c r="C6628">
        <v>1</v>
      </c>
      <c r="D6628" s="1">
        <v>44149.136805555558</v>
      </c>
      <c r="E6628" t="s">
        <v>20757</v>
      </c>
      <c r="F6628" t="s">
        <v>273</v>
      </c>
      <c r="G6628" t="s">
        <v>20730</v>
      </c>
      <c r="H6628" t="s">
        <v>275</v>
      </c>
      <c r="I6628" t="s">
        <v>29</v>
      </c>
      <c r="J6628">
        <v>1</v>
      </c>
      <c r="K6628">
        <f>1-844-288-9125</f>
        <v>-10256</v>
      </c>
      <c r="L6628" t="s">
        <v>20758</v>
      </c>
      <c r="M6628" t="s">
        <v>20759</v>
      </c>
      <c r="N6628" t="s">
        <v>278</v>
      </c>
      <c r="O6628" t="s">
        <v>134</v>
      </c>
      <c r="P6628" t="s">
        <v>29</v>
      </c>
      <c r="Q6628">
        <v>38</v>
      </c>
      <c r="R6628">
        <v>-99.999999000000003</v>
      </c>
    </row>
    <row r="6629" spans="1:18" x14ac:dyDescent="0.2">
      <c r="A6629" t="s">
        <v>270</v>
      </c>
      <c r="B6629" t="s">
        <v>5337</v>
      </c>
      <c r="C6629">
        <v>1</v>
      </c>
      <c r="D6629" s="1">
        <v>44149.12327546296</v>
      </c>
      <c r="E6629" t="s">
        <v>20760</v>
      </c>
      <c r="F6629" t="s">
        <v>273</v>
      </c>
      <c r="G6629" t="s">
        <v>20730</v>
      </c>
      <c r="H6629" t="s">
        <v>275</v>
      </c>
      <c r="I6629" t="s">
        <v>29</v>
      </c>
      <c r="J6629">
        <v>1</v>
      </c>
      <c r="K6629">
        <f>1-844-290-7339</f>
        <v>-8472</v>
      </c>
      <c r="L6629" t="s">
        <v>20761</v>
      </c>
      <c r="M6629" t="s">
        <v>20762</v>
      </c>
      <c r="N6629" t="s">
        <v>278</v>
      </c>
      <c r="O6629" t="s">
        <v>134</v>
      </c>
      <c r="P6629" t="s">
        <v>29</v>
      </c>
      <c r="Q6629">
        <v>38</v>
      </c>
      <c r="R6629">
        <v>-99.999999000000003</v>
      </c>
    </row>
    <row r="6630" spans="1:18" x14ac:dyDescent="0.2">
      <c r="A6630" t="s">
        <v>270</v>
      </c>
      <c r="B6630" t="s">
        <v>5337</v>
      </c>
      <c r="C6630">
        <v>1</v>
      </c>
      <c r="D6630" s="1">
        <v>44145.800405092596</v>
      </c>
      <c r="E6630" t="s">
        <v>20763</v>
      </c>
      <c r="F6630" t="s">
        <v>273</v>
      </c>
      <c r="G6630" t="s">
        <v>20730</v>
      </c>
      <c r="H6630" t="s">
        <v>275</v>
      </c>
      <c r="I6630" t="s">
        <v>29</v>
      </c>
      <c r="J6630">
        <v>1</v>
      </c>
      <c r="K6630">
        <f>1-844-295-6539</f>
        <v>-7677</v>
      </c>
      <c r="L6630" t="s">
        <v>20764</v>
      </c>
      <c r="M6630" t="s">
        <v>20765</v>
      </c>
      <c r="N6630" t="s">
        <v>278</v>
      </c>
      <c r="O6630" t="s">
        <v>28</v>
      </c>
      <c r="P6630" t="s">
        <v>29</v>
      </c>
      <c r="Q6630">
        <v>38</v>
      </c>
      <c r="R6630">
        <v>-99.999999000000003</v>
      </c>
    </row>
    <row r="6631" spans="1:18" x14ac:dyDescent="0.2">
      <c r="A6631" t="s">
        <v>270</v>
      </c>
      <c r="B6631" t="s">
        <v>5337</v>
      </c>
      <c r="C6631">
        <v>1</v>
      </c>
      <c r="D6631" s="1">
        <v>44112.845462962963</v>
      </c>
      <c r="E6631" t="s">
        <v>20766</v>
      </c>
      <c r="F6631" t="s">
        <v>273</v>
      </c>
      <c r="G6631" t="s">
        <v>20730</v>
      </c>
      <c r="H6631" t="s">
        <v>275</v>
      </c>
      <c r="I6631" t="s">
        <v>29</v>
      </c>
      <c r="J6631">
        <v>1</v>
      </c>
      <c r="K6631">
        <f>1-803-937-4925</f>
        <v>-6664</v>
      </c>
      <c r="L6631" t="s">
        <v>20767</v>
      </c>
      <c r="M6631" t="s">
        <v>20768</v>
      </c>
      <c r="N6631" t="s">
        <v>278</v>
      </c>
      <c r="O6631" t="s">
        <v>28</v>
      </c>
      <c r="P6631" t="s">
        <v>29</v>
      </c>
      <c r="Q6631">
        <v>38</v>
      </c>
      <c r="R6631">
        <v>-99.999999000000003</v>
      </c>
    </row>
    <row r="6632" spans="1:18" x14ac:dyDescent="0.2">
      <c r="A6632" t="s">
        <v>270</v>
      </c>
      <c r="B6632" t="s">
        <v>5337</v>
      </c>
      <c r="C6632">
        <v>1</v>
      </c>
      <c r="D6632" s="1">
        <v>44112.77270833333</v>
      </c>
      <c r="E6632" t="s">
        <v>20769</v>
      </c>
      <c r="F6632" t="s">
        <v>273</v>
      </c>
      <c r="G6632" t="s">
        <v>20730</v>
      </c>
      <c r="H6632" t="s">
        <v>275</v>
      </c>
      <c r="I6632" t="s">
        <v>29</v>
      </c>
      <c r="J6632">
        <v>1</v>
      </c>
      <c r="K6632">
        <f>1-888-334-1270</f>
        <v>-2491</v>
      </c>
      <c r="L6632" t="s">
        <v>20770</v>
      </c>
      <c r="M6632" t="s">
        <v>20771</v>
      </c>
      <c r="N6632" t="s">
        <v>278</v>
      </c>
      <c r="O6632" t="s">
        <v>28</v>
      </c>
      <c r="P6632" t="s">
        <v>29</v>
      </c>
      <c r="Q6632">
        <v>38</v>
      </c>
      <c r="R6632">
        <v>-99.999999000000003</v>
      </c>
    </row>
    <row r="6633" spans="1:18" x14ac:dyDescent="0.2">
      <c r="A6633" t="s">
        <v>270</v>
      </c>
      <c r="B6633" t="s">
        <v>5337</v>
      </c>
      <c r="C6633">
        <v>1</v>
      </c>
      <c r="D6633" s="1">
        <v>44112.759386574071</v>
      </c>
      <c r="E6633" t="s">
        <v>20772</v>
      </c>
      <c r="F6633" t="s">
        <v>273</v>
      </c>
      <c r="G6633" t="s">
        <v>20730</v>
      </c>
      <c r="H6633" t="s">
        <v>275</v>
      </c>
      <c r="I6633" t="s">
        <v>29</v>
      </c>
      <c r="J6633">
        <v>1</v>
      </c>
      <c r="K6633">
        <f>1-888-334-1316</f>
        <v>-2537</v>
      </c>
      <c r="L6633" t="s">
        <v>20773</v>
      </c>
      <c r="M6633" t="s">
        <v>20774</v>
      </c>
      <c r="N6633" t="s">
        <v>278</v>
      </c>
      <c r="O6633" t="s">
        <v>28</v>
      </c>
      <c r="P6633" t="s">
        <v>29</v>
      </c>
      <c r="Q6633">
        <v>38</v>
      </c>
      <c r="R6633">
        <v>-99.999999000000003</v>
      </c>
    </row>
    <row r="6634" spans="1:18" x14ac:dyDescent="0.2">
      <c r="A6634" t="s">
        <v>270</v>
      </c>
      <c r="B6634" t="s">
        <v>5337</v>
      </c>
      <c r="C6634">
        <v>1</v>
      </c>
      <c r="D6634" s="1">
        <v>44104.930925925924</v>
      </c>
      <c r="E6634" t="s">
        <v>20775</v>
      </c>
      <c r="F6634" t="s">
        <v>273</v>
      </c>
      <c r="G6634" t="s">
        <v>20730</v>
      </c>
      <c r="H6634" t="s">
        <v>275</v>
      </c>
      <c r="I6634" t="s">
        <v>29</v>
      </c>
      <c r="J6634">
        <v>1</v>
      </c>
      <c r="K6634">
        <f>1-888-210-6084</f>
        <v>-7181</v>
      </c>
      <c r="L6634" t="s">
        <v>20776</v>
      </c>
      <c r="M6634" t="s">
        <v>20777</v>
      </c>
      <c r="N6634" t="s">
        <v>278</v>
      </c>
      <c r="O6634" t="s">
        <v>134</v>
      </c>
      <c r="P6634" t="s">
        <v>29</v>
      </c>
      <c r="Q6634">
        <v>38</v>
      </c>
      <c r="R6634">
        <v>-99.999999000000003</v>
      </c>
    </row>
    <row r="6635" spans="1:18" x14ac:dyDescent="0.2">
      <c r="A6635" t="s">
        <v>2349</v>
      </c>
      <c r="B6635" t="s">
        <v>6134</v>
      </c>
      <c r="C6635">
        <v>1</v>
      </c>
      <c r="D6635" s="1">
        <v>44105.212592592594</v>
      </c>
      <c r="E6635" t="s">
        <v>20778</v>
      </c>
      <c r="F6635" t="s">
        <v>2352</v>
      </c>
      <c r="G6635" t="s">
        <v>20778</v>
      </c>
      <c r="H6635" t="s">
        <v>2353</v>
      </c>
      <c r="I6635" t="s">
        <v>29</v>
      </c>
      <c r="J6635">
        <v>1</v>
      </c>
      <c r="K6635">
        <f>1-888-596-5682</f>
        <v>-7165</v>
      </c>
      <c r="L6635" t="s">
        <v>20779</v>
      </c>
      <c r="M6635" t="s">
        <v>20780</v>
      </c>
      <c r="N6635">
        <v>132</v>
      </c>
      <c r="O6635" t="s">
        <v>134</v>
      </c>
      <c r="P6635" t="s">
        <v>29</v>
      </c>
      <c r="Q6635">
        <v>33</v>
      </c>
      <c r="R6635">
        <v>-96.802099999999996</v>
      </c>
    </row>
    <row r="6636" spans="1:18" x14ac:dyDescent="0.2">
      <c r="A6636" t="s">
        <v>2349</v>
      </c>
      <c r="B6636" t="s">
        <v>10634</v>
      </c>
      <c r="C6636">
        <v>49</v>
      </c>
      <c r="D6636" s="1">
        <v>44105.521412037036</v>
      </c>
      <c r="E6636" t="s">
        <v>20781</v>
      </c>
      <c r="F6636" t="s">
        <v>20782</v>
      </c>
      <c r="G6636" t="s">
        <v>20781</v>
      </c>
      <c r="H6636" t="s">
        <v>2353</v>
      </c>
      <c r="I6636" t="s">
        <v>24</v>
      </c>
      <c r="J6636">
        <v>49</v>
      </c>
      <c r="K6636">
        <f>49-800-180-114</f>
        <v>-1045</v>
      </c>
      <c r="L6636" t="s">
        <v>20783</v>
      </c>
      <c r="M6636" t="s">
        <v>20784</v>
      </c>
      <c r="N6636">
        <v>48</v>
      </c>
      <c r="O6636" t="s">
        <v>134</v>
      </c>
      <c r="P6636" t="s">
        <v>292</v>
      </c>
      <c r="Q6636">
        <v>49</v>
      </c>
      <c r="R6636">
        <v>2.3868999999999998</v>
      </c>
    </row>
    <row r="6637" spans="1:18" x14ac:dyDescent="0.2">
      <c r="A6637" t="s">
        <v>663</v>
      </c>
      <c r="B6637" t="s">
        <v>664</v>
      </c>
      <c r="C6637">
        <v>1</v>
      </c>
      <c r="D6637" s="1">
        <v>44108.808125000003</v>
      </c>
      <c r="E6637" t="s">
        <v>20785</v>
      </c>
      <c r="F6637" t="s">
        <v>666</v>
      </c>
      <c r="G6637" t="s">
        <v>20786</v>
      </c>
      <c r="H6637" t="s">
        <v>667</v>
      </c>
      <c r="I6637" t="s">
        <v>29</v>
      </c>
      <c r="J6637">
        <v>1</v>
      </c>
      <c r="K6637">
        <f>1-855-931-5481</f>
        <v>-7266</v>
      </c>
      <c r="L6637" t="s">
        <v>20787</v>
      </c>
      <c r="M6637" t="s">
        <v>20788</v>
      </c>
      <c r="N6637" t="s">
        <v>1645</v>
      </c>
      <c r="O6637" t="s">
        <v>28</v>
      </c>
      <c r="P6637" t="s">
        <v>29</v>
      </c>
      <c r="Q6637">
        <v>37</v>
      </c>
      <c r="R6637">
        <v>-99.999999000000003</v>
      </c>
    </row>
    <row r="6638" spans="1:18" x14ac:dyDescent="0.2">
      <c r="A6638" t="s">
        <v>439</v>
      </c>
      <c r="B6638" t="s">
        <v>3094</v>
      </c>
      <c r="C6638">
        <v>1</v>
      </c>
      <c r="D6638" s="1">
        <v>44108.830671296295</v>
      </c>
      <c r="E6638" t="s">
        <v>20789</v>
      </c>
      <c r="F6638" t="s">
        <v>442</v>
      </c>
      <c r="G6638" t="s">
        <v>20790</v>
      </c>
      <c r="H6638" t="s">
        <v>444</v>
      </c>
      <c r="I6638" t="s">
        <v>29</v>
      </c>
      <c r="J6638">
        <v>1</v>
      </c>
      <c r="K6638">
        <f>1-888-350-8045</f>
        <v>-9282</v>
      </c>
      <c r="L6638" t="s">
        <v>20791</v>
      </c>
      <c r="M6638" t="s">
        <v>20792</v>
      </c>
      <c r="N6638" t="s">
        <v>683</v>
      </c>
      <c r="O6638" t="s">
        <v>28</v>
      </c>
      <c r="P6638" t="s">
        <v>2268</v>
      </c>
      <c r="Q6638">
        <v>46</v>
      </c>
      <c r="R6638">
        <v>-73.567300000000003</v>
      </c>
    </row>
    <row r="6639" spans="1:18" x14ac:dyDescent="0.2">
      <c r="A6639" t="s">
        <v>439</v>
      </c>
      <c r="B6639" t="s">
        <v>3094</v>
      </c>
      <c r="C6639">
        <v>1</v>
      </c>
      <c r="D6639" s="1">
        <v>44108.842268518521</v>
      </c>
      <c r="E6639" t="s">
        <v>20793</v>
      </c>
      <c r="F6639" t="s">
        <v>442</v>
      </c>
      <c r="G6639" t="s">
        <v>20794</v>
      </c>
      <c r="H6639" t="s">
        <v>444</v>
      </c>
      <c r="I6639" t="s">
        <v>29</v>
      </c>
      <c r="J6639">
        <v>1</v>
      </c>
      <c r="K6639">
        <f>1-888-207-3459</f>
        <v>-4553</v>
      </c>
      <c r="L6639" t="s">
        <v>20795</v>
      </c>
      <c r="M6639" t="s">
        <v>20796</v>
      </c>
      <c r="N6639" t="s">
        <v>447</v>
      </c>
      <c r="O6639" t="s">
        <v>28</v>
      </c>
      <c r="P6639" t="s">
        <v>2268</v>
      </c>
      <c r="Q6639">
        <v>46</v>
      </c>
      <c r="R6639">
        <v>-73.567300000000003</v>
      </c>
    </row>
    <row r="6640" spans="1:18" x14ac:dyDescent="0.2">
      <c r="A6640" t="s">
        <v>439</v>
      </c>
      <c r="B6640" t="s">
        <v>3094</v>
      </c>
      <c r="C6640">
        <v>1</v>
      </c>
      <c r="D6640" s="1">
        <v>44108.849965277775</v>
      </c>
      <c r="E6640" t="s">
        <v>20797</v>
      </c>
      <c r="F6640" t="s">
        <v>442</v>
      </c>
      <c r="G6640" t="s">
        <v>20798</v>
      </c>
      <c r="H6640" t="s">
        <v>444</v>
      </c>
      <c r="I6640" t="s">
        <v>29</v>
      </c>
      <c r="J6640">
        <v>1</v>
      </c>
      <c r="K6640">
        <f>1-888-597-1217</f>
        <v>-2701</v>
      </c>
      <c r="L6640" t="s">
        <v>20799</v>
      </c>
      <c r="M6640" t="s">
        <v>20800</v>
      </c>
      <c r="N6640" t="s">
        <v>447</v>
      </c>
      <c r="O6640" t="s">
        <v>28</v>
      </c>
      <c r="P6640" t="s">
        <v>2268</v>
      </c>
      <c r="Q6640">
        <v>46</v>
      </c>
      <c r="R6640">
        <v>-73.567300000000003</v>
      </c>
    </row>
    <row r="6641" spans="1:18" x14ac:dyDescent="0.2">
      <c r="A6641" t="s">
        <v>439</v>
      </c>
      <c r="B6641" t="s">
        <v>3094</v>
      </c>
      <c r="C6641">
        <v>1</v>
      </c>
      <c r="D6641" s="1">
        <v>44106.928518518522</v>
      </c>
      <c r="E6641" t="s">
        <v>20801</v>
      </c>
      <c r="F6641" t="s">
        <v>442</v>
      </c>
      <c r="G6641" t="s">
        <v>20802</v>
      </c>
      <c r="H6641" t="s">
        <v>444</v>
      </c>
      <c r="I6641" t="s">
        <v>29</v>
      </c>
      <c r="J6641">
        <v>1</v>
      </c>
      <c r="K6641">
        <f>1-888-346-7121</f>
        <v>-8354</v>
      </c>
      <c r="L6641" t="s">
        <v>20803</v>
      </c>
      <c r="M6641" t="s">
        <v>20804</v>
      </c>
      <c r="N6641" t="s">
        <v>1645</v>
      </c>
      <c r="O6641" t="s">
        <v>28</v>
      </c>
      <c r="P6641" t="s">
        <v>2268</v>
      </c>
      <c r="Q6641">
        <v>46</v>
      </c>
      <c r="R6641">
        <v>-73.567300000000003</v>
      </c>
    </row>
    <row r="6642" spans="1:18" x14ac:dyDescent="0.2">
      <c r="A6642" t="s">
        <v>439</v>
      </c>
      <c r="B6642" t="s">
        <v>3094</v>
      </c>
      <c r="C6642">
        <v>1</v>
      </c>
      <c r="D6642" s="1">
        <v>44107.748854166668</v>
      </c>
      <c r="E6642" t="s">
        <v>20805</v>
      </c>
      <c r="F6642" t="s">
        <v>442</v>
      </c>
      <c r="G6642" t="s">
        <v>20806</v>
      </c>
      <c r="H6642" t="s">
        <v>444</v>
      </c>
      <c r="I6642" t="s">
        <v>29</v>
      </c>
      <c r="J6642">
        <v>1</v>
      </c>
      <c r="K6642">
        <f>1-888-324-6570</f>
        <v>-7781</v>
      </c>
      <c r="L6642" t="s">
        <v>20807</v>
      </c>
      <c r="M6642" t="s">
        <v>20808</v>
      </c>
      <c r="N6642" t="s">
        <v>1645</v>
      </c>
      <c r="O6642" t="s">
        <v>28</v>
      </c>
      <c r="P6642" t="s">
        <v>2268</v>
      </c>
      <c r="Q6642">
        <v>46</v>
      </c>
      <c r="R6642">
        <v>-73.567300000000003</v>
      </c>
    </row>
    <row r="6643" spans="1:18" x14ac:dyDescent="0.2">
      <c r="A6643" t="s">
        <v>439</v>
      </c>
      <c r="B6643" t="s">
        <v>3094</v>
      </c>
      <c r="C6643">
        <v>1</v>
      </c>
      <c r="D6643" s="1">
        <v>44107.831192129626</v>
      </c>
      <c r="E6643" t="s">
        <v>20809</v>
      </c>
      <c r="F6643" t="s">
        <v>442</v>
      </c>
      <c r="G6643" t="s">
        <v>20810</v>
      </c>
      <c r="H6643" t="s">
        <v>444</v>
      </c>
      <c r="I6643" t="s">
        <v>29</v>
      </c>
      <c r="J6643">
        <v>1</v>
      </c>
      <c r="K6643">
        <f>1-888-341-7415</f>
        <v>-8643</v>
      </c>
      <c r="L6643" t="s">
        <v>20811</v>
      </c>
      <c r="M6643" t="s">
        <v>20812</v>
      </c>
      <c r="N6643" t="s">
        <v>1645</v>
      </c>
      <c r="O6643" t="s">
        <v>28</v>
      </c>
      <c r="P6643" t="s">
        <v>2268</v>
      </c>
      <c r="Q6643">
        <v>46</v>
      </c>
      <c r="R6643">
        <v>-73.567300000000003</v>
      </c>
    </row>
    <row r="6644" spans="1:18" x14ac:dyDescent="0.2">
      <c r="A6644" t="s">
        <v>663</v>
      </c>
      <c r="B6644" t="s">
        <v>664</v>
      </c>
      <c r="C6644">
        <v>1</v>
      </c>
      <c r="D6644" s="1">
        <v>44107.903564814813</v>
      </c>
      <c r="E6644" t="s">
        <v>20813</v>
      </c>
      <c r="F6644" t="s">
        <v>2495</v>
      </c>
      <c r="G6644" t="s">
        <v>20813</v>
      </c>
      <c r="H6644" t="s">
        <v>667</v>
      </c>
      <c r="I6644" t="s">
        <v>29</v>
      </c>
      <c r="J6644">
        <v>1</v>
      </c>
      <c r="K6644">
        <f>1-888-372-4458</f>
        <v>-5717</v>
      </c>
      <c r="L6644" t="s">
        <v>20814</v>
      </c>
      <c r="M6644" t="s">
        <v>20815</v>
      </c>
      <c r="N6644">
        <v>17</v>
      </c>
      <c r="O6644" t="s">
        <v>134</v>
      </c>
      <c r="P6644" t="s">
        <v>29</v>
      </c>
      <c r="Q6644">
        <v>37</v>
      </c>
      <c r="R6644">
        <v>-99.999999000000003</v>
      </c>
    </row>
    <row r="6645" spans="1:18" x14ac:dyDescent="0.2">
      <c r="A6645" t="s">
        <v>663</v>
      </c>
      <c r="B6645" t="s">
        <v>664</v>
      </c>
      <c r="C6645">
        <v>1</v>
      </c>
      <c r="D6645" s="1">
        <v>44107.945520833331</v>
      </c>
      <c r="E6645" t="s">
        <v>20816</v>
      </c>
      <c r="F6645" t="s">
        <v>666</v>
      </c>
      <c r="G6645" t="s">
        <v>20816</v>
      </c>
      <c r="H6645" t="s">
        <v>667</v>
      </c>
      <c r="I6645" t="s">
        <v>29</v>
      </c>
      <c r="J6645">
        <v>1</v>
      </c>
      <c r="K6645">
        <f>1-888-355-6541</f>
        <v>-7783</v>
      </c>
      <c r="L6645" t="s">
        <v>20817</v>
      </c>
      <c r="M6645" t="s">
        <v>20818</v>
      </c>
      <c r="N6645">
        <v>73</v>
      </c>
      <c r="O6645" t="s">
        <v>134</v>
      </c>
      <c r="P6645" t="s">
        <v>29</v>
      </c>
      <c r="Q6645">
        <v>37</v>
      </c>
      <c r="R6645">
        <v>-99.999999000000003</v>
      </c>
    </row>
    <row r="6646" spans="1:18" x14ac:dyDescent="0.2">
      <c r="A6646" t="s">
        <v>439</v>
      </c>
      <c r="B6646" t="s">
        <v>3094</v>
      </c>
      <c r="C6646">
        <v>1</v>
      </c>
      <c r="D6646" s="1">
        <v>44108.131608796299</v>
      </c>
      <c r="E6646" t="s">
        <v>20819</v>
      </c>
      <c r="F6646" t="s">
        <v>442</v>
      </c>
      <c r="G6646" t="s">
        <v>20820</v>
      </c>
      <c r="H6646" t="s">
        <v>444</v>
      </c>
      <c r="I6646" t="s">
        <v>29</v>
      </c>
      <c r="J6646">
        <v>1</v>
      </c>
      <c r="K6646">
        <f>1-888-597-1217</f>
        <v>-2701</v>
      </c>
      <c r="L6646" t="s">
        <v>20821</v>
      </c>
      <c r="M6646" t="s">
        <v>20822</v>
      </c>
      <c r="N6646" t="s">
        <v>447</v>
      </c>
      <c r="O6646" t="s">
        <v>28</v>
      </c>
      <c r="P6646" t="s">
        <v>2268</v>
      </c>
      <c r="Q6646">
        <v>46</v>
      </c>
      <c r="R6646">
        <v>-73.567300000000003</v>
      </c>
    </row>
    <row r="6647" spans="1:18" x14ac:dyDescent="0.2">
      <c r="A6647" t="s">
        <v>439</v>
      </c>
      <c r="B6647" t="s">
        <v>3094</v>
      </c>
      <c r="C6647">
        <v>1</v>
      </c>
      <c r="D6647" s="1">
        <v>44108.73909722222</v>
      </c>
      <c r="E6647" t="s">
        <v>20823</v>
      </c>
      <c r="F6647" t="s">
        <v>442</v>
      </c>
      <c r="G6647" t="s">
        <v>20824</v>
      </c>
      <c r="H6647" t="s">
        <v>444</v>
      </c>
      <c r="I6647" t="s">
        <v>29</v>
      </c>
      <c r="J6647">
        <v>1</v>
      </c>
      <c r="K6647">
        <f>1-888-380-8394</f>
        <v>-9661</v>
      </c>
      <c r="L6647" t="s">
        <v>20825</v>
      </c>
      <c r="M6647" t="s">
        <v>20826</v>
      </c>
      <c r="N6647" t="s">
        <v>2475</v>
      </c>
      <c r="O6647" t="s">
        <v>28</v>
      </c>
      <c r="P6647" t="s">
        <v>2268</v>
      </c>
      <c r="Q6647">
        <v>46</v>
      </c>
      <c r="R6647">
        <v>-73.567300000000003</v>
      </c>
    </row>
    <row r="6648" spans="1:18" x14ac:dyDescent="0.2">
      <c r="A6648" t="s">
        <v>663</v>
      </c>
      <c r="B6648" t="s">
        <v>664</v>
      </c>
      <c r="C6648">
        <v>1</v>
      </c>
      <c r="D6648" s="1">
        <v>44108.922268518516</v>
      </c>
      <c r="E6648" t="s">
        <v>20827</v>
      </c>
      <c r="F6648" t="s">
        <v>666</v>
      </c>
      <c r="G6648" t="s">
        <v>20828</v>
      </c>
      <c r="H6648" t="s">
        <v>667</v>
      </c>
      <c r="I6648" t="s">
        <v>29</v>
      </c>
      <c r="J6648">
        <v>1</v>
      </c>
      <c r="K6648">
        <f>1-866-723-8651</f>
        <v>-10239</v>
      </c>
      <c r="L6648" t="s">
        <v>20829</v>
      </c>
      <c r="M6648" t="s">
        <v>20830</v>
      </c>
      <c r="N6648" t="s">
        <v>452</v>
      </c>
      <c r="O6648" t="s">
        <v>28</v>
      </c>
      <c r="P6648" t="s">
        <v>29</v>
      </c>
      <c r="Q6648">
        <v>37</v>
      </c>
      <c r="R6648">
        <v>-99.999999000000003</v>
      </c>
    </row>
    <row r="6649" spans="1:18" x14ac:dyDescent="0.2">
      <c r="A6649" t="s">
        <v>663</v>
      </c>
      <c r="B6649" t="s">
        <v>3245</v>
      </c>
      <c r="C6649">
        <v>1</v>
      </c>
      <c r="D6649" s="1">
        <v>44108.924837962964</v>
      </c>
      <c r="E6649" t="s">
        <v>20831</v>
      </c>
      <c r="F6649" t="s">
        <v>666</v>
      </c>
      <c r="G6649" t="s">
        <v>20832</v>
      </c>
      <c r="H6649" t="s">
        <v>667</v>
      </c>
      <c r="I6649" t="s">
        <v>29</v>
      </c>
      <c r="J6649">
        <v>1</v>
      </c>
      <c r="K6649">
        <f>1-855-931-5479</f>
        <v>-7264</v>
      </c>
      <c r="L6649" t="s">
        <v>20833</v>
      </c>
      <c r="M6649" t="s">
        <v>20834</v>
      </c>
      <c r="N6649" t="s">
        <v>1645</v>
      </c>
      <c r="O6649" t="s">
        <v>28</v>
      </c>
      <c r="P6649" t="s">
        <v>29</v>
      </c>
      <c r="Q6649">
        <v>41</v>
      </c>
      <c r="R6649">
        <v>-74.140299999999996</v>
      </c>
    </row>
    <row r="6650" spans="1:18" x14ac:dyDescent="0.2">
      <c r="A6650" t="s">
        <v>663</v>
      </c>
      <c r="B6650" t="s">
        <v>664</v>
      </c>
      <c r="C6650">
        <v>1</v>
      </c>
      <c r="D6650" s="1">
        <v>44108.946134259262</v>
      </c>
      <c r="E6650" t="s">
        <v>20835</v>
      </c>
      <c r="F6650" t="s">
        <v>666</v>
      </c>
      <c r="G6650" t="s">
        <v>20835</v>
      </c>
      <c r="H6650" t="s">
        <v>667</v>
      </c>
      <c r="I6650" t="s">
        <v>29</v>
      </c>
      <c r="J6650">
        <v>1</v>
      </c>
      <c r="K6650">
        <f>1-888-341-9847</f>
        <v>-11075</v>
      </c>
      <c r="L6650" t="s">
        <v>20836</v>
      </c>
      <c r="M6650" t="s">
        <v>20837</v>
      </c>
      <c r="N6650">
        <v>70</v>
      </c>
      <c r="O6650" t="s">
        <v>134</v>
      </c>
      <c r="P6650" t="s">
        <v>29</v>
      </c>
      <c r="Q6650">
        <v>37</v>
      </c>
      <c r="R6650">
        <v>-99.999999000000003</v>
      </c>
    </row>
    <row r="6651" spans="1:18" x14ac:dyDescent="0.2">
      <c r="A6651" t="s">
        <v>675</v>
      </c>
      <c r="B6651" t="s">
        <v>676</v>
      </c>
      <c r="C6651">
        <v>1</v>
      </c>
      <c r="D6651" s="1">
        <v>44109.731006944443</v>
      </c>
      <c r="E6651" t="s">
        <v>20838</v>
      </c>
      <c r="F6651" t="s">
        <v>2987</v>
      </c>
      <c r="G6651" t="s">
        <v>20839</v>
      </c>
      <c r="H6651" t="s">
        <v>680</v>
      </c>
      <c r="I6651" t="s">
        <v>29</v>
      </c>
      <c r="J6651">
        <v>1</v>
      </c>
      <c r="K6651">
        <f>1-877-604-6221</f>
        <v>-7701</v>
      </c>
      <c r="L6651" t="s">
        <v>20840</v>
      </c>
      <c r="M6651" t="s">
        <v>20841</v>
      </c>
      <c r="N6651" t="s">
        <v>452</v>
      </c>
      <c r="O6651" t="s">
        <v>28</v>
      </c>
      <c r="P6651" t="s">
        <v>29</v>
      </c>
      <c r="Q6651">
        <v>33</v>
      </c>
      <c r="R6651">
        <v>-99.999999000000003</v>
      </c>
    </row>
    <row r="6652" spans="1:18" x14ac:dyDescent="0.2">
      <c r="A6652" t="s">
        <v>439</v>
      </c>
      <c r="B6652" t="s">
        <v>3094</v>
      </c>
      <c r="C6652">
        <v>1</v>
      </c>
      <c r="D6652" s="1">
        <v>44109.752569444441</v>
      </c>
      <c r="E6652" t="s">
        <v>20842</v>
      </c>
      <c r="F6652" t="s">
        <v>442</v>
      </c>
      <c r="G6652" t="s">
        <v>20843</v>
      </c>
      <c r="H6652" t="s">
        <v>444</v>
      </c>
      <c r="I6652" t="s">
        <v>29</v>
      </c>
      <c r="J6652">
        <v>1</v>
      </c>
      <c r="K6652">
        <f>1-888-308-5139</f>
        <v>-6334</v>
      </c>
      <c r="L6652" t="s">
        <v>20844</v>
      </c>
      <c r="M6652" t="s">
        <v>20845</v>
      </c>
      <c r="N6652" t="s">
        <v>2475</v>
      </c>
      <c r="O6652" t="s">
        <v>28</v>
      </c>
      <c r="P6652" t="s">
        <v>2268</v>
      </c>
      <c r="Q6652">
        <v>46</v>
      </c>
      <c r="R6652">
        <v>-73.567300000000003</v>
      </c>
    </row>
    <row r="6653" spans="1:18" x14ac:dyDescent="0.2">
      <c r="A6653" t="s">
        <v>439</v>
      </c>
      <c r="B6653" t="s">
        <v>3094</v>
      </c>
      <c r="C6653">
        <v>1</v>
      </c>
      <c r="D6653" s="1">
        <v>44109.90896990741</v>
      </c>
      <c r="E6653" t="s">
        <v>20846</v>
      </c>
      <c r="F6653" t="s">
        <v>442</v>
      </c>
      <c r="G6653" t="s">
        <v>20847</v>
      </c>
      <c r="H6653" t="s">
        <v>444</v>
      </c>
      <c r="I6653" t="s">
        <v>29</v>
      </c>
      <c r="J6653">
        <v>1</v>
      </c>
      <c r="K6653">
        <f>1-888-309-5548</f>
        <v>-6744</v>
      </c>
      <c r="L6653" t="s">
        <v>20848</v>
      </c>
      <c r="M6653" t="s">
        <v>20849</v>
      </c>
      <c r="N6653" t="s">
        <v>683</v>
      </c>
      <c r="O6653" t="s">
        <v>28</v>
      </c>
      <c r="P6653" t="s">
        <v>2268</v>
      </c>
      <c r="Q6653">
        <v>46</v>
      </c>
      <c r="R6653">
        <v>-73.567300000000003</v>
      </c>
    </row>
    <row r="6654" spans="1:18" x14ac:dyDescent="0.2">
      <c r="A6654" t="s">
        <v>439</v>
      </c>
      <c r="B6654" t="s">
        <v>3094</v>
      </c>
      <c r="C6654">
        <v>1</v>
      </c>
      <c r="D6654" s="1">
        <v>44109.832604166666</v>
      </c>
      <c r="E6654" t="s">
        <v>20850</v>
      </c>
      <c r="F6654" t="s">
        <v>442</v>
      </c>
      <c r="G6654" t="s">
        <v>20851</v>
      </c>
      <c r="H6654" t="s">
        <v>444</v>
      </c>
      <c r="I6654" t="s">
        <v>29</v>
      </c>
      <c r="J6654">
        <v>1</v>
      </c>
      <c r="K6654">
        <f>1-888-334-1283</f>
        <v>-2504</v>
      </c>
      <c r="L6654" t="s">
        <v>20852</v>
      </c>
      <c r="M6654" t="s">
        <v>20853</v>
      </c>
      <c r="N6654" t="s">
        <v>2475</v>
      </c>
      <c r="O6654" t="s">
        <v>28</v>
      </c>
      <c r="P6654" t="s">
        <v>2268</v>
      </c>
      <c r="Q6654">
        <v>46</v>
      </c>
      <c r="R6654">
        <v>-73.567300000000003</v>
      </c>
    </row>
    <row r="6655" spans="1:18" x14ac:dyDescent="0.2">
      <c r="A6655" t="s">
        <v>6586</v>
      </c>
      <c r="B6655" t="s">
        <v>20854</v>
      </c>
      <c r="C6655">
        <v>1</v>
      </c>
      <c r="D6655" s="1">
        <v>44110.828634259262</v>
      </c>
      <c r="E6655" t="s">
        <v>20855</v>
      </c>
      <c r="F6655" t="s">
        <v>6588</v>
      </c>
      <c r="G6655" t="s">
        <v>20856</v>
      </c>
      <c r="H6655" t="s">
        <v>6590</v>
      </c>
      <c r="I6655" t="s">
        <v>29</v>
      </c>
      <c r="J6655">
        <v>1</v>
      </c>
      <c r="K6655">
        <f>1-888-307-3126</f>
        <v>-4320</v>
      </c>
      <c r="L6655" t="s">
        <v>20857</v>
      </c>
      <c r="M6655" t="s">
        <v>20858</v>
      </c>
      <c r="N6655" t="s">
        <v>674</v>
      </c>
      <c r="O6655" t="s">
        <v>28</v>
      </c>
      <c r="P6655" t="s">
        <v>29</v>
      </c>
      <c r="Q6655">
        <v>38</v>
      </c>
      <c r="R6655">
        <v>-99.999999000000003</v>
      </c>
    </row>
    <row r="6656" spans="1:18" x14ac:dyDescent="0.2">
      <c r="A6656" t="s">
        <v>6586</v>
      </c>
      <c r="B6656" t="s">
        <v>20854</v>
      </c>
      <c r="C6656">
        <v>1</v>
      </c>
      <c r="D6656" s="1">
        <v>44109.906134259261</v>
      </c>
      <c r="E6656" t="s">
        <v>20859</v>
      </c>
      <c r="F6656" t="s">
        <v>6588</v>
      </c>
      <c r="G6656" t="s">
        <v>20856</v>
      </c>
      <c r="H6656" t="s">
        <v>6590</v>
      </c>
      <c r="I6656" t="s">
        <v>29</v>
      </c>
      <c r="J6656">
        <v>1</v>
      </c>
      <c r="K6656">
        <f>1-888-307-3210</f>
        <v>-4404</v>
      </c>
      <c r="L6656" t="s">
        <v>20860</v>
      </c>
      <c r="M6656" t="s">
        <v>20861</v>
      </c>
      <c r="N6656" t="s">
        <v>3454</v>
      </c>
      <c r="O6656" t="s">
        <v>28</v>
      </c>
      <c r="P6656" t="s">
        <v>29</v>
      </c>
      <c r="Q6656">
        <v>38</v>
      </c>
      <c r="R6656">
        <v>-99.999999000000003</v>
      </c>
    </row>
    <row r="6657" spans="1:18" x14ac:dyDescent="0.2">
      <c r="A6657" t="s">
        <v>6586</v>
      </c>
      <c r="B6657" t="s">
        <v>20854</v>
      </c>
      <c r="C6657">
        <v>1</v>
      </c>
      <c r="D6657" s="1">
        <v>44109.898726851854</v>
      </c>
      <c r="E6657" t="s">
        <v>20862</v>
      </c>
      <c r="F6657" t="s">
        <v>6588</v>
      </c>
      <c r="G6657" t="s">
        <v>20856</v>
      </c>
      <c r="H6657" t="s">
        <v>6590</v>
      </c>
      <c r="I6657" t="s">
        <v>29</v>
      </c>
      <c r="J6657">
        <v>1</v>
      </c>
      <c r="K6657">
        <f>1-888-307-3210</f>
        <v>-4404</v>
      </c>
      <c r="L6657" t="s">
        <v>20863</v>
      </c>
      <c r="M6657" t="s">
        <v>20864</v>
      </c>
      <c r="N6657" t="s">
        <v>452</v>
      </c>
      <c r="O6657" t="s">
        <v>28</v>
      </c>
      <c r="P6657" t="s">
        <v>29</v>
      </c>
      <c r="Q6657">
        <v>38</v>
      </c>
      <c r="R6657">
        <v>-99.999999000000003</v>
      </c>
    </row>
    <row r="6658" spans="1:18" x14ac:dyDescent="0.2">
      <c r="A6658" t="s">
        <v>439</v>
      </c>
      <c r="B6658" t="s">
        <v>3094</v>
      </c>
      <c r="C6658">
        <v>1</v>
      </c>
      <c r="D6658" s="1">
        <v>44109.904363425929</v>
      </c>
      <c r="E6658" t="s">
        <v>20865</v>
      </c>
      <c r="F6658" t="s">
        <v>442</v>
      </c>
      <c r="G6658" t="s">
        <v>20866</v>
      </c>
      <c r="H6658" t="s">
        <v>444</v>
      </c>
      <c r="I6658" t="s">
        <v>29</v>
      </c>
      <c r="J6658">
        <v>1</v>
      </c>
      <c r="K6658">
        <f>1-888-309-5548</f>
        <v>-6744</v>
      </c>
      <c r="L6658" t="s">
        <v>20867</v>
      </c>
      <c r="M6658" t="s">
        <v>20868</v>
      </c>
      <c r="N6658" t="s">
        <v>1645</v>
      </c>
      <c r="O6658" t="s">
        <v>28</v>
      </c>
      <c r="P6658" t="s">
        <v>2268</v>
      </c>
      <c r="Q6658">
        <v>46</v>
      </c>
      <c r="R6658">
        <v>-73.567300000000003</v>
      </c>
    </row>
    <row r="6659" spans="1:18" x14ac:dyDescent="0.2">
      <c r="A6659" t="s">
        <v>439</v>
      </c>
      <c r="B6659" t="s">
        <v>3094</v>
      </c>
      <c r="C6659">
        <v>1</v>
      </c>
      <c r="D6659" s="1">
        <v>44109.871111111112</v>
      </c>
      <c r="E6659" t="s">
        <v>20869</v>
      </c>
      <c r="F6659" t="s">
        <v>442</v>
      </c>
      <c r="G6659" t="s">
        <v>20870</v>
      </c>
      <c r="H6659" t="s">
        <v>444</v>
      </c>
      <c r="I6659" t="s">
        <v>29</v>
      </c>
      <c r="J6659">
        <v>1</v>
      </c>
      <c r="K6659">
        <f>1-888-297-6816</f>
        <v>-8000</v>
      </c>
      <c r="L6659" t="s">
        <v>20871</v>
      </c>
      <c r="M6659" t="s">
        <v>20872</v>
      </c>
      <c r="N6659" t="s">
        <v>683</v>
      </c>
      <c r="O6659" t="s">
        <v>28</v>
      </c>
      <c r="P6659" t="s">
        <v>2268</v>
      </c>
      <c r="Q6659">
        <v>46</v>
      </c>
      <c r="R6659">
        <v>-73.567300000000003</v>
      </c>
    </row>
    <row r="6660" spans="1:18" x14ac:dyDescent="0.2">
      <c r="A6660" t="s">
        <v>6660</v>
      </c>
      <c r="B6660" t="s">
        <v>6661</v>
      </c>
      <c r="C6660">
        <v>1</v>
      </c>
      <c r="D6660" s="1">
        <v>44109.934074074074</v>
      </c>
      <c r="E6660" t="s">
        <v>20873</v>
      </c>
      <c r="F6660" t="s">
        <v>6663</v>
      </c>
      <c r="G6660" t="s">
        <v>20874</v>
      </c>
      <c r="H6660" t="s">
        <v>6665</v>
      </c>
      <c r="I6660" t="s">
        <v>29</v>
      </c>
      <c r="J6660">
        <v>1</v>
      </c>
      <c r="K6660">
        <f>1-866-919-144</f>
        <v>-1928</v>
      </c>
      <c r="L6660" t="s">
        <v>20875</v>
      </c>
      <c r="M6660" t="s">
        <v>20876</v>
      </c>
      <c r="N6660" t="s">
        <v>452</v>
      </c>
      <c r="O6660" t="s">
        <v>134</v>
      </c>
      <c r="P6660" t="s">
        <v>29</v>
      </c>
      <c r="Q6660">
        <v>36</v>
      </c>
      <c r="R6660">
        <v>-82.551500000000004</v>
      </c>
    </row>
    <row r="6661" spans="1:18" x14ac:dyDescent="0.2">
      <c r="A6661" t="s">
        <v>439</v>
      </c>
      <c r="B6661" t="s">
        <v>3094</v>
      </c>
      <c r="C6661">
        <v>1</v>
      </c>
      <c r="D6661" s="1">
        <v>44110.019166666665</v>
      </c>
      <c r="E6661" t="s">
        <v>20877</v>
      </c>
      <c r="F6661" t="s">
        <v>442</v>
      </c>
      <c r="G6661" t="s">
        <v>20878</v>
      </c>
      <c r="H6661" t="s">
        <v>444</v>
      </c>
      <c r="I6661" t="s">
        <v>29</v>
      </c>
      <c r="J6661">
        <v>1</v>
      </c>
      <c r="K6661">
        <f>1-888-304-3239</f>
        <v>-4430</v>
      </c>
      <c r="L6661" t="s">
        <v>20879</v>
      </c>
      <c r="M6661" t="s">
        <v>20880</v>
      </c>
      <c r="N6661" t="s">
        <v>1645</v>
      </c>
      <c r="O6661" t="s">
        <v>28</v>
      </c>
      <c r="P6661" t="s">
        <v>2268</v>
      </c>
      <c r="Q6661">
        <v>46</v>
      </c>
      <c r="R6661">
        <v>-73.567300000000003</v>
      </c>
    </row>
    <row r="6662" spans="1:18" x14ac:dyDescent="0.2">
      <c r="A6662" t="s">
        <v>439</v>
      </c>
      <c r="B6662" t="s">
        <v>4321</v>
      </c>
      <c r="C6662">
        <v>1</v>
      </c>
      <c r="D6662" s="1">
        <v>44110.019259259258</v>
      </c>
      <c r="E6662" t="s">
        <v>20881</v>
      </c>
      <c r="F6662" t="s">
        <v>442</v>
      </c>
      <c r="G6662" t="s">
        <v>20882</v>
      </c>
      <c r="H6662" t="s">
        <v>444</v>
      </c>
      <c r="I6662" t="s">
        <v>29</v>
      </c>
      <c r="J6662">
        <v>1</v>
      </c>
      <c r="K6662">
        <f>1-888-304-3239</f>
        <v>-4430</v>
      </c>
      <c r="L6662" t="s">
        <v>20883</v>
      </c>
      <c r="M6662" t="s">
        <v>20884</v>
      </c>
      <c r="N6662" t="s">
        <v>683</v>
      </c>
      <c r="O6662" t="s">
        <v>28</v>
      </c>
      <c r="P6662" t="s">
        <v>29</v>
      </c>
      <c r="Q6662">
        <v>42</v>
      </c>
      <c r="R6662">
        <v>-87.629800000000003</v>
      </c>
    </row>
    <row r="6663" spans="1:18" x14ac:dyDescent="0.2">
      <c r="A6663" t="s">
        <v>663</v>
      </c>
      <c r="B6663" t="s">
        <v>2493</v>
      </c>
      <c r="C6663">
        <v>1</v>
      </c>
      <c r="D6663" s="1">
        <v>44110.024664351855</v>
      </c>
      <c r="E6663" t="s">
        <v>20885</v>
      </c>
      <c r="F6663" t="s">
        <v>666</v>
      </c>
      <c r="G6663" t="s">
        <v>20885</v>
      </c>
      <c r="H6663" t="s">
        <v>667</v>
      </c>
      <c r="I6663" t="s">
        <v>29</v>
      </c>
      <c r="J6663">
        <v>1</v>
      </c>
      <c r="K6663">
        <f>1-888-307-3129</f>
        <v>-4323</v>
      </c>
      <c r="L6663" t="s">
        <v>20886</v>
      </c>
      <c r="M6663" t="s">
        <v>20887</v>
      </c>
      <c r="N6663">
        <v>3</v>
      </c>
      <c r="O6663" t="s">
        <v>134</v>
      </c>
      <c r="P6663" t="s">
        <v>29</v>
      </c>
      <c r="Q6663">
        <v>41</v>
      </c>
      <c r="R6663">
        <v>-74.024699999999996</v>
      </c>
    </row>
    <row r="6664" spans="1:18" x14ac:dyDescent="0.2">
      <c r="A6664" t="s">
        <v>663</v>
      </c>
      <c r="B6664" t="s">
        <v>2493</v>
      </c>
      <c r="C6664">
        <v>1</v>
      </c>
      <c r="D6664" s="1">
        <v>44110.034317129626</v>
      </c>
      <c r="E6664" t="s">
        <v>20888</v>
      </c>
      <c r="F6664" t="s">
        <v>666</v>
      </c>
      <c r="G6664" t="s">
        <v>20888</v>
      </c>
      <c r="H6664" t="s">
        <v>667</v>
      </c>
      <c r="I6664" t="s">
        <v>29</v>
      </c>
      <c r="J6664">
        <v>1</v>
      </c>
      <c r="K6664">
        <f>1-888-353-912</f>
        <v>-2152</v>
      </c>
      <c r="L6664" t="s">
        <v>20889</v>
      </c>
      <c r="M6664" t="s">
        <v>20890</v>
      </c>
      <c r="N6664">
        <v>80</v>
      </c>
      <c r="O6664" t="s">
        <v>134</v>
      </c>
      <c r="P6664" t="s">
        <v>29</v>
      </c>
      <c r="Q6664">
        <v>41</v>
      </c>
      <c r="R6664">
        <v>-74.024699999999996</v>
      </c>
    </row>
    <row r="6665" spans="1:18" x14ac:dyDescent="0.2">
      <c r="A6665" t="s">
        <v>439</v>
      </c>
      <c r="B6665" t="s">
        <v>3094</v>
      </c>
      <c r="C6665">
        <v>81</v>
      </c>
      <c r="D6665" s="1">
        <v>44110.309293981481</v>
      </c>
      <c r="E6665" t="s">
        <v>20891</v>
      </c>
      <c r="F6665" t="s">
        <v>442</v>
      </c>
      <c r="G6665" t="s">
        <v>20892</v>
      </c>
      <c r="H6665" t="s">
        <v>444</v>
      </c>
      <c r="I6665" t="s">
        <v>53</v>
      </c>
      <c r="J6665">
        <v>81</v>
      </c>
      <c r="K6665">
        <f>81-50-5806-4835</f>
        <v>-10610</v>
      </c>
      <c r="L6665" t="s">
        <v>20893</v>
      </c>
      <c r="M6665" t="s">
        <v>20894</v>
      </c>
      <c r="N6665" t="s">
        <v>2475</v>
      </c>
      <c r="O6665" t="s">
        <v>28</v>
      </c>
      <c r="P6665" t="s">
        <v>2268</v>
      </c>
      <c r="Q6665">
        <v>46</v>
      </c>
      <c r="R6665">
        <v>-73.567300000000003</v>
      </c>
    </row>
    <row r="6666" spans="1:18" x14ac:dyDescent="0.2">
      <c r="A6666" t="s">
        <v>2233</v>
      </c>
      <c r="B6666" t="s">
        <v>1638</v>
      </c>
      <c r="C6666">
        <v>49</v>
      </c>
      <c r="D6666" s="1">
        <v>44110.501863425925</v>
      </c>
      <c r="E6666" t="s">
        <v>20895</v>
      </c>
      <c r="F6666" t="s">
        <v>7023</v>
      </c>
      <c r="G6666" t="s">
        <v>20896</v>
      </c>
      <c r="H6666" t="s">
        <v>2237</v>
      </c>
      <c r="I6666" t="s">
        <v>24</v>
      </c>
      <c r="J6666">
        <v>49</v>
      </c>
      <c r="K6666">
        <f>49-32-221-853-239</f>
        <v>-1296</v>
      </c>
      <c r="L6666" t="s">
        <v>20897</v>
      </c>
      <c r="M6666" t="s">
        <v>20898</v>
      </c>
      <c r="N6666" t="s">
        <v>278</v>
      </c>
      <c r="O6666" t="s">
        <v>28</v>
      </c>
      <c r="P6666" t="s">
        <v>292</v>
      </c>
      <c r="Q6666">
        <v>49</v>
      </c>
      <c r="R6666">
        <v>2.35222</v>
      </c>
    </row>
    <row r="6667" spans="1:18" x14ac:dyDescent="0.2">
      <c r="A6667" t="s">
        <v>2349</v>
      </c>
      <c r="B6667" t="s">
        <v>18497</v>
      </c>
      <c r="C6667">
        <v>49</v>
      </c>
      <c r="D6667" s="1">
        <v>44110.509583333333</v>
      </c>
      <c r="E6667" t="s">
        <v>20899</v>
      </c>
      <c r="F6667" t="s">
        <v>2352</v>
      </c>
      <c r="G6667" t="s">
        <v>20899</v>
      </c>
      <c r="H6667" t="s">
        <v>2353</v>
      </c>
      <c r="I6667" t="s">
        <v>24</v>
      </c>
      <c r="J6667">
        <v>49</v>
      </c>
      <c r="K6667">
        <f>49-800-180-114</f>
        <v>-1045</v>
      </c>
      <c r="L6667" t="s">
        <v>20900</v>
      </c>
      <c r="M6667" t="s">
        <v>20901</v>
      </c>
      <c r="N6667">
        <v>78</v>
      </c>
      <c r="O6667" t="s">
        <v>134</v>
      </c>
      <c r="P6667" t="s">
        <v>18501</v>
      </c>
      <c r="Q6667">
        <v>56</v>
      </c>
      <c r="R6667">
        <v>9.9313000000000002</v>
      </c>
    </row>
    <row r="6668" spans="1:18" x14ac:dyDescent="0.2">
      <c r="A6668" t="s">
        <v>439</v>
      </c>
      <c r="B6668" t="s">
        <v>3094</v>
      </c>
      <c r="C6668">
        <v>1</v>
      </c>
      <c r="D6668" s="1">
        <v>44131.858171296299</v>
      </c>
      <c r="E6668" t="s">
        <v>20902</v>
      </c>
      <c r="F6668" t="s">
        <v>442</v>
      </c>
      <c r="G6668" t="s">
        <v>20903</v>
      </c>
      <c r="H6668" t="s">
        <v>444</v>
      </c>
      <c r="I6668" t="s">
        <v>29</v>
      </c>
      <c r="J6668">
        <v>1</v>
      </c>
      <c r="K6668">
        <f>1-888-407-3028</f>
        <v>-4322</v>
      </c>
      <c r="L6668" t="s">
        <v>20904</v>
      </c>
      <c r="M6668" t="s">
        <v>20905</v>
      </c>
      <c r="N6668" t="s">
        <v>447</v>
      </c>
      <c r="O6668" t="s">
        <v>28</v>
      </c>
      <c r="P6668" t="s">
        <v>2268</v>
      </c>
      <c r="Q6668">
        <v>46</v>
      </c>
      <c r="R6668">
        <v>-73.567300000000003</v>
      </c>
    </row>
    <row r="6669" spans="1:18" x14ac:dyDescent="0.2">
      <c r="A6669" t="s">
        <v>439</v>
      </c>
      <c r="B6669" t="s">
        <v>3094</v>
      </c>
      <c r="C6669">
        <v>1</v>
      </c>
      <c r="D6669" s="1">
        <v>44110.828518518516</v>
      </c>
      <c r="E6669" t="s">
        <v>20906</v>
      </c>
      <c r="F6669" t="s">
        <v>442</v>
      </c>
      <c r="G6669" t="s">
        <v>20903</v>
      </c>
      <c r="H6669" t="s">
        <v>444</v>
      </c>
      <c r="I6669" t="s">
        <v>29</v>
      </c>
      <c r="J6669">
        <v>1</v>
      </c>
      <c r="K6669">
        <f>1-888-348-6897</f>
        <v>-8132</v>
      </c>
      <c r="L6669" t="s">
        <v>20907</v>
      </c>
      <c r="M6669" t="s">
        <v>20908</v>
      </c>
      <c r="N6669" t="s">
        <v>2475</v>
      </c>
      <c r="O6669" t="s">
        <v>28</v>
      </c>
      <c r="P6669" t="s">
        <v>2268</v>
      </c>
      <c r="Q6669">
        <v>46</v>
      </c>
      <c r="R6669">
        <v>-73.567300000000003</v>
      </c>
    </row>
    <row r="6670" spans="1:18" x14ac:dyDescent="0.2">
      <c r="A6670" t="s">
        <v>663</v>
      </c>
      <c r="B6670" t="s">
        <v>4281</v>
      </c>
      <c r="C6670">
        <v>1</v>
      </c>
      <c r="D6670" s="1">
        <v>44110.862476851849</v>
      </c>
      <c r="E6670" t="s">
        <v>20909</v>
      </c>
      <c r="F6670" t="s">
        <v>666</v>
      </c>
      <c r="G6670" t="s">
        <v>20910</v>
      </c>
      <c r="H6670" t="s">
        <v>667</v>
      </c>
      <c r="I6670" t="s">
        <v>29</v>
      </c>
      <c r="J6670">
        <v>1</v>
      </c>
      <c r="K6670">
        <f>1-825-827-3047</f>
        <v>-4698</v>
      </c>
      <c r="L6670" t="s">
        <v>20911</v>
      </c>
      <c r="M6670" t="s">
        <v>20912</v>
      </c>
      <c r="N6670" t="s">
        <v>20913</v>
      </c>
      <c r="O6670" t="s">
        <v>134</v>
      </c>
      <c r="P6670" t="s">
        <v>24</v>
      </c>
      <c r="Q6670">
        <v>50</v>
      </c>
      <c r="R6670">
        <v>8.6843000000000004</v>
      </c>
    </row>
    <row r="6671" spans="1:18" x14ac:dyDescent="0.2">
      <c r="A6671" t="s">
        <v>663</v>
      </c>
      <c r="B6671" t="s">
        <v>664</v>
      </c>
      <c r="C6671">
        <v>1</v>
      </c>
      <c r="D6671" s="1">
        <v>44110.957141203704</v>
      </c>
      <c r="E6671" t="s">
        <v>20914</v>
      </c>
      <c r="F6671" t="s">
        <v>666</v>
      </c>
      <c r="G6671" t="s">
        <v>20914</v>
      </c>
      <c r="H6671" t="s">
        <v>667</v>
      </c>
      <c r="I6671" t="s">
        <v>29</v>
      </c>
      <c r="J6671">
        <v>1</v>
      </c>
      <c r="K6671">
        <f>1-888-373-980</f>
        <v>-2240</v>
      </c>
      <c r="L6671" t="s">
        <v>20915</v>
      </c>
      <c r="M6671" t="s">
        <v>20916</v>
      </c>
      <c r="N6671">
        <v>87</v>
      </c>
      <c r="O6671" t="s">
        <v>134</v>
      </c>
      <c r="P6671" t="s">
        <v>29</v>
      </c>
      <c r="Q6671">
        <v>37</v>
      </c>
      <c r="R6671">
        <v>-99.999999000000003</v>
      </c>
    </row>
    <row r="6672" spans="1:18" x14ac:dyDescent="0.2">
      <c r="A6672" t="s">
        <v>663</v>
      </c>
      <c r="B6672" t="s">
        <v>664</v>
      </c>
      <c r="C6672">
        <v>1</v>
      </c>
      <c r="D6672" s="1">
        <v>44110.923807870371</v>
      </c>
      <c r="E6672" t="s">
        <v>20917</v>
      </c>
      <c r="F6672" t="s">
        <v>666</v>
      </c>
      <c r="G6672" t="s">
        <v>20917</v>
      </c>
      <c r="H6672" t="s">
        <v>667</v>
      </c>
      <c r="I6672" t="s">
        <v>29</v>
      </c>
      <c r="J6672">
        <v>1</v>
      </c>
      <c r="K6672">
        <f>1-888-291-2704</f>
        <v>-3882</v>
      </c>
      <c r="L6672" t="s">
        <v>20918</v>
      </c>
      <c r="M6672" t="s">
        <v>20919</v>
      </c>
      <c r="N6672">
        <v>181</v>
      </c>
      <c r="O6672" t="s">
        <v>134</v>
      </c>
      <c r="P6672" t="s">
        <v>29</v>
      </c>
      <c r="Q6672">
        <v>37</v>
      </c>
      <c r="R6672">
        <v>-99.999999000000003</v>
      </c>
    </row>
    <row r="6673" spans="1:18" x14ac:dyDescent="0.2">
      <c r="A6673" t="s">
        <v>439</v>
      </c>
      <c r="B6673" t="s">
        <v>3094</v>
      </c>
      <c r="C6673">
        <v>1</v>
      </c>
      <c r="D6673" s="1">
        <v>44110.941342592596</v>
      </c>
      <c r="E6673" t="s">
        <v>20920</v>
      </c>
      <c r="F6673" t="s">
        <v>442</v>
      </c>
      <c r="G6673" t="s">
        <v>20921</v>
      </c>
      <c r="H6673" t="s">
        <v>444</v>
      </c>
      <c r="I6673" t="s">
        <v>29</v>
      </c>
      <c r="J6673">
        <v>1</v>
      </c>
      <c r="K6673">
        <f>1-888-527-5414</f>
        <v>-6828</v>
      </c>
      <c r="L6673" t="s">
        <v>20922</v>
      </c>
      <c r="M6673" t="s">
        <v>20923</v>
      </c>
      <c r="N6673" t="s">
        <v>452</v>
      </c>
      <c r="O6673" t="s">
        <v>28</v>
      </c>
      <c r="P6673" t="s">
        <v>2268</v>
      </c>
      <c r="Q6673">
        <v>46</v>
      </c>
      <c r="R6673">
        <v>-73.567300000000003</v>
      </c>
    </row>
    <row r="6674" spans="1:18" x14ac:dyDescent="0.2">
      <c r="A6674" t="s">
        <v>663</v>
      </c>
      <c r="B6674" t="s">
        <v>664</v>
      </c>
      <c r="C6674">
        <v>1</v>
      </c>
      <c r="D6674" s="1">
        <v>44110.995138888888</v>
      </c>
      <c r="E6674" t="s">
        <v>20924</v>
      </c>
      <c r="F6674" t="s">
        <v>666</v>
      </c>
      <c r="G6674" t="s">
        <v>20924</v>
      </c>
      <c r="H6674" t="s">
        <v>667</v>
      </c>
      <c r="I6674" t="s">
        <v>29</v>
      </c>
      <c r="J6674">
        <v>1</v>
      </c>
      <c r="K6674">
        <f>1-888-381-6443</f>
        <v>-7711</v>
      </c>
      <c r="L6674" t="s">
        <v>20925</v>
      </c>
      <c r="M6674" t="s">
        <v>20926</v>
      </c>
      <c r="N6674">
        <v>36</v>
      </c>
      <c r="O6674" t="s">
        <v>134</v>
      </c>
      <c r="P6674" t="s">
        <v>29</v>
      </c>
      <c r="Q6674">
        <v>37</v>
      </c>
      <c r="R6674">
        <v>-99.999999000000003</v>
      </c>
    </row>
    <row r="6675" spans="1:18" x14ac:dyDescent="0.2">
      <c r="A6675" t="s">
        <v>663</v>
      </c>
      <c r="B6675" t="s">
        <v>664</v>
      </c>
      <c r="C6675">
        <v>1</v>
      </c>
      <c r="D6675" s="1">
        <v>44110.94908564815</v>
      </c>
      <c r="E6675" t="s">
        <v>20927</v>
      </c>
      <c r="F6675" t="s">
        <v>666</v>
      </c>
      <c r="G6675" t="s">
        <v>20927</v>
      </c>
      <c r="H6675" t="s">
        <v>667</v>
      </c>
      <c r="I6675" t="s">
        <v>29</v>
      </c>
      <c r="J6675">
        <v>1</v>
      </c>
      <c r="K6675">
        <f>1-888-341-4214</f>
        <v>-5442</v>
      </c>
      <c r="L6675" t="s">
        <v>20928</v>
      </c>
      <c r="M6675" t="s">
        <v>20929</v>
      </c>
      <c r="N6675">
        <v>132</v>
      </c>
      <c r="O6675" t="s">
        <v>134</v>
      </c>
      <c r="P6675" t="s">
        <v>29</v>
      </c>
      <c r="Q6675">
        <v>37</v>
      </c>
      <c r="R6675">
        <v>-99.999999000000003</v>
      </c>
    </row>
    <row r="6676" spans="1:18" x14ac:dyDescent="0.2">
      <c r="A6676" t="s">
        <v>1637</v>
      </c>
      <c r="B6676" t="s">
        <v>1638</v>
      </c>
      <c r="C6676">
        <v>1</v>
      </c>
      <c r="D6676" s="1">
        <v>44111.924699074072</v>
      </c>
      <c r="E6676" t="s">
        <v>20930</v>
      </c>
      <c r="F6676" t="s">
        <v>1640</v>
      </c>
      <c r="G6676" t="s">
        <v>20931</v>
      </c>
      <c r="H6676" t="s">
        <v>1642</v>
      </c>
      <c r="I6676" t="s">
        <v>29</v>
      </c>
      <c r="J6676">
        <v>1</v>
      </c>
      <c r="K6676">
        <f>1-888-438-1504</f>
        <v>-2829</v>
      </c>
      <c r="L6676" t="s">
        <v>20932</v>
      </c>
      <c r="M6676" t="s">
        <v>20933</v>
      </c>
      <c r="N6676" t="s">
        <v>1645</v>
      </c>
      <c r="O6676" t="s">
        <v>134</v>
      </c>
      <c r="P6676" t="s">
        <v>292</v>
      </c>
      <c r="Q6676">
        <v>49</v>
      </c>
      <c r="R6676">
        <v>2.3281000000000001</v>
      </c>
    </row>
    <row r="6677" spans="1:18" x14ac:dyDescent="0.2">
      <c r="A6677" t="s">
        <v>1637</v>
      </c>
      <c r="B6677" t="s">
        <v>1638</v>
      </c>
      <c r="C6677">
        <v>1</v>
      </c>
      <c r="D6677" s="1">
        <v>44111.090567129628</v>
      </c>
      <c r="E6677" t="s">
        <v>20934</v>
      </c>
      <c r="F6677" t="s">
        <v>1640</v>
      </c>
      <c r="G6677" t="s">
        <v>20931</v>
      </c>
      <c r="H6677" t="s">
        <v>1642</v>
      </c>
      <c r="I6677" t="s">
        <v>29</v>
      </c>
      <c r="J6677">
        <v>1</v>
      </c>
      <c r="K6677">
        <f>1-888-539-5004</f>
        <v>-6430</v>
      </c>
      <c r="L6677" t="s">
        <v>20935</v>
      </c>
      <c r="M6677" t="s">
        <v>20936</v>
      </c>
      <c r="N6677" t="s">
        <v>1645</v>
      </c>
      <c r="O6677" t="s">
        <v>134</v>
      </c>
      <c r="P6677" t="s">
        <v>292</v>
      </c>
      <c r="Q6677">
        <v>49</v>
      </c>
      <c r="R6677">
        <v>2.3281000000000001</v>
      </c>
    </row>
    <row r="6678" spans="1:18" x14ac:dyDescent="0.2">
      <c r="A6678" t="s">
        <v>1637</v>
      </c>
      <c r="B6678" t="s">
        <v>1638</v>
      </c>
      <c r="C6678">
        <v>1</v>
      </c>
      <c r="D6678" s="1">
        <v>44111.062303240738</v>
      </c>
      <c r="E6678" t="s">
        <v>20937</v>
      </c>
      <c r="F6678" t="s">
        <v>1640</v>
      </c>
      <c r="G6678" t="s">
        <v>20931</v>
      </c>
      <c r="H6678" t="s">
        <v>1642</v>
      </c>
      <c r="I6678" t="s">
        <v>29</v>
      </c>
      <c r="J6678">
        <v>1</v>
      </c>
      <c r="K6678">
        <f>1-888-407-5581</f>
        <v>-6875</v>
      </c>
      <c r="L6678" t="s">
        <v>20938</v>
      </c>
      <c r="M6678" t="s">
        <v>20939</v>
      </c>
      <c r="N6678" t="s">
        <v>36</v>
      </c>
      <c r="O6678" t="s">
        <v>134</v>
      </c>
      <c r="P6678" t="s">
        <v>292</v>
      </c>
      <c r="Q6678">
        <v>49</v>
      </c>
      <c r="R6678">
        <v>2.3281000000000001</v>
      </c>
    </row>
    <row r="6679" spans="1:18" x14ac:dyDescent="0.2">
      <c r="A6679" t="s">
        <v>5349</v>
      </c>
      <c r="B6679" t="s">
        <v>440</v>
      </c>
      <c r="C6679">
        <v>1</v>
      </c>
      <c r="D6679" s="1">
        <v>44111.086064814815</v>
      </c>
      <c r="E6679" t="s">
        <v>20940</v>
      </c>
      <c r="F6679" t="s">
        <v>2236</v>
      </c>
      <c r="G6679" t="s">
        <v>20940</v>
      </c>
      <c r="H6679" t="s">
        <v>2237</v>
      </c>
      <c r="I6679" t="s">
        <v>29</v>
      </c>
      <c r="J6679">
        <v>1</v>
      </c>
      <c r="K6679">
        <f>1-888-220-2144</f>
        <v>-3251</v>
      </c>
      <c r="L6679" t="s">
        <v>20941</v>
      </c>
      <c r="M6679" t="s">
        <v>20942</v>
      </c>
      <c r="N6679">
        <v>90</v>
      </c>
      <c r="O6679" t="s">
        <v>134</v>
      </c>
      <c r="P6679" t="s">
        <v>29</v>
      </c>
      <c r="Q6679">
        <v>39</v>
      </c>
      <c r="R6679">
        <v>-77.487399999999994</v>
      </c>
    </row>
    <row r="6680" spans="1:18" x14ac:dyDescent="0.2">
      <c r="A6680" t="s">
        <v>2349</v>
      </c>
      <c r="B6680" t="s">
        <v>10634</v>
      </c>
      <c r="C6680">
        <v>49</v>
      </c>
      <c r="D6680" s="1">
        <v>44111.512708333335</v>
      </c>
      <c r="E6680" t="s">
        <v>20943</v>
      </c>
      <c r="F6680" t="s">
        <v>2352</v>
      </c>
      <c r="G6680" t="s">
        <v>20943</v>
      </c>
      <c r="H6680" t="s">
        <v>2353</v>
      </c>
      <c r="I6680" t="s">
        <v>24</v>
      </c>
      <c r="J6680">
        <v>49</v>
      </c>
      <c r="K6680">
        <f>49-800-180-114</f>
        <v>-1045</v>
      </c>
      <c r="L6680" t="s">
        <v>20944</v>
      </c>
      <c r="M6680" t="s">
        <v>20945</v>
      </c>
      <c r="N6680">
        <v>71</v>
      </c>
      <c r="O6680" t="s">
        <v>134</v>
      </c>
      <c r="P6680" t="s">
        <v>292</v>
      </c>
      <c r="Q6680">
        <v>49</v>
      </c>
      <c r="R6680">
        <v>2.3868999999999998</v>
      </c>
    </row>
    <row r="6681" spans="1:18" x14ac:dyDescent="0.2">
      <c r="A6681" t="s">
        <v>2233</v>
      </c>
      <c r="B6681" t="s">
        <v>1638</v>
      </c>
      <c r="C6681">
        <v>49</v>
      </c>
      <c r="D6681" s="1">
        <v>44111.518171296295</v>
      </c>
      <c r="E6681" t="s">
        <v>20946</v>
      </c>
      <c r="F6681" t="s">
        <v>7023</v>
      </c>
      <c r="G6681" t="s">
        <v>20947</v>
      </c>
      <c r="H6681" t="s">
        <v>2237</v>
      </c>
      <c r="I6681" t="s">
        <v>24</v>
      </c>
      <c r="J6681">
        <v>49</v>
      </c>
      <c r="K6681">
        <f>49-32-221-853-239</f>
        <v>-1296</v>
      </c>
      <c r="L6681" t="s">
        <v>20948</v>
      </c>
      <c r="M6681" t="s">
        <v>20949</v>
      </c>
      <c r="N6681" t="s">
        <v>278</v>
      </c>
      <c r="O6681" t="s">
        <v>28</v>
      </c>
      <c r="P6681" t="s">
        <v>292</v>
      </c>
      <c r="Q6681">
        <v>49</v>
      </c>
      <c r="R6681">
        <v>2.35222</v>
      </c>
    </row>
    <row r="6682" spans="1:18" x14ac:dyDescent="0.2">
      <c r="A6682" t="s">
        <v>2233</v>
      </c>
      <c r="B6682" t="s">
        <v>2234</v>
      </c>
      <c r="C6682">
        <v>31</v>
      </c>
      <c r="D6682" s="1">
        <v>44111.54828703704</v>
      </c>
      <c r="E6682" t="s">
        <v>20950</v>
      </c>
      <c r="F6682" t="s">
        <v>7023</v>
      </c>
      <c r="G6682" t="s">
        <v>20950</v>
      </c>
      <c r="H6682" t="s">
        <v>2237</v>
      </c>
      <c r="I6682" t="s">
        <v>461</v>
      </c>
      <c r="J6682">
        <v>31</v>
      </c>
      <c r="K6682">
        <f>31-30-369-457</f>
        <v>-825</v>
      </c>
      <c r="L6682" t="s">
        <v>20951</v>
      </c>
      <c r="M6682" t="s">
        <v>20952</v>
      </c>
      <c r="N6682">
        <v>40</v>
      </c>
      <c r="O6682" t="s">
        <v>134</v>
      </c>
      <c r="P6682" t="s">
        <v>6188</v>
      </c>
      <c r="Q6682">
        <v>53</v>
      </c>
      <c r="R6682">
        <v>-6.2603099999999996</v>
      </c>
    </row>
    <row r="6683" spans="1:18" x14ac:dyDescent="0.2">
      <c r="A6683" t="s">
        <v>2233</v>
      </c>
      <c r="B6683" t="s">
        <v>2234</v>
      </c>
      <c r="C6683">
        <v>41</v>
      </c>
      <c r="D6683" s="1">
        <v>44111.545370370368</v>
      </c>
      <c r="E6683" t="s">
        <v>20950</v>
      </c>
      <c r="F6683" t="s">
        <v>7023</v>
      </c>
      <c r="G6683" t="s">
        <v>20950</v>
      </c>
      <c r="H6683" t="s">
        <v>2237</v>
      </c>
      <c r="I6683" t="s">
        <v>204</v>
      </c>
      <c r="J6683">
        <v>41</v>
      </c>
      <c r="K6683">
        <f>41-44-586-25-7</f>
        <v>-621</v>
      </c>
      <c r="L6683" t="s">
        <v>20953</v>
      </c>
      <c r="M6683" t="s">
        <v>20954</v>
      </c>
      <c r="N6683">
        <v>40</v>
      </c>
      <c r="O6683" t="s">
        <v>134</v>
      </c>
      <c r="P6683" t="s">
        <v>6188</v>
      </c>
      <c r="Q6683">
        <v>53</v>
      </c>
      <c r="R6683">
        <v>-6.2603099999999996</v>
      </c>
    </row>
    <row r="6684" spans="1:18" x14ac:dyDescent="0.2">
      <c r="A6684" t="s">
        <v>2233</v>
      </c>
      <c r="B6684" t="s">
        <v>2234</v>
      </c>
      <c r="C6684">
        <v>43</v>
      </c>
      <c r="D6684" s="1">
        <v>44111.541435185187</v>
      </c>
      <c r="E6684" t="s">
        <v>20950</v>
      </c>
      <c r="F6684" t="s">
        <v>7023</v>
      </c>
      <c r="G6684" t="s">
        <v>20950</v>
      </c>
      <c r="H6684" t="s">
        <v>2237</v>
      </c>
      <c r="I6684" t="s">
        <v>3432</v>
      </c>
      <c r="J6684">
        <v>43</v>
      </c>
      <c r="K6684">
        <f>43-670-309-1257</f>
        <v>-2193</v>
      </c>
      <c r="L6684" t="s">
        <v>20955</v>
      </c>
      <c r="M6684" t="s">
        <v>20956</v>
      </c>
      <c r="N6684">
        <v>40</v>
      </c>
      <c r="O6684" t="s">
        <v>134</v>
      </c>
      <c r="P6684" t="s">
        <v>6188</v>
      </c>
      <c r="Q6684">
        <v>53</v>
      </c>
      <c r="R6684">
        <v>-6.2603099999999996</v>
      </c>
    </row>
    <row r="6685" spans="1:18" x14ac:dyDescent="0.2">
      <c r="A6685" t="s">
        <v>2233</v>
      </c>
      <c r="B6685" t="s">
        <v>2234</v>
      </c>
      <c r="C6685">
        <v>32</v>
      </c>
      <c r="D6685" s="1">
        <v>44111.553495370368</v>
      </c>
      <c r="E6685" t="s">
        <v>20957</v>
      </c>
      <c r="F6685" t="s">
        <v>7023</v>
      </c>
      <c r="G6685" t="s">
        <v>20957</v>
      </c>
      <c r="H6685" t="s">
        <v>2237</v>
      </c>
      <c r="I6685" t="s">
        <v>4288</v>
      </c>
      <c r="J6685">
        <v>32</v>
      </c>
      <c r="K6685">
        <f>32-460-22-52-59</f>
        <v>-561</v>
      </c>
      <c r="L6685" t="s">
        <v>20958</v>
      </c>
      <c r="M6685" t="s">
        <v>20959</v>
      </c>
      <c r="N6685">
        <v>239</v>
      </c>
      <c r="O6685" t="s">
        <v>134</v>
      </c>
      <c r="P6685" t="s">
        <v>6188</v>
      </c>
      <c r="Q6685">
        <v>53</v>
      </c>
      <c r="R6685">
        <v>-6.2603099999999996</v>
      </c>
    </row>
    <row r="6686" spans="1:18" x14ac:dyDescent="0.2">
      <c r="A6686" t="s">
        <v>439</v>
      </c>
      <c r="B6686" t="s">
        <v>3094</v>
      </c>
      <c r="C6686">
        <v>1</v>
      </c>
      <c r="D6686" s="1">
        <v>44111.748078703706</v>
      </c>
      <c r="E6686" t="s">
        <v>20960</v>
      </c>
      <c r="F6686" t="s">
        <v>442</v>
      </c>
      <c r="G6686" t="s">
        <v>20961</v>
      </c>
      <c r="H6686" t="s">
        <v>444</v>
      </c>
      <c r="I6686" t="s">
        <v>29</v>
      </c>
      <c r="J6686">
        <v>1</v>
      </c>
      <c r="K6686">
        <f>1-888-353-9008</f>
        <v>-10248</v>
      </c>
      <c r="L6686" t="s">
        <v>20962</v>
      </c>
      <c r="M6686" t="s">
        <v>20963</v>
      </c>
      <c r="N6686" t="s">
        <v>1645</v>
      </c>
      <c r="O6686" t="s">
        <v>28</v>
      </c>
      <c r="P6686" t="s">
        <v>2268</v>
      </c>
      <c r="Q6686">
        <v>46</v>
      </c>
      <c r="R6686">
        <v>-73.567300000000003</v>
      </c>
    </row>
    <row r="6687" spans="1:18" x14ac:dyDescent="0.2">
      <c r="A6687" t="s">
        <v>439</v>
      </c>
      <c r="B6687" t="s">
        <v>3094</v>
      </c>
      <c r="C6687">
        <v>1</v>
      </c>
      <c r="D6687" s="1">
        <v>44111.856458333335</v>
      </c>
      <c r="E6687" t="s">
        <v>20964</v>
      </c>
      <c r="F6687" t="s">
        <v>442</v>
      </c>
      <c r="G6687" t="s">
        <v>20965</v>
      </c>
      <c r="H6687" t="s">
        <v>444</v>
      </c>
      <c r="I6687" t="s">
        <v>29</v>
      </c>
      <c r="J6687">
        <v>1</v>
      </c>
      <c r="K6687">
        <f>1-888-381-9459</f>
        <v>-10727</v>
      </c>
      <c r="L6687" t="s">
        <v>20966</v>
      </c>
      <c r="M6687" t="s">
        <v>20967</v>
      </c>
      <c r="N6687" t="s">
        <v>36</v>
      </c>
      <c r="O6687" t="s">
        <v>28</v>
      </c>
      <c r="P6687" t="s">
        <v>2268</v>
      </c>
      <c r="Q6687">
        <v>46</v>
      </c>
      <c r="R6687">
        <v>-73.567300000000003</v>
      </c>
    </row>
    <row r="6688" spans="1:18" x14ac:dyDescent="0.2">
      <c r="A6688" t="s">
        <v>439</v>
      </c>
      <c r="B6688" t="s">
        <v>3094</v>
      </c>
      <c r="C6688">
        <v>1</v>
      </c>
      <c r="D6688" s="1">
        <v>44111.864016203705</v>
      </c>
      <c r="E6688" t="s">
        <v>20968</v>
      </c>
      <c r="F6688" t="s">
        <v>442</v>
      </c>
      <c r="G6688" t="s">
        <v>20969</v>
      </c>
      <c r="H6688" t="s">
        <v>444</v>
      </c>
      <c r="I6688" t="s">
        <v>29</v>
      </c>
      <c r="J6688">
        <v>1</v>
      </c>
      <c r="K6688">
        <f>1-888-355-9570</f>
        <v>-10812</v>
      </c>
      <c r="L6688" t="s">
        <v>20970</v>
      </c>
      <c r="M6688" t="s">
        <v>20971</v>
      </c>
      <c r="N6688" t="s">
        <v>5354</v>
      </c>
      <c r="O6688" t="s">
        <v>28</v>
      </c>
      <c r="P6688" t="s">
        <v>2268</v>
      </c>
      <c r="Q6688">
        <v>46</v>
      </c>
      <c r="R6688">
        <v>-73.567300000000003</v>
      </c>
    </row>
    <row r="6689" spans="1:18" x14ac:dyDescent="0.2">
      <c r="A6689" t="s">
        <v>663</v>
      </c>
      <c r="B6689" t="s">
        <v>664</v>
      </c>
      <c r="C6689">
        <v>1</v>
      </c>
      <c r="D6689" s="1">
        <v>44111.864062499997</v>
      </c>
      <c r="E6689" t="s">
        <v>20972</v>
      </c>
      <c r="F6689" t="s">
        <v>666</v>
      </c>
      <c r="G6689" t="s">
        <v>20972</v>
      </c>
      <c r="H6689" t="s">
        <v>667</v>
      </c>
      <c r="I6689" t="s">
        <v>29</v>
      </c>
      <c r="J6689">
        <v>1</v>
      </c>
      <c r="K6689">
        <f t="shared" ref="K6689:K6694" si="60">1-877-595-1337</f>
        <v>-2808</v>
      </c>
      <c r="L6689" t="s">
        <v>20973</v>
      </c>
      <c r="M6689" t="s">
        <v>20974</v>
      </c>
      <c r="N6689">
        <v>28</v>
      </c>
      <c r="O6689" t="s">
        <v>134</v>
      </c>
      <c r="P6689" t="s">
        <v>29</v>
      </c>
      <c r="Q6689">
        <v>37</v>
      </c>
      <c r="R6689">
        <v>-99.999999000000003</v>
      </c>
    </row>
    <row r="6690" spans="1:18" x14ac:dyDescent="0.2">
      <c r="A6690" t="s">
        <v>663</v>
      </c>
      <c r="B6690" t="s">
        <v>664</v>
      </c>
      <c r="C6690">
        <v>1</v>
      </c>
      <c r="D6690" s="1">
        <v>44111.871689814812</v>
      </c>
      <c r="E6690" t="s">
        <v>20975</v>
      </c>
      <c r="F6690" t="s">
        <v>666</v>
      </c>
      <c r="G6690" t="s">
        <v>20975</v>
      </c>
      <c r="H6690" t="s">
        <v>667</v>
      </c>
      <c r="I6690" t="s">
        <v>29</v>
      </c>
      <c r="J6690">
        <v>1</v>
      </c>
      <c r="K6690">
        <f t="shared" si="60"/>
        <v>-2808</v>
      </c>
      <c r="L6690" t="s">
        <v>20976</v>
      </c>
      <c r="M6690" t="s">
        <v>20977</v>
      </c>
      <c r="N6690">
        <v>191</v>
      </c>
      <c r="O6690" t="s">
        <v>134</v>
      </c>
      <c r="P6690" t="s">
        <v>29</v>
      </c>
      <c r="Q6690">
        <v>37</v>
      </c>
      <c r="R6690">
        <v>-99.999999000000003</v>
      </c>
    </row>
    <row r="6691" spans="1:18" x14ac:dyDescent="0.2">
      <c r="A6691" t="s">
        <v>663</v>
      </c>
      <c r="B6691" t="s">
        <v>664</v>
      </c>
      <c r="C6691">
        <v>1</v>
      </c>
      <c r="D6691" s="1">
        <v>44111.872453703705</v>
      </c>
      <c r="E6691" t="s">
        <v>20978</v>
      </c>
      <c r="F6691" t="s">
        <v>2495</v>
      </c>
      <c r="G6691" t="s">
        <v>20978</v>
      </c>
      <c r="H6691" t="s">
        <v>667</v>
      </c>
      <c r="I6691" t="s">
        <v>29</v>
      </c>
      <c r="J6691">
        <v>1</v>
      </c>
      <c r="K6691">
        <f t="shared" si="60"/>
        <v>-2808</v>
      </c>
      <c r="L6691" t="s">
        <v>20979</v>
      </c>
      <c r="M6691" t="s">
        <v>20980</v>
      </c>
      <c r="N6691">
        <v>203</v>
      </c>
      <c r="O6691" t="s">
        <v>134</v>
      </c>
      <c r="P6691" t="s">
        <v>29</v>
      </c>
      <c r="Q6691">
        <v>37</v>
      </c>
      <c r="R6691">
        <v>-99.999999000000003</v>
      </c>
    </row>
    <row r="6692" spans="1:18" x14ac:dyDescent="0.2">
      <c r="A6692" t="s">
        <v>663</v>
      </c>
      <c r="B6692" t="s">
        <v>664</v>
      </c>
      <c r="C6692">
        <v>1</v>
      </c>
      <c r="D6692" s="1">
        <v>44111.881851851853</v>
      </c>
      <c r="E6692" t="s">
        <v>20981</v>
      </c>
      <c r="F6692" t="s">
        <v>666</v>
      </c>
      <c r="G6692" t="s">
        <v>20981</v>
      </c>
      <c r="H6692" t="s">
        <v>667</v>
      </c>
      <c r="I6692" t="s">
        <v>29</v>
      </c>
      <c r="J6692">
        <v>1</v>
      </c>
      <c r="K6692">
        <f t="shared" si="60"/>
        <v>-2808</v>
      </c>
      <c r="L6692" t="s">
        <v>20982</v>
      </c>
      <c r="M6692" t="s">
        <v>20983</v>
      </c>
      <c r="N6692">
        <v>161</v>
      </c>
      <c r="O6692" t="s">
        <v>134</v>
      </c>
      <c r="P6692" t="s">
        <v>29</v>
      </c>
      <c r="Q6692">
        <v>37</v>
      </c>
      <c r="R6692">
        <v>-99.999999000000003</v>
      </c>
    </row>
    <row r="6693" spans="1:18" x14ac:dyDescent="0.2">
      <c r="A6693" t="s">
        <v>663</v>
      </c>
      <c r="B6693" t="s">
        <v>454</v>
      </c>
      <c r="C6693">
        <v>1</v>
      </c>
      <c r="D6693" s="1">
        <v>44111.891423611109</v>
      </c>
      <c r="E6693" t="s">
        <v>20984</v>
      </c>
      <c r="F6693" t="s">
        <v>666</v>
      </c>
      <c r="G6693" t="s">
        <v>20984</v>
      </c>
      <c r="H6693" t="s">
        <v>667</v>
      </c>
      <c r="I6693" t="s">
        <v>29</v>
      </c>
      <c r="J6693">
        <v>1</v>
      </c>
      <c r="K6693">
        <f t="shared" si="60"/>
        <v>-2808</v>
      </c>
      <c r="L6693" t="s">
        <v>20985</v>
      </c>
      <c r="M6693" t="s">
        <v>20986</v>
      </c>
      <c r="N6693">
        <v>132</v>
      </c>
      <c r="O6693" t="s">
        <v>134</v>
      </c>
      <c r="P6693" t="s">
        <v>461</v>
      </c>
      <c r="Q6693">
        <v>52</v>
      </c>
      <c r="R6693">
        <v>4.9391999999999996</v>
      </c>
    </row>
    <row r="6694" spans="1:18" x14ac:dyDescent="0.2">
      <c r="A6694" t="s">
        <v>663</v>
      </c>
      <c r="B6694" t="s">
        <v>454</v>
      </c>
      <c r="C6694">
        <v>1</v>
      </c>
      <c r="D6694" s="1">
        <v>44111.906747685185</v>
      </c>
      <c r="E6694" t="s">
        <v>20987</v>
      </c>
      <c r="F6694" t="s">
        <v>666</v>
      </c>
      <c r="G6694" t="s">
        <v>20987</v>
      </c>
      <c r="H6694" t="s">
        <v>667</v>
      </c>
      <c r="I6694" t="s">
        <v>29</v>
      </c>
      <c r="J6694">
        <v>1</v>
      </c>
      <c r="K6694">
        <f t="shared" si="60"/>
        <v>-2808</v>
      </c>
      <c r="L6694" t="s">
        <v>20988</v>
      </c>
      <c r="M6694" t="s">
        <v>20989</v>
      </c>
      <c r="N6694">
        <v>239</v>
      </c>
      <c r="O6694" t="s">
        <v>134</v>
      </c>
      <c r="P6694" t="s">
        <v>461</v>
      </c>
      <c r="Q6694">
        <v>52</v>
      </c>
      <c r="R6694">
        <v>4.9391999999999996</v>
      </c>
    </row>
    <row r="6695" spans="1:18" x14ac:dyDescent="0.2">
      <c r="A6695" t="s">
        <v>663</v>
      </c>
      <c r="B6695" t="s">
        <v>664</v>
      </c>
      <c r="C6695">
        <v>1</v>
      </c>
      <c r="D6695" s="1">
        <v>44111.919178240743</v>
      </c>
      <c r="E6695" t="s">
        <v>20990</v>
      </c>
      <c r="F6695" t="s">
        <v>666</v>
      </c>
      <c r="G6695" t="s">
        <v>20990</v>
      </c>
      <c r="H6695" t="s">
        <v>667</v>
      </c>
      <c r="I6695" t="s">
        <v>29</v>
      </c>
      <c r="J6695">
        <v>1</v>
      </c>
      <c r="K6695">
        <f>1-888-308-1182</f>
        <v>-2377</v>
      </c>
      <c r="L6695" t="s">
        <v>20991</v>
      </c>
      <c r="M6695" t="s">
        <v>20992</v>
      </c>
      <c r="N6695">
        <v>121</v>
      </c>
      <c r="O6695" t="s">
        <v>134</v>
      </c>
      <c r="P6695" t="s">
        <v>29</v>
      </c>
      <c r="Q6695">
        <v>37</v>
      </c>
      <c r="R6695">
        <v>-99.999999000000003</v>
      </c>
    </row>
    <row r="6696" spans="1:18" x14ac:dyDescent="0.2">
      <c r="A6696" t="s">
        <v>663</v>
      </c>
      <c r="B6696" t="s">
        <v>664</v>
      </c>
      <c r="C6696">
        <v>1</v>
      </c>
      <c r="D6696" s="1">
        <v>44111.935185185182</v>
      </c>
      <c r="E6696" t="s">
        <v>20993</v>
      </c>
      <c r="F6696" t="s">
        <v>2495</v>
      </c>
      <c r="G6696" t="s">
        <v>20993</v>
      </c>
      <c r="H6696" t="s">
        <v>667</v>
      </c>
      <c r="I6696" t="s">
        <v>29</v>
      </c>
      <c r="J6696">
        <v>1</v>
      </c>
      <c r="K6696">
        <f>1-888-369-5436</f>
        <v>-6692</v>
      </c>
      <c r="L6696" t="s">
        <v>20994</v>
      </c>
      <c r="M6696" t="s">
        <v>20995</v>
      </c>
      <c r="N6696">
        <v>250</v>
      </c>
      <c r="O6696" t="s">
        <v>134</v>
      </c>
      <c r="P6696" t="s">
        <v>29</v>
      </c>
      <c r="Q6696">
        <v>37</v>
      </c>
      <c r="R6696">
        <v>-99.999999000000003</v>
      </c>
    </row>
    <row r="6697" spans="1:18" x14ac:dyDescent="0.2">
      <c r="A6697" t="s">
        <v>663</v>
      </c>
      <c r="B6697" t="s">
        <v>664</v>
      </c>
      <c r="C6697">
        <v>1</v>
      </c>
      <c r="D6697" s="1">
        <v>44112.033136574071</v>
      </c>
      <c r="E6697" t="s">
        <v>20996</v>
      </c>
      <c r="F6697" t="s">
        <v>666</v>
      </c>
      <c r="G6697" t="s">
        <v>20996</v>
      </c>
      <c r="H6697" t="s">
        <v>667</v>
      </c>
      <c r="I6697" t="s">
        <v>29</v>
      </c>
      <c r="J6697">
        <v>1</v>
      </c>
      <c r="K6697">
        <f>1-888-344-8643</f>
        <v>-9874</v>
      </c>
      <c r="L6697" t="s">
        <v>20997</v>
      </c>
      <c r="M6697" t="s">
        <v>20998</v>
      </c>
      <c r="N6697">
        <v>69</v>
      </c>
      <c r="O6697" t="s">
        <v>134</v>
      </c>
      <c r="P6697" t="s">
        <v>29</v>
      </c>
      <c r="Q6697">
        <v>37</v>
      </c>
      <c r="R6697">
        <v>-99.999999000000003</v>
      </c>
    </row>
    <row r="6698" spans="1:18" x14ac:dyDescent="0.2">
      <c r="A6698" t="s">
        <v>663</v>
      </c>
      <c r="B6698" t="s">
        <v>664</v>
      </c>
      <c r="C6698">
        <v>1</v>
      </c>
      <c r="D6698" s="1">
        <v>44112.030925925923</v>
      </c>
      <c r="E6698" t="s">
        <v>20996</v>
      </c>
      <c r="F6698" t="s">
        <v>666</v>
      </c>
      <c r="G6698" t="s">
        <v>20996</v>
      </c>
      <c r="H6698" t="s">
        <v>667</v>
      </c>
      <c r="I6698" t="s">
        <v>29</v>
      </c>
      <c r="J6698">
        <v>1</v>
      </c>
      <c r="K6698">
        <f>1-888-344-9126</f>
        <v>-10357</v>
      </c>
      <c r="L6698" t="s">
        <v>20999</v>
      </c>
      <c r="M6698" t="s">
        <v>21000</v>
      </c>
      <c r="N6698">
        <v>69</v>
      </c>
      <c r="O6698" t="s">
        <v>134</v>
      </c>
      <c r="P6698" t="s">
        <v>29</v>
      </c>
      <c r="Q6698">
        <v>37</v>
      </c>
      <c r="R6698">
        <v>-99.999999000000003</v>
      </c>
    </row>
    <row r="6699" spans="1:18" x14ac:dyDescent="0.2">
      <c r="A6699" t="s">
        <v>663</v>
      </c>
      <c r="B6699" t="s">
        <v>664</v>
      </c>
      <c r="C6699">
        <v>1</v>
      </c>
      <c r="D6699" s="1">
        <v>44112.042118055557</v>
      </c>
      <c r="E6699" t="s">
        <v>21001</v>
      </c>
      <c r="F6699" t="s">
        <v>666</v>
      </c>
      <c r="G6699" t="s">
        <v>21001</v>
      </c>
      <c r="H6699" t="s">
        <v>667</v>
      </c>
      <c r="I6699" t="s">
        <v>29</v>
      </c>
      <c r="J6699">
        <v>1</v>
      </c>
      <c r="K6699">
        <f>1-888-363-3629</f>
        <v>-4879</v>
      </c>
      <c r="L6699" t="s">
        <v>21002</v>
      </c>
      <c r="M6699" t="s">
        <v>21003</v>
      </c>
      <c r="N6699">
        <v>81</v>
      </c>
      <c r="O6699" t="s">
        <v>134</v>
      </c>
      <c r="P6699" t="s">
        <v>29</v>
      </c>
      <c r="Q6699">
        <v>37</v>
      </c>
      <c r="R6699">
        <v>-99.999999000000003</v>
      </c>
    </row>
    <row r="6700" spans="1:18" x14ac:dyDescent="0.2">
      <c r="A6700" t="s">
        <v>663</v>
      </c>
      <c r="B6700" t="s">
        <v>664</v>
      </c>
      <c r="C6700">
        <v>1</v>
      </c>
      <c r="D6700" s="1">
        <v>44112.035902777781</v>
      </c>
      <c r="E6700" t="s">
        <v>21001</v>
      </c>
      <c r="F6700" t="s">
        <v>666</v>
      </c>
      <c r="G6700" t="s">
        <v>21001</v>
      </c>
      <c r="H6700" t="s">
        <v>667</v>
      </c>
      <c r="I6700" t="s">
        <v>29</v>
      </c>
      <c r="J6700">
        <v>1</v>
      </c>
      <c r="K6700">
        <f>1-888-297-4814</f>
        <v>-5998</v>
      </c>
      <c r="L6700" t="s">
        <v>21004</v>
      </c>
      <c r="M6700" t="s">
        <v>21005</v>
      </c>
      <c r="N6700">
        <v>81</v>
      </c>
      <c r="O6700" t="s">
        <v>134</v>
      </c>
      <c r="P6700" t="s">
        <v>29</v>
      </c>
      <c r="Q6700">
        <v>37</v>
      </c>
      <c r="R6700">
        <v>-99.999999000000003</v>
      </c>
    </row>
    <row r="6701" spans="1:18" x14ac:dyDescent="0.2">
      <c r="A6701" t="s">
        <v>663</v>
      </c>
      <c r="B6701" t="s">
        <v>664</v>
      </c>
      <c r="C6701">
        <v>1</v>
      </c>
      <c r="D6701" s="1">
        <v>44112.049675925926</v>
      </c>
      <c r="E6701" t="s">
        <v>21006</v>
      </c>
      <c r="F6701" t="s">
        <v>666</v>
      </c>
      <c r="G6701" t="s">
        <v>21006</v>
      </c>
      <c r="H6701" t="s">
        <v>667</v>
      </c>
      <c r="I6701" t="s">
        <v>29</v>
      </c>
      <c r="J6701">
        <v>1</v>
      </c>
      <c r="K6701">
        <f>1-888-339-6871</f>
        <v>-8097</v>
      </c>
      <c r="L6701" t="s">
        <v>21007</v>
      </c>
      <c r="M6701" t="s">
        <v>21008</v>
      </c>
      <c r="N6701">
        <v>106</v>
      </c>
      <c r="O6701" t="s">
        <v>134</v>
      </c>
      <c r="P6701" t="s">
        <v>29</v>
      </c>
      <c r="Q6701">
        <v>37</v>
      </c>
      <c r="R6701">
        <v>-99.999999000000003</v>
      </c>
    </row>
    <row r="6702" spans="1:18" x14ac:dyDescent="0.2">
      <c r="A6702" t="s">
        <v>663</v>
      </c>
      <c r="B6702" t="s">
        <v>664</v>
      </c>
      <c r="C6702">
        <v>1</v>
      </c>
      <c r="D6702" s="1">
        <v>44112.064814814818</v>
      </c>
      <c r="E6702" t="s">
        <v>21009</v>
      </c>
      <c r="F6702" t="s">
        <v>666</v>
      </c>
      <c r="G6702" t="s">
        <v>21009</v>
      </c>
      <c r="H6702" t="s">
        <v>667</v>
      </c>
      <c r="I6702" t="s">
        <v>29</v>
      </c>
      <c r="J6702">
        <v>1</v>
      </c>
      <c r="K6702">
        <f>1-888-301-7763</f>
        <v>-8951</v>
      </c>
      <c r="L6702" t="s">
        <v>21010</v>
      </c>
      <c r="M6702" t="s">
        <v>21011</v>
      </c>
      <c r="N6702">
        <v>82</v>
      </c>
      <c r="O6702" t="s">
        <v>134</v>
      </c>
      <c r="P6702" t="s">
        <v>29</v>
      </c>
      <c r="Q6702">
        <v>37</v>
      </c>
      <c r="R6702">
        <v>-99.999999000000003</v>
      </c>
    </row>
    <row r="6703" spans="1:18" x14ac:dyDescent="0.2">
      <c r="A6703" t="s">
        <v>663</v>
      </c>
      <c r="B6703" t="s">
        <v>664</v>
      </c>
      <c r="C6703">
        <v>1</v>
      </c>
      <c r="D6703" s="1">
        <v>44112.064699074072</v>
      </c>
      <c r="E6703" t="s">
        <v>21009</v>
      </c>
      <c r="F6703" t="s">
        <v>666</v>
      </c>
      <c r="G6703" t="s">
        <v>21009</v>
      </c>
      <c r="H6703" t="s">
        <v>667</v>
      </c>
      <c r="I6703" t="s">
        <v>29</v>
      </c>
      <c r="J6703">
        <v>1</v>
      </c>
      <c r="K6703">
        <f>1-888-293-2993</f>
        <v>-4173</v>
      </c>
      <c r="L6703" t="s">
        <v>21012</v>
      </c>
      <c r="M6703" t="s">
        <v>21013</v>
      </c>
      <c r="N6703">
        <v>82</v>
      </c>
      <c r="O6703" t="s">
        <v>134</v>
      </c>
      <c r="P6703" t="s">
        <v>29</v>
      </c>
      <c r="Q6703">
        <v>37</v>
      </c>
      <c r="R6703">
        <v>-99.999999000000003</v>
      </c>
    </row>
    <row r="6704" spans="1:18" x14ac:dyDescent="0.2">
      <c r="A6704" t="s">
        <v>439</v>
      </c>
      <c r="B6704" t="s">
        <v>3094</v>
      </c>
      <c r="C6704">
        <v>81</v>
      </c>
      <c r="D6704" s="1">
        <v>44112.115960648145</v>
      </c>
      <c r="E6704" t="s">
        <v>21014</v>
      </c>
      <c r="F6704" t="s">
        <v>442</v>
      </c>
      <c r="G6704" t="s">
        <v>21015</v>
      </c>
      <c r="H6704" t="s">
        <v>444</v>
      </c>
      <c r="I6704" t="s">
        <v>53</v>
      </c>
      <c r="J6704">
        <v>81</v>
      </c>
      <c r="K6704">
        <f>81-50-5539-7732</f>
        <v>-13240</v>
      </c>
      <c r="L6704" t="s">
        <v>21016</v>
      </c>
      <c r="M6704" t="s">
        <v>21017</v>
      </c>
      <c r="N6704" t="s">
        <v>2475</v>
      </c>
      <c r="O6704" t="s">
        <v>28</v>
      </c>
      <c r="P6704" t="s">
        <v>2268</v>
      </c>
      <c r="Q6704">
        <v>46</v>
      </c>
      <c r="R6704">
        <v>-73.567300000000003</v>
      </c>
    </row>
    <row r="6705" spans="1:18" x14ac:dyDescent="0.2">
      <c r="A6705" t="s">
        <v>14174</v>
      </c>
      <c r="B6705" t="s">
        <v>14175</v>
      </c>
      <c r="C6705">
        <v>81</v>
      </c>
      <c r="D6705" s="1">
        <v>44112.117175925923</v>
      </c>
      <c r="E6705" t="s">
        <v>21018</v>
      </c>
      <c r="F6705" t="s">
        <v>21019</v>
      </c>
      <c r="G6705" t="s">
        <v>21020</v>
      </c>
      <c r="H6705" t="s">
        <v>14179</v>
      </c>
      <c r="I6705" t="s">
        <v>53</v>
      </c>
      <c r="J6705">
        <v>81</v>
      </c>
      <c r="K6705">
        <f>81-50-5534-9343</f>
        <v>-14846</v>
      </c>
      <c r="L6705" t="s">
        <v>21021</v>
      </c>
      <c r="M6705" t="s">
        <v>21022</v>
      </c>
      <c r="N6705" t="s">
        <v>2475</v>
      </c>
      <c r="O6705" t="s">
        <v>28</v>
      </c>
      <c r="P6705" t="s">
        <v>29</v>
      </c>
      <c r="Q6705">
        <v>39</v>
      </c>
      <c r="R6705">
        <v>-94.578599999999994</v>
      </c>
    </row>
    <row r="6706" spans="1:18" x14ac:dyDescent="0.2">
      <c r="A6706" t="s">
        <v>2225</v>
      </c>
      <c r="B6706" t="s">
        <v>2226</v>
      </c>
      <c r="C6706">
        <v>44</v>
      </c>
      <c r="D6706" s="1">
        <v>44117.414502314816</v>
      </c>
      <c r="E6706" t="s">
        <v>21023</v>
      </c>
      <c r="F6706" t="s">
        <v>2228</v>
      </c>
      <c r="G6706" t="s">
        <v>21024</v>
      </c>
      <c r="H6706" t="s">
        <v>2230</v>
      </c>
      <c r="I6706" t="s">
        <v>618</v>
      </c>
      <c r="J6706">
        <v>44</v>
      </c>
      <c r="K6706">
        <f>44-808-143-3686</f>
        <v>-4593</v>
      </c>
      <c r="L6706" t="s">
        <v>21025</v>
      </c>
      <c r="M6706" t="s">
        <v>21026</v>
      </c>
      <c r="N6706" t="s">
        <v>2475</v>
      </c>
      <c r="O6706" t="s">
        <v>28</v>
      </c>
      <c r="P6706" t="s">
        <v>24</v>
      </c>
      <c r="Q6706">
        <v>50</v>
      </c>
      <c r="R6706">
        <v>12.365</v>
      </c>
    </row>
    <row r="6707" spans="1:18" x14ac:dyDescent="0.2">
      <c r="A6707" t="s">
        <v>2225</v>
      </c>
      <c r="B6707" t="s">
        <v>2226</v>
      </c>
      <c r="C6707">
        <v>44</v>
      </c>
      <c r="D6707" s="1">
        <v>44112.532743055555</v>
      </c>
      <c r="E6707" t="s">
        <v>21027</v>
      </c>
      <c r="F6707" t="s">
        <v>2228</v>
      </c>
      <c r="G6707" t="s">
        <v>21024</v>
      </c>
      <c r="H6707" t="s">
        <v>2230</v>
      </c>
      <c r="I6707" t="s">
        <v>618</v>
      </c>
      <c r="J6707">
        <v>44</v>
      </c>
      <c r="K6707">
        <f>44-808-143-3684</f>
        <v>-4591</v>
      </c>
      <c r="L6707" t="s">
        <v>21028</v>
      </c>
      <c r="M6707" t="s">
        <v>21029</v>
      </c>
      <c r="N6707" t="s">
        <v>2475</v>
      </c>
      <c r="O6707" t="s">
        <v>28</v>
      </c>
      <c r="P6707" t="s">
        <v>24</v>
      </c>
      <c r="Q6707">
        <v>50</v>
      </c>
      <c r="R6707">
        <v>12.365</v>
      </c>
    </row>
    <row r="6708" spans="1:18" x14ac:dyDescent="0.2">
      <c r="A6708" t="s">
        <v>2349</v>
      </c>
      <c r="B6708" t="s">
        <v>454</v>
      </c>
      <c r="C6708">
        <v>49</v>
      </c>
      <c r="D6708" s="1">
        <v>44112.549039351848</v>
      </c>
      <c r="E6708" t="s">
        <v>21030</v>
      </c>
      <c r="F6708" t="s">
        <v>4584</v>
      </c>
      <c r="G6708" t="s">
        <v>21030</v>
      </c>
      <c r="H6708" t="s">
        <v>2353</v>
      </c>
      <c r="I6708" t="s">
        <v>24</v>
      </c>
      <c r="J6708">
        <v>49</v>
      </c>
      <c r="K6708">
        <f>49-800-184-4594</f>
        <v>-5529</v>
      </c>
      <c r="L6708" t="s">
        <v>21031</v>
      </c>
      <c r="M6708" t="s">
        <v>21032</v>
      </c>
      <c r="N6708">
        <v>141</v>
      </c>
      <c r="O6708" t="s">
        <v>134</v>
      </c>
      <c r="P6708" t="s">
        <v>461</v>
      </c>
      <c r="Q6708">
        <v>52</v>
      </c>
      <c r="R6708">
        <v>4.6562999999999999</v>
      </c>
    </row>
    <row r="6709" spans="1:18" x14ac:dyDescent="0.2">
      <c r="A6709" t="s">
        <v>439</v>
      </c>
      <c r="B6709" t="s">
        <v>3094</v>
      </c>
      <c r="C6709">
        <v>1</v>
      </c>
      <c r="D6709" s="1">
        <v>44112.735034722224</v>
      </c>
      <c r="E6709" t="s">
        <v>21033</v>
      </c>
      <c r="F6709" t="s">
        <v>442</v>
      </c>
      <c r="G6709" t="s">
        <v>21034</v>
      </c>
      <c r="H6709" t="s">
        <v>444</v>
      </c>
      <c r="I6709" t="s">
        <v>29</v>
      </c>
      <c r="J6709">
        <v>1</v>
      </c>
      <c r="K6709">
        <f>1-888-279-3961</f>
        <v>-5127</v>
      </c>
      <c r="L6709" t="s">
        <v>21035</v>
      </c>
      <c r="M6709" t="s">
        <v>21036</v>
      </c>
      <c r="N6709" t="s">
        <v>213</v>
      </c>
      <c r="O6709" t="s">
        <v>28</v>
      </c>
      <c r="P6709" t="s">
        <v>2268</v>
      </c>
      <c r="Q6709">
        <v>46</v>
      </c>
      <c r="R6709">
        <v>-73.567300000000003</v>
      </c>
    </row>
    <row r="6710" spans="1:18" x14ac:dyDescent="0.2">
      <c r="A6710" t="s">
        <v>2349</v>
      </c>
      <c r="B6710" t="s">
        <v>10634</v>
      </c>
      <c r="C6710">
        <v>49</v>
      </c>
      <c r="D6710" s="1">
        <v>44112.737743055557</v>
      </c>
      <c r="E6710" t="s">
        <v>21037</v>
      </c>
      <c r="F6710" t="s">
        <v>4584</v>
      </c>
      <c r="G6710" t="s">
        <v>21037</v>
      </c>
      <c r="H6710" t="s">
        <v>2353</v>
      </c>
      <c r="I6710" t="s">
        <v>24</v>
      </c>
      <c r="J6710">
        <v>49</v>
      </c>
      <c r="K6710">
        <f>49-800-184-4594</f>
        <v>-5529</v>
      </c>
      <c r="L6710" t="s">
        <v>21038</v>
      </c>
      <c r="M6710" t="s">
        <v>21039</v>
      </c>
      <c r="N6710">
        <v>93</v>
      </c>
      <c r="O6710" t="s">
        <v>134</v>
      </c>
      <c r="P6710" t="s">
        <v>292</v>
      </c>
      <c r="Q6710">
        <v>49</v>
      </c>
      <c r="R6710">
        <v>2.3868999999999998</v>
      </c>
    </row>
    <row r="6711" spans="1:18" x14ac:dyDescent="0.2">
      <c r="A6711" t="s">
        <v>439</v>
      </c>
      <c r="B6711" t="s">
        <v>4321</v>
      </c>
      <c r="C6711">
        <v>1</v>
      </c>
      <c r="D6711" s="1">
        <v>44112.742314814815</v>
      </c>
      <c r="E6711" t="s">
        <v>21040</v>
      </c>
      <c r="F6711" t="s">
        <v>442</v>
      </c>
      <c r="G6711" t="s">
        <v>21041</v>
      </c>
      <c r="H6711" t="s">
        <v>444</v>
      </c>
      <c r="I6711" t="s">
        <v>29</v>
      </c>
      <c r="J6711">
        <v>1</v>
      </c>
      <c r="K6711">
        <f>1-833-344-8110</f>
        <v>-9286</v>
      </c>
      <c r="L6711" t="s">
        <v>21042</v>
      </c>
      <c r="M6711" t="s">
        <v>21043</v>
      </c>
      <c r="N6711" t="s">
        <v>452</v>
      </c>
      <c r="O6711" t="s">
        <v>28</v>
      </c>
      <c r="P6711" t="s">
        <v>29</v>
      </c>
      <c r="Q6711">
        <v>42</v>
      </c>
      <c r="R6711">
        <v>-87.629800000000003</v>
      </c>
    </row>
    <row r="6712" spans="1:18" x14ac:dyDescent="0.2">
      <c r="A6712" t="s">
        <v>439</v>
      </c>
      <c r="B6712" t="s">
        <v>3094</v>
      </c>
      <c r="C6712">
        <v>1</v>
      </c>
      <c r="D6712" s="1">
        <v>44112.76458333333</v>
      </c>
      <c r="E6712" t="s">
        <v>21044</v>
      </c>
      <c r="F6712" t="s">
        <v>442</v>
      </c>
      <c r="G6712" t="s">
        <v>21045</v>
      </c>
      <c r="H6712" t="s">
        <v>444</v>
      </c>
      <c r="I6712" t="s">
        <v>29</v>
      </c>
      <c r="J6712">
        <v>1</v>
      </c>
      <c r="K6712">
        <f>1-888-406-2566</f>
        <v>-3859</v>
      </c>
      <c r="L6712" t="s">
        <v>21046</v>
      </c>
      <c r="M6712" t="s">
        <v>21047</v>
      </c>
      <c r="N6712" t="s">
        <v>674</v>
      </c>
      <c r="O6712" t="s">
        <v>28</v>
      </c>
      <c r="P6712" t="s">
        <v>2268</v>
      </c>
      <c r="Q6712">
        <v>46</v>
      </c>
      <c r="R6712">
        <v>-73.567300000000003</v>
      </c>
    </row>
    <row r="6713" spans="1:18" x14ac:dyDescent="0.2">
      <c r="A6713" t="s">
        <v>439</v>
      </c>
      <c r="B6713" t="s">
        <v>3094</v>
      </c>
      <c r="C6713">
        <v>1</v>
      </c>
      <c r="D6713" s="1">
        <v>44112.743043981478</v>
      </c>
      <c r="E6713" t="s">
        <v>21044</v>
      </c>
      <c r="F6713" t="s">
        <v>442</v>
      </c>
      <c r="G6713" t="s">
        <v>21045</v>
      </c>
      <c r="H6713" t="s">
        <v>444</v>
      </c>
      <c r="I6713" t="s">
        <v>29</v>
      </c>
      <c r="J6713">
        <v>1</v>
      </c>
      <c r="K6713">
        <f>1-888-406-5771</f>
        <v>-7064</v>
      </c>
      <c r="L6713" t="s">
        <v>21048</v>
      </c>
      <c r="M6713" t="s">
        <v>21049</v>
      </c>
      <c r="N6713" t="s">
        <v>674</v>
      </c>
      <c r="O6713" t="s">
        <v>28</v>
      </c>
      <c r="P6713" t="s">
        <v>2268</v>
      </c>
      <c r="Q6713">
        <v>46</v>
      </c>
      <c r="R6713">
        <v>-73.567300000000003</v>
      </c>
    </row>
    <row r="6714" spans="1:18" x14ac:dyDescent="0.2">
      <c r="A6714" t="s">
        <v>2233</v>
      </c>
      <c r="B6714" t="s">
        <v>2234</v>
      </c>
      <c r="C6714">
        <v>1</v>
      </c>
      <c r="D6714" s="1">
        <v>44112.766006944446</v>
      </c>
      <c r="E6714" t="s">
        <v>21050</v>
      </c>
      <c r="F6714" t="s">
        <v>2236</v>
      </c>
      <c r="G6714" t="s">
        <v>21050</v>
      </c>
      <c r="H6714" t="s">
        <v>2237</v>
      </c>
      <c r="I6714" t="s">
        <v>29</v>
      </c>
      <c r="J6714">
        <v>1</v>
      </c>
      <c r="K6714">
        <f>1-888-655-2589</f>
        <v>-4131</v>
      </c>
      <c r="L6714" t="s">
        <v>21051</v>
      </c>
      <c r="M6714" t="s">
        <v>21052</v>
      </c>
      <c r="N6714">
        <v>242</v>
      </c>
      <c r="O6714" t="s">
        <v>134</v>
      </c>
      <c r="P6714" t="s">
        <v>29</v>
      </c>
      <c r="Q6714">
        <v>40</v>
      </c>
      <c r="R6714">
        <v>-83.114099999999993</v>
      </c>
    </row>
    <row r="6715" spans="1:18" x14ac:dyDescent="0.2">
      <c r="A6715" t="s">
        <v>439</v>
      </c>
      <c r="B6715" t="s">
        <v>3094</v>
      </c>
      <c r="C6715">
        <v>1</v>
      </c>
      <c r="D6715" s="1">
        <v>44112.820763888885</v>
      </c>
      <c r="E6715" t="s">
        <v>21053</v>
      </c>
      <c r="F6715" t="s">
        <v>442</v>
      </c>
      <c r="G6715" t="s">
        <v>21054</v>
      </c>
      <c r="H6715" t="s">
        <v>444</v>
      </c>
      <c r="I6715" t="s">
        <v>29</v>
      </c>
      <c r="J6715">
        <v>1</v>
      </c>
      <c r="K6715">
        <f>1-888-359-9230</f>
        <v>-10476</v>
      </c>
      <c r="L6715" t="s">
        <v>21055</v>
      </c>
      <c r="M6715" t="s">
        <v>21056</v>
      </c>
      <c r="N6715" t="s">
        <v>1645</v>
      </c>
      <c r="O6715" t="s">
        <v>28</v>
      </c>
      <c r="P6715" t="s">
        <v>2268</v>
      </c>
      <c r="Q6715">
        <v>46</v>
      </c>
      <c r="R6715">
        <v>-73.567300000000003</v>
      </c>
    </row>
    <row r="6716" spans="1:18" x14ac:dyDescent="0.2">
      <c r="A6716" t="s">
        <v>439</v>
      </c>
      <c r="B6716" t="s">
        <v>3094</v>
      </c>
      <c r="C6716">
        <v>1</v>
      </c>
      <c r="D6716" s="1">
        <v>44112.845578703702</v>
      </c>
      <c r="E6716" t="s">
        <v>21057</v>
      </c>
      <c r="F6716" t="s">
        <v>442</v>
      </c>
      <c r="G6716" t="s">
        <v>21058</v>
      </c>
      <c r="H6716" t="s">
        <v>444</v>
      </c>
      <c r="I6716" t="s">
        <v>29</v>
      </c>
      <c r="J6716">
        <v>1</v>
      </c>
      <c r="K6716">
        <f>1-888-307-5575</f>
        <v>-6769</v>
      </c>
      <c r="L6716" t="s">
        <v>21059</v>
      </c>
      <c r="M6716" t="s">
        <v>21060</v>
      </c>
      <c r="N6716" t="s">
        <v>36</v>
      </c>
      <c r="O6716" t="s">
        <v>28</v>
      </c>
      <c r="P6716" t="s">
        <v>2268</v>
      </c>
      <c r="Q6716">
        <v>46</v>
      </c>
      <c r="R6716">
        <v>-73.567300000000003</v>
      </c>
    </row>
    <row r="6717" spans="1:18" x14ac:dyDescent="0.2">
      <c r="A6717" t="s">
        <v>663</v>
      </c>
      <c r="B6717" t="s">
        <v>664</v>
      </c>
      <c r="C6717">
        <v>1</v>
      </c>
      <c r="D6717" s="1">
        <v>44112.863159722219</v>
      </c>
      <c r="E6717" t="s">
        <v>21061</v>
      </c>
      <c r="F6717" t="s">
        <v>666</v>
      </c>
      <c r="G6717" t="s">
        <v>21061</v>
      </c>
      <c r="H6717" t="s">
        <v>667</v>
      </c>
      <c r="I6717" t="s">
        <v>29</v>
      </c>
      <c r="J6717">
        <v>1</v>
      </c>
      <c r="K6717">
        <f>1-888-308-5141</f>
        <v>-6336</v>
      </c>
      <c r="L6717" t="s">
        <v>21062</v>
      </c>
      <c r="M6717" t="s">
        <v>21063</v>
      </c>
      <c r="N6717">
        <v>153</v>
      </c>
      <c r="O6717" t="s">
        <v>134</v>
      </c>
      <c r="P6717" t="s">
        <v>29</v>
      </c>
      <c r="Q6717">
        <v>37</v>
      </c>
      <c r="R6717">
        <v>-99.999999000000003</v>
      </c>
    </row>
    <row r="6718" spans="1:18" x14ac:dyDescent="0.2">
      <c r="A6718" t="s">
        <v>663</v>
      </c>
      <c r="B6718" t="s">
        <v>664</v>
      </c>
      <c r="C6718">
        <v>1</v>
      </c>
      <c r="D6718" s="1">
        <v>44112.859085648146</v>
      </c>
      <c r="E6718" t="s">
        <v>21061</v>
      </c>
      <c r="F6718" t="s">
        <v>666</v>
      </c>
      <c r="G6718" t="s">
        <v>21061</v>
      </c>
      <c r="H6718" t="s">
        <v>667</v>
      </c>
      <c r="I6718" t="s">
        <v>29</v>
      </c>
      <c r="J6718">
        <v>1</v>
      </c>
      <c r="K6718">
        <f>1-888-295-186</f>
        <v>-1368</v>
      </c>
      <c r="L6718" t="s">
        <v>21064</v>
      </c>
      <c r="M6718" t="s">
        <v>21065</v>
      </c>
      <c r="N6718">
        <v>153</v>
      </c>
      <c r="O6718" t="s">
        <v>134</v>
      </c>
      <c r="P6718" t="s">
        <v>29</v>
      </c>
      <c r="Q6718">
        <v>37</v>
      </c>
      <c r="R6718">
        <v>-99.999999000000003</v>
      </c>
    </row>
    <row r="6719" spans="1:18" x14ac:dyDescent="0.2">
      <c r="A6719" t="s">
        <v>663</v>
      </c>
      <c r="B6719" t="s">
        <v>664</v>
      </c>
      <c r="C6719">
        <v>1</v>
      </c>
      <c r="D6719" s="1">
        <v>44112.858993055554</v>
      </c>
      <c r="E6719" t="s">
        <v>21061</v>
      </c>
      <c r="F6719" t="s">
        <v>666</v>
      </c>
      <c r="G6719" t="s">
        <v>21061</v>
      </c>
      <c r="H6719" t="s">
        <v>667</v>
      </c>
      <c r="I6719" t="s">
        <v>29</v>
      </c>
      <c r="J6719">
        <v>1</v>
      </c>
      <c r="K6719">
        <f>1-888-345-4979</f>
        <v>-6211</v>
      </c>
      <c r="L6719" t="s">
        <v>21066</v>
      </c>
      <c r="M6719" t="s">
        <v>21067</v>
      </c>
      <c r="N6719">
        <v>153</v>
      </c>
      <c r="O6719" t="s">
        <v>134</v>
      </c>
      <c r="P6719" t="s">
        <v>29</v>
      </c>
      <c r="Q6719">
        <v>37</v>
      </c>
      <c r="R6719">
        <v>-99.999999000000003</v>
      </c>
    </row>
    <row r="6720" spans="1:18" x14ac:dyDescent="0.2">
      <c r="A6720" t="s">
        <v>663</v>
      </c>
      <c r="B6720" t="s">
        <v>2493</v>
      </c>
      <c r="C6720">
        <v>1</v>
      </c>
      <c r="D6720" s="1">
        <v>44112.859224537038</v>
      </c>
      <c r="E6720" t="s">
        <v>21068</v>
      </c>
      <c r="F6720" t="s">
        <v>666</v>
      </c>
      <c r="G6720" t="s">
        <v>21069</v>
      </c>
      <c r="H6720" t="s">
        <v>667</v>
      </c>
      <c r="I6720" t="s">
        <v>29</v>
      </c>
      <c r="J6720">
        <v>1</v>
      </c>
      <c r="K6720">
        <f>1-866-723-8651</f>
        <v>-10239</v>
      </c>
      <c r="L6720" t="s">
        <v>21070</v>
      </c>
      <c r="M6720" t="s">
        <v>21071</v>
      </c>
      <c r="N6720" t="s">
        <v>1645</v>
      </c>
      <c r="O6720" t="s">
        <v>28</v>
      </c>
      <c r="P6720" t="s">
        <v>29</v>
      </c>
      <c r="Q6720">
        <v>41</v>
      </c>
      <c r="R6720">
        <v>-74.024699999999996</v>
      </c>
    </row>
    <row r="6721" spans="1:18" x14ac:dyDescent="0.2">
      <c r="A6721" t="s">
        <v>663</v>
      </c>
      <c r="B6721" t="s">
        <v>664</v>
      </c>
      <c r="C6721">
        <v>1</v>
      </c>
      <c r="D6721" s="1">
        <v>44112.859618055554</v>
      </c>
      <c r="E6721" t="s">
        <v>21072</v>
      </c>
      <c r="F6721" t="s">
        <v>666</v>
      </c>
      <c r="G6721" t="s">
        <v>21073</v>
      </c>
      <c r="H6721" t="s">
        <v>667</v>
      </c>
      <c r="I6721" t="s">
        <v>29</v>
      </c>
      <c r="J6721">
        <v>1</v>
      </c>
      <c r="K6721">
        <f>1-855-905-5181</f>
        <v>-6940</v>
      </c>
      <c r="L6721" t="s">
        <v>21074</v>
      </c>
      <c r="M6721" t="s">
        <v>21075</v>
      </c>
      <c r="N6721" t="s">
        <v>1645</v>
      </c>
      <c r="O6721" t="s">
        <v>28</v>
      </c>
      <c r="P6721" t="s">
        <v>29</v>
      </c>
      <c r="Q6721">
        <v>37</v>
      </c>
      <c r="R6721">
        <v>-99.999999000000003</v>
      </c>
    </row>
    <row r="6722" spans="1:18" x14ac:dyDescent="0.2">
      <c r="A6722" t="s">
        <v>439</v>
      </c>
      <c r="B6722" t="s">
        <v>4321</v>
      </c>
      <c r="C6722">
        <v>1</v>
      </c>
      <c r="D6722" s="1">
        <v>44112.869895833333</v>
      </c>
      <c r="E6722" t="s">
        <v>21076</v>
      </c>
      <c r="F6722" t="s">
        <v>442</v>
      </c>
      <c r="G6722" t="s">
        <v>21077</v>
      </c>
      <c r="H6722" t="s">
        <v>444</v>
      </c>
      <c r="I6722" t="s">
        <v>29</v>
      </c>
      <c r="J6722">
        <v>1</v>
      </c>
      <c r="K6722">
        <f>1-888-410-7952</f>
        <v>-9249</v>
      </c>
      <c r="L6722" t="s">
        <v>21078</v>
      </c>
      <c r="M6722" t="s">
        <v>21079</v>
      </c>
      <c r="N6722" t="s">
        <v>36</v>
      </c>
      <c r="O6722" t="s">
        <v>28</v>
      </c>
      <c r="P6722" t="s">
        <v>29</v>
      </c>
      <c r="Q6722">
        <v>42</v>
      </c>
      <c r="R6722">
        <v>-87.629800000000003</v>
      </c>
    </row>
    <row r="6723" spans="1:18" x14ac:dyDescent="0.2">
      <c r="A6723" t="s">
        <v>663</v>
      </c>
      <c r="B6723" t="s">
        <v>664</v>
      </c>
      <c r="C6723">
        <v>1</v>
      </c>
      <c r="D6723" s="1">
        <v>44112.873842592591</v>
      </c>
      <c r="E6723" t="s">
        <v>21080</v>
      </c>
      <c r="F6723" t="s">
        <v>666</v>
      </c>
      <c r="G6723" t="s">
        <v>21081</v>
      </c>
      <c r="H6723" t="s">
        <v>667</v>
      </c>
      <c r="I6723" t="s">
        <v>29</v>
      </c>
      <c r="J6723">
        <v>1</v>
      </c>
      <c r="K6723">
        <f>1-855-905-5181</f>
        <v>-6940</v>
      </c>
      <c r="L6723" t="s">
        <v>21082</v>
      </c>
      <c r="M6723" t="s">
        <v>21083</v>
      </c>
      <c r="N6723" t="s">
        <v>1645</v>
      </c>
      <c r="O6723" t="s">
        <v>28</v>
      </c>
      <c r="P6723" t="s">
        <v>29</v>
      </c>
      <c r="Q6723">
        <v>37</v>
      </c>
      <c r="R6723">
        <v>-99.999999000000003</v>
      </c>
    </row>
    <row r="6724" spans="1:18" x14ac:dyDescent="0.2">
      <c r="A6724" t="s">
        <v>663</v>
      </c>
      <c r="B6724" t="s">
        <v>664</v>
      </c>
      <c r="C6724">
        <v>1</v>
      </c>
      <c r="D6724" s="1">
        <v>44112.886736111112</v>
      </c>
      <c r="E6724" t="s">
        <v>21084</v>
      </c>
      <c r="F6724" t="s">
        <v>666</v>
      </c>
      <c r="G6724" t="s">
        <v>21084</v>
      </c>
      <c r="H6724" t="s">
        <v>667</v>
      </c>
      <c r="I6724" t="s">
        <v>29</v>
      </c>
      <c r="J6724">
        <v>1</v>
      </c>
      <c r="K6724">
        <f>1-888-329-7503</f>
        <v>-8719</v>
      </c>
      <c r="L6724" t="s">
        <v>21085</v>
      </c>
      <c r="M6724" t="s">
        <v>21086</v>
      </c>
      <c r="N6724">
        <v>71</v>
      </c>
      <c r="O6724" t="s">
        <v>134</v>
      </c>
      <c r="P6724" t="s">
        <v>29</v>
      </c>
      <c r="Q6724">
        <v>37</v>
      </c>
      <c r="R6724">
        <v>-99.999999000000003</v>
      </c>
    </row>
    <row r="6725" spans="1:18" x14ac:dyDescent="0.2">
      <c r="A6725" t="s">
        <v>663</v>
      </c>
      <c r="B6725" t="s">
        <v>664</v>
      </c>
      <c r="C6725">
        <v>1</v>
      </c>
      <c r="D6725" s="1">
        <v>44112.876493055555</v>
      </c>
      <c r="E6725" t="s">
        <v>21084</v>
      </c>
      <c r="F6725" t="s">
        <v>666</v>
      </c>
      <c r="G6725" t="s">
        <v>21084</v>
      </c>
      <c r="H6725" t="s">
        <v>667</v>
      </c>
      <c r="I6725" t="s">
        <v>29</v>
      </c>
      <c r="J6725">
        <v>1</v>
      </c>
      <c r="K6725">
        <f>1-888-337-3119</f>
        <v>-4343</v>
      </c>
      <c r="L6725" t="s">
        <v>21087</v>
      </c>
      <c r="M6725" t="s">
        <v>21088</v>
      </c>
      <c r="N6725">
        <v>71</v>
      </c>
      <c r="O6725" t="s">
        <v>134</v>
      </c>
      <c r="P6725" t="s">
        <v>29</v>
      </c>
      <c r="Q6725">
        <v>37</v>
      </c>
      <c r="R6725">
        <v>-99.999999000000003</v>
      </c>
    </row>
    <row r="6726" spans="1:18" x14ac:dyDescent="0.2">
      <c r="A6726" t="s">
        <v>439</v>
      </c>
      <c r="B6726" t="s">
        <v>3094</v>
      </c>
      <c r="C6726">
        <v>1</v>
      </c>
      <c r="D6726" s="1">
        <v>44112.890208333331</v>
      </c>
      <c r="E6726" t="s">
        <v>21089</v>
      </c>
      <c r="F6726" t="s">
        <v>442</v>
      </c>
      <c r="G6726" t="s">
        <v>21090</v>
      </c>
      <c r="H6726" t="s">
        <v>444</v>
      </c>
      <c r="I6726" t="s">
        <v>29</v>
      </c>
      <c r="J6726">
        <v>1</v>
      </c>
      <c r="K6726">
        <f>1-844-384-8708</f>
        <v>-9935</v>
      </c>
      <c r="L6726" t="s">
        <v>21091</v>
      </c>
      <c r="M6726" t="s">
        <v>21092</v>
      </c>
      <c r="N6726" t="s">
        <v>674</v>
      </c>
      <c r="O6726" t="s">
        <v>28</v>
      </c>
      <c r="P6726" t="s">
        <v>2268</v>
      </c>
      <c r="Q6726">
        <v>46</v>
      </c>
      <c r="R6726">
        <v>-73.567300000000003</v>
      </c>
    </row>
    <row r="6727" spans="1:18" x14ac:dyDescent="0.2">
      <c r="A6727" t="s">
        <v>663</v>
      </c>
      <c r="B6727" t="s">
        <v>664</v>
      </c>
      <c r="C6727">
        <v>1</v>
      </c>
      <c r="D6727" s="1">
        <v>44112.903391203705</v>
      </c>
      <c r="E6727" t="s">
        <v>21093</v>
      </c>
      <c r="F6727" t="s">
        <v>666</v>
      </c>
      <c r="G6727" t="s">
        <v>21093</v>
      </c>
      <c r="H6727" t="s">
        <v>667</v>
      </c>
      <c r="I6727" t="s">
        <v>29</v>
      </c>
      <c r="J6727">
        <v>1</v>
      </c>
      <c r="K6727">
        <f>1-888-366-5807</f>
        <v>-7060</v>
      </c>
      <c r="L6727" t="s">
        <v>21094</v>
      </c>
      <c r="M6727" t="s">
        <v>21095</v>
      </c>
      <c r="N6727">
        <v>200</v>
      </c>
      <c r="O6727" t="s">
        <v>134</v>
      </c>
      <c r="P6727" t="s">
        <v>29</v>
      </c>
      <c r="Q6727">
        <v>37</v>
      </c>
      <c r="R6727">
        <v>-99.999999000000003</v>
      </c>
    </row>
    <row r="6728" spans="1:18" x14ac:dyDescent="0.2">
      <c r="A6728" t="s">
        <v>663</v>
      </c>
      <c r="B6728" t="s">
        <v>664</v>
      </c>
      <c r="C6728">
        <v>1</v>
      </c>
      <c r="D6728" s="1">
        <v>44112.906805555554</v>
      </c>
      <c r="E6728" t="s">
        <v>21096</v>
      </c>
      <c r="F6728" t="s">
        <v>2495</v>
      </c>
      <c r="G6728" t="s">
        <v>21096</v>
      </c>
      <c r="H6728" t="s">
        <v>667</v>
      </c>
      <c r="I6728" t="s">
        <v>29</v>
      </c>
      <c r="J6728">
        <v>1</v>
      </c>
      <c r="K6728">
        <f>1-888-281-3194</f>
        <v>-4362</v>
      </c>
      <c r="L6728" t="s">
        <v>21097</v>
      </c>
      <c r="M6728" t="s">
        <v>21098</v>
      </c>
      <c r="N6728">
        <v>68</v>
      </c>
      <c r="O6728" t="s">
        <v>134</v>
      </c>
      <c r="P6728" t="s">
        <v>29</v>
      </c>
      <c r="Q6728">
        <v>37</v>
      </c>
      <c r="R6728">
        <v>-99.999999000000003</v>
      </c>
    </row>
    <row r="6729" spans="1:18" x14ac:dyDescent="0.2">
      <c r="A6729" t="s">
        <v>663</v>
      </c>
      <c r="B6729" t="s">
        <v>664</v>
      </c>
      <c r="C6729">
        <v>1</v>
      </c>
      <c r="D6729" s="1">
        <v>44112.942303240743</v>
      </c>
      <c r="E6729" t="s">
        <v>21099</v>
      </c>
      <c r="F6729" t="s">
        <v>666</v>
      </c>
      <c r="G6729" t="s">
        <v>21099</v>
      </c>
      <c r="H6729" t="s">
        <v>667</v>
      </c>
      <c r="I6729" t="s">
        <v>29</v>
      </c>
      <c r="J6729">
        <v>1</v>
      </c>
      <c r="K6729">
        <f>1-888-304-439</f>
        <v>-1630</v>
      </c>
      <c r="L6729" t="s">
        <v>21100</v>
      </c>
      <c r="M6729" t="s">
        <v>21101</v>
      </c>
      <c r="N6729">
        <v>202</v>
      </c>
      <c r="O6729" t="s">
        <v>134</v>
      </c>
      <c r="P6729" t="s">
        <v>29</v>
      </c>
      <c r="Q6729">
        <v>37</v>
      </c>
      <c r="R6729">
        <v>-99.999999000000003</v>
      </c>
    </row>
    <row r="6730" spans="1:18" x14ac:dyDescent="0.2">
      <c r="A6730" t="s">
        <v>663</v>
      </c>
      <c r="B6730" t="s">
        <v>664</v>
      </c>
      <c r="C6730">
        <v>1</v>
      </c>
      <c r="D6730" s="1">
        <v>44112.944155092591</v>
      </c>
      <c r="E6730" t="s">
        <v>21102</v>
      </c>
      <c r="F6730" t="s">
        <v>666</v>
      </c>
      <c r="G6730" t="s">
        <v>21102</v>
      </c>
      <c r="H6730" t="s">
        <v>667</v>
      </c>
      <c r="I6730" t="s">
        <v>29</v>
      </c>
      <c r="J6730">
        <v>1</v>
      </c>
      <c r="K6730">
        <f>1-888-305-2171</f>
        <v>-3363</v>
      </c>
      <c r="L6730" t="s">
        <v>21103</v>
      </c>
      <c r="M6730" t="s">
        <v>21104</v>
      </c>
      <c r="N6730">
        <v>130</v>
      </c>
      <c r="O6730" t="s">
        <v>134</v>
      </c>
      <c r="P6730" t="s">
        <v>29</v>
      </c>
      <c r="Q6730">
        <v>37</v>
      </c>
      <c r="R6730">
        <v>-99.999999000000003</v>
      </c>
    </row>
    <row r="6731" spans="1:18" x14ac:dyDescent="0.2">
      <c r="A6731" t="s">
        <v>663</v>
      </c>
      <c r="B6731" t="s">
        <v>2493</v>
      </c>
      <c r="C6731">
        <v>1</v>
      </c>
      <c r="D6731" s="1">
        <v>44113.30704861111</v>
      </c>
      <c r="E6731" t="s">
        <v>21105</v>
      </c>
      <c r="F6731" t="s">
        <v>666</v>
      </c>
      <c r="G6731" t="s">
        <v>21106</v>
      </c>
      <c r="H6731" t="s">
        <v>667</v>
      </c>
      <c r="I6731" t="s">
        <v>29</v>
      </c>
      <c r="J6731">
        <v>1</v>
      </c>
      <c r="K6731">
        <f>1-888-397-5046</f>
        <v>-6330</v>
      </c>
      <c r="L6731" t="s">
        <v>21107</v>
      </c>
      <c r="M6731" t="s">
        <v>21108</v>
      </c>
      <c r="N6731" t="s">
        <v>1645</v>
      </c>
      <c r="O6731" t="s">
        <v>28</v>
      </c>
      <c r="P6731" t="s">
        <v>29</v>
      </c>
      <c r="Q6731">
        <v>41</v>
      </c>
      <c r="R6731">
        <v>-74.024699999999996</v>
      </c>
    </row>
    <row r="6732" spans="1:18" x14ac:dyDescent="0.2">
      <c r="A6732" t="s">
        <v>2349</v>
      </c>
      <c r="B6732" t="s">
        <v>10634</v>
      </c>
      <c r="C6732">
        <v>49</v>
      </c>
      <c r="D6732" s="1">
        <v>44113.513101851851</v>
      </c>
      <c r="E6732" t="s">
        <v>21109</v>
      </c>
      <c r="F6732" t="s">
        <v>2352</v>
      </c>
      <c r="G6732" t="s">
        <v>21109</v>
      </c>
      <c r="H6732" t="s">
        <v>2353</v>
      </c>
      <c r="I6732" t="s">
        <v>24</v>
      </c>
      <c r="J6732">
        <v>49</v>
      </c>
      <c r="K6732">
        <f>49-800-184-4594</f>
        <v>-5529</v>
      </c>
      <c r="L6732" t="s">
        <v>21110</v>
      </c>
      <c r="M6732" t="s">
        <v>21111</v>
      </c>
      <c r="N6732">
        <v>218</v>
      </c>
      <c r="O6732" t="s">
        <v>134</v>
      </c>
      <c r="P6732" t="s">
        <v>292</v>
      </c>
      <c r="Q6732">
        <v>49</v>
      </c>
      <c r="R6732">
        <v>2.3868999999999998</v>
      </c>
    </row>
    <row r="6733" spans="1:18" x14ac:dyDescent="0.2">
      <c r="A6733" t="s">
        <v>663</v>
      </c>
      <c r="B6733" t="s">
        <v>664</v>
      </c>
      <c r="C6733">
        <v>1</v>
      </c>
      <c r="D6733" s="1">
        <v>44113.029097222221</v>
      </c>
      <c r="E6733" t="s">
        <v>21112</v>
      </c>
      <c r="F6733" t="s">
        <v>666</v>
      </c>
      <c r="G6733" t="s">
        <v>21112</v>
      </c>
      <c r="H6733" t="s">
        <v>667</v>
      </c>
      <c r="I6733" t="s">
        <v>29</v>
      </c>
      <c r="J6733">
        <v>1</v>
      </c>
      <c r="K6733">
        <f>1-888-381-1868</f>
        <v>-3136</v>
      </c>
      <c r="L6733" t="s">
        <v>21113</v>
      </c>
      <c r="M6733" t="s">
        <v>21114</v>
      </c>
      <c r="N6733">
        <v>187</v>
      </c>
      <c r="O6733" t="s">
        <v>134</v>
      </c>
      <c r="P6733" t="s">
        <v>29</v>
      </c>
      <c r="Q6733">
        <v>37</v>
      </c>
      <c r="R6733">
        <v>-99.999999000000003</v>
      </c>
    </row>
    <row r="6734" spans="1:18" x14ac:dyDescent="0.2">
      <c r="A6734" t="s">
        <v>439</v>
      </c>
      <c r="B6734" t="s">
        <v>3094</v>
      </c>
      <c r="C6734">
        <v>1</v>
      </c>
      <c r="D6734" s="1">
        <v>44113.737916666665</v>
      </c>
      <c r="E6734" t="s">
        <v>21115</v>
      </c>
      <c r="F6734" t="s">
        <v>442</v>
      </c>
      <c r="G6734" t="s">
        <v>21116</v>
      </c>
      <c r="H6734" t="s">
        <v>444</v>
      </c>
      <c r="I6734" t="s">
        <v>29</v>
      </c>
      <c r="J6734">
        <v>1</v>
      </c>
      <c r="K6734">
        <f>1-888-307-3130</f>
        <v>-4324</v>
      </c>
      <c r="L6734" t="s">
        <v>21117</v>
      </c>
      <c r="M6734" t="s">
        <v>21118</v>
      </c>
      <c r="N6734" t="s">
        <v>683</v>
      </c>
      <c r="O6734" t="s">
        <v>28</v>
      </c>
      <c r="P6734" t="s">
        <v>2268</v>
      </c>
      <c r="Q6734">
        <v>46</v>
      </c>
      <c r="R6734">
        <v>-73.567300000000003</v>
      </c>
    </row>
    <row r="6735" spans="1:18" x14ac:dyDescent="0.2">
      <c r="A6735" t="s">
        <v>439</v>
      </c>
      <c r="B6735" t="s">
        <v>3094</v>
      </c>
      <c r="C6735">
        <v>1</v>
      </c>
      <c r="D6735" s="1">
        <v>44113.715497685182</v>
      </c>
      <c r="E6735" t="s">
        <v>21115</v>
      </c>
      <c r="F6735" t="s">
        <v>442</v>
      </c>
      <c r="G6735" t="s">
        <v>21116</v>
      </c>
      <c r="H6735" t="s">
        <v>444</v>
      </c>
      <c r="I6735" t="s">
        <v>29</v>
      </c>
      <c r="J6735">
        <v>1</v>
      </c>
      <c r="K6735">
        <f>1-888-308-2641</f>
        <v>-3836</v>
      </c>
      <c r="L6735" t="s">
        <v>21119</v>
      </c>
      <c r="M6735" t="s">
        <v>21120</v>
      </c>
      <c r="N6735" t="s">
        <v>683</v>
      </c>
      <c r="O6735" t="s">
        <v>28</v>
      </c>
      <c r="P6735" t="s">
        <v>2268</v>
      </c>
      <c r="Q6735">
        <v>46</v>
      </c>
      <c r="R6735">
        <v>-73.567300000000003</v>
      </c>
    </row>
    <row r="6736" spans="1:18" x14ac:dyDescent="0.2">
      <c r="A6736" t="s">
        <v>663</v>
      </c>
      <c r="B6736" t="s">
        <v>664</v>
      </c>
      <c r="C6736">
        <v>1</v>
      </c>
      <c r="D6736" s="1">
        <v>44113.727789351855</v>
      </c>
      <c r="E6736" t="s">
        <v>21121</v>
      </c>
      <c r="F6736" t="s">
        <v>666</v>
      </c>
      <c r="G6736" t="s">
        <v>21121</v>
      </c>
      <c r="H6736" t="s">
        <v>667</v>
      </c>
      <c r="I6736" t="s">
        <v>29</v>
      </c>
      <c r="J6736">
        <v>1</v>
      </c>
      <c r="K6736">
        <f>1-888-336-1957</f>
        <v>-3180</v>
      </c>
      <c r="L6736" t="s">
        <v>21122</v>
      </c>
      <c r="M6736" t="s">
        <v>21123</v>
      </c>
      <c r="N6736">
        <v>127</v>
      </c>
      <c r="O6736" t="s">
        <v>134</v>
      </c>
      <c r="P6736" t="s">
        <v>29</v>
      </c>
      <c r="Q6736">
        <v>37</v>
      </c>
      <c r="R6736">
        <v>-99.999999000000003</v>
      </c>
    </row>
    <row r="6737" spans="1:18" x14ac:dyDescent="0.2">
      <c r="A6737" t="s">
        <v>439</v>
      </c>
      <c r="B6737" t="s">
        <v>3094</v>
      </c>
      <c r="C6737">
        <v>1</v>
      </c>
      <c r="D6737" s="1">
        <v>44113.74790509259</v>
      </c>
      <c r="E6737" t="s">
        <v>21115</v>
      </c>
      <c r="F6737" t="s">
        <v>442</v>
      </c>
      <c r="G6737" t="s">
        <v>21124</v>
      </c>
      <c r="H6737" t="s">
        <v>444</v>
      </c>
      <c r="I6737" t="s">
        <v>29</v>
      </c>
      <c r="J6737">
        <v>1</v>
      </c>
      <c r="K6737">
        <f>1-888-372-272</f>
        <v>-1531</v>
      </c>
      <c r="L6737" t="s">
        <v>21125</v>
      </c>
      <c r="M6737" t="s">
        <v>21126</v>
      </c>
      <c r="N6737" t="s">
        <v>683</v>
      </c>
      <c r="O6737" t="s">
        <v>28</v>
      </c>
      <c r="P6737" t="s">
        <v>2268</v>
      </c>
      <c r="Q6737">
        <v>46</v>
      </c>
      <c r="R6737">
        <v>-73.567300000000003</v>
      </c>
    </row>
    <row r="6738" spans="1:18" x14ac:dyDescent="0.2">
      <c r="A6738" t="s">
        <v>663</v>
      </c>
      <c r="B6738" t="s">
        <v>664</v>
      </c>
      <c r="C6738">
        <v>1</v>
      </c>
      <c r="D6738" s="1">
        <v>44113.757488425923</v>
      </c>
      <c r="E6738" t="s">
        <v>21127</v>
      </c>
      <c r="F6738" t="s">
        <v>666</v>
      </c>
      <c r="G6738" t="s">
        <v>21127</v>
      </c>
      <c r="H6738" t="s">
        <v>667</v>
      </c>
      <c r="I6738" t="s">
        <v>29</v>
      </c>
      <c r="J6738">
        <v>1</v>
      </c>
      <c r="K6738">
        <f>1-888-307-6271</f>
        <v>-7465</v>
      </c>
      <c r="L6738" t="s">
        <v>21128</v>
      </c>
      <c r="M6738" t="s">
        <v>21129</v>
      </c>
      <c r="N6738">
        <v>38</v>
      </c>
      <c r="O6738" t="s">
        <v>134</v>
      </c>
      <c r="P6738" t="s">
        <v>29</v>
      </c>
      <c r="Q6738">
        <v>37</v>
      </c>
      <c r="R6738">
        <v>-99.999999000000003</v>
      </c>
    </row>
    <row r="6739" spans="1:18" x14ac:dyDescent="0.2">
      <c r="A6739" t="s">
        <v>663</v>
      </c>
      <c r="B6739" t="s">
        <v>664</v>
      </c>
      <c r="C6739">
        <v>1</v>
      </c>
      <c r="D6739" s="1">
        <v>44113.750497685185</v>
      </c>
      <c r="E6739" t="s">
        <v>21127</v>
      </c>
      <c r="F6739" t="s">
        <v>666</v>
      </c>
      <c r="G6739" t="s">
        <v>21127</v>
      </c>
      <c r="H6739" t="s">
        <v>667</v>
      </c>
      <c r="I6739" t="s">
        <v>29</v>
      </c>
      <c r="J6739">
        <v>1</v>
      </c>
      <c r="K6739">
        <f>1-888-368-529</f>
        <v>-1784</v>
      </c>
      <c r="L6739" t="s">
        <v>21130</v>
      </c>
      <c r="M6739" t="s">
        <v>21131</v>
      </c>
      <c r="N6739">
        <v>38</v>
      </c>
      <c r="O6739" t="s">
        <v>134</v>
      </c>
      <c r="P6739" t="s">
        <v>29</v>
      </c>
      <c r="Q6739">
        <v>37</v>
      </c>
      <c r="R6739">
        <v>-99.999999000000003</v>
      </c>
    </row>
    <row r="6740" spans="1:18" x14ac:dyDescent="0.2">
      <c r="A6740" t="s">
        <v>663</v>
      </c>
      <c r="B6740" t="s">
        <v>664</v>
      </c>
      <c r="C6740">
        <v>1</v>
      </c>
      <c r="D6740" s="1">
        <v>44113.750393518516</v>
      </c>
      <c r="E6740" t="s">
        <v>21127</v>
      </c>
      <c r="F6740" t="s">
        <v>666</v>
      </c>
      <c r="G6740" t="s">
        <v>21127</v>
      </c>
      <c r="H6740" t="s">
        <v>667</v>
      </c>
      <c r="I6740" t="s">
        <v>29</v>
      </c>
      <c r="J6740">
        <v>1</v>
      </c>
      <c r="K6740">
        <f>1-888-307-3936</f>
        <v>-5130</v>
      </c>
      <c r="L6740" t="s">
        <v>21132</v>
      </c>
      <c r="M6740" t="s">
        <v>21133</v>
      </c>
      <c r="N6740">
        <v>38</v>
      </c>
      <c r="O6740" t="s">
        <v>134</v>
      </c>
      <c r="P6740" t="s">
        <v>29</v>
      </c>
      <c r="Q6740">
        <v>37</v>
      </c>
      <c r="R6740">
        <v>-99.999999000000003</v>
      </c>
    </row>
    <row r="6741" spans="1:18" x14ac:dyDescent="0.2">
      <c r="A6741" t="s">
        <v>663</v>
      </c>
      <c r="B6741" t="s">
        <v>664</v>
      </c>
      <c r="C6741">
        <v>1</v>
      </c>
      <c r="D6741" s="1">
        <v>44113.750243055554</v>
      </c>
      <c r="E6741" t="s">
        <v>21127</v>
      </c>
      <c r="F6741" t="s">
        <v>666</v>
      </c>
      <c r="G6741" t="s">
        <v>21127</v>
      </c>
      <c r="H6741" t="s">
        <v>667</v>
      </c>
      <c r="I6741" t="s">
        <v>29</v>
      </c>
      <c r="J6741">
        <v>1</v>
      </c>
      <c r="K6741">
        <f>1-888-296-6994</f>
        <v>-8177</v>
      </c>
      <c r="L6741" t="s">
        <v>21134</v>
      </c>
      <c r="M6741" t="s">
        <v>21135</v>
      </c>
      <c r="N6741">
        <v>38</v>
      </c>
      <c r="O6741" t="s">
        <v>134</v>
      </c>
      <c r="P6741" t="s">
        <v>29</v>
      </c>
      <c r="Q6741">
        <v>37</v>
      </c>
      <c r="R6741">
        <v>-99.999999000000003</v>
      </c>
    </row>
    <row r="6742" spans="1:18" x14ac:dyDescent="0.2">
      <c r="A6742" t="s">
        <v>663</v>
      </c>
      <c r="B6742" t="s">
        <v>1212</v>
      </c>
      <c r="C6742">
        <v>1</v>
      </c>
      <c r="D6742" s="1">
        <v>44113.754212962966</v>
      </c>
      <c r="E6742" t="s">
        <v>21136</v>
      </c>
      <c r="F6742" t="s">
        <v>666</v>
      </c>
      <c r="G6742" t="s">
        <v>21136</v>
      </c>
      <c r="H6742" t="s">
        <v>667</v>
      </c>
      <c r="I6742" t="s">
        <v>29</v>
      </c>
      <c r="J6742">
        <v>1</v>
      </c>
      <c r="K6742">
        <f>1-877-595-1337</f>
        <v>-2808</v>
      </c>
      <c r="L6742" t="s">
        <v>21137</v>
      </c>
      <c r="M6742" t="s">
        <v>21138</v>
      </c>
      <c r="N6742">
        <v>141</v>
      </c>
      <c r="O6742" t="s">
        <v>134</v>
      </c>
      <c r="P6742" t="s">
        <v>618</v>
      </c>
      <c r="Q6742">
        <v>52</v>
      </c>
      <c r="R6742">
        <v>-0.62150000000000005</v>
      </c>
    </row>
    <row r="6743" spans="1:18" x14ac:dyDescent="0.2">
      <c r="A6743" t="s">
        <v>439</v>
      </c>
      <c r="B6743" t="s">
        <v>3094</v>
      </c>
      <c r="C6743">
        <v>1</v>
      </c>
      <c r="D6743" s="1">
        <v>44113.761736111112</v>
      </c>
      <c r="E6743" t="s">
        <v>21139</v>
      </c>
      <c r="F6743" t="s">
        <v>442</v>
      </c>
      <c r="G6743" t="s">
        <v>21140</v>
      </c>
      <c r="H6743" t="s">
        <v>444</v>
      </c>
      <c r="I6743" t="s">
        <v>29</v>
      </c>
      <c r="J6743">
        <v>1</v>
      </c>
      <c r="K6743">
        <f>1-888-357-4872</f>
        <v>-6116</v>
      </c>
      <c r="L6743" t="s">
        <v>21141</v>
      </c>
      <c r="M6743" t="s">
        <v>21142</v>
      </c>
      <c r="N6743" t="s">
        <v>2475</v>
      </c>
      <c r="O6743" t="s">
        <v>28</v>
      </c>
      <c r="P6743" t="s">
        <v>2268</v>
      </c>
      <c r="Q6743">
        <v>46</v>
      </c>
      <c r="R6743">
        <v>-73.567300000000003</v>
      </c>
    </row>
    <row r="6744" spans="1:18" x14ac:dyDescent="0.2">
      <c r="A6744" t="s">
        <v>663</v>
      </c>
      <c r="B6744" t="s">
        <v>664</v>
      </c>
      <c r="C6744">
        <v>1</v>
      </c>
      <c r="D6744" s="1">
        <v>44113.861388888887</v>
      </c>
      <c r="E6744" t="s">
        <v>21143</v>
      </c>
      <c r="F6744" t="s">
        <v>666</v>
      </c>
      <c r="G6744" t="s">
        <v>21143</v>
      </c>
      <c r="H6744" t="s">
        <v>667</v>
      </c>
      <c r="I6744" t="s">
        <v>29</v>
      </c>
      <c r="J6744">
        <v>1</v>
      </c>
      <c r="K6744">
        <f>1-888-343-1949</f>
        <v>-3179</v>
      </c>
      <c r="L6744" t="s">
        <v>21144</v>
      </c>
      <c r="M6744" t="s">
        <v>21145</v>
      </c>
      <c r="N6744">
        <v>23</v>
      </c>
      <c r="O6744" t="s">
        <v>134</v>
      </c>
      <c r="P6744" t="s">
        <v>29</v>
      </c>
      <c r="Q6744">
        <v>37</v>
      </c>
      <c r="R6744">
        <v>-99.999999000000003</v>
      </c>
    </row>
    <row r="6745" spans="1:18" x14ac:dyDescent="0.2">
      <c r="A6745" t="s">
        <v>663</v>
      </c>
      <c r="B6745" t="s">
        <v>664</v>
      </c>
      <c r="C6745">
        <v>1</v>
      </c>
      <c r="D6745" s="1">
        <v>44113.764849537038</v>
      </c>
      <c r="E6745" t="s">
        <v>21143</v>
      </c>
      <c r="F6745" t="s">
        <v>666</v>
      </c>
      <c r="G6745" t="s">
        <v>21143</v>
      </c>
      <c r="H6745" t="s">
        <v>667</v>
      </c>
      <c r="I6745" t="s">
        <v>29</v>
      </c>
      <c r="J6745">
        <v>1</v>
      </c>
      <c r="K6745">
        <f>1-888-308-5887</f>
        <v>-7082</v>
      </c>
      <c r="L6745" t="s">
        <v>21146</v>
      </c>
      <c r="M6745" t="s">
        <v>21147</v>
      </c>
      <c r="N6745">
        <v>23</v>
      </c>
      <c r="O6745" t="s">
        <v>134</v>
      </c>
      <c r="P6745" t="s">
        <v>29</v>
      </c>
      <c r="Q6745">
        <v>37</v>
      </c>
      <c r="R6745">
        <v>-99.999999000000003</v>
      </c>
    </row>
    <row r="6746" spans="1:18" x14ac:dyDescent="0.2">
      <c r="A6746" t="s">
        <v>663</v>
      </c>
      <c r="B6746" t="s">
        <v>664</v>
      </c>
      <c r="C6746">
        <v>1</v>
      </c>
      <c r="D6746" s="1">
        <v>44113.764664351853</v>
      </c>
      <c r="E6746" t="s">
        <v>21143</v>
      </c>
      <c r="F6746" t="s">
        <v>666</v>
      </c>
      <c r="G6746" t="s">
        <v>21143</v>
      </c>
      <c r="H6746" t="s">
        <v>667</v>
      </c>
      <c r="I6746" t="s">
        <v>29</v>
      </c>
      <c r="J6746">
        <v>1</v>
      </c>
      <c r="K6746">
        <f>1-888-339-2373</f>
        <v>-3599</v>
      </c>
      <c r="L6746" t="s">
        <v>21148</v>
      </c>
      <c r="M6746" t="s">
        <v>21149</v>
      </c>
      <c r="N6746">
        <v>23</v>
      </c>
      <c r="O6746" t="s">
        <v>134</v>
      </c>
      <c r="P6746" t="s">
        <v>29</v>
      </c>
      <c r="Q6746">
        <v>37</v>
      </c>
      <c r="R6746">
        <v>-99.999999000000003</v>
      </c>
    </row>
    <row r="6747" spans="1:18" x14ac:dyDescent="0.2">
      <c r="A6747" t="s">
        <v>663</v>
      </c>
      <c r="B6747" t="s">
        <v>1212</v>
      </c>
      <c r="C6747">
        <v>1</v>
      </c>
      <c r="D6747" s="1">
        <v>44113.808993055558</v>
      </c>
      <c r="E6747" t="s">
        <v>21150</v>
      </c>
      <c r="F6747" t="s">
        <v>666</v>
      </c>
      <c r="G6747" t="s">
        <v>21150</v>
      </c>
      <c r="H6747" t="s">
        <v>667</v>
      </c>
      <c r="I6747" t="s">
        <v>29</v>
      </c>
      <c r="J6747">
        <v>1</v>
      </c>
      <c r="K6747">
        <f>1-877-595-1337</f>
        <v>-2808</v>
      </c>
      <c r="L6747" t="s">
        <v>21151</v>
      </c>
      <c r="M6747" t="s">
        <v>21152</v>
      </c>
      <c r="N6747">
        <v>17</v>
      </c>
      <c r="O6747" t="s">
        <v>134</v>
      </c>
      <c r="P6747" t="s">
        <v>618</v>
      </c>
      <c r="Q6747">
        <v>52</v>
      </c>
      <c r="R6747">
        <v>-0.62150000000000005</v>
      </c>
    </row>
    <row r="6748" spans="1:18" x14ac:dyDescent="0.2">
      <c r="A6748" t="s">
        <v>439</v>
      </c>
      <c r="B6748" t="s">
        <v>3094</v>
      </c>
      <c r="C6748">
        <v>1</v>
      </c>
      <c r="D6748" s="1">
        <v>44113.810902777775</v>
      </c>
      <c r="E6748" t="s">
        <v>21153</v>
      </c>
      <c r="F6748" t="s">
        <v>442</v>
      </c>
      <c r="G6748" t="s">
        <v>21154</v>
      </c>
      <c r="H6748" t="s">
        <v>444</v>
      </c>
      <c r="I6748" t="s">
        <v>29</v>
      </c>
      <c r="J6748">
        <v>1</v>
      </c>
      <c r="K6748">
        <f>1-888-342-7066</f>
        <v>-8295</v>
      </c>
      <c r="L6748" t="s">
        <v>21155</v>
      </c>
      <c r="M6748" t="s">
        <v>21156</v>
      </c>
      <c r="N6748" t="s">
        <v>1645</v>
      </c>
      <c r="O6748" t="s">
        <v>28</v>
      </c>
      <c r="P6748" t="s">
        <v>2268</v>
      </c>
      <c r="Q6748">
        <v>46</v>
      </c>
      <c r="R6748">
        <v>-73.567300000000003</v>
      </c>
    </row>
    <row r="6749" spans="1:18" x14ac:dyDescent="0.2">
      <c r="A6749" t="s">
        <v>663</v>
      </c>
      <c r="B6749" t="s">
        <v>664</v>
      </c>
      <c r="C6749">
        <v>1</v>
      </c>
      <c r="D6749" s="1">
        <v>44113.811516203707</v>
      </c>
      <c r="E6749" t="s">
        <v>21157</v>
      </c>
      <c r="F6749" t="s">
        <v>666</v>
      </c>
      <c r="G6749" t="s">
        <v>21157</v>
      </c>
      <c r="H6749" t="s">
        <v>667</v>
      </c>
      <c r="I6749" t="s">
        <v>29</v>
      </c>
      <c r="J6749">
        <v>1</v>
      </c>
      <c r="K6749">
        <f>1-888-364-2542</f>
        <v>-3793</v>
      </c>
      <c r="L6749" t="s">
        <v>21158</v>
      </c>
      <c r="M6749" t="s">
        <v>21159</v>
      </c>
      <c r="N6749">
        <v>166</v>
      </c>
      <c r="O6749" t="s">
        <v>134</v>
      </c>
      <c r="P6749" t="s">
        <v>29</v>
      </c>
      <c r="Q6749">
        <v>37</v>
      </c>
      <c r="R6749">
        <v>-99.999999000000003</v>
      </c>
    </row>
    <row r="6750" spans="1:18" x14ac:dyDescent="0.2">
      <c r="A6750" t="s">
        <v>663</v>
      </c>
      <c r="B6750" t="s">
        <v>664</v>
      </c>
      <c r="C6750">
        <v>1</v>
      </c>
      <c r="D6750" s="1">
        <v>44113.891064814816</v>
      </c>
      <c r="E6750" t="s">
        <v>21160</v>
      </c>
      <c r="F6750" t="s">
        <v>666</v>
      </c>
      <c r="G6750" t="s">
        <v>21160</v>
      </c>
      <c r="H6750" t="s">
        <v>667</v>
      </c>
      <c r="I6750" t="s">
        <v>29</v>
      </c>
      <c r="J6750">
        <v>1</v>
      </c>
      <c r="K6750">
        <f>1-888-308-4662</f>
        <v>-5857</v>
      </c>
      <c r="L6750" t="s">
        <v>21161</v>
      </c>
      <c r="M6750" t="s">
        <v>21162</v>
      </c>
      <c r="N6750">
        <v>65</v>
      </c>
      <c r="O6750" t="s">
        <v>134</v>
      </c>
      <c r="P6750" t="s">
        <v>29</v>
      </c>
      <c r="Q6750">
        <v>37</v>
      </c>
      <c r="R6750">
        <v>-99.999999000000003</v>
      </c>
    </row>
    <row r="6751" spans="1:18" x14ac:dyDescent="0.2">
      <c r="A6751" t="s">
        <v>663</v>
      </c>
      <c r="B6751" t="s">
        <v>664</v>
      </c>
      <c r="C6751">
        <v>1</v>
      </c>
      <c r="D6751" s="1">
        <v>44114.835023148145</v>
      </c>
      <c r="E6751" t="s">
        <v>21163</v>
      </c>
      <c r="F6751" t="s">
        <v>666</v>
      </c>
      <c r="G6751" t="s">
        <v>21163</v>
      </c>
      <c r="H6751" t="s">
        <v>667</v>
      </c>
      <c r="I6751" t="s">
        <v>29</v>
      </c>
      <c r="J6751">
        <v>1</v>
      </c>
      <c r="K6751">
        <f>1-888-340-5158</f>
        <v>-6385</v>
      </c>
      <c r="L6751" t="s">
        <v>21164</v>
      </c>
      <c r="M6751" t="s">
        <v>21165</v>
      </c>
      <c r="N6751">
        <v>141</v>
      </c>
      <c r="O6751" t="s">
        <v>134</v>
      </c>
      <c r="P6751" t="s">
        <v>29</v>
      </c>
      <c r="Q6751">
        <v>37</v>
      </c>
      <c r="R6751">
        <v>-99.999999000000003</v>
      </c>
    </row>
    <row r="6752" spans="1:18" x14ac:dyDescent="0.2">
      <c r="A6752" t="s">
        <v>663</v>
      </c>
      <c r="B6752" t="s">
        <v>664</v>
      </c>
      <c r="C6752">
        <v>1</v>
      </c>
      <c r="D6752" s="1">
        <v>44114.878425925926</v>
      </c>
      <c r="E6752" t="s">
        <v>21166</v>
      </c>
      <c r="F6752" t="s">
        <v>666</v>
      </c>
      <c r="G6752" t="s">
        <v>21166</v>
      </c>
      <c r="H6752" t="s">
        <v>667</v>
      </c>
      <c r="I6752" t="s">
        <v>29</v>
      </c>
      <c r="J6752">
        <v>1</v>
      </c>
      <c r="K6752">
        <f>1-888-356-588</f>
        <v>-1831</v>
      </c>
      <c r="L6752" t="s">
        <v>21167</v>
      </c>
      <c r="M6752" t="s">
        <v>21168</v>
      </c>
      <c r="N6752">
        <v>12</v>
      </c>
      <c r="O6752" t="s">
        <v>134</v>
      </c>
      <c r="P6752" t="s">
        <v>29</v>
      </c>
      <c r="Q6752">
        <v>37</v>
      </c>
      <c r="R6752">
        <v>-99.999999000000003</v>
      </c>
    </row>
    <row r="6753" spans="1:18" x14ac:dyDescent="0.2">
      <c r="A6753" t="s">
        <v>439</v>
      </c>
      <c r="B6753" t="s">
        <v>3094</v>
      </c>
      <c r="C6753">
        <v>1</v>
      </c>
      <c r="D6753" s="1">
        <v>44113.902013888888</v>
      </c>
      <c r="E6753" t="s">
        <v>21169</v>
      </c>
      <c r="F6753" t="s">
        <v>442</v>
      </c>
      <c r="G6753" t="s">
        <v>21170</v>
      </c>
      <c r="H6753" t="s">
        <v>444</v>
      </c>
      <c r="I6753" t="s">
        <v>29</v>
      </c>
      <c r="J6753">
        <v>1</v>
      </c>
      <c r="K6753">
        <f>1-888-308-1629</f>
        <v>-2824</v>
      </c>
      <c r="L6753" t="s">
        <v>21171</v>
      </c>
      <c r="M6753" t="s">
        <v>21172</v>
      </c>
      <c r="N6753" t="s">
        <v>5354</v>
      </c>
      <c r="O6753" t="s">
        <v>28</v>
      </c>
      <c r="P6753" t="s">
        <v>2268</v>
      </c>
      <c r="Q6753">
        <v>46</v>
      </c>
      <c r="R6753">
        <v>-73.567300000000003</v>
      </c>
    </row>
    <row r="6754" spans="1:18" x14ac:dyDescent="0.2">
      <c r="A6754" t="s">
        <v>663</v>
      </c>
      <c r="B6754" t="s">
        <v>664</v>
      </c>
      <c r="C6754">
        <v>1</v>
      </c>
      <c r="D6754" s="1">
        <v>44114.900960648149</v>
      </c>
      <c r="E6754" t="s">
        <v>21173</v>
      </c>
      <c r="F6754" t="s">
        <v>2495</v>
      </c>
      <c r="G6754" t="s">
        <v>21173</v>
      </c>
      <c r="H6754" t="s">
        <v>667</v>
      </c>
      <c r="I6754" t="s">
        <v>29</v>
      </c>
      <c r="J6754">
        <v>1</v>
      </c>
      <c r="K6754">
        <f>1-888-348-8166</f>
        <v>-9401</v>
      </c>
      <c r="L6754" t="s">
        <v>21174</v>
      </c>
      <c r="M6754" t="s">
        <v>21175</v>
      </c>
      <c r="N6754">
        <v>45</v>
      </c>
      <c r="O6754" t="s">
        <v>134</v>
      </c>
      <c r="P6754" t="s">
        <v>29</v>
      </c>
      <c r="Q6754">
        <v>37</v>
      </c>
      <c r="R6754">
        <v>-99.999999000000003</v>
      </c>
    </row>
    <row r="6755" spans="1:18" x14ac:dyDescent="0.2">
      <c r="A6755" t="s">
        <v>439</v>
      </c>
      <c r="B6755" t="s">
        <v>3094</v>
      </c>
      <c r="C6755">
        <v>1</v>
      </c>
      <c r="D6755" s="1">
        <v>44114.917442129627</v>
      </c>
      <c r="E6755" t="s">
        <v>21176</v>
      </c>
      <c r="F6755" t="s">
        <v>442</v>
      </c>
      <c r="G6755" t="s">
        <v>21177</v>
      </c>
      <c r="H6755" t="s">
        <v>444</v>
      </c>
      <c r="I6755" t="s">
        <v>29</v>
      </c>
      <c r="J6755">
        <v>1</v>
      </c>
      <c r="K6755">
        <f>1-888-536-6507</f>
        <v>-7930</v>
      </c>
      <c r="L6755" t="s">
        <v>21178</v>
      </c>
      <c r="M6755" t="s">
        <v>21179</v>
      </c>
      <c r="N6755" t="s">
        <v>36</v>
      </c>
      <c r="O6755" t="s">
        <v>28</v>
      </c>
      <c r="P6755" t="s">
        <v>2268</v>
      </c>
      <c r="Q6755">
        <v>46</v>
      </c>
      <c r="R6755">
        <v>-73.567300000000003</v>
      </c>
    </row>
    <row r="6756" spans="1:18" x14ac:dyDescent="0.2">
      <c r="A6756" t="s">
        <v>439</v>
      </c>
      <c r="B6756" t="s">
        <v>3094</v>
      </c>
      <c r="C6756">
        <v>1</v>
      </c>
      <c r="D6756" s="1">
        <v>44114.953159722223</v>
      </c>
      <c r="E6756" t="s">
        <v>21180</v>
      </c>
      <c r="F6756" t="s">
        <v>442</v>
      </c>
      <c r="G6756" t="s">
        <v>21181</v>
      </c>
      <c r="H6756" t="s">
        <v>444</v>
      </c>
      <c r="I6756" t="s">
        <v>29</v>
      </c>
      <c r="J6756">
        <v>1</v>
      </c>
      <c r="K6756">
        <f>1-888-307-3621</f>
        <v>-4815</v>
      </c>
      <c r="L6756" t="s">
        <v>21182</v>
      </c>
      <c r="M6756" t="s">
        <v>21183</v>
      </c>
      <c r="N6756" t="s">
        <v>2475</v>
      </c>
      <c r="O6756" t="s">
        <v>28</v>
      </c>
      <c r="P6756" t="s">
        <v>2268</v>
      </c>
      <c r="Q6756">
        <v>46</v>
      </c>
      <c r="R6756">
        <v>-73.567300000000003</v>
      </c>
    </row>
    <row r="6757" spans="1:18" x14ac:dyDescent="0.2">
      <c r="A6757" t="s">
        <v>439</v>
      </c>
      <c r="B6757" t="s">
        <v>3094</v>
      </c>
      <c r="C6757">
        <v>1</v>
      </c>
      <c r="D6757" s="1">
        <v>44114.966053240743</v>
      </c>
      <c r="E6757" t="s">
        <v>21184</v>
      </c>
      <c r="F6757" t="s">
        <v>442</v>
      </c>
      <c r="G6757" t="s">
        <v>21185</v>
      </c>
      <c r="H6757" t="s">
        <v>444</v>
      </c>
      <c r="I6757" t="s">
        <v>29</v>
      </c>
      <c r="J6757">
        <v>1</v>
      </c>
      <c r="K6757">
        <f>1-888-342-8068</f>
        <v>-9297</v>
      </c>
      <c r="L6757" t="s">
        <v>21186</v>
      </c>
      <c r="M6757" t="s">
        <v>21187</v>
      </c>
      <c r="N6757" t="s">
        <v>2475</v>
      </c>
      <c r="O6757" t="s">
        <v>28</v>
      </c>
      <c r="P6757" t="s">
        <v>2268</v>
      </c>
      <c r="Q6757">
        <v>46</v>
      </c>
      <c r="R6757">
        <v>-73.567300000000003</v>
      </c>
    </row>
    <row r="6758" spans="1:18" x14ac:dyDescent="0.2">
      <c r="A6758" t="s">
        <v>663</v>
      </c>
      <c r="B6758" t="s">
        <v>664</v>
      </c>
      <c r="C6758">
        <v>1</v>
      </c>
      <c r="D6758" s="1">
        <v>44114.969444444447</v>
      </c>
      <c r="E6758" t="s">
        <v>21188</v>
      </c>
      <c r="F6758" t="s">
        <v>666</v>
      </c>
      <c r="G6758" t="s">
        <v>21188</v>
      </c>
      <c r="H6758" t="s">
        <v>667</v>
      </c>
      <c r="I6758" t="s">
        <v>29</v>
      </c>
      <c r="J6758">
        <v>1</v>
      </c>
      <c r="K6758">
        <f>1-888-351-6137</f>
        <v>-7375</v>
      </c>
      <c r="L6758" t="s">
        <v>21189</v>
      </c>
      <c r="M6758" t="s">
        <v>21190</v>
      </c>
      <c r="N6758">
        <v>12</v>
      </c>
      <c r="O6758" t="s">
        <v>134</v>
      </c>
      <c r="P6758" t="s">
        <v>29</v>
      </c>
      <c r="Q6758">
        <v>37</v>
      </c>
      <c r="R6758">
        <v>-99.999999000000003</v>
      </c>
    </row>
    <row r="6759" spans="1:18" x14ac:dyDescent="0.2">
      <c r="A6759" t="s">
        <v>663</v>
      </c>
      <c r="B6759" t="s">
        <v>664</v>
      </c>
      <c r="C6759">
        <v>1</v>
      </c>
      <c r="D6759" s="1">
        <v>44115.006377314814</v>
      </c>
      <c r="E6759" t="s">
        <v>21191</v>
      </c>
      <c r="F6759" t="s">
        <v>666</v>
      </c>
      <c r="G6759" t="s">
        <v>21191</v>
      </c>
      <c r="H6759" t="s">
        <v>667</v>
      </c>
      <c r="I6759" t="s">
        <v>29</v>
      </c>
      <c r="J6759">
        <v>1</v>
      </c>
      <c r="K6759">
        <f>1-888-348-4922</f>
        <v>-6157</v>
      </c>
      <c r="L6759" t="s">
        <v>21192</v>
      </c>
      <c r="M6759" t="s">
        <v>21193</v>
      </c>
      <c r="N6759">
        <v>116</v>
      </c>
      <c r="O6759" t="s">
        <v>134</v>
      </c>
      <c r="P6759" t="s">
        <v>29</v>
      </c>
      <c r="Q6759">
        <v>37</v>
      </c>
      <c r="R6759">
        <v>-99.999999000000003</v>
      </c>
    </row>
    <row r="6760" spans="1:18" x14ac:dyDescent="0.2">
      <c r="A6760" t="s">
        <v>439</v>
      </c>
      <c r="B6760" t="s">
        <v>3094</v>
      </c>
      <c r="C6760">
        <v>1</v>
      </c>
      <c r="D6760" s="1">
        <v>44115.72625</v>
      </c>
      <c r="E6760" t="s">
        <v>21184</v>
      </c>
      <c r="F6760" t="s">
        <v>442</v>
      </c>
      <c r="G6760" t="s">
        <v>21194</v>
      </c>
      <c r="H6760" t="s">
        <v>444</v>
      </c>
      <c r="I6760" t="s">
        <v>29</v>
      </c>
      <c r="J6760">
        <v>1</v>
      </c>
      <c r="K6760">
        <f>1-888-307-3621</f>
        <v>-4815</v>
      </c>
      <c r="L6760" t="s">
        <v>21195</v>
      </c>
      <c r="M6760" t="s">
        <v>21196</v>
      </c>
      <c r="N6760" t="s">
        <v>2475</v>
      </c>
      <c r="O6760" t="s">
        <v>28</v>
      </c>
      <c r="P6760" t="s">
        <v>2268</v>
      </c>
      <c r="Q6760">
        <v>46</v>
      </c>
      <c r="R6760">
        <v>-73.567300000000003</v>
      </c>
    </row>
    <row r="6761" spans="1:18" x14ac:dyDescent="0.2">
      <c r="A6761" t="s">
        <v>663</v>
      </c>
      <c r="B6761" t="s">
        <v>664</v>
      </c>
      <c r="C6761">
        <v>1</v>
      </c>
      <c r="D6761" s="1">
        <v>44115.743449074071</v>
      </c>
      <c r="E6761" t="s">
        <v>21197</v>
      </c>
      <c r="F6761" t="s">
        <v>666</v>
      </c>
      <c r="G6761" t="s">
        <v>21197</v>
      </c>
      <c r="H6761" t="s">
        <v>667</v>
      </c>
      <c r="I6761" t="s">
        <v>29</v>
      </c>
      <c r="J6761">
        <v>1</v>
      </c>
      <c r="K6761">
        <f>1-888-307-4692</f>
        <v>-5886</v>
      </c>
      <c r="L6761" t="s">
        <v>21198</v>
      </c>
      <c r="M6761" t="s">
        <v>21199</v>
      </c>
      <c r="N6761">
        <v>250</v>
      </c>
      <c r="O6761" t="s">
        <v>134</v>
      </c>
      <c r="P6761" t="s">
        <v>29</v>
      </c>
      <c r="Q6761">
        <v>37</v>
      </c>
      <c r="R6761">
        <v>-99.999999000000003</v>
      </c>
    </row>
    <row r="6762" spans="1:18" x14ac:dyDescent="0.2">
      <c r="A6762" t="s">
        <v>663</v>
      </c>
      <c r="B6762" t="s">
        <v>664</v>
      </c>
      <c r="C6762">
        <v>1</v>
      </c>
      <c r="D6762" s="1">
        <v>44115.742638888885</v>
      </c>
      <c r="E6762" t="s">
        <v>21197</v>
      </c>
      <c r="F6762" t="s">
        <v>666</v>
      </c>
      <c r="G6762" t="s">
        <v>21197</v>
      </c>
      <c r="H6762" t="s">
        <v>667</v>
      </c>
      <c r="I6762" t="s">
        <v>29</v>
      </c>
      <c r="J6762">
        <v>1</v>
      </c>
      <c r="K6762">
        <f>1-888-323-5158</f>
        <v>-6368</v>
      </c>
      <c r="L6762" t="s">
        <v>21200</v>
      </c>
      <c r="M6762" t="s">
        <v>21201</v>
      </c>
      <c r="N6762">
        <v>250</v>
      </c>
      <c r="O6762" t="s">
        <v>134</v>
      </c>
      <c r="P6762" t="s">
        <v>29</v>
      </c>
      <c r="Q6762">
        <v>37</v>
      </c>
      <c r="R6762">
        <v>-99.999999000000003</v>
      </c>
    </row>
    <row r="6763" spans="1:18" x14ac:dyDescent="0.2">
      <c r="A6763" t="s">
        <v>663</v>
      </c>
      <c r="B6763" t="s">
        <v>664</v>
      </c>
      <c r="C6763">
        <v>1</v>
      </c>
      <c r="D6763" s="1">
        <v>44115.790092592593</v>
      </c>
      <c r="E6763" t="s">
        <v>21202</v>
      </c>
      <c r="F6763" t="s">
        <v>666</v>
      </c>
      <c r="G6763" t="s">
        <v>21203</v>
      </c>
      <c r="H6763" t="s">
        <v>667</v>
      </c>
      <c r="I6763" t="s">
        <v>29</v>
      </c>
      <c r="J6763">
        <v>1</v>
      </c>
      <c r="K6763">
        <f>1-855-935-5049</f>
        <v>-6838</v>
      </c>
      <c r="L6763" t="s">
        <v>21204</v>
      </c>
      <c r="M6763" t="s">
        <v>21205</v>
      </c>
      <c r="N6763" t="s">
        <v>36</v>
      </c>
      <c r="O6763" t="s">
        <v>28</v>
      </c>
      <c r="P6763" t="s">
        <v>29</v>
      </c>
      <c r="Q6763">
        <v>37</v>
      </c>
      <c r="R6763">
        <v>-99.999999000000003</v>
      </c>
    </row>
    <row r="6764" spans="1:18" x14ac:dyDescent="0.2">
      <c r="A6764" t="s">
        <v>663</v>
      </c>
      <c r="B6764" t="s">
        <v>664</v>
      </c>
      <c r="C6764">
        <v>1</v>
      </c>
      <c r="D6764" s="1">
        <v>44115.790219907409</v>
      </c>
      <c r="E6764" t="s">
        <v>21206</v>
      </c>
      <c r="F6764" t="s">
        <v>666</v>
      </c>
      <c r="G6764" t="s">
        <v>21206</v>
      </c>
      <c r="H6764" t="s">
        <v>667</v>
      </c>
      <c r="I6764" t="s">
        <v>29</v>
      </c>
      <c r="J6764">
        <v>1</v>
      </c>
      <c r="K6764">
        <f>1-888-336-884</f>
        <v>-2107</v>
      </c>
      <c r="L6764" t="s">
        <v>21207</v>
      </c>
      <c r="M6764" t="s">
        <v>21208</v>
      </c>
      <c r="N6764">
        <v>71</v>
      </c>
      <c r="O6764" t="s">
        <v>134</v>
      </c>
      <c r="P6764" t="s">
        <v>29</v>
      </c>
      <c r="Q6764">
        <v>37</v>
      </c>
      <c r="R6764">
        <v>-99.999999000000003</v>
      </c>
    </row>
    <row r="6765" spans="1:18" x14ac:dyDescent="0.2">
      <c r="A6765" t="s">
        <v>663</v>
      </c>
      <c r="B6765" t="s">
        <v>664</v>
      </c>
      <c r="C6765">
        <v>1</v>
      </c>
      <c r="D6765" s="1">
        <v>44115.821886574071</v>
      </c>
      <c r="E6765" t="s">
        <v>21209</v>
      </c>
      <c r="F6765" t="s">
        <v>666</v>
      </c>
      <c r="G6765" t="s">
        <v>21209</v>
      </c>
      <c r="H6765" t="s">
        <v>667</v>
      </c>
      <c r="I6765" t="s">
        <v>29</v>
      </c>
      <c r="J6765">
        <v>1</v>
      </c>
      <c r="K6765">
        <f>1-888-302-9374</f>
        <v>-10563</v>
      </c>
      <c r="L6765" t="s">
        <v>21210</v>
      </c>
      <c r="M6765" t="s">
        <v>21211</v>
      </c>
      <c r="N6765">
        <v>26</v>
      </c>
      <c r="O6765" t="s">
        <v>134</v>
      </c>
      <c r="P6765" t="s">
        <v>29</v>
      </c>
      <c r="Q6765">
        <v>37</v>
      </c>
      <c r="R6765">
        <v>-99.999999000000003</v>
      </c>
    </row>
    <row r="6766" spans="1:18" x14ac:dyDescent="0.2">
      <c r="A6766" t="s">
        <v>663</v>
      </c>
      <c r="B6766" t="s">
        <v>664</v>
      </c>
      <c r="C6766">
        <v>1</v>
      </c>
      <c r="D6766" s="1">
        <v>44115.955868055556</v>
      </c>
      <c r="E6766" t="s">
        <v>21212</v>
      </c>
      <c r="F6766" t="s">
        <v>666</v>
      </c>
      <c r="G6766" t="s">
        <v>21213</v>
      </c>
      <c r="H6766" t="s">
        <v>667</v>
      </c>
      <c r="I6766" t="s">
        <v>29</v>
      </c>
      <c r="J6766">
        <v>1</v>
      </c>
      <c r="K6766">
        <f>1-855-503-429</f>
        <v>-1786</v>
      </c>
      <c r="L6766" t="s">
        <v>21214</v>
      </c>
      <c r="M6766" t="s">
        <v>21215</v>
      </c>
      <c r="N6766" t="s">
        <v>36</v>
      </c>
      <c r="O6766" t="s">
        <v>28</v>
      </c>
      <c r="P6766" t="s">
        <v>29</v>
      </c>
      <c r="Q6766">
        <v>37</v>
      </c>
      <c r="R6766">
        <v>-99.999999000000003</v>
      </c>
    </row>
    <row r="6767" spans="1:18" x14ac:dyDescent="0.2">
      <c r="A6767" t="s">
        <v>663</v>
      </c>
      <c r="B6767" t="s">
        <v>3245</v>
      </c>
      <c r="C6767">
        <v>1</v>
      </c>
      <c r="D6767" s="1">
        <v>44115.968611111108</v>
      </c>
      <c r="E6767" t="s">
        <v>21216</v>
      </c>
      <c r="F6767" t="s">
        <v>666</v>
      </c>
      <c r="G6767" t="s">
        <v>21217</v>
      </c>
      <c r="H6767" t="s">
        <v>667</v>
      </c>
      <c r="I6767" t="s">
        <v>29</v>
      </c>
      <c r="J6767">
        <v>1</v>
      </c>
      <c r="K6767">
        <f>1-855-420-2448</f>
        <v>-3722</v>
      </c>
      <c r="L6767" t="s">
        <v>21218</v>
      </c>
      <c r="M6767" t="s">
        <v>21219</v>
      </c>
      <c r="N6767" t="s">
        <v>36</v>
      </c>
      <c r="O6767" t="s">
        <v>28</v>
      </c>
      <c r="P6767" t="s">
        <v>29</v>
      </c>
      <c r="Q6767">
        <v>41</v>
      </c>
      <c r="R6767">
        <v>-74.140299999999996</v>
      </c>
    </row>
    <row r="6768" spans="1:18" x14ac:dyDescent="0.2">
      <c r="A6768" t="s">
        <v>2349</v>
      </c>
      <c r="B6768" t="s">
        <v>10634</v>
      </c>
      <c r="C6768">
        <v>49</v>
      </c>
      <c r="D6768" s="1">
        <v>44116.471875000003</v>
      </c>
      <c r="E6768" t="s">
        <v>21220</v>
      </c>
      <c r="F6768" t="s">
        <v>4584</v>
      </c>
      <c r="G6768" t="s">
        <v>21220</v>
      </c>
      <c r="H6768" t="s">
        <v>2353</v>
      </c>
      <c r="I6768" t="s">
        <v>24</v>
      </c>
      <c r="J6768">
        <v>49</v>
      </c>
      <c r="K6768">
        <f>49-800-184-4594</f>
        <v>-5529</v>
      </c>
      <c r="L6768" t="s">
        <v>21221</v>
      </c>
      <c r="M6768" t="s">
        <v>21222</v>
      </c>
      <c r="N6768">
        <v>212</v>
      </c>
      <c r="O6768" t="s">
        <v>134</v>
      </c>
      <c r="P6768" t="s">
        <v>292</v>
      </c>
      <c r="Q6768">
        <v>49</v>
      </c>
      <c r="R6768">
        <v>2.3868999999999998</v>
      </c>
    </row>
    <row r="6769" spans="1:18" x14ac:dyDescent="0.2">
      <c r="A6769" t="s">
        <v>2233</v>
      </c>
      <c r="B6769" t="s">
        <v>1638</v>
      </c>
      <c r="C6769">
        <v>49</v>
      </c>
      <c r="D6769" s="1">
        <v>44116.473414351851</v>
      </c>
      <c r="E6769" t="s">
        <v>21223</v>
      </c>
      <c r="F6769" t="s">
        <v>2236</v>
      </c>
      <c r="G6769" t="s">
        <v>21224</v>
      </c>
      <c r="H6769" t="s">
        <v>2237</v>
      </c>
      <c r="I6769" t="s">
        <v>24</v>
      </c>
      <c r="J6769">
        <v>49</v>
      </c>
      <c r="K6769">
        <f>49-32-212-290-229</f>
        <v>-714</v>
      </c>
      <c r="L6769" t="s">
        <v>21225</v>
      </c>
      <c r="M6769" t="s">
        <v>21226</v>
      </c>
      <c r="N6769" t="s">
        <v>278</v>
      </c>
      <c r="O6769" t="s">
        <v>28</v>
      </c>
      <c r="P6769" t="s">
        <v>292</v>
      </c>
      <c r="Q6769">
        <v>49</v>
      </c>
      <c r="R6769">
        <v>2.35222</v>
      </c>
    </row>
    <row r="6770" spans="1:18" x14ac:dyDescent="0.2">
      <c r="A6770" t="s">
        <v>2233</v>
      </c>
      <c r="B6770" t="s">
        <v>2234</v>
      </c>
      <c r="C6770">
        <v>41</v>
      </c>
      <c r="D6770" s="1">
        <v>44116.551446759258</v>
      </c>
      <c r="E6770" t="s">
        <v>21227</v>
      </c>
      <c r="F6770" t="s">
        <v>7023</v>
      </c>
      <c r="G6770" t="s">
        <v>21227</v>
      </c>
      <c r="H6770" t="s">
        <v>2237</v>
      </c>
      <c r="I6770" t="s">
        <v>204</v>
      </c>
      <c r="J6770">
        <v>41</v>
      </c>
      <c r="K6770">
        <f>41-44-586-25-7</f>
        <v>-621</v>
      </c>
      <c r="L6770" t="s">
        <v>21228</v>
      </c>
      <c r="M6770" t="s">
        <v>21229</v>
      </c>
      <c r="N6770">
        <v>43</v>
      </c>
      <c r="O6770" t="s">
        <v>134</v>
      </c>
      <c r="P6770" t="s">
        <v>6188</v>
      </c>
      <c r="Q6770">
        <v>53</v>
      </c>
      <c r="R6770">
        <v>-6.2603099999999996</v>
      </c>
    </row>
    <row r="6771" spans="1:18" x14ac:dyDescent="0.2">
      <c r="A6771" t="s">
        <v>439</v>
      </c>
      <c r="B6771" t="s">
        <v>4321</v>
      </c>
      <c r="C6771">
        <v>1</v>
      </c>
      <c r="D6771" s="1">
        <v>44117.760150462964</v>
      </c>
      <c r="E6771" t="s">
        <v>21230</v>
      </c>
      <c r="F6771" t="s">
        <v>442</v>
      </c>
      <c r="G6771" t="s">
        <v>21231</v>
      </c>
      <c r="H6771" t="s">
        <v>444</v>
      </c>
      <c r="I6771" t="s">
        <v>29</v>
      </c>
      <c r="J6771">
        <v>1</v>
      </c>
      <c r="K6771">
        <f>1-888-342-7353</f>
        <v>-8582</v>
      </c>
      <c r="L6771" t="s">
        <v>21232</v>
      </c>
      <c r="M6771" t="s">
        <v>21233</v>
      </c>
      <c r="N6771" t="s">
        <v>5354</v>
      </c>
      <c r="O6771" t="s">
        <v>28</v>
      </c>
      <c r="P6771" t="s">
        <v>29</v>
      </c>
      <c r="Q6771">
        <v>42</v>
      </c>
      <c r="R6771">
        <v>-87.629800000000003</v>
      </c>
    </row>
    <row r="6772" spans="1:18" x14ac:dyDescent="0.2">
      <c r="A6772" t="s">
        <v>439</v>
      </c>
      <c r="B6772" t="s">
        <v>4321</v>
      </c>
      <c r="C6772">
        <v>1</v>
      </c>
      <c r="D6772" s="1">
        <v>44117.748657407406</v>
      </c>
      <c r="E6772" t="s">
        <v>21230</v>
      </c>
      <c r="F6772" t="s">
        <v>442</v>
      </c>
      <c r="G6772" t="s">
        <v>21231</v>
      </c>
      <c r="H6772" t="s">
        <v>444</v>
      </c>
      <c r="I6772" t="s">
        <v>29</v>
      </c>
      <c r="J6772">
        <v>1</v>
      </c>
      <c r="K6772">
        <f>1-888-336-9715</f>
        <v>-10938</v>
      </c>
      <c r="L6772" t="s">
        <v>21234</v>
      </c>
      <c r="M6772" t="s">
        <v>21235</v>
      </c>
      <c r="N6772" t="s">
        <v>5354</v>
      </c>
      <c r="O6772" t="s">
        <v>28</v>
      </c>
      <c r="P6772" t="s">
        <v>29</v>
      </c>
      <c r="Q6772">
        <v>42</v>
      </c>
      <c r="R6772">
        <v>-87.629800000000003</v>
      </c>
    </row>
    <row r="6773" spans="1:18" x14ac:dyDescent="0.2">
      <c r="A6773" t="s">
        <v>663</v>
      </c>
      <c r="B6773" t="s">
        <v>664</v>
      </c>
      <c r="C6773">
        <v>1</v>
      </c>
      <c r="D6773" s="1">
        <v>44116.791747685187</v>
      </c>
      <c r="E6773" t="s">
        <v>21236</v>
      </c>
      <c r="F6773" t="s">
        <v>666</v>
      </c>
      <c r="G6773" t="s">
        <v>21236</v>
      </c>
      <c r="H6773" t="s">
        <v>667</v>
      </c>
      <c r="I6773" t="s">
        <v>29</v>
      </c>
      <c r="J6773">
        <v>1</v>
      </c>
      <c r="K6773">
        <f>1-888-298-479</f>
        <v>-1664</v>
      </c>
      <c r="L6773" t="s">
        <v>21237</v>
      </c>
      <c r="M6773" t="s">
        <v>21238</v>
      </c>
      <c r="N6773">
        <v>13</v>
      </c>
      <c r="O6773" t="s">
        <v>134</v>
      </c>
      <c r="P6773" t="s">
        <v>29</v>
      </c>
      <c r="Q6773">
        <v>37</v>
      </c>
      <c r="R6773">
        <v>-99.999999000000003</v>
      </c>
    </row>
    <row r="6774" spans="1:18" x14ac:dyDescent="0.2">
      <c r="A6774" t="s">
        <v>439</v>
      </c>
      <c r="B6774" t="s">
        <v>3094</v>
      </c>
      <c r="C6774">
        <v>1</v>
      </c>
      <c r="D6774" s="1">
        <v>44117.713090277779</v>
      </c>
      <c r="E6774" t="s">
        <v>21239</v>
      </c>
      <c r="F6774" t="s">
        <v>442</v>
      </c>
      <c r="G6774" t="s">
        <v>21240</v>
      </c>
      <c r="H6774" t="s">
        <v>444</v>
      </c>
      <c r="I6774" t="s">
        <v>29</v>
      </c>
      <c r="J6774">
        <v>1</v>
      </c>
      <c r="K6774">
        <f>1-888-341-754</f>
        <v>-1982</v>
      </c>
      <c r="L6774" t="s">
        <v>21241</v>
      </c>
      <c r="M6774" t="s">
        <v>21242</v>
      </c>
      <c r="N6774" t="s">
        <v>1645</v>
      </c>
      <c r="O6774" t="s">
        <v>28</v>
      </c>
      <c r="P6774" t="s">
        <v>2268</v>
      </c>
      <c r="Q6774">
        <v>46</v>
      </c>
      <c r="R6774">
        <v>-73.567300000000003</v>
      </c>
    </row>
    <row r="6775" spans="1:18" x14ac:dyDescent="0.2">
      <c r="A6775" t="s">
        <v>439</v>
      </c>
      <c r="B6775" t="s">
        <v>3094</v>
      </c>
      <c r="C6775">
        <v>1</v>
      </c>
      <c r="D6775" s="1">
        <v>44117.630752314813</v>
      </c>
      <c r="E6775" t="s">
        <v>21243</v>
      </c>
      <c r="F6775" t="s">
        <v>442</v>
      </c>
      <c r="G6775" t="s">
        <v>21244</v>
      </c>
      <c r="H6775" t="s">
        <v>444</v>
      </c>
      <c r="I6775" t="s">
        <v>29</v>
      </c>
      <c r="J6775">
        <v>1</v>
      </c>
      <c r="K6775">
        <f>1-888-346-5920</f>
        <v>-7153</v>
      </c>
      <c r="L6775" t="s">
        <v>21245</v>
      </c>
      <c r="M6775" t="s">
        <v>21246</v>
      </c>
      <c r="N6775" t="s">
        <v>6172</v>
      </c>
      <c r="O6775" t="s">
        <v>28</v>
      </c>
      <c r="P6775" t="s">
        <v>2268</v>
      </c>
      <c r="Q6775">
        <v>46</v>
      </c>
      <c r="R6775">
        <v>-73.567300000000003</v>
      </c>
    </row>
    <row r="6776" spans="1:18" x14ac:dyDescent="0.2">
      <c r="A6776" t="s">
        <v>663</v>
      </c>
      <c r="B6776" t="s">
        <v>664</v>
      </c>
      <c r="C6776">
        <v>1</v>
      </c>
      <c r="D6776" s="1">
        <v>44117.029247685183</v>
      </c>
      <c r="E6776" t="s">
        <v>21247</v>
      </c>
      <c r="F6776" t="s">
        <v>666</v>
      </c>
      <c r="G6776" t="s">
        <v>21247</v>
      </c>
      <c r="H6776" t="s">
        <v>667</v>
      </c>
      <c r="I6776" t="s">
        <v>29</v>
      </c>
      <c r="J6776">
        <v>1</v>
      </c>
      <c r="K6776">
        <f>1-888-350-4018</f>
        <v>-5255</v>
      </c>
      <c r="L6776" t="s">
        <v>21248</v>
      </c>
      <c r="M6776" t="s">
        <v>21249</v>
      </c>
      <c r="N6776">
        <v>221</v>
      </c>
      <c r="O6776" t="s">
        <v>134</v>
      </c>
      <c r="P6776" t="s">
        <v>29</v>
      </c>
      <c r="Q6776">
        <v>37</v>
      </c>
      <c r="R6776">
        <v>-99.999999000000003</v>
      </c>
    </row>
    <row r="6777" spans="1:18" x14ac:dyDescent="0.2">
      <c r="A6777" t="s">
        <v>663</v>
      </c>
      <c r="B6777" t="s">
        <v>664</v>
      </c>
      <c r="C6777">
        <v>1</v>
      </c>
      <c r="D6777" s="1">
        <v>44117.050567129627</v>
      </c>
      <c r="E6777" t="s">
        <v>21250</v>
      </c>
      <c r="F6777" t="s">
        <v>666</v>
      </c>
      <c r="G6777" t="s">
        <v>21250</v>
      </c>
      <c r="H6777" t="s">
        <v>667</v>
      </c>
      <c r="I6777" t="s">
        <v>29</v>
      </c>
      <c r="J6777">
        <v>1</v>
      </c>
      <c r="K6777">
        <f>1-888-380-8804</f>
        <v>-10071</v>
      </c>
      <c r="L6777" t="s">
        <v>21251</v>
      </c>
      <c r="M6777" t="s">
        <v>21252</v>
      </c>
      <c r="N6777">
        <v>203</v>
      </c>
      <c r="O6777" t="s">
        <v>134</v>
      </c>
      <c r="P6777" t="s">
        <v>29</v>
      </c>
      <c r="Q6777">
        <v>37</v>
      </c>
      <c r="R6777">
        <v>-99.999999000000003</v>
      </c>
    </row>
    <row r="6778" spans="1:18" x14ac:dyDescent="0.2">
      <c r="A6778" t="s">
        <v>663</v>
      </c>
      <c r="B6778" t="s">
        <v>664</v>
      </c>
      <c r="C6778">
        <v>1</v>
      </c>
      <c r="D6778" s="1">
        <v>44117.046064814815</v>
      </c>
      <c r="E6778" t="s">
        <v>21250</v>
      </c>
      <c r="F6778" t="s">
        <v>666</v>
      </c>
      <c r="G6778" t="s">
        <v>21250</v>
      </c>
      <c r="H6778" t="s">
        <v>667</v>
      </c>
      <c r="I6778" t="s">
        <v>29</v>
      </c>
      <c r="J6778">
        <v>1</v>
      </c>
      <c r="K6778">
        <f>1-888-354-6193</f>
        <v>-7434</v>
      </c>
      <c r="L6778" t="s">
        <v>21253</v>
      </c>
      <c r="M6778" t="s">
        <v>21254</v>
      </c>
      <c r="N6778">
        <v>203</v>
      </c>
      <c r="O6778" t="s">
        <v>134</v>
      </c>
      <c r="P6778" t="s">
        <v>29</v>
      </c>
      <c r="Q6778">
        <v>37</v>
      </c>
      <c r="R6778">
        <v>-99.999999000000003</v>
      </c>
    </row>
    <row r="6779" spans="1:18" x14ac:dyDescent="0.2">
      <c r="A6779" t="s">
        <v>2233</v>
      </c>
      <c r="B6779" t="s">
        <v>2234</v>
      </c>
      <c r="C6779">
        <v>1</v>
      </c>
      <c r="D6779" s="1">
        <v>44117.057858796295</v>
      </c>
      <c r="E6779" t="s">
        <v>21255</v>
      </c>
      <c r="F6779" t="s">
        <v>2236</v>
      </c>
      <c r="G6779" t="s">
        <v>21256</v>
      </c>
      <c r="H6779" t="s">
        <v>2237</v>
      </c>
      <c r="I6779" t="s">
        <v>29</v>
      </c>
      <c r="J6779">
        <v>1</v>
      </c>
      <c r="K6779">
        <f>1-888-381-4926</f>
        <v>-6194</v>
      </c>
      <c r="L6779" t="s">
        <v>21257</v>
      </c>
      <c r="M6779" t="s">
        <v>21258</v>
      </c>
      <c r="N6779" t="s">
        <v>6761</v>
      </c>
      <c r="O6779" t="s">
        <v>28</v>
      </c>
      <c r="P6779" t="s">
        <v>29</v>
      </c>
      <c r="Q6779">
        <v>40</v>
      </c>
      <c r="R6779">
        <v>-83.114099999999993</v>
      </c>
    </row>
    <row r="6780" spans="1:18" x14ac:dyDescent="0.2">
      <c r="A6780" t="s">
        <v>2225</v>
      </c>
      <c r="B6780" t="s">
        <v>2226</v>
      </c>
      <c r="C6780">
        <v>81</v>
      </c>
      <c r="D6780" s="1">
        <v>44117.396296296298</v>
      </c>
      <c r="E6780" t="s">
        <v>21259</v>
      </c>
      <c r="F6780" t="s">
        <v>2228</v>
      </c>
      <c r="G6780" t="s">
        <v>21260</v>
      </c>
      <c r="H6780" t="s">
        <v>2230</v>
      </c>
      <c r="I6780" t="s">
        <v>53</v>
      </c>
      <c r="J6780">
        <v>81</v>
      </c>
      <c r="K6780">
        <f>81-50-5539-7732</f>
        <v>-13240</v>
      </c>
      <c r="L6780" t="s">
        <v>21261</v>
      </c>
      <c r="M6780" t="s">
        <v>21262</v>
      </c>
      <c r="N6780" t="s">
        <v>2475</v>
      </c>
      <c r="O6780" t="s">
        <v>28</v>
      </c>
      <c r="P6780" t="s">
        <v>24</v>
      </c>
      <c r="Q6780">
        <v>50</v>
      </c>
      <c r="R6780">
        <v>12.365</v>
      </c>
    </row>
    <row r="6781" spans="1:18" x14ac:dyDescent="0.2">
      <c r="A6781" t="s">
        <v>1200</v>
      </c>
      <c r="B6781" t="s">
        <v>2500</v>
      </c>
      <c r="C6781">
        <v>1</v>
      </c>
      <c r="D6781" s="1">
        <v>44208.742361111108</v>
      </c>
      <c r="E6781" t="s">
        <v>21263</v>
      </c>
      <c r="F6781" t="s">
        <v>1203</v>
      </c>
      <c r="G6781" t="s">
        <v>21264</v>
      </c>
      <c r="H6781" t="s">
        <v>1205</v>
      </c>
      <c r="I6781" t="s">
        <v>29</v>
      </c>
      <c r="J6781">
        <v>1</v>
      </c>
      <c r="K6781">
        <f>1-888-307-8185</f>
        <v>-9379</v>
      </c>
      <c r="L6781" t="s">
        <v>21265</v>
      </c>
      <c r="M6781" t="s">
        <v>21266</v>
      </c>
      <c r="N6781" t="s">
        <v>452</v>
      </c>
      <c r="O6781" t="s">
        <v>134</v>
      </c>
      <c r="P6781" t="s">
        <v>2500</v>
      </c>
      <c r="Q6781">
        <v>1</v>
      </c>
      <c r="R6781">
        <v>99.999999000000003</v>
      </c>
    </row>
    <row r="6782" spans="1:18" x14ac:dyDescent="0.2">
      <c r="A6782" t="s">
        <v>1200</v>
      </c>
      <c r="B6782" t="s">
        <v>2500</v>
      </c>
      <c r="C6782">
        <v>1</v>
      </c>
      <c r="D6782" s="1">
        <v>44207.789884259262</v>
      </c>
      <c r="E6782" t="s">
        <v>21263</v>
      </c>
      <c r="F6782" t="s">
        <v>1203</v>
      </c>
      <c r="G6782" t="s">
        <v>21264</v>
      </c>
      <c r="H6782" t="s">
        <v>1205</v>
      </c>
      <c r="I6782" t="s">
        <v>29</v>
      </c>
      <c r="J6782">
        <v>1</v>
      </c>
      <c r="K6782">
        <f>1-833-220-3106</f>
        <v>-4158</v>
      </c>
      <c r="L6782" t="s">
        <v>21267</v>
      </c>
      <c r="M6782" t="s">
        <v>21268</v>
      </c>
      <c r="N6782" t="s">
        <v>452</v>
      </c>
      <c r="O6782" t="s">
        <v>134</v>
      </c>
      <c r="P6782" t="s">
        <v>2500</v>
      </c>
      <c r="Q6782">
        <v>1</v>
      </c>
      <c r="R6782">
        <v>99.999999000000003</v>
      </c>
    </row>
    <row r="6783" spans="1:18" x14ac:dyDescent="0.2">
      <c r="A6783" t="s">
        <v>1200</v>
      </c>
      <c r="B6783" t="s">
        <v>2500</v>
      </c>
      <c r="C6783">
        <v>1</v>
      </c>
      <c r="D6783" s="1">
        <v>44181.711689814816</v>
      </c>
      <c r="E6783" t="s">
        <v>21269</v>
      </c>
      <c r="F6783" t="s">
        <v>1203</v>
      </c>
      <c r="G6783" t="s">
        <v>21264</v>
      </c>
      <c r="H6783" t="s">
        <v>1205</v>
      </c>
      <c r="I6783" t="s">
        <v>29</v>
      </c>
      <c r="J6783">
        <v>1</v>
      </c>
      <c r="K6783">
        <f>1-833-220-3898</f>
        <v>-4950</v>
      </c>
      <c r="L6783" t="s">
        <v>21270</v>
      </c>
      <c r="M6783" t="s">
        <v>21271</v>
      </c>
      <c r="N6783" t="s">
        <v>213</v>
      </c>
      <c r="O6783" t="s">
        <v>134</v>
      </c>
      <c r="P6783" t="s">
        <v>2500</v>
      </c>
      <c r="Q6783">
        <v>1</v>
      </c>
      <c r="R6783">
        <v>99.999999000000003</v>
      </c>
    </row>
    <row r="6784" spans="1:18" x14ac:dyDescent="0.2">
      <c r="A6784" t="s">
        <v>1200</v>
      </c>
      <c r="B6784" t="s">
        <v>2500</v>
      </c>
      <c r="C6784">
        <v>1</v>
      </c>
      <c r="D6784" s="1">
        <v>44179.763194444444</v>
      </c>
      <c r="E6784" t="s">
        <v>21269</v>
      </c>
      <c r="F6784" t="s">
        <v>1203</v>
      </c>
      <c r="G6784" t="s">
        <v>21264</v>
      </c>
      <c r="H6784" t="s">
        <v>1205</v>
      </c>
      <c r="I6784" t="s">
        <v>29</v>
      </c>
      <c r="J6784">
        <v>1</v>
      </c>
      <c r="K6784">
        <f>1-833-220-3102</f>
        <v>-4154</v>
      </c>
      <c r="L6784" t="s">
        <v>21272</v>
      </c>
      <c r="M6784" t="s">
        <v>21273</v>
      </c>
      <c r="N6784" t="s">
        <v>213</v>
      </c>
      <c r="O6784" t="s">
        <v>134</v>
      </c>
      <c r="P6784" t="s">
        <v>2500</v>
      </c>
      <c r="Q6784">
        <v>1</v>
      </c>
      <c r="R6784">
        <v>99.999999000000003</v>
      </c>
    </row>
    <row r="6785" spans="1:18" x14ac:dyDescent="0.2">
      <c r="A6785" t="s">
        <v>1200</v>
      </c>
      <c r="B6785" t="s">
        <v>2500</v>
      </c>
      <c r="C6785">
        <v>1</v>
      </c>
      <c r="D6785" s="1">
        <v>44179.725983796299</v>
      </c>
      <c r="E6785" t="s">
        <v>21269</v>
      </c>
      <c r="F6785" t="s">
        <v>1203</v>
      </c>
      <c r="G6785" t="s">
        <v>21264</v>
      </c>
      <c r="H6785" t="s">
        <v>1205</v>
      </c>
      <c r="I6785" t="s">
        <v>29</v>
      </c>
      <c r="J6785">
        <v>1</v>
      </c>
      <c r="K6785">
        <f>1-844-254-8448</f>
        <v>-9545</v>
      </c>
      <c r="L6785" t="s">
        <v>21274</v>
      </c>
      <c r="M6785" t="s">
        <v>21275</v>
      </c>
      <c r="N6785" t="s">
        <v>213</v>
      </c>
      <c r="O6785" t="s">
        <v>134</v>
      </c>
      <c r="P6785" t="s">
        <v>2500</v>
      </c>
      <c r="Q6785">
        <v>1</v>
      </c>
      <c r="R6785">
        <v>99.999999000000003</v>
      </c>
    </row>
    <row r="6786" spans="1:18" x14ac:dyDescent="0.2">
      <c r="A6786" t="s">
        <v>1200</v>
      </c>
      <c r="B6786" t="s">
        <v>2500</v>
      </c>
      <c r="C6786">
        <v>1</v>
      </c>
      <c r="D6786" s="1">
        <v>44170.799675925926</v>
      </c>
      <c r="E6786" t="s">
        <v>21276</v>
      </c>
      <c r="F6786" t="s">
        <v>1203</v>
      </c>
      <c r="G6786" t="s">
        <v>21264</v>
      </c>
      <c r="H6786" t="s">
        <v>1205</v>
      </c>
      <c r="I6786" t="s">
        <v>29</v>
      </c>
      <c r="J6786">
        <v>1</v>
      </c>
      <c r="K6786">
        <f>1-844-271-293</f>
        <v>-1407</v>
      </c>
      <c r="L6786" t="s">
        <v>21277</v>
      </c>
      <c r="M6786" t="s">
        <v>21278</v>
      </c>
      <c r="N6786" t="s">
        <v>213</v>
      </c>
      <c r="O6786" t="s">
        <v>134</v>
      </c>
      <c r="P6786" t="s">
        <v>2500</v>
      </c>
      <c r="Q6786">
        <v>1</v>
      </c>
      <c r="R6786">
        <v>99.999999000000003</v>
      </c>
    </row>
    <row r="6787" spans="1:18" x14ac:dyDescent="0.2">
      <c r="A6787" t="s">
        <v>1200</v>
      </c>
      <c r="B6787" t="s">
        <v>2500</v>
      </c>
      <c r="C6787">
        <v>1</v>
      </c>
      <c r="D6787" s="1">
        <v>44117.764710648145</v>
      </c>
      <c r="E6787" t="s">
        <v>21279</v>
      </c>
      <c r="F6787" t="s">
        <v>1203</v>
      </c>
      <c r="G6787" t="s">
        <v>21264</v>
      </c>
      <c r="H6787" t="s">
        <v>1205</v>
      </c>
      <c r="I6787" t="s">
        <v>29</v>
      </c>
      <c r="J6787">
        <v>1</v>
      </c>
      <c r="K6787">
        <f>1-888-373-4036</f>
        <v>-5296</v>
      </c>
      <c r="L6787" t="s">
        <v>21280</v>
      </c>
      <c r="M6787" t="s">
        <v>21281</v>
      </c>
      <c r="N6787" t="s">
        <v>3454</v>
      </c>
      <c r="O6787" t="s">
        <v>134</v>
      </c>
      <c r="P6787" t="s">
        <v>2500</v>
      </c>
      <c r="Q6787">
        <v>1</v>
      </c>
      <c r="R6787">
        <v>99.999999000000003</v>
      </c>
    </row>
    <row r="6788" spans="1:18" x14ac:dyDescent="0.2">
      <c r="A6788" t="s">
        <v>1200</v>
      </c>
      <c r="B6788" t="s">
        <v>2500</v>
      </c>
      <c r="C6788">
        <v>1</v>
      </c>
      <c r="D6788" s="1">
        <v>44117.750659722224</v>
      </c>
      <c r="E6788" t="s">
        <v>21279</v>
      </c>
      <c r="F6788" t="s">
        <v>1203</v>
      </c>
      <c r="G6788" t="s">
        <v>21264</v>
      </c>
      <c r="H6788" t="s">
        <v>1205</v>
      </c>
      <c r="I6788" t="s">
        <v>29</v>
      </c>
      <c r="J6788">
        <v>1</v>
      </c>
      <c r="K6788">
        <f>1-888-321-8028</f>
        <v>-9236</v>
      </c>
      <c r="L6788" t="s">
        <v>21282</v>
      </c>
      <c r="M6788" t="s">
        <v>21283</v>
      </c>
      <c r="N6788" t="s">
        <v>3454</v>
      </c>
      <c r="O6788" t="s">
        <v>134</v>
      </c>
      <c r="P6788" t="s">
        <v>2500</v>
      </c>
      <c r="Q6788">
        <v>1</v>
      </c>
      <c r="R6788">
        <v>99.999999000000003</v>
      </c>
    </row>
    <row r="6789" spans="1:18" x14ac:dyDescent="0.2">
      <c r="A6789" t="s">
        <v>663</v>
      </c>
      <c r="B6789" t="s">
        <v>2500</v>
      </c>
      <c r="C6789">
        <v>1</v>
      </c>
      <c r="D6789" s="1">
        <v>44117.760601851849</v>
      </c>
      <c r="E6789" t="s">
        <v>21284</v>
      </c>
      <c r="F6789" t="s">
        <v>666</v>
      </c>
      <c r="G6789" t="s">
        <v>21284</v>
      </c>
      <c r="H6789" t="s">
        <v>667</v>
      </c>
      <c r="I6789" t="s">
        <v>29</v>
      </c>
      <c r="J6789">
        <v>1</v>
      </c>
      <c r="K6789">
        <f>1-888-315-1682</f>
        <v>-2884</v>
      </c>
      <c r="L6789" t="s">
        <v>21285</v>
      </c>
      <c r="M6789" t="s">
        <v>21286</v>
      </c>
      <c r="N6789">
        <v>158</v>
      </c>
      <c r="O6789" t="s">
        <v>134</v>
      </c>
      <c r="P6789" t="s">
        <v>2500</v>
      </c>
      <c r="Q6789">
        <v>1</v>
      </c>
      <c r="R6789">
        <v>99.999999000000003</v>
      </c>
    </row>
    <row r="6790" spans="1:18" x14ac:dyDescent="0.2">
      <c r="A6790" t="s">
        <v>663</v>
      </c>
      <c r="B6790" t="s">
        <v>664</v>
      </c>
      <c r="C6790">
        <v>1</v>
      </c>
      <c r="D6790" s="1">
        <v>44117.763888888891</v>
      </c>
      <c r="E6790" t="s">
        <v>21287</v>
      </c>
      <c r="F6790" t="s">
        <v>666</v>
      </c>
      <c r="G6790" t="s">
        <v>21287</v>
      </c>
      <c r="H6790" t="s">
        <v>667</v>
      </c>
      <c r="I6790" t="s">
        <v>29</v>
      </c>
      <c r="J6790">
        <v>1</v>
      </c>
      <c r="K6790">
        <f>1-888-332-9106</f>
        <v>-10325</v>
      </c>
      <c r="L6790" t="s">
        <v>21288</v>
      </c>
      <c r="M6790" t="s">
        <v>21289</v>
      </c>
      <c r="N6790">
        <v>161</v>
      </c>
      <c r="O6790" t="s">
        <v>134</v>
      </c>
      <c r="P6790" t="s">
        <v>29</v>
      </c>
      <c r="Q6790">
        <v>37</v>
      </c>
      <c r="R6790">
        <v>-99.999999000000003</v>
      </c>
    </row>
    <row r="6791" spans="1:18" x14ac:dyDescent="0.2">
      <c r="A6791" t="s">
        <v>439</v>
      </c>
      <c r="B6791" t="s">
        <v>3094</v>
      </c>
      <c r="C6791">
        <v>1</v>
      </c>
      <c r="D6791" s="1">
        <v>44117.772592592592</v>
      </c>
      <c r="E6791" t="s">
        <v>21230</v>
      </c>
      <c r="F6791" t="s">
        <v>442</v>
      </c>
      <c r="G6791" t="s">
        <v>21290</v>
      </c>
      <c r="H6791" t="s">
        <v>444</v>
      </c>
      <c r="I6791" t="s">
        <v>29</v>
      </c>
      <c r="J6791">
        <v>1</v>
      </c>
      <c r="K6791">
        <f>1-888-308-5195</f>
        <v>-6390</v>
      </c>
      <c r="L6791" t="s">
        <v>21291</v>
      </c>
      <c r="M6791" t="s">
        <v>21292</v>
      </c>
      <c r="N6791" t="s">
        <v>5354</v>
      </c>
      <c r="O6791" t="s">
        <v>28</v>
      </c>
      <c r="P6791" t="s">
        <v>2268</v>
      </c>
      <c r="Q6791">
        <v>46</v>
      </c>
      <c r="R6791">
        <v>-73.567300000000003</v>
      </c>
    </row>
    <row r="6792" spans="1:18" x14ac:dyDescent="0.2">
      <c r="A6792" t="s">
        <v>663</v>
      </c>
      <c r="B6792" t="s">
        <v>2500</v>
      </c>
      <c r="C6792">
        <v>1</v>
      </c>
      <c r="D6792" s="1">
        <v>44117.792013888888</v>
      </c>
      <c r="E6792" t="s">
        <v>21293</v>
      </c>
      <c r="F6792" t="s">
        <v>666</v>
      </c>
      <c r="G6792" t="s">
        <v>21293</v>
      </c>
      <c r="H6792" t="s">
        <v>667</v>
      </c>
      <c r="I6792" t="s">
        <v>29</v>
      </c>
      <c r="J6792">
        <v>1</v>
      </c>
      <c r="K6792">
        <f>1-888-531-780</f>
        <v>-2198</v>
      </c>
      <c r="L6792" t="s">
        <v>21294</v>
      </c>
      <c r="M6792" t="s">
        <v>21295</v>
      </c>
      <c r="N6792">
        <v>131</v>
      </c>
      <c r="O6792" t="s">
        <v>134</v>
      </c>
      <c r="P6792" t="s">
        <v>2500</v>
      </c>
      <c r="Q6792">
        <v>1</v>
      </c>
      <c r="R6792">
        <v>99.999999000000003</v>
      </c>
    </row>
    <row r="6793" spans="1:18" x14ac:dyDescent="0.2">
      <c r="A6793" t="s">
        <v>663</v>
      </c>
      <c r="B6793" t="s">
        <v>664</v>
      </c>
      <c r="C6793">
        <v>1</v>
      </c>
      <c r="D6793" s="1">
        <v>44117.794305555559</v>
      </c>
      <c r="E6793" t="s">
        <v>21296</v>
      </c>
      <c r="F6793" t="s">
        <v>666</v>
      </c>
      <c r="G6793" t="s">
        <v>21297</v>
      </c>
      <c r="H6793" t="s">
        <v>667</v>
      </c>
      <c r="I6793" t="s">
        <v>29</v>
      </c>
      <c r="J6793">
        <v>1</v>
      </c>
      <c r="K6793">
        <f>1-855-594-657</f>
        <v>-2105</v>
      </c>
      <c r="L6793" t="s">
        <v>21298</v>
      </c>
      <c r="M6793" t="s">
        <v>21299</v>
      </c>
      <c r="N6793" t="s">
        <v>36</v>
      </c>
      <c r="O6793" t="s">
        <v>28</v>
      </c>
      <c r="P6793" t="s">
        <v>29</v>
      </c>
      <c r="Q6793">
        <v>37</v>
      </c>
      <c r="R6793">
        <v>-99.999999000000003</v>
      </c>
    </row>
    <row r="6794" spans="1:18" x14ac:dyDescent="0.2">
      <c r="A6794" t="s">
        <v>663</v>
      </c>
      <c r="B6794" t="s">
        <v>664</v>
      </c>
      <c r="C6794">
        <v>1</v>
      </c>
      <c r="D6794" s="1">
        <v>44117.800416666665</v>
      </c>
      <c r="E6794" t="s">
        <v>21300</v>
      </c>
      <c r="F6794" t="s">
        <v>666</v>
      </c>
      <c r="G6794" t="s">
        <v>21300</v>
      </c>
      <c r="H6794" t="s">
        <v>667</v>
      </c>
      <c r="I6794" t="s">
        <v>29</v>
      </c>
      <c r="J6794">
        <v>1</v>
      </c>
      <c r="K6794">
        <f>1-888-295-4022</f>
        <v>-5204</v>
      </c>
      <c r="L6794" t="s">
        <v>21301</v>
      </c>
      <c r="M6794" t="s">
        <v>21302</v>
      </c>
      <c r="N6794">
        <v>17</v>
      </c>
      <c r="O6794" t="s">
        <v>134</v>
      </c>
      <c r="P6794" t="s">
        <v>29</v>
      </c>
      <c r="Q6794">
        <v>37</v>
      </c>
      <c r="R6794">
        <v>-99.999999000000003</v>
      </c>
    </row>
    <row r="6795" spans="1:18" x14ac:dyDescent="0.2">
      <c r="A6795" t="s">
        <v>663</v>
      </c>
      <c r="B6795" t="s">
        <v>664</v>
      </c>
      <c r="C6795">
        <v>1</v>
      </c>
      <c r="D6795" s="1">
        <v>44117.815023148149</v>
      </c>
      <c r="E6795" t="s">
        <v>21303</v>
      </c>
      <c r="F6795" t="s">
        <v>666</v>
      </c>
      <c r="G6795" t="s">
        <v>21303</v>
      </c>
      <c r="H6795" t="s">
        <v>667</v>
      </c>
      <c r="I6795" t="s">
        <v>29</v>
      </c>
      <c r="J6795">
        <v>1</v>
      </c>
      <c r="K6795">
        <f>1-888-341-1187</f>
        <v>-2415</v>
      </c>
      <c r="L6795" t="s">
        <v>21304</v>
      </c>
      <c r="M6795" t="s">
        <v>21305</v>
      </c>
      <c r="N6795">
        <v>81</v>
      </c>
      <c r="O6795" t="s">
        <v>134</v>
      </c>
      <c r="P6795" t="s">
        <v>29</v>
      </c>
      <c r="Q6795">
        <v>37</v>
      </c>
      <c r="R6795">
        <v>-99.999999000000003</v>
      </c>
    </row>
    <row r="6796" spans="1:18" x14ac:dyDescent="0.2">
      <c r="A6796" t="s">
        <v>663</v>
      </c>
      <c r="B6796" t="s">
        <v>664</v>
      </c>
      <c r="C6796">
        <v>1</v>
      </c>
      <c r="D6796" s="1">
        <v>44117.805219907408</v>
      </c>
      <c r="E6796" t="s">
        <v>21303</v>
      </c>
      <c r="F6796" t="s">
        <v>666</v>
      </c>
      <c r="G6796" t="s">
        <v>21303</v>
      </c>
      <c r="H6796" t="s">
        <v>667</v>
      </c>
      <c r="I6796" t="s">
        <v>29</v>
      </c>
      <c r="J6796">
        <v>1</v>
      </c>
      <c r="K6796">
        <f>1-888-351-734</f>
        <v>-1972</v>
      </c>
      <c r="L6796" t="s">
        <v>21306</v>
      </c>
      <c r="M6796" t="s">
        <v>21307</v>
      </c>
      <c r="N6796">
        <v>81</v>
      </c>
      <c r="O6796" t="s">
        <v>134</v>
      </c>
      <c r="P6796" t="s">
        <v>29</v>
      </c>
      <c r="Q6796">
        <v>37</v>
      </c>
      <c r="R6796">
        <v>-99.999999000000003</v>
      </c>
    </row>
    <row r="6797" spans="1:18" x14ac:dyDescent="0.2">
      <c r="A6797" t="s">
        <v>439</v>
      </c>
      <c r="B6797" t="s">
        <v>3094</v>
      </c>
      <c r="C6797">
        <v>1</v>
      </c>
      <c r="D6797" s="1">
        <v>44117.817361111112</v>
      </c>
      <c r="E6797" t="s">
        <v>21308</v>
      </c>
      <c r="F6797" t="s">
        <v>442</v>
      </c>
      <c r="G6797" t="s">
        <v>21309</v>
      </c>
      <c r="H6797" t="s">
        <v>444</v>
      </c>
      <c r="I6797" t="s">
        <v>29</v>
      </c>
      <c r="J6797">
        <v>1</v>
      </c>
      <c r="K6797">
        <f>1-888-353-4558</f>
        <v>-5798</v>
      </c>
      <c r="L6797" t="s">
        <v>21310</v>
      </c>
      <c r="M6797" t="s">
        <v>21311</v>
      </c>
      <c r="N6797" t="s">
        <v>1645</v>
      </c>
      <c r="O6797" t="s">
        <v>28</v>
      </c>
      <c r="P6797" t="s">
        <v>2268</v>
      </c>
      <c r="Q6797">
        <v>46</v>
      </c>
      <c r="R6797">
        <v>-73.567300000000003</v>
      </c>
    </row>
    <row r="6798" spans="1:18" x14ac:dyDescent="0.2">
      <c r="A6798" t="s">
        <v>663</v>
      </c>
      <c r="B6798" t="s">
        <v>664</v>
      </c>
      <c r="C6798">
        <v>1</v>
      </c>
      <c r="D6798" s="1">
        <v>44117.819780092592</v>
      </c>
      <c r="E6798" t="s">
        <v>21312</v>
      </c>
      <c r="F6798" t="s">
        <v>666</v>
      </c>
      <c r="G6798" t="s">
        <v>21313</v>
      </c>
      <c r="H6798" t="s">
        <v>667</v>
      </c>
      <c r="I6798" t="s">
        <v>29</v>
      </c>
      <c r="J6798">
        <v>1</v>
      </c>
      <c r="K6798">
        <f>1-855-594-657</f>
        <v>-2105</v>
      </c>
      <c r="L6798" t="s">
        <v>21314</v>
      </c>
      <c r="M6798" t="s">
        <v>21315</v>
      </c>
      <c r="N6798" t="s">
        <v>36</v>
      </c>
      <c r="O6798" t="s">
        <v>28</v>
      </c>
      <c r="P6798" t="s">
        <v>29</v>
      </c>
      <c r="Q6798">
        <v>37</v>
      </c>
      <c r="R6798">
        <v>-99.999999000000003</v>
      </c>
    </row>
    <row r="6799" spans="1:18" x14ac:dyDescent="0.2">
      <c r="A6799" t="s">
        <v>439</v>
      </c>
      <c r="B6799" t="s">
        <v>3094</v>
      </c>
      <c r="C6799">
        <v>1</v>
      </c>
      <c r="D6799" s="1">
        <v>44117.848194444443</v>
      </c>
      <c r="E6799" t="s">
        <v>21316</v>
      </c>
      <c r="F6799" t="s">
        <v>442</v>
      </c>
      <c r="G6799" t="s">
        <v>21317</v>
      </c>
      <c r="H6799" t="s">
        <v>444</v>
      </c>
      <c r="I6799" t="s">
        <v>29</v>
      </c>
      <c r="J6799">
        <v>1</v>
      </c>
      <c r="K6799">
        <f>1-833-706-1100</f>
        <v>-2638</v>
      </c>
      <c r="L6799" t="s">
        <v>21318</v>
      </c>
      <c r="M6799" t="s">
        <v>21319</v>
      </c>
      <c r="N6799" t="s">
        <v>2475</v>
      </c>
      <c r="O6799" t="s">
        <v>28</v>
      </c>
      <c r="P6799" t="s">
        <v>2268</v>
      </c>
      <c r="Q6799">
        <v>46</v>
      </c>
      <c r="R6799">
        <v>-73.567300000000003</v>
      </c>
    </row>
    <row r="6800" spans="1:18" x14ac:dyDescent="0.2">
      <c r="A6800" t="s">
        <v>439</v>
      </c>
      <c r="B6800" t="s">
        <v>3094</v>
      </c>
      <c r="C6800">
        <v>1</v>
      </c>
      <c r="D6800" s="1">
        <v>44117.842280092591</v>
      </c>
      <c r="E6800" t="s">
        <v>21316</v>
      </c>
      <c r="F6800" t="s">
        <v>442</v>
      </c>
      <c r="G6800" t="s">
        <v>21317</v>
      </c>
      <c r="H6800" t="s">
        <v>444</v>
      </c>
      <c r="I6800" t="s">
        <v>29</v>
      </c>
      <c r="J6800">
        <v>1</v>
      </c>
      <c r="K6800">
        <f>1-888-353-4874</f>
        <v>-6114</v>
      </c>
      <c r="L6800" t="s">
        <v>21320</v>
      </c>
      <c r="M6800" t="s">
        <v>21321</v>
      </c>
      <c r="N6800" t="s">
        <v>2475</v>
      </c>
      <c r="O6800" t="s">
        <v>28</v>
      </c>
      <c r="P6800" t="s">
        <v>2268</v>
      </c>
      <c r="Q6800">
        <v>46</v>
      </c>
      <c r="R6800">
        <v>-73.567300000000003</v>
      </c>
    </row>
    <row r="6801" spans="1:18" x14ac:dyDescent="0.2">
      <c r="A6801" t="s">
        <v>663</v>
      </c>
      <c r="B6801" t="s">
        <v>664</v>
      </c>
      <c r="C6801">
        <v>1</v>
      </c>
      <c r="D6801" s="1">
        <v>44117.8437037037</v>
      </c>
      <c r="E6801" t="s">
        <v>21322</v>
      </c>
      <c r="F6801" t="s">
        <v>666</v>
      </c>
      <c r="G6801" t="s">
        <v>21322</v>
      </c>
      <c r="H6801" t="s">
        <v>667</v>
      </c>
      <c r="I6801" t="s">
        <v>29</v>
      </c>
      <c r="J6801">
        <v>1</v>
      </c>
      <c r="K6801">
        <f>1-888-375-1714</f>
        <v>-2976</v>
      </c>
      <c r="L6801" t="s">
        <v>21323</v>
      </c>
      <c r="M6801" t="s">
        <v>21324</v>
      </c>
      <c r="N6801">
        <v>240</v>
      </c>
      <c r="O6801" t="s">
        <v>134</v>
      </c>
      <c r="P6801" t="s">
        <v>29</v>
      </c>
      <c r="Q6801">
        <v>37</v>
      </c>
      <c r="R6801">
        <v>-99.999999000000003</v>
      </c>
    </row>
    <row r="6802" spans="1:18" x14ac:dyDescent="0.2">
      <c r="A6802" t="s">
        <v>663</v>
      </c>
      <c r="B6802" t="s">
        <v>664</v>
      </c>
      <c r="C6802">
        <v>1</v>
      </c>
      <c r="D6802" s="1">
        <v>44117.85328703704</v>
      </c>
      <c r="E6802" t="s">
        <v>21325</v>
      </c>
      <c r="F6802" t="s">
        <v>666</v>
      </c>
      <c r="G6802" t="s">
        <v>21325</v>
      </c>
      <c r="H6802" t="s">
        <v>667</v>
      </c>
      <c r="I6802" t="s">
        <v>29</v>
      </c>
      <c r="J6802">
        <v>1</v>
      </c>
      <c r="K6802">
        <f>1-888-304-5764</f>
        <v>-6955</v>
      </c>
      <c r="L6802" t="s">
        <v>21326</v>
      </c>
      <c r="M6802" t="s">
        <v>21327</v>
      </c>
      <c r="N6802">
        <v>102</v>
      </c>
      <c r="O6802" t="s">
        <v>134</v>
      </c>
      <c r="P6802" t="s">
        <v>29</v>
      </c>
      <c r="Q6802">
        <v>37</v>
      </c>
      <c r="R6802">
        <v>-99.999999000000003</v>
      </c>
    </row>
    <row r="6803" spans="1:18" x14ac:dyDescent="0.2">
      <c r="A6803" t="s">
        <v>439</v>
      </c>
      <c r="B6803" t="s">
        <v>3094</v>
      </c>
      <c r="C6803">
        <v>1</v>
      </c>
      <c r="D6803" s="1">
        <v>44118.649062500001</v>
      </c>
      <c r="E6803" t="s">
        <v>21328</v>
      </c>
      <c r="F6803" t="s">
        <v>442</v>
      </c>
      <c r="G6803" t="s">
        <v>21329</v>
      </c>
      <c r="H6803" t="s">
        <v>444</v>
      </c>
      <c r="I6803" t="s">
        <v>29</v>
      </c>
      <c r="J6803">
        <v>1</v>
      </c>
      <c r="K6803">
        <f>1-888-331-8148</f>
        <v>-9366</v>
      </c>
      <c r="L6803" t="s">
        <v>21330</v>
      </c>
      <c r="M6803" t="s">
        <v>21331</v>
      </c>
      <c r="N6803" t="s">
        <v>5468</v>
      </c>
      <c r="O6803" t="s">
        <v>28</v>
      </c>
      <c r="P6803" t="s">
        <v>2268</v>
      </c>
      <c r="Q6803">
        <v>46</v>
      </c>
      <c r="R6803">
        <v>-73.567300000000003</v>
      </c>
    </row>
    <row r="6804" spans="1:18" x14ac:dyDescent="0.2">
      <c r="A6804" t="s">
        <v>439</v>
      </c>
      <c r="B6804" t="s">
        <v>3094</v>
      </c>
      <c r="C6804">
        <v>1</v>
      </c>
      <c r="D6804" s="1">
        <v>44118.764074074075</v>
      </c>
      <c r="E6804" t="s">
        <v>21332</v>
      </c>
      <c r="F6804" t="s">
        <v>442</v>
      </c>
      <c r="G6804" t="s">
        <v>21333</v>
      </c>
      <c r="H6804" t="s">
        <v>444</v>
      </c>
      <c r="I6804" t="s">
        <v>29</v>
      </c>
      <c r="J6804">
        <v>1</v>
      </c>
      <c r="K6804">
        <f>1-888-340-2283</f>
        <v>-3510</v>
      </c>
      <c r="L6804" t="s">
        <v>21334</v>
      </c>
      <c r="M6804" t="s">
        <v>21335</v>
      </c>
      <c r="N6804" t="s">
        <v>5354</v>
      </c>
      <c r="O6804" t="s">
        <v>28</v>
      </c>
      <c r="P6804" t="s">
        <v>2268</v>
      </c>
      <c r="Q6804">
        <v>46</v>
      </c>
      <c r="R6804">
        <v>-73.567300000000003</v>
      </c>
    </row>
    <row r="6805" spans="1:18" x14ac:dyDescent="0.2">
      <c r="A6805" t="s">
        <v>663</v>
      </c>
      <c r="B6805" t="s">
        <v>664</v>
      </c>
      <c r="C6805">
        <v>1</v>
      </c>
      <c r="D6805" s="1">
        <v>44117.942557870374</v>
      </c>
      <c r="E6805" t="s">
        <v>21336</v>
      </c>
      <c r="F6805" t="s">
        <v>2495</v>
      </c>
      <c r="G6805" t="s">
        <v>21337</v>
      </c>
      <c r="H6805" t="s">
        <v>667</v>
      </c>
      <c r="I6805" t="s">
        <v>29</v>
      </c>
      <c r="J6805">
        <v>1</v>
      </c>
      <c r="K6805">
        <f>1-844-386-6601</f>
        <v>-7830</v>
      </c>
      <c r="L6805" t="s">
        <v>21338</v>
      </c>
      <c r="M6805" t="s">
        <v>21339</v>
      </c>
      <c r="N6805" t="s">
        <v>447</v>
      </c>
      <c r="O6805" t="s">
        <v>28</v>
      </c>
      <c r="P6805" t="s">
        <v>29</v>
      </c>
      <c r="Q6805">
        <v>37</v>
      </c>
      <c r="R6805">
        <v>-99.999999000000003</v>
      </c>
    </row>
    <row r="6806" spans="1:18" x14ac:dyDescent="0.2">
      <c r="A6806" t="s">
        <v>663</v>
      </c>
      <c r="B6806" t="s">
        <v>664</v>
      </c>
      <c r="C6806">
        <v>1</v>
      </c>
      <c r="D6806" s="1">
        <v>44117.982106481482</v>
      </c>
      <c r="E6806" t="s">
        <v>21340</v>
      </c>
      <c r="F6806" t="s">
        <v>666</v>
      </c>
      <c r="G6806" t="s">
        <v>21340</v>
      </c>
      <c r="H6806" t="s">
        <v>667</v>
      </c>
      <c r="I6806" t="s">
        <v>29</v>
      </c>
      <c r="J6806">
        <v>1</v>
      </c>
      <c r="K6806">
        <f>1-888-354-8522</f>
        <v>-9763</v>
      </c>
      <c r="L6806" t="s">
        <v>21341</v>
      </c>
      <c r="M6806" t="s">
        <v>21342</v>
      </c>
      <c r="N6806">
        <v>81</v>
      </c>
      <c r="O6806" t="s">
        <v>134</v>
      </c>
      <c r="P6806" t="s">
        <v>29</v>
      </c>
      <c r="Q6806">
        <v>37</v>
      </c>
      <c r="R6806">
        <v>-99.999999000000003</v>
      </c>
    </row>
    <row r="6807" spans="1:18" x14ac:dyDescent="0.2">
      <c r="A6807" t="s">
        <v>439</v>
      </c>
      <c r="B6807" t="s">
        <v>3094</v>
      </c>
      <c r="C6807">
        <v>1</v>
      </c>
      <c r="D6807" s="1">
        <v>44118.038483796299</v>
      </c>
      <c r="E6807" t="s">
        <v>21343</v>
      </c>
      <c r="F6807" t="s">
        <v>442</v>
      </c>
      <c r="G6807" t="s">
        <v>21344</v>
      </c>
      <c r="H6807" t="s">
        <v>444</v>
      </c>
      <c r="I6807" t="s">
        <v>29</v>
      </c>
      <c r="J6807">
        <v>1</v>
      </c>
      <c r="K6807">
        <f>1-844-470-9923</f>
        <v>-11236</v>
      </c>
      <c r="L6807" t="s">
        <v>21345</v>
      </c>
      <c r="M6807" t="s">
        <v>21346</v>
      </c>
      <c r="N6807" t="s">
        <v>36</v>
      </c>
      <c r="O6807" t="s">
        <v>28</v>
      </c>
      <c r="P6807" t="s">
        <v>2268</v>
      </c>
      <c r="Q6807">
        <v>46</v>
      </c>
      <c r="R6807">
        <v>-73.567300000000003</v>
      </c>
    </row>
    <row r="6808" spans="1:18" x14ac:dyDescent="0.2">
      <c r="A6808" t="s">
        <v>675</v>
      </c>
      <c r="B6808" t="s">
        <v>1412</v>
      </c>
      <c r="C6808">
        <v>61</v>
      </c>
      <c r="D6808" s="1">
        <v>44130.330891203703</v>
      </c>
      <c r="E6808" t="s">
        <v>21347</v>
      </c>
      <c r="F6808" t="s">
        <v>678</v>
      </c>
      <c r="G6808" t="s">
        <v>21348</v>
      </c>
      <c r="H6808" t="s">
        <v>680</v>
      </c>
      <c r="I6808" t="s">
        <v>782</v>
      </c>
      <c r="J6808">
        <v>61</v>
      </c>
      <c r="K6808">
        <f>61-1800-875-294</f>
        <v>-2908</v>
      </c>
      <c r="L6808" t="s">
        <v>21349</v>
      </c>
      <c r="M6808" t="s">
        <v>21350</v>
      </c>
      <c r="N6808" t="s">
        <v>3454</v>
      </c>
      <c r="O6808" t="s">
        <v>28</v>
      </c>
      <c r="P6808" t="s">
        <v>29</v>
      </c>
      <c r="Q6808">
        <v>41</v>
      </c>
      <c r="R6808">
        <v>-74.172399999999996</v>
      </c>
    </row>
    <row r="6809" spans="1:18" x14ac:dyDescent="0.2">
      <c r="A6809" t="s">
        <v>675</v>
      </c>
      <c r="B6809" t="s">
        <v>1412</v>
      </c>
      <c r="C6809">
        <v>61</v>
      </c>
      <c r="D6809" s="1">
        <v>44123.367210648146</v>
      </c>
      <c r="E6809" t="s">
        <v>21351</v>
      </c>
      <c r="F6809" t="s">
        <v>678</v>
      </c>
      <c r="G6809" t="s">
        <v>21348</v>
      </c>
      <c r="H6809" t="s">
        <v>680</v>
      </c>
      <c r="I6809" t="s">
        <v>782</v>
      </c>
      <c r="J6809">
        <v>61</v>
      </c>
      <c r="K6809">
        <f>61-1800-875-294</f>
        <v>-2908</v>
      </c>
      <c r="L6809" t="s">
        <v>21352</v>
      </c>
      <c r="M6809" t="s">
        <v>21353</v>
      </c>
      <c r="N6809" t="s">
        <v>3441</v>
      </c>
      <c r="O6809" t="s">
        <v>28</v>
      </c>
      <c r="P6809" t="s">
        <v>29</v>
      </c>
      <c r="Q6809">
        <v>41</v>
      </c>
      <c r="R6809">
        <v>-74.172399999999996</v>
      </c>
    </row>
    <row r="6810" spans="1:18" x14ac:dyDescent="0.2">
      <c r="A6810" t="s">
        <v>675</v>
      </c>
      <c r="B6810" t="s">
        <v>1412</v>
      </c>
      <c r="C6810">
        <v>61</v>
      </c>
      <c r="D6810" s="1">
        <v>44120.347361111111</v>
      </c>
      <c r="E6810" t="s">
        <v>21354</v>
      </c>
      <c r="F6810" t="s">
        <v>678</v>
      </c>
      <c r="G6810" t="s">
        <v>21348</v>
      </c>
      <c r="H6810" t="s">
        <v>680</v>
      </c>
      <c r="I6810" t="s">
        <v>782</v>
      </c>
      <c r="J6810">
        <v>61</v>
      </c>
      <c r="K6810">
        <f>61-1800-875-294</f>
        <v>-2908</v>
      </c>
      <c r="L6810" t="s">
        <v>21355</v>
      </c>
      <c r="M6810" t="s">
        <v>21356</v>
      </c>
      <c r="N6810" t="s">
        <v>213</v>
      </c>
      <c r="O6810" t="s">
        <v>28</v>
      </c>
      <c r="P6810" t="s">
        <v>29</v>
      </c>
      <c r="Q6810">
        <v>41</v>
      </c>
      <c r="R6810">
        <v>-74.172399999999996</v>
      </c>
    </row>
    <row r="6811" spans="1:18" x14ac:dyDescent="0.2">
      <c r="A6811" t="s">
        <v>675</v>
      </c>
      <c r="B6811" t="s">
        <v>1412</v>
      </c>
      <c r="C6811">
        <v>61</v>
      </c>
      <c r="D6811" s="1">
        <v>44118.370162037034</v>
      </c>
      <c r="E6811" t="s">
        <v>21357</v>
      </c>
      <c r="F6811" t="s">
        <v>678</v>
      </c>
      <c r="G6811" t="s">
        <v>21348</v>
      </c>
      <c r="H6811" t="s">
        <v>680</v>
      </c>
      <c r="I6811" t="s">
        <v>782</v>
      </c>
      <c r="J6811">
        <v>61</v>
      </c>
      <c r="K6811">
        <f>61-1800-875-294</f>
        <v>-2908</v>
      </c>
      <c r="L6811" t="s">
        <v>21358</v>
      </c>
      <c r="M6811" t="s">
        <v>21359</v>
      </c>
      <c r="N6811" t="s">
        <v>3454</v>
      </c>
      <c r="O6811" t="s">
        <v>28</v>
      </c>
      <c r="P6811" t="s">
        <v>29</v>
      </c>
      <c r="Q6811">
        <v>41</v>
      </c>
      <c r="R6811">
        <v>-74.172399999999996</v>
      </c>
    </row>
    <row r="6812" spans="1:18" x14ac:dyDescent="0.2">
      <c r="A6812" t="s">
        <v>663</v>
      </c>
      <c r="B6812" t="s">
        <v>664</v>
      </c>
      <c r="C6812">
        <v>1</v>
      </c>
      <c r="D6812" s="1">
        <v>44118.818182870367</v>
      </c>
      <c r="E6812" t="s">
        <v>21360</v>
      </c>
      <c r="F6812" t="s">
        <v>666</v>
      </c>
      <c r="G6812" t="s">
        <v>21360</v>
      </c>
      <c r="H6812" t="s">
        <v>667</v>
      </c>
      <c r="I6812" t="s">
        <v>29</v>
      </c>
      <c r="J6812">
        <v>1</v>
      </c>
      <c r="K6812">
        <f>1-888-341-9542</f>
        <v>-10770</v>
      </c>
      <c r="L6812" t="s">
        <v>21361</v>
      </c>
      <c r="M6812" t="s">
        <v>21362</v>
      </c>
      <c r="N6812">
        <v>51</v>
      </c>
      <c r="O6812" t="s">
        <v>134</v>
      </c>
      <c r="P6812" t="s">
        <v>29</v>
      </c>
      <c r="Q6812">
        <v>37</v>
      </c>
      <c r="R6812">
        <v>-99.999999000000003</v>
      </c>
    </row>
    <row r="6813" spans="1:18" x14ac:dyDescent="0.2">
      <c r="A6813" t="s">
        <v>439</v>
      </c>
      <c r="B6813" t="s">
        <v>3094</v>
      </c>
      <c r="C6813">
        <v>1</v>
      </c>
      <c r="D6813" s="1">
        <v>44118.819618055553</v>
      </c>
      <c r="E6813" t="s">
        <v>21363</v>
      </c>
      <c r="F6813" t="s">
        <v>442</v>
      </c>
      <c r="G6813" t="s">
        <v>21364</v>
      </c>
      <c r="H6813" t="s">
        <v>444</v>
      </c>
      <c r="I6813" t="s">
        <v>29</v>
      </c>
      <c r="J6813">
        <v>1</v>
      </c>
      <c r="K6813">
        <f>1-888-308-5166</f>
        <v>-6361</v>
      </c>
      <c r="L6813" t="s">
        <v>21365</v>
      </c>
      <c r="M6813" t="s">
        <v>21366</v>
      </c>
      <c r="N6813" t="s">
        <v>5354</v>
      </c>
      <c r="O6813" t="s">
        <v>28</v>
      </c>
      <c r="P6813" t="s">
        <v>2268</v>
      </c>
      <c r="Q6813">
        <v>46</v>
      </c>
      <c r="R6813">
        <v>-73.567300000000003</v>
      </c>
    </row>
    <row r="6814" spans="1:18" x14ac:dyDescent="0.2">
      <c r="A6814" t="s">
        <v>663</v>
      </c>
      <c r="B6814" t="s">
        <v>664</v>
      </c>
      <c r="C6814">
        <v>1</v>
      </c>
      <c r="D6814" s="1">
        <v>44118.830879629626</v>
      </c>
      <c r="E6814" t="s">
        <v>21367</v>
      </c>
      <c r="F6814" t="s">
        <v>666</v>
      </c>
      <c r="G6814" t="s">
        <v>21367</v>
      </c>
      <c r="H6814" t="s">
        <v>667</v>
      </c>
      <c r="I6814" t="s">
        <v>29</v>
      </c>
      <c r="J6814">
        <v>1</v>
      </c>
      <c r="K6814">
        <f>1-888-350-5004</f>
        <v>-6241</v>
      </c>
      <c r="L6814" t="s">
        <v>21368</v>
      </c>
      <c r="M6814" t="s">
        <v>21369</v>
      </c>
      <c r="N6814">
        <v>8</v>
      </c>
      <c r="O6814" t="s">
        <v>134</v>
      </c>
      <c r="P6814" t="s">
        <v>29</v>
      </c>
      <c r="Q6814">
        <v>37</v>
      </c>
      <c r="R6814">
        <v>-99.999999000000003</v>
      </c>
    </row>
    <row r="6815" spans="1:18" x14ac:dyDescent="0.2">
      <c r="A6815" t="s">
        <v>2233</v>
      </c>
      <c r="B6815" t="s">
        <v>2234</v>
      </c>
      <c r="C6815">
        <v>1</v>
      </c>
      <c r="D6815" s="1">
        <v>44118.957858796297</v>
      </c>
      <c r="E6815" t="s">
        <v>21370</v>
      </c>
      <c r="F6815" t="s">
        <v>2236</v>
      </c>
      <c r="G6815" t="s">
        <v>21371</v>
      </c>
      <c r="H6815" t="s">
        <v>2237</v>
      </c>
      <c r="I6815" t="s">
        <v>29</v>
      </c>
      <c r="J6815">
        <v>1</v>
      </c>
      <c r="K6815">
        <f>1-888-368-4881</f>
        <v>-6136</v>
      </c>
      <c r="L6815" t="s">
        <v>21372</v>
      </c>
      <c r="M6815" t="s">
        <v>21373</v>
      </c>
      <c r="N6815" t="s">
        <v>6761</v>
      </c>
      <c r="O6815" t="s">
        <v>28</v>
      </c>
      <c r="P6815" t="s">
        <v>29</v>
      </c>
      <c r="Q6815">
        <v>40</v>
      </c>
      <c r="R6815">
        <v>-83.114099999999993</v>
      </c>
    </row>
    <row r="6816" spans="1:18" x14ac:dyDescent="0.2">
      <c r="A6816" t="s">
        <v>1637</v>
      </c>
      <c r="B6816" t="s">
        <v>1638</v>
      </c>
      <c r="C6816">
        <v>1</v>
      </c>
      <c r="D6816" s="1">
        <v>44118.998194444444</v>
      </c>
      <c r="E6816" t="s">
        <v>21374</v>
      </c>
      <c r="F6816" t="s">
        <v>5753</v>
      </c>
      <c r="G6816" t="s">
        <v>21375</v>
      </c>
      <c r="H6816" t="s">
        <v>1642</v>
      </c>
      <c r="I6816" t="s">
        <v>29</v>
      </c>
      <c r="J6816">
        <v>1</v>
      </c>
      <c r="K6816">
        <f>1-888-803-6075</f>
        <v>-7765</v>
      </c>
      <c r="L6816" t="s">
        <v>21376</v>
      </c>
      <c r="M6816" t="s">
        <v>21377</v>
      </c>
      <c r="N6816" t="s">
        <v>2475</v>
      </c>
      <c r="O6816" t="s">
        <v>134</v>
      </c>
      <c r="P6816" t="s">
        <v>292</v>
      </c>
      <c r="Q6816">
        <v>49</v>
      </c>
      <c r="R6816">
        <v>2.32131</v>
      </c>
    </row>
    <row r="6817" spans="1:18" x14ac:dyDescent="0.2">
      <c r="A6817" t="s">
        <v>2233</v>
      </c>
      <c r="B6817" t="s">
        <v>4672</v>
      </c>
      <c r="C6817">
        <v>61</v>
      </c>
      <c r="D6817" s="1">
        <v>44119.213356481479</v>
      </c>
      <c r="E6817" t="s">
        <v>20703</v>
      </c>
      <c r="F6817" t="s">
        <v>2236</v>
      </c>
      <c r="G6817" t="s">
        <v>21378</v>
      </c>
      <c r="H6817" t="s">
        <v>2237</v>
      </c>
      <c r="I6817" t="s">
        <v>782</v>
      </c>
      <c r="J6817">
        <v>61</v>
      </c>
      <c r="K6817">
        <f>61-1800-825-608</f>
        <v>-3172</v>
      </c>
      <c r="L6817" t="s">
        <v>21379</v>
      </c>
      <c r="M6817" t="s">
        <v>21380</v>
      </c>
      <c r="N6817" t="s">
        <v>5354</v>
      </c>
      <c r="O6817" t="s">
        <v>28</v>
      </c>
      <c r="P6817" t="s">
        <v>782</v>
      </c>
      <c r="Q6817">
        <v>-34</v>
      </c>
      <c r="R6817">
        <v>99.999999000000003</v>
      </c>
    </row>
    <row r="6818" spans="1:18" x14ac:dyDescent="0.2">
      <c r="A6818" t="s">
        <v>2233</v>
      </c>
      <c r="B6818" t="s">
        <v>440</v>
      </c>
      <c r="C6818">
        <v>1</v>
      </c>
      <c r="D6818" s="1">
        <v>44119.439513888887</v>
      </c>
      <c r="E6818" t="s">
        <v>21381</v>
      </c>
      <c r="F6818" t="s">
        <v>2236</v>
      </c>
      <c r="G6818" t="s">
        <v>21382</v>
      </c>
      <c r="H6818" t="s">
        <v>2237</v>
      </c>
      <c r="I6818" t="s">
        <v>29</v>
      </c>
      <c r="J6818">
        <v>1</v>
      </c>
      <c r="K6818">
        <f>1-866-997-8554</f>
        <v>-10416</v>
      </c>
      <c r="L6818" t="s">
        <v>21383</v>
      </c>
      <c r="M6818" t="s">
        <v>21384</v>
      </c>
      <c r="N6818" t="s">
        <v>5354</v>
      </c>
      <c r="O6818" t="s">
        <v>28</v>
      </c>
      <c r="P6818" t="s">
        <v>29</v>
      </c>
      <c r="Q6818">
        <v>39</v>
      </c>
      <c r="R6818">
        <v>-77.487399999999994</v>
      </c>
    </row>
    <row r="6819" spans="1:18" x14ac:dyDescent="0.2">
      <c r="A6819" t="s">
        <v>663</v>
      </c>
      <c r="B6819" t="s">
        <v>664</v>
      </c>
      <c r="C6819">
        <v>1</v>
      </c>
      <c r="D6819" s="1">
        <v>44119.775335648148</v>
      </c>
      <c r="E6819" t="s">
        <v>21385</v>
      </c>
      <c r="F6819" t="s">
        <v>666</v>
      </c>
      <c r="G6819" t="s">
        <v>21385</v>
      </c>
      <c r="H6819" t="s">
        <v>667</v>
      </c>
      <c r="I6819" t="s">
        <v>29</v>
      </c>
      <c r="J6819">
        <v>1</v>
      </c>
      <c r="K6819">
        <f>1-888-340-9824</f>
        <v>-11051</v>
      </c>
      <c r="L6819" t="s">
        <v>21386</v>
      </c>
      <c r="M6819" t="s">
        <v>21387</v>
      </c>
      <c r="N6819">
        <v>37</v>
      </c>
      <c r="O6819" t="s">
        <v>134</v>
      </c>
      <c r="P6819" t="s">
        <v>29</v>
      </c>
      <c r="Q6819">
        <v>37</v>
      </c>
      <c r="R6819">
        <v>-99.999999000000003</v>
      </c>
    </row>
    <row r="6820" spans="1:18" x14ac:dyDescent="0.2">
      <c r="A6820" t="s">
        <v>2233</v>
      </c>
      <c r="B6820" t="s">
        <v>2234</v>
      </c>
      <c r="C6820">
        <v>1</v>
      </c>
      <c r="D6820" s="1">
        <v>44119.776053240741</v>
      </c>
      <c r="E6820" t="s">
        <v>21388</v>
      </c>
      <c r="F6820" t="s">
        <v>2236</v>
      </c>
      <c r="G6820" t="s">
        <v>21389</v>
      </c>
      <c r="H6820" t="s">
        <v>2237</v>
      </c>
      <c r="I6820" t="s">
        <v>29</v>
      </c>
      <c r="J6820">
        <v>1</v>
      </c>
      <c r="K6820">
        <f>1-833-426-9072</f>
        <v>-10330</v>
      </c>
      <c r="L6820" t="s">
        <v>21390</v>
      </c>
      <c r="M6820" t="s">
        <v>21391</v>
      </c>
      <c r="N6820" t="s">
        <v>6761</v>
      </c>
      <c r="O6820" t="s">
        <v>28</v>
      </c>
      <c r="P6820" t="s">
        <v>29</v>
      </c>
      <c r="Q6820">
        <v>40</v>
      </c>
      <c r="R6820">
        <v>-83.114099999999993</v>
      </c>
    </row>
    <row r="6821" spans="1:18" x14ac:dyDescent="0.2">
      <c r="A6821" t="s">
        <v>663</v>
      </c>
      <c r="B6821" t="s">
        <v>664</v>
      </c>
      <c r="C6821">
        <v>1</v>
      </c>
      <c r="D6821" s="1">
        <v>44119.902824074074</v>
      </c>
      <c r="E6821" t="s">
        <v>21392</v>
      </c>
      <c r="F6821" t="s">
        <v>666</v>
      </c>
      <c r="G6821" t="s">
        <v>21392</v>
      </c>
      <c r="H6821" t="s">
        <v>667</v>
      </c>
      <c r="I6821" t="s">
        <v>29</v>
      </c>
      <c r="J6821">
        <v>1</v>
      </c>
      <c r="K6821">
        <f>1-888-339-6923</f>
        <v>-8149</v>
      </c>
      <c r="L6821" t="s">
        <v>21393</v>
      </c>
      <c r="M6821" t="s">
        <v>21394</v>
      </c>
      <c r="N6821">
        <v>40</v>
      </c>
      <c r="O6821" t="s">
        <v>134</v>
      </c>
      <c r="P6821" t="s">
        <v>29</v>
      </c>
      <c r="Q6821">
        <v>37</v>
      </c>
      <c r="R6821">
        <v>-99.999999000000003</v>
      </c>
    </row>
    <row r="6822" spans="1:18" x14ac:dyDescent="0.2">
      <c r="A6822" t="s">
        <v>663</v>
      </c>
      <c r="B6822" t="s">
        <v>664</v>
      </c>
      <c r="C6822">
        <v>1</v>
      </c>
      <c r="D6822" s="1">
        <v>44119.905787037038</v>
      </c>
      <c r="E6822" t="s">
        <v>21395</v>
      </c>
      <c r="F6822" t="s">
        <v>666</v>
      </c>
      <c r="G6822" t="s">
        <v>21395</v>
      </c>
      <c r="H6822" t="s">
        <v>667</v>
      </c>
      <c r="I6822" t="s">
        <v>29</v>
      </c>
      <c r="J6822">
        <v>1</v>
      </c>
      <c r="K6822">
        <f>1-888-341-1171</f>
        <v>-2399</v>
      </c>
      <c r="L6822" t="s">
        <v>21396</v>
      </c>
      <c r="M6822" t="s">
        <v>21397</v>
      </c>
      <c r="N6822">
        <v>7</v>
      </c>
      <c r="O6822" t="s">
        <v>134</v>
      </c>
      <c r="P6822" t="s">
        <v>29</v>
      </c>
      <c r="Q6822">
        <v>37</v>
      </c>
      <c r="R6822">
        <v>-99.999999000000003</v>
      </c>
    </row>
    <row r="6823" spans="1:18" x14ac:dyDescent="0.2">
      <c r="A6823" t="s">
        <v>2233</v>
      </c>
      <c r="B6823" t="s">
        <v>2500</v>
      </c>
      <c r="C6823">
        <v>1</v>
      </c>
      <c r="D6823" s="1">
        <v>44119.944432870368</v>
      </c>
      <c r="E6823" t="s">
        <v>17586</v>
      </c>
      <c r="F6823" t="s">
        <v>2236</v>
      </c>
      <c r="G6823" t="s">
        <v>21398</v>
      </c>
      <c r="H6823" t="s">
        <v>2237</v>
      </c>
      <c r="I6823" t="s">
        <v>29</v>
      </c>
      <c r="J6823">
        <v>1</v>
      </c>
      <c r="K6823">
        <f>1-877-466-4285</f>
        <v>-5627</v>
      </c>
      <c r="L6823" t="s">
        <v>21399</v>
      </c>
      <c r="M6823" t="s">
        <v>21400</v>
      </c>
      <c r="N6823" t="s">
        <v>5354</v>
      </c>
      <c r="O6823" t="s">
        <v>28</v>
      </c>
      <c r="P6823" t="s">
        <v>2500</v>
      </c>
      <c r="Q6823">
        <v>1</v>
      </c>
      <c r="R6823">
        <v>99.999999000000003</v>
      </c>
    </row>
    <row r="6824" spans="1:18" x14ac:dyDescent="0.2">
      <c r="A6824" t="s">
        <v>675</v>
      </c>
      <c r="B6824" t="s">
        <v>1412</v>
      </c>
      <c r="C6824">
        <v>1</v>
      </c>
      <c r="D6824" s="1">
        <v>44120.845370370371</v>
      </c>
      <c r="E6824" t="s">
        <v>21401</v>
      </c>
      <c r="F6824" t="s">
        <v>678</v>
      </c>
      <c r="G6824" t="s">
        <v>21402</v>
      </c>
      <c r="H6824" t="s">
        <v>680</v>
      </c>
      <c r="I6824" t="s">
        <v>29</v>
      </c>
      <c r="J6824">
        <v>1</v>
      </c>
      <c r="K6824">
        <f>1-877-381-1112</f>
        <v>-2369</v>
      </c>
      <c r="L6824" t="s">
        <v>21403</v>
      </c>
      <c r="M6824" t="s">
        <v>21404</v>
      </c>
      <c r="N6824" t="s">
        <v>452</v>
      </c>
      <c r="O6824" t="s">
        <v>28</v>
      </c>
      <c r="P6824" t="s">
        <v>29</v>
      </c>
      <c r="Q6824">
        <v>41</v>
      </c>
      <c r="R6824">
        <v>-74.172399999999996</v>
      </c>
    </row>
    <row r="6825" spans="1:18" x14ac:dyDescent="0.2">
      <c r="A6825" t="s">
        <v>439</v>
      </c>
      <c r="B6825" t="s">
        <v>3094</v>
      </c>
      <c r="C6825">
        <v>1</v>
      </c>
      <c r="D6825" s="1">
        <v>44120.875763888886</v>
      </c>
      <c r="E6825" t="s">
        <v>21405</v>
      </c>
      <c r="F6825" t="s">
        <v>442</v>
      </c>
      <c r="G6825" t="s">
        <v>21406</v>
      </c>
      <c r="H6825" t="s">
        <v>444</v>
      </c>
      <c r="I6825" t="s">
        <v>29</v>
      </c>
      <c r="J6825">
        <v>1</v>
      </c>
      <c r="K6825">
        <f>1-866-997-8554</f>
        <v>-10416</v>
      </c>
      <c r="L6825" t="s">
        <v>21407</v>
      </c>
      <c r="M6825" t="s">
        <v>21408</v>
      </c>
      <c r="N6825" t="s">
        <v>447</v>
      </c>
      <c r="O6825" t="s">
        <v>28</v>
      </c>
      <c r="P6825" t="s">
        <v>2268</v>
      </c>
      <c r="Q6825">
        <v>46</v>
      </c>
      <c r="R6825">
        <v>-73.567300000000003</v>
      </c>
    </row>
    <row r="6826" spans="1:18" x14ac:dyDescent="0.2">
      <c r="A6826" t="s">
        <v>663</v>
      </c>
      <c r="B6826" t="s">
        <v>664</v>
      </c>
      <c r="C6826">
        <v>1</v>
      </c>
      <c r="D6826" s="1">
        <v>44120.934733796297</v>
      </c>
      <c r="E6826" t="s">
        <v>21409</v>
      </c>
      <c r="F6826" t="s">
        <v>666</v>
      </c>
      <c r="G6826" t="s">
        <v>21409</v>
      </c>
      <c r="H6826" t="s">
        <v>667</v>
      </c>
      <c r="I6826" t="s">
        <v>29</v>
      </c>
      <c r="J6826">
        <v>1</v>
      </c>
      <c r="K6826">
        <f>1-888-347-4016</f>
        <v>-5250</v>
      </c>
      <c r="L6826" t="s">
        <v>21410</v>
      </c>
      <c r="M6826" t="s">
        <v>21411</v>
      </c>
      <c r="N6826">
        <v>169</v>
      </c>
      <c r="O6826" t="s">
        <v>134</v>
      </c>
      <c r="P6826" t="s">
        <v>29</v>
      </c>
      <c r="Q6826">
        <v>37</v>
      </c>
      <c r="R6826">
        <v>-99.999999000000003</v>
      </c>
    </row>
    <row r="6827" spans="1:18" x14ac:dyDescent="0.2">
      <c r="A6827" t="s">
        <v>439</v>
      </c>
      <c r="B6827" t="s">
        <v>3094</v>
      </c>
      <c r="C6827">
        <v>1</v>
      </c>
      <c r="D6827" s="1">
        <v>44120.979409722226</v>
      </c>
      <c r="E6827" t="s">
        <v>21412</v>
      </c>
      <c r="F6827" t="s">
        <v>442</v>
      </c>
      <c r="G6827" t="s">
        <v>21413</v>
      </c>
      <c r="H6827" t="s">
        <v>444</v>
      </c>
      <c r="I6827" t="s">
        <v>29</v>
      </c>
      <c r="J6827">
        <v>1</v>
      </c>
      <c r="K6827">
        <f>1-888-349-592</f>
        <v>-1828</v>
      </c>
      <c r="L6827" t="s">
        <v>21414</v>
      </c>
      <c r="M6827" t="s">
        <v>21415</v>
      </c>
      <c r="N6827" t="s">
        <v>683</v>
      </c>
      <c r="O6827" t="s">
        <v>28</v>
      </c>
      <c r="P6827" t="s">
        <v>2268</v>
      </c>
      <c r="Q6827">
        <v>46</v>
      </c>
      <c r="R6827">
        <v>-73.567300000000003</v>
      </c>
    </row>
    <row r="6828" spans="1:18" x14ac:dyDescent="0.2">
      <c r="A6828" t="s">
        <v>439</v>
      </c>
      <c r="B6828" t="s">
        <v>3094</v>
      </c>
      <c r="C6828">
        <v>1</v>
      </c>
      <c r="D6828" s="1">
        <v>44121.757430555554</v>
      </c>
      <c r="E6828" t="s">
        <v>21416</v>
      </c>
      <c r="F6828" t="s">
        <v>442</v>
      </c>
      <c r="G6828" t="s">
        <v>21417</v>
      </c>
      <c r="H6828" t="s">
        <v>444</v>
      </c>
      <c r="I6828" t="s">
        <v>29</v>
      </c>
      <c r="J6828">
        <v>1</v>
      </c>
      <c r="K6828">
        <f>1-888-357-5315</f>
        <v>-6559</v>
      </c>
      <c r="L6828" t="s">
        <v>21418</v>
      </c>
      <c r="M6828" t="s">
        <v>21419</v>
      </c>
      <c r="N6828" t="s">
        <v>5354</v>
      </c>
      <c r="O6828" t="s">
        <v>28</v>
      </c>
      <c r="P6828" t="s">
        <v>2268</v>
      </c>
      <c r="Q6828">
        <v>46</v>
      </c>
      <c r="R6828">
        <v>-73.567300000000003</v>
      </c>
    </row>
    <row r="6829" spans="1:18" x14ac:dyDescent="0.2">
      <c r="A6829" t="s">
        <v>663</v>
      </c>
      <c r="B6829" t="s">
        <v>664</v>
      </c>
      <c r="C6829">
        <v>1</v>
      </c>
      <c r="D6829" s="1">
        <v>44121.757951388892</v>
      </c>
      <c r="E6829" t="s">
        <v>21420</v>
      </c>
      <c r="F6829" t="s">
        <v>666</v>
      </c>
      <c r="G6829" t="s">
        <v>21420</v>
      </c>
      <c r="H6829" t="s">
        <v>667</v>
      </c>
      <c r="I6829" t="s">
        <v>29</v>
      </c>
      <c r="J6829">
        <v>1</v>
      </c>
      <c r="K6829">
        <f>1-888-331-6248</f>
        <v>-7466</v>
      </c>
      <c r="L6829" t="s">
        <v>21421</v>
      </c>
      <c r="M6829" t="s">
        <v>21422</v>
      </c>
      <c r="N6829">
        <v>53</v>
      </c>
      <c r="O6829" t="s">
        <v>134</v>
      </c>
      <c r="P6829" t="s">
        <v>29</v>
      </c>
      <c r="Q6829">
        <v>37</v>
      </c>
      <c r="R6829">
        <v>-99.999999000000003</v>
      </c>
    </row>
    <row r="6830" spans="1:18" x14ac:dyDescent="0.2">
      <c r="A6830" t="s">
        <v>439</v>
      </c>
      <c r="B6830" t="s">
        <v>3094</v>
      </c>
      <c r="C6830">
        <v>1</v>
      </c>
      <c r="D6830" s="1">
        <v>44121.775856481479</v>
      </c>
      <c r="E6830" t="s">
        <v>21416</v>
      </c>
      <c r="F6830" t="s">
        <v>442</v>
      </c>
      <c r="G6830" t="s">
        <v>21423</v>
      </c>
      <c r="H6830" t="s">
        <v>444</v>
      </c>
      <c r="I6830" t="s">
        <v>29</v>
      </c>
      <c r="J6830">
        <v>1</v>
      </c>
      <c r="K6830">
        <f>1-888-344-3524</f>
        <v>-4755</v>
      </c>
      <c r="L6830" t="s">
        <v>21424</v>
      </c>
      <c r="M6830" t="s">
        <v>21425</v>
      </c>
      <c r="N6830" t="s">
        <v>5354</v>
      </c>
      <c r="O6830" t="s">
        <v>28</v>
      </c>
      <c r="P6830" t="s">
        <v>2268</v>
      </c>
      <c r="Q6830">
        <v>46</v>
      </c>
      <c r="R6830">
        <v>-73.567300000000003</v>
      </c>
    </row>
    <row r="6831" spans="1:18" x14ac:dyDescent="0.2">
      <c r="A6831" t="s">
        <v>439</v>
      </c>
      <c r="B6831" t="s">
        <v>3094</v>
      </c>
      <c r="C6831">
        <v>1</v>
      </c>
      <c r="D6831" s="1">
        <v>44121.796909722223</v>
      </c>
      <c r="E6831" t="s">
        <v>21426</v>
      </c>
      <c r="F6831" t="s">
        <v>442</v>
      </c>
      <c r="G6831" t="s">
        <v>21427</v>
      </c>
      <c r="H6831" t="s">
        <v>444</v>
      </c>
      <c r="I6831" t="s">
        <v>29</v>
      </c>
      <c r="J6831">
        <v>1</v>
      </c>
      <c r="K6831">
        <f>1-888-331-8148</f>
        <v>-9366</v>
      </c>
      <c r="L6831" t="s">
        <v>21428</v>
      </c>
      <c r="M6831" t="s">
        <v>21429</v>
      </c>
      <c r="N6831" t="s">
        <v>2475</v>
      </c>
      <c r="O6831" t="s">
        <v>28</v>
      </c>
      <c r="P6831" t="s">
        <v>2268</v>
      </c>
      <c r="Q6831">
        <v>46</v>
      </c>
      <c r="R6831">
        <v>-73.567300000000003</v>
      </c>
    </row>
    <row r="6832" spans="1:18" x14ac:dyDescent="0.2">
      <c r="A6832" t="s">
        <v>439</v>
      </c>
      <c r="B6832" t="s">
        <v>3094</v>
      </c>
      <c r="C6832">
        <v>1</v>
      </c>
      <c r="D6832" s="1">
        <v>44121.789594907408</v>
      </c>
      <c r="E6832" t="s">
        <v>21426</v>
      </c>
      <c r="F6832" t="s">
        <v>442</v>
      </c>
      <c r="G6832" t="s">
        <v>21427</v>
      </c>
      <c r="H6832" t="s">
        <v>444</v>
      </c>
      <c r="I6832" t="s">
        <v>29</v>
      </c>
      <c r="J6832">
        <v>1</v>
      </c>
      <c r="K6832">
        <f>1-888-344-3524</f>
        <v>-4755</v>
      </c>
      <c r="L6832" t="s">
        <v>21430</v>
      </c>
      <c r="M6832" t="s">
        <v>21431</v>
      </c>
      <c r="N6832" t="s">
        <v>2475</v>
      </c>
      <c r="O6832" t="s">
        <v>28</v>
      </c>
      <c r="P6832" t="s">
        <v>2268</v>
      </c>
      <c r="Q6832">
        <v>46</v>
      </c>
      <c r="R6832">
        <v>-73.567300000000003</v>
      </c>
    </row>
    <row r="6833" spans="1:18" x14ac:dyDescent="0.2">
      <c r="A6833" t="s">
        <v>439</v>
      </c>
      <c r="B6833" t="s">
        <v>3094</v>
      </c>
      <c r="C6833">
        <v>1</v>
      </c>
      <c r="D6833" s="1">
        <v>44121.800092592595</v>
      </c>
      <c r="E6833" t="s">
        <v>21432</v>
      </c>
      <c r="F6833" t="s">
        <v>442</v>
      </c>
      <c r="G6833" t="s">
        <v>21433</v>
      </c>
      <c r="H6833" t="s">
        <v>444</v>
      </c>
      <c r="I6833" t="s">
        <v>29</v>
      </c>
      <c r="J6833">
        <v>1</v>
      </c>
      <c r="K6833">
        <f>1-888-298-5709</f>
        <v>-6894</v>
      </c>
      <c r="L6833" t="s">
        <v>21434</v>
      </c>
      <c r="M6833" t="s">
        <v>21435</v>
      </c>
      <c r="N6833" t="s">
        <v>452</v>
      </c>
      <c r="O6833" t="s">
        <v>28</v>
      </c>
      <c r="P6833" t="s">
        <v>2268</v>
      </c>
      <c r="Q6833">
        <v>46</v>
      </c>
      <c r="R6833">
        <v>-73.567300000000003</v>
      </c>
    </row>
    <row r="6834" spans="1:18" x14ac:dyDescent="0.2">
      <c r="A6834" t="s">
        <v>439</v>
      </c>
      <c r="B6834" t="s">
        <v>4321</v>
      </c>
      <c r="C6834">
        <v>1</v>
      </c>
      <c r="D6834" s="1">
        <v>44121.811030092591</v>
      </c>
      <c r="E6834" t="s">
        <v>21436</v>
      </c>
      <c r="F6834" t="s">
        <v>442</v>
      </c>
      <c r="G6834" t="s">
        <v>21437</v>
      </c>
      <c r="H6834" t="s">
        <v>444</v>
      </c>
      <c r="I6834" t="s">
        <v>29</v>
      </c>
      <c r="J6834">
        <v>1</v>
      </c>
      <c r="K6834">
        <f>1-888-331-8148</f>
        <v>-9366</v>
      </c>
      <c r="L6834" t="s">
        <v>21438</v>
      </c>
      <c r="M6834" t="s">
        <v>21439</v>
      </c>
      <c r="N6834" t="s">
        <v>2475</v>
      </c>
      <c r="O6834" t="s">
        <v>28</v>
      </c>
      <c r="P6834" t="s">
        <v>29</v>
      </c>
      <c r="Q6834">
        <v>42</v>
      </c>
      <c r="R6834">
        <v>-87.629800000000003</v>
      </c>
    </row>
    <row r="6835" spans="1:18" x14ac:dyDescent="0.2">
      <c r="A6835" t="s">
        <v>663</v>
      </c>
      <c r="B6835" t="s">
        <v>664</v>
      </c>
      <c r="C6835">
        <v>1</v>
      </c>
      <c r="D6835" s="1">
        <v>44121.896550925929</v>
      </c>
      <c r="E6835" t="s">
        <v>21440</v>
      </c>
      <c r="F6835" t="s">
        <v>666</v>
      </c>
      <c r="G6835" t="s">
        <v>21440</v>
      </c>
      <c r="H6835" t="s">
        <v>667</v>
      </c>
      <c r="I6835" t="s">
        <v>29</v>
      </c>
      <c r="J6835">
        <v>1</v>
      </c>
      <c r="K6835">
        <f>1-888-340-5012</f>
        <v>-6239</v>
      </c>
      <c r="L6835" t="s">
        <v>21441</v>
      </c>
      <c r="M6835" t="s">
        <v>21442</v>
      </c>
      <c r="N6835">
        <v>218</v>
      </c>
      <c r="O6835" t="s">
        <v>134</v>
      </c>
      <c r="P6835" t="s">
        <v>29</v>
      </c>
      <c r="Q6835">
        <v>37</v>
      </c>
      <c r="R6835">
        <v>-99.999999000000003</v>
      </c>
    </row>
    <row r="6836" spans="1:18" x14ac:dyDescent="0.2">
      <c r="A6836" t="s">
        <v>439</v>
      </c>
      <c r="B6836" t="s">
        <v>4321</v>
      </c>
      <c r="C6836">
        <v>1</v>
      </c>
      <c r="D6836" s="1">
        <v>44121.939780092594</v>
      </c>
      <c r="E6836" t="s">
        <v>21443</v>
      </c>
      <c r="F6836" t="s">
        <v>442</v>
      </c>
      <c r="G6836" t="s">
        <v>21444</v>
      </c>
      <c r="H6836" t="s">
        <v>444</v>
      </c>
      <c r="I6836" t="s">
        <v>29</v>
      </c>
      <c r="J6836">
        <v>1</v>
      </c>
      <c r="K6836">
        <f>1-888-347-1971</f>
        <v>-3205</v>
      </c>
      <c r="L6836" t="s">
        <v>21445</v>
      </c>
      <c r="M6836" t="s">
        <v>21446</v>
      </c>
      <c r="N6836" t="s">
        <v>1645</v>
      </c>
      <c r="O6836" t="s">
        <v>28</v>
      </c>
      <c r="P6836" t="s">
        <v>29</v>
      </c>
      <c r="Q6836">
        <v>42</v>
      </c>
      <c r="R6836">
        <v>-87.629800000000003</v>
      </c>
    </row>
    <row r="6837" spans="1:18" x14ac:dyDescent="0.2">
      <c r="A6837" t="s">
        <v>1637</v>
      </c>
      <c r="B6837" t="s">
        <v>1638</v>
      </c>
      <c r="C6837">
        <v>1</v>
      </c>
      <c r="D6837" s="1">
        <v>44220.83834490741</v>
      </c>
      <c r="E6837" t="s">
        <v>21447</v>
      </c>
      <c r="F6837" t="s">
        <v>1640</v>
      </c>
      <c r="G6837" t="s">
        <v>21448</v>
      </c>
      <c r="H6837" t="s">
        <v>1642</v>
      </c>
      <c r="I6837" t="s">
        <v>29</v>
      </c>
      <c r="J6837">
        <v>1</v>
      </c>
      <c r="K6837">
        <f>1-800-932-7838</f>
        <v>-9569</v>
      </c>
      <c r="L6837" t="s">
        <v>21449</v>
      </c>
      <c r="M6837" t="s">
        <v>21450</v>
      </c>
      <c r="N6837" t="s">
        <v>1645</v>
      </c>
      <c r="O6837" t="s">
        <v>134</v>
      </c>
      <c r="P6837" t="s">
        <v>292</v>
      </c>
      <c r="Q6837">
        <v>49</v>
      </c>
      <c r="R6837">
        <v>2.3281000000000001</v>
      </c>
    </row>
    <row r="6838" spans="1:18" x14ac:dyDescent="0.2">
      <c r="A6838" t="s">
        <v>1637</v>
      </c>
      <c r="B6838" t="s">
        <v>1638</v>
      </c>
      <c r="C6838">
        <v>1</v>
      </c>
      <c r="D6838" s="1">
        <v>44220.794502314813</v>
      </c>
      <c r="E6838" t="s">
        <v>21451</v>
      </c>
      <c r="F6838" t="s">
        <v>1640</v>
      </c>
      <c r="G6838" t="s">
        <v>21448</v>
      </c>
      <c r="H6838" t="s">
        <v>1642</v>
      </c>
      <c r="I6838" t="s">
        <v>29</v>
      </c>
      <c r="J6838">
        <v>1</v>
      </c>
      <c r="K6838">
        <f>1-800-932-2830</f>
        <v>-4561</v>
      </c>
      <c r="L6838" t="s">
        <v>21452</v>
      </c>
      <c r="M6838" t="s">
        <v>21453</v>
      </c>
      <c r="N6838" t="s">
        <v>21454</v>
      </c>
      <c r="O6838" t="s">
        <v>134</v>
      </c>
      <c r="P6838" t="s">
        <v>292</v>
      </c>
      <c r="Q6838">
        <v>49</v>
      </c>
      <c r="R6838">
        <v>2.3281000000000001</v>
      </c>
    </row>
    <row r="6839" spans="1:18" x14ac:dyDescent="0.2">
      <c r="A6839" t="s">
        <v>1637</v>
      </c>
      <c r="B6839" t="s">
        <v>1638</v>
      </c>
      <c r="C6839">
        <v>1</v>
      </c>
      <c r="D6839" s="1">
        <v>44218.070798611108</v>
      </c>
      <c r="E6839" t="s">
        <v>21455</v>
      </c>
      <c r="F6839" t="s">
        <v>1640</v>
      </c>
      <c r="G6839" t="s">
        <v>21448</v>
      </c>
      <c r="H6839" t="s">
        <v>1642</v>
      </c>
      <c r="I6839" t="s">
        <v>29</v>
      </c>
      <c r="J6839">
        <v>1</v>
      </c>
      <c r="K6839">
        <f>1-800-931-2783</f>
        <v>-4513</v>
      </c>
      <c r="L6839" t="s">
        <v>21456</v>
      </c>
      <c r="M6839" t="s">
        <v>21457</v>
      </c>
      <c r="N6839" t="s">
        <v>452</v>
      </c>
      <c r="O6839" t="s">
        <v>134</v>
      </c>
      <c r="P6839" t="s">
        <v>292</v>
      </c>
      <c r="Q6839">
        <v>49</v>
      </c>
      <c r="R6839">
        <v>2.3281000000000001</v>
      </c>
    </row>
    <row r="6840" spans="1:18" x14ac:dyDescent="0.2">
      <c r="A6840" t="s">
        <v>1637</v>
      </c>
      <c r="B6840" t="s">
        <v>1638</v>
      </c>
      <c r="C6840">
        <v>1</v>
      </c>
      <c r="D6840" s="1">
        <v>44157.884641203702</v>
      </c>
      <c r="E6840" t="s">
        <v>21458</v>
      </c>
      <c r="F6840" t="s">
        <v>1640</v>
      </c>
      <c r="G6840" t="s">
        <v>21448</v>
      </c>
      <c r="H6840" t="s">
        <v>1642</v>
      </c>
      <c r="I6840" t="s">
        <v>29</v>
      </c>
      <c r="J6840">
        <v>1</v>
      </c>
      <c r="K6840">
        <f>1-888-410-9670</f>
        <v>-10967</v>
      </c>
      <c r="L6840" t="s">
        <v>21459</v>
      </c>
      <c r="M6840" t="s">
        <v>21460</v>
      </c>
      <c r="N6840" t="s">
        <v>2475</v>
      </c>
      <c r="O6840" t="s">
        <v>134</v>
      </c>
      <c r="P6840" t="s">
        <v>292</v>
      </c>
      <c r="Q6840">
        <v>49</v>
      </c>
      <c r="R6840">
        <v>2.3281000000000001</v>
      </c>
    </row>
    <row r="6841" spans="1:18" x14ac:dyDescent="0.2">
      <c r="A6841" t="s">
        <v>1637</v>
      </c>
      <c r="B6841" t="s">
        <v>1638</v>
      </c>
      <c r="C6841">
        <v>1</v>
      </c>
      <c r="D6841" s="1">
        <v>44122.973506944443</v>
      </c>
      <c r="E6841" t="s">
        <v>21461</v>
      </c>
      <c r="F6841" t="s">
        <v>1640</v>
      </c>
      <c r="G6841" t="s">
        <v>21448</v>
      </c>
      <c r="H6841" t="s">
        <v>1642</v>
      </c>
      <c r="I6841" t="s">
        <v>29</v>
      </c>
      <c r="J6841">
        <v>1</v>
      </c>
      <c r="K6841">
        <f>1-888-407-8615</f>
        <v>-9909</v>
      </c>
      <c r="L6841" t="s">
        <v>21462</v>
      </c>
      <c r="M6841" t="s">
        <v>21463</v>
      </c>
      <c r="N6841" t="s">
        <v>1645</v>
      </c>
      <c r="O6841" t="s">
        <v>134</v>
      </c>
      <c r="P6841" t="s">
        <v>292</v>
      </c>
      <c r="Q6841">
        <v>49</v>
      </c>
      <c r="R6841">
        <v>2.3281000000000001</v>
      </c>
    </row>
    <row r="6842" spans="1:18" x14ac:dyDescent="0.2">
      <c r="A6842" t="s">
        <v>1637</v>
      </c>
      <c r="B6842" t="s">
        <v>1638</v>
      </c>
      <c r="C6842">
        <v>1</v>
      </c>
      <c r="D6842" s="1">
        <v>44122.932604166665</v>
      </c>
      <c r="E6842" t="s">
        <v>21464</v>
      </c>
      <c r="F6842" t="s">
        <v>1640</v>
      </c>
      <c r="G6842" t="s">
        <v>21448</v>
      </c>
      <c r="H6842" t="s">
        <v>1642</v>
      </c>
      <c r="I6842" t="s">
        <v>29</v>
      </c>
      <c r="J6842">
        <v>1</v>
      </c>
      <c r="K6842">
        <f>1-888-406-3478</f>
        <v>-4771</v>
      </c>
      <c r="L6842" t="s">
        <v>21465</v>
      </c>
      <c r="M6842" t="s">
        <v>21466</v>
      </c>
      <c r="N6842" t="s">
        <v>2475</v>
      </c>
      <c r="O6842" t="s">
        <v>134</v>
      </c>
      <c r="P6842" t="s">
        <v>292</v>
      </c>
      <c r="Q6842">
        <v>49</v>
      </c>
      <c r="R6842">
        <v>2.3281000000000001</v>
      </c>
    </row>
    <row r="6843" spans="1:18" x14ac:dyDescent="0.2">
      <c r="A6843" t="s">
        <v>1637</v>
      </c>
      <c r="B6843" t="s">
        <v>1638</v>
      </c>
      <c r="C6843">
        <v>1</v>
      </c>
      <c r="D6843" s="1">
        <v>44122.860717592594</v>
      </c>
      <c r="E6843" t="s">
        <v>21467</v>
      </c>
      <c r="F6843" t="s">
        <v>1640</v>
      </c>
      <c r="G6843" t="s">
        <v>21448</v>
      </c>
      <c r="H6843" t="s">
        <v>1642</v>
      </c>
      <c r="I6843" t="s">
        <v>29</v>
      </c>
      <c r="J6843">
        <v>1</v>
      </c>
      <c r="K6843">
        <f>1-888-406-3512</f>
        <v>-4805</v>
      </c>
      <c r="L6843" t="s">
        <v>21468</v>
      </c>
      <c r="M6843" t="s">
        <v>21469</v>
      </c>
      <c r="N6843" t="s">
        <v>1645</v>
      </c>
      <c r="O6843" t="s">
        <v>134</v>
      </c>
      <c r="P6843" t="s">
        <v>292</v>
      </c>
      <c r="Q6843">
        <v>49</v>
      </c>
      <c r="R6843">
        <v>2.3281000000000001</v>
      </c>
    </row>
    <row r="6844" spans="1:18" x14ac:dyDescent="0.2">
      <c r="A6844" t="s">
        <v>1637</v>
      </c>
      <c r="B6844" t="s">
        <v>1638</v>
      </c>
      <c r="C6844">
        <v>1</v>
      </c>
      <c r="D6844" s="1">
        <v>44122.858437499999</v>
      </c>
      <c r="E6844" t="s">
        <v>21470</v>
      </c>
      <c r="F6844" t="s">
        <v>1640</v>
      </c>
      <c r="G6844" t="s">
        <v>21448</v>
      </c>
      <c r="H6844" t="s">
        <v>1642</v>
      </c>
      <c r="I6844" t="s">
        <v>29</v>
      </c>
      <c r="J6844">
        <v>1</v>
      </c>
      <c r="K6844">
        <f>1-888-406-3512</f>
        <v>-4805</v>
      </c>
      <c r="L6844" t="s">
        <v>21471</v>
      </c>
      <c r="M6844" t="s">
        <v>21472</v>
      </c>
      <c r="N6844" t="s">
        <v>36</v>
      </c>
      <c r="O6844" t="s">
        <v>134</v>
      </c>
      <c r="P6844" t="s">
        <v>292</v>
      </c>
      <c r="Q6844">
        <v>49</v>
      </c>
      <c r="R6844">
        <v>2.3281000000000001</v>
      </c>
    </row>
    <row r="6845" spans="1:18" x14ac:dyDescent="0.2">
      <c r="A6845" t="s">
        <v>1637</v>
      </c>
      <c r="B6845" t="s">
        <v>1638</v>
      </c>
      <c r="C6845">
        <v>1</v>
      </c>
      <c r="D6845" s="1">
        <v>44122.812847222223</v>
      </c>
      <c r="E6845" t="s">
        <v>21470</v>
      </c>
      <c r="F6845" t="s">
        <v>1640</v>
      </c>
      <c r="G6845" t="s">
        <v>21448</v>
      </c>
      <c r="H6845" t="s">
        <v>1642</v>
      </c>
      <c r="I6845" t="s">
        <v>29</v>
      </c>
      <c r="J6845">
        <v>1</v>
      </c>
      <c r="K6845">
        <f>1-888-811-5808</f>
        <v>-7506</v>
      </c>
      <c r="L6845" t="s">
        <v>21473</v>
      </c>
      <c r="M6845" t="s">
        <v>21474</v>
      </c>
      <c r="N6845" t="s">
        <v>36</v>
      </c>
      <c r="O6845" t="s">
        <v>134</v>
      </c>
      <c r="P6845" t="s">
        <v>292</v>
      </c>
      <c r="Q6845">
        <v>49</v>
      </c>
      <c r="R6845">
        <v>2.3281000000000001</v>
      </c>
    </row>
    <row r="6846" spans="1:18" x14ac:dyDescent="0.2">
      <c r="A6846" t="s">
        <v>439</v>
      </c>
      <c r="B6846" t="s">
        <v>3094</v>
      </c>
      <c r="C6846">
        <v>1</v>
      </c>
      <c r="D6846" s="1">
        <v>44122.825949074075</v>
      </c>
      <c r="E6846" t="s">
        <v>21475</v>
      </c>
      <c r="F6846" t="s">
        <v>442</v>
      </c>
      <c r="G6846" t="s">
        <v>21476</v>
      </c>
      <c r="H6846" t="s">
        <v>444</v>
      </c>
      <c r="I6846" t="s">
        <v>29</v>
      </c>
      <c r="J6846">
        <v>1</v>
      </c>
      <c r="K6846">
        <f>1-888-534-412</f>
        <v>-1833</v>
      </c>
      <c r="L6846" t="s">
        <v>21477</v>
      </c>
      <c r="M6846" t="s">
        <v>21478</v>
      </c>
      <c r="N6846" t="s">
        <v>447</v>
      </c>
      <c r="O6846" t="s">
        <v>28</v>
      </c>
      <c r="P6846" t="s">
        <v>2268</v>
      </c>
      <c r="Q6846">
        <v>46</v>
      </c>
      <c r="R6846">
        <v>-73.567300000000003</v>
      </c>
    </row>
    <row r="6847" spans="1:18" x14ac:dyDescent="0.2">
      <c r="A6847" t="s">
        <v>663</v>
      </c>
      <c r="B6847" t="s">
        <v>664</v>
      </c>
      <c r="C6847">
        <v>81</v>
      </c>
      <c r="D6847" s="1">
        <v>44123.374062499999</v>
      </c>
      <c r="E6847" t="s">
        <v>21479</v>
      </c>
      <c r="F6847" t="s">
        <v>666</v>
      </c>
      <c r="G6847" t="s">
        <v>21480</v>
      </c>
      <c r="H6847" t="s">
        <v>667</v>
      </c>
      <c r="I6847" t="s">
        <v>53</v>
      </c>
      <c r="J6847">
        <v>81</v>
      </c>
      <c r="K6847">
        <f>81-50-5532-5185</f>
        <v>-10686</v>
      </c>
      <c r="L6847" t="s">
        <v>21481</v>
      </c>
      <c r="M6847" t="s">
        <v>21482</v>
      </c>
      <c r="N6847" t="s">
        <v>2475</v>
      </c>
      <c r="O6847" t="s">
        <v>28</v>
      </c>
      <c r="P6847" t="s">
        <v>29</v>
      </c>
      <c r="Q6847">
        <v>37</v>
      </c>
      <c r="R6847">
        <v>-99.999999000000003</v>
      </c>
    </row>
    <row r="6848" spans="1:18" x14ac:dyDescent="0.2">
      <c r="A6848" t="s">
        <v>5349</v>
      </c>
      <c r="B6848" t="s">
        <v>440</v>
      </c>
      <c r="C6848">
        <v>81</v>
      </c>
      <c r="D6848" s="1">
        <v>44123.37537037037</v>
      </c>
      <c r="E6848" t="s">
        <v>21483</v>
      </c>
      <c r="F6848" t="s">
        <v>7023</v>
      </c>
      <c r="G6848" t="s">
        <v>21483</v>
      </c>
      <c r="H6848" t="s">
        <v>2237</v>
      </c>
      <c r="I6848" t="s">
        <v>53</v>
      </c>
      <c r="J6848">
        <v>81</v>
      </c>
      <c r="K6848">
        <f>81-50-3198-903</f>
        <v>-4070</v>
      </c>
      <c r="L6848" t="s">
        <v>21484</v>
      </c>
      <c r="M6848" t="s">
        <v>21485</v>
      </c>
      <c r="N6848">
        <v>48</v>
      </c>
      <c r="O6848" t="s">
        <v>134</v>
      </c>
      <c r="P6848" t="s">
        <v>29</v>
      </c>
      <c r="Q6848">
        <v>39</v>
      </c>
      <c r="R6848">
        <v>-77.487399999999994</v>
      </c>
    </row>
    <row r="6849" spans="1:18" x14ac:dyDescent="0.2">
      <c r="A6849" t="s">
        <v>663</v>
      </c>
      <c r="B6849" t="s">
        <v>2493</v>
      </c>
      <c r="C6849">
        <v>44</v>
      </c>
      <c r="D6849" s="1">
        <v>44125.534745370373</v>
      </c>
      <c r="E6849" t="s">
        <v>21486</v>
      </c>
      <c r="F6849" t="s">
        <v>666</v>
      </c>
      <c r="G6849" t="s">
        <v>21487</v>
      </c>
      <c r="H6849" t="s">
        <v>667</v>
      </c>
      <c r="I6849" t="s">
        <v>618</v>
      </c>
      <c r="J6849">
        <v>44</v>
      </c>
      <c r="K6849">
        <f>44-800-51-6735</f>
        <v>-7542</v>
      </c>
      <c r="L6849" t="s">
        <v>21488</v>
      </c>
      <c r="M6849" t="s">
        <v>21489</v>
      </c>
      <c r="N6849" t="s">
        <v>2475</v>
      </c>
      <c r="O6849" t="s">
        <v>28</v>
      </c>
      <c r="P6849" t="s">
        <v>29</v>
      </c>
      <c r="Q6849">
        <v>41</v>
      </c>
      <c r="R6849">
        <v>-74.024699999999996</v>
      </c>
    </row>
    <row r="6850" spans="1:18" x14ac:dyDescent="0.2">
      <c r="A6850" t="s">
        <v>663</v>
      </c>
      <c r="B6850" t="s">
        <v>2493</v>
      </c>
      <c r="C6850">
        <v>44</v>
      </c>
      <c r="D6850" s="1">
        <v>44123.661863425928</v>
      </c>
      <c r="E6850" t="s">
        <v>21490</v>
      </c>
      <c r="F6850" t="s">
        <v>666</v>
      </c>
      <c r="G6850" t="s">
        <v>21487</v>
      </c>
      <c r="H6850" t="s">
        <v>667</v>
      </c>
      <c r="I6850" t="s">
        <v>618</v>
      </c>
      <c r="J6850">
        <v>44</v>
      </c>
      <c r="K6850">
        <f>44-808-143-3686</f>
        <v>-4593</v>
      </c>
      <c r="L6850" t="s">
        <v>21491</v>
      </c>
      <c r="M6850" t="s">
        <v>21492</v>
      </c>
      <c r="N6850" t="s">
        <v>2475</v>
      </c>
      <c r="O6850" t="s">
        <v>28</v>
      </c>
      <c r="P6850" t="s">
        <v>29</v>
      </c>
      <c r="Q6850">
        <v>41</v>
      </c>
      <c r="R6850">
        <v>-74.024699999999996</v>
      </c>
    </row>
    <row r="6851" spans="1:18" x14ac:dyDescent="0.2">
      <c r="A6851" t="s">
        <v>439</v>
      </c>
      <c r="B6851" t="s">
        <v>3094</v>
      </c>
      <c r="C6851">
        <v>1</v>
      </c>
      <c r="D6851" s="1">
        <v>44123.663194444445</v>
      </c>
      <c r="E6851" t="s">
        <v>21493</v>
      </c>
      <c r="F6851" t="s">
        <v>442</v>
      </c>
      <c r="G6851" t="s">
        <v>21494</v>
      </c>
      <c r="H6851" t="s">
        <v>444</v>
      </c>
      <c r="I6851" t="s">
        <v>29</v>
      </c>
      <c r="J6851">
        <v>1</v>
      </c>
      <c r="K6851">
        <f>1-888-348-6494</f>
        <v>-7729</v>
      </c>
      <c r="L6851" t="s">
        <v>21495</v>
      </c>
      <c r="M6851" t="s">
        <v>21496</v>
      </c>
      <c r="N6851" t="s">
        <v>2475</v>
      </c>
      <c r="O6851" t="s">
        <v>28</v>
      </c>
      <c r="P6851" t="s">
        <v>2268</v>
      </c>
      <c r="Q6851">
        <v>46</v>
      </c>
      <c r="R6851">
        <v>-73.567300000000003</v>
      </c>
    </row>
    <row r="6852" spans="1:18" x14ac:dyDescent="0.2">
      <c r="A6852" t="s">
        <v>439</v>
      </c>
      <c r="B6852" t="s">
        <v>4321</v>
      </c>
      <c r="C6852">
        <v>1</v>
      </c>
      <c r="D6852" s="1">
        <v>44123.696273148147</v>
      </c>
      <c r="E6852" t="s">
        <v>21493</v>
      </c>
      <c r="F6852" t="s">
        <v>442</v>
      </c>
      <c r="G6852" t="s">
        <v>21497</v>
      </c>
      <c r="H6852" t="s">
        <v>444</v>
      </c>
      <c r="I6852" t="s">
        <v>29</v>
      </c>
      <c r="J6852">
        <v>1</v>
      </c>
      <c r="K6852">
        <f>1-888-339-6878</f>
        <v>-8104</v>
      </c>
      <c r="L6852" t="s">
        <v>21498</v>
      </c>
      <c r="M6852" t="s">
        <v>21499</v>
      </c>
      <c r="N6852" t="s">
        <v>2475</v>
      </c>
      <c r="O6852" t="s">
        <v>28</v>
      </c>
      <c r="P6852" t="s">
        <v>29</v>
      </c>
      <c r="Q6852">
        <v>42</v>
      </c>
      <c r="R6852">
        <v>-87.629800000000003</v>
      </c>
    </row>
    <row r="6853" spans="1:18" x14ac:dyDescent="0.2">
      <c r="A6853" t="s">
        <v>270</v>
      </c>
      <c r="B6853" t="s">
        <v>1212</v>
      </c>
      <c r="C6853">
        <v>1</v>
      </c>
      <c r="D6853" s="1">
        <v>44249.806585648148</v>
      </c>
      <c r="E6853" t="s">
        <v>21500</v>
      </c>
      <c r="F6853" t="s">
        <v>273</v>
      </c>
      <c r="G6853" t="s">
        <v>21501</v>
      </c>
      <c r="H6853" t="s">
        <v>275</v>
      </c>
      <c r="I6853" t="s">
        <v>29</v>
      </c>
      <c r="J6853">
        <v>1</v>
      </c>
      <c r="K6853">
        <f>1-888-417-4077</f>
        <v>-5381</v>
      </c>
      <c r="L6853" t="s">
        <v>21502</v>
      </c>
      <c r="M6853" t="s">
        <v>21503</v>
      </c>
      <c r="N6853" t="s">
        <v>278</v>
      </c>
      <c r="O6853" t="s">
        <v>28</v>
      </c>
      <c r="P6853" t="s">
        <v>618</v>
      </c>
      <c r="Q6853">
        <v>52</v>
      </c>
      <c r="R6853">
        <v>-7.9212000000000005E-2</v>
      </c>
    </row>
    <row r="6854" spans="1:18" x14ac:dyDescent="0.2">
      <c r="A6854" t="s">
        <v>270</v>
      </c>
      <c r="B6854" t="s">
        <v>1212</v>
      </c>
      <c r="C6854">
        <v>1</v>
      </c>
      <c r="D6854" s="1">
        <v>44249.764733796299</v>
      </c>
      <c r="E6854" t="s">
        <v>21504</v>
      </c>
      <c r="F6854" t="s">
        <v>273</v>
      </c>
      <c r="G6854" t="s">
        <v>21501</v>
      </c>
      <c r="H6854" t="s">
        <v>275</v>
      </c>
      <c r="I6854" t="s">
        <v>29</v>
      </c>
      <c r="J6854">
        <v>1</v>
      </c>
      <c r="K6854">
        <f>1-888-396-8550</f>
        <v>-9833</v>
      </c>
      <c r="L6854" s="2" t="s">
        <v>21505</v>
      </c>
      <c r="M6854" t="s">
        <v>21506</v>
      </c>
      <c r="N6854" t="s">
        <v>278</v>
      </c>
      <c r="O6854" t="s">
        <v>28</v>
      </c>
      <c r="P6854" t="s">
        <v>618</v>
      </c>
      <c r="Q6854">
        <v>52</v>
      </c>
      <c r="R6854">
        <v>-7.9212000000000005E-2</v>
      </c>
    </row>
    <row r="6855" spans="1:18" x14ac:dyDescent="0.2">
      <c r="A6855" t="s">
        <v>270</v>
      </c>
      <c r="B6855" t="s">
        <v>1212</v>
      </c>
      <c r="C6855">
        <v>1</v>
      </c>
      <c r="D6855" s="1">
        <v>44245.718692129631</v>
      </c>
      <c r="E6855" t="s">
        <v>21507</v>
      </c>
      <c r="F6855" t="s">
        <v>273</v>
      </c>
      <c r="G6855" t="s">
        <v>21501</v>
      </c>
      <c r="H6855" t="s">
        <v>275</v>
      </c>
      <c r="I6855" t="s">
        <v>29</v>
      </c>
      <c r="J6855">
        <v>1</v>
      </c>
      <c r="K6855">
        <f>1-888-612-8292</f>
        <v>-9791</v>
      </c>
      <c r="L6855" s="2" t="s">
        <v>21508</v>
      </c>
      <c r="M6855" t="s">
        <v>21509</v>
      </c>
      <c r="N6855" t="s">
        <v>278</v>
      </c>
      <c r="O6855" t="s">
        <v>28</v>
      </c>
      <c r="P6855" t="s">
        <v>618</v>
      </c>
      <c r="Q6855">
        <v>52</v>
      </c>
      <c r="R6855">
        <v>-7.9212000000000005E-2</v>
      </c>
    </row>
    <row r="6856" spans="1:18" x14ac:dyDescent="0.2">
      <c r="A6856" t="s">
        <v>270</v>
      </c>
      <c r="B6856" t="s">
        <v>1212</v>
      </c>
      <c r="C6856">
        <v>1</v>
      </c>
      <c r="D6856" s="1">
        <v>44244.853356481479</v>
      </c>
      <c r="E6856" t="s">
        <v>21510</v>
      </c>
      <c r="F6856" t="s">
        <v>273</v>
      </c>
      <c r="G6856" t="s">
        <v>21501</v>
      </c>
      <c r="H6856" t="s">
        <v>275</v>
      </c>
      <c r="I6856" t="s">
        <v>29</v>
      </c>
      <c r="J6856">
        <v>1</v>
      </c>
      <c r="K6856">
        <f>1-888-600-7029</f>
        <v>-8516</v>
      </c>
      <c r="L6856" t="s">
        <v>21511</v>
      </c>
      <c r="M6856" t="s">
        <v>21512</v>
      </c>
      <c r="N6856" t="s">
        <v>278</v>
      </c>
      <c r="O6856" t="s">
        <v>28</v>
      </c>
      <c r="P6856" t="s">
        <v>618</v>
      </c>
      <c r="Q6856">
        <v>52</v>
      </c>
      <c r="R6856">
        <v>-7.9212000000000005E-2</v>
      </c>
    </row>
    <row r="6857" spans="1:18" x14ac:dyDescent="0.2">
      <c r="A6857" t="s">
        <v>270</v>
      </c>
      <c r="B6857" t="s">
        <v>1212</v>
      </c>
      <c r="C6857">
        <v>1</v>
      </c>
      <c r="D6857" s="1">
        <v>44224.920706018522</v>
      </c>
      <c r="E6857" t="s">
        <v>21513</v>
      </c>
      <c r="F6857" t="s">
        <v>273</v>
      </c>
      <c r="G6857" t="s">
        <v>21501</v>
      </c>
      <c r="H6857" t="s">
        <v>275</v>
      </c>
      <c r="I6857" t="s">
        <v>29</v>
      </c>
      <c r="J6857">
        <v>1</v>
      </c>
      <c r="K6857">
        <f>1-888-336-7419</f>
        <v>-8642</v>
      </c>
      <c r="L6857" t="s">
        <v>21514</v>
      </c>
      <c r="M6857" t="s">
        <v>21515</v>
      </c>
      <c r="N6857" t="s">
        <v>278</v>
      </c>
      <c r="O6857" t="s">
        <v>28</v>
      </c>
      <c r="P6857" t="s">
        <v>618</v>
      </c>
      <c r="Q6857">
        <v>52</v>
      </c>
      <c r="R6857">
        <v>-7.9212000000000005E-2</v>
      </c>
    </row>
    <row r="6858" spans="1:18" x14ac:dyDescent="0.2">
      <c r="A6858" t="s">
        <v>270</v>
      </c>
      <c r="B6858" t="s">
        <v>1212</v>
      </c>
      <c r="C6858">
        <v>1</v>
      </c>
      <c r="D6858" s="1">
        <v>44209.834282407406</v>
      </c>
      <c r="E6858" t="s">
        <v>21516</v>
      </c>
      <c r="F6858" t="s">
        <v>273</v>
      </c>
      <c r="G6858" t="s">
        <v>21501</v>
      </c>
      <c r="H6858" t="s">
        <v>275</v>
      </c>
      <c r="I6858" t="s">
        <v>29</v>
      </c>
      <c r="J6858">
        <v>1</v>
      </c>
      <c r="K6858">
        <f>1-888-339-8643</f>
        <v>-9869</v>
      </c>
      <c r="L6858" t="s">
        <v>21517</v>
      </c>
      <c r="M6858" t="s">
        <v>21518</v>
      </c>
      <c r="N6858" t="s">
        <v>278</v>
      </c>
      <c r="O6858" t="s">
        <v>28</v>
      </c>
      <c r="P6858" t="s">
        <v>618</v>
      </c>
      <c r="Q6858">
        <v>52</v>
      </c>
      <c r="R6858">
        <v>-7.9212000000000005E-2</v>
      </c>
    </row>
    <row r="6859" spans="1:18" x14ac:dyDescent="0.2">
      <c r="A6859" t="s">
        <v>270</v>
      </c>
      <c r="B6859" t="s">
        <v>1212</v>
      </c>
      <c r="C6859">
        <v>1</v>
      </c>
      <c r="D6859" s="1">
        <v>44203.76153935185</v>
      </c>
      <c r="E6859" t="s">
        <v>21519</v>
      </c>
      <c r="F6859" t="s">
        <v>273</v>
      </c>
      <c r="G6859" t="s">
        <v>21501</v>
      </c>
      <c r="H6859" t="s">
        <v>275</v>
      </c>
      <c r="I6859" t="s">
        <v>29</v>
      </c>
      <c r="J6859">
        <v>1</v>
      </c>
      <c r="K6859">
        <f>1-888-348-5542</f>
        <v>-6777</v>
      </c>
      <c r="L6859" t="s">
        <v>21520</v>
      </c>
      <c r="M6859" t="s">
        <v>21521</v>
      </c>
      <c r="N6859" t="s">
        <v>278</v>
      </c>
      <c r="O6859" t="s">
        <v>28</v>
      </c>
      <c r="P6859" t="s">
        <v>618</v>
      </c>
      <c r="Q6859">
        <v>52</v>
      </c>
      <c r="R6859">
        <v>-7.9212000000000005E-2</v>
      </c>
    </row>
    <row r="6860" spans="1:18" x14ac:dyDescent="0.2">
      <c r="A6860" t="s">
        <v>270</v>
      </c>
      <c r="B6860" t="s">
        <v>1212</v>
      </c>
      <c r="C6860">
        <v>1</v>
      </c>
      <c r="D6860" s="1">
        <v>44174.739039351851</v>
      </c>
      <c r="E6860" t="s">
        <v>21522</v>
      </c>
      <c r="F6860" t="s">
        <v>273</v>
      </c>
      <c r="G6860" t="s">
        <v>21501</v>
      </c>
      <c r="H6860" t="s">
        <v>275</v>
      </c>
      <c r="I6860" t="s">
        <v>29</v>
      </c>
      <c r="J6860">
        <v>1</v>
      </c>
      <c r="K6860">
        <f>1-888-202-290</f>
        <v>-1379</v>
      </c>
      <c r="L6860" t="s">
        <v>21523</v>
      </c>
      <c r="M6860" t="s">
        <v>21524</v>
      </c>
      <c r="N6860" t="s">
        <v>278</v>
      </c>
      <c r="O6860" t="s">
        <v>28</v>
      </c>
      <c r="P6860" t="s">
        <v>618</v>
      </c>
      <c r="Q6860">
        <v>52</v>
      </c>
      <c r="R6860">
        <v>-7.9212000000000005E-2</v>
      </c>
    </row>
    <row r="6861" spans="1:18" x14ac:dyDescent="0.2">
      <c r="A6861" t="s">
        <v>270</v>
      </c>
      <c r="B6861" t="s">
        <v>1212</v>
      </c>
      <c r="C6861">
        <v>1</v>
      </c>
      <c r="D6861" s="1">
        <v>44149.154363425929</v>
      </c>
      <c r="E6861" t="s">
        <v>21525</v>
      </c>
      <c r="F6861" t="s">
        <v>273</v>
      </c>
      <c r="G6861" t="s">
        <v>21501</v>
      </c>
      <c r="H6861" t="s">
        <v>275</v>
      </c>
      <c r="I6861" t="s">
        <v>29</v>
      </c>
      <c r="J6861">
        <v>1</v>
      </c>
      <c r="K6861">
        <f>1-844-275-1730</f>
        <v>-2848</v>
      </c>
      <c r="L6861" t="s">
        <v>21526</v>
      </c>
      <c r="M6861" t="s">
        <v>21527</v>
      </c>
      <c r="N6861" t="s">
        <v>278</v>
      </c>
      <c r="O6861" t="s">
        <v>134</v>
      </c>
      <c r="P6861" t="s">
        <v>618</v>
      </c>
      <c r="Q6861">
        <v>52</v>
      </c>
      <c r="R6861">
        <v>-7.9212000000000005E-2</v>
      </c>
    </row>
    <row r="6862" spans="1:18" x14ac:dyDescent="0.2">
      <c r="A6862" t="s">
        <v>270</v>
      </c>
      <c r="B6862" t="s">
        <v>1212</v>
      </c>
      <c r="C6862">
        <v>1</v>
      </c>
      <c r="D6862" s="1">
        <v>44149.136956018519</v>
      </c>
      <c r="E6862" t="s">
        <v>21528</v>
      </c>
      <c r="F6862" t="s">
        <v>273</v>
      </c>
      <c r="G6862" t="s">
        <v>21501</v>
      </c>
      <c r="H6862" t="s">
        <v>275</v>
      </c>
      <c r="I6862" t="s">
        <v>29</v>
      </c>
      <c r="J6862">
        <v>1</v>
      </c>
      <c r="K6862">
        <f>1-844-288-9125</f>
        <v>-10256</v>
      </c>
      <c r="L6862" t="s">
        <v>21529</v>
      </c>
      <c r="M6862" t="s">
        <v>21530</v>
      </c>
      <c r="N6862" t="s">
        <v>278</v>
      </c>
      <c r="O6862" t="s">
        <v>134</v>
      </c>
      <c r="P6862" t="s">
        <v>618</v>
      </c>
      <c r="Q6862">
        <v>52</v>
      </c>
      <c r="R6862">
        <v>-7.9212000000000005E-2</v>
      </c>
    </row>
    <row r="6863" spans="1:18" x14ac:dyDescent="0.2">
      <c r="A6863" t="s">
        <v>270</v>
      </c>
      <c r="B6863" t="s">
        <v>1212</v>
      </c>
      <c r="C6863">
        <v>1</v>
      </c>
      <c r="D6863" s="1">
        <v>44149.123414351852</v>
      </c>
      <c r="E6863" t="s">
        <v>21531</v>
      </c>
      <c r="F6863" t="s">
        <v>273</v>
      </c>
      <c r="G6863" t="s">
        <v>21501</v>
      </c>
      <c r="H6863" t="s">
        <v>275</v>
      </c>
      <c r="I6863" t="s">
        <v>29</v>
      </c>
      <c r="J6863">
        <v>1</v>
      </c>
      <c r="K6863">
        <f>1-844-290-7339</f>
        <v>-8472</v>
      </c>
      <c r="L6863" t="s">
        <v>21532</v>
      </c>
      <c r="M6863" t="s">
        <v>21533</v>
      </c>
      <c r="N6863" t="s">
        <v>278</v>
      </c>
      <c r="O6863" t="s">
        <v>134</v>
      </c>
      <c r="P6863" t="s">
        <v>618</v>
      </c>
      <c r="Q6863">
        <v>52</v>
      </c>
      <c r="R6863">
        <v>-7.9212000000000005E-2</v>
      </c>
    </row>
    <row r="6864" spans="1:18" x14ac:dyDescent="0.2">
      <c r="A6864" t="s">
        <v>270</v>
      </c>
      <c r="B6864" t="s">
        <v>1212</v>
      </c>
      <c r="C6864">
        <v>1</v>
      </c>
      <c r="D6864" s="1">
        <v>44145.716354166667</v>
      </c>
      <c r="E6864" t="s">
        <v>21534</v>
      </c>
      <c r="F6864" t="s">
        <v>273</v>
      </c>
      <c r="G6864" t="s">
        <v>21501</v>
      </c>
      <c r="H6864" t="s">
        <v>275</v>
      </c>
      <c r="I6864" t="s">
        <v>29</v>
      </c>
      <c r="J6864">
        <v>1</v>
      </c>
      <c r="K6864">
        <f>1-844-295-7564</f>
        <v>-8702</v>
      </c>
      <c r="L6864" t="s">
        <v>21535</v>
      </c>
      <c r="M6864" t="s">
        <v>21536</v>
      </c>
      <c r="N6864" t="s">
        <v>278</v>
      </c>
      <c r="O6864" t="s">
        <v>28</v>
      </c>
      <c r="P6864" t="s">
        <v>618</v>
      </c>
      <c r="Q6864">
        <v>52</v>
      </c>
      <c r="R6864">
        <v>-7.9212000000000005E-2</v>
      </c>
    </row>
    <row r="6865" spans="1:18" x14ac:dyDescent="0.2">
      <c r="A6865" t="s">
        <v>270</v>
      </c>
      <c r="B6865" t="s">
        <v>1212</v>
      </c>
      <c r="C6865">
        <v>1</v>
      </c>
      <c r="D6865" s="1">
        <v>44140.777094907404</v>
      </c>
      <c r="E6865" t="s">
        <v>21537</v>
      </c>
      <c r="F6865" t="s">
        <v>273</v>
      </c>
      <c r="G6865" t="s">
        <v>21501</v>
      </c>
      <c r="H6865" t="s">
        <v>275</v>
      </c>
      <c r="I6865" t="s">
        <v>29</v>
      </c>
      <c r="J6865">
        <v>1</v>
      </c>
      <c r="K6865">
        <f>1-888-397-7606</f>
        <v>-8890</v>
      </c>
      <c r="L6865" t="s">
        <v>21538</v>
      </c>
      <c r="M6865" t="s">
        <v>21539</v>
      </c>
      <c r="N6865" t="s">
        <v>278</v>
      </c>
      <c r="O6865" t="s">
        <v>28</v>
      </c>
      <c r="P6865" t="s">
        <v>618</v>
      </c>
      <c r="Q6865">
        <v>52</v>
      </c>
      <c r="R6865">
        <v>-7.9212000000000005E-2</v>
      </c>
    </row>
    <row r="6866" spans="1:18" x14ac:dyDescent="0.2">
      <c r="A6866" t="s">
        <v>270</v>
      </c>
      <c r="B6866" t="s">
        <v>1212</v>
      </c>
      <c r="C6866">
        <v>1</v>
      </c>
      <c r="D6866" s="1">
        <v>44139.839907407404</v>
      </c>
      <c r="E6866" t="s">
        <v>21540</v>
      </c>
      <c r="F6866" t="s">
        <v>273</v>
      </c>
      <c r="G6866" t="s">
        <v>21501</v>
      </c>
      <c r="H6866" t="s">
        <v>275</v>
      </c>
      <c r="I6866" t="s">
        <v>29</v>
      </c>
      <c r="J6866">
        <v>1</v>
      </c>
      <c r="K6866">
        <f>1-888-386-8562</f>
        <v>-9835</v>
      </c>
      <c r="L6866" t="s">
        <v>21541</v>
      </c>
      <c r="M6866" t="s">
        <v>21542</v>
      </c>
      <c r="N6866" t="s">
        <v>278</v>
      </c>
      <c r="O6866" t="s">
        <v>28</v>
      </c>
      <c r="P6866" t="s">
        <v>618</v>
      </c>
      <c r="Q6866">
        <v>52</v>
      </c>
      <c r="R6866">
        <v>-7.9212000000000005E-2</v>
      </c>
    </row>
    <row r="6867" spans="1:18" x14ac:dyDescent="0.2">
      <c r="A6867" t="s">
        <v>270</v>
      </c>
      <c r="B6867" t="s">
        <v>1212</v>
      </c>
      <c r="C6867">
        <v>1</v>
      </c>
      <c r="D6867" s="1">
        <v>44139.805289351854</v>
      </c>
      <c r="E6867" t="s">
        <v>21543</v>
      </c>
      <c r="F6867" t="s">
        <v>273</v>
      </c>
      <c r="G6867" t="s">
        <v>21501</v>
      </c>
      <c r="H6867" t="s">
        <v>275</v>
      </c>
      <c r="I6867" t="s">
        <v>29</v>
      </c>
      <c r="J6867">
        <v>1</v>
      </c>
      <c r="K6867">
        <f>1-888-352-1908</f>
        <v>-3147</v>
      </c>
      <c r="L6867" t="s">
        <v>21544</v>
      </c>
      <c r="M6867" t="s">
        <v>21545</v>
      </c>
      <c r="N6867" t="s">
        <v>278</v>
      </c>
      <c r="O6867" t="s">
        <v>28</v>
      </c>
      <c r="P6867" t="s">
        <v>618</v>
      </c>
      <c r="Q6867">
        <v>52</v>
      </c>
      <c r="R6867">
        <v>-7.9212000000000005E-2</v>
      </c>
    </row>
    <row r="6868" spans="1:18" x14ac:dyDescent="0.2">
      <c r="A6868" t="s">
        <v>270</v>
      </c>
      <c r="B6868" t="s">
        <v>1212</v>
      </c>
      <c r="C6868">
        <v>1</v>
      </c>
      <c r="D6868" s="1">
        <v>44134.829085648147</v>
      </c>
      <c r="E6868" t="s">
        <v>21546</v>
      </c>
      <c r="F6868" t="s">
        <v>273</v>
      </c>
      <c r="G6868" t="s">
        <v>21501</v>
      </c>
      <c r="H6868" t="s">
        <v>275</v>
      </c>
      <c r="I6868" t="s">
        <v>29</v>
      </c>
      <c r="J6868">
        <v>1</v>
      </c>
      <c r="K6868">
        <f>1-888-288-2715</f>
        <v>-3890</v>
      </c>
      <c r="L6868" t="s">
        <v>21547</v>
      </c>
      <c r="M6868" t="s">
        <v>21548</v>
      </c>
      <c r="N6868" t="s">
        <v>278</v>
      </c>
      <c r="O6868" t="s">
        <v>28</v>
      </c>
      <c r="P6868" t="s">
        <v>618</v>
      </c>
      <c r="Q6868">
        <v>52</v>
      </c>
      <c r="R6868">
        <v>-7.9212000000000005E-2</v>
      </c>
    </row>
    <row r="6869" spans="1:18" x14ac:dyDescent="0.2">
      <c r="A6869" t="s">
        <v>270</v>
      </c>
      <c r="B6869" t="s">
        <v>1212</v>
      </c>
      <c r="C6869">
        <v>1</v>
      </c>
      <c r="D6869" s="1">
        <v>44123.760393518518</v>
      </c>
      <c r="E6869" t="s">
        <v>21549</v>
      </c>
      <c r="F6869" t="s">
        <v>273</v>
      </c>
      <c r="G6869" t="s">
        <v>21501</v>
      </c>
      <c r="H6869" t="s">
        <v>275</v>
      </c>
      <c r="I6869" t="s">
        <v>29</v>
      </c>
      <c r="J6869">
        <v>1</v>
      </c>
      <c r="K6869">
        <f>1-888-347-2882</f>
        <v>-4116</v>
      </c>
      <c r="L6869" t="s">
        <v>21550</v>
      </c>
      <c r="M6869" t="s">
        <v>21551</v>
      </c>
      <c r="N6869" t="s">
        <v>278</v>
      </c>
      <c r="O6869" t="s">
        <v>28</v>
      </c>
      <c r="P6869" t="s">
        <v>618</v>
      </c>
      <c r="Q6869">
        <v>52</v>
      </c>
      <c r="R6869">
        <v>-7.9212000000000005E-2</v>
      </c>
    </row>
    <row r="6870" spans="1:18" x14ac:dyDescent="0.2">
      <c r="A6870" t="s">
        <v>439</v>
      </c>
      <c r="B6870" t="s">
        <v>3094</v>
      </c>
      <c r="C6870">
        <v>1</v>
      </c>
      <c r="D6870" s="1">
        <v>44123.760555555556</v>
      </c>
      <c r="E6870" t="s">
        <v>21552</v>
      </c>
      <c r="F6870" t="s">
        <v>442</v>
      </c>
      <c r="G6870" t="s">
        <v>21553</v>
      </c>
      <c r="H6870" t="s">
        <v>444</v>
      </c>
      <c r="I6870" t="s">
        <v>29</v>
      </c>
      <c r="J6870">
        <v>1</v>
      </c>
      <c r="K6870">
        <f>1-888-406-3475</f>
        <v>-4768</v>
      </c>
      <c r="L6870" t="s">
        <v>21554</v>
      </c>
      <c r="M6870" t="s">
        <v>21555</v>
      </c>
      <c r="N6870" t="s">
        <v>213</v>
      </c>
      <c r="O6870" t="s">
        <v>28</v>
      </c>
      <c r="P6870" t="s">
        <v>2268</v>
      </c>
      <c r="Q6870">
        <v>46</v>
      </c>
      <c r="R6870">
        <v>-73.567300000000003</v>
      </c>
    </row>
    <row r="6871" spans="1:18" x14ac:dyDescent="0.2">
      <c r="A6871" t="s">
        <v>439</v>
      </c>
      <c r="B6871" t="s">
        <v>3094</v>
      </c>
      <c r="C6871">
        <v>1</v>
      </c>
      <c r="D6871" s="1">
        <v>44123.760821759257</v>
      </c>
      <c r="E6871" t="s">
        <v>21556</v>
      </c>
      <c r="F6871" t="s">
        <v>442</v>
      </c>
      <c r="G6871" t="s">
        <v>21557</v>
      </c>
      <c r="H6871" t="s">
        <v>444</v>
      </c>
      <c r="I6871" t="s">
        <v>29</v>
      </c>
      <c r="J6871">
        <v>1</v>
      </c>
      <c r="K6871">
        <f>1-888-336-9475</f>
        <v>-10698</v>
      </c>
      <c r="L6871" t="s">
        <v>21558</v>
      </c>
      <c r="M6871" t="s">
        <v>21559</v>
      </c>
      <c r="N6871" t="s">
        <v>1645</v>
      </c>
      <c r="O6871" t="s">
        <v>28</v>
      </c>
      <c r="P6871" t="s">
        <v>2268</v>
      </c>
      <c r="Q6871">
        <v>46</v>
      </c>
      <c r="R6871">
        <v>-73.567300000000003</v>
      </c>
    </row>
    <row r="6872" spans="1:18" x14ac:dyDescent="0.2">
      <c r="A6872" t="s">
        <v>663</v>
      </c>
      <c r="B6872" t="s">
        <v>664</v>
      </c>
      <c r="C6872">
        <v>1</v>
      </c>
      <c r="D6872" s="1">
        <v>44123.761805555558</v>
      </c>
      <c r="E6872" t="s">
        <v>21560</v>
      </c>
      <c r="F6872" t="s">
        <v>666</v>
      </c>
      <c r="G6872" t="s">
        <v>21560</v>
      </c>
      <c r="H6872" t="s">
        <v>667</v>
      </c>
      <c r="I6872" t="s">
        <v>29</v>
      </c>
      <c r="J6872">
        <v>1</v>
      </c>
      <c r="K6872">
        <f>1-888-301-4017</f>
        <v>-5205</v>
      </c>
      <c r="L6872" t="s">
        <v>21561</v>
      </c>
      <c r="M6872" t="s">
        <v>21562</v>
      </c>
      <c r="N6872">
        <v>185</v>
      </c>
      <c r="O6872" t="s">
        <v>134</v>
      </c>
      <c r="P6872" t="s">
        <v>29</v>
      </c>
      <c r="Q6872">
        <v>37</v>
      </c>
      <c r="R6872">
        <v>-99.999999000000003</v>
      </c>
    </row>
    <row r="6873" spans="1:18" x14ac:dyDescent="0.2">
      <c r="A6873" t="s">
        <v>439</v>
      </c>
      <c r="B6873" t="s">
        <v>3094</v>
      </c>
      <c r="C6873">
        <v>1</v>
      </c>
      <c r="D6873" s="1">
        <v>44123.77611111111</v>
      </c>
      <c r="E6873" t="s">
        <v>21563</v>
      </c>
      <c r="F6873" t="s">
        <v>442</v>
      </c>
      <c r="G6873" t="s">
        <v>21564</v>
      </c>
      <c r="H6873" t="s">
        <v>444</v>
      </c>
      <c r="I6873" t="s">
        <v>29</v>
      </c>
      <c r="J6873">
        <v>1</v>
      </c>
      <c r="K6873">
        <f>1-888-298-5709</f>
        <v>-6894</v>
      </c>
      <c r="L6873" t="s">
        <v>21565</v>
      </c>
      <c r="M6873" t="s">
        <v>21566</v>
      </c>
      <c r="N6873" t="s">
        <v>452</v>
      </c>
      <c r="O6873" t="s">
        <v>28</v>
      </c>
      <c r="P6873" t="s">
        <v>2268</v>
      </c>
      <c r="Q6873">
        <v>46</v>
      </c>
      <c r="R6873">
        <v>-73.567300000000003</v>
      </c>
    </row>
    <row r="6874" spans="1:18" x14ac:dyDescent="0.2">
      <c r="A6874" t="s">
        <v>439</v>
      </c>
      <c r="B6874" t="s">
        <v>3094</v>
      </c>
      <c r="C6874">
        <v>1</v>
      </c>
      <c r="D6874" s="1">
        <v>44123.846365740741</v>
      </c>
      <c r="E6874" t="s">
        <v>21567</v>
      </c>
      <c r="F6874" t="s">
        <v>442</v>
      </c>
      <c r="G6874" t="s">
        <v>21568</v>
      </c>
      <c r="H6874" t="s">
        <v>444</v>
      </c>
      <c r="I6874" t="s">
        <v>29</v>
      </c>
      <c r="J6874">
        <v>1</v>
      </c>
      <c r="K6874">
        <f>1-888-298-5709</f>
        <v>-6894</v>
      </c>
      <c r="L6874" t="s">
        <v>21569</v>
      </c>
      <c r="M6874" t="s">
        <v>21570</v>
      </c>
      <c r="N6874" t="s">
        <v>452</v>
      </c>
      <c r="O6874" t="s">
        <v>28</v>
      </c>
      <c r="P6874" t="s">
        <v>2268</v>
      </c>
      <c r="Q6874">
        <v>46</v>
      </c>
      <c r="R6874">
        <v>-73.567300000000003</v>
      </c>
    </row>
    <row r="6875" spans="1:18" x14ac:dyDescent="0.2">
      <c r="A6875" t="s">
        <v>439</v>
      </c>
      <c r="B6875" t="s">
        <v>3094</v>
      </c>
      <c r="C6875">
        <v>1</v>
      </c>
      <c r="D6875" s="1">
        <v>44123.866400462961</v>
      </c>
      <c r="E6875" t="s">
        <v>21571</v>
      </c>
      <c r="F6875" t="s">
        <v>442</v>
      </c>
      <c r="G6875" t="s">
        <v>21572</v>
      </c>
      <c r="H6875" t="s">
        <v>444</v>
      </c>
      <c r="I6875" t="s">
        <v>29</v>
      </c>
      <c r="J6875">
        <v>1</v>
      </c>
      <c r="K6875">
        <f>1-888-335-2414</f>
        <v>-3636</v>
      </c>
      <c r="L6875" t="s">
        <v>21573</v>
      </c>
      <c r="M6875" t="s">
        <v>21574</v>
      </c>
      <c r="N6875" t="s">
        <v>683</v>
      </c>
      <c r="O6875" t="s">
        <v>28</v>
      </c>
      <c r="P6875" t="s">
        <v>2268</v>
      </c>
      <c r="Q6875">
        <v>46</v>
      </c>
      <c r="R6875">
        <v>-73.567300000000003</v>
      </c>
    </row>
    <row r="6876" spans="1:18" x14ac:dyDescent="0.2">
      <c r="A6876" t="s">
        <v>439</v>
      </c>
      <c r="B6876" t="s">
        <v>3094</v>
      </c>
      <c r="C6876">
        <v>1</v>
      </c>
      <c r="D6876" s="1">
        <v>44123.848668981482</v>
      </c>
      <c r="E6876" t="s">
        <v>21571</v>
      </c>
      <c r="F6876" t="s">
        <v>442</v>
      </c>
      <c r="G6876" t="s">
        <v>21572</v>
      </c>
      <c r="H6876" t="s">
        <v>444</v>
      </c>
      <c r="I6876" t="s">
        <v>29</v>
      </c>
      <c r="J6876">
        <v>1</v>
      </c>
      <c r="K6876">
        <f>1-888-351-4372</f>
        <v>-5610</v>
      </c>
      <c r="L6876" t="s">
        <v>21575</v>
      </c>
      <c r="M6876" t="s">
        <v>21576</v>
      </c>
      <c r="N6876" t="s">
        <v>683</v>
      </c>
      <c r="O6876" t="s">
        <v>134</v>
      </c>
      <c r="P6876" t="s">
        <v>2268</v>
      </c>
      <c r="Q6876">
        <v>46</v>
      </c>
      <c r="R6876">
        <v>-73.567300000000003</v>
      </c>
    </row>
    <row r="6877" spans="1:18" x14ac:dyDescent="0.2">
      <c r="A6877" t="s">
        <v>663</v>
      </c>
      <c r="B6877" t="s">
        <v>2500</v>
      </c>
      <c r="C6877">
        <v>1</v>
      </c>
      <c r="D6877" s="1">
        <v>44123.866238425922</v>
      </c>
      <c r="E6877" t="s">
        <v>21577</v>
      </c>
      <c r="F6877" t="s">
        <v>2495</v>
      </c>
      <c r="G6877" t="s">
        <v>21577</v>
      </c>
      <c r="H6877" t="s">
        <v>667</v>
      </c>
      <c r="I6877" t="s">
        <v>29</v>
      </c>
      <c r="J6877">
        <v>1</v>
      </c>
      <c r="K6877">
        <f>1-877-669-1295</f>
        <v>-2840</v>
      </c>
      <c r="L6877" t="s">
        <v>21578</v>
      </c>
      <c r="M6877" t="s">
        <v>21579</v>
      </c>
      <c r="N6877">
        <v>65</v>
      </c>
      <c r="O6877" t="s">
        <v>134</v>
      </c>
      <c r="P6877" t="s">
        <v>2500</v>
      </c>
      <c r="Q6877">
        <v>1</v>
      </c>
      <c r="R6877">
        <v>99.999999000000003</v>
      </c>
    </row>
    <row r="6878" spans="1:18" x14ac:dyDescent="0.2">
      <c r="A6878" t="s">
        <v>439</v>
      </c>
      <c r="B6878" t="s">
        <v>3094</v>
      </c>
      <c r="C6878">
        <v>1</v>
      </c>
      <c r="D6878" s="1">
        <v>44123.866319444445</v>
      </c>
      <c r="E6878" t="s">
        <v>21580</v>
      </c>
      <c r="F6878" t="s">
        <v>442</v>
      </c>
      <c r="G6878" t="s">
        <v>21581</v>
      </c>
      <c r="H6878" t="s">
        <v>444</v>
      </c>
      <c r="I6878" t="s">
        <v>29</v>
      </c>
      <c r="J6878">
        <v>1</v>
      </c>
      <c r="K6878">
        <f>1-888-298-5709</f>
        <v>-6894</v>
      </c>
      <c r="L6878" t="s">
        <v>21582</v>
      </c>
      <c r="M6878" t="s">
        <v>21583</v>
      </c>
      <c r="N6878" t="s">
        <v>452</v>
      </c>
      <c r="O6878" t="s">
        <v>28</v>
      </c>
      <c r="P6878" t="s">
        <v>2268</v>
      </c>
      <c r="Q6878">
        <v>46</v>
      </c>
      <c r="R6878">
        <v>-73.567300000000003</v>
      </c>
    </row>
    <row r="6879" spans="1:18" x14ac:dyDescent="0.2">
      <c r="A6879" t="s">
        <v>439</v>
      </c>
      <c r="B6879" t="s">
        <v>3094</v>
      </c>
      <c r="C6879">
        <v>1</v>
      </c>
      <c r="D6879" s="1">
        <v>44123.924780092595</v>
      </c>
      <c r="E6879" t="s">
        <v>21584</v>
      </c>
      <c r="F6879" t="s">
        <v>442</v>
      </c>
      <c r="G6879" t="s">
        <v>21585</v>
      </c>
      <c r="H6879" t="s">
        <v>444</v>
      </c>
      <c r="I6879" t="s">
        <v>29</v>
      </c>
      <c r="J6879">
        <v>1</v>
      </c>
      <c r="K6879">
        <f>1-888-326-3151</f>
        <v>-4364</v>
      </c>
      <c r="L6879" t="s">
        <v>21586</v>
      </c>
      <c r="M6879" t="s">
        <v>21587</v>
      </c>
      <c r="N6879" t="s">
        <v>452</v>
      </c>
      <c r="O6879" t="s">
        <v>28</v>
      </c>
      <c r="P6879" t="s">
        <v>2268</v>
      </c>
      <c r="Q6879">
        <v>46</v>
      </c>
      <c r="R6879">
        <v>-73.567300000000003</v>
      </c>
    </row>
    <row r="6880" spans="1:18" x14ac:dyDescent="0.2">
      <c r="A6880" t="s">
        <v>439</v>
      </c>
      <c r="B6880" t="s">
        <v>4321</v>
      </c>
      <c r="C6880">
        <v>1</v>
      </c>
      <c r="D6880" s="1">
        <v>44123.924826388888</v>
      </c>
      <c r="E6880" t="s">
        <v>21588</v>
      </c>
      <c r="F6880" t="s">
        <v>442</v>
      </c>
      <c r="G6880" t="s">
        <v>21589</v>
      </c>
      <c r="H6880" t="s">
        <v>444</v>
      </c>
      <c r="I6880" t="s">
        <v>29</v>
      </c>
      <c r="J6880">
        <v>1</v>
      </c>
      <c r="K6880">
        <f>1-888-307-3120</f>
        <v>-4314</v>
      </c>
      <c r="L6880" t="s">
        <v>21590</v>
      </c>
      <c r="M6880" t="s">
        <v>21591</v>
      </c>
      <c r="N6880" t="s">
        <v>1645</v>
      </c>
      <c r="O6880" t="s">
        <v>28</v>
      </c>
      <c r="P6880" t="s">
        <v>29</v>
      </c>
      <c r="Q6880">
        <v>42</v>
      </c>
      <c r="R6880">
        <v>-87.629800000000003</v>
      </c>
    </row>
    <row r="6881" spans="1:18" x14ac:dyDescent="0.2">
      <c r="A6881" t="s">
        <v>439</v>
      </c>
      <c r="B6881" t="s">
        <v>3094</v>
      </c>
      <c r="C6881">
        <v>1</v>
      </c>
      <c r="D6881" s="1">
        <v>44123.995358796295</v>
      </c>
      <c r="E6881" t="s">
        <v>21592</v>
      </c>
      <c r="F6881" t="s">
        <v>442</v>
      </c>
      <c r="G6881" t="s">
        <v>21593</v>
      </c>
      <c r="H6881" t="s">
        <v>444</v>
      </c>
      <c r="I6881" t="s">
        <v>29</v>
      </c>
      <c r="J6881">
        <v>1</v>
      </c>
      <c r="K6881">
        <f>1-888-340-9862</f>
        <v>-11089</v>
      </c>
      <c r="L6881" t="s">
        <v>21594</v>
      </c>
      <c r="M6881" t="s">
        <v>21595</v>
      </c>
      <c r="N6881" t="s">
        <v>1645</v>
      </c>
      <c r="O6881" t="s">
        <v>28</v>
      </c>
      <c r="P6881" t="s">
        <v>2268</v>
      </c>
      <c r="Q6881">
        <v>46</v>
      </c>
      <c r="R6881">
        <v>-73.567300000000003</v>
      </c>
    </row>
    <row r="6882" spans="1:18" x14ac:dyDescent="0.2">
      <c r="A6882" t="s">
        <v>439</v>
      </c>
      <c r="B6882" t="s">
        <v>3094</v>
      </c>
      <c r="C6882">
        <v>1</v>
      </c>
      <c r="D6882" s="1">
        <v>44124.943958333337</v>
      </c>
      <c r="E6882" t="s">
        <v>21596</v>
      </c>
      <c r="F6882" t="s">
        <v>442</v>
      </c>
      <c r="G6882" t="s">
        <v>21597</v>
      </c>
      <c r="H6882" t="s">
        <v>444</v>
      </c>
      <c r="I6882" t="s">
        <v>29</v>
      </c>
      <c r="J6882">
        <v>1</v>
      </c>
      <c r="K6882">
        <f>1-888-287-8078</f>
        <v>-9252</v>
      </c>
      <c r="L6882" t="s">
        <v>21598</v>
      </c>
      <c r="M6882" t="s">
        <v>21599</v>
      </c>
      <c r="N6882" t="s">
        <v>683</v>
      </c>
      <c r="O6882" t="s">
        <v>28</v>
      </c>
      <c r="P6882" t="s">
        <v>2268</v>
      </c>
      <c r="Q6882">
        <v>46</v>
      </c>
      <c r="R6882">
        <v>-73.567300000000003</v>
      </c>
    </row>
    <row r="6883" spans="1:18" x14ac:dyDescent="0.2">
      <c r="A6883" t="s">
        <v>439</v>
      </c>
      <c r="B6883" t="s">
        <v>3094</v>
      </c>
      <c r="C6883">
        <v>1</v>
      </c>
      <c r="D6883" s="1">
        <v>44124.979131944441</v>
      </c>
      <c r="E6883" t="s">
        <v>21600</v>
      </c>
      <c r="F6883" t="s">
        <v>442</v>
      </c>
      <c r="G6883" t="s">
        <v>21601</v>
      </c>
      <c r="H6883" t="s">
        <v>444</v>
      </c>
      <c r="I6883" t="s">
        <v>29</v>
      </c>
      <c r="J6883">
        <v>1</v>
      </c>
      <c r="K6883">
        <f>1-888-308-5194</f>
        <v>-6389</v>
      </c>
      <c r="L6883" t="s">
        <v>21602</v>
      </c>
      <c r="M6883" t="s">
        <v>21603</v>
      </c>
      <c r="N6883" t="s">
        <v>20553</v>
      </c>
      <c r="O6883" t="s">
        <v>28</v>
      </c>
      <c r="P6883" t="s">
        <v>2268</v>
      </c>
      <c r="Q6883">
        <v>46</v>
      </c>
      <c r="R6883">
        <v>-73.567300000000003</v>
      </c>
    </row>
    <row r="6884" spans="1:18" x14ac:dyDescent="0.2">
      <c r="A6884" t="s">
        <v>663</v>
      </c>
      <c r="B6884" t="s">
        <v>2493</v>
      </c>
      <c r="C6884">
        <v>1</v>
      </c>
      <c r="D6884" s="1">
        <v>44125.000925925924</v>
      </c>
      <c r="E6884" t="s">
        <v>21604</v>
      </c>
      <c r="F6884" t="s">
        <v>666</v>
      </c>
      <c r="G6884" t="s">
        <v>21604</v>
      </c>
      <c r="H6884" t="s">
        <v>667</v>
      </c>
      <c r="I6884" t="s">
        <v>29</v>
      </c>
      <c r="J6884">
        <v>1</v>
      </c>
      <c r="K6884">
        <f>1-888-351-8605</f>
        <v>-9843</v>
      </c>
      <c r="L6884" t="s">
        <v>21605</v>
      </c>
      <c r="M6884" t="s">
        <v>21606</v>
      </c>
      <c r="N6884">
        <v>14</v>
      </c>
      <c r="O6884" t="s">
        <v>134</v>
      </c>
      <c r="P6884" t="s">
        <v>29</v>
      </c>
      <c r="Q6884">
        <v>41</v>
      </c>
      <c r="R6884">
        <v>-74.024699999999996</v>
      </c>
    </row>
    <row r="6885" spans="1:18" x14ac:dyDescent="0.2">
      <c r="A6885" t="s">
        <v>663</v>
      </c>
      <c r="B6885" t="s">
        <v>2500</v>
      </c>
      <c r="C6885">
        <v>44</v>
      </c>
      <c r="D6885" s="1">
        <v>44125.536932870367</v>
      </c>
      <c r="E6885" t="s">
        <v>21607</v>
      </c>
      <c r="F6885" t="s">
        <v>666</v>
      </c>
      <c r="G6885" t="s">
        <v>21607</v>
      </c>
      <c r="H6885" t="s">
        <v>667</v>
      </c>
      <c r="I6885" t="s">
        <v>618</v>
      </c>
      <c r="J6885">
        <v>44</v>
      </c>
      <c r="K6885">
        <f>44-203-912-1297</f>
        <v>-2368</v>
      </c>
      <c r="L6885" t="s">
        <v>21608</v>
      </c>
      <c r="M6885" t="s">
        <v>21609</v>
      </c>
      <c r="N6885">
        <v>253</v>
      </c>
      <c r="O6885" t="s">
        <v>134</v>
      </c>
      <c r="P6885" t="s">
        <v>2500</v>
      </c>
      <c r="Q6885">
        <v>1</v>
      </c>
      <c r="R6885">
        <v>99.999999000000003</v>
      </c>
    </row>
    <row r="6886" spans="1:18" x14ac:dyDescent="0.2">
      <c r="A6886" t="s">
        <v>439</v>
      </c>
      <c r="B6886" t="s">
        <v>3094</v>
      </c>
      <c r="C6886">
        <v>1</v>
      </c>
      <c r="D6886" s="1">
        <v>44125.685127314813</v>
      </c>
      <c r="E6886" t="s">
        <v>21610</v>
      </c>
      <c r="F6886" t="s">
        <v>442</v>
      </c>
      <c r="G6886" t="s">
        <v>21611</v>
      </c>
      <c r="H6886" t="s">
        <v>444</v>
      </c>
      <c r="I6886" t="s">
        <v>29</v>
      </c>
      <c r="J6886">
        <v>1</v>
      </c>
      <c r="K6886">
        <f>1-888-249-9242</f>
        <v>-10378</v>
      </c>
      <c r="L6886" t="s">
        <v>21612</v>
      </c>
      <c r="M6886" t="s">
        <v>21613</v>
      </c>
      <c r="N6886" t="s">
        <v>6172</v>
      </c>
      <c r="O6886" t="s">
        <v>28</v>
      </c>
      <c r="P6886" t="s">
        <v>2268</v>
      </c>
      <c r="Q6886">
        <v>46</v>
      </c>
      <c r="R6886">
        <v>-73.567300000000003</v>
      </c>
    </row>
    <row r="6887" spans="1:18" x14ac:dyDescent="0.2">
      <c r="A6887" t="s">
        <v>439</v>
      </c>
      <c r="B6887" t="s">
        <v>4321</v>
      </c>
      <c r="C6887">
        <v>1</v>
      </c>
      <c r="D6887" s="1">
        <v>44125.767557870371</v>
      </c>
      <c r="E6887" t="s">
        <v>21614</v>
      </c>
      <c r="F6887" t="s">
        <v>442</v>
      </c>
      <c r="G6887" t="s">
        <v>21615</v>
      </c>
      <c r="H6887" t="s">
        <v>444</v>
      </c>
      <c r="I6887" t="s">
        <v>29</v>
      </c>
      <c r="J6887">
        <v>1</v>
      </c>
      <c r="K6887">
        <f>1-855-472-1840</f>
        <v>-3166</v>
      </c>
      <c r="L6887" t="s">
        <v>21616</v>
      </c>
      <c r="M6887" t="s">
        <v>21617</v>
      </c>
      <c r="N6887" t="s">
        <v>20913</v>
      </c>
      <c r="O6887" t="s">
        <v>28</v>
      </c>
      <c r="P6887" t="s">
        <v>29</v>
      </c>
      <c r="Q6887">
        <v>42</v>
      </c>
      <c r="R6887">
        <v>-87.629800000000003</v>
      </c>
    </row>
    <row r="6888" spans="1:18" x14ac:dyDescent="0.2">
      <c r="A6888" t="s">
        <v>439</v>
      </c>
      <c r="B6888" t="s">
        <v>3094</v>
      </c>
      <c r="C6888">
        <v>1</v>
      </c>
      <c r="D6888" s="1">
        <v>44125.773113425923</v>
      </c>
      <c r="E6888" t="s">
        <v>21618</v>
      </c>
      <c r="F6888" t="s">
        <v>442</v>
      </c>
      <c r="G6888" t="s">
        <v>21619</v>
      </c>
      <c r="H6888" t="s">
        <v>444</v>
      </c>
      <c r="I6888" t="s">
        <v>29</v>
      </c>
      <c r="J6888">
        <v>1</v>
      </c>
      <c r="K6888">
        <f>1-855-472-1840</f>
        <v>-3166</v>
      </c>
      <c r="L6888" t="s">
        <v>21620</v>
      </c>
      <c r="M6888" t="s">
        <v>21621</v>
      </c>
      <c r="N6888" t="s">
        <v>20913</v>
      </c>
      <c r="O6888" t="s">
        <v>28</v>
      </c>
      <c r="P6888" t="s">
        <v>2268</v>
      </c>
      <c r="Q6888">
        <v>46</v>
      </c>
      <c r="R6888">
        <v>-73.567300000000003</v>
      </c>
    </row>
    <row r="6889" spans="1:18" x14ac:dyDescent="0.2">
      <c r="A6889" t="s">
        <v>439</v>
      </c>
      <c r="B6889" t="s">
        <v>3094</v>
      </c>
      <c r="C6889">
        <v>1</v>
      </c>
      <c r="D6889" s="1">
        <v>44125.771782407406</v>
      </c>
      <c r="E6889" t="s">
        <v>21622</v>
      </c>
      <c r="F6889" t="s">
        <v>442</v>
      </c>
      <c r="G6889" t="s">
        <v>21619</v>
      </c>
      <c r="H6889" t="s">
        <v>444</v>
      </c>
      <c r="I6889" t="s">
        <v>29</v>
      </c>
      <c r="J6889">
        <v>1</v>
      </c>
      <c r="K6889">
        <f>1-855-472-1840</f>
        <v>-3166</v>
      </c>
      <c r="L6889" t="s">
        <v>21623</v>
      </c>
      <c r="M6889" t="s">
        <v>21624</v>
      </c>
      <c r="N6889" t="s">
        <v>20913</v>
      </c>
      <c r="O6889" t="s">
        <v>28</v>
      </c>
      <c r="P6889" t="s">
        <v>2268</v>
      </c>
      <c r="Q6889">
        <v>46</v>
      </c>
      <c r="R6889">
        <v>-73.567300000000003</v>
      </c>
    </row>
    <row r="6890" spans="1:18" x14ac:dyDescent="0.2">
      <c r="A6890" t="s">
        <v>439</v>
      </c>
      <c r="B6890" t="s">
        <v>3094</v>
      </c>
      <c r="C6890">
        <v>1</v>
      </c>
      <c r="D6890" s="1">
        <v>44125.867766203701</v>
      </c>
      <c r="E6890" t="s">
        <v>21625</v>
      </c>
      <c r="F6890" t="s">
        <v>442</v>
      </c>
      <c r="G6890" t="s">
        <v>21626</v>
      </c>
      <c r="H6890" t="s">
        <v>444</v>
      </c>
      <c r="I6890" t="s">
        <v>29</v>
      </c>
      <c r="J6890">
        <v>1</v>
      </c>
      <c r="K6890">
        <f>1-888-384-3807</f>
        <v>-5078</v>
      </c>
      <c r="L6890" t="s">
        <v>21627</v>
      </c>
      <c r="M6890" t="s">
        <v>21628</v>
      </c>
      <c r="N6890" t="s">
        <v>1645</v>
      </c>
      <c r="O6890" t="s">
        <v>28</v>
      </c>
      <c r="P6890" t="s">
        <v>2268</v>
      </c>
      <c r="Q6890">
        <v>46</v>
      </c>
      <c r="R6890">
        <v>-73.567300000000003</v>
      </c>
    </row>
    <row r="6891" spans="1:18" x14ac:dyDescent="0.2">
      <c r="A6891" t="s">
        <v>663</v>
      </c>
      <c r="B6891" t="s">
        <v>2500</v>
      </c>
      <c r="C6891">
        <v>1</v>
      </c>
      <c r="D6891" s="1">
        <v>44125.889201388891</v>
      </c>
      <c r="E6891" t="s">
        <v>21629</v>
      </c>
      <c r="F6891" t="s">
        <v>666</v>
      </c>
      <c r="G6891" t="s">
        <v>21629</v>
      </c>
      <c r="H6891" t="s">
        <v>667</v>
      </c>
      <c r="I6891" t="s">
        <v>29</v>
      </c>
      <c r="J6891">
        <v>1</v>
      </c>
      <c r="K6891">
        <f>1-888-394-5090</f>
        <v>-6371</v>
      </c>
      <c r="L6891" t="s">
        <v>21630</v>
      </c>
      <c r="M6891" t="s">
        <v>21631</v>
      </c>
      <c r="N6891">
        <v>144</v>
      </c>
      <c r="O6891" t="s">
        <v>134</v>
      </c>
      <c r="P6891" t="s">
        <v>2500</v>
      </c>
      <c r="Q6891">
        <v>1</v>
      </c>
      <c r="R6891">
        <v>99.999999000000003</v>
      </c>
    </row>
    <row r="6892" spans="1:18" x14ac:dyDescent="0.2">
      <c r="A6892" t="s">
        <v>663</v>
      </c>
      <c r="B6892" t="s">
        <v>2500</v>
      </c>
      <c r="C6892">
        <v>44</v>
      </c>
      <c r="D6892" s="1">
        <v>44126.470555555556</v>
      </c>
      <c r="E6892" t="s">
        <v>21632</v>
      </c>
      <c r="F6892" t="s">
        <v>2495</v>
      </c>
      <c r="G6892" t="s">
        <v>21633</v>
      </c>
      <c r="H6892" t="s">
        <v>667</v>
      </c>
      <c r="I6892" t="s">
        <v>618</v>
      </c>
      <c r="J6892">
        <v>44</v>
      </c>
      <c r="K6892">
        <f>44-808-143-3686</f>
        <v>-4593</v>
      </c>
      <c r="L6892" t="s">
        <v>21634</v>
      </c>
      <c r="M6892" t="s">
        <v>21635</v>
      </c>
      <c r="N6892" t="s">
        <v>2475</v>
      </c>
      <c r="O6892" t="s">
        <v>28</v>
      </c>
      <c r="P6892" t="s">
        <v>2500</v>
      </c>
      <c r="Q6892">
        <v>1</v>
      </c>
      <c r="R6892">
        <v>99.999999000000003</v>
      </c>
    </row>
    <row r="6893" spans="1:18" x14ac:dyDescent="0.2">
      <c r="A6893" t="s">
        <v>1200</v>
      </c>
      <c r="B6893" t="s">
        <v>440</v>
      </c>
      <c r="C6893">
        <v>1</v>
      </c>
      <c r="D6893" s="1">
        <v>44126.48810185185</v>
      </c>
      <c r="E6893" t="s">
        <v>21636</v>
      </c>
      <c r="F6893" t="s">
        <v>1203</v>
      </c>
      <c r="G6893" t="s">
        <v>21637</v>
      </c>
      <c r="H6893" t="s">
        <v>1205</v>
      </c>
      <c r="I6893" t="s">
        <v>29</v>
      </c>
      <c r="J6893">
        <v>1</v>
      </c>
      <c r="K6893">
        <f>1-844-728-2100</f>
        <v>-3671</v>
      </c>
      <c r="L6893" t="s">
        <v>21638</v>
      </c>
      <c r="M6893" t="s">
        <v>21639</v>
      </c>
      <c r="N6893" t="s">
        <v>36</v>
      </c>
      <c r="O6893" t="s">
        <v>134</v>
      </c>
      <c r="P6893" t="s">
        <v>29</v>
      </c>
      <c r="Q6893">
        <v>39</v>
      </c>
      <c r="R6893">
        <v>-77.472800000000007</v>
      </c>
    </row>
    <row r="6894" spans="1:18" x14ac:dyDescent="0.2">
      <c r="A6894" t="s">
        <v>663</v>
      </c>
      <c r="B6894" t="s">
        <v>664</v>
      </c>
      <c r="C6894">
        <v>1</v>
      </c>
      <c r="D6894" s="1">
        <v>44127.983831018515</v>
      </c>
      <c r="E6894" t="s">
        <v>21640</v>
      </c>
      <c r="F6894" t="s">
        <v>666</v>
      </c>
      <c r="G6894" t="s">
        <v>21640</v>
      </c>
      <c r="H6894" t="s">
        <v>667</v>
      </c>
      <c r="I6894" t="s">
        <v>29</v>
      </c>
      <c r="J6894">
        <v>1</v>
      </c>
      <c r="K6894">
        <f>1-888-304-7998</f>
        <v>-9189</v>
      </c>
      <c r="L6894" t="s">
        <v>21641</v>
      </c>
      <c r="M6894" t="s">
        <v>21642</v>
      </c>
      <c r="N6894">
        <v>234</v>
      </c>
      <c r="O6894" t="s">
        <v>134</v>
      </c>
      <c r="P6894" t="s">
        <v>29</v>
      </c>
      <c r="Q6894">
        <v>37</v>
      </c>
      <c r="R6894">
        <v>-99.999999000000003</v>
      </c>
    </row>
    <row r="6895" spans="1:18" x14ac:dyDescent="0.2">
      <c r="A6895" t="s">
        <v>439</v>
      </c>
      <c r="B6895" t="s">
        <v>4321</v>
      </c>
      <c r="C6895">
        <v>1</v>
      </c>
      <c r="D6895" s="1">
        <v>44258.800659722219</v>
      </c>
      <c r="E6895" t="s">
        <v>21643</v>
      </c>
      <c r="F6895" t="s">
        <v>442</v>
      </c>
      <c r="G6895" t="s">
        <v>21644</v>
      </c>
      <c r="H6895" t="s">
        <v>444</v>
      </c>
      <c r="I6895" t="s">
        <v>29</v>
      </c>
      <c r="J6895">
        <v>1</v>
      </c>
      <c r="K6895">
        <f>1-844-317-6151</f>
        <v>-7311</v>
      </c>
      <c r="L6895" t="s">
        <v>21645</v>
      </c>
      <c r="M6895" t="s">
        <v>21646</v>
      </c>
      <c r="N6895" t="s">
        <v>447</v>
      </c>
      <c r="O6895" t="s">
        <v>28</v>
      </c>
      <c r="P6895" t="s">
        <v>29</v>
      </c>
      <c r="Q6895">
        <v>42</v>
      </c>
      <c r="R6895">
        <v>-87.629800000000003</v>
      </c>
    </row>
    <row r="6896" spans="1:18" x14ac:dyDescent="0.2">
      <c r="A6896" t="s">
        <v>439</v>
      </c>
      <c r="B6896" t="s">
        <v>3094</v>
      </c>
      <c r="C6896">
        <v>1</v>
      </c>
      <c r="D6896" s="1">
        <v>44127.89738425926</v>
      </c>
      <c r="E6896" t="s">
        <v>21647</v>
      </c>
      <c r="F6896" t="s">
        <v>442</v>
      </c>
      <c r="G6896" t="s">
        <v>21644</v>
      </c>
      <c r="H6896" t="s">
        <v>444</v>
      </c>
      <c r="I6896" t="s">
        <v>29</v>
      </c>
      <c r="J6896">
        <v>1</v>
      </c>
      <c r="K6896">
        <f>1-888-534-412</f>
        <v>-1833</v>
      </c>
      <c r="L6896" t="s">
        <v>21648</v>
      </c>
      <c r="M6896" t="s">
        <v>21649</v>
      </c>
      <c r="N6896" t="s">
        <v>213</v>
      </c>
      <c r="O6896" t="s">
        <v>28</v>
      </c>
      <c r="P6896" t="s">
        <v>2268</v>
      </c>
      <c r="Q6896">
        <v>46</v>
      </c>
      <c r="R6896">
        <v>-73.567300000000003</v>
      </c>
    </row>
    <row r="6897" spans="1:18" x14ac:dyDescent="0.2">
      <c r="A6897" t="s">
        <v>663</v>
      </c>
      <c r="B6897" t="s">
        <v>664</v>
      </c>
      <c r="C6897">
        <v>1</v>
      </c>
      <c r="D6897" s="1">
        <v>44127.871307870373</v>
      </c>
      <c r="E6897" t="s">
        <v>21650</v>
      </c>
      <c r="F6897" t="s">
        <v>666</v>
      </c>
      <c r="G6897" t="s">
        <v>21650</v>
      </c>
      <c r="H6897" t="s">
        <v>667</v>
      </c>
      <c r="I6897" t="s">
        <v>29</v>
      </c>
      <c r="J6897">
        <v>1</v>
      </c>
      <c r="K6897">
        <f>1-888-304-1361</f>
        <v>-2552</v>
      </c>
      <c r="L6897" t="s">
        <v>21651</v>
      </c>
      <c r="M6897" t="s">
        <v>21652</v>
      </c>
      <c r="N6897">
        <v>87</v>
      </c>
      <c r="O6897" t="s">
        <v>134</v>
      </c>
      <c r="P6897" t="s">
        <v>29</v>
      </c>
      <c r="Q6897">
        <v>37</v>
      </c>
      <c r="R6897">
        <v>-99.999999000000003</v>
      </c>
    </row>
    <row r="6898" spans="1:18" x14ac:dyDescent="0.2">
      <c r="A6898" t="s">
        <v>663</v>
      </c>
      <c r="B6898" t="s">
        <v>664</v>
      </c>
      <c r="C6898">
        <v>1</v>
      </c>
      <c r="D6898" s="1">
        <v>44126.829641203702</v>
      </c>
      <c r="E6898" t="s">
        <v>21653</v>
      </c>
      <c r="F6898" t="s">
        <v>666</v>
      </c>
      <c r="G6898" t="s">
        <v>21653</v>
      </c>
      <c r="H6898" t="s">
        <v>667</v>
      </c>
      <c r="I6898" t="s">
        <v>29</v>
      </c>
      <c r="J6898">
        <v>1</v>
      </c>
      <c r="K6898">
        <f>1-888-396-2896</f>
        <v>-4179</v>
      </c>
      <c r="L6898" t="s">
        <v>21654</v>
      </c>
      <c r="M6898" t="s">
        <v>21655</v>
      </c>
      <c r="N6898">
        <v>73</v>
      </c>
      <c r="O6898" t="s">
        <v>134</v>
      </c>
      <c r="P6898" t="s">
        <v>29</v>
      </c>
      <c r="Q6898">
        <v>37</v>
      </c>
      <c r="R6898">
        <v>-99.999999000000003</v>
      </c>
    </row>
    <row r="6899" spans="1:18" x14ac:dyDescent="0.2">
      <c r="A6899" t="s">
        <v>663</v>
      </c>
      <c r="B6899" t="s">
        <v>664</v>
      </c>
      <c r="C6899">
        <v>1</v>
      </c>
      <c r="D6899" s="1">
        <v>44126.867442129631</v>
      </c>
      <c r="E6899" t="s">
        <v>21656</v>
      </c>
      <c r="F6899" t="s">
        <v>666</v>
      </c>
      <c r="G6899" t="s">
        <v>21656</v>
      </c>
      <c r="H6899" t="s">
        <v>667</v>
      </c>
      <c r="I6899" t="s">
        <v>29</v>
      </c>
      <c r="J6899">
        <v>1</v>
      </c>
      <c r="K6899">
        <f>1-888-387-8460</f>
        <v>-9734</v>
      </c>
      <c r="L6899" t="s">
        <v>21657</v>
      </c>
      <c r="M6899" t="s">
        <v>21658</v>
      </c>
      <c r="N6899">
        <v>80</v>
      </c>
      <c r="O6899" t="s">
        <v>134</v>
      </c>
      <c r="P6899" t="s">
        <v>29</v>
      </c>
      <c r="Q6899">
        <v>37</v>
      </c>
      <c r="R6899">
        <v>-99.999999000000003</v>
      </c>
    </row>
    <row r="6900" spans="1:18" x14ac:dyDescent="0.2">
      <c r="A6900" t="s">
        <v>663</v>
      </c>
      <c r="B6900" t="s">
        <v>664</v>
      </c>
      <c r="C6900">
        <v>1</v>
      </c>
      <c r="D6900" s="1">
        <v>44126.88622685185</v>
      </c>
      <c r="E6900" t="s">
        <v>21659</v>
      </c>
      <c r="F6900" t="s">
        <v>666</v>
      </c>
      <c r="G6900" t="s">
        <v>21659</v>
      </c>
      <c r="H6900" t="s">
        <v>667</v>
      </c>
      <c r="I6900" t="s">
        <v>29</v>
      </c>
      <c r="J6900">
        <v>1</v>
      </c>
      <c r="K6900">
        <f>1-888-326-8802</f>
        <v>-10015</v>
      </c>
      <c r="L6900" t="s">
        <v>21660</v>
      </c>
      <c r="M6900" t="s">
        <v>21661</v>
      </c>
      <c r="N6900">
        <v>159</v>
      </c>
      <c r="O6900" t="s">
        <v>134</v>
      </c>
      <c r="P6900" t="s">
        <v>29</v>
      </c>
      <c r="Q6900">
        <v>37</v>
      </c>
      <c r="R6900">
        <v>-99.999999000000003</v>
      </c>
    </row>
    <row r="6901" spans="1:18" x14ac:dyDescent="0.2">
      <c r="A6901" t="s">
        <v>663</v>
      </c>
      <c r="B6901" t="s">
        <v>664</v>
      </c>
      <c r="C6901">
        <v>1</v>
      </c>
      <c r="D6901" s="1">
        <v>44126.962627314817</v>
      </c>
      <c r="E6901" t="s">
        <v>21662</v>
      </c>
      <c r="F6901" t="s">
        <v>666</v>
      </c>
      <c r="G6901" t="s">
        <v>21662</v>
      </c>
      <c r="H6901" t="s">
        <v>667</v>
      </c>
      <c r="I6901" t="s">
        <v>29</v>
      </c>
      <c r="J6901">
        <v>1</v>
      </c>
      <c r="K6901">
        <f>1-888-339-8531</f>
        <v>-9757</v>
      </c>
      <c r="L6901" t="s">
        <v>21663</v>
      </c>
      <c r="M6901" t="s">
        <v>21664</v>
      </c>
      <c r="N6901">
        <v>172</v>
      </c>
      <c r="O6901" t="s">
        <v>134</v>
      </c>
      <c r="P6901" t="s">
        <v>29</v>
      </c>
      <c r="Q6901">
        <v>37</v>
      </c>
      <c r="R6901">
        <v>-99.999999000000003</v>
      </c>
    </row>
    <row r="6902" spans="1:18" x14ac:dyDescent="0.2">
      <c r="A6902" t="s">
        <v>21665</v>
      </c>
      <c r="B6902" t="s">
        <v>21666</v>
      </c>
      <c r="C6902">
        <v>1</v>
      </c>
      <c r="D6902" s="1">
        <v>44127.552766203706</v>
      </c>
      <c r="E6902" t="s">
        <v>21667</v>
      </c>
      <c r="F6902" t="s">
        <v>21668</v>
      </c>
      <c r="G6902" t="s">
        <v>21669</v>
      </c>
      <c r="H6902" t="s">
        <v>21670</v>
      </c>
      <c r="I6902" t="s">
        <v>29</v>
      </c>
      <c r="J6902">
        <v>1</v>
      </c>
      <c r="K6902">
        <f>1-888-328-7962</f>
        <v>-9177</v>
      </c>
      <c r="L6902" t="s">
        <v>21671</v>
      </c>
      <c r="M6902" t="s">
        <v>21672</v>
      </c>
      <c r="N6902" t="s">
        <v>21673</v>
      </c>
      <c r="O6902" t="s">
        <v>134</v>
      </c>
      <c r="P6902" t="s">
        <v>21674</v>
      </c>
      <c r="Q6902">
        <v>60</v>
      </c>
      <c r="R6902">
        <v>30.328700000000001</v>
      </c>
    </row>
    <row r="6903" spans="1:18" x14ac:dyDescent="0.2">
      <c r="A6903" t="s">
        <v>1637</v>
      </c>
      <c r="B6903" t="s">
        <v>454</v>
      </c>
      <c r="C6903">
        <v>1</v>
      </c>
      <c r="D6903" s="1">
        <v>44384.130648148152</v>
      </c>
      <c r="E6903" t="s">
        <v>21675</v>
      </c>
      <c r="F6903" t="s">
        <v>1640</v>
      </c>
      <c r="G6903" t="s">
        <v>21676</v>
      </c>
      <c r="H6903" t="s">
        <v>1642</v>
      </c>
      <c r="I6903" t="s">
        <v>29</v>
      </c>
      <c r="J6903">
        <v>1</v>
      </c>
      <c r="K6903">
        <f>1-888-461-5907</f>
        <v>-7255</v>
      </c>
      <c r="L6903" t="s">
        <v>21677</v>
      </c>
      <c r="M6903" t="s">
        <v>21678</v>
      </c>
      <c r="N6903" t="s">
        <v>5745</v>
      </c>
      <c r="O6903" t="s">
        <v>134</v>
      </c>
      <c r="P6903" t="s">
        <v>461</v>
      </c>
      <c r="Q6903">
        <v>52</v>
      </c>
      <c r="R6903">
        <v>4.8975</v>
      </c>
    </row>
    <row r="6904" spans="1:18" x14ac:dyDescent="0.2">
      <c r="A6904" t="s">
        <v>1637</v>
      </c>
      <c r="B6904" t="s">
        <v>454</v>
      </c>
      <c r="C6904">
        <v>1</v>
      </c>
      <c r="D6904" s="1">
        <v>44375.1406712963</v>
      </c>
      <c r="E6904" t="s">
        <v>21679</v>
      </c>
      <c r="F6904" t="s">
        <v>1640</v>
      </c>
      <c r="G6904" t="s">
        <v>21676</v>
      </c>
      <c r="H6904" t="s">
        <v>1642</v>
      </c>
      <c r="I6904" t="s">
        <v>29</v>
      </c>
      <c r="J6904">
        <v>1</v>
      </c>
      <c r="K6904">
        <f>1-888-492-2466</f>
        <v>-3845</v>
      </c>
      <c r="L6904" t="s">
        <v>21680</v>
      </c>
      <c r="M6904" t="s">
        <v>21681</v>
      </c>
      <c r="N6904" t="s">
        <v>5745</v>
      </c>
      <c r="O6904" t="s">
        <v>134</v>
      </c>
      <c r="P6904" t="s">
        <v>461</v>
      </c>
      <c r="Q6904">
        <v>52</v>
      </c>
      <c r="R6904">
        <v>4.8975</v>
      </c>
    </row>
    <row r="6905" spans="1:18" x14ac:dyDescent="0.2">
      <c r="A6905" t="s">
        <v>1637</v>
      </c>
      <c r="B6905" t="s">
        <v>454</v>
      </c>
      <c r="C6905">
        <v>1</v>
      </c>
      <c r="D6905" s="1">
        <v>44373.21565972222</v>
      </c>
      <c r="E6905" t="s">
        <v>21682</v>
      </c>
      <c r="F6905" t="s">
        <v>1640</v>
      </c>
      <c r="G6905" t="s">
        <v>21676</v>
      </c>
      <c r="H6905" t="s">
        <v>1642</v>
      </c>
      <c r="I6905" t="s">
        <v>29</v>
      </c>
      <c r="J6905">
        <v>1</v>
      </c>
      <c r="K6905">
        <f>1-877-285-2237</f>
        <v>-3398</v>
      </c>
      <c r="L6905" t="s">
        <v>21683</v>
      </c>
      <c r="M6905" t="s">
        <v>21684</v>
      </c>
      <c r="N6905" t="s">
        <v>452</v>
      </c>
      <c r="O6905" t="s">
        <v>134</v>
      </c>
      <c r="P6905" t="s">
        <v>461</v>
      </c>
      <c r="Q6905">
        <v>52</v>
      </c>
      <c r="R6905">
        <v>4.8975</v>
      </c>
    </row>
    <row r="6906" spans="1:18" x14ac:dyDescent="0.2">
      <c r="A6906" t="s">
        <v>1637</v>
      </c>
      <c r="B6906" t="s">
        <v>454</v>
      </c>
      <c r="C6906">
        <v>1</v>
      </c>
      <c r="D6906" s="1">
        <v>44372.838622685187</v>
      </c>
      <c r="E6906" t="s">
        <v>21685</v>
      </c>
      <c r="F6906" t="s">
        <v>1640</v>
      </c>
      <c r="G6906" t="s">
        <v>21676</v>
      </c>
      <c r="H6906" t="s">
        <v>1642</v>
      </c>
      <c r="I6906" t="s">
        <v>29</v>
      </c>
      <c r="J6906">
        <v>1</v>
      </c>
      <c r="K6906">
        <f>1-877-285-2237</f>
        <v>-3398</v>
      </c>
      <c r="L6906" t="s">
        <v>21686</v>
      </c>
      <c r="M6906" t="s">
        <v>21687</v>
      </c>
      <c r="N6906" t="s">
        <v>5745</v>
      </c>
      <c r="O6906" t="s">
        <v>134</v>
      </c>
      <c r="P6906" t="s">
        <v>461</v>
      </c>
      <c r="Q6906">
        <v>52</v>
      </c>
      <c r="R6906">
        <v>4.8975</v>
      </c>
    </row>
    <row r="6907" spans="1:18" x14ac:dyDescent="0.2">
      <c r="A6907" t="s">
        <v>1637</v>
      </c>
      <c r="B6907" t="s">
        <v>454</v>
      </c>
      <c r="C6907">
        <v>1</v>
      </c>
      <c r="D6907" s="1">
        <v>44353.852233796293</v>
      </c>
      <c r="E6907" t="s">
        <v>21688</v>
      </c>
      <c r="F6907" t="s">
        <v>1640</v>
      </c>
      <c r="G6907" t="s">
        <v>21676</v>
      </c>
      <c r="H6907" t="s">
        <v>1642</v>
      </c>
      <c r="I6907" t="s">
        <v>29</v>
      </c>
      <c r="J6907">
        <v>1</v>
      </c>
      <c r="K6907">
        <f>1-888-447-7058</f>
        <v>-8392</v>
      </c>
      <c r="L6907" t="s">
        <v>21689</v>
      </c>
      <c r="M6907" t="s">
        <v>21690</v>
      </c>
      <c r="N6907" t="s">
        <v>5745</v>
      </c>
      <c r="O6907" t="s">
        <v>134</v>
      </c>
      <c r="P6907" t="s">
        <v>461</v>
      </c>
      <c r="Q6907">
        <v>52</v>
      </c>
      <c r="R6907">
        <v>4.8975</v>
      </c>
    </row>
    <row r="6908" spans="1:18" x14ac:dyDescent="0.2">
      <c r="A6908" t="s">
        <v>1637</v>
      </c>
      <c r="B6908" t="s">
        <v>454</v>
      </c>
      <c r="C6908">
        <v>1</v>
      </c>
      <c r="D6908" s="1">
        <v>44236.762094907404</v>
      </c>
      <c r="E6908" t="s">
        <v>21691</v>
      </c>
      <c r="F6908" t="s">
        <v>1640</v>
      </c>
      <c r="G6908" t="s">
        <v>21676</v>
      </c>
      <c r="H6908" t="s">
        <v>1642</v>
      </c>
      <c r="I6908" t="s">
        <v>29</v>
      </c>
      <c r="J6908">
        <v>1</v>
      </c>
      <c r="K6908">
        <f>1-888-391-5666</f>
        <v>-6944</v>
      </c>
      <c r="L6908" t="s">
        <v>21692</v>
      </c>
      <c r="M6908" t="s">
        <v>21693</v>
      </c>
      <c r="N6908" t="s">
        <v>3305</v>
      </c>
      <c r="O6908" t="s">
        <v>134</v>
      </c>
      <c r="P6908" t="s">
        <v>461</v>
      </c>
      <c r="Q6908">
        <v>52</v>
      </c>
      <c r="R6908">
        <v>4.8975</v>
      </c>
    </row>
    <row r="6909" spans="1:18" x14ac:dyDescent="0.2">
      <c r="A6909" t="s">
        <v>1637</v>
      </c>
      <c r="B6909" t="s">
        <v>454</v>
      </c>
      <c r="C6909">
        <v>1</v>
      </c>
      <c r="D6909" s="1">
        <v>44215.814456018517</v>
      </c>
      <c r="E6909" t="s">
        <v>21694</v>
      </c>
      <c r="F6909" t="s">
        <v>1640</v>
      </c>
      <c r="G6909" t="s">
        <v>21676</v>
      </c>
      <c r="H6909" t="s">
        <v>1642</v>
      </c>
      <c r="I6909" t="s">
        <v>29</v>
      </c>
      <c r="J6909">
        <v>1</v>
      </c>
      <c r="K6909">
        <f>1-800-931-3720</f>
        <v>-5450</v>
      </c>
      <c r="L6909" t="s">
        <v>21695</v>
      </c>
      <c r="M6909" t="s">
        <v>21696</v>
      </c>
      <c r="N6909" t="s">
        <v>36</v>
      </c>
      <c r="O6909" t="s">
        <v>134</v>
      </c>
      <c r="P6909" t="s">
        <v>461</v>
      </c>
      <c r="Q6909">
        <v>52</v>
      </c>
      <c r="R6909">
        <v>4.8975</v>
      </c>
    </row>
    <row r="6910" spans="1:18" x14ac:dyDescent="0.2">
      <c r="A6910" t="s">
        <v>1637</v>
      </c>
      <c r="B6910" t="s">
        <v>454</v>
      </c>
      <c r="C6910">
        <v>1</v>
      </c>
      <c r="D6910" s="1">
        <v>44172.806423611109</v>
      </c>
      <c r="E6910" t="s">
        <v>21697</v>
      </c>
      <c r="F6910" t="s">
        <v>1640</v>
      </c>
      <c r="G6910" t="s">
        <v>21676</v>
      </c>
      <c r="H6910" t="s">
        <v>1642</v>
      </c>
      <c r="I6910" t="s">
        <v>29</v>
      </c>
      <c r="J6910">
        <v>1</v>
      </c>
      <c r="K6910">
        <f>1-888-452-570</f>
        <v>-1909</v>
      </c>
      <c r="L6910" t="s">
        <v>21698</v>
      </c>
      <c r="M6910" t="s">
        <v>21699</v>
      </c>
      <c r="N6910" t="s">
        <v>452</v>
      </c>
      <c r="O6910" t="s">
        <v>134</v>
      </c>
      <c r="P6910" t="s">
        <v>461</v>
      </c>
      <c r="Q6910">
        <v>52</v>
      </c>
      <c r="R6910">
        <v>4.8975</v>
      </c>
    </row>
    <row r="6911" spans="1:18" x14ac:dyDescent="0.2">
      <c r="A6911" t="s">
        <v>1637</v>
      </c>
      <c r="B6911" t="s">
        <v>454</v>
      </c>
      <c r="C6911">
        <v>1</v>
      </c>
      <c r="D6911" s="1">
        <v>44172.806192129632</v>
      </c>
      <c r="E6911" t="s">
        <v>21700</v>
      </c>
      <c r="F6911" t="s">
        <v>1640</v>
      </c>
      <c r="G6911" t="s">
        <v>21676</v>
      </c>
      <c r="H6911" t="s">
        <v>1642</v>
      </c>
      <c r="I6911" t="s">
        <v>29</v>
      </c>
      <c r="J6911">
        <v>1</v>
      </c>
      <c r="K6911">
        <f>1-888-451-9607</f>
        <v>-10945</v>
      </c>
      <c r="L6911" t="s">
        <v>21701</v>
      </c>
      <c r="M6911" t="s">
        <v>21702</v>
      </c>
      <c r="N6911" t="s">
        <v>1645</v>
      </c>
      <c r="O6911" t="s">
        <v>134</v>
      </c>
      <c r="P6911" t="s">
        <v>461</v>
      </c>
      <c r="Q6911">
        <v>52</v>
      </c>
      <c r="R6911">
        <v>4.8975</v>
      </c>
    </row>
    <row r="6912" spans="1:18" x14ac:dyDescent="0.2">
      <c r="A6912" t="s">
        <v>1637</v>
      </c>
      <c r="B6912" t="s">
        <v>454</v>
      </c>
      <c r="C6912">
        <v>1</v>
      </c>
      <c r="D6912" s="1">
        <v>44172.805902777778</v>
      </c>
      <c r="E6912" t="s">
        <v>21703</v>
      </c>
      <c r="F6912" t="s">
        <v>1640</v>
      </c>
      <c r="G6912" t="s">
        <v>21676</v>
      </c>
      <c r="H6912" t="s">
        <v>1642</v>
      </c>
      <c r="I6912" t="s">
        <v>29</v>
      </c>
      <c r="J6912">
        <v>1</v>
      </c>
      <c r="K6912">
        <f>1-888-451-9607</f>
        <v>-10945</v>
      </c>
      <c r="L6912" t="s">
        <v>21704</v>
      </c>
      <c r="M6912" t="s">
        <v>21705</v>
      </c>
      <c r="N6912" t="s">
        <v>2475</v>
      </c>
      <c r="O6912" t="s">
        <v>134</v>
      </c>
      <c r="P6912" t="s">
        <v>461</v>
      </c>
      <c r="Q6912">
        <v>52</v>
      </c>
      <c r="R6912">
        <v>4.8975</v>
      </c>
    </row>
    <row r="6913" spans="1:18" x14ac:dyDescent="0.2">
      <c r="A6913" t="s">
        <v>1637</v>
      </c>
      <c r="B6913" t="s">
        <v>454</v>
      </c>
      <c r="C6913">
        <v>1</v>
      </c>
      <c r="D6913" s="1">
        <v>44171.833078703705</v>
      </c>
      <c r="E6913" t="s">
        <v>21706</v>
      </c>
      <c r="F6913" t="s">
        <v>1640</v>
      </c>
      <c r="G6913" t="s">
        <v>21676</v>
      </c>
      <c r="H6913" t="s">
        <v>1642</v>
      </c>
      <c r="I6913" t="s">
        <v>29</v>
      </c>
      <c r="J6913">
        <v>1</v>
      </c>
      <c r="K6913">
        <f>1-888-451-9607</f>
        <v>-10945</v>
      </c>
      <c r="L6913" t="s">
        <v>21707</v>
      </c>
      <c r="M6913" t="s">
        <v>21708</v>
      </c>
      <c r="N6913" t="s">
        <v>36</v>
      </c>
      <c r="O6913" t="s">
        <v>134</v>
      </c>
      <c r="P6913" t="s">
        <v>461</v>
      </c>
      <c r="Q6913">
        <v>52</v>
      </c>
      <c r="R6913">
        <v>4.8975</v>
      </c>
    </row>
    <row r="6914" spans="1:18" x14ac:dyDescent="0.2">
      <c r="A6914" t="s">
        <v>1637</v>
      </c>
      <c r="B6914" t="s">
        <v>454</v>
      </c>
      <c r="C6914">
        <v>1</v>
      </c>
      <c r="D6914" s="1">
        <v>44171.757928240739</v>
      </c>
      <c r="E6914" t="s">
        <v>21709</v>
      </c>
      <c r="F6914" t="s">
        <v>1640</v>
      </c>
      <c r="G6914" t="s">
        <v>21676</v>
      </c>
      <c r="H6914" t="s">
        <v>1642</v>
      </c>
      <c r="I6914" t="s">
        <v>29</v>
      </c>
      <c r="J6914">
        <v>1</v>
      </c>
      <c r="K6914">
        <f>1-888-452-570</f>
        <v>-1909</v>
      </c>
      <c r="L6914" t="s">
        <v>21710</v>
      </c>
      <c r="M6914" t="s">
        <v>21711</v>
      </c>
      <c r="N6914" t="s">
        <v>1645</v>
      </c>
      <c r="O6914" t="s">
        <v>134</v>
      </c>
      <c r="P6914" t="s">
        <v>461</v>
      </c>
      <c r="Q6914">
        <v>52</v>
      </c>
      <c r="R6914">
        <v>4.8975</v>
      </c>
    </row>
    <row r="6915" spans="1:18" x14ac:dyDescent="0.2">
      <c r="A6915" t="s">
        <v>1637</v>
      </c>
      <c r="B6915" t="s">
        <v>454</v>
      </c>
      <c r="C6915">
        <v>1</v>
      </c>
      <c r="D6915" s="1">
        <v>44144.80908564815</v>
      </c>
      <c r="E6915" t="s">
        <v>21712</v>
      </c>
      <c r="F6915" t="s">
        <v>5753</v>
      </c>
      <c r="G6915" t="s">
        <v>21676</v>
      </c>
      <c r="H6915" t="s">
        <v>1642</v>
      </c>
      <c r="I6915" t="s">
        <v>29</v>
      </c>
      <c r="J6915">
        <v>1</v>
      </c>
      <c r="K6915">
        <f>1-877-260-1263</f>
        <v>-2399</v>
      </c>
      <c r="L6915" t="s">
        <v>21713</v>
      </c>
      <c r="M6915" t="s">
        <v>21714</v>
      </c>
      <c r="N6915" t="s">
        <v>36</v>
      </c>
      <c r="O6915" t="s">
        <v>134</v>
      </c>
      <c r="P6915" t="s">
        <v>461</v>
      </c>
      <c r="Q6915">
        <v>52</v>
      </c>
      <c r="R6915">
        <v>4.8975</v>
      </c>
    </row>
    <row r="6916" spans="1:18" x14ac:dyDescent="0.2">
      <c r="A6916" t="s">
        <v>1637</v>
      </c>
      <c r="B6916" t="s">
        <v>454</v>
      </c>
      <c r="C6916">
        <v>1</v>
      </c>
      <c r="D6916" s="1">
        <v>44143.851678240739</v>
      </c>
      <c r="E6916" t="s">
        <v>21715</v>
      </c>
      <c r="F6916" t="s">
        <v>5753</v>
      </c>
      <c r="G6916" t="s">
        <v>21676</v>
      </c>
      <c r="H6916" t="s">
        <v>1642</v>
      </c>
      <c r="I6916" t="s">
        <v>29</v>
      </c>
      <c r="J6916">
        <v>1</v>
      </c>
      <c r="K6916">
        <f>1-877-260-1263</f>
        <v>-2399</v>
      </c>
      <c r="L6916" t="s">
        <v>21716</v>
      </c>
      <c r="M6916" t="s">
        <v>21717</v>
      </c>
      <c r="N6916" t="s">
        <v>452</v>
      </c>
      <c r="O6916" t="s">
        <v>134</v>
      </c>
      <c r="P6916" t="s">
        <v>461</v>
      </c>
      <c r="Q6916">
        <v>52</v>
      </c>
      <c r="R6916">
        <v>4.8975</v>
      </c>
    </row>
    <row r="6917" spans="1:18" x14ac:dyDescent="0.2">
      <c r="A6917" t="s">
        <v>1637</v>
      </c>
      <c r="B6917" t="s">
        <v>454</v>
      </c>
      <c r="C6917">
        <v>1</v>
      </c>
      <c r="D6917" s="1">
        <v>44143.851307870369</v>
      </c>
      <c r="E6917" t="s">
        <v>21718</v>
      </c>
      <c r="F6917" t="s">
        <v>5753</v>
      </c>
      <c r="G6917" t="s">
        <v>21676</v>
      </c>
      <c r="H6917" t="s">
        <v>1642</v>
      </c>
      <c r="I6917" t="s">
        <v>29</v>
      </c>
      <c r="J6917">
        <v>1</v>
      </c>
      <c r="K6917">
        <f>1-877-260-1263</f>
        <v>-2399</v>
      </c>
      <c r="L6917" t="s">
        <v>21719</v>
      </c>
      <c r="M6917" t="s">
        <v>21720</v>
      </c>
      <c r="N6917" t="s">
        <v>2475</v>
      </c>
      <c r="O6917" t="s">
        <v>134</v>
      </c>
      <c r="P6917" t="s">
        <v>461</v>
      </c>
      <c r="Q6917">
        <v>52</v>
      </c>
      <c r="R6917">
        <v>4.8975</v>
      </c>
    </row>
    <row r="6918" spans="1:18" x14ac:dyDescent="0.2">
      <c r="A6918" t="s">
        <v>1637</v>
      </c>
      <c r="B6918" t="s">
        <v>454</v>
      </c>
      <c r="C6918">
        <v>1</v>
      </c>
      <c r="D6918" s="1">
        <v>44143.851157407407</v>
      </c>
      <c r="E6918" t="s">
        <v>21721</v>
      </c>
      <c r="F6918" t="s">
        <v>5753</v>
      </c>
      <c r="G6918" t="s">
        <v>21676</v>
      </c>
      <c r="H6918" t="s">
        <v>1642</v>
      </c>
      <c r="I6918" t="s">
        <v>29</v>
      </c>
      <c r="J6918">
        <v>1</v>
      </c>
      <c r="K6918">
        <f>1-877-260-1263</f>
        <v>-2399</v>
      </c>
      <c r="L6918" t="s">
        <v>21722</v>
      </c>
      <c r="M6918" t="s">
        <v>21723</v>
      </c>
      <c r="N6918" t="s">
        <v>1645</v>
      </c>
      <c r="O6918" t="s">
        <v>134</v>
      </c>
      <c r="P6918" t="s">
        <v>461</v>
      </c>
      <c r="Q6918">
        <v>52</v>
      </c>
      <c r="R6918">
        <v>4.8975</v>
      </c>
    </row>
    <row r="6919" spans="1:18" x14ac:dyDescent="0.2">
      <c r="A6919" t="s">
        <v>1637</v>
      </c>
      <c r="B6919" t="s">
        <v>454</v>
      </c>
      <c r="C6919">
        <v>1</v>
      </c>
      <c r="D6919" s="1">
        <v>44143.850925925923</v>
      </c>
      <c r="E6919" t="s">
        <v>21724</v>
      </c>
      <c r="F6919" t="s">
        <v>5753</v>
      </c>
      <c r="G6919" t="s">
        <v>21676</v>
      </c>
      <c r="H6919" t="s">
        <v>1642</v>
      </c>
      <c r="I6919" t="s">
        <v>29</v>
      </c>
      <c r="J6919">
        <v>1</v>
      </c>
      <c r="K6919">
        <f>1-877-260-1263</f>
        <v>-2399</v>
      </c>
      <c r="L6919" t="s">
        <v>21725</v>
      </c>
      <c r="M6919" t="s">
        <v>21726</v>
      </c>
      <c r="N6919" t="s">
        <v>1645</v>
      </c>
      <c r="O6919" t="s">
        <v>134</v>
      </c>
      <c r="P6919" t="s">
        <v>461</v>
      </c>
      <c r="Q6919">
        <v>52</v>
      </c>
      <c r="R6919">
        <v>4.8975</v>
      </c>
    </row>
    <row r="6920" spans="1:18" x14ac:dyDescent="0.2">
      <c r="A6920" t="s">
        <v>1637</v>
      </c>
      <c r="B6920" t="s">
        <v>454</v>
      </c>
      <c r="C6920">
        <v>1</v>
      </c>
      <c r="D6920" s="1">
        <v>44143.850787037038</v>
      </c>
      <c r="E6920" t="s">
        <v>21727</v>
      </c>
      <c r="F6920" t="s">
        <v>5753</v>
      </c>
      <c r="G6920" t="s">
        <v>21676</v>
      </c>
      <c r="H6920" t="s">
        <v>1642</v>
      </c>
      <c r="I6920" t="s">
        <v>29</v>
      </c>
      <c r="J6920">
        <v>1</v>
      </c>
      <c r="K6920">
        <f>1-888-398-6625</f>
        <v>-7910</v>
      </c>
      <c r="L6920" t="s">
        <v>21728</v>
      </c>
      <c r="M6920" t="s">
        <v>21729</v>
      </c>
      <c r="N6920" t="s">
        <v>36</v>
      </c>
      <c r="O6920" t="s">
        <v>134</v>
      </c>
      <c r="P6920" t="s">
        <v>461</v>
      </c>
      <c r="Q6920">
        <v>52</v>
      </c>
      <c r="R6920">
        <v>4.8975</v>
      </c>
    </row>
    <row r="6921" spans="1:18" x14ac:dyDescent="0.2">
      <c r="A6921" t="s">
        <v>1637</v>
      </c>
      <c r="B6921" t="s">
        <v>454</v>
      </c>
      <c r="C6921">
        <v>1</v>
      </c>
      <c r="D6921" s="1">
        <v>44143.850624999999</v>
      </c>
      <c r="E6921" t="s">
        <v>21730</v>
      </c>
      <c r="F6921" t="s">
        <v>5753</v>
      </c>
      <c r="G6921" t="s">
        <v>21676</v>
      </c>
      <c r="H6921" t="s">
        <v>1642</v>
      </c>
      <c r="I6921" t="s">
        <v>29</v>
      </c>
      <c r="J6921">
        <v>1</v>
      </c>
      <c r="K6921">
        <f>1-888-398-6625</f>
        <v>-7910</v>
      </c>
      <c r="L6921" t="s">
        <v>21731</v>
      </c>
      <c r="M6921" t="s">
        <v>21732</v>
      </c>
      <c r="N6921" t="s">
        <v>1645</v>
      </c>
      <c r="O6921" t="s">
        <v>134</v>
      </c>
      <c r="P6921" t="s">
        <v>461</v>
      </c>
      <c r="Q6921">
        <v>52</v>
      </c>
      <c r="R6921">
        <v>4.8975</v>
      </c>
    </row>
    <row r="6922" spans="1:18" x14ac:dyDescent="0.2">
      <c r="A6922" t="s">
        <v>1637</v>
      </c>
      <c r="B6922" t="s">
        <v>454</v>
      </c>
      <c r="C6922">
        <v>1</v>
      </c>
      <c r="D6922" s="1">
        <v>44143.785960648151</v>
      </c>
      <c r="E6922" t="s">
        <v>21733</v>
      </c>
      <c r="F6922" t="s">
        <v>5753</v>
      </c>
      <c r="G6922" t="s">
        <v>21676</v>
      </c>
      <c r="H6922" t="s">
        <v>1642</v>
      </c>
      <c r="I6922" t="s">
        <v>29</v>
      </c>
      <c r="J6922">
        <v>1</v>
      </c>
      <c r="K6922">
        <f>1-888-338-5553</f>
        <v>-6778</v>
      </c>
      <c r="L6922" t="s">
        <v>21734</v>
      </c>
      <c r="M6922" t="s">
        <v>21735</v>
      </c>
      <c r="N6922" t="s">
        <v>452</v>
      </c>
      <c r="O6922" t="s">
        <v>134</v>
      </c>
      <c r="P6922" t="s">
        <v>461</v>
      </c>
      <c r="Q6922">
        <v>52</v>
      </c>
      <c r="R6922">
        <v>4.8975</v>
      </c>
    </row>
    <row r="6923" spans="1:18" x14ac:dyDescent="0.2">
      <c r="A6923" t="s">
        <v>1637</v>
      </c>
      <c r="B6923" t="s">
        <v>454</v>
      </c>
      <c r="C6923">
        <v>1</v>
      </c>
      <c r="D6923" s="1">
        <v>44142.967881944445</v>
      </c>
      <c r="E6923" t="s">
        <v>21736</v>
      </c>
      <c r="F6923" t="s">
        <v>5753</v>
      </c>
      <c r="G6923" t="s">
        <v>21676</v>
      </c>
      <c r="H6923" t="s">
        <v>1642</v>
      </c>
      <c r="I6923" t="s">
        <v>29</v>
      </c>
      <c r="J6923">
        <v>1</v>
      </c>
      <c r="K6923">
        <f>1-877-260-1263</f>
        <v>-2399</v>
      </c>
      <c r="L6923" t="s">
        <v>21737</v>
      </c>
      <c r="M6923" t="s">
        <v>21738</v>
      </c>
      <c r="N6923" t="s">
        <v>36</v>
      </c>
      <c r="O6923" t="s">
        <v>134</v>
      </c>
      <c r="P6923" t="s">
        <v>461</v>
      </c>
      <c r="Q6923">
        <v>52</v>
      </c>
      <c r="R6923">
        <v>4.8975</v>
      </c>
    </row>
    <row r="6924" spans="1:18" x14ac:dyDescent="0.2">
      <c r="A6924" t="s">
        <v>1637</v>
      </c>
      <c r="B6924" t="s">
        <v>454</v>
      </c>
      <c r="C6924">
        <v>1</v>
      </c>
      <c r="D6924" s="1">
        <v>44128.945405092592</v>
      </c>
      <c r="E6924" t="s">
        <v>21739</v>
      </c>
      <c r="F6924" t="s">
        <v>5753</v>
      </c>
      <c r="G6924" t="s">
        <v>21676</v>
      </c>
      <c r="H6924" t="s">
        <v>1642</v>
      </c>
      <c r="I6924" t="s">
        <v>29</v>
      </c>
      <c r="J6924">
        <v>1</v>
      </c>
      <c r="K6924">
        <f>1-888-803-7094</f>
        <v>-8784</v>
      </c>
      <c r="L6924" t="s">
        <v>21740</v>
      </c>
      <c r="M6924" t="s">
        <v>21741</v>
      </c>
      <c r="N6924" t="s">
        <v>1645</v>
      </c>
      <c r="O6924" t="s">
        <v>134</v>
      </c>
      <c r="P6924" t="s">
        <v>461</v>
      </c>
      <c r="Q6924">
        <v>52</v>
      </c>
      <c r="R6924">
        <v>4.8975</v>
      </c>
    </row>
    <row r="6925" spans="1:18" x14ac:dyDescent="0.2">
      <c r="A6925" t="s">
        <v>1637</v>
      </c>
      <c r="B6925" t="s">
        <v>454</v>
      </c>
      <c r="C6925">
        <v>1</v>
      </c>
      <c r="D6925" s="1">
        <v>44128.9374537037</v>
      </c>
      <c r="E6925" t="s">
        <v>21739</v>
      </c>
      <c r="F6925" t="s">
        <v>5753</v>
      </c>
      <c r="G6925" t="s">
        <v>21676</v>
      </c>
      <c r="H6925" t="s">
        <v>1642</v>
      </c>
      <c r="I6925" t="s">
        <v>29</v>
      </c>
      <c r="J6925">
        <v>1</v>
      </c>
      <c r="K6925">
        <f>1-888-406-6879</f>
        <v>-8172</v>
      </c>
      <c r="L6925" t="s">
        <v>21742</v>
      </c>
      <c r="M6925" t="s">
        <v>21743</v>
      </c>
      <c r="N6925" t="s">
        <v>1645</v>
      </c>
      <c r="O6925" t="s">
        <v>134</v>
      </c>
      <c r="P6925" t="s">
        <v>461</v>
      </c>
      <c r="Q6925">
        <v>52</v>
      </c>
      <c r="R6925">
        <v>4.8975</v>
      </c>
    </row>
    <row r="6926" spans="1:18" x14ac:dyDescent="0.2">
      <c r="A6926" t="s">
        <v>1637</v>
      </c>
      <c r="B6926" t="s">
        <v>454</v>
      </c>
      <c r="C6926">
        <v>1</v>
      </c>
      <c r="D6926" s="1">
        <v>44128.025717592594</v>
      </c>
      <c r="E6926" t="s">
        <v>21744</v>
      </c>
      <c r="F6926" t="s">
        <v>5753</v>
      </c>
      <c r="G6926" t="s">
        <v>21676</v>
      </c>
      <c r="H6926" t="s">
        <v>1642</v>
      </c>
      <c r="I6926" t="s">
        <v>29</v>
      </c>
      <c r="J6926">
        <v>1</v>
      </c>
      <c r="K6926">
        <f>1-888-407-8718</f>
        <v>-10012</v>
      </c>
      <c r="L6926" t="s">
        <v>21745</v>
      </c>
      <c r="M6926" t="s">
        <v>21746</v>
      </c>
      <c r="N6926" t="s">
        <v>1645</v>
      </c>
      <c r="O6926" t="s">
        <v>134</v>
      </c>
      <c r="P6926" t="s">
        <v>461</v>
      </c>
      <c r="Q6926">
        <v>52</v>
      </c>
      <c r="R6926">
        <v>4.8975</v>
      </c>
    </row>
    <row r="6927" spans="1:18" x14ac:dyDescent="0.2">
      <c r="A6927" t="s">
        <v>439</v>
      </c>
      <c r="B6927" t="s">
        <v>3094</v>
      </c>
      <c r="C6927">
        <v>1</v>
      </c>
      <c r="D6927" s="1">
        <v>44127.793599537035</v>
      </c>
      <c r="E6927" t="s">
        <v>21747</v>
      </c>
      <c r="F6927" t="s">
        <v>442</v>
      </c>
      <c r="G6927" t="s">
        <v>21748</v>
      </c>
      <c r="H6927" t="s">
        <v>444</v>
      </c>
      <c r="I6927" t="s">
        <v>29</v>
      </c>
      <c r="J6927">
        <v>1</v>
      </c>
      <c r="K6927">
        <f>1-888-350-27-50</f>
        <v>-1314</v>
      </c>
      <c r="L6927" t="s">
        <v>21749</v>
      </c>
      <c r="M6927" t="s">
        <v>21750</v>
      </c>
      <c r="N6927" t="s">
        <v>3454</v>
      </c>
      <c r="O6927" t="s">
        <v>134</v>
      </c>
      <c r="P6927" t="s">
        <v>2268</v>
      </c>
      <c r="Q6927">
        <v>46</v>
      </c>
      <c r="R6927">
        <v>-73.567300000000003</v>
      </c>
    </row>
    <row r="6928" spans="1:18" x14ac:dyDescent="0.2">
      <c r="A6928" t="s">
        <v>439</v>
      </c>
      <c r="B6928" t="s">
        <v>3094</v>
      </c>
      <c r="C6928">
        <v>1</v>
      </c>
      <c r="D6928" s="1">
        <v>44127.795775462961</v>
      </c>
      <c r="E6928" t="s">
        <v>21751</v>
      </c>
      <c r="F6928" t="s">
        <v>442</v>
      </c>
      <c r="G6928" t="s">
        <v>21752</v>
      </c>
      <c r="H6928" t="s">
        <v>444</v>
      </c>
      <c r="I6928" t="s">
        <v>29</v>
      </c>
      <c r="J6928">
        <v>1</v>
      </c>
      <c r="K6928">
        <f>1-888-350-27-50</f>
        <v>-1314</v>
      </c>
      <c r="L6928" t="s">
        <v>21753</v>
      </c>
      <c r="M6928" t="s">
        <v>21754</v>
      </c>
      <c r="N6928" t="s">
        <v>3454</v>
      </c>
      <c r="O6928" t="s">
        <v>134</v>
      </c>
      <c r="P6928" t="s">
        <v>2268</v>
      </c>
      <c r="Q6928">
        <v>46</v>
      </c>
      <c r="R6928">
        <v>-73.567300000000003</v>
      </c>
    </row>
    <row r="6929" spans="1:18" x14ac:dyDescent="0.2">
      <c r="A6929" t="s">
        <v>663</v>
      </c>
      <c r="B6929" t="s">
        <v>664</v>
      </c>
      <c r="C6929">
        <v>1</v>
      </c>
      <c r="D6929" s="1">
        <v>44127.868055555555</v>
      </c>
      <c r="E6929" t="s">
        <v>21755</v>
      </c>
      <c r="F6929" t="s">
        <v>666</v>
      </c>
      <c r="G6929" t="s">
        <v>21755</v>
      </c>
      <c r="H6929" t="s">
        <v>667</v>
      </c>
      <c r="I6929" t="s">
        <v>29</v>
      </c>
      <c r="J6929">
        <v>1</v>
      </c>
      <c r="K6929">
        <f>1-888-388-5049</f>
        <v>-6324</v>
      </c>
      <c r="L6929" t="s">
        <v>21756</v>
      </c>
      <c r="M6929" t="s">
        <v>21757</v>
      </c>
      <c r="N6929">
        <v>182</v>
      </c>
      <c r="O6929" t="s">
        <v>134</v>
      </c>
      <c r="P6929" t="s">
        <v>29</v>
      </c>
      <c r="Q6929">
        <v>37</v>
      </c>
      <c r="R6929">
        <v>-99.999999000000003</v>
      </c>
    </row>
    <row r="6930" spans="1:18" x14ac:dyDescent="0.2">
      <c r="A6930" t="s">
        <v>663</v>
      </c>
      <c r="B6930" t="s">
        <v>2500</v>
      </c>
      <c r="C6930">
        <v>81</v>
      </c>
      <c r="D6930" s="1">
        <v>44128.080578703702</v>
      </c>
      <c r="E6930" t="s">
        <v>21758</v>
      </c>
      <c r="F6930" t="s">
        <v>666</v>
      </c>
      <c r="G6930" t="s">
        <v>21759</v>
      </c>
      <c r="H6930" t="s">
        <v>667</v>
      </c>
      <c r="I6930" t="s">
        <v>53</v>
      </c>
      <c r="J6930">
        <v>81</v>
      </c>
      <c r="K6930">
        <f>81-50-5539-7732</f>
        <v>-13240</v>
      </c>
      <c r="L6930" t="s">
        <v>21760</v>
      </c>
      <c r="M6930" t="s">
        <v>21761</v>
      </c>
      <c r="N6930" t="s">
        <v>2475</v>
      </c>
      <c r="O6930" t="s">
        <v>28</v>
      </c>
      <c r="P6930" t="s">
        <v>2500</v>
      </c>
      <c r="Q6930">
        <v>1</v>
      </c>
      <c r="R6930">
        <v>99.999999000000003</v>
      </c>
    </row>
    <row r="6931" spans="1:18" x14ac:dyDescent="0.2">
      <c r="A6931" t="s">
        <v>5349</v>
      </c>
      <c r="B6931" t="s">
        <v>440</v>
      </c>
      <c r="C6931">
        <v>81</v>
      </c>
      <c r="D6931" s="1">
        <v>44128.080891203703</v>
      </c>
      <c r="E6931" t="s">
        <v>21762</v>
      </c>
      <c r="F6931" t="s">
        <v>2236</v>
      </c>
      <c r="G6931" t="s">
        <v>21762</v>
      </c>
      <c r="H6931" t="s">
        <v>2237</v>
      </c>
      <c r="I6931" t="s">
        <v>53</v>
      </c>
      <c r="J6931">
        <v>81</v>
      </c>
      <c r="K6931">
        <f>81-50-5532-4024</f>
        <v>-9525</v>
      </c>
      <c r="L6931" t="s">
        <v>21763</v>
      </c>
      <c r="M6931" t="s">
        <v>21764</v>
      </c>
      <c r="N6931">
        <v>54</v>
      </c>
      <c r="O6931" t="s">
        <v>134</v>
      </c>
      <c r="P6931" t="s">
        <v>29</v>
      </c>
      <c r="Q6931">
        <v>39</v>
      </c>
      <c r="R6931">
        <v>-77.487399999999994</v>
      </c>
    </row>
    <row r="6932" spans="1:18" x14ac:dyDescent="0.2">
      <c r="A6932" t="s">
        <v>439</v>
      </c>
      <c r="B6932" t="s">
        <v>3094</v>
      </c>
      <c r="C6932">
        <v>1</v>
      </c>
      <c r="D6932" s="1">
        <v>44128.775069444448</v>
      </c>
      <c r="E6932" t="s">
        <v>21596</v>
      </c>
      <c r="F6932" t="s">
        <v>442</v>
      </c>
      <c r="G6932" t="s">
        <v>21765</v>
      </c>
      <c r="H6932" t="s">
        <v>444</v>
      </c>
      <c r="I6932" t="s">
        <v>29</v>
      </c>
      <c r="J6932">
        <v>1</v>
      </c>
      <c r="K6932">
        <f>1-888-389-6243</f>
        <v>-7519</v>
      </c>
      <c r="L6932" t="s">
        <v>21766</v>
      </c>
      <c r="M6932" t="s">
        <v>21767</v>
      </c>
      <c r="N6932" t="s">
        <v>683</v>
      </c>
      <c r="O6932" t="s">
        <v>28</v>
      </c>
      <c r="P6932" t="s">
        <v>2268</v>
      </c>
      <c r="Q6932">
        <v>46</v>
      </c>
      <c r="R6932">
        <v>-73.567300000000003</v>
      </c>
    </row>
    <row r="6933" spans="1:18" x14ac:dyDescent="0.2">
      <c r="A6933" t="s">
        <v>439</v>
      </c>
      <c r="B6933" t="s">
        <v>3094</v>
      </c>
      <c r="C6933">
        <v>1</v>
      </c>
      <c r="D6933" s="1">
        <v>44128.760046296295</v>
      </c>
      <c r="E6933" t="s">
        <v>21596</v>
      </c>
      <c r="F6933" t="s">
        <v>442</v>
      </c>
      <c r="G6933" t="s">
        <v>21765</v>
      </c>
      <c r="H6933" t="s">
        <v>444</v>
      </c>
      <c r="I6933" t="s">
        <v>29</v>
      </c>
      <c r="J6933">
        <v>1</v>
      </c>
      <c r="K6933">
        <f>1-888-384-3807</f>
        <v>-5078</v>
      </c>
      <c r="L6933" t="s">
        <v>21768</v>
      </c>
      <c r="M6933" t="s">
        <v>21769</v>
      </c>
      <c r="N6933" t="s">
        <v>683</v>
      </c>
      <c r="O6933" t="s">
        <v>28</v>
      </c>
      <c r="P6933" t="s">
        <v>2268</v>
      </c>
      <c r="Q6933">
        <v>46</v>
      </c>
      <c r="R6933">
        <v>-73.567300000000003</v>
      </c>
    </row>
    <row r="6934" spans="1:18" x14ac:dyDescent="0.2">
      <c r="A6934" t="s">
        <v>439</v>
      </c>
      <c r="B6934" t="s">
        <v>4321</v>
      </c>
      <c r="C6934">
        <v>1</v>
      </c>
      <c r="D6934" s="1">
        <v>44205.765451388892</v>
      </c>
      <c r="E6934" t="s">
        <v>21770</v>
      </c>
      <c r="F6934" t="s">
        <v>442</v>
      </c>
      <c r="G6934" t="s">
        <v>21771</v>
      </c>
      <c r="H6934" t="s">
        <v>444</v>
      </c>
      <c r="I6934" t="s">
        <v>29</v>
      </c>
      <c r="J6934">
        <v>1</v>
      </c>
      <c r="K6934">
        <f>1-888-345-4979</f>
        <v>-6211</v>
      </c>
      <c r="L6934" t="s">
        <v>21772</v>
      </c>
      <c r="M6934" t="s">
        <v>21773</v>
      </c>
      <c r="N6934" t="s">
        <v>1645</v>
      </c>
      <c r="O6934" t="s">
        <v>28</v>
      </c>
      <c r="P6934" t="s">
        <v>29</v>
      </c>
      <c r="Q6934">
        <v>42</v>
      </c>
      <c r="R6934">
        <v>-87.629800000000003</v>
      </c>
    </row>
    <row r="6935" spans="1:18" x14ac:dyDescent="0.2">
      <c r="A6935" t="s">
        <v>439</v>
      </c>
      <c r="B6935" t="s">
        <v>3094</v>
      </c>
      <c r="C6935">
        <v>1</v>
      </c>
      <c r="D6935" s="1">
        <v>44128.834432870368</v>
      </c>
      <c r="E6935" t="s">
        <v>21770</v>
      </c>
      <c r="F6935" t="s">
        <v>442</v>
      </c>
      <c r="G6935" t="s">
        <v>21771</v>
      </c>
      <c r="H6935" t="s">
        <v>444</v>
      </c>
      <c r="I6935" t="s">
        <v>29</v>
      </c>
      <c r="J6935">
        <v>1</v>
      </c>
      <c r="K6935">
        <f>1-888-340-4643</f>
        <v>-5870</v>
      </c>
      <c r="L6935" t="s">
        <v>21774</v>
      </c>
      <c r="M6935" t="s">
        <v>21775</v>
      </c>
      <c r="N6935" t="s">
        <v>1645</v>
      </c>
      <c r="O6935" t="s">
        <v>28</v>
      </c>
      <c r="P6935" t="s">
        <v>2268</v>
      </c>
      <c r="Q6935">
        <v>46</v>
      </c>
      <c r="R6935">
        <v>-73.567300000000003</v>
      </c>
    </row>
    <row r="6936" spans="1:18" x14ac:dyDescent="0.2">
      <c r="A6936" t="s">
        <v>2233</v>
      </c>
      <c r="B6936" t="s">
        <v>4672</v>
      </c>
      <c r="C6936">
        <v>1</v>
      </c>
      <c r="D6936" s="1">
        <v>44128.921018518522</v>
      </c>
      <c r="E6936" t="s">
        <v>20703</v>
      </c>
      <c r="F6936" t="s">
        <v>2236</v>
      </c>
      <c r="G6936" t="s">
        <v>21776</v>
      </c>
      <c r="H6936" t="s">
        <v>2237</v>
      </c>
      <c r="I6936" t="s">
        <v>29</v>
      </c>
      <c r="J6936">
        <v>1</v>
      </c>
      <c r="K6936">
        <f>1-844-264-1107</f>
        <v>-2214</v>
      </c>
      <c r="L6936" t="s">
        <v>21777</v>
      </c>
      <c r="M6936" t="s">
        <v>21778</v>
      </c>
      <c r="N6936" t="s">
        <v>5354</v>
      </c>
      <c r="O6936" t="s">
        <v>28</v>
      </c>
      <c r="P6936" t="s">
        <v>782</v>
      </c>
      <c r="Q6936">
        <v>-34</v>
      </c>
      <c r="R6936">
        <v>99.999999000000003</v>
      </c>
    </row>
    <row r="6937" spans="1:18" x14ac:dyDescent="0.2">
      <c r="A6937" t="s">
        <v>439</v>
      </c>
      <c r="B6937" t="s">
        <v>3094</v>
      </c>
      <c r="C6937">
        <v>1</v>
      </c>
      <c r="D6937" s="1">
        <v>44130.735150462962</v>
      </c>
      <c r="E6937" t="s">
        <v>21779</v>
      </c>
      <c r="F6937" t="s">
        <v>442</v>
      </c>
      <c r="G6937" t="s">
        <v>21780</v>
      </c>
      <c r="H6937" t="s">
        <v>444</v>
      </c>
      <c r="I6937" t="s">
        <v>29</v>
      </c>
      <c r="J6937">
        <v>1</v>
      </c>
      <c r="K6937">
        <f>1-888-406-8018</f>
        <v>-9311</v>
      </c>
      <c r="L6937" t="s">
        <v>21781</v>
      </c>
      <c r="M6937" t="s">
        <v>21782</v>
      </c>
      <c r="N6937" t="s">
        <v>3454</v>
      </c>
      <c r="O6937" t="s">
        <v>28</v>
      </c>
      <c r="P6937" t="s">
        <v>2268</v>
      </c>
      <c r="Q6937">
        <v>46</v>
      </c>
      <c r="R6937">
        <v>-73.567300000000003</v>
      </c>
    </row>
    <row r="6938" spans="1:18" x14ac:dyDescent="0.2">
      <c r="A6938" t="s">
        <v>439</v>
      </c>
      <c r="B6938" t="s">
        <v>3094</v>
      </c>
      <c r="C6938">
        <v>1</v>
      </c>
      <c r="D6938" s="1">
        <v>44130.735763888886</v>
      </c>
      <c r="E6938" t="s">
        <v>21783</v>
      </c>
      <c r="F6938" t="s">
        <v>442</v>
      </c>
      <c r="G6938" t="s">
        <v>21784</v>
      </c>
      <c r="H6938" t="s">
        <v>444</v>
      </c>
      <c r="I6938" t="s">
        <v>29</v>
      </c>
      <c r="J6938">
        <v>1</v>
      </c>
      <c r="K6938">
        <f>1-888-398-1952</f>
        <v>-3237</v>
      </c>
      <c r="L6938" t="s">
        <v>21785</v>
      </c>
      <c r="M6938" t="s">
        <v>21786</v>
      </c>
      <c r="N6938" t="s">
        <v>2475</v>
      </c>
      <c r="O6938" t="s">
        <v>28</v>
      </c>
      <c r="P6938" t="s">
        <v>2268</v>
      </c>
      <c r="Q6938">
        <v>46</v>
      </c>
      <c r="R6938">
        <v>-73.567300000000003</v>
      </c>
    </row>
    <row r="6939" spans="1:18" x14ac:dyDescent="0.2">
      <c r="A6939" t="s">
        <v>439</v>
      </c>
      <c r="B6939" t="s">
        <v>3094</v>
      </c>
      <c r="C6939">
        <v>1</v>
      </c>
      <c r="D6939" s="1">
        <v>44130.789340277777</v>
      </c>
      <c r="E6939" t="s">
        <v>21787</v>
      </c>
      <c r="F6939" t="s">
        <v>442</v>
      </c>
      <c r="G6939" t="s">
        <v>21788</v>
      </c>
      <c r="H6939" t="s">
        <v>444</v>
      </c>
      <c r="I6939" t="s">
        <v>29</v>
      </c>
      <c r="J6939">
        <v>1</v>
      </c>
      <c r="K6939">
        <f>1-888-390-5089</f>
        <v>-6366</v>
      </c>
      <c r="L6939" t="s">
        <v>21789</v>
      </c>
      <c r="M6939" t="s">
        <v>21790</v>
      </c>
      <c r="N6939" t="s">
        <v>5354</v>
      </c>
      <c r="O6939" t="s">
        <v>28</v>
      </c>
      <c r="P6939" t="s">
        <v>2268</v>
      </c>
      <c r="Q6939">
        <v>46</v>
      </c>
      <c r="R6939">
        <v>-73.567300000000003</v>
      </c>
    </row>
    <row r="6940" spans="1:18" x14ac:dyDescent="0.2">
      <c r="A6940" t="s">
        <v>439</v>
      </c>
      <c r="B6940" t="s">
        <v>3094</v>
      </c>
      <c r="C6940">
        <v>1</v>
      </c>
      <c r="D6940" s="1">
        <v>44130.805</v>
      </c>
      <c r="E6940" t="s">
        <v>21791</v>
      </c>
      <c r="F6940" t="s">
        <v>442</v>
      </c>
      <c r="G6940" t="s">
        <v>21792</v>
      </c>
      <c r="H6940" t="s">
        <v>444</v>
      </c>
      <c r="I6940" t="s">
        <v>29</v>
      </c>
      <c r="J6940">
        <v>1</v>
      </c>
      <c r="K6940">
        <f>1-888-390-5089</f>
        <v>-6366</v>
      </c>
      <c r="L6940" t="s">
        <v>21793</v>
      </c>
      <c r="M6940" t="s">
        <v>21794</v>
      </c>
      <c r="N6940" t="s">
        <v>5354</v>
      </c>
      <c r="O6940" t="s">
        <v>28</v>
      </c>
      <c r="P6940" t="s">
        <v>2268</v>
      </c>
      <c r="Q6940">
        <v>46</v>
      </c>
      <c r="R6940">
        <v>-73.567300000000003</v>
      </c>
    </row>
    <row r="6941" spans="1:18" x14ac:dyDescent="0.2">
      <c r="A6941" t="s">
        <v>3420</v>
      </c>
      <c r="B6941" t="s">
        <v>4672</v>
      </c>
      <c r="C6941">
        <v>61</v>
      </c>
      <c r="D6941" s="1">
        <v>44130.83148148148</v>
      </c>
      <c r="E6941" t="s">
        <v>21795</v>
      </c>
      <c r="F6941" t="s">
        <v>3422</v>
      </c>
      <c r="G6941" t="s">
        <v>21796</v>
      </c>
      <c r="H6941" t="s">
        <v>3423</v>
      </c>
      <c r="I6941" t="s">
        <v>782</v>
      </c>
      <c r="J6941">
        <v>61</v>
      </c>
      <c r="K6941">
        <f>61-1800-861-914</f>
        <v>-3514</v>
      </c>
      <c r="L6941" t="s">
        <v>21797</v>
      </c>
      <c r="M6941" t="s">
        <v>21798</v>
      </c>
      <c r="N6941" t="s">
        <v>5354</v>
      </c>
      <c r="O6941" t="s">
        <v>28</v>
      </c>
      <c r="P6941" t="s">
        <v>782</v>
      </c>
      <c r="Q6941">
        <v>-34</v>
      </c>
      <c r="R6941">
        <v>99.999999000000003</v>
      </c>
    </row>
    <row r="6942" spans="1:18" x14ac:dyDescent="0.2">
      <c r="A6942" t="s">
        <v>439</v>
      </c>
      <c r="B6942" t="s">
        <v>3094</v>
      </c>
      <c r="C6942">
        <v>1</v>
      </c>
      <c r="D6942" s="1">
        <v>44130.905856481484</v>
      </c>
      <c r="E6942" t="s">
        <v>21799</v>
      </c>
      <c r="F6942" t="s">
        <v>442</v>
      </c>
      <c r="G6942" t="s">
        <v>21800</v>
      </c>
      <c r="H6942" t="s">
        <v>444</v>
      </c>
      <c r="I6942" t="s">
        <v>29</v>
      </c>
      <c r="J6942">
        <v>1</v>
      </c>
      <c r="K6942">
        <f>1-844-292-4957</f>
        <v>-6092</v>
      </c>
      <c r="L6942" t="s">
        <v>21801</v>
      </c>
      <c r="M6942" t="s">
        <v>21802</v>
      </c>
      <c r="N6942" t="s">
        <v>447</v>
      </c>
      <c r="O6942" t="s">
        <v>28</v>
      </c>
      <c r="P6942" t="s">
        <v>2268</v>
      </c>
      <c r="Q6942">
        <v>46</v>
      </c>
      <c r="R6942">
        <v>-73.567300000000003</v>
      </c>
    </row>
    <row r="6943" spans="1:18" x14ac:dyDescent="0.2">
      <c r="A6943" t="s">
        <v>663</v>
      </c>
      <c r="B6943" t="s">
        <v>2493</v>
      </c>
      <c r="C6943">
        <v>1</v>
      </c>
      <c r="D6943" s="1">
        <v>44130.950497685182</v>
      </c>
      <c r="E6943" t="s">
        <v>21803</v>
      </c>
      <c r="F6943" t="s">
        <v>666</v>
      </c>
      <c r="G6943" t="s">
        <v>21803</v>
      </c>
      <c r="H6943" t="s">
        <v>667</v>
      </c>
      <c r="I6943" t="s">
        <v>29</v>
      </c>
      <c r="J6943">
        <v>1</v>
      </c>
      <c r="K6943">
        <f>1-888-393-6318</f>
        <v>-7598</v>
      </c>
      <c r="L6943" t="s">
        <v>21804</v>
      </c>
      <c r="M6943" t="s">
        <v>21805</v>
      </c>
      <c r="N6943">
        <v>157</v>
      </c>
      <c r="O6943" t="s">
        <v>134</v>
      </c>
      <c r="P6943" t="s">
        <v>29</v>
      </c>
      <c r="Q6943">
        <v>41</v>
      </c>
      <c r="R6943">
        <v>-74.024699999999996</v>
      </c>
    </row>
    <row r="6944" spans="1:18" x14ac:dyDescent="0.2">
      <c r="A6944" t="s">
        <v>663</v>
      </c>
      <c r="B6944" t="s">
        <v>2493</v>
      </c>
      <c r="C6944">
        <v>1</v>
      </c>
      <c r="D6944" s="1">
        <v>44130.930497685185</v>
      </c>
      <c r="E6944" t="s">
        <v>21803</v>
      </c>
      <c r="F6944" t="s">
        <v>666</v>
      </c>
      <c r="G6944" t="s">
        <v>21803</v>
      </c>
      <c r="H6944" t="s">
        <v>667</v>
      </c>
      <c r="I6944" t="s">
        <v>29</v>
      </c>
      <c r="J6944">
        <v>1</v>
      </c>
      <c r="K6944">
        <f>1-888-251-6296</f>
        <v>-7434</v>
      </c>
      <c r="L6944" t="s">
        <v>21806</v>
      </c>
      <c r="M6944" t="s">
        <v>21807</v>
      </c>
      <c r="N6944">
        <v>157</v>
      </c>
      <c r="O6944" t="s">
        <v>134</v>
      </c>
      <c r="P6944" t="s">
        <v>29</v>
      </c>
      <c r="Q6944">
        <v>41</v>
      </c>
      <c r="R6944">
        <v>-74.024699999999996</v>
      </c>
    </row>
    <row r="6945" spans="1:18" x14ac:dyDescent="0.2">
      <c r="A6945" t="s">
        <v>663</v>
      </c>
      <c r="B6945" t="s">
        <v>2493</v>
      </c>
      <c r="C6945">
        <v>61</v>
      </c>
      <c r="D6945" s="1">
        <v>44131.215254629627</v>
      </c>
      <c r="E6945" t="s">
        <v>21808</v>
      </c>
      <c r="F6945" t="s">
        <v>666</v>
      </c>
      <c r="G6945" t="s">
        <v>21808</v>
      </c>
      <c r="H6945" t="s">
        <v>667</v>
      </c>
      <c r="I6945" t="s">
        <v>782</v>
      </c>
      <c r="J6945">
        <v>61</v>
      </c>
      <c r="K6945">
        <f>61-1800-290-952</f>
        <v>-2981</v>
      </c>
      <c r="L6945" t="s">
        <v>21809</v>
      </c>
      <c r="M6945" t="s">
        <v>21810</v>
      </c>
      <c r="N6945">
        <v>43</v>
      </c>
      <c r="O6945" t="s">
        <v>134</v>
      </c>
      <c r="P6945" t="s">
        <v>29</v>
      </c>
      <c r="Q6945">
        <v>41</v>
      </c>
      <c r="R6945">
        <v>-74.024699999999996</v>
      </c>
    </row>
    <row r="6946" spans="1:18" x14ac:dyDescent="0.2">
      <c r="A6946" t="s">
        <v>439</v>
      </c>
      <c r="B6946" t="s">
        <v>3094</v>
      </c>
      <c r="C6946">
        <v>1</v>
      </c>
      <c r="D6946" s="1">
        <v>44131.718865740739</v>
      </c>
      <c r="E6946" t="s">
        <v>21811</v>
      </c>
      <c r="F6946" t="s">
        <v>442</v>
      </c>
      <c r="G6946" t="s">
        <v>21812</v>
      </c>
      <c r="H6946" t="s">
        <v>444</v>
      </c>
      <c r="I6946" t="s">
        <v>29</v>
      </c>
      <c r="J6946">
        <v>1</v>
      </c>
      <c r="K6946">
        <f>1-888-390-5089</f>
        <v>-6366</v>
      </c>
      <c r="L6946" t="s">
        <v>21813</v>
      </c>
      <c r="M6946" t="s">
        <v>21814</v>
      </c>
      <c r="N6946" t="s">
        <v>20553</v>
      </c>
      <c r="O6946" t="s">
        <v>28</v>
      </c>
      <c r="P6946" t="s">
        <v>2268</v>
      </c>
      <c r="Q6946">
        <v>46</v>
      </c>
      <c r="R6946">
        <v>-73.567300000000003</v>
      </c>
    </row>
    <row r="6947" spans="1:18" x14ac:dyDescent="0.2">
      <c r="A6947" t="s">
        <v>663</v>
      </c>
      <c r="B6947" t="s">
        <v>2493</v>
      </c>
      <c r="C6947">
        <v>1</v>
      </c>
      <c r="D6947" s="1">
        <v>44131.721817129626</v>
      </c>
      <c r="E6947" t="s">
        <v>21815</v>
      </c>
      <c r="F6947" t="s">
        <v>666</v>
      </c>
      <c r="G6947" t="s">
        <v>21815</v>
      </c>
      <c r="H6947" t="s">
        <v>667</v>
      </c>
      <c r="I6947" t="s">
        <v>29</v>
      </c>
      <c r="J6947">
        <v>1</v>
      </c>
      <c r="K6947">
        <f>1-888-233-5895</f>
        <v>-7015</v>
      </c>
      <c r="L6947" t="s">
        <v>21816</v>
      </c>
      <c r="M6947" t="s">
        <v>21817</v>
      </c>
      <c r="N6947">
        <v>1</v>
      </c>
      <c r="O6947" t="s">
        <v>134</v>
      </c>
      <c r="P6947" t="s">
        <v>29</v>
      </c>
      <c r="Q6947">
        <v>41</v>
      </c>
      <c r="R6947">
        <v>-74.024699999999996</v>
      </c>
    </row>
    <row r="6948" spans="1:18" x14ac:dyDescent="0.2">
      <c r="A6948" t="s">
        <v>439</v>
      </c>
      <c r="B6948" t="s">
        <v>4321</v>
      </c>
      <c r="C6948">
        <v>1</v>
      </c>
      <c r="D6948" s="1">
        <v>44131.745254629626</v>
      </c>
      <c r="E6948" t="s">
        <v>21811</v>
      </c>
      <c r="F6948" t="s">
        <v>442</v>
      </c>
      <c r="G6948" t="s">
        <v>21818</v>
      </c>
      <c r="H6948" t="s">
        <v>444</v>
      </c>
      <c r="I6948" t="s">
        <v>29</v>
      </c>
      <c r="J6948">
        <v>1</v>
      </c>
      <c r="K6948">
        <f>1-888-314-4901</f>
        <v>-6102</v>
      </c>
      <c r="L6948" t="s">
        <v>21819</v>
      </c>
      <c r="M6948" t="s">
        <v>21820</v>
      </c>
      <c r="N6948" t="s">
        <v>20553</v>
      </c>
      <c r="O6948" t="s">
        <v>28</v>
      </c>
      <c r="P6948" t="s">
        <v>29</v>
      </c>
      <c r="Q6948">
        <v>42</v>
      </c>
      <c r="R6948">
        <v>-87.629800000000003</v>
      </c>
    </row>
    <row r="6949" spans="1:18" x14ac:dyDescent="0.2">
      <c r="A6949" t="s">
        <v>439</v>
      </c>
      <c r="B6949" t="s">
        <v>4321</v>
      </c>
      <c r="C6949">
        <v>1</v>
      </c>
      <c r="D6949" s="1">
        <v>44131.732499999998</v>
      </c>
      <c r="E6949" t="s">
        <v>21811</v>
      </c>
      <c r="F6949" t="s">
        <v>442</v>
      </c>
      <c r="G6949" t="s">
        <v>21818</v>
      </c>
      <c r="H6949" t="s">
        <v>444</v>
      </c>
      <c r="I6949" t="s">
        <v>29</v>
      </c>
      <c r="J6949">
        <v>1</v>
      </c>
      <c r="K6949">
        <f>1-888-397-5996</f>
        <v>-7280</v>
      </c>
      <c r="L6949" t="s">
        <v>21821</v>
      </c>
      <c r="M6949" t="s">
        <v>21822</v>
      </c>
      <c r="N6949" t="s">
        <v>20553</v>
      </c>
      <c r="O6949" t="s">
        <v>28</v>
      </c>
      <c r="P6949" t="s">
        <v>29</v>
      </c>
      <c r="Q6949">
        <v>42</v>
      </c>
      <c r="R6949">
        <v>-87.629800000000003</v>
      </c>
    </row>
    <row r="6950" spans="1:18" x14ac:dyDescent="0.2">
      <c r="A6950" t="s">
        <v>439</v>
      </c>
      <c r="B6950" t="s">
        <v>3094</v>
      </c>
      <c r="C6950">
        <v>1</v>
      </c>
      <c r="D6950" s="1">
        <v>44131.772465277776</v>
      </c>
      <c r="E6950" t="s">
        <v>21823</v>
      </c>
      <c r="F6950" t="s">
        <v>442</v>
      </c>
      <c r="G6950" t="s">
        <v>21824</v>
      </c>
      <c r="H6950" t="s">
        <v>444</v>
      </c>
      <c r="I6950" t="s">
        <v>29</v>
      </c>
      <c r="J6950">
        <v>1</v>
      </c>
      <c r="K6950">
        <f>1-888-390-7485</f>
        <v>-8762</v>
      </c>
      <c r="L6950" t="s">
        <v>21825</v>
      </c>
      <c r="M6950" t="s">
        <v>21826</v>
      </c>
      <c r="N6950" t="s">
        <v>278</v>
      </c>
      <c r="O6950" t="s">
        <v>28</v>
      </c>
      <c r="P6950" t="s">
        <v>2268</v>
      </c>
      <c r="Q6950">
        <v>46</v>
      </c>
      <c r="R6950">
        <v>-73.567300000000003</v>
      </c>
    </row>
    <row r="6951" spans="1:18" x14ac:dyDescent="0.2">
      <c r="A6951" t="s">
        <v>439</v>
      </c>
      <c r="B6951" t="s">
        <v>3094</v>
      </c>
      <c r="C6951">
        <v>1</v>
      </c>
      <c r="D6951" s="1">
        <v>44131.775370370371</v>
      </c>
      <c r="E6951" t="s">
        <v>21823</v>
      </c>
      <c r="F6951" t="s">
        <v>442</v>
      </c>
      <c r="G6951" t="s">
        <v>21824</v>
      </c>
      <c r="H6951" t="s">
        <v>444</v>
      </c>
      <c r="I6951" t="s">
        <v>29</v>
      </c>
      <c r="J6951">
        <v>1</v>
      </c>
      <c r="K6951">
        <f>1-888-386-7902</f>
        <v>-9175</v>
      </c>
      <c r="L6951" t="s">
        <v>21827</v>
      </c>
      <c r="M6951" t="s">
        <v>21828</v>
      </c>
      <c r="N6951" t="s">
        <v>278</v>
      </c>
      <c r="O6951" t="s">
        <v>28</v>
      </c>
      <c r="P6951" t="s">
        <v>2268</v>
      </c>
      <c r="Q6951">
        <v>46</v>
      </c>
      <c r="R6951">
        <v>-73.567300000000003</v>
      </c>
    </row>
    <row r="6952" spans="1:18" x14ac:dyDescent="0.2">
      <c r="A6952" t="s">
        <v>439</v>
      </c>
      <c r="B6952" t="s">
        <v>4321</v>
      </c>
      <c r="C6952">
        <v>1</v>
      </c>
      <c r="D6952" s="1">
        <v>44131.776435185187</v>
      </c>
      <c r="E6952" t="s">
        <v>21823</v>
      </c>
      <c r="F6952" t="s">
        <v>442</v>
      </c>
      <c r="G6952" t="s">
        <v>21829</v>
      </c>
      <c r="H6952" t="s">
        <v>444</v>
      </c>
      <c r="I6952" t="s">
        <v>29</v>
      </c>
      <c r="J6952">
        <v>1</v>
      </c>
      <c r="K6952">
        <f>1-888-311-2028</f>
        <v>-3226</v>
      </c>
      <c r="L6952" t="s">
        <v>21830</v>
      </c>
      <c r="M6952" t="s">
        <v>21831</v>
      </c>
      <c r="N6952" t="s">
        <v>278</v>
      </c>
      <c r="O6952" t="s">
        <v>28</v>
      </c>
      <c r="P6952" t="s">
        <v>29</v>
      </c>
      <c r="Q6952">
        <v>42</v>
      </c>
      <c r="R6952">
        <v>-87.629800000000003</v>
      </c>
    </row>
    <row r="6953" spans="1:18" x14ac:dyDescent="0.2">
      <c r="A6953" t="s">
        <v>439</v>
      </c>
      <c r="B6953" t="s">
        <v>4321</v>
      </c>
      <c r="C6953">
        <v>1</v>
      </c>
      <c r="D6953" s="1">
        <v>44131.775983796295</v>
      </c>
      <c r="E6953" t="s">
        <v>21823</v>
      </c>
      <c r="F6953" t="s">
        <v>442</v>
      </c>
      <c r="G6953" t="s">
        <v>21829</v>
      </c>
      <c r="H6953" t="s">
        <v>444</v>
      </c>
      <c r="I6953" t="s">
        <v>29</v>
      </c>
      <c r="J6953">
        <v>1</v>
      </c>
      <c r="K6953">
        <f>1-888-401-5158</f>
        <v>-6446</v>
      </c>
      <c r="L6953" t="s">
        <v>21832</v>
      </c>
      <c r="M6953" t="s">
        <v>21833</v>
      </c>
      <c r="N6953" t="s">
        <v>278</v>
      </c>
      <c r="O6953" t="s">
        <v>28</v>
      </c>
      <c r="P6953" t="s">
        <v>29</v>
      </c>
      <c r="Q6953">
        <v>42</v>
      </c>
      <c r="R6953">
        <v>-87.629800000000003</v>
      </c>
    </row>
    <row r="6954" spans="1:18" x14ac:dyDescent="0.2">
      <c r="A6954" t="s">
        <v>439</v>
      </c>
      <c r="B6954" t="s">
        <v>4321</v>
      </c>
      <c r="C6954">
        <v>1</v>
      </c>
      <c r="D6954" s="1">
        <v>44131.76190972222</v>
      </c>
      <c r="E6954" t="s">
        <v>21823</v>
      </c>
      <c r="F6954" t="s">
        <v>442</v>
      </c>
      <c r="G6954" t="s">
        <v>21829</v>
      </c>
      <c r="H6954" t="s">
        <v>444</v>
      </c>
      <c r="I6954" t="s">
        <v>29</v>
      </c>
      <c r="J6954">
        <v>1</v>
      </c>
      <c r="K6954">
        <f>1-888-401-4469</f>
        <v>-5757</v>
      </c>
      <c r="L6954" t="s">
        <v>21834</v>
      </c>
      <c r="M6954" t="s">
        <v>21835</v>
      </c>
      <c r="N6954" t="s">
        <v>278</v>
      </c>
      <c r="O6954" t="s">
        <v>28</v>
      </c>
      <c r="P6954" t="s">
        <v>29</v>
      </c>
      <c r="Q6954">
        <v>42</v>
      </c>
      <c r="R6954">
        <v>-87.629800000000003</v>
      </c>
    </row>
    <row r="6955" spans="1:18" x14ac:dyDescent="0.2">
      <c r="A6955" t="s">
        <v>663</v>
      </c>
      <c r="B6955" t="s">
        <v>4281</v>
      </c>
      <c r="C6955">
        <v>1</v>
      </c>
      <c r="D6955" s="1">
        <v>44131.844201388885</v>
      </c>
      <c r="E6955" t="s">
        <v>21836</v>
      </c>
      <c r="F6955" t="s">
        <v>666</v>
      </c>
      <c r="G6955" t="s">
        <v>21836</v>
      </c>
      <c r="H6955" t="s">
        <v>667</v>
      </c>
      <c r="I6955" t="s">
        <v>29</v>
      </c>
      <c r="J6955">
        <v>1</v>
      </c>
      <c r="K6955">
        <f>1-888-393-6809</f>
        <v>-8089</v>
      </c>
      <c r="L6955" t="s">
        <v>21837</v>
      </c>
      <c r="M6955" t="s">
        <v>21838</v>
      </c>
      <c r="N6955">
        <v>127</v>
      </c>
      <c r="O6955" t="s">
        <v>134</v>
      </c>
      <c r="P6955" t="s">
        <v>24</v>
      </c>
      <c r="Q6955">
        <v>50</v>
      </c>
      <c r="R6955">
        <v>8.6843000000000004</v>
      </c>
    </row>
    <row r="6956" spans="1:18" x14ac:dyDescent="0.2">
      <c r="A6956" t="s">
        <v>663</v>
      </c>
      <c r="B6956" t="s">
        <v>4281</v>
      </c>
      <c r="C6956">
        <v>1</v>
      </c>
      <c r="D6956" s="1">
        <v>44131.831736111111</v>
      </c>
      <c r="E6956" t="s">
        <v>21836</v>
      </c>
      <c r="F6956" t="s">
        <v>666</v>
      </c>
      <c r="G6956" t="s">
        <v>21836</v>
      </c>
      <c r="H6956" t="s">
        <v>667</v>
      </c>
      <c r="I6956" t="s">
        <v>29</v>
      </c>
      <c r="J6956">
        <v>1</v>
      </c>
      <c r="K6956">
        <f>1-888-387-3827</f>
        <v>-5101</v>
      </c>
      <c r="L6956" t="s">
        <v>21839</v>
      </c>
      <c r="M6956" t="s">
        <v>21840</v>
      </c>
      <c r="N6956">
        <v>127</v>
      </c>
      <c r="O6956" t="s">
        <v>134</v>
      </c>
      <c r="P6956" t="s">
        <v>24</v>
      </c>
      <c r="Q6956">
        <v>50</v>
      </c>
      <c r="R6956">
        <v>8.6843000000000004</v>
      </c>
    </row>
    <row r="6957" spans="1:18" x14ac:dyDescent="0.2">
      <c r="A6957" t="s">
        <v>663</v>
      </c>
      <c r="B6957" t="s">
        <v>4281</v>
      </c>
      <c r="C6957">
        <v>1</v>
      </c>
      <c r="D6957" s="1">
        <v>44131.769097222219</v>
      </c>
      <c r="E6957" t="s">
        <v>21836</v>
      </c>
      <c r="F6957" t="s">
        <v>666</v>
      </c>
      <c r="G6957" t="s">
        <v>21836</v>
      </c>
      <c r="H6957" t="s">
        <v>667</v>
      </c>
      <c r="I6957" t="s">
        <v>29</v>
      </c>
      <c r="J6957">
        <v>1</v>
      </c>
      <c r="K6957">
        <f>1-888-381-5268</f>
        <v>-6536</v>
      </c>
      <c r="L6957" t="s">
        <v>21841</v>
      </c>
      <c r="M6957" t="s">
        <v>21842</v>
      </c>
      <c r="N6957">
        <v>127</v>
      </c>
      <c r="O6957" t="s">
        <v>134</v>
      </c>
      <c r="P6957" t="s">
        <v>24</v>
      </c>
      <c r="Q6957">
        <v>50</v>
      </c>
      <c r="R6957">
        <v>8.6843000000000004</v>
      </c>
    </row>
    <row r="6958" spans="1:18" x14ac:dyDescent="0.2">
      <c r="A6958" t="s">
        <v>270</v>
      </c>
      <c r="B6958" t="s">
        <v>440</v>
      </c>
      <c r="C6958">
        <v>1</v>
      </c>
      <c r="D6958" s="1">
        <v>44149.135462962964</v>
      </c>
      <c r="E6958" t="s">
        <v>21843</v>
      </c>
      <c r="F6958" t="s">
        <v>273</v>
      </c>
      <c r="G6958" t="s">
        <v>21844</v>
      </c>
      <c r="H6958" t="s">
        <v>275</v>
      </c>
      <c r="I6958" t="s">
        <v>29</v>
      </c>
      <c r="J6958">
        <v>1</v>
      </c>
      <c r="K6958">
        <f>1-844-288-9125</f>
        <v>-10256</v>
      </c>
      <c r="L6958" t="s">
        <v>21845</v>
      </c>
      <c r="M6958" t="s">
        <v>21846</v>
      </c>
      <c r="N6958" t="s">
        <v>278</v>
      </c>
      <c r="O6958" t="s">
        <v>134</v>
      </c>
      <c r="P6958" t="s">
        <v>29</v>
      </c>
      <c r="Q6958">
        <v>39</v>
      </c>
      <c r="R6958">
        <v>-77.487399999999994</v>
      </c>
    </row>
    <row r="6959" spans="1:18" x14ac:dyDescent="0.2">
      <c r="A6959" t="s">
        <v>270</v>
      </c>
      <c r="B6959" t="s">
        <v>440</v>
      </c>
      <c r="C6959">
        <v>1</v>
      </c>
      <c r="D6959" s="1">
        <v>44149.134988425925</v>
      </c>
      <c r="E6959" t="s">
        <v>21847</v>
      </c>
      <c r="F6959" t="s">
        <v>273</v>
      </c>
      <c r="G6959" t="s">
        <v>21844</v>
      </c>
      <c r="H6959" t="s">
        <v>275</v>
      </c>
      <c r="I6959" t="s">
        <v>29</v>
      </c>
      <c r="J6959">
        <v>1</v>
      </c>
      <c r="K6959">
        <f>1-844-295-6539</f>
        <v>-7677</v>
      </c>
      <c r="L6959" t="s">
        <v>21848</v>
      </c>
      <c r="M6959" t="s">
        <v>21849</v>
      </c>
      <c r="N6959" t="s">
        <v>278</v>
      </c>
      <c r="O6959" t="s">
        <v>134</v>
      </c>
      <c r="P6959" t="s">
        <v>29</v>
      </c>
      <c r="Q6959">
        <v>39</v>
      </c>
      <c r="R6959">
        <v>-77.487399999999994</v>
      </c>
    </row>
    <row r="6960" spans="1:18" x14ac:dyDescent="0.2">
      <c r="A6960" t="s">
        <v>270</v>
      </c>
      <c r="B6960" t="s">
        <v>440</v>
      </c>
      <c r="C6960">
        <v>1</v>
      </c>
      <c r="D6960" s="1">
        <v>44149.134351851855</v>
      </c>
      <c r="E6960" t="s">
        <v>21850</v>
      </c>
      <c r="F6960" t="s">
        <v>273</v>
      </c>
      <c r="G6960" t="s">
        <v>21844</v>
      </c>
      <c r="H6960" t="s">
        <v>275</v>
      </c>
      <c r="I6960" t="s">
        <v>29</v>
      </c>
      <c r="J6960">
        <v>1</v>
      </c>
      <c r="K6960">
        <f>1-844-295-6539</f>
        <v>-7677</v>
      </c>
      <c r="L6960" t="s">
        <v>21851</v>
      </c>
      <c r="M6960" t="s">
        <v>21852</v>
      </c>
      <c r="N6960" t="s">
        <v>278</v>
      </c>
      <c r="O6960" t="s">
        <v>134</v>
      </c>
      <c r="P6960" t="s">
        <v>29</v>
      </c>
      <c r="Q6960">
        <v>39</v>
      </c>
      <c r="R6960">
        <v>-77.487399999999994</v>
      </c>
    </row>
    <row r="6961" spans="1:18" x14ac:dyDescent="0.2">
      <c r="A6961" t="s">
        <v>270</v>
      </c>
      <c r="B6961" t="s">
        <v>440</v>
      </c>
      <c r="C6961">
        <v>1</v>
      </c>
      <c r="D6961" s="1">
        <v>44140.780740740738</v>
      </c>
      <c r="E6961" t="s">
        <v>21853</v>
      </c>
      <c r="F6961" t="s">
        <v>273</v>
      </c>
      <c r="G6961" t="s">
        <v>21844</v>
      </c>
      <c r="H6961" t="s">
        <v>275</v>
      </c>
      <c r="I6961" t="s">
        <v>29</v>
      </c>
      <c r="J6961">
        <v>1</v>
      </c>
      <c r="K6961">
        <f>1-888-397-7606</f>
        <v>-8890</v>
      </c>
      <c r="L6961" t="s">
        <v>21854</v>
      </c>
      <c r="M6961" t="s">
        <v>21855</v>
      </c>
      <c r="N6961" t="s">
        <v>278</v>
      </c>
      <c r="O6961" t="s">
        <v>28</v>
      </c>
      <c r="P6961" t="s">
        <v>29</v>
      </c>
      <c r="Q6961">
        <v>39</v>
      </c>
      <c r="R6961">
        <v>-77.487399999999994</v>
      </c>
    </row>
    <row r="6962" spans="1:18" x14ac:dyDescent="0.2">
      <c r="A6962" t="s">
        <v>270</v>
      </c>
      <c r="B6962" t="s">
        <v>440</v>
      </c>
      <c r="C6962">
        <v>1</v>
      </c>
      <c r="D6962" s="1">
        <v>44134.775983796295</v>
      </c>
      <c r="E6962" t="s">
        <v>21856</v>
      </c>
      <c r="F6962" t="s">
        <v>273</v>
      </c>
      <c r="G6962" t="s">
        <v>21844</v>
      </c>
      <c r="H6962" t="s">
        <v>275</v>
      </c>
      <c r="I6962" t="s">
        <v>29</v>
      </c>
      <c r="J6962">
        <v>1</v>
      </c>
      <c r="K6962">
        <f>1-888-249-4125</f>
        <v>-5261</v>
      </c>
      <c r="L6962" t="s">
        <v>21857</v>
      </c>
      <c r="M6962" t="s">
        <v>21858</v>
      </c>
      <c r="N6962" t="s">
        <v>278</v>
      </c>
      <c r="O6962" t="s">
        <v>28</v>
      </c>
      <c r="P6962" t="s">
        <v>29</v>
      </c>
      <c r="Q6962">
        <v>39</v>
      </c>
      <c r="R6962">
        <v>-77.487399999999994</v>
      </c>
    </row>
    <row r="6963" spans="1:18" x14ac:dyDescent="0.2">
      <c r="A6963" t="s">
        <v>270</v>
      </c>
      <c r="B6963" t="s">
        <v>440</v>
      </c>
      <c r="C6963">
        <v>1</v>
      </c>
      <c r="D6963" s="1">
        <v>44131.791655092595</v>
      </c>
      <c r="E6963" t="s">
        <v>21859</v>
      </c>
      <c r="F6963" t="s">
        <v>273</v>
      </c>
      <c r="G6963" t="s">
        <v>21844</v>
      </c>
      <c r="H6963" t="s">
        <v>275</v>
      </c>
      <c r="I6963" t="s">
        <v>29</v>
      </c>
      <c r="J6963">
        <v>1</v>
      </c>
      <c r="K6963">
        <f>1-888-393-4112</f>
        <v>-5392</v>
      </c>
      <c r="L6963" t="s">
        <v>21860</v>
      </c>
      <c r="M6963" t="s">
        <v>21861</v>
      </c>
      <c r="N6963" t="s">
        <v>278</v>
      </c>
      <c r="O6963" t="s">
        <v>28</v>
      </c>
      <c r="P6963" t="s">
        <v>29</v>
      </c>
      <c r="Q6963">
        <v>39</v>
      </c>
      <c r="R6963">
        <v>-77.487399999999994</v>
      </c>
    </row>
    <row r="6964" spans="1:18" x14ac:dyDescent="0.2">
      <c r="A6964" t="s">
        <v>663</v>
      </c>
      <c r="B6964" t="s">
        <v>2493</v>
      </c>
      <c r="C6964">
        <v>1</v>
      </c>
      <c r="D6964" s="1">
        <v>44131.807337962964</v>
      </c>
      <c r="E6964" t="s">
        <v>21862</v>
      </c>
      <c r="F6964" t="s">
        <v>666</v>
      </c>
      <c r="G6964" t="s">
        <v>21862</v>
      </c>
      <c r="H6964" t="s">
        <v>667</v>
      </c>
      <c r="I6964" t="s">
        <v>29</v>
      </c>
      <c r="J6964">
        <v>1</v>
      </c>
      <c r="K6964">
        <f>1-888-319-7481</f>
        <v>-8687</v>
      </c>
      <c r="L6964" t="s">
        <v>21863</v>
      </c>
      <c r="M6964" t="s">
        <v>21864</v>
      </c>
      <c r="N6964">
        <v>131</v>
      </c>
      <c r="O6964" t="s">
        <v>134</v>
      </c>
      <c r="P6964" t="s">
        <v>29</v>
      </c>
      <c r="Q6964">
        <v>41</v>
      </c>
      <c r="R6964">
        <v>-74.024699999999996</v>
      </c>
    </row>
    <row r="6965" spans="1:18" x14ac:dyDescent="0.2">
      <c r="A6965" t="s">
        <v>439</v>
      </c>
      <c r="B6965" t="s">
        <v>3094</v>
      </c>
      <c r="C6965">
        <v>1</v>
      </c>
      <c r="D6965" s="1">
        <v>44131.808240740742</v>
      </c>
      <c r="E6965" t="s">
        <v>21865</v>
      </c>
      <c r="F6965" t="s">
        <v>442</v>
      </c>
      <c r="G6965" t="s">
        <v>21866</v>
      </c>
      <c r="H6965" t="s">
        <v>444</v>
      </c>
      <c r="I6965" t="s">
        <v>29</v>
      </c>
      <c r="J6965">
        <v>1</v>
      </c>
      <c r="K6965">
        <f>1-888-390-7485</f>
        <v>-8762</v>
      </c>
      <c r="L6965" t="s">
        <v>21867</v>
      </c>
      <c r="M6965" t="s">
        <v>21868</v>
      </c>
      <c r="N6965" t="s">
        <v>1645</v>
      </c>
      <c r="O6965" t="s">
        <v>28</v>
      </c>
      <c r="P6965" t="s">
        <v>2268</v>
      </c>
      <c r="Q6965">
        <v>46</v>
      </c>
      <c r="R6965">
        <v>-73.567300000000003</v>
      </c>
    </row>
    <row r="6966" spans="1:18" x14ac:dyDescent="0.2">
      <c r="A6966" t="s">
        <v>439</v>
      </c>
      <c r="B6966" t="s">
        <v>3094</v>
      </c>
      <c r="C6966">
        <v>1</v>
      </c>
      <c r="D6966" s="1">
        <v>44131.820081018515</v>
      </c>
      <c r="E6966" t="s">
        <v>21865</v>
      </c>
      <c r="F6966" t="s">
        <v>442</v>
      </c>
      <c r="G6966" t="s">
        <v>21869</v>
      </c>
      <c r="H6966" t="s">
        <v>444</v>
      </c>
      <c r="I6966" t="s">
        <v>29</v>
      </c>
      <c r="J6966">
        <v>1</v>
      </c>
      <c r="K6966">
        <f>1-888-393-5170</f>
        <v>-6450</v>
      </c>
      <c r="L6966" t="s">
        <v>21870</v>
      </c>
      <c r="M6966" t="s">
        <v>21871</v>
      </c>
      <c r="N6966" t="s">
        <v>1645</v>
      </c>
      <c r="O6966" t="s">
        <v>28</v>
      </c>
      <c r="P6966" t="s">
        <v>2268</v>
      </c>
      <c r="Q6966">
        <v>46</v>
      </c>
      <c r="R6966">
        <v>-73.567300000000003</v>
      </c>
    </row>
    <row r="6967" spans="1:18" x14ac:dyDescent="0.2">
      <c r="A6967" t="s">
        <v>439</v>
      </c>
      <c r="B6967" t="s">
        <v>3094</v>
      </c>
      <c r="C6967">
        <v>1</v>
      </c>
      <c r="D6967" s="1">
        <v>44131.82440972222</v>
      </c>
      <c r="E6967" t="s">
        <v>21872</v>
      </c>
      <c r="F6967" t="s">
        <v>442</v>
      </c>
      <c r="G6967" t="s">
        <v>21873</v>
      </c>
      <c r="H6967" t="s">
        <v>444</v>
      </c>
      <c r="I6967" t="s">
        <v>29</v>
      </c>
      <c r="J6967">
        <v>1</v>
      </c>
      <c r="K6967">
        <f>1-833-253-5263</f>
        <v>-6348</v>
      </c>
      <c r="L6967" t="s">
        <v>21874</v>
      </c>
      <c r="M6967" t="s">
        <v>21875</v>
      </c>
      <c r="N6967" t="s">
        <v>213</v>
      </c>
      <c r="O6967" t="s">
        <v>28</v>
      </c>
      <c r="P6967" t="s">
        <v>2268</v>
      </c>
      <c r="Q6967">
        <v>46</v>
      </c>
      <c r="R6967">
        <v>-73.567300000000003</v>
      </c>
    </row>
    <row r="6968" spans="1:18" x14ac:dyDescent="0.2">
      <c r="A6968" t="s">
        <v>439</v>
      </c>
      <c r="B6968" t="s">
        <v>3094</v>
      </c>
      <c r="C6968">
        <v>1</v>
      </c>
      <c r="D6968" s="1">
        <v>44131.826689814814</v>
      </c>
      <c r="E6968" t="s">
        <v>21876</v>
      </c>
      <c r="F6968" t="s">
        <v>442</v>
      </c>
      <c r="G6968" t="s">
        <v>21877</v>
      </c>
      <c r="H6968" t="s">
        <v>444</v>
      </c>
      <c r="I6968" t="s">
        <v>29</v>
      </c>
      <c r="J6968">
        <v>1</v>
      </c>
      <c r="K6968">
        <f>1-888-393-5170</f>
        <v>-6450</v>
      </c>
      <c r="L6968" t="s">
        <v>21878</v>
      </c>
      <c r="M6968" t="s">
        <v>21879</v>
      </c>
      <c r="N6968" t="s">
        <v>5354</v>
      </c>
      <c r="O6968" t="s">
        <v>28</v>
      </c>
      <c r="P6968" t="s">
        <v>2268</v>
      </c>
      <c r="Q6968">
        <v>46</v>
      </c>
      <c r="R6968">
        <v>-73.567300000000003</v>
      </c>
    </row>
    <row r="6969" spans="1:18" x14ac:dyDescent="0.2">
      <c r="A6969" t="s">
        <v>439</v>
      </c>
      <c r="B6969" t="s">
        <v>3094</v>
      </c>
      <c r="C6969">
        <v>1</v>
      </c>
      <c r="D6969" s="1">
        <v>44131.828576388885</v>
      </c>
      <c r="E6969" t="s">
        <v>21876</v>
      </c>
      <c r="F6969" t="s">
        <v>442</v>
      </c>
      <c r="G6969" t="s">
        <v>21880</v>
      </c>
      <c r="H6969" t="s">
        <v>444</v>
      </c>
      <c r="I6969" t="s">
        <v>29</v>
      </c>
      <c r="J6969">
        <v>1</v>
      </c>
      <c r="K6969">
        <f>1-888-390-7485</f>
        <v>-8762</v>
      </c>
      <c r="L6969" t="s">
        <v>21881</v>
      </c>
      <c r="M6969" t="s">
        <v>21882</v>
      </c>
      <c r="N6969" t="s">
        <v>5354</v>
      </c>
      <c r="O6969" t="s">
        <v>28</v>
      </c>
      <c r="P6969" t="s">
        <v>2268</v>
      </c>
      <c r="Q6969">
        <v>46</v>
      </c>
      <c r="R6969">
        <v>-73.567300000000003</v>
      </c>
    </row>
    <row r="6970" spans="1:18" x14ac:dyDescent="0.2">
      <c r="A6970" t="s">
        <v>663</v>
      </c>
      <c r="B6970" t="s">
        <v>2493</v>
      </c>
      <c r="C6970">
        <v>1</v>
      </c>
      <c r="D6970" s="1">
        <v>44131.865046296298</v>
      </c>
      <c r="E6970" t="s">
        <v>21883</v>
      </c>
      <c r="F6970" t="s">
        <v>666</v>
      </c>
      <c r="G6970" t="s">
        <v>21883</v>
      </c>
      <c r="H6970" t="s">
        <v>667</v>
      </c>
      <c r="I6970" t="s">
        <v>29</v>
      </c>
      <c r="J6970">
        <v>1</v>
      </c>
      <c r="K6970">
        <f>1-888-306-1617</f>
        <v>-2810</v>
      </c>
      <c r="L6970" t="s">
        <v>21884</v>
      </c>
      <c r="M6970" t="s">
        <v>21885</v>
      </c>
      <c r="N6970">
        <v>7</v>
      </c>
      <c r="O6970" t="s">
        <v>134</v>
      </c>
      <c r="P6970" t="s">
        <v>29</v>
      </c>
      <c r="Q6970">
        <v>41</v>
      </c>
      <c r="R6970">
        <v>-74.024699999999996</v>
      </c>
    </row>
    <row r="6971" spans="1:18" x14ac:dyDescent="0.2">
      <c r="A6971" t="s">
        <v>663</v>
      </c>
      <c r="B6971" t="s">
        <v>2493</v>
      </c>
      <c r="C6971">
        <v>1</v>
      </c>
      <c r="D6971" s="1">
        <v>44131.855555555558</v>
      </c>
      <c r="E6971" t="s">
        <v>21883</v>
      </c>
      <c r="F6971" t="s">
        <v>666</v>
      </c>
      <c r="G6971" t="s">
        <v>21883</v>
      </c>
      <c r="H6971" t="s">
        <v>667</v>
      </c>
      <c r="I6971" t="s">
        <v>29</v>
      </c>
      <c r="J6971">
        <v>1</v>
      </c>
      <c r="K6971">
        <f>1-888-369-1998</f>
        <v>-3254</v>
      </c>
      <c r="L6971" t="s">
        <v>21886</v>
      </c>
      <c r="M6971" t="s">
        <v>21887</v>
      </c>
      <c r="N6971">
        <v>7</v>
      </c>
      <c r="O6971" t="s">
        <v>134</v>
      </c>
      <c r="P6971" t="s">
        <v>29</v>
      </c>
      <c r="Q6971">
        <v>41</v>
      </c>
      <c r="R6971">
        <v>-74.024699999999996</v>
      </c>
    </row>
    <row r="6972" spans="1:18" x14ac:dyDescent="0.2">
      <c r="A6972" t="s">
        <v>663</v>
      </c>
      <c r="B6972" t="s">
        <v>4281</v>
      </c>
      <c r="C6972">
        <v>1</v>
      </c>
      <c r="D6972" s="1">
        <v>44131.903993055559</v>
      </c>
      <c r="E6972" t="s">
        <v>21888</v>
      </c>
      <c r="F6972" t="s">
        <v>666</v>
      </c>
      <c r="G6972" t="s">
        <v>21888</v>
      </c>
      <c r="H6972" t="s">
        <v>667</v>
      </c>
      <c r="I6972" t="s">
        <v>29</v>
      </c>
      <c r="J6972">
        <v>1</v>
      </c>
      <c r="K6972">
        <f>1-888-253-1779</f>
        <v>-2919</v>
      </c>
      <c r="L6972" t="s">
        <v>21889</v>
      </c>
      <c r="M6972" t="s">
        <v>21890</v>
      </c>
      <c r="N6972">
        <v>145</v>
      </c>
      <c r="O6972" t="s">
        <v>134</v>
      </c>
      <c r="P6972" t="s">
        <v>24</v>
      </c>
      <c r="Q6972">
        <v>50</v>
      </c>
      <c r="R6972">
        <v>8.6843000000000004</v>
      </c>
    </row>
    <row r="6973" spans="1:18" x14ac:dyDescent="0.2">
      <c r="A6973" t="s">
        <v>663</v>
      </c>
      <c r="B6973" t="s">
        <v>4281</v>
      </c>
      <c r="C6973">
        <v>1</v>
      </c>
      <c r="D6973" s="1">
        <v>44131.872141203705</v>
      </c>
      <c r="E6973" t="s">
        <v>21888</v>
      </c>
      <c r="F6973" t="s">
        <v>666</v>
      </c>
      <c r="G6973" t="s">
        <v>21888</v>
      </c>
      <c r="H6973" t="s">
        <v>667</v>
      </c>
      <c r="I6973" t="s">
        <v>29</v>
      </c>
      <c r="J6973">
        <v>1</v>
      </c>
      <c r="K6973">
        <f>1-888-352-4785</f>
        <v>-6024</v>
      </c>
      <c r="L6973" t="s">
        <v>21891</v>
      </c>
      <c r="M6973" t="s">
        <v>21892</v>
      </c>
      <c r="N6973">
        <v>145</v>
      </c>
      <c r="O6973" t="s">
        <v>134</v>
      </c>
      <c r="P6973" t="s">
        <v>24</v>
      </c>
      <c r="Q6973">
        <v>50</v>
      </c>
      <c r="R6973">
        <v>8.6843000000000004</v>
      </c>
    </row>
    <row r="6974" spans="1:18" x14ac:dyDescent="0.2">
      <c r="A6974" t="s">
        <v>439</v>
      </c>
      <c r="B6974" t="s">
        <v>3094</v>
      </c>
      <c r="C6974">
        <v>1</v>
      </c>
      <c r="D6974" s="1">
        <v>44131.895543981482</v>
      </c>
      <c r="E6974" t="s">
        <v>21893</v>
      </c>
      <c r="F6974" t="s">
        <v>442</v>
      </c>
      <c r="G6974" t="s">
        <v>21894</v>
      </c>
      <c r="H6974" t="s">
        <v>444</v>
      </c>
      <c r="I6974" t="s">
        <v>29</v>
      </c>
      <c r="J6974">
        <v>1</v>
      </c>
      <c r="K6974">
        <f>1-888-398-7421</f>
        <v>-8706</v>
      </c>
      <c r="L6974" t="s">
        <v>21895</v>
      </c>
      <c r="M6974" t="s">
        <v>21896</v>
      </c>
      <c r="N6974" t="s">
        <v>683</v>
      </c>
      <c r="O6974" t="s">
        <v>28</v>
      </c>
      <c r="P6974" t="s">
        <v>2268</v>
      </c>
      <c r="Q6974">
        <v>46</v>
      </c>
      <c r="R6974">
        <v>-73.567300000000003</v>
      </c>
    </row>
    <row r="6975" spans="1:18" x14ac:dyDescent="0.2">
      <c r="A6975" t="s">
        <v>663</v>
      </c>
      <c r="B6975" t="s">
        <v>2493</v>
      </c>
      <c r="C6975">
        <v>61</v>
      </c>
      <c r="D6975" s="1">
        <v>44133.033807870372</v>
      </c>
      <c r="E6975" t="s">
        <v>21897</v>
      </c>
      <c r="F6975" t="s">
        <v>666</v>
      </c>
      <c r="G6975" t="s">
        <v>21897</v>
      </c>
      <c r="H6975" t="s">
        <v>667</v>
      </c>
      <c r="I6975" t="s">
        <v>782</v>
      </c>
      <c r="J6975">
        <v>61</v>
      </c>
      <c r="K6975">
        <f>61-1800-290-949</f>
        <v>-2978</v>
      </c>
      <c r="L6975" t="s">
        <v>21898</v>
      </c>
      <c r="M6975" t="s">
        <v>21899</v>
      </c>
      <c r="N6975">
        <v>249</v>
      </c>
      <c r="O6975" t="s">
        <v>134</v>
      </c>
      <c r="P6975" t="s">
        <v>29</v>
      </c>
      <c r="Q6975">
        <v>41</v>
      </c>
      <c r="R6975">
        <v>-74.024699999999996</v>
      </c>
    </row>
    <row r="6976" spans="1:18" x14ac:dyDescent="0.2">
      <c r="A6976" t="s">
        <v>663</v>
      </c>
      <c r="B6976" t="s">
        <v>2493</v>
      </c>
      <c r="C6976">
        <v>61</v>
      </c>
      <c r="D6976" s="1">
        <v>44133.165358796294</v>
      </c>
      <c r="E6976" t="s">
        <v>21900</v>
      </c>
      <c r="F6976" t="s">
        <v>666</v>
      </c>
      <c r="G6976" t="s">
        <v>21900</v>
      </c>
      <c r="H6976" t="s">
        <v>667</v>
      </c>
      <c r="I6976" t="s">
        <v>782</v>
      </c>
      <c r="J6976">
        <v>61</v>
      </c>
      <c r="K6976">
        <f>61-1800-290-953</f>
        <v>-2982</v>
      </c>
      <c r="L6976" t="s">
        <v>21901</v>
      </c>
      <c r="M6976" t="s">
        <v>21902</v>
      </c>
      <c r="N6976">
        <v>169</v>
      </c>
      <c r="O6976" t="s">
        <v>134</v>
      </c>
      <c r="P6976" t="s">
        <v>29</v>
      </c>
      <c r="Q6976">
        <v>41</v>
      </c>
      <c r="R6976">
        <v>-74.024699999999996</v>
      </c>
    </row>
    <row r="6977" spans="1:18" x14ac:dyDescent="0.2">
      <c r="A6977" t="s">
        <v>663</v>
      </c>
      <c r="B6977" t="s">
        <v>2493</v>
      </c>
      <c r="C6977">
        <v>1</v>
      </c>
      <c r="D6977" s="1">
        <v>44132.787141203706</v>
      </c>
      <c r="E6977" t="s">
        <v>21903</v>
      </c>
      <c r="F6977" t="s">
        <v>666</v>
      </c>
      <c r="G6977" t="s">
        <v>21903</v>
      </c>
      <c r="H6977" t="s">
        <v>667</v>
      </c>
      <c r="I6977" t="s">
        <v>29</v>
      </c>
      <c r="J6977">
        <v>1</v>
      </c>
      <c r="K6977">
        <f>1-888-396-1762</f>
        <v>-3045</v>
      </c>
      <c r="L6977" t="s">
        <v>21904</v>
      </c>
      <c r="M6977" t="s">
        <v>21905</v>
      </c>
      <c r="N6977">
        <v>20</v>
      </c>
      <c r="O6977" t="s">
        <v>134</v>
      </c>
      <c r="P6977" t="s">
        <v>29</v>
      </c>
      <c r="Q6977">
        <v>41</v>
      </c>
      <c r="R6977">
        <v>-74.024699999999996</v>
      </c>
    </row>
    <row r="6978" spans="1:18" x14ac:dyDescent="0.2">
      <c r="A6978" t="s">
        <v>663</v>
      </c>
      <c r="B6978" t="s">
        <v>2493</v>
      </c>
      <c r="C6978">
        <v>1</v>
      </c>
      <c r="D6978" s="1">
        <v>44132.793090277781</v>
      </c>
      <c r="E6978" t="s">
        <v>21906</v>
      </c>
      <c r="F6978" t="s">
        <v>666</v>
      </c>
      <c r="G6978" t="s">
        <v>21906</v>
      </c>
      <c r="H6978" t="s">
        <v>667</v>
      </c>
      <c r="I6978" t="s">
        <v>29</v>
      </c>
      <c r="J6978">
        <v>1</v>
      </c>
      <c r="K6978">
        <f>1-888-290-7209</f>
        <v>-8386</v>
      </c>
      <c r="L6978" t="s">
        <v>21907</v>
      </c>
      <c r="M6978" t="s">
        <v>21908</v>
      </c>
      <c r="N6978">
        <v>169</v>
      </c>
      <c r="O6978" t="s">
        <v>134</v>
      </c>
      <c r="P6978" t="s">
        <v>29</v>
      </c>
      <c r="Q6978">
        <v>41</v>
      </c>
      <c r="R6978">
        <v>-74.024699999999996</v>
      </c>
    </row>
    <row r="6979" spans="1:18" x14ac:dyDescent="0.2">
      <c r="A6979" t="s">
        <v>663</v>
      </c>
      <c r="B6979" t="s">
        <v>2493</v>
      </c>
      <c r="C6979">
        <v>1</v>
      </c>
      <c r="D6979" s="1">
        <v>44132.791400462964</v>
      </c>
      <c r="E6979" t="s">
        <v>21906</v>
      </c>
      <c r="F6979" t="s">
        <v>666</v>
      </c>
      <c r="G6979" t="s">
        <v>21906</v>
      </c>
      <c r="H6979" t="s">
        <v>667</v>
      </c>
      <c r="I6979" t="s">
        <v>29</v>
      </c>
      <c r="J6979">
        <v>1</v>
      </c>
      <c r="K6979">
        <f>1-888-398-5197</f>
        <v>-6482</v>
      </c>
      <c r="L6979" t="s">
        <v>21909</v>
      </c>
      <c r="M6979" t="s">
        <v>21910</v>
      </c>
      <c r="N6979">
        <v>169</v>
      </c>
      <c r="O6979" t="s">
        <v>134</v>
      </c>
      <c r="P6979" t="s">
        <v>29</v>
      </c>
      <c r="Q6979">
        <v>41</v>
      </c>
      <c r="R6979">
        <v>-74.024699999999996</v>
      </c>
    </row>
    <row r="6980" spans="1:18" x14ac:dyDescent="0.2">
      <c r="A6980" t="s">
        <v>663</v>
      </c>
      <c r="B6980" t="s">
        <v>2493</v>
      </c>
      <c r="C6980">
        <v>1</v>
      </c>
      <c r="D6980" s="1">
        <v>44132.833611111113</v>
      </c>
      <c r="E6980" t="s">
        <v>21911</v>
      </c>
      <c r="F6980" t="s">
        <v>666</v>
      </c>
      <c r="G6980" t="s">
        <v>21911</v>
      </c>
      <c r="H6980" t="s">
        <v>667</v>
      </c>
      <c r="I6980" t="s">
        <v>29</v>
      </c>
      <c r="J6980">
        <v>1</v>
      </c>
      <c r="K6980">
        <f>1-888-248-9326</f>
        <v>-10461</v>
      </c>
      <c r="L6980" t="s">
        <v>21912</v>
      </c>
      <c r="M6980" t="s">
        <v>21913</v>
      </c>
      <c r="N6980">
        <v>77</v>
      </c>
      <c r="O6980" t="s">
        <v>134</v>
      </c>
      <c r="P6980" t="s">
        <v>29</v>
      </c>
      <c r="Q6980">
        <v>41</v>
      </c>
      <c r="R6980">
        <v>-74.024699999999996</v>
      </c>
    </row>
    <row r="6981" spans="1:18" x14ac:dyDescent="0.2">
      <c r="A6981" t="s">
        <v>2233</v>
      </c>
      <c r="B6981" t="s">
        <v>440</v>
      </c>
      <c r="C6981">
        <v>1</v>
      </c>
      <c r="D6981" s="1">
        <v>44132.875902777778</v>
      </c>
      <c r="E6981" t="s">
        <v>21914</v>
      </c>
      <c r="F6981" t="s">
        <v>2236</v>
      </c>
      <c r="G6981" t="s">
        <v>21915</v>
      </c>
      <c r="H6981" t="s">
        <v>2237</v>
      </c>
      <c r="I6981" t="s">
        <v>29</v>
      </c>
      <c r="J6981">
        <v>1</v>
      </c>
      <c r="K6981">
        <f>1-877-658-477</f>
        <v>-2011</v>
      </c>
      <c r="L6981" t="s">
        <v>21916</v>
      </c>
      <c r="M6981" t="s">
        <v>21917</v>
      </c>
      <c r="N6981" t="s">
        <v>5354</v>
      </c>
      <c r="O6981" t="s">
        <v>28</v>
      </c>
      <c r="P6981" t="s">
        <v>29</v>
      </c>
      <c r="Q6981">
        <v>39</v>
      </c>
      <c r="R6981">
        <v>-77.487399999999994</v>
      </c>
    </row>
    <row r="6982" spans="1:18" x14ac:dyDescent="0.2">
      <c r="A6982" t="s">
        <v>439</v>
      </c>
      <c r="B6982" t="s">
        <v>4321</v>
      </c>
      <c r="C6982">
        <v>1</v>
      </c>
      <c r="D6982" s="1">
        <v>44132.87777777778</v>
      </c>
      <c r="E6982" t="s">
        <v>21918</v>
      </c>
      <c r="F6982" t="s">
        <v>442</v>
      </c>
      <c r="G6982" t="s">
        <v>21919</v>
      </c>
      <c r="H6982" t="s">
        <v>444</v>
      </c>
      <c r="I6982" t="s">
        <v>29</v>
      </c>
      <c r="J6982">
        <v>1</v>
      </c>
      <c r="K6982">
        <f>1-888-392-6455</f>
        <v>-7734</v>
      </c>
      <c r="L6982" t="s">
        <v>21920</v>
      </c>
      <c r="M6982" t="s">
        <v>21921</v>
      </c>
      <c r="N6982" t="s">
        <v>674</v>
      </c>
      <c r="O6982" t="s">
        <v>28</v>
      </c>
      <c r="P6982" t="s">
        <v>29</v>
      </c>
      <c r="Q6982">
        <v>42</v>
      </c>
      <c r="R6982">
        <v>-87.629800000000003</v>
      </c>
    </row>
    <row r="6983" spans="1:18" x14ac:dyDescent="0.2">
      <c r="A6983" t="s">
        <v>439</v>
      </c>
      <c r="B6983" t="s">
        <v>3094</v>
      </c>
      <c r="C6983">
        <v>1</v>
      </c>
      <c r="D6983" s="1">
        <v>44132.914259259262</v>
      </c>
      <c r="E6983" t="s">
        <v>21922</v>
      </c>
      <c r="F6983" t="s">
        <v>442</v>
      </c>
      <c r="G6983" t="s">
        <v>21923</v>
      </c>
      <c r="H6983" t="s">
        <v>444</v>
      </c>
      <c r="I6983" t="s">
        <v>29</v>
      </c>
      <c r="J6983">
        <v>1</v>
      </c>
      <c r="K6983">
        <f>1-888-346-2988</f>
        <v>-4221</v>
      </c>
      <c r="L6983" t="s">
        <v>21924</v>
      </c>
      <c r="M6983" t="s">
        <v>21925</v>
      </c>
      <c r="N6983" t="s">
        <v>683</v>
      </c>
      <c r="O6983" t="s">
        <v>28</v>
      </c>
      <c r="P6983" t="s">
        <v>2268</v>
      </c>
      <c r="Q6983">
        <v>46</v>
      </c>
      <c r="R6983">
        <v>-73.567300000000003</v>
      </c>
    </row>
    <row r="6984" spans="1:18" x14ac:dyDescent="0.2">
      <c r="A6984" t="s">
        <v>439</v>
      </c>
      <c r="B6984" t="s">
        <v>3094</v>
      </c>
      <c r="C6984">
        <v>1</v>
      </c>
      <c r="D6984" s="1">
        <v>44132.92596064815</v>
      </c>
      <c r="E6984" t="s">
        <v>21926</v>
      </c>
      <c r="F6984" t="s">
        <v>442</v>
      </c>
      <c r="G6984" t="s">
        <v>21927</v>
      </c>
      <c r="H6984" t="s">
        <v>444</v>
      </c>
      <c r="I6984" t="s">
        <v>29</v>
      </c>
      <c r="J6984">
        <v>1</v>
      </c>
      <c r="K6984">
        <f>1-888-341-5847</f>
        <v>-7075</v>
      </c>
      <c r="L6984" t="s">
        <v>21928</v>
      </c>
      <c r="M6984" t="s">
        <v>21929</v>
      </c>
      <c r="N6984" t="s">
        <v>1645</v>
      </c>
      <c r="O6984" t="s">
        <v>134</v>
      </c>
      <c r="P6984" t="s">
        <v>2268</v>
      </c>
      <c r="Q6984">
        <v>46</v>
      </c>
      <c r="R6984">
        <v>-73.567300000000003</v>
      </c>
    </row>
    <row r="6985" spans="1:18" x14ac:dyDescent="0.2">
      <c r="A6985" t="s">
        <v>439</v>
      </c>
      <c r="B6985" t="s">
        <v>3094</v>
      </c>
      <c r="C6985">
        <v>1</v>
      </c>
      <c r="D6985" s="1">
        <v>44132.930381944447</v>
      </c>
      <c r="E6985" t="s">
        <v>21930</v>
      </c>
      <c r="F6985" t="s">
        <v>442</v>
      </c>
      <c r="G6985" t="s">
        <v>21931</v>
      </c>
      <c r="H6985" t="s">
        <v>444</v>
      </c>
      <c r="I6985" t="s">
        <v>29</v>
      </c>
      <c r="J6985">
        <v>1</v>
      </c>
      <c r="K6985">
        <f>1-888-341-5847</f>
        <v>-7075</v>
      </c>
      <c r="L6985" t="s">
        <v>21932</v>
      </c>
      <c r="M6985" t="s">
        <v>21933</v>
      </c>
      <c r="N6985" t="s">
        <v>1645</v>
      </c>
      <c r="O6985" t="s">
        <v>28</v>
      </c>
      <c r="P6985" t="s">
        <v>2268</v>
      </c>
      <c r="Q6985">
        <v>46</v>
      </c>
      <c r="R6985">
        <v>-73.567300000000003</v>
      </c>
    </row>
    <row r="6986" spans="1:18" x14ac:dyDescent="0.2">
      <c r="A6986" t="s">
        <v>663</v>
      </c>
      <c r="B6986" t="s">
        <v>2493</v>
      </c>
      <c r="C6986">
        <v>61</v>
      </c>
      <c r="D6986" s="1">
        <v>44133.17019675926</v>
      </c>
      <c r="E6986" t="s">
        <v>21934</v>
      </c>
      <c r="F6986" t="s">
        <v>666</v>
      </c>
      <c r="G6986" t="s">
        <v>21934</v>
      </c>
      <c r="H6986" t="s">
        <v>667</v>
      </c>
      <c r="I6986" t="s">
        <v>782</v>
      </c>
      <c r="J6986">
        <v>61</v>
      </c>
      <c r="K6986">
        <f>61-1800-290-952</f>
        <v>-2981</v>
      </c>
      <c r="L6986" t="s">
        <v>21935</v>
      </c>
      <c r="M6986" t="s">
        <v>21936</v>
      </c>
      <c r="N6986">
        <v>151</v>
      </c>
      <c r="O6986" t="s">
        <v>134</v>
      </c>
      <c r="P6986" t="s">
        <v>29</v>
      </c>
      <c r="Q6986">
        <v>41</v>
      </c>
      <c r="R6986">
        <v>-74.024699999999996</v>
      </c>
    </row>
    <row r="6987" spans="1:18" x14ac:dyDescent="0.2">
      <c r="A6987" t="s">
        <v>2349</v>
      </c>
      <c r="B6987" t="s">
        <v>10634</v>
      </c>
      <c r="C6987">
        <v>49</v>
      </c>
      <c r="D6987" s="1">
        <v>44133.56821759259</v>
      </c>
      <c r="E6987" t="s">
        <v>21937</v>
      </c>
      <c r="F6987" t="s">
        <v>4584</v>
      </c>
      <c r="G6987" t="s">
        <v>21937</v>
      </c>
      <c r="H6987" t="s">
        <v>2353</v>
      </c>
      <c r="I6987" t="s">
        <v>24</v>
      </c>
      <c r="J6987">
        <v>49</v>
      </c>
      <c r="K6987">
        <f>49-800-180-1054</f>
        <v>-1985</v>
      </c>
      <c r="L6987" t="s">
        <v>21938</v>
      </c>
      <c r="M6987" t="s">
        <v>21939</v>
      </c>
      <c r="N6987">
        <v>211</v>
      </c>
      <c r="O6987" t="s">
        <v>134</v>
      </c>
      <c r="P6987" t="s">
        <v>292</v>
      </c>
      <c r="Q6987">
        <v>49</v>
      </c>
      <c r="R6987">
        <v>2.3678300000000001</v>
      </c>
    </row>
    <row r="6988" spans="1:18" x14ac:dyDescent="0.2">
      <c r="A6988" t="s">
        <v>439</v>
      </c>
      <c r="B6988" t="s">
        <v>3094</v>
      </c>
      <c r="C6988">
        <v>1</v>
      </c>
      <c r="D6988" s="1">
        <v>44133.649953703702</v>
      </c>
      <c r="E6988" t="s">
        <v>21940</v>
      </c>
      <c r="F6988" t="s">
        <v>442</v>
      </c>
      <c r="G6988" t="s">
        <v>21941</v>
      </c>
      <c r="H6988" t="s">
        <v>444</v>
      </c>
      <c r="I6988" t="s">
        <v>29</v>
      </c>
      <c r="J6988">
        <v>1</v>
      </c>
      <c r="K6988">
        <f>1-888-387-8488</f>
        <v>-9762</v>
      </c>
      <c r="L6988" t="s">
        <v>21942</v>
      </c>
      <c r="M6988" t="s">
        <v>21943</v>
      </c>
      <c r="N6988" t="s">
        <v>5354</v>
      </c>
      <c r="O6988" t="s">
        <v>28</v>
      </c>
      <c r="P6988" t="s">
        <v>2268</v>
      </c>
      <c r="Q6988">
        <v>46</v>
      </c>
      <c r="R6988">
        <v>-73.567300000000003</v>
      </c>
    </row>
    <row r="6989" spans="1:18" x14ac:dyDescent="0.2">
      <c r="A6989" t="s">
        <v>663</v>
      </c>
      <c r="B6989" t="s">
        <v>2493</v>
      </c>
      <c r="C6989">
        <v>1</v>
      </c>
      <c r="D6989" s="1">
        <v>44133.759062500001</v>
      </c>
      <c r="E6989" t="s">
        <v>21944</v>
      </c>
      <c r="F6989" t="s">
        <v>666</v>
      </c>
      <c r="G6989" t="s">
        <v>21944</v>
      </c>
      <c r="H6989" t="s">
        <v>667</v>
      </c>
      <c r="I6989" t="s">
        <v>29</v>
      </c>
      <c r="J6989">
        <v>1</v>
      </c>
      <c r="K6989">
        <f>1-888-384-304</f>
        <v>-1575</v>
      </c>
      <c r="L6989" t="s">
        <v>21945</v>
      </c>
      <c r="M6989" t="s">
        <v>21946</v>
      </c>
      <c r="N6989">
        <v>239</v>
      </c>
      <c r="O6989" t="s">
        <v>134</v>
      </c>
      <c r="P6989" t="s">
        <v>29</v>
      </c>
      <c r="Q6989">
        <v>41</v>
      </c>
      <c r="R6989">
        <v>-74.024699999999996</v>
      </c>
    </row>
    <row r="6990" spans="1:18" x14ac:dyDescent="0.2">
      <c r="A6990" t="s">
        <v>663</v>
      </c>
      <c r="B6990" t="s">
        <v>2493</v>
      </c>
      <c r="C6990">
        <v>1</v>
      </c>
      <c r="D6990" s="1">
        <v>44133.79310185185</v>
      </c>
      <c r="E6990" t="s">
        <v>21947</v>
      </c>
      <c r="F6990" t="s">
        <v>666</v>
      </c>
      <c r="G6990" t="s">
        <v>21947</v>
      </c>
      <c r="H6990" t="s">
        <v>667</v>
      </c>
      <c r="I6990" t="s">
        <v>29</v>
      </c>
      <c r="J6990">
        <v>1</v>
      </c>
      <c r="K6990">
        <f>1-888-390-7854</f>
        <v>-9131</v>
      </c>
      <c r="L6990" t="s">
        <v>21948</v>
      </c>
      <c r="M6990" t="s">
        <v>21949</v>
      </c>
      <c r="N6990">
        <v>50</v>
      </c>
      <c r="O6990" t="s">
        <v>134</v>
      </c>
      <c r="P6990" t="s">
        <v>29</v>
      </c>
      <c r="Q6990">
        <v>41</v>
      </c>
      <c r="R6990">
        <v>-74.024699999999996</v>
      </c>
    </row>
    <row r="6991" spans="1:18" x14ac:dyDescent="0.2">
      <c r="A6991" t="s">
        <v>663</v>
      </c>
      <c r="B6991" t="s">
        <v>2493</v>
      </c>
      <c r="C6991">
        <v>1</v>
      </c>
      <c r="D6991" s="1">
        <v>44133.80327546296</v>
      </c>
      <c r="E6991" t="s">
        <v>21950</v>
      </c>
      <c r="F6991" t="s">
        <v>666</v>
      </c>
      <c r="G6991" t="s">
        <v>21950</v>
      </c>
      <c r="H6991" t="s">
        <v>667</v>
      </c>
      <c r="I6991" t="s">
        <v>29</v>
      </c>
      <c r="J6991">
        <v>1</v>
      </c>
      <c r="K6991">
        <f>1-888-392-1817</f>
        <v>-3096</v>
      </c>
      <c r="L6991" t="s">
        <v>21951</v>
      </c>
      <c r="M6991" t="s">
        <v>21952</v>
      </c>
      <c r="N6991">
        <v>70</v>
      </c>
      <c r="O6991" t="s">
        <v>134</v>
      </c>
      <c r="P6991" t="s">
        <v>29</v>
      </c>
      <c r="Q6991">
        <v>41</v>
      </c>
      <c r="R6991">
        <v>-74.024699999999996</v>
      </c>
    </row>
    <row r="6992" spans="1:18" x14ac:dyDescent="0.2">
      <c r="A6992" t="s">
        <v>663</v>
      </c>
      <c r="B6992" t="s">
        <v>2493</v>
      </c>
      <c r="C6992">
        <v>1</v>
      </c>
      <c r="D6992" s="1">
        <v>44133.79314814815</v>
      </c>
      <c r="E6992" t="s">
        <v>21950</v>
      </c>
      <c r="F6992" t="s">
        <v>666</v>
      </c>
      <c r="G6992" t="s">
        <v>21950</v>
      </c>
      <c r="H6992" t="s">
        <v>667</v>
      </c>
      <c r="I6992" t="s">
        <v>29</v>
      </c>
      <c r="J6992">
        <v>1</v>
      </c>
      <c r="K6992">
        <f>1-888-399-8375</f>
        <v>-9661</v>
      </c>
      <c r="L6992" t="s">
        <v>21953</v>
      </c>
      <c r="M6992" t="s">
        <v>21954</v>
      </c>
      <c r="N6992">
        <v>70</v>
      </c>
      <c r="O6992" t="s">
        <v>134</v>
      </c>
      <c r="P6992" t="s">
        <v>29</v>
      </c>
      <c r="Q6992">
        <v>41</v>
      </c>
      <c r="R6992">
        <v>-74.024699999999996</v>
      </c>
    </row>
    <row r="6993" spans="1:18" x14ac:dyDescent="0.2">
      <c r="A6993" t="s">
        <v>663</v>
      </c>
      <c r="B6993" t="s">
        <v>2493</v>
      </c>
      <c r="C6993">
        <v>1</v>
      </c>
      <c r="D6993" s="1">
        <v>44133.822962962964</v>
      </c>
      <c r="E6993" t="s">
        <v>21955</v>
      </c>
      <c r="F6993" t="s">
        <v>666</v>
      </c>
      <c r="G6993" t="s">
        <v>21955</v>
      </c>
      <c r="H6993" t="s">
        <v>667</v>
      </c>
      <c r="I6993" t="s">
        <v>29</v>
      </c>
      <c r="J6993">
        <v>1</v>
      </c>
      <c r="K6993">
        <f>1-888-390-4325</f>
        <v>-5602</v>
      </c>
      <c r="L6993" t="s">
        <v>21956</v>
      </c>
      <c r="M6993" t="s">
        <v>21957</v>
      </c>
      <c r="N6993">
        <v>131</v>
      </c>
      <c r="O6993" t="s">
        <v>134</v>
      </c>
      <c r="P6993" t="s">
        <v>29</v>
      </c>
      <c r="Q6993">
        <v>41</v>
      </c>
      <c r="R6993">
        <v>-74.024699999999996</v>
      </c>
    </row>
    <row r="6994" spans="1:18" x14ac:dyDescent="0.2">
      <c r="A6994" t="s">
        <v>663</v>
      </c>
      <c r="B6994" t="s">
        <v>2493</v>
      </c>
      <c r="C6994">
        <v>61</v>
      </c>
      <c r="D6994" s="1">
        <v>44134.029398148145</v>
      </c>
      <c r="E6994" t="s">
        <v>21958</v>
      </c>
      <c r="F6994" t="s">
        <v>666</v>
      </c>
      <c r="G6994" t="s">
        <v>21958</v>
      </c>
      <c r="H6994" t="s">
        <v>667</v>
      </c>
      <c r="I6994" t="s">
        <v>782</v>
      </c>
      <c r="J6994">
        <v>61</v>
      </c>
      <c r="K6994">
        <f>61-1800-290-956</f>
        <v>-2985</v>
      </c>
      <c r="L6994" t="s">
        <v>21959</v>
      </c>
      <c r="M6994" t="s">
        <v>21960</v>
      </c>
      <c r="N6994">
        <v>193</v>
      </c>
      <c r="O6994" t="s">
        <v>134</v>
      </c>
      <c r="P6994" t="s">
        <v>29</v>
      </c>
      <c r="Q6994">
        <v>41</v>
      </c>
      <c r="R6994">
        <v>-74.024699999999996</v>
      </c>
    </row>
    <row r="6995" spans="1:18" x14ac:dyDescent="0.2">
      <c r="A6995" t="s">
        <v>663</v>
      </c>
      <c r="B6995" t="s">
        <v>664</v>
      </c>
      <c r="C6995">
        <v>1</v>
      </c>
      <c r="D6995" s="1">
        <v>44134.228344907409</v>
      </c>
      <c r="E6995" t="s">
        <v>21961</v>
      </c>
      <c r="F6995" t="s">
        <v>666</v>
      </c>
      <c r="G6995" t="s">
        <v>21961</v>
      </c>
      <c r="H6995" t="s">
        <v>667</v>
      </c>
      <c r="I6995" t="s">
        <v>29</v>
      </c>
      <c r="J6995">
        <v>1</v>
      </c>
      <c r="K6995">
        <f>1-888-308-5776</f>
        <v>-6971</v>
      </c>
      <c r="L6995" t="s">
        <v>21962</v>
      </c>
      <c r="M6995" t="s">
        <v>21963</v>
      </c>
      <c r="N6995">
        <v>69</v>
      </c>
      <c r="O6995" t="s">
        <v>134</v>
      </c>
      <c r="P6995" t="s">
        <v>29</v>
      </c>
      <c r="Q6995">
        <v>37</v>
      </c>
      <c r="R6995">
        <v>-99.999999000000003</v>
      </c>
    </row>
    <row r="6996" spans="1:18" x14ac:dyDescent="0.2">
      <c r="A6996" t="s">
        <v>439</v>
      </c>
      <c r="B6996" t="s">
        <v>3094</v>
      </c>
      <c r="C6996">
        <v>81</v>
      </c>
      <c r="D6996" s="1">
        <v>44134.236921296295</v>
      </c>
      <c r="E6996" t="s">
        <v>21964</v>
      </c>
      <c r="F6996" t="s">
        <v>442</v>
      </c>
      <c r="G6996" t="s">
        <v>21965</v>
      </c>
      <c r="H6996" t="s">
        <v>444</v>
      </c>
      <c r="I6996" t="s">
        <v>53</v>
      </c>
      <c r="J6996">
        <v>81</v>
      </c>
      <c r="K6996">
        <f>81-50-5534-319</f>
        <v>-5822</v>
      </c>
      <c r="L6996" t="s">
        <v>21966</v>
      </c>
      <c r="M6996" t="s">
        <v>21967</v>
      </c>
      <c r="N6996" t="s">
        <v>447</v>
      </c>
      <c r="O6996" t="s">
        <v>28</v>
      </c>
      <c r="P6996" t="s">
        <v>2268</v>
      </c>
      <c r="Q6996">
        <v>46</v>
      </c>
      <c r="R6996">
        <v>-73.567300000000003</v>
      </c>
    </row>
    <row r="6997" spans="1:18" x14ac:dyDescent="0.2">
      <c r="A6997" t="s">
        <v>663</v>
      </c>
      <c r="B6997" t="s">
        <v>454</v>
      </c>
      <c r="C6997">
        <v>81</v>
      </c>
      <c r="D6997" s="1">
        <v>44134.238310185188</v>
      </c>
      <c r="E6997" t="s">
        <v>21968</v>
      </c>
      <c r="F6997" t="s">
        <v>666</v>
      </c>
      <c r="G6997" t="s">
        <v>21969</v>
      </c>
      <c r="H6997" t="s">
        <v>667</v>
      </c>
      <c r="I6997" t="s">
        <v>53</v>
      </c>
      <c r="J6997">
        <v>81</v>
      </c>
      <c r="K6997">
        <f>81-50-5806-4835</f>
        <v>-10610</v>
      </c>
      <c r="L6997" t="s">
        <v>21970</v>
      </c>
      <c r="M6997" t="s">
        <v>21971</v>
      </c>
      <c r="N6997" t="s">
        <v>5354</v>
      </c>
      <c r="O6997" t="s">
        <v>28</v>
      </c>
      <c r="P6997" t="s">
        <v>461</v>
      </c>
      <c r="Q6997">
        <v>52</v>
      </c>
      <c r="R6997">
        <v>4.9391999999999996</v>
      </c>
    </row>
    <row r="6998" spans="1:18" x14ac:dyDescent="0.2">
      <c r="A6998" t="s">
        <v>663</v>
      </c>
      <c r="B6998" t="s">
        <v>2500</v>
      </c>
      <c r="C6998">
        <v>81</v>
      </c>
      <c r="D6998" s="1">
        <v>44141.289085648146</v>
      </c>
      <c r="E6998" t="s">
        <v>21972</v>
      </c>
      <c r="F6998" t="s">
        <v>666</v>
      </c>
      <c r="G6998" t="s">
        <v>21973</v>
      </c>
      <c r="H6998" t="s">
        <v>667</v>
      </c>
      <c r="I6998" t="s">
        <v>53</v>
      </c>
      <c r="J6998">
        <v>81</v>
      </c>
      <c r="K6998">
        <f>81-50-5806-993</f>
        <v>-6768</v>
      </c>
      <c r="L6998" t="s">
        <v>21974</v>
      </c>
      <c r="M6998" t="s">
        <v>21975</v>
      </c>
      <c r="N6998" t="s">
        <v>2475</v>
      </c>
      <c r="O6998" t="s">
        <v>28</v>
      </c>
      <c r="P6998" t="s">
        <v>2500</v>
      </c>
      <c r="Q6998">
        <v>1</v>
      </c>
      <c r="R6998">
        <v>99.999999000000003</v>
      </c>
    </row>
    <row r="6999" spans="1:18" x14ac:dyDescent="0.2">
      <c r="A6999" t="s">
        <v>663</v>
      </c>
      <c r="B6999" t="s">
        <v>2500</v>
      </c>
      <c r="C6999">
        <v>81</v>
      </c>
      <c r="D6999" s="1">
        <v>44134.238703703704</v>
      </c>
      <c r="E6999" t="s">
        <v>21972</v>
      </c>
      <c r="F6999" t="s">
        <v>666</v>
      </c>
      <c r="G6999" t="s">
        <v>21973</v>
      </c>
      <c r="H6999" t="s">
        <v>667</v>
      </c>
      <c r="I6999" t="s">
        <v>53</v>
      </c>
      <c r="J6999">
        <v>81</v>
      </c>
      <c r="K6999">
        <f>81-50-5809-8876</f>
        <v>-14654</v>
      </c>
      <c r="L6999" t="s">
        <v>21976</v>
      </c>
      <c r="M6999" t="s">
        <v>21977</v>
      </c>
      <c r="N6999" t="s">
        <v>2475</v>
      </c>
      <c r="O6999" t="s">
        <v>28</v>
      </c>
      <c r="P6999" t="s">
        <v>2500</v>
      </c>
      <c r="Q6999">
        <v>1</v>
      </c>
      <c r="R6999">
        <v>99.999999000000003</v>
      </c>
    </row>
    <row r="7000" spans="1:18" x14ac:dyDescent="0.2">
      <c r="A7000" t="s">
        <v>663</v>
      </c>
      <c r="B7000" t="s">
        <v>1212</v>
      </c>
      <c r="C7000">
        <v>1</v>
      </c>
      <c r="D7000" s="1">
        <v>44135.861759259256</v>
      </c>
      <c r="E7000" t="s">
        <v>21978</v>
      </c>
      <c r="F7000" t="s">
        <v>666</v>
      </c>
      <c r="G7000" t="s">
        <v>21978</v>
      </c>
      <c r="H7000" t="s">
        <v>667</v>
      </c>
      <c r="I7000" t="s">
        <v>29</v>
      </c>
      <c r="J7000">
        <v>1</v>
      </c>
      <c r="K7000">
        <f>1-844-304-408</f>
        <v>-1555</v>
      </c>
      <c r="L7000" t="s">
        <v>21979</v>
      </c>
      <c r="M7000" t="s">
        <v>21980</v>
      </c>
      <c r="N7000">
        <v>211</v>
      </c>
      <c r="O7000" t="s">
        <v>134</v>
      </c>
      <c r="P7000" t="s">
        <v>618</v>
      </c>
      <c r="Q7000">
        <v>52</v>
      </c>
      <c r="R7000">
        <v>-0.62150000000000005</v>
      </c>
    </row>
    <row r="7001" spans="1:18" x14ac:dyDescent="0.2">
      <c r="A7001" t="s">
        <v>2233</v>
      </c>
      <c r="B7001" t="s">
        <v>2500</v>
      </c>
      <c r="C7001">
        <v>1</v>
      </c>
      <c r="D7001" s="1">
        <v>44136.816504629627</v>
      </c>
      <c r="E7001" t="s">
        <v>17586</v>
      </c>
      <c r="F7001" t="s">
        <v>2236</v>
      </c>
      <c r="G7001" t="s">
        <v>21981</v>
      </c>
      <c r="H7001" t="s">
        <v>2237</v>
      </c>
      <c r="I7001" t="s">
        <v>29</v>
      </c>
      <c r="J7001">
        <v>1</v>
      </c>
      <c r="K7001">
        <f>1-844-347-3664</f>
        <v>-4854</v>
      </c>
      <c r="L7001" t="s">
        <v>21982</v>
      </c>
      <c r="M7001" t="s">
        <v>21983</v>
      </c>
      <c r="N7001" t="s">
        <v>5354</v>
      </c>
      <c r="O7001" t="s">
        <v>28</v>
      </c>
      <c r="P7001" t="s">
        <v>2500</v>
      </c>
      <c r="Q7001">
        <v>1</v>
      </c>
      <c r="R7001">
        <v>99.999999000000003</v>
      </c>
    </row>
    <row r="7002" spans="1:18" x14ac:dyDescent="0.2">
      <c r="A7002" t="s">
        <v>439</v>
      </c>
      <c r="B7002" t="s">
        <v>4321</v>
      </c>
      <c r="C7002">
        <v>1</v>
      </c>
      <c r="D7002" s="1">
        <v>44136.917893518519</v>
      </c>
      <c r="E7002" t="s">
        <v>21984</v>
      </c>
      <c r="F7002" t="s">
        <v>442</v>
      </c>
      <c r="G7002" t="s">
        <v>21985</v>
      </c>
      <c r="H7002" t="s">
        <v>444</v>
      </c>
      <c r="I7002" t="s">
        <v>29</v>
      </c>
      <c r="J7002">
        <v>1</v>
      </c>
      <c r="K7002">
        <f>1-808-774-7404</f>
        <v>-8985</v>
      </c>
      <c r="L7002" t="s">
        <v>21986</v>
      </c>
      <c r="M7002" t="s">
        <v>21987</v>
      </c>
      <c r="N7002" t="s">
        <v>213</v>
      </c>
      <c r="O7002" t="s">
        <v>134</v>
      </c>
      <c r="P7002" t="s">
        <v>29</v>
      </c>
      <c r="Q7002">
        <v>42</v>
      </c>
      <c r="R7002">
        <v>-87.629800000000003</v>
      </c>
    </row>
    <row r="7003" spans="1:18" x14ac:dyDescent="0.2">
      <c r="A7003" t="s">
        <v>2233</v>
      </c>
      <c r="B7003" t="s">
        <v>1638</v>
      </c>
      <c r="C7003">
        <v>1</v>
      </c>
      <c r="D7003" s="1">
        <v>44136.933969907404</v>
      </c>
      <c r="E7003" t="s">
        <v>21988</v>
      </c>
      <c r="F7003" t="s">
        <v>6618</v>
      </c>
      <c r="G7003" t="s">
        <v>21989</v>
      </c>
      <c r="H7003" t="s">
        <v>2237</v>
      </c>
      <c r="I7003" t="s">
        <v>29</v>
      </c>
      <c r="J7003">
        <v>1</v>
      </c>
      <c r="K7003">
        <f>1-844-417-153</f>
        <v>-1413</v>
      </c>
      <c r="L7003" t="s">
        <v>21990</v>
      </c>
      <c r="M7003" t="s">
        <v>21991</v>
      </c>
      <c r="N7003" t="s">
        <v>5354</v>
      </c>
      <c r="O7003" t="s">
        <v>28</v>
      </c>
      <c r="P7003" t="s">
        <v>292</v>
      </c>
      <c r="Q7003">
        <v>49</v>
      </c>
      <c r="R7003">
        <v>2.35222</v>
      </c>
    </row>
    <row r="7004" spans="1:18" x14ac:dyDescent="0.2">
      <c r="A7004" t="s">
        <v>2349</v>
      </c>
      <c r="B7004" t="s">
        <v>10634</v>
      </c>
      <c r="C7004">
        <v>49</v>
      </c>
      <c r="D7004" s="1">
        <v>44137.548275462963</v>
      </c>
      <c r="E7004" t="s">
        <v>21992</v>
      </c>
      <c r="F7004" t="s">
        <v>4584</v>
      </c>
      <c r="G7004" t="s">
        <v>21992</v>
      </c>
      <c r="H7004" t="s">
        <v>2353</v>
      </c>
      <c r="I7004" t="s">
        <v>24</v>
      </c>
      <c r="J7004">
        <v>49</v>
      </c>
      <c r="K7004">
        <f>49-800-180-1054</f>
        <v>-1985</v>
      </c>
      <c r="L7004" t="s">
        <v>21993</v>
      </c>
      <c r="M7004" t="s">
        <v>21994</v>
      </c>
      <c r="N7004">
        <v>77</v>
      </c>
      <c r="O7004" t="s">
        <v>134</v>
      </c>
      <c r="P7004" t="s">
        <v>292</v>
      </c>
      <c r="Q7004">
        <v>49</v>
      </c>
      <c r="R7004">
        <v>2.3868999999999998</v>
      </c>
    </row>
    <row r="7005" spans="1:18" x14ac:dyDescent="0.2">
      <c r="A7005" t="s">
        <v>663</v>
      </c>
      <c r="B7005" t="s">
        <v>2493</v>
      </c>
      <c r="C7005">
        <v>1</v>
      </c>
      <c r="D7005" s="1">
        <v>44137.794502314813</v>
      </c>
      <c r="E7005" t="s">
        <v>21995</v>
      </c>
      <c r="F7005" t="s">
        <v>666</v>
      </c>
      <c r="G7005" t="s">
        <v>21995</v>
      </c>
      <c r="H7005" t="s">
        <v>667</v>
      </c>
      <c r="I7005" t="s">
        <v>29</v>
      </c>
      <c r="J7005">
        <v>1</v>
      </c>
      <c r="K7005">
        <f>1-888-399-6118</f>
        <v>-7404</v>
      </c>
      <c r="L7005" t="s">
        <v>21996</v>
      </c>
      <c r="M7005" t="s">
        <v>21997</v>
      </c>
      <c r="N7005">
        <v>162</v>
      </c>
      <c r="O7005" t="s">
        <v>134</v>
      </c>
      <c r="P7005" t="s">
        <v>29</v>
      </c>
      <c r="Q7005">
        <v>41</v>
      </c>
      <c r="R7005">
        <v>-74.024699999999996</v>
      </c>
    </row>
    <row r="7006" spans="1:18" x14ac:dyDescent="0.2">
      <c r="A7006" t="s">
        <v>663</v>
      </c>
      <c r="B7006" t="s">
        <v>2493</v>
      </c>
      <c r="C7006">
        <v>1</v>
      </c>
      <c r="D7006" s="1">
        <v>44134.748437499999</v>
      </c>
      <c r="E7006" t="s">
        <v>21998</v>
      </c>
      <c r="F7006" t="s">
        <v>666</v>
      </c>
      <c r="G7006" t="s">
        <v>21998</v>
      </c>
      <c r="H7006" t="s">
        <v>667</v>
      </c>
      <c r="I7006" t="s">
        <v>29</v>
      </c>
      <c r="J7006">
        <v>1</v>
      </c>
      <c r="K7006">
        <f>1-888-385-4903</f>
        <v>-6175</v>
      </c>
      <c r="L7006" t="s">
        <v>21999</v>
      </c>
      <c r="M7006" t="s">
        <v>22000</v>
      </c>
      <c r="N7006">
        <v>212</v>
      </c>
      <c r="O7006" t="s">
        <v>134</v>
      </c>
      <c r="P7006" t="s">
        <v>29</v>
      </c>
      <c r="Q7006">
        <v>41</v>
      </c>
      <c r="R7006">
        <v>-74.024699999999996</v>
      </c>
    </row>
    <row r="7007" spans="1:18" x14ac:dyDescent="0.2">
      <c r="A7007" t="s">
        <v>663</v>
      </c>
      <c r="B7007" t="s">
        <v>2493</v>
      </c>
      <c r="C7007">
        <v>1</v>
      </c>
      <c r="D7007" s="1">
        <v>44134.748553240737</v>
      </c>
      <c r="E7007" t="s">
        <v>22001</v>
      </c>
      <c r="F7007" t="s">
        <v>666</v>
      </c>
      <c r="G7007" t="s">
        <v>22001</v>
      </c>
      <c r="H7007" t="s">
        <v>667</v>
      </c>
      <c r="I7007" t="s">
        <v>29</v>
      </c>
      <c r="J7007">
        <v>1</v>
      </c>
      <c r="K7007">
        <f>1-888-362-7201</f>
        <v>-8450</v>
      </c>
      <c r="L7007" t="s">
        <v>22002</v>
      </c>
      <c r="M7007" t="s">
        <v>22003</v>
      </c>
      <c r="N7007">
        <v>216</v>
      </c>
      <c r="O7007" t="s">
        <v>134</v>
      </c>
      <c r="P7007" t="s">
        <v>29</v>
      </c>
      <c r="Q7007">
        <v>41</v>
      </c>
      <c r="R7007">
        <v>-74.024699999999996</v>
      </c>
    </row>
    <row r="7008" spans="1:18" x14ac:dyDescent="0.2">
      <c r="A7008" t="s">
        <v>663</v>
      </c>
      <c r="B7008" t="s">
        <v>2493</v>
      </c>
      <c r="C7008">
        <v>1</v>
      </c>
      <c r="D7008" s="1">
        <v>44134.766099537039</v>
      </c>
      <c r="E7008" t="s">
        <v>22004</v>
      </c>
      <c r="F7008" t="s">
        <v>666</v>
      </c>
      <c r="G7008" t="s">
        <v>22004</v>
      </c>
      <c r="H7008" t="s">
        <v>667</v>
      </c>
      <c r="I7008" t="s">
        <v>29</v>
      </c>
      <c r="J7008">
        <v>1</v>
      </c>
      <c r="K7008">
        <f>1-888-307-4008</f>
        <v>-5202</v>
      </c>
      <c r="L7008" t="s">
        <v>22005</v>
      </c>
      <c r="M7008" t="s">
        <v>22006</v>
      </c>
      <c r="N7008">
        <v>225</v>
      </c>
      <c r="O7008" t="s">
        <v>134</v>
      </c>
      <c r="P7008" t="s">
        <v>29</v>
      </c>
      <c r="Q7008">
        <v>41</v>
      </c>
      <c r="R7008">
        <v>-74.024699999999996</v>
      </c>
    </row>
    <row r="7009" spans="1:18" x14ac:dyDescent="0.2">
      <c r="A7009" t="s">
        <v>439</v>
      </c>
      <c r="B7009" t="s">
        <v>3094</v>
      </c>
      <c r="C7009">
        <v>1</v>
      </c>
      <c r="D7009" s="1">
        <v>44134.769375000003</v>
      </c>
      <c r="E7009" t="s">
        <v>22007</v>
      </c>
      <c r="F7009" t="s">
        <v>442</v>
      </c>
      <c r="G7009" t="s">
        <v>22008</v>
      </c>
      <c r="H7009" t="s">
        <v>444</v>
      </c>
      <c r="I7009" t="s">
        <v>29</v>
      </c>
      <c r="J7009">
        <v>1</v>
      </c>
      <c r="K7009">
        <f>1-888-387-8488</f>
        <v>-9762</v>
      </c>
      <c r="L7009" t="s">
        <v>22009</v>
      </c>
      <c r="M7009" t="s">
        <v>22010</v>
      </c>
      <c r="N7009" t="s">
        <v>1645</v>
      </c>
      <c r="O7009" t="s">
        <v>28</v>
      </c>
      <c r="P7009" t="s">
        <v>2268</v>
      </c>
      <c r="Q7009">
        <v>46</v>
      </c>
      <c r="R7009">
        <v>-73.567300000000003</v>
      </c>
    </row>
    <row r="7010" spans="1:18" x14ac:dyDescent="0.2">
      <c r="A7010" t="s">
        <v>2233</v>
      </c>
      <c r="B7010" t="s">
        <v>2234</v>
      </c>
      <c r="C7010">
        <v>1</v>
      </c>
      <c r="D7010" s="1">
        <v>44134.769386574073</v>
      </c>
      <c r="E7010" t="s">
        <v>22011</v>
      </c>
      <c r="F7010" t="s">
        <v>2236</v>
      </c>
      <c r="G7010" t="s">
        <v>22012</v>
      </c>
      <c r="H7010" t="s">
        <v>2237</v>
      </c>
      <c r="I7010" t="s">
        <v>29</v>
      </c>
      <c r="J7010">
        <v>1</v>
      </c>
      <c r="K7010">
        <f>1-888-396-2950</f>
        <v>-4233</v>
      </c>
      <c r="L7010" t="s">
        <v>22013</v>
      </c>
      <c r="M7010" t="s">
        <v>22014</v>
      </c>
      <c r="N7010" t="s">
        <v>6761</v>
      </c>
      <c r="O7010" t="s">
        <v>28</v>
      </c>
      <c r="P7010" t="s">
        <v>29</v>
      </c>
      <c r="Q7010">
        <v>40</v>
      </c>
      <c r="R7010">
        <v>-83.114099999999993</v>
      </c>
    </row>
    <row r="7011" spans="1:18" x14ac:dyDescent="0.2">
      <c r="A7011" t="s">
        <v>439</v>
      </c>
      <c r="B7011" t="s">
        <v>3094</v>
      </c>
      <c r="C7011">
        <v>1</v>
      </c>
      <c r="D7011" s="1">
        <v>44134.822685185187</v>
      </c>
      <c r="E7011" t="s">
        <v>22015</v>
      </c>
      <c r="F7011" t="s">
        <v>442</v>
      </c>
      <c r="G7011" t="s">
        <v>22016</v>
      </c>
      <c r="H7011" t="s">
        <v>444</v>
      </c>
      <c r="I7011" t="s">
        <v>29</v>
      </c>
      <c r="J7011">
        <v>1</v>
      </c>
      <c r="K7011">
        <f>1-888-400-3969</f>
        <v>-5256</v>
      </c>
      <c r="L7011" t="s">
        <v>22017</v>
      </c>
      <c r="M7011" t="s">
        <v>22018</v>
      </c>
      <c r="N7011" t="s">
        <v>1645</v>
      </c>
      <c r="O7011" t="s">
        <v>28</v>
      </c>
      <c r="P7011" t="s">
        <v>2268</v>
      </c>
      <c r="Q7011">
        <v>46</v>
      </c>
      <c r="R7011">
        <v>-73.567300000000003</v>
      </c>
    </row>
    <row r="7012" spans="1:18" x14ac:dyDescent="0.2">
      <c r="A7012" t="s">
        <v>663</v>
      </c>
      <c r="B7012" t="s">
        <v>2493</v>
      </c>
      <c r="C7012">
        <v>1</v>
      </c>
      <c r="D7012" s="1">
        <v>44134.85365740741</v>
      </c>
      <c r="E7012" t="s">
        <v>22019</v>
      </c>
      <c r="F7012" t="s">
        <v>666</v>
      </c>
      <c r="G7012" t="s">
        <v>22019</v>
      </c>
      <c r="H7012" t="s">
        <v>667</v>
      </c>
      <c r="I7012" t="s">
        <v>29</v>
      </c>
      <c r="J7012">
        <v>1</v>
      </c>
      <c r="K7012">
        <f>1-888-312-4995</f>
        <v>-6194</v>
      </c>
      <c r="L7012" t="s">
        <v>22020</v>
      </c>
      <c r="M7012" t="s">
        <v>22021</v>
      </c>
      <c r="N7012">
        <v>27</v>
      </c>
      <c r="O7012" t="s">
        <v>134</v>
      </c>
      <c r="P7012" t="s">
        <v>29</v>
      </c>
      <c r="Q7012">
        <v>41</v>
      </c>
      <c r="R7012">
        <v>-74.024699999999996</v>
      </c>
    </row>
    <row r="7013" spans="1:18" x14ac:dyDescent="0.2">
      <c r="A7013" t="s">
        <v>439</v>
      </c>
      <c r="B7013" t="s">
        <v>3094</v>
      </c>
      <c r="C7013">
        <v>1</v>
      </c>
      <c r="D7013" s="1">
        <v>44134.854247685187</v>
      </c>
      <c r="E7013" t="s">
        <v>22022</v>
      </c>
      <c r="F7013" t="s">
        <v>442</v>
      </c>
      <c r="G7013" t="s">
        <v>22023</v>
      </c>
      <c r="H7013" t="s">
        <v>444</v>
      </c>
      <c r="I7013" t="s">
        <v>29</v>
      </c>
      <c r="J7013">
        <v>1</v>
      </c>
      <c r="K7013">
        <f>1-888-272-5820</f>
        <v>-6979</v>
      </c>
      <c r="L7013" t="s">
        <v>22024</v>
      </c>
      <c r="M7013" t="s">
        <v>22025</v>
      </c>
      <c r="N7013" t="s">
        <v>213</v>
      </c>
      <c r="O7013" t="s">
        <v>28</v>
      </c>
      <c r="P7013" t="s">
        <v>2268</v>
      </c>
      <c r="Q7013">
        <v>46</v>
      </c>
      <c r="R7013">
        <v>-73.567300000000003</v>
      </c>
    </row>
    <row r="7014" spans="1:18" x14ac:dyDescent="0.2">
      <c r="A7014" t="s">
        <v>663</v>
      </c>
      <c r="B7014" t="s">
        <v>2493</v>
      </c>
      <c r="C7014">
        <v>1</v>
      </c>
      <c r="D7014" s="1">
        <v>44134.955706018518</v>
      </c>
      <c r="E7014" t="s">
        <v>22026</v>
      </c>
      <c r="F7014" t="s">
        <v>666</v>
      </c>
      <c r="G7014" t="s">
        <v>22026</v>
      </c>
      <c r="H7014" t="s">
        <v>667</v>
      </c>
      <c r="I7014" t="s">
        <v>29</v>
      </c>
      <c r="J7014">
        <v>1</v>
      </c>
      <c r="K7014">
        <f>1-888-401-5139</f>
        <v>-6427</v>
      </c>
      <c r="L7014" t="s">
        <v>22027</v>
      </c>
      <c r="M7014" t="s">
        <v>22028</v>
      </c>
      <c r="N7014">
        <v>108</v>
      </c>
      <c r="O7014" t="s">
        <v>134</v>
      </c>
      <c r="P7014" t="s">
        <v>29</v>
      </c>
      <c r="Q7014">
        <v>41</v>
      </c>
      <c r="R7014">
        <v>-74.024699999999996</v>
      </c>
    </row>
    <row r="7015" spans="1:18" x14ac:dyDescent="0.2">
      <c r="A7015" t="s">
        <v>663</v>
      </c>
      <c r="B7015" t="s">
        <v>2493</v>
      </c>
      <c r="C7015">
        <v>1</v>
      </c>
      <c r="D7015" s="1">
        <v>44134.982719907406</v>
      </c>
      <c r="E7015" t="s">
        <v>22029</v>
      </c>
      <c r="F7015" t="s">
        <v>2495</v>
      </c>
      <c r="G7015" t="s">
        <v>22029</v>
      </c>
      <c r="H7015" t="s">
        <v>667</v>
      </c>
      <c r="I7015" t="s">
        <v>29</v>
      </c>
      <c r="J7015">
        <v>1</v>
      </c>
      <c r="K7015">
        <f>1-888-318-8430</f>
        <v>-9635</v>
      </c>
      <c r="L7015" t="s">
        <v>22030</v>
      </c>
      <c r="M7015" t="s">
        <v>22031</v>
      </c>
      <c r="N7015">
        <v>57</v>
      </c>
      <c r="O7015" t="s">
        <v>134</v>
      </c>
      <c r="P7015" t="s">
        <v>29</v>
      </c>
      <c r="Q7015">
        <v>41</v>
      </c>
      <c r="R7015">
        <v>-74.024699999999996</v>
      </c>
    </row>
    <row r="7016" spans="1:18" x14ac:dyDescent="0.2">
      <c r="A7016" t="s">
        <v>439</v>
      </c>
      <c r="B7016" t="s">
        <v>3094</v>
      </c>
      <c r="C7016">
        <v>81</v>
      </c>
      <c r="D7016" s="1">
        <v>44135.102997685186</v>
      </c>
      <c r="E7016" t="s">
        <v>22032</v>
      </c>
      <c r="F7016" t="s">
        <v>442</v>
      </c>
      <c r="G7016" t="s">
        <v>22033</v>
      </c>
      <c r="H7016" t="s">
        <v>444</v>
      </c>
      <c r="I7016" t="s">
        <v>53</v>
      </c>
      <c r="J7016">
        <v>81</v>
      </c>
      <c r="K7016">
        <f>81-50-5806-4835</f>
        <v>-10610</v>
      </c>
      <c r="L7016" t="s">
        <v>22034</v>
      </c>
      <c r="M7016" t="s">
        <v>22035</v>
      </c>
      <c r="N7016" t="s">
        <v>2475</v>
      </c>
      <c r="O7016" t="s">
        <v>28</v>
      </c>
      <c r="P7016" t="s">
        <v>2268</v>
      </c>
      <c r="Q7016">
        <v>46</v>
      </c>
      <c r="R7016">
        <v>-73.567300000000003</v>
      </c>
    </row>
    <row r="7017" spans="1:18" x14ac:dyDescent="0.2">
      <c r="A7017" t="s">
        <v>270</v>
      </c>
      <c r="B7017" t="s">
        <v>2263</v>
      </c>
      <c r="C7017">
        <v>1</v>
      </c>
      <c r="D7017" s="1">
        <v>44378.826238425929</v>
      </c>
      <c r="E7017" t="s">
        <v>22036</v>
      </c>
      <c r="F7017" t="s">
        <v>273</v>
      </c>
      <c r="G7017" t="s">
        <v>22037</v>
      </c>
      <c r="H7017" t="s">
        <v>275</v>
      </c>
      <c r="I7017" t="s">
        <v>29</v>
      </c>
      <c r="J7017">
        <v>1</v>
      </c>
      <c r="K7017">
        <f>1-888-308-5875</f>
        <v>-7070</v>
      </c>
      <c r="L7017" t="s">
        <v>22038</v>
      </c>
      <c r="M7017" t="s">
        <v>22039</v>
      </c>
      <c r="N7017" t="s">
        <v>278</v>
      </c>
      <c r="O7017" t="s">
        <v>28</v>
      </c>
      <c r="P7017" t="s">
        <v>2268</v>
      </c>
      <c r="Q7017">
        <v>44</v>
      </c>
      <c r="R7017">
        <v>-79.382999999999996</v>
      </c>
    </row>
    <row r="7018" spans="1:18" x14ac:dyDescent="0.2">
      <c r="A7018" t="s">
        <v>270</v>
      </c>
      <c r="B7018" t="s">
        <v>2263</v>
      </c>
      <c r="C7018">
        <v>1</v>
      </c>
      <c r="D7018" s="1">
        <v>44378.795682870368</v>
      </c>
      <c r="E7018" t="s">
        <v>22040</v>
      </c>
      <c r="F7018" t="s">
        <v>273</v>
      </c>
      <c r="G7018" t="s">
        <v>22037</v>
      </c>
      <c r="H7018" t="s">
        <v>275</v>
      </c>
      <c r="I7018" t="s">
        <v>29</v>
      </c>
      <c r="J7018">
        <v>1</v>
      </c>
      <c r="K7018">
        <f>1-888-308-5875</f>
        <v>-7070</v>
      </c>
      <c r="L7018" t="s">
        <v>22041</v>
      </c>
      <c r="M7018" t="s">
        <v>22042</v>
      </c>
      <c r="N7018" t="s">
        <v>278</v>
      </c>
      <c r="O7018" t="s">
        <v>28</v>
      </c>
      <c r="P7018" t="s">
        <v>2268</v>
      </c>
      <c r="Q7018">
        <v>44</v>
      </c>
      <c r="R7018">
        <v>-79.382999999999996</v>
      </c>
    </row>
    <row r="7019" spans="1:18" x14ac:dyDescent="0.2">
      <c r="A7019" t="s">
        <v>270</v>
      </c>
      <c r="B7019" t="s">
        <v>2263</v>
      </c>
      <c r="C7019">
        <v>1</v>
      </c>
      <c r="D7019" s="1">
        <v>44378.776192129626</v>
      </c>
      <c r="E7019" t="s">
        <v>22043</v>
      </c>
      <c r="F7019" t="s">
        <v>273</v>
      </c>
      <c r="G7019" t="s">
        <v>22037</v>
      </c>
      <c r="H7019" t="s">
        <v>275</v>
      </c>
      <c r="I7019" t="s">
        <v>29</v>
      </c>
      <c r="J7019">
        <v>1</v>
      </c>
      <c r="K7019">
        <f>1-888-308-5126</f>
        <v>-6321</v>
      </c>
      <c r="L7019" t="s">
        <v>22044</v>
      </c>
      <c r="M7019" t="s">
        <v>22045</v>
      </c>
      <c r="N7019" t="s">
        <v>278</v>
      </c>
      <c r="O7019" t="s">
        <v>28</v>
      </c>
      <c r="P7019" t="s">
        <v>2268</v>
      </c>
      <c r="Q7019">
        <v>44</v>
      </c>
      <c r="R7019">
        <v>-79.382999999999996</v>
      </c>
    </row>
    <row r="7020" spans="1:18" x14ac:dyDescent="0.2">
      <c r="A7020" t="s">
        <v>270</v>
      </c>
      <c r="B7020" t="s">
        <v>2263</v>
      </c>
      <c r="C7020">
        <v>1</v>
      </c>
      <c r="D7020" s="1">
        <v>44376.805243055554</v>
      </c>
      <c r="E7020" t="s">
        <v>22046</v>
      </c>
      <c r="F7020" t="s">
        <v>273</v>
      </c>
      <c r="G7020" t="s">
        <v>22037</v>
      </c>
      <c r="H7020" t="s">
        <v>275</v>
      </c>
      <c r="I7020" t="s">
        <v>29</v>
      </c>
      <c r="J7020">
        <v>1</v>
      </c>
      <c r="K7020">
        <f>1-844-295-567</f>
        <v>-1705</v>
      </c>
      <c r="L7020" t="s">
        <v>22047</v>
      </c>
      <c r="M7020" t="s">
        <v>22048</v>
      </c>
      <c r="N7020" t="s">
        <v>278</v>
      </c>
      <c r="O7020" t="s">
        <v>28</v>
      </c>
      <c r="P7020" t="s">
        <v>2268</v>
      </c>
      <c r="Q7020">
        <v>44</v>
      </c>
      <c r="R7020">
        <v>-79.382999999999996</v>
      </c>
    </row>
    <row r="7021" spans="1:18" x14ac:dyDescent="0.2">
      <c r="A7021" t="s">
        <v>270</v>
      </c>
      <c r="B7021" t="s">
        <v>2263</v>
      </c>
      <c r="C7021">
        <v>1</v>
      </c>
      <c r="D7021" s="1">
        <v>44370.828842592593</v>
      </c>
      <c r="E7021" t="s">
        <v>22049</v>
      </c>
      <c r="F7021" t="s">
        <v>273</v>
      </c>
      <c r="G7021" t="s">
        <v>22037</v>
      </c>
      <c r="H7021" t="s">
        <v>275</v>
      </c>
      <c r="I7021" t="s">
        <v>29</v>
      </c>
      <c r="J7021">
        <v>1</v>
      </c>
      <c r="K7021">
        <f>1-866-295-9868</f>
        <v>-11028</v>
      </c>
      <c r="L7021" t="s">
        <v>22050</v>
      </c>
      <c r="M7021" t="s">
        <v>22051</v>
      </c>
      <c r="N7021" t="s">
        <v>278</v>
      </c>
      <c r="O7021" t="s">
        <v>28</v>
      </c>
      <c r="P7021" t="s">
        <v>2268</v>
      </c>
      <c r="Q7021">
        <v>44</v>
      </c>
      <c r="R7021">
        <v>-79.382999999999996</v>
      </c>
    </row>
    <row r="7022" spans="1:18" x14ac:dyDescent="0.2">
      <c r="A7022" t="s">
        <v>270</v>
      </c>
      <c r="B7022" t="s">
        <v>2263</v>
      </c>
      <c r="C7022">
        <v>1</v>
      </c>
      <c r="D7022" s="1">
        <v>44369.893043981479</v>
      </c>
      <c r="E7022" t="s">
        <v>22052</v>
      </c>
      <c r="F7022" t="s">
        <v>273</v>
      </c>
      <c r="G7022" t="s">
        <v>22037</v>
      </c>
      <c r="H7022" t="s">
        <v>275</v>
      </c>
      <c r="I7022" t="s">
        <v>29</v>
      </c>
      <c r="J7022">
        <v>1</v>
      </c>
      <c r="K7022">
        <f>1-866-320-6502</f>
        <v>-7687</v>
      </c>
      <c r="L7022" t="s">
        <v>22053</v>
      </c>
      <c r="M7022" t="s">
        <v>22054</v>
      </c>
      <c r="N7022" t="s">
        <v>278</v>
      </c>
      <c r="O7022" t="s">
        <v>28</v>
      </c>
      <c r="P7022" t="s">
        <v>2268</v>
      </c>
      <c r="Q7022">
        <v>44</v>
      </c>
      <c r="R7022">
        <v>-79.382999999999996</v>
      </c>
    </row>
    <row r="7023" spans="1:18" x14ac:dyDescent="0.2">
      <c r="A7023" t="s">
        <v>270</v>
      </c>
      <c r="B7023" t="s">
        <v>2263</v>
      </c>
      <c r="C7023">
        <v>1</v>
      </c>
      <c r="D7023" s="1">
        <v>44369.890601851854</v>
      </c>
      <c r="E7023" t="s">
        <v>22055</v>
      </c>
      <c r="F7023" t="s">
        <v>273</v>
      </c>
      <c r="G7023" t="s">
        <v>22037</v>
      </c>
      <c r="H7023" t="s">
        <v>275</v>
      </c>
      <c r="I7023" t="s">
        <v>29</v>
      </c>
      <c r="J7023">
        <v>1</v>
      </c>
      <c r="K7023">
        <f>1-866-320-6502</f>
        <v>-7687</v>
      </c>
      <c r="L7023" t="s">
        <v>22056</v>
      </c>
      <c r="M7023" t="s">
        <v>22057</v>
      </c>
      <c r="N7023" t="s">
        <v>278</v>
      </c>
      <c r="O7023" t="s">
        <v>28</v>
      </c>
      <c r="P7023" t="s">
        <v>2268</v>
      </c>
      <c r="Q7023">
        <v>44</v>
      </c>
      <c r="R7023">
        <v>-79.382999999999996</v>
      </c>
    </row>
    <row r="7024" spans="1:18" x14ac:dyDescent="0.2">
      <c r="A7024" t="s">
        <v>270</v>
      </c>
      <c r="B7024" t="s">
        <v>2263</v>
      </c>
      <c r="C7024">
        <v>1</v>
      </c>
      <c r="D7024" s="1">
        <v>44368.889780092592</v>
      </c>
      <c r="E7024" t="s">
        <v>22058</v>
      </c>
      <c r="F7024" t="s">
        <v>273</v>
      </c>
      <c r="G7024" t="s">
        <v>22037</v>
      </c>
      <c r="H7024" t="s">
        <v>275</v>
      </c>
      <c r="I7024" t="s">
        <v>29</v>
      </c>
      <c r="J7024">
        <v>1</v>
      </c>
      <c r="K7024">
        <f>1-866-329-2260</f>
        <v>-3454</v>
      </c>
      <c r="L7024" t="s">
        <v>22059</v>
      </c>
      <c r="M7024" t="s">
        <v>22060</v>
      </c>
      <c r="N7024" t="s">
        <v>278</v>
      </c>
      <c r="O7024" t="s">
        <v>28</v>
      </c>
      <c r="P7024" t="s">
        <v>2268</v>
      </c>
      <c r="Q7024">
        <v>44</v>
      </c>
      <c r="R7024">
        <v>-79.382999999999996</v>
      </c>
    </row>
    <row r="7025" spans="1:18" x14ac:dyDescent="0.2">
      <c r="A7025" t="s">
        <v>270</v>
      </c>
      <c r="B7025" t="s">
        <v>2263</v>
      </c>
      <c r="C7025">
        <v>1</v>
      </c>
      <c r="D7025" s="1">
        <v>44368.877002314817</v>
      </c>
      <c r="E7025" t="s">
        <v>22061</v>
      </c>
      <c r="F7025" t="s">
        <v>273</v>
      </c>
      <c r="G7025" t="s">
        <v>22037</v>
      </c>
      <c r="H7025" t="s">
        <v>275</v>
      </c>
      <c r="I7025" t="s">
        <v>29</v>
      </c>
      <c r="J7025">
        <v>1</v>
      </c>
      <c r="K7025">
        <f>1-866-328-4432</f>
        <v>-5625</v>
      </c>
      <c r="L7025" t="s">
        <v>22062</v>
      </c>
      <c r="M7025" t="s">
        <v>22063</v>
      </c>
      <c r="N7025" t="s">
        <v>278</v>
      </c>
      <c r="O7025" t="s">
        <v>28</v>
      </c>
      <c r="P7025" t="s">
        <v>2268</v>
      </c>
      <c r="Q7025">
        <v>44</v>
      </c>
      <c r="R7025">
        <v>-79.382999999999996</v>
      </c>
    </row>
    <row r="7026" spans="1:18" x14ac:dyDescent="0.2">
      <c r="A7026" t="s">
        <v>270</v>
      </c>
      <c r="B7026" t="s">
        <v>2263</v>
      </c>
      <c r="C7026">
        <v>1</v>
      </c>
      <c r="D7026" s="1">
        <v>44368.873749999999</v>
      </c>
      <c r="E7026" t="s">
        <v>22064</v>
      </c>
      <c r="F7026" t="s">
        <v>273</v>
      </c>
      <c r="G7026" t="s">
        <v>22037</v>
      </c>
      <c r="H7026" t="s">
        <v>275</v>
      </c>
      <c r="I7026" t="s">
        <v>29</v>
      </c>
      <c r="J7026">
        <v>1</v>
      </c>
      <c r="K7026">
        <f>1-866-328-4432</f>
        <v>-5625</v>
      </c>
      <c r="L7026" t="s">
        <v>22065</v>
      </c>
      <c r="M7026" t="s">
        <v>22066</v>
      </c>
      <c r="N7026" t="s">
        <v>278</v>
      </c>
      <c r="O7026" t="s">
        <v>28</v>
      </c>
      <c r="P7026" t="s">
        <v>2268</v>
      </c>
      <c r="Q7026">
        <v>44</v>
      </c>
      <c r="R7026">
        <v>-79.382999999999996</v>
      </c>
    </row>
    <row r="7027" spans="1:18" x14ac:dyDescent="0.2">
      <c r="A7027" t="s">
        <v>270</v>
      </c>
      <c r="B7027" t="s">
        <v>2263</v>
      </c>
      <c r="C7027">
        <v>1</v>
      </c>
      <c r="D7027" s="1">
        <v>44368.868020833332</v>
      </c>
      <c r="E7027" t="s">
        <v>22067</v>
      </c>
      <c r="F7027" t="s">
        <v>273</v>
      </c>
      <c r="G7027" t="s">
        <v>22037</v>
      </c>
      <c r="H7027" t="s">
        <v>275</v>
      </c>
      <c r="I7027" t="s">
        <v>29</v>
      </c>
      <c r="J7027">
        <v>1</v>
      </c>
      <c r="K7027">
        <f>1-866-328-4432</f>
        <v>-5625</v>
      </c>
      <c r="L7027" t="s">
        <v>22068</v>
      </c>
      <c r="M7027" t="s">
        <v>22069</v>
      </c>
      <c r="N7027" t="s">
        <v>278</v>
      </c>
      <c r="O7027" t="s">
        <v>28</v>
      </c>
      <c r="P7027" t="s">
        <v>2268</v>
      </c>
      <c r="Q7027">
        <v>44</v>
      </c>
      <c r="R7027">
        <v>-79.382999999999996</v>
      </c>
    </row>
    <row r="7028" spans="1:18" x14ac:dyDescent="0.2">
      <c r="A7028" t="s">
        <v>270</v>
      </c>
      <c r="B7028" t="s">
        <v>2263</v>
      </c>
      <c r="C7028">
        <v>1</v>
      </c>
      <c r="D7028" s="1">
        <v>44368.837905092594</v>
      </c>
      <c r="E7028" t="s">
        <v>22070</v>
      </c>
      <c r="F7028" t="s">
        <v>273</v>
      </c>
      <c r="G7028" t="s">
        <v>22037</v>
      </c>
      <c r="H7028" t="s">
        <v>275</v>
      </c>
      <c r="I7028" t="s">
        <v>29</v>
      </c>
      <c r="J7028">
        <v>1</v>
      </c>
      <c r="K7028">
        <f>1-866-323-8007</f>
        <v>-9195</v>
      </c>
      <c r="L7028" t="s">
        <v>22071</v>
      </c>
      <c r="M7028" t="s">
        <v>22072</v>
      </c>
      <c r="N7028" t="s">
        <v>278</v>
      </c>
      <c r="O7028" t="s">
        <v>28</v>
      </c>
      <c r="P7028" t="s">
        <v>2268</v>
      </c>
      <c r="Q7028">
        <v>44</v>
      </c>
      <c r="R7028">
        <v>-79.382999999999996</v>
      </c>
    </row>
    <row r="7029" spans="1:18" x14ac:dyDescent="0.2">
      <c r="A7029" t="s">
        <v>270</v>
      </c>
      <c r="B7029" t="s">
        <v>2263</v>
      </c>
      <c r="C7029">
        <v>1</v>
      </c>
      <c r="D7029" s="1">
        <v>44364.785983796297</v>
      </c>
      <c r="E7029" t="s">
        <v>22073</v>
      </c>
      <c r="F7029" t="s">
        <v>273</v>
      </c>
      <c r="G7029" t="s">
        <v>22037</v>
      </c>
      <c r="H7029" t="s">
        <v>275</v>
      </c>
      <c r="I7029" t="s">
        <v>29</v>
      </c>
      <c r="J7029">
        <v>1</v>
      </c>
      <c r="K7029">
        <f>1-866-370-4905</f>
        <v>-6140</v>
      </c>
      <c r="L7029" t="s">
        <v>22074</v>
      </c>
      <c r="M7029" t="s">
        <v>22075</v>
      </c>
      <c r="N7029" t="s">
        <v>278</v>
      </c>
      <c r="O7029" t="s">
        <v>28</v>
      </c>
      <c r="P7029" t="s">
        <v>2268</v>
      </c>
      <c r="Q7029">
        <v>44</v>
      </c>
      <c r="R7029">
        <v>-79.382999999999996</v>
      </c>
    </row>
    <row r="7030" spans="1:18" x14ac:dyDescent="0.2">
      <c r="A7030" t="s">
        <v>270</v>
      </c>
      <c r="B7030" t="s">
        <v>2263</v>
      </c>
      <c r="C7030">
        <v>1</v>
      </c>
      <c r="D7030" s="1">
        <v>44364.780277777776</v>
      </c>
      <c r="E7030" t="s">
        <v>22076</v>
      </c>
      <c r="F7030" t="s">
        <v>273</v>
      </c>
      <c r="G7030" t="s">
        <v>22037</v>
      </c>
      <c r="H7030" t="s">
        <v>275</v>
      </c>
      <c r="I7030" t="s">
        <v>29</v>
      </c>
      <c r="J7030">
        <v>1</v>
      </c>
      <c r="K7030">
        <f>1-866-373-8472</f>
        <v>-9710</v>
      </c>
      <c r="L7030" t="s">
        <v>22077</v>
      </c>
      <c r="M7030" t="s">
        <v>22078</v>
      </c>
      <c r="N7030" t="s">
        <v>278</v>
      </c>
      <c r="O7030" t="s">
        <v>28</v>
      </c>
      <c r="P7030" t="s">
        <v>2268</v>
      </c>
      <c r="Q7030">
        <v>44</v>
      </c>
      <c r="R7030">
        <v>-79.382999999999996</v>
      </c>
    </row>
    <row r="7031" spans="1:18" x14ac:dyDescent="0.2">
      <c r="A7031" t="s">
        <v>270</v>
      </c>
      <c r="B7031" t="s">
        <v>2263</v>
      </c>
      <c r="C7031">
        <v>1</v>
      </c>
      <c r="D7031" s="1">
        <v>44357.945185185185</v>
      </c>
      <c r="E7031" t="s">
        <v>22079</v>
      </c>
      <c r="F7031" t="s">
        <v>273</v>
      </c>
      <c r="G7031" t="s">
        <v>22037</v>
      </c>
      <c r="H7031" t="s">
        <v>275</v>
      </c>
      <c r="I7031" t="s">
        <v>29</v>
      </c>
      <c r="J7031">
        <v>1</v>
      </c>
      <c r="K7031">
        <f>1-888-417-4082</f>
        <v>-5386</v>
      </c>
      <c r="L7031" t="s">
        <v>22080</v>
      </c>
      <c r="M7031" t="s">
        <v>22081</v>
      </c>
      <c r="N7031" t="s">
        <v>278</v>
      </c>
      <c r="O7031" t="s">
        <v>28</v>
      </c>
      <c r="P7031" t="s">
        <v>2268</v>
      </c>
      <c r="Q7031">
        <v>44</v>
      </c>
      <c r="R7031">
        <v>-79.382999999999996</v>
      </c>
    </row>
    <row r="7032" spans="1:18" x14ac:dyDescent="0.2">
      <c r="A7032" t="s">
        <v>270</v>
      </c>
      <c r="B7032" t="s">
        <v>2263</v>
      </c>
      <c r="C7032">
        <v>1</v>
      </c>
      <c r="D7032" s="1">
        <v>44357.933368055557</v>
      </c>
      <c r="E7032" t="s">
        <v>22082</v>
      </c>
      <c r="F7032" t="s">
        <v>273</v>
      </c>
      <c r="G7032" t="s">
        <v>22037</v>
      </c>
      <c r="H7032" t="s">
        <v>275</v>
      </c>
      <c r="I7032" t="s">
        <v>29</v>
      </c>
      <c r="J7032">
        <v>1</v>
      </c>
      <c r="K7032">
        <f>1-888-392-306</f>
        <v>-1585</v>
      </c>
      <c r="L7032" t="s">
        <v>22083</v>
      </c>
      <c r="M7032" t="s">
        <v>22084</v>
      </c>
      <c r="N7032" t="s">
        <v>278</v>
      </c>
      <c r="O7032" t="s">
        <v>28</v>
      </c>
      <c r="P7032" t="s">
        <v>2268</v>
      </c>
      <c r="Q7032">
        <v>44</v>
      </c>
      <c r="R7032">
        <v>-79.382999999999996</v>
      </c>
    </row>
    <row r="7033" spans="1:18" x14ac:dyDescent="0.2">
      <c r="A7033" t="s">
        <v>270</v>
      </c>
      <c r="B7033" t="s">
        <v>2263</v>
      </c>
      <c r="C7033">
        <v>1</v>
      </c>
      <c r="D7033" s="1">
        <v>44357.910590277781</v>
      </c>
      <c r="E7033" t="s">
        <v>22085</v>
      </c>
      <c r="F7033" t="s">
        <v>273</v>
      </c>
      <c r="G7033" t="s">
        <v>22037</v>
      </c>
      <c r="H7033" t="s">
        <v>275</v>
      </c>
      <c r="I7033" t="s">
        <v>29</v>
      </c>
      <c r="J7033">
        <v>1</v>
      </c>
      <c r="K7033">
        <f>1-888-392-306</f>
        <v>-1585</v>
      </c>
      <c r="L7033" t="s">
        <v>22086</v>
      </c>
      <c r="M7033" t="s">
        <v>22087</v>
      </c>
      <c r="N7033" t="s">
        <v>278</v>
      </c>
      <c r="O7033" t="s">
        <v>28</v>
      </c>
      <c r="P7033" t="s">
        <v>2268</v>
      </c>
      <c r="Q7033">
        <v>44</v>
      </c>
      <c r="R7033">
        <v>-79.382999999999996</v>
      </c>
    </row>
    <row r="7034" spans="1:18" x14ac:dyDescent="0.2">
      <c r="A7034" t="s">
        <v>270</v>
      </c>
      <c r="B7034" t="s">
        <v>2263</v>
      </c>
      <c r="C7034">
        <v>1</v>
      </c>
      <c r="D7034" s="1">
        <v>44357.885335648149</v>
      </c>
      <c r="E7034" t="s">
        <v>22088</v>
      </c>
      <c r="F7034" t="s">
        <v>273</v>
      </c>
      <c r="G7034" t="s">
        <v>22037</v>
      </c>
      <c r="H7034" t="s">
        <v>275</v>
      </c>
      <c r="I7034" t="s">
        <v>29</v>
      </c>
      <c r="J7034">
        <v>1</v>
      </c>
      <c r="K7034">
        <f>1-888-382-2490</f>
        <v>-3759</v>
      </c>
      <c r="L7034" t="s">
        <v>22089</v>
      </c>
      <c r="M7034" t="s">
        <v>22090</v>
      </c>
      <c r="N7034" t="s">
        <v>278</v>
      </c>
      <c r="O7034" t="s">
        <v>28</v>
      </c>
      <c r="P7034" t="s">
        <v>2268</v>
      </c>
      <c r="Q7034">
        <v>44</v>
      </c>
      <c r="R7034">
        <v>-79.382999999999996</v>
      </c>
    </row>
    <row r="7035" spans="1:18" x14ac:dyDescent="0.2">
      <c r="A7035" t="s">
        <v>270</v>
      </c>
      <c r="B7035" t="s">
        <v>2263</v>
      </c>
      <c r="C7035">
        <v>1</v>
      </c>
      <c r="D7035" s="1">
        <v>44357.882187499999</v>
      </c>
      <c r="E7035" t="s">
        <v>22091</v>
      </c>
      <c r="F7035" t="s">
        <v>273</v>
      </c>
      <c r="G7035" t="s">
        <v>22037</v>
      </c>
      <c r="H7035" t="s">
        <v>275</v>
      </c>
      <c r="I7035" t="s">
        <v>29</v>
      </c>
      <c r="J7035">
        <v>1</v>
      </c>
      <c r="K7035">
        <f>1-888-382-2490</f>
        <v>-3759</v>
      </c>
      <c r="L7035" t="s">
        <v>22092</v>
      </c>
      <c r="M7035" t="s">
        <v>22093</v>
      </c>
      <c r="N7035" t="s">
        <v>278</v>
      </c>
      <c r="O7035" t="s">
        <v>28</v>
      </c>
      <c r="P7035" t="s">
        <v>2268</v>
      </c>
      <c r="Q7035">
        <v>44</v>
      </c>
      <c r="R7035">
        <v>-79.382999999999996</v>
      </c>
    </row>
    <row r="7036" spans="1:18" x14ac:dyDescent="0.2">
      <c r="A7036" t="s">
        <v>270</v>
      </c>
      <c r="B7036" t="s">
        <v>2263</v>
      </c>
      <c r="C7036">
        <v>1</v>
      </c>
      <c r="D7036" s="1">
        <v>44357.870335648149</v>
      </c>
      <c r="E7036" t="s">
        <v>22094</v>
      </c>
      <c r="F7036" t="s">
        <v>273</v>
      </c>
      <c r="G7036" t="s">
        <v>22037</v>
      </c>
      <c r="H7036" t="s">
        <v>275</v>
      </c>
      <c r="I7036" t="s">
        <v>29</v>
      </c>
      <c r="J7036">
        <v>1</v>
      </c>
      <c r="K7036">
        <f>1-888-381-3613</f>
        <v>-4881</v>
      </c>
      <c r="L7036" t="s">
        <v>22095</v>
      </c>
      <c r="M7036" t="s">
        <v>22096</v>
      </c>
      <c r="N7036" t="s">
        <v>278</v>
      </c>
      <c r="O7036" t="s">
        <v>28</v>
      </c>
      <c r="P7036" t="s">
        <v>2268</v>
      </c>
      <c r="Q7036">
        <v>44</v>
      </c>
      <c r="R7036">
        <v>-79.382999999999996</v>
      </c>
    </row>
    <row r="7037" spans="1:18" x14ac:dyDescent="0.2">
      <c r="A7037" t="s">
        <v>270</v>
      </c>
      <c r="B7037" t="s">
        <v>2263</v>
      </c>
      <c r="C7037">
        <v>1</v>
      </c>
      <c r="D7037" s="1">
        <v>44357.772476851853</v>
      </c>
      <c r="E7037" t="s">
        <v>22097</v>
      </c>
      <c r="F7037" t="s">
        <v>273</v>
      </c>
      <c r="G7037" t="s">
        <v>22037</v>
      </c>
      <c r="H7037" t="s">
        <v>275</v>
      </c>
      <c r="I7037" t="s">
        <v>29</v>
      </c>
      <c r="J7037">
        <v>1</v>
      </c>
      <c r="K7037">
        <f>1-888-253-7127</f>
        <v>-8267</v>
      </c>
      <c r="L7037" t="s">
        <v>22098</v>
      </c>
      <c r="M7037" t="s">
        <v>22099</v>
      </c>
      <c r="N7037" t="s">
        <v>278</v>
      </c>
      <c r="O7037" t="s">
        <v>28</v>
      </c>
      <c r="P7037" t="s">
        <v>2268</v>
      </c>
      <c r="Q7037">
        <v>44</v>
      </c>
      <c r="R7037">
        <v>-79.382999999999996</v>
      </c>
    </row>
    <row r="7038" spans="1:18" x14ac:dyDescent="0.2">
      <c r="A7038" t="s">
        <v>270</v>
      </c>
      <c r="B7038" t="s">
        <v>2263</v>
      </c>
      <c r="C7038">
        <v>1</v>
      </c>
      <c r="D7038" s="1">
        <v>44350.835474537038</v>
      </c>
      <c r="E7038" t="s">
        <v>22100</v>
      </c>
      <c r="F7038" t="s">
        <v>273</v>
      </c>
      <c r="G7038" t="s">
        <v>22037</v>
      </c>
      <c r="H7038" t="s">
        <v>275</v>
      </c>
      <c r="I7038" t="s">
        <v>29</v>
      </c>
      <c r="J7038">
        <v>1</v>
      </c>
      <c r="K7038">
        <f>1-888-654-4471</f>
        <v>-6012</v>
      </c>
      <c r="L7038" t="s">
        <v>22101</v>
      </c>
      <c r="M7038" t="s">
        <v>22102</v>
      </c>
      <c r="N7038" t="s">
        <v>278</v>
      </c>
      <c r="O7038" t="s">
        <v>28</v>
      </c>
      <c r="P7038" t="s">
        <v>2268</v>
      </c>
      <c r="Q7038">
        <v>44</v>
      </c>
      <c r="R7038">
        <v>-79.382999999999996</v>
      </c>
    </row>
    <row r="7039" spans="1:18" x14ac:dyDescent="0.2">
      <c r="A7039" t="s">
        <v>270</v>
      </c>
      <c r="B7039" t="s">
        <v>2263</v>
      </c>
      <c r="C7039">
        <v>1</v>
      </c>
      <c r="D7039" s="1">
        <v>44349.873414351852</v>
      </c>
      <c r="E7039" t="s">
        <v>22103</v>
      </c>
      <c r="F7039" t="s">
        <v>273</v>
      </c>
      <c r="G7039" t="s">
        <v>22037</v>
      </c>
      <c r="H7039" t="s">
        <v>275</v>
      </c>
      <c r="I7039" t="s">
        <v>29</v>
      </c>
      <c r="J7039">
        <v>1</v>
      </c>
      <c r="K7039">
        <f>1-888-690-913</f>
        <v>-2490</v>
      </c>
      <c r="L7039" t="s">
        <v>22104</v>
      </c>
      <c r="M7039" t="s">
        <v>22105</v>
      </c>
      <c r="N7039" t="s">
        <v>278</v>
      </c>
      <c r="O7039" t="s">
        <v>28</v>
      </c>
      <c r="P7039" t="s">
        <v>2268</v>
      </c>
      <c r="Q7039">
        <v>44</v>
      </c>
      <c r="R7039">
        <v>-79.382999999999996</v>
      </c>
    </row>
    <row r="7040" spans="1:18" x14ac:dyDescent="0.2">
      <c r="A7040" t="s">
        <v>270</v>
      </c>
      <c r="B7040" t="s">
        <v>2263</v>
      </c>
      <c r="C7040">
        <v>1</v>
      </c>
      <c r="D7040" s="1">
        <v>44349.85864583333</v>
      </c>
      <c r="E7040" t="s">
        <v>22106</v>
      </c>
      <c r="F7040" t="s">
        <v>273</v>
      </c>
      <c r="G7040" t="s">
        <v>22037</v>
      </c>
      <c r="H7040" t="s">
        <v>275</v>
      </c>
      <c r="I7040" t="s">
        <v>29</v>
      </c>
      <c r="J7040">
        <v>1</v>
      </c>
      <c r="K7040">
        <f>1-888-690-733</f>
        <v>-2310</v>
      </c>
      <c r="L7040" t="s">
        <v>22107</v>
      </c>
      <c r="M7040" t="s">
        <v>22108</v>
      </c>
      <c r="N7040" t="s">
        <v>278</v>
      </c>
      <c r="O7040" t="s">
        <v>28</v>
      </c>
      <c r="P7040" t="s">
        <v>2268</v>
      </c>
      <c r="Q7040">
        <v>44</v>
      </c>
      <c r="R7040">
        <v>-79.382999999999996</v>
      </c>
    </row>
    <row r="7041" spans="1:18" x14ac:dyDescent="0.2">
      <c r="A7041" t="s">
        <v>270</v>
      </c>
      <c r="B7041" t="s">
        <v>2263</v>
      </c>
      <c r="C7041">
        <v>1</v>
      </c>
      <c r="D7041" s="1">
        <v>44336.820763888885</v>
      </c>
      <c r="E7041" t="s">
        <v>22109</v>
      </c>
      <c r="F7041" t="s">
        <v>273</v>
      </c>
      <c r="G7041" t="s">
        <v>22037</v>
      </c>
      <c r="H7041" t="s">
        <v>275</v>
      </c>
      <c r="I7041" t="s">
        <v>29</v>
      </c>
      <c r="J7041">
        <v>1</v>
      </c>
      <c r="K7041">
        <f>1-888-785-5768</f>
        <v>-7440</v>
      </c>
      <c r="L7041" t="s">
        <v>22110</v>
      </c>
      <c r="M7041" t="s">
        <v>22111</v>
      </c>
      <c r="N7041" t="s">
        <v>278</v>
      </c>
      <c r="O7041" t="s">
        <v>28</v>
      </c>
      <c r="P7041" t="s">
        <v>2268</v>
      </c>
      <c r="Q7041">
        <v>44</v>
      </c>
      <c r="R7041">
        <v>-79.382999999999996</v>
      </c>
    </row>
    <row r="7042" spans="1:18" x14ac:dyDescent="0.2">
      <c r="A7042" t="s">
        <v>270</v>
      </c>
      <c r="B7042" t="s">
        <v>2263</v>
      </c>
      <c r="C7042">
        <v>1</v>
      </c>
      <c r="D7042" s="1">
        <v>44334.840879629628</v>
      </c>
      <c r="E7042" t="s">
        <v>22112</v>
      </c>
      <c r="F7042" t="s">
        <v>273</v>
      </c>
      <c r="G7042" t="s">
        <v>22037</v>
      </c>
      <c r="H7042" t="s">
        <v>275</v>
      </c>
      <c r="I7042" t="s">
        <v>29</v>
      </c>
      <c r="J7042">
        <v>1</v>
      </c>
      <c r="K7042">
        <f>1-888-236-813</f>
        <v>-1936</v>
      </c>
      <c r="L7042" t="s">
        <v>22113</v>
      </c>
      <c r="M7042" t="s">
        <v>22114</v>
      </c>
      <c r="N7042" t="s">
        <v>278</v>
      </c>
      <c r="O7042" t="s">
        <v>28</v>
      </c>
      <c r="P7042" t="s">
        <v>2268</v>
      </c>
      <c r="Q7042">
        <v>44</v>
      </c>
      <c r="R7042">
        <v>-79.382999999999996</v>
      </c>
    </row>
    <row r="7043" spans="1:18" x14ac:dyDescent="0.2">
      <c r="A7043" t="s">
        <v>270</v>
      </c>
      <c r="B7043" t="s">
        <v>2263</v>
      </c>
      <c r="C7043">
        <v>1</v>
      </c>
      <c r="D7043" s="1">
        <v>44334.762511574074</v>
      </c>
      <c r="E7043" t="s">
        <v>22115</v>
      </c>
      <c r="F7043" t="s">
        <v>273</v>
      </c>
      <c r="G7043" t="s">
        <v>22037</v>
      </c>
      <c r="H7043" t="s">
        <v>275</v>
      </c>
      <c r="I7043" t="s">
        <v>29</v>
      </c>
      <c r="J7043">
        <v>1</v>
      </c>
      <c r="K7043">
        <f>1-844-304-1283</f>
        <v>-2430</v>
      </c>
      <c r="L7043" t="s">
        <v>22116</v>
      </c>
      <c r="M7043" t="s">
        <v>22117</v>
      </c>
      <c r="N7043" t="s">
        <v>278</v>
      </c>
      <c r="O7043" t="s">
        <v>28</v>
      </c>
      <c r="P7043" t="s">
        <v>2268</v>
      </c>
      <c r="Q7043">
        <v>44</v>
      </c>
      <c r="R7043">
        <v>-79.382999999999996</v>
      </c>
    </row>
    <row r="7044" spans="1:18" x14ac:dyDescent="0.2">
      <c r="A7044" t="s">
        <v>270</v>
      </c>
      <c r="B7044" t="s">
        <v>2263</v>
      </c>
      <c r="C7044">
        <v>1</v>
      </c>
      <c r="D7044" s="1">
        <v>44333.768043981479</v>
      </c>
      <c r="E7044" t="s">
        <v>22118</v>
      </c>
      <c r="F7044" t="s">
        <v>273</v>
      </c>
      <c r="G7044" t="s">
        <v>22037</v>
      </c>
      <c r="H7044" t="s">
        <v>275</v>
      </c>
      <c r="I7044" t="s">
        <v>29</v>
      </c>
      <c r="J7044">
        <v>1</v>
      </c>
      <c r="K7044">
        <f>1-844-357-6320</f>
        <v>-7520</v>
      </c>
      <c r="L7044" t="s">
        <v>22119</v>
      </c>
      <c r="M7044" t="s">
        <v>22120</v>
      </c>
      <c r="N7044" t="s">
        <v>278</v>
      </c>
      <c r="O7044" t="s">
        <v>28</v>
      </c>
      <c r="P7044" t="s">
        <v>2268</v>
      </c>
      <c r="Q7044">
        <v>44</v>
      </c>
      <c r="R7044">
        <v>-79.382999999999996</v>
      </c>
    </row>
    <row r="7045" spans="1:18" x14ac:dyDescent="0.2">
      <c r="A7045" t="s">
        <v>270</v>
      </c>
      <c r="B7045" t="s">
        <v>2263</v>
      </c>
      <c r="C7045">
        <v>1</v>
      </c>
      <c r="D7045" s="1">
        <v>44308.363900462966</v>
      </c>
      <c r="E7045" t="s">
        <v>22121</v>
      </c>
      <c r="F7045" t="s">
        <v>273</v>
      </c>
      <c r="G7045" t="s">
        <v>22037</v>
      </c>
      <c r="H7045" t="s">
        <v>275</v>
      </c>
      <c r="I7045" t="s">
        <v>29</v>
      </c>
      <c r="J7045">
        <v>1</v>
      </c>
      <c r="K7045">
        <f>1-844-853-2497</f>
        <v>-4193</v>
      </c>
      <c r="L7045" t="s">
        <v>22122</v>
      </c>
      <c r="M7045" t="s">
        <v>22123</v>
      </c>
      <c r="N7045" t="s">
        <v>278</v>
      </c>
      <c r="O7045" t="s">
        <v>28</v>
      </c>
      <c r="P7045" t="s">
        <v>2268</v>
      </c>
      <c r="Q7045">
        <v>44</v>
      </c>
      <c r="R7045">
        <v>-79.382999999999996</v>
      </c>
    </row>
    <row r="7046" spans="1:18" x14ac:dyDescent="0.2">
      <c r="A7046" t="s">
        <v>270</v>
      </c>
      <c r="B7046" t="s">
        <v>2263</v>
      </c>
      <c r="C7046">
        <v>1</v>
      </c>
      <c r="D7046" s="1">
        <v>44309.770324074074</v>
      </c>
      <c r="E7046" t="s">
        <v>22124</v>
      </c>
      <c r="F7046" t="s">
        <v>273</v>
      </c>
      <c r="G7046" t="s">
        <v>22037</v>
      </c>
      <c r="H7046" t="s">
        <v>275</v>
      </c>
      <c r="I7046" t="s">
        <v>29</v>
      </c>
      <c r="J7046">
        <v>1</v>
      </c>
      <c r="K7046">
        <f>1-844-853-2717</f>
        <v>-4413</v>
      </c>
      <c r="L7046" t="s">
        <v>22125</v>
      </c>
      <c r="M7046" t="s">
        <v>22126</v>
      </c>
      <c r="N7046" t="s">
        <v>278</v>
      </c>
      <c r="O7046" t="s">
        <v>28</v>
      </c>
      <c r="P7046" t="s">
        <v>2268</v>
      </c>
      <c r="Q7046">
        <v>44</v>
      </c>
      <c r="R7046">
        <v>-79.382999999999996</v>
      </c>
    </row>
    <row r="7047" spans="1:18" x14ac:dyDescent="0.2">
      <c r="A7047" t="s">
        <v>270</v>
      </c>
      <c r="B7047" t="s">
        <v>2263</v>
      </c>
      <c r="C7047">
        <v>1</v>
      </c>
      <c r="D7047" s="1">
        <v>44253.954664351855</v>
      </c>
      <c r="E7047" t="s">
        <v>22127</v>
      </c>
      <c r="F7047" t="s">
        <v>273</v>
      </c>
      <c r="G7047" t="s">
        <v>22037</v>
      </c>
      <c r="H7047" t="s">
        <v>275</v>
      </c>
      <c r="I7047" t="s">
        <v>29</v>
      </c>
      <c r="J7047">
        <v>1</v>
      </c>
      <c r="K7047">
        <f>1-888-650-7358</f>
        <v>-8895</v>
      </c>
      <c r="L7047" t="s">
        <v>22128</v>
      </c>
      <c r="M7047" t="s">
        <v>22129</v>
      </c>
      <c r="N7047" t="s">
        <v>278</v>
      </c>
      <c r="O7047" t="s">
        <v>28</v>
      </c>
      <c r="P7047" t="s">
        <v>2268</v>
      </c>
      <c r="Q7047">
        <v>44</v>
      </c>
      <c r="R7047">
        <v>-79.382999999999996</v>
      </c>
    </row>
    <row r="7048" spans="1:18" x14ac:dyDescent="0.2">
      <c r="A7048" t="s">
        <v>270</v>
      </c>
      <c r="B7048" t="s">
        <v>2263</v>
      </c>
      <c r="C7048">
        <v>1</v>
      </c>
      <c r="D7048" s="1">
        <v>44251.822974537034</v>
      </c>
      <c r="E7048" t="s">
        <v>22130</v>
      </c>
      <c r="F7048" t="s">
        <v>273</v>
      </c>
      <c r="G7048" t="s">
        <v>22037</v>
      </c>
      <c r="H7048" t="s">
        <v>275</v>
      </c>
      <c r="I7048" t="s">
        <v>29</v>
      </c>
      <c r="J7048">
        <v>1</v>
      </c>
      <c r="K7048">
        <f>1-888-585-4074</f>
        <v>-5546</v>
      </c>
      <c r="L7048" t="s">
        <v>22131</v>
      </c>
      <c r="M7048" t="s">
        <v>22132</v>
      </c>
      <c r="N7048" t="s">
        <v>278</v>
      </c>
      <c r="O7048" t="s">
        <v>28</v>
      </c>
      <c r="P7048" t="s">
        <v>2268</v>
      </c>
      <c r="Q7048">
        <v>44</v>
      </c>
      <c r="R7048">
        <v>-79.382999999999996</v>
      </c>
    </row>
    <row r="7049" spans="1:18" x14ac:dyDescent="0.2">
      <c r="A7049" t="s">
        <v>270</v>
      </c>
      <c r="B7049" t="s">
        <v>2263</v>
      </c>
      <c r="C7049">
        <v>1</v>
      </c>
      <c r="D7049" s="1">
        <v>44249.81145833333</v>
      </c>
      <c r="E7049" t="s">
        <v>22133</v>
      </c>
      <c r="F7049" t="s">
        <v>273</v>
      </c>
      <c r="G7049" t="s">
        <v>22037</v>
      </c>
      <c r="H7049" t="s">
        <v>275</v>
      </c>
      <c r="I7049" t="s">
        <v>29</v>
      </c>
      <c r="J7049">
        <v>1</v>
      </c>
      <c r="K7049">
        <f>1-888-417-4077</f>
        <v>-5381</v>
      </c>
      <c r="L7049" t="s">
        <v>22134</v>
      </c>
      <c r="M7049" t="s">
        <v>22135</v>
      </c>
      <c r="N7049" t="s">
        <v>278</v>
      </c>
      <c r="O7049" t="s">
        <v>28</v>
      </c>
      <c r="P7049" t="s">
        <v>2268</v>
      </c>
      <c r="Q7049">
        <v>44</v>
      </c>
      <c r="R7049">
        <v>-79.382999999999996</v>
      </c>
    </row>
    <row r="7050" spans="1:18" x14ac:dyDescent="0.2">
      <c r="A7050" t="s">
        <v>270</v>
      </c>
      <c r="B7050" t="s">
        <v>2263</v>
      </c>
      <c r="C7050">
        <v>1</v>
      </c>
      <c r="D7050" s="1">
        <v>44249.757581018515</v>
      </c>
      <c r="E7050" t="s">
        <v>22136</v>
      </c>
      <c r="F7050" t="s">
        <v>273</v>
      </c>
      <c r="G7050" t="s">
        <v>22037</v>
      </c>
      <c r="H7050" t="s">
        <v>275</v>
      </c>
      <c r="I7050" t="s">
        <v>29</v>
      </c>
      <c r="J7050">
        <v>1</v>
      </c>
      <c r="K7050">
        <f>1-888-396-8550</f>
        <v>-9833</v>
      </c>
      <c r="L7050" t="s">
        <v>22137</v>
      </c>
      <c r="M7050" t="s">
        <v>22138</v>
      </c>
      <c r="N7050" t="s">
        <v>278</v>
      </c>
      <c r="O7050" t="s">
        <v>28</v>
      </c>
      <c r="P7050" t="s">
        <v>2268</v>
      </c>
      <c r="Q7050">
        <v>44</v>
      </c>
      <c r="R7050">
        <v>-79.382999999999996</v>
      </c>
    </row>
    <row r="7051" spans="1:18" x14ac:dyDescent="0.2">
      <c r="A7051" t="s">
        <v>270</v>
      </c>
      <c r="B7051" t="s">
        <v>2263</v>
      </c>
      <c r="C7051">
        <v>1</v>
      </c>
      <c r="D7051" s="1">
        <v>44208.907152777778</v>
      </c>
      <c r="E7051" t="s">
        <v>22139</v>
      </c>
      <c r="F7051" t="s">
        <v>273</v>
      </c>
      <c r="G7051" t="s">
        <v>22037</v>
      </c>
      <c r="H7051" t="s">
        <v>275</v>
      </c>
      <c r="I7051" t="s">
        <v>29</v>
      </c>
      <c r="J7051">
        <v>1</v>
      </c>
      <c r="K7051">
        <f>1-888-327-6493</f>
        <v>-7707</v>
      </c>
      <c r="L7051" t="s">
        <v>22140</v>
      </c>
      <c r="M7051" t="s">
        <v>22141</v>
      </c>
      <c r="N7051" t="s">
        <v>278</v>
      </c>
      <c r="O7051" t="s">
        <v>28</v>
      </c>
      <c r="P7051" t="s">
        <v>2268</v>
      </c>
      <c r="Q7051">
        <v>44</v>
      </c>
      <c r="R7051">
        <v>-79.382999999999996</v>
      </c>
    </row>
    <row r="7052" spans="1:18" x14ac:dyDescent="0.2">
      <c r="A7052" t="s">
        <v>270</v>
      </c>
      <c r="B7052" t="s">
        <v>2263</v>
      </c>
      <c r="C7052">
        <v>1</v>
      </c>
      <c r="D7052" s="1">
        <v>44179.797743055555</v>
      </c>
      <c r="E7052" t="s">
        <v>22142</v>
      </c>
      <c r="F7052" t="s">
        <v>273</v>
      </c>
      <c r="G7052" t="s">
        <v>22037</v>
      </c>
      <c r="H7052" t="s">
        <v>275</v>
      </c>
      <c r="I7052" t="s">
        <v>29</v>
      </c>
      <c r="J7052">
        <v>1</v>
      </c>
      <c r="K7052">
        <f>1-888-207-319</f>
        <v>-1413</v>
      </c>
      <c r="L7052" t="s">
        <v>22143</v>
      </c>
      <c r="M7052" t="s">
        <v>22144</v>
      </c>
      <c r="N7052" t="s">
        <v>278</v>
      </c>
      <c r="O7052" t="s">
        <v>28</v>
      </c>
      <c r="P7052" t="s">
        <v>2268</v>
      </c>
      <c r="Q7052">
        <v>44</v>
      </c>
      <c r="R7052">
        <v>-79.382999999999996</v>
      </c>
    </row>
    <row r="7053" spans="1:18" x14ac:dyDescent="0.2">
      <c r="A7053" t="s">
        <v>270</v>
      </c>
      <c r="B7053" t="s">
        <v>2263</v>
      </c>
      <c r="C7053">
        <v>1</v>
      </c>
      <c r="D7053" s="1">
        <v>44149.155277777776</v>
      </c>
      <c r="E7053" t="s">
        <v>22145</v>
      </c>
      <c r="F7053" t="s">
        <v>273</v>
      </c>
      <c r="G7053" t="s">
        <v>22037</v>
      </c>
      <c r="H7053" t="s">
        <v>275</v>
      </c>
      <c r="I7053" t="s">
        <v>29</v>
      </c>
      <c r="J7053">
        <v>1</v>
      </c>
      <c r="K7053">
        <f>1-844-279-115</f>
        <v>-1237</v>
      </c>
      <c r="L7053" t="s">
        <v>22146</v>
      </c>
      <c r="M7053" t="s">
        <v>22147</v>
      </c>
      <c r="N7053" t="s">
        <v>278</v>
      </c>
      <c r="O7053" t="s">
        <v>134</v>
      </c>
      <c r="P7053" t="s">
        <v>2268</v>
      </c>
      <c r="Q7053">
        <v>44</v>
      </c>
      <c r="R7053">
        <v>-79.382999999999996</v>
      </c>
    </row>
    <row r="7054" spans="1:18" x14ac:dyDescent="0.2">
      <c r="A7054" t="s">
        <v>270</v>
      </c>
      <c r="B7054" t="s">
        <v>2263</v>
      </c>
      <c r="C7054">
        <v>1</v>
      </c>
      <c r="D7054" s="1">
        <v>44149.134247685186</v>
      </c>
      <c r="E7054" t="s">
        <v>22148</v>
      </c>
      <c r="F7054" t="s">
        <v>273</v>
      </c>
      <c r="G7054" t="s">
        <v>22037</v>
      </c>
      <c r="H7054" t="s">
        <v>275</v>
      </c>
      <c r="I7054" t="s">
        <v>29</v>
      </c>
      <c r="J7054">
        <v>1</v>
      </c>
      <c r="K7054">
        <f>1-844-294-4812</f>
        <v>-5949</v>
      </c>
      <c r="L7054" t="s">
        <v>22149</v>
      </c>
      <c r="M7054" t="s">
        <v>22150</v>
      </c>
      <c r="N7054" t="s">
        <v>278</v>
      </c>
      <c r="O7054" t="s">
        <v>134</v>
      </c>
      <c r="P7054" t="s">
        <v>2268</v>
      </c>
      <c r="Q7054">
        <v>44</v>
      </c>
      <c r="R7054">
        <v>-79.382999999999996</v>
      </c>
    </row>
    <row r="7055" spans="1:18" x14ac:dyDescent="0.2">
      <c r="A7055" t="s">
        <v>270</v>
      </c>
      <c r="B7055" t="s">
        <v>2263</v>
      </c>
      <c r="C7055">
        <v>1</v>
      </c>
      <c r="D7055" s="1">
        <v>44149.123645833337</v>
      </c>
      <c r="E7055" t="s">
        <v>22151</v>
      </c>
      <c r="F7055" t="s">
        <v>273</v>
      </c>
      <c r="G7055" t="s">
        <v>22037</v>
      </c>
      <c r="H7055" t="s">
        <v>275</v>
      </c>
      <c r="I7055" t="s">
        <v>29</v>
      </c>
      <c r="J7055">
        <v>1</v>
      </c>
      <c r="K7055">
        <f>1-844-291-4316</f>
        <v>-5450</v>
      </c>
      <c r="L7055" t="s">
        <v>22152</v>
      </c>
      <c r="M7055" t="s">
        <v>22153</v>
      </c>
      <c r="N7055" t="s">
        <v>278</v>
      </c>
      <c r="O7055" t="s">
        <v>134</v>
      </c>
      <c r="P7055" t="s">
        <v>2268</v>
      </c>
      <c r="Q7055">
        <v>44</v>
      </c>
      <c r="R7055">
        <v>-79.382999999999996</v>
      </c>
    </row>
    <row r="7056" spans="1:18" x14ac:dyDescent="0.2">
      <c r="A7056" t="s">
        <v>270</v>
      </c>
      <c r="B7056" t="s">
        <v>2263</v>
      </c>
      <c r="C7056">
        <v>1</v>
      </c>
      <c r="D7056" s="1">
        <v>44149.122025462966</v>
      </c>
      <c r="E7056" t="s">
        <v>22154</v>
      </c>
      <c r="F7056" t="s">
        <v>273</v>
      </c>
      <c r="G7056" t="s">
        <v>22037</v>
      </c>
      <c r="H7056" t="s">
        <v>275</v>
      </c>
      <c r="I7056" t="s">
        <v>29</v>
      </c>
      <c r="J7056">
        <v>1</v>
      </c>
      <c r="K7056">
        <f>1-844-295-7564</f>
        <v>-8702</v>
      </c>
      <c r="L7056" t="s">
        <v>22155</v>
      </c>
      <c r="M7056" t="s">
        <v>22156</v>
      </c>
      <c r="N7056" t="s">
        <v>278</v>
      </c>
      <c r="O7056" t="s">
        <v>134</v>
      </c>
      <c r="P7056" t="s">
        <v>2268</v>
      </c>
      <c r="Q7056">
        <v>44</v>
      </c>
      <c r="R7056">
        <v>-79.382999999999996</v>
      </c>
    </row>
    <row r="7057" spans="1:18" x14ac:dyDescent="0.2">
      <c r="A7057" t="s">
        <v>270</v>
      </c>
      <c r="B7057" t="s">
        <v>2263</v>
      </c>
      <c r="C7057">
        <v>1</v>
      </c>
      <c r="D7057" s="1">
        <v>44140.798425925925</v>
      </c>
      <c r="E7057" t="s">
        <v>22157</v>
      </c>
      <c r="F7057" t="s">
        <v>273</v>
      </c>
      <c r="G7057" t="s">
        <v>22037</v>
      </c>
      <c r="H7057" t="s">
        <v>275</v>
      </c>
      <c r="I7057" t="s">
        <v>29</v>
      </c>
      <c r="J7057">
        <v>1</v>
      </c>
      <c r="K7057">
        <f>1-888-392-7351</f>
        <v>-8630</v>
      </c>
      <c r="L7057" t="s">
        <v>22158</v>
      </c>
      <c r="M7057" t="s">
        <v>22159</v>
      </c>
      <c r="N7057" t="s">
        <v>278</v>
      </c>
      <c r="O7057" t="s">
        <v>28</v>
      </c>
      <c r="P7057" t="s">
        <v>2268</v>
      </c>
      <c r="Q7057">
        <v>44</v>
      </c>
      <c r="R7057">
        <v>-79.382999999999996</v>
      </c>
    </row>
    <row r="7058" spans="1:18" x14ac:dyDescent="0.2">
      <c r="A7058" t="s">
        <v>270</v>
      </c>
      <c r="B7058" t="s">
        <v>2263</v>
      </c>
      <c r="C7058">
        <v>1</v>
      </c>
      <c r="D7058" s="1">
        <v>44140.793298611112</v>
      </c>
      <c r="E7058" t="s">
        <v>22160</v>
      </c>
      <c r="F7058" t="s">
        <v>273</v>
      </c>
      <c r="G7058" t="s">
        <v>22037</v>
      </c>
      <c r="H7058" t="s">
        <v>275</v>
      </c>
      <c r="I7058" t="s">
        <v>29</v>
      </c>
      <c r="J7058">
        <v>1</v>
      </c>
      <c r="K7058">
        <f>1-888-392-7351</f>
        <v>-8630</v>
      </c>
      <c r="L7058" t="s">
        <v>22161</v>
      </c>
      <c r="M7058" t="s">
        <v>22162</v>
      </c>
      <c r="N7058" t="s">
        <v>278</v>
      </c>
      <c r="O7058" t="s">
        <v>28</v>
      </c>
      <c r="P7058" t="s">
        <v>2268</v>
      </c>
      <c r="Q7058">
        <v>44</v>
      </c>
      <c r="R7058">
        <v>-79.382999999999996</v>
      </c>
    </row>
    <row r="7059" spans="1:18" x14ac:dyDescent="0.2">
      <c r="A7059" t="s">
        <v>270</v>
      </c>
      <c r="B7059" t="s">
        <v>2263</v>
      </c>
      <c r="C7059">
        <v>1</v>
      </c>
      <c r="D7059" s="1">
        <v>44140.785787037035</v>
      </c>
      <c r="E7059" t="s">
        <v>22163</v>
      </c>
      <c r="F7059" t="s">
        <v>273</v>
      </c>
      <c r="G7059" t="s">
        <v>22037</v>
      </c>
      <c r="H7059" t="s">
        <v>275</v>
      </c>
      <c r="I7059" t="s">
        <v>29</v>
      </c>
      <c r="J7059">
        <v>1</v>
      </c>
      <c r="K7059">
        <f>1-888-392-6065</f>
        <v>-7344</v>
      </c>
      <c r="L7059" t="s">
        <v>22164</v>
      </c>
      <c r="M7059" t="s">
        <v>22165</v>
      </c>
      <c r="N7059" t="s">
        <v>278</v>
      </c>
      <c r="O7059" t="s">
        <v>28</v>
      </c>
      <c r="P7059" t="s">
        <v>2268</v>
      </c>
      <c r="Q7059">
        <v>44</v>
      </c>
      <c r="R7059">
        <v>-79.382999999999996</v>
      </c>
    </row>
    <row r="7060" spans="1:18" x14ac:dyDescent="0.2">
      <c r="A7060" t="s">
        <v>270</v>
      </c>
      <c r="B7060" t="s">
        <v>2263</v>
      </c>
      <c r="C7060">
        <v>1</v>
      </c>
      <c r="D7060" s="1">
        <v>44137.802974537037</v>
      </c>
      <c r="E7060" t="s">
        <v>22166</v>
      </c>
      <c r="F7060" t="s">
        <v>273</v>
      </c>
      <c r="G7060" t="s">
        <v>22037</v>
      </c>
      <c r="H7060" t="s">
        <v>275</v>
      </c>
      <c r="I7060" t="s">
        <v>29</v>
      </c>
      <c r="J7060">
        <v>1</v>
      </c>
      <c r="K7060">
        <f>1-888-342-282</f>
        <v>-1511</v>
      </c>
      <c r="L7060" t="s">
        <v>22167</v>
      </c>
      <c r="M7060" t="s">
        <v>22168</v>
      </c>
      <c r="N7060" t="s">
        <v>278</v>
      </c>
      <c r="O7060" t="s">
        <v>28</v>
      </c>
      <c r="P7060" t="s">
        <v>2268</v>
      </c>
      <c r="Q7060">
        <v>44</v>
      </c>
      <c r="R7060">
        <v>-79.382999999999996</v>
      </c>
    </row>
    <row r="7061" spans="1:18" x14ac:dyDescent="0.2">
      <c r="A7061" t="s">
        <v>663</v>
      </c>
      <c r="B7061" t="s">
        <v>2493</v>
      </c>
      <c r="C7061">
        <v>1</v>
      </c>
      <c r="D7061" s="1">
        <v>44137.956990740742</v>
      </c>
      <c r="E7061" t="s">
        <v>22169</v>
      </c>
      <c r="F7061" t="s">
        <v>666</v>
      </c>
      <c r="G7061" t="s">
        <v>22169</v>
      </c>
      <c r="H7061" t="s">
        <v>667</v>
      </c>
      <c r="I7061" t="s">
        <v>29</v>
      </c>
      <c r="J7061">
        <v>1</v>
      </c>
      <c r="K7061">
        <f>1-888-395-1374</f>
        <v>-2656</v>
      </c>
      <c r="L7061" t="s">
        <v>22170</v>
      </c>
      <c r="M7061" t="s">
        <v>22171</v>
      </c>
      <c r="N7061">
        <v>245</v>
      </c>
      <c r="O7061" t="s">
        <v>134</v>
      </c>
      <c r="P7061" t="s">
        <v>29</v>
      </c>
      <c r="Q7061">
        <v>41</v>
      </c>
      <c r="R7061">
        <v>-74.024699999999996</v>
      </c>
    </row>
    <row r="7062" spans="1:18" x14ac:dyDescent="0.2">
      <c r="A7062" t="s">
        <v>439</v>
      </c>
      <c r="B7062" t="s">
        <v>4321</v>
      </c>
      <c r="C7062">
        <v>1</v>
      </c>
      <c r="D7062" s="1">
        <v>44138.841226851851</v>
      </c>
      <c r="E7062" t="s">
        <v>22172</v>
      </c>
      <c r="F7062" t="s">
        <v>442</v>
      </c>
      <c r="G7062" t="s">
        <v>22173</v>
      </c>
      <c r="H7062" t="s">
        <v>444</v>
      </c>
      <c r="I7062" t="s">
        <v>29</v>
      </c>
      <c r="J7062">
        <v>1</v>
      </c>
      <c r="K7062">
        <f>1-844-303-3565</f>
        <v>-4711</v>
      </c>
      <c r="L7062" t="s">
        <v>22174</v>
      </c>
      <c r="M7062" t="s">
        <v>22175</v>
      </c>
      <c r="N7062" t="s">
        <v>36</v>
      </c>
      <c r="O7062" t="s">
        <v>28</v>
      </c>
      <c r="P7062" t="s">
        <v>29</v>
      </c>
      <c r="Q7062">
        <v>42</v>
      </c>
      <c r="R7062">
        <v>-87.629800000000003</v>
      </c>
    </row>
    <row r="7063" spans="1:18" x14ac:dyDescent="0.2">
      <c r="A7063" t="s">
        <v>439</v>
      </c>
      <c r="B7063" t="s">
        <v>3094</v>
      </c>
      <c r="C7063">
        <v>1</v>
      </c>
      <c r="D7063" s="1">
        <v>44138.845960648148</v>
      </c>
      <c r="E7063" t="s">
        <v>22176</v>
      </c>
      <c r="F7063" t="s">
        <v>442</v>
      </c>
      <c r="G7063" t="s">
        <v>22177</v>
      </c>
      <c r="H7063" t="s">
        <v>444</v>
      </c>
      <c r="I7063" t="s">
        <v>29</v>
      </c>
      <c r="J7063">
        <v>1</v>
      </c>
      <c r="K7063">
        <f>1-844-303-3565</f>
        <v>-4711</v>
      </c>
      <c r="L7063" t="s">
        <v>22178</v>
      </c>
      <c r="M7063" t="s">
        <v>22179</v>
      </c>
      <c r="N7063" t="s">
        <v>36</v>
      </c>
      <c r="O7063" t="s">
        <v>28</v>
      </c>
      <c r="P7063" t="s">
        <v>2268</v>
      </c>
      <c r="Q7063">
        <v>46</v>
      </c>
      <c r="R7063">
        <v>-73.567300000000003</v>
      </c>
    </row>
    <row r="7064" spans="1:18" x14ac:dyDescent="0.2">
      <c r="A7064" t="s">
        <v>663</v>
      </c>
      <c r="B7064" t="s">
        <v>2493</v>
      </c>
      <c r="C7064">
        <v>1</v>
      </c>
      <c r="D7064" s="1">
        <v>44138.872870370367</v>
      </c>
      <c r="E7064" t="s">
        <v>22180</v>
      </c>
      <c r="F7064" t="s">
        <v>666</v>
      </c>
      <c r="G7064" t="s">
        <v>22180</v>
      </c>
      <c r="H7064" t="s">
        <v>667</v>
      </c>
      <c r="I7064" t="s">
        <v>29</v>
      </c>
      <c r="J7064">
        <v>1</v>
      </c>
      <c r="K7064">
        <f>1-888-220-8359</f>
        <v>-9466</v>
      </c>
      <c r="L7064" t="s">
        <v>22181</v>
      </c>
      <c r="M7064" t="s">
        <v>22182</v>
      </c>
      <c r="N7064">
        <v>81</v>
      </c>
      <c r="O7064" t="s">
        <v>134</v>
      </c>
      <c r="P7064" t="s">
        <v>29</v>
      </c>
      <c r="Q7064">
        <v>41</v>
      </c>
      <c r="R7064">
        <v>-74.024699999999996</v>
      </c>
    </row>
    <row r="7065" spans="1:18" x14ac:dyDescent="0.2">
      <c r="A7065" t="s">
        <v>663</v>
      </c>
      <c r="B7065" t="s">
        <v>2493</v>
      </c>
      <c r="C7065">
        <v>1</v>
      </c>
      <c r="D7065" s="1">
        <v>44138.890138888892</v>
      </c>
      <c r="E7065" t="s">
        <v>22183</v>
      </c>
      <c r="F7065" t="s">
        <v>666</v>
      </c>
      <c r="G7065" t="s">
        <v>22183</v>
      </c>
      <c r="H7065" t="s">
        <v>667</v>
      </c>
      <c r="I7065" t="s">
        <v>29</v>
      </c>
      <c r="J7065">
        <v>1</v>
      </c>
      <c r="K7065">
        <f>1-888-238-275</f>
        <v>-1400</v>
      </c>
      <c r="L7065" t="s">
        <v>22184</v>
      </c>
      <c r="M7065" t="s">
        <v>22185</v>
      </c>
      <c r="N7065">
        <v>251</v>
      </c>
      <c r="O7065" t="s">
        <v>134</v>
      </c>
      <c r="P7065" t="s">
        <v>29</v>
      </c>
      <c r="Q7065">
        <v>41</v>
      </c>
      <c r="R7065">
        <v>-74.024699999999996</v>
      </c>
    </row>
    <row r="7066" spans="1:18" x14ac:dyDescent="0.2">
      <c r="A7066" t="s">
        <v>439</v>
      </c>
      <c r="B7066" t="s">
        <v>4321</v>
      </c>
      <c r="C7066">
        <v>1</v>
      </c>
      <c r="D7066" s="1">
        <v>44138.923761574071</v>
      </c>
      <c r="E7066" t="s">
        <v>22186</v>
      </c>
      <c r="F7066" t="s">
        <v>442</v>
      </c>
      <c r="G7066" t="s">
        <v>22187</v>
      </c>
      <c r="H7066" t="s">
        <v>444</v>
      </c>
      <c r="I7066" t="s">
        <v>29</v>
      </c>
      <c r="J7066">
        <v>1</v>
      </c>
      <c r="K7066">
        <f>1-844-303-9512</f>
        <v>-10658</v>
      </c>
      <c r="L7066" t="s">
        <v>22188</v>
      </c>
      <c r="M7066" t="s">
        <v>22189</v>
      </c>
      <c r="N7066" t="s">
        <v>36</v>
      </c>
      <c r="O7066" t="s">
        <v>28</v>
      </c>
      <c r="P7066" t="s">
        <v>29</v>
      </c>
      <c r="Q7066">
        <v>42</v>
      </c>
      <c r="R7066">
        <v>-87.629800000000003</v>
      </c>
    </row>
    <row r="7067" spans="1:18" x14ac:dyDescent="0.2">
      <c r="A7067" t="s">
        <v>439</v>
      </c>
      <c r="B7067" t="s">
        <v>4321</v>
      </c>
      <c r="C7067">
        <v>81</v>
      </c>
      <c r="D7067" s="1">
        <v>44139.179305555554</v>
      </c>
      <c r="E7067" t="s">
        <v>22190</v>
      </c>
      <c r="F7067" t="s">
        <v>442</v>
      </c>
      <c r="G7067" t="s">
        <v>22191</v>
      </c>
      <c r="H7067" t="s">
        <v>444</v>
      </c>
      <c r="I7067" t="s">
        <v>53</v>
      </c>
      <c r="J7067">
        <v>81</v>
      </c>
      <c r="K7067">
        <f>81-50-5534-9336</f>
        <v>-14839</v>
      </c>
      <c r="L7067" t="s">
        <v>22192</v>
      </c>
      <c r="M7067" t="s">
        <v>22193</v>
      </c>
      <c r="N7067" t="s">
        <v>2475</v>
      </c>
      <c r="O7067" t="s">
        <v>28</v>
      </c>
      <c r="P7067" t="s">
        <v>29</v>
      </c>
      <c r="Q7067">
        <v>42</v>
      </c>
      <c r="R7067">
        <v>-87.629800000000003</v>
      </c>
    </row>
    <row r="7068" spans="1:18" x14ac:dyDescent="0.2">
      <c r="A7068" t="s">
        <v>439</v>
      </c>
      <c r="B7068" t="s">
        <v>4321</v>
      </c>
      <c r="C7068">
        <v>81</v>
      </c>
      <c r="D7068" s="1">
        <v>44139.180231481485</v>
      </c>
      <c r="E7068" t="s">
        <v>22194</v>
      </c>
      <c r="F7068" t="s">
        <v>442</v>
      </c>
      <c r="G7068" t="s">
        <v>22195</v>
      </c>
      <c r="H7068" t="s">
        <v>444</v>
      </c>
      <c r="I7068" t="s">
        <v>53</v>
      </c>
      <c r="J7068">
        <v>81</v>
      </c>
      <c r="K7068">
        <f>81-50-5806-2035</f>
        <v>-7810</v>
      </c>
      <c r="L7068" t="s">
        <v>22196</v>
      </c>
      <c r="M7068" t="s">
        <v>22197</v>
      </c>
      <c r="N7068" t="s">
        <v>447</v>
      </c>
      <c r="O7068" t="s">
        <v>28</v>
      </c>
      <c r="P7068" t="s">
        <v>29</v>
      </c>
      <c r="Q7068">
        <v>42</v>
      </c>
      <c r="R7068">
        <v>-87.629800000000003</v>
      </c>
    </row>
    <row r="7069" spans="1:18" x14ac:dyDescent="0.2">
      <c r="A7069" t="s">
        <v>663</v>
      </c>
      <c r="B7069" t="s">
        <v>2493</v>
      </c>
      <c r="C7069">
        <v>81</v>
      </c>
      <c r="D7069" s="1">
        <v>44139.285254629627</v>
      </c>
      <c r="E7069" t="s">
        <v>22198</v>
      </c>
      <c r="F7069" t="s">
        <v>666</v>
      </c>
      <c r="G7069" t="s">
        <v>22199</v>
      </c>
      <c r="H7069" t="s">
        <v>667</v>
      </c>
      <c r="I7069" t="s">
        <v>53</v>
      </c>
      <c r="J7069">
        <v>81</v>
      </c>
      <c r="K7069">
        <f>81-50-5806-993</f>
        <v>-6768</v>
      </c>
      <c r="L7069" t="s">
        <v>22200</v>
      </c>
      <c r="M7069" t="s">
        <v>22201</v>
      </c>
      <c r="N7069" t="s">
        <v>2475</v>
      </c>
      <c r="O7069" t="s">
        <v>28</v>
      </c>
      <c r="P7069" t="s">
        <v>29</v>
      </c>
      <c r="Q7069">
        <v>41</v>
      </c>
      <c r="R7069">
        <v>-74.024699999999996</v>
      </c>
    </row>
    <row r="7070" spans="1:18" x14ac:dyDescent="0.2">
      <c r="A7070" t="s">
        <v>439</v>
      </c>
      <c r="B7070" t="s">
        <v>3094</v>
      </c>
      <c r="C7070">
        <v>81</v>
      </c>
      <c r="D7070" s="1">
        <v>44139.287534722222</v>
      </c>
      <c r="E7070" t="s">
        <v>22202</v>
      </c>
      <c r="F7070" t="s">
        <v>442</v>
      </c>
      <c r="G7070" t="s">
        <v>22203</v>
      </c>
      <c r="H7070" t="s">
        <v>444</v>
      </c>
      <c r="I7070" t="s">
        <v>53</v>
      </c>
      <c r="J7070">
        <v>81</v>
      </c>
      <c r="K7070">
        <f>81-50-5809-9192</f>
        <v>-14970</v>
      </c>
      <c r="L7070" t="s">
        <v>22204</v>
      </c>
      <c r="M7070" t="s">
        <v>22205</v>
      </c>
      <c r="N7070" t="s">
        <v>213</v>
      </c>
      <c r="O7070" t="s">
        <v>28</v>
      </c>
      <c r="P7070" t="s">
        <v>2268</v>
      </c>
      <c r="Q7070">
        <v>46</v>
      </c>
      <c r="R7070">
        <v>-73.567300000000003</v>
      </c>
    </row>
    <row r="7071" spans="1:18" x14ac:dyDescent="0.2">
      <c r="A7071" t="s">
        <v>2349</v>
      </c>
      <c r="B7071" t="s">
        <v>4667</v>
      </c>
      <c r="C7071">
        <v>81</v>
      </c>
      <c r="D7071" s="1">
        <v>44139.347812499997</v>
      </c>
      <c r="E7071" t="s">
        <v>22206</v>
      </c>
      <c r="F7071" t="s">
        <v>2352</v>
      </c>
      <c r="G7071" t="s">
        <v>22206</v>
      </c>
      <c r="H7071" t="s">
        <v>2353</v>
      </c>
      <c r="I7071" t="s">
        <v>53</v>
      </c>
      <c r="J7071">
        <v>81</v>
      </c>
      <c r="K7071">
        <f>81-50-3196-4797</f>
        <v>-7962</v>
      </c>
      <c r="L7071" t="s">
        <v>22207</v>
      </c>
      <c r="M7071" t="s">
        <v>22208</v>
      </c>
      <c r="N7071">
        <v>98</v>
      </c>
      <c r="O7071" t="s">
        <v>134</v>
      </c>
      <c r="P7071" t="s">
        <v>53</v>
      </c>
      <c r="Q7071">
        <v>36</v>
      </c>
      <c r="R7071">
        <v>99.999999000000003</v>
      </c>
    </row>
    <row r="7072" spans="1:18" x14ac:dyDescent="0.2">
      <c r="A7072" t="s">
        <v>2349</v>
      </c>
      <c r="B7072" t="s">
        <v>1638</v>
      </c>
      <c r="C7072">
        <v>49</v>
      </c>
      <c r="D7072" s="1">
        <v>44139.487708333334</v>
      </c>
      <c r="E7072" t="s">
        <v>22209</v>
      </c>
      <c r="F7072" t="s">
        <v>2352</v>
      </c>
      <c r="G7072" t="s">
        <v>22209</v>
      </c>
      <c r="H7072" t="s">
        <v>2353</v>
      </c>
      <c r="I7072" t="s">
        <v>24</v>
      </c>
      <c r="J7072">
        <v>49</v>
      </c>
      <c r="K7072">
        <f>49-800-180-1054</f>
        <v>-1985</v>
      </c>
      <c r="L7072" t="s">
        <v>22210</v>
      </c>
      <c r="M7072" t="s">
        <v>22211</v>
      </c>
      <c r="N7072">
        <v>77</v>
      </c>
      <c r="O7072" t="s">
        <v>134</v>
      </c>
      <c r="P7072" t="s">
        <v>292</v>
      </c>
      <c r="Q7072">
        <v>49</v>
      </c>
      <c r="R7072">
        <v>2.3281000000000001</v>
      </c>
    </row>
    <row r="7073" spans="1:18" x14ac:dyDescent="0.2">
      <c r="A7073" t="s">
        <v>439</v>
      </c>
      <c r="B7073" t="s">
        <v>3094</v>
      </c>
      <c r="C7073">
        <v>1</v>
      </c>
      <c r="D7073" s="1">
        <v>44139.802430555559</v>
      </c>
      <c r="E7073" t="s">
        <v>22212</v>
      </c>
      <c r="F7073" t="s">
        <v>442</v>
      </c>
      <c r="G7073" t="s">
        <v>22213</v>
      </c>
      <c r="H7073" t="s">
        <v>444</v>
      </c>
      <c r="I7073" t="s">
        <v>29</v>
      </c>
      <c r="J7073">
        <v>1</v>
      </c>
      <c r="K7073">
        <f>1-888-356-1406</f>
        <v>-2649</v>
      </c>
      <c r="L7073" t="s">
        <v>22214</v>
      </c>
      <c r="M7073" t="s">
        <v>22215</v>
      </c>
      <c r="N7073" t="s">
        <v>1645</v>
      </c>
      <c r="O7073" t="s">
        <v>28</v>
      </c>
      <c r="P7073" t="s">
        <v>2268</v>
      </c>
      <c r="Q7073">
        <v>46</v>
      </c>
      <c r="R7073">
        <v>-73.567300000000003</v>
      </c>
    </row>
    <row r="7074" spans="1:18" x14ac:dyDescent="0.2">
      <c r="A7074" t="s">
        <v>439</v>
      </c>
      <c r="B7074" t="s">
        <v>4321</v>
      </c>
      <c r="C7074">
        <v>1</v>
      </c>
      <c r="D7074" s="1">
        <v>44139.80605324074</v>
      </c>
      <c r="E7074" t="s">
        <v>22216</v>
      </c>
      <c r="F7074" t="s">
        <v>442</v>
      </c>
      <c r="G7074" t="s">
        <v>22217</v>
      </c>
      <c r="H7074" t="s">
        <v>444</v>
      </c>
      <c r="I7074" t="s">
        <v>29</v>
      </c>
      <c r="J7074">
        <v>1</v>
      </c>
      <c r="K7074">
        <f>1-866-227-6109</f>
        <v>-7201</v>
      </c>
      <c r="L7074" t="s">
        <v>22218</v>
      </c>
      <c r="M7074" t="s">
        <v>22219</v>
      </c>
      <c r="N7074" t="s">
        <v>447</v>
      </c>
      <c r="O7074" t="s">
        <v>28</v>
      </c>
      <c r="P7074" t="s">
        <v>29</v>
      </c>
      <c r="Q7074">
        <v>42</v>
      </c>
      <c r="R7074">
        <v>-87.629800000000003</v>
      </c>
    </row>
    <row r="7075" spans="1:18" x14ac:dyDescent="0.2">
      <c r="A7075" t="s">
        <v>439</v>
      </c>
      <c r="B7075" t="s">
        <v>3094</v>
      </c>
      <c r="C7075">
        <v>1</v>
      </c>
      <c r="D7075" s="1">
        <v>44139.839918981481</v>
      </c>
      <c r="E7075" t="s">
        <v>22220</v>
      </c>
      <c r="F7075" t="s">
        <v>442</v>
      </c>
      <c r="G7075" t="s">
        <v>22221</v>
      </c>
      <c r="H7075" t="s">
        <v>444</v>
      </c>
      <c r="I7075" t="s">
        <v>29</v>
      </c>
      <c r="J7075">
        <v>1</v>
      </c>
      <c r="K7075">
        <f>1-888-397-7789</f>
        <v>-9073</v>
      </c>
      <c r="L7075" t="s">
        <v>22222</v>
      </c>
      <c r="M7075" t="s">
        <v>22223</v>
      </c>
      <c r="N7075" t="s">
        <v>1645</v>
      </c>
      <c r="O7075" t="s">
        <v>28</v>
      </c>
      <c r="P7075" t="s">
        <v>2268</v>
      </c>
      <c r="Q7075">
        <v>46</v>
      </c>
      <c r="R7075">
        <v>-73.567300000000003</v>
      </c>
    </row>
    <row r="7076" spans="1:18" x14ac:dyDescent="0.2">
      <c r="A7076" t="s">
        <v>439</v>
      </c>
      <c r="B7076" t="s">
        <v>3094</v>
      </c>
      <c r="C7076">
        <v>1</v>
      </c>
      <c r="D7076" s="1">
        <v>44139.849166666667</v>
      </c>
      <c r="E7076" t="s">
        <v>22224</v>
      </c>
      <c r="F7076" t="s">
        <v>442</v>
      </c>
      <c r="G7076" t="s">
        <v>22225</v>
      </c>
      <c r="H7076" t="s">
        <v>444</v>
      </c>
      <c r="I7076" t="s">
        <v>29</v>
      </c>
      <c r="J7076">
        <v>1</v>
      </c>
      <c r="K7076">
        <f>1-844-303-7352</f>
        <v>-8498</v>
      </c>
      <c r="L7076" t="s">
        <v>22226</v>
      </c>
      <c r="M7076" t="s">
        <v>22227</v>
      </c>
      <c r="N7076" t="s">
        <v>36</v>
      </c>
      <c r="O7076" t="s">
        <v>28</v>
      </c>
      <c r="P7076" t="s">
        <v>2268</v>
      </c>
      <c r="Q7076">
        <v>46</v>
      </c>
      <c r="R7076">
        <v>-73.567300000000003</v>
      </c>
    </row>
    <row r="7077" spans="1:18" x14ac:dyDescent="0.2">
      <c r="A7077" t="s">
        <v>439</v>
      </c>
      <c r="B7077" t="s">
        <v>4321</v>
      </c>
      <c r="C7077">
        <v>1</v>
      </c>
      <c r="D7077" s="1">
        <v>44139.883229166669</v>
      </c>
      <c r="E7077" t="s">
        <v>22228</v>
      </c>
      <c r="F7077" t="s">
        <v>442</v>
      </c>
      <c r="G7077" t="s">
        <v>22229</v>
      </c>
      <c r="H7077" t="s">
        <v>444</v>
      </c>
      <c r="I7077" t="s">
        <v>29</v>
      </c>
      <c r="J7077">
        <v>1</v>
      </c>
      <c r="K7077">
        <f>1-888-445-4750</f>
        <v>-6082</v>
      </c>
      <c r="L7077" t="s">
        <v>22230</v>
      </c>
      <c r="M7077" t="s">
        <v>22231</v>
      </c>
      <c r="N7077" t="s">
        <v>452</v>
      </c>
      <c r="O7077" t="s">
        <v>28</v>
      </c>
      <c r="P7077" t="s">
        <v>29</v>
      </c>
      <c r="Q7077">
        <v>42</v>
      </c>
      <c r="R7077">
        <v>-87.629800000000003</v>
      </c>
    </row>
    <row r="7078" spans="1:18" x14ac:dyDescent="0.2">
      <c r="A7078" t="s">
        <v>439</v>
      </c>
      <c r="B7078" t="s">
        <v>4321</v>
      </c>
      <c r="C7078">
        <v>1</v>
      </c>
      <c r="D7078" s="1">
        <v>44139.883842592593</v>
      </c>
      <c r="E7078" t="s">
        <v>22232</v>
      </c>
      <c r="F7078" t="s">
        <v>442</v>
      </c>
      <c r="G7078" t="s">
        <v>22233</v>
      </c>
      <c r="H7078" t="s">
        <v>444</v>
      </c>
      <c r="I7078" t="s">
        <v>29</v>
      </c>
      <c r="J7078">
        <v>1</v>
      </c>
      <c r="K7078">
        <f>1-888-397-7789</f>
        <v>-9073</v>
      </c>
      <c r="L7078" t="s">
        <v>22234</v>
      </c>
      <c r="M7078" t="s">
        <v>22235</v>
      </c>
      <c r="N7078" t="s">
        <v>2475</v>
      </c>
      <c r="O7078" t="s">
        <v>28</v>
      </c>
      <c r="P7078" t="s">
        <v>29</v>
      </c>
      <c r="Q7078">
        <v>42</v>
      </c>
      <c r="R7078">
        <v>-87.629800000000003</v>
      </c>
    </row>
    <row r="7079" spans="1:18" x14ac:dyDescent="0.2">
      <c r="A7079" t="s">
        <v>439</v>
      </c>
      <c r="B7079" t="s">
        <v>3094</v>
      </c>
      <c r="C7079">
        <v>1</v>
      </c>
      <c r="D7079" s="1">
        <v>44139.929710648146</v>
      </c>
      <c r="E7079" t="s">
        <v>22236</v>
      </c>
      <c r="F7079" t="s">
        <v>442</v>
      </c>
      <c r="G7079" t="s">
        <v>22237</v>
      </c>
      <c r="H7079" t="s">
        <v>444</v>
      </c>
      <c r="I7079" t="s">
        <v>29</v>
      </c>
      <c r="J7079">
        <v>1</v>
      </c>
      <c r="K7079">
        <f>1-844-297-2044</f>
        <v>-3184</v>
      </c>
      <c r="L7079" t="s">
        <v>22238</v>
      </c>
      <c r="M7079" t="s">
        <v>22239</v>
      </c>
      <c r="N7079" t="s">
        <v>36</v>
      </c>
      <c r="O7079" t="s">
        <v>28</v>
      </c>
      <c r="P7079" t="s">
        <v>2268</v>
      </c>
      <c r="Q7079">
        <v>46</v>
      </c>
      <c r="R7079">
        <v>-73.567300000000003</v>
      </c>
    </row>
    <row r="7080" spans="1:18" x14ac:dyDescent="0.2">
      <c r="A7080" t="s">
        <v>439</v>
      </c>
      <c r="B7080" t="s">
        <v>4321</v>
      </c>
      <c r="C7080">
        <v>1</v>
      </c>
      <c r="D7080" s="1">
        <v>44139.930254629631</v>
      </c>
      <c r="E7080" t="s">
        <v>22240</v>
      </c>
      <c r="F7080" t="s">
        <v>442</v>
      </c>
      <c r="G7080" t="s">
        <v>22241</v>
      </c>
      <c r="H7080" t="s">
        <v>444</v>
      </c>
      <c r="I7080" t="s">
        <v>29</v>
      </c>
      <c r="J7080">
        <v>1</v>
      </c>
      <c r="K7080">
        <f>1-888-392-7321</f>
        <v>-8600</v>
      </c>
      <c r="L7080" t="s">
        <v>22242</v>
      </c>
      <c r="M7080" t="s">
        <v>22243</v>
      </c>
      <c r="N7080" t="s">
        <v>1645</v>
      </c>
      <c r="O7080" t="s">
        <v>28</v>
      </c>
      <c r="P7080" t="s">
        <v>29</v>
      </c>
      <c r="Q7080">
        <v>42</v>
      </c>
      <c r="R7080">
        <v>-87.629800000000003</v>
      </c>
    </row>
    <row r="7081" spans="1:18" x14ac:dyDescent="0.2">
      <c r="A7081" t="s">
        <v>22244</v>
      </c>
      <c r="B7081" t="s">
        <v>676</v>
      </c>
      <c r="C7081">
        <v>1</v>
      </c>
      <c r="D7081" s="1">
        <v>44140.022453703707</v>
      </c>
      <c r="E7081" t="s">
        <v>22245</v>
      </c>
      <c r="F7081" t="s">
        <v>7427</v>
      </c>
      <c r="G7081" t="s">
        <v>22246</v>
      </c>
      <c r="H7081" t="s">
        <v>7429</v>
      </c>
      <c r="I7081" t="s">
        <v>29</v>
      </c>
      <c r="J7081">
        <v>1</v>
      </c>
      <c r="K7081">
        <f>1-844-777-7631</f>
        <v>-9251</v>
      </c>
      <c r="L7081" t="s">
        <v>22247</v>
      </c>
      <c r="M7081" t="s">
        <v>22248</v>
      </c>
      <c r="N7081" t="s">
        <v>278</v>
      </c>
      <c r="O7081" t="s">
        <v>28</v>
      </c>
      <c r="P7081" t="s">
        <v>29</v>
      </c>
      <c r="Q7081">
        <v>33</v>
      </c>
      <c r="R7081">
        <v>-99.999999000000003</v>
      </c>
    </row>
    <row r="7082" spans="1:18" x14ac:dyDescent="0.2">
      <c r="A7082" t="s">
        <v>663</v>
      </c>
      <c r="B7082" t="s">
        <v>2493</v>
      </c>
      <c r="C7082">
        <v>61</v>
      </c>
      <c r="D7082" s="1">
        <v>44140.169768518521</v>
      </c>
      <c r="E7082" t="s">
        <v>22249</v>
      </c>
      <c r="F7082" t="s">
        <v>666</v>
      </c>
      <c r="G7082" t="s">
        <v>22249</v>
      </c>
      <c r="H7082" t="s">
        <v>667</v>
      </c>
      <c r="I7082" t="s">
        <v>782</v>
      </c>
      <c r="J7082">
        <v>61</v>
      </c>
      <c r="K7082">
        <f>61-1800-235-294</f>
        <v>-2268</v>
      </c>
      <c r="L7082" t="s">
        <v>22250</v>
      </c>
      <c r="M7082" t="s">
        <v>22251</v>
      </c>
      <c r="N7082">
        <v>1</v>
      </c>
      <c r="O7082" t="s">
        <v>134</v>
      </c>
      <c r="P7082" t="s">
        <v>29</v>
      </c>
      <c r="Q7082">
        <v>41</v>
      </c>
      <c r="R7082">
        <v>-74.024699999999996</v>
      </c>
    </row>
    <row r="7083" spans="1:18" x14ac:dyDescent="0.2">
      <c r="A7083" t="s">
        <v>439</v>
      </c>
      <c r="B7083" t="s">
        <v>3094</v>
      </c>
      <c r="C7083">
        <v>81</v>
      </c>
      <c r="D7083" s="1">
        <v>44140.187326388892</v>
      </c>
      <c r="E7083" t="s">
        <v>22252</v>
      </c>
      <c r="F7083" t="s">
        <v>442</v>
      </c>
      <c r="G7083" t="s">
        <v>22253</v>
      </c>
      <c r="H7083" t="s">
        <v>444</v>
      </c>
      <c r="I7083" t="s">
        <v>53</v>
      </c>
      <c r="J7083">
        <v>81</v>
      </c>
      <c r="K7083">
        <f>81-50-5806-4835</f>
        <v>-10610</v>
      </c>
      <c r="L7083" t="s">
        <v>22254</v>
      </c>
      <c r="M7083" t="s">
        <v>22255</v>
      </c>
      <c r="N7083" t="s">
        <v>2475</v>
      </c>
      <c r="O7083" t="s">
        <v>28</v>
      </c>
      <c r="P7083" t="s">
        <v>2268</v>
      </c>
      <c r="Q7083">
        <v>46</v>
      </c>
      <c r="R7083">
        <v>-73.567300000000003</v>
      </c>
    </row>
    <row r="7084" spans="1:18" x14ac:dyDescent="0.2">
      <c r="A7084" t="s">
        <v>2233</v>
      </c>
      <c r="B7084" t="s">
        <v>2234</v>
      </c>
      <c r="C7084">
        <v>43</v>
      </c>
      <c r="D7084" s="1">
        <v>44140.487928240742</v>
      </c>
      <c r="E7084" t="s">
        <v>22256</v>
      </c>
      <c r="F7084" t="s">
        <v>7023</v>
      </c>
      <c r="G7084" t="s">
        <v>22256</v>
      </c>
      <c r="H7084" t="s">
        <v>2237</v>
      </c>
      <c r="I7084" t="s">
        <v>3432</v>
      </c>
      <c r="J7084">
        <v>43</v>
      </c>
      <c r="K7084">
        <f>43-670-309-1029</f>
        <v>-1965</v>
      </c>
      <c r="L7084" t="s">
        <v>22257</v>
      </c>
      <c r="M7084" t="s">
        <v>22258</v>
      </c>
      <c r="N7084">
        <v>225</v>
      </c>
      <c r="O7084" t="s">
        <v>134</v>
      </c>
      <c r="P7084" t="s">
        <v>6188</v>
      </c>
      <c r="Q7084">
        <v>53</v>
      </c>
      <c r="R7084">
        <v>-6.2603099999999996</v>
      </c>
    </row>
    <row r="7085" spans="1:18" x14ac:dyDescent="0.2">
      <c r="A7085" t="s">
        <v>2233</v>
      </c>
      <c r="B7085" t="s">
        <v>2234</v>
      </c>
      <c r="C7085">
        <v>31</v>
      </c>
      <c r="D7085" s="1">
        <v>44140.493969907409</v>
      </c>
      <c r="E7085" t="s">
        <v>22259</v>
      </c>
      <c r="F7085" t="s">
        <v>7023</v>
      </c>
      <c r="G7085" t="s">
        <v>22259</v>
      </c>
      <c r="H7085" t="s">
        <v>2237</v>
      </c>
      <c r="I7085" t="s">
        <v>461</v>
      </c>
      <c r="J7085">
        <v>31</v>
      </c>
      <c r="K7085">
        <f>31-30-3690457</f>
        <v>-3690456</v>
      </c>
      <c r="L7085" t="s">
        <v>22260</v>
      </c>
      <c r="M7085" t="s">
        <v>22261</v>
      </c>
      <c r="N7085">
        <v>129</v>
      </c>
      <c r="O7085" t="s">
        <v>134</v>
      </c>
      <c r="P7085" t="s">
        <v>6188</v>
      </c>
      <c r="Q7085">
        <v>53</v>
      </c>
      <c r="R7085">
        <v>-6.2603099999999996</v>
      </c>
    </row>
    <row r="7086" spans="1:18" x14ac:dyDescent="0.2">
      <c r="A7086" t="s">
        <v>2233</v>
      </c>
      <c r="B7086" t="s">
        <v>2234</v>
      </c>
      <c r="C7086">
        <v>41</v>
      </c>
      <c r="D7086" s="1">
        <v>44140.492175925923</v>
      </c>
      <c r="E7086" t="s">
        <v>22259</v>
      </c>
      <c r="F7086" t="s">
        <v>7023</v>
      </c>
      <c r="G7086" t="s">
        <v>22259</v>
      </c>
      <c r="H7086" t="s">
        <v>2237</v>
      </c>
      <c r="I7086" t="s">
        <v>204</v>
      </c>
      <c r="J7086">
        <v>41</v>
      </c>
      <c r="K7086">
        <f>41-44-586-25-7</f>
        <v>-621</v>
      </c>
      <c r="L7086" t="s">
        <v>22262</v>
      </c>
      <c r="M7086" t="s">
        <v>22263</v>
      </c>
      <c r="N7086">
        <v>129</v>
      </c>
      <c r="O7086" t="s">
        <v>134</v>
      </c>
      <c r="P7086" t="s">
        <v>6188</v>
      </c>
      <c r="Q7086">
        <v>53</v>
      </c>
      <c r="R7086">
        <v>-6.2603099999999996</v>
      </c>
    </row>
    <row r="7087" spans="1:18" x14ac:dyDescent="0.2">
      <c r="A7087" t="s">
        <v>10660</v>
      </c>
      <c r="B7087" t="s">
        <v>4281</v>
      </c>
      <c r="C7087">
        <v>1</v>
      </c>
      <c r="D7087" s="1">
        <v>44252.830995370372</v>
      </c>
      <c r="E7087" t="s">
        <v>22264</v>
      </c>
      <c r="F7087" t="s">
        <v>10662</v>
      </c>
      <c r="G7087" t="s">
        <v>22265</v>
      </c>
      <c r="H7087" t="s">
        <v>10664</v>
      </c>
      <c r="I7087" t="s">
        <v>29</v>
      </c>
      <c r="J7087">
        <v>1</v>
      </c>
      <c r="K7087">
        <f>1-888-650-6908</f>
        <v>-8445</v>
      </c>
      <c r="L7087" t="s">
        <v>22266</v>
      </c>
      <c r="M7087" t="s">
        <v>22267</v>
      </c>
      <c r="N7087" t="s">
        <v>5468</v>
      </c>
      <c r="O7087" t="s">
        <v>28</v>
      </c>
      <c r="P7087" t="s">
        <v>24</v>
      </c>
      <c r="Q7087">
        <v>50</v>
      </c>
      <c r="R7087">
        <v>8.6843000000000004</v>
      </c>
    </row>
    <row r="7088" spans="1:18" x14ac:dyDescent="0.2">
      <c r="A7088" t="s">
        <v>10660</v>
      </c>
      <c r="B7088" t="s">
        <v>4281</v>
      </c>
      <c r="C7088">
        <v>32</v>
      </c>
      <c r="D7088" s="1">
        <v>44140.501354166663</v>
      </c>
      <c r="E7088" t="s">
        <v>22268</v>
      </c>
      <c r="F7088" t="s">
        <v>10662</v>
      </c>
      <c r="G7088" t="s">
        <v>22265</v>
      </c>
      <c r="H7088" t="s">
        <v>10664</v>
      </c>
      <c r="I7088" t="s">
        <v>4288</v>
      </c>
      <c r="J7088">
        <v>32</v>
      </c>
      <c r="K7088">
        <f>32-4-346-1-36</f>
        <v>-355</v>
      </c>
      <c r="L7088" t="s">
        <v>22269</v>
      </c>
      <c r="M7088" t="s">
        <v>22270</v>
      </c>
      <c r="N7088" t="s">
        <v>5468</v>
      </c>
      <c r="O7088" t="s">
        <v>28</v>
      </c>
      <c r="P7088" t="s">
        <v>24</v>
      </c>
      <c r="Q7088">
        <v>50</v>
      </c>
      <c r="R7088">
        <v>8.6532999999999998</v>
      </c>
    </row>
    <row r="7089" spans="1:18" x14ac:dyDescent="0.2">
      <c r="A7089" t="s">
        <v>439</v>
      </c>
      <c r="B7089" t="s">
        <v>3094</v>
      </c>
      <c r="C7089">
        <v>44</v>
      </c>
      <c r="D7089" s="1">
        <v>44140.513275462959</v>
      </c>
      <c r="E7089" t="s">
        <v>22271</v>
      </c>
      <c r="F7089" t="s">
        <v>442</v>
      </c>
      <c r="G7089" t="s">
        <v>22272</v>
      </c>
      <c r="H7089" t="s">
        <v>444</v>
      </c>
      <c r="I7089" t="s">
        <v>618</v>
      </c>
      <c r="J7089">
        <v>44</v>
      </c>
      <c r="K7089">
        <f>44-808-143-3686</f>
        <v>-4593</v>
      </c>
      <c r="L7089" t="s">
        <v>22273</v>
      </c>
      <c r="M7089" t="s">
        <v>22274</v>
      </c>
      <c r="N7089" t="s">
        <v>2475</v>
      </c>
      <c r="O7089" t="s">
        <v>28</v>
      </c>
      <c r="P7089" t="s">
        <v>2268</v>
      </c>
      <c r="Q7089">
        <v>46</v>
      </c>
      <c r="R7089">
        <v>-73.567300000000003</v>
      </c>
    </row>
    <row r="7090" spans="1:18" x14ac:dyDescent="0.2">
      <c r="A7090" t="s">
        <v>270</v>
      </c>
      <c r="B7090" t="s">
        <v>10394</v>
      </c>
      <c r="C7090">
        <v>1</v>
      </c>
      <c r="D7090" s="1">
        <v>44221.744895833333</v>
      </c>
      <c r="E7090" t="s">
        <v>22275</v>
      </c>
      <c r="F7090" t="s">
        <v>273</v>
      </c>
      <c r="G7090" t="s">
        <v>22276</v>
      </c>
      <c r="H7090" t="s">
        <v>275</v>
      </c>
      <c r="I7090" t="s">
        <v>29</v>
      </c>
      <c r="J7090">
        <v>1</v>
      </c>
      <c r="K7090">
        <f>1-888-372-8522</f>
        <v>-9781</v>
      </c>
      <c r="L7090" t="s">
        <v>22277</v>
      </c>
      <c r="M7090" t="s">
        <v>22278</v>
      </c>
      <c r="N7090" t="s">
        <v>278</v>
      </c>
      <c r="O7090" t="s">
        <v>28</v>
      </c>
      <c r="P7090" t="s">
        <v>29</v>
      </c>
      <c r="Q7090">
        <v>29</v>
      </c>
      <c r="R7090">
        <v>-98.5</v>
      </c>
    </row>
    <row r="7091" spans="1:18" x14ac:dyDescent="0.2">
      <c r="A7091" t="s">
        <v>270</v>
      </c>
      <c r="B7091" t="s">
        <v>10394</v>
      </c>
      <c r="C7091">
        <v>1</v>
      </c>
      <c r="D7091" s="1">
        <v>44179.725578703707</v>
      </c>
      <c r="E7091" t="s">
        <v>22279</v>
      </c>
      <c r="F7091" t="s">
        <v>273</v>
      </c>
      <c r="G7091" t="s">
        <v>22276</v>
      </c>
      <c r="H7091" t="s">
        <v>275</v>
      </c>
      <c r="I7091" t="s">
        <v>29</v>
      </c>
      <c r="J7091">
        <v>1</v>
      </c>
      <c r="K7091">
        <f>1-888-210-6442</f>
        <v>-7539</v>
      </c>
      <c r="L7091" t="s">
        <v>22280</v>
      </c>
      <c r="M7091" t="s">
        <v>22281</v>
      </c>
      <c r="N7091" t="s">
        <v>278</v>
      </c>
      <c r="O7091" t="s">
        <v>28</v>
      </c>
      <c r="P7091" t="s">
        <v>29</v>
      </c>
      <c r="Q7091">
        <v>29</v>
      </c>
      <c r="R7091">
        <v>-98.5</v>
      </c>
    </row>
    <row r="7092" spans="1:18" x14ac:dyDescent="0.2">
      <c r="A7092" t="s">
        <v>270</v>
      </c>
      <c r="B7092" t="s">
        <v>10394</v>
      </c>
      <c r="C7092">
        <v>1</v>
      </c>
      <c r="D7092" s="1">
        <v>44172.784039351849</v>
      </c>
      <c r="E7092" t="s">
        <v>22282</v>
      </c>
      <c r="F7092" t="s">
        <v>273</v>
      </c>
      <c r="G7092" t="s">
        <v>22276</v>
      </c>
      <c r="H7092" t="s">
        <v>275</v>
      </c>
      <c r="I7092" t="s">
        <v>29</v>
      </c>
      <c r="J7092">
        <v>1</v>
      </c>
      <c r="K7092">
        <f>1-844-306-9093</f>
        <v>-10242</v>
      </c>
      <c r="L7092" t="s">
        <v>22283</v>
      </c>
      <c r="M7092" t="s">
        <v>22284</v>
      </c>
      <c r="N7092" t="s">
        <v>278</v>
      </c>
      <c r="O7092" t="s">
        <v>28</v>
      </c>
      <c r="P7092" t="s">
        <v>29</v>
      </c>
      <c r="Q7092">
        <v>29</v>
      </c>
      <c r="R7092">
        <v>-98.5</v>
      </c>
    </row>
    <row r="7093" spans="1:18" x14ac:dyDescent="0.2">
      <c r="A7093" t="s">
        <v>270</v>
      </c>
      <c r="B7093" t="s">
        <v>10394</v>
      </c>
      <c r="C7093">
        <v>1</v>
      </c>
      <c r="D7093" s="1">
        <v>44149.135636574072</v>
      </c>
      <c r="E7093" t="s">
        <v>22285</v>
      </c>
      <c r="F7093" t="s">
        <v>273</v>
      </c>
      <c r="G7093" t="s">
        <v>22276</v>
      </c>
      <c r="H7093" t="s">
        <v>275</v>
      </c>
      <c r="I7093" t="s">
        <v>29</v>
      </c>
      <c r="J7093">
        <v>1</v>
      </c>
      <c r="K7093">
        <f>1-844-288-9125</f>
        <v>-10256</v>
      </c>
      <c r="L7093" t="s">
        <v>22286</v>
      </c>
      <c r="M7093" t="s">
        <v>22287</v>
      </c>
      <c r="N7093" t="s">
        <v>278</v>
      </c>
      <c r="O7093" t="s">
        <v>134</v>
      </c>
      <c r="P7093" t="s">
        <v>29</v>
      </c>
      <c r="Q7093">
        <v>29</v>
      </c>
      <c r="R7093">
        <v>-98.5</v>
      </c>
    </row>
    <row r="7094" spans="1:18" x14ac:dyDescent="0.2">
      <c r="A7094" t="s">
        <v>270</v>
      </c>
      <c r="B7094" t="s">
        <v>10394</v>
      </c>
      <c r="C7094">
        <v>1</v>
      </c>
      <c r="D7094" s="1">
        <v>44144.729027777779</v>
      </c>
      <c r="E7094" t="s">
        <v>22288</v>
      </c>
      <c r="F7094" t="s">
        <v>273</v>
      </c>
      <c r="G7094" t="s">
        <v>22276</v>
      </c>
      <c r="H7094" t="s">
        <v>275</v>
      </c>
      <c r="I7094" t="s">
        <v>29</v>
      </c>
      <c r="J7094">
        <v>1</v>
      </c>
      <c r="K7094">
        <f>1-844-280-7415</f>
        <v>-8538</v>
      </c>
      <c r="L7094" t="s">
        <v>22289</v>
      </c>
      <c r="M7094" t="s">
        <v>22290</v>
      </c>
      <c r="N7094" t="s">
        <v>278</v>
      </c>
      <c r="O7094" t="s">
        <v>28</v>
      </c>
      <c r="P7094" t="s">
        <v>29</v>
      </c>
      <c r="Q7094">
        <v>29</v>
      </c>
      <c r="R7094">
        <v>-98.5</v>
      </c>
    </row>
    <row r="7095" spans="1:18" x14ac:dyDescent="0.2">
      <c r="A7095" t="s">
        <v>270</v>
      </c>
      <c r="B7095" t="s">
        <v>10394</v>
      </c>
      <c r="C7095">
        <v>1</v>
      </c>
      <c r="D7095" s="1">
        <v>44140.779594907406</v>
      </c>
      <c r="E7095" t="s">
        <v>22291</v>
      </c>
      <c r="F7095" t="s">
        <v>273</v>
      </c>
      <c r="G7095" t="s">
        <v>22276</v>
      </c>
      <c r="H7095" t="s">
        <v>275</v>
      </c>
      <c r="I7095" t="s">
        <v>29</v>
      </c>
      <c r="J7095">
        <v>1</v>
      </c>
      <c r="K7095">
        <f>1-888-397-7606</f>
        <v>-8890</v>
      </c>
      <c r="L7095" t="s">
        <v>22292</v>
      </c>
      <c r="M7095" t="s">
        <v>22293</v>
      </c>
      <c r="N7095" t="s">
        <v>278</v>
      </c>
      <c r="O7095" t="s">
        <v>28</v>
      </c>
      <c r="P7095" t="s">
        <v>29</v>
      </c>
      <c r="Q7095">
        <v>29</v>
      </c>
      <c r="R7095">
        <v>-98.5</v>
      </c>
    </row>
    <row r="7096" spans="1:18" x14ac:dyDescent="0.2">
      <c r="A7096" t="s">
        <v>270</v>
      </c>
      <c r="B7096" t="s">
        <v>10394</v>
      </c>
      <c r="C7096">
        <v>1</v>
      </c>
      <c r="D7096" s="1">
        <v>44140.777372685188</v>
      </c>
      <c r="E7096" t="s">
        <v>22294</v>
      </c>
      <c r="F7096" t="s">
        <v>273</v>
      </c>
      <c r="G7096" t="s">
        <v>22276</v>
      </c>
      <c r="H7096" t="s">
        <v>275</v>
      </c>
      <c r="I7096" t="s">
        <v>29</v>
      </c>
      <c r="J7096">
        <v>1</v>
      </c>
      <c r="K7096">
        <f>1-888-397-7606</f>
        <v>-8890</v>
      </c>
      <c r="L7096" t="s">
        <v>22295</v>
      </c>
      <c r="M7096" t="s">
        <v>22296</v>
      </c>
      <c r="N7096" t="s">
        <v>278</v>
      </c>
      <c r="O7096" t="s">
        <v>28</v>
      </c>
      <c r="P7096" t="s">
        <v>29</v>
      </c>
      <c r="Q7096">
        <v>29</v>
      </c>
      <c r="R7096">
        <v>-98.5</v>
      </c>
    </row>
    <row r="7097" spans="1:18" x14ac:dyDescent="0.2">
      <c r="A7097" t="s">
        <v>270</v>
      </c>
      <c r="B7097" t="s">
        <v>10394</v>
      </c>
      <c r="C7097">
        <v>1</v>
      </c>
      <c r="D7097" s="1">
        <v>44140.77449074074</v>
      </c>
      <c r="E7097" t="s">
        <v>22297</v>
      </c>
      <c r="F7097" t="s">
        <v>273</v>
      </c>
      <c r="G7097" t="s">
        <v>22276</v>
      </c>
      <c r="H7097" t="s">
        <v>275</v>
      </c>
      <c r="I7097" t="s">
        <v>29</v>
      </c>
      <c r="J7097">
        <v>1</v>
      </c>
      <c r="K7097">
        <f>1-888-397-7606</f>
        <v>-8890</v>
      </c>
      <c r="L7097" t="s">
        <v>22298</v>
      </c>
      <c r="M7097" t="s">
        <v>22299</v>
      </c>
      <c r="N7097" t="s">
        <v>278</v>
      </c>
      <c r="O7097" t="s">
        <v>28</v>
      </c>
      <c r="P7097" t="s">
        <v>29</v>
      </c>
      <c r="Q7097">
        <v>29</v>
      </c>
      <c r="R7097">
        <v>-98.5</v>
      </c>
    </row>
    <row r="7098" spans="1:18" x14ac:dyDescent="0.2">
      <c r="A7098" t="s">
        <v>270</v>
      </c>
      <c r="B7098" t="s">
        <v>440</v>
      </c>
      <c r="C7098">
        <v>1</v>
      </c>
      <c r="D7098" s="1">
        <v>44149.155173611114</v>
      </c>
      <c r="E7098" t="s">
        <v>22300</v>
      </c>
      <c r="F7098" t="s">
        <v>273</v>
      </c>
      <c r="G7098" t="s">
        <v>22301</v>
      </c>
      <c r="H7098" t="s">
        <v>275</v>
      </c>
      <c r="I7098" t="s">
        <v>29</v>
      </c>
      <c r="J7098">
        <v>1</v>
      </c>
      <c r="K7098">
        <f>1-844-279-115</f>
        <v>-1237</v>
      </c>
      <c r="L7098" t="s">
        <v>22302</v>
      </c>
      <c r="M7098" t="s">
        <v>22303</v>
      </c>
      <c r="N7098" t="s">
        <v>278</v>
      </c>
      <c r="O7098" t="s">
        <v>134</v>
      </c>
      <c r="P7098" t="s">
        <v>29</v>
      </c>
      <c r="Q7098">
        <v>39</v>
      </c>
      <c r="R7098">
        <v>-77.487399999999994</v>
      </c>
    </row>
    <row r="7099" spans="1:18" x14ac:dyDescent="0.2">
      <c r="A7099" t="s">
        <v>270</v>
      </c>
      <c r="B7099" t="s">
        <v>440</v>
      </c>
      <c r="C7099">
        <v>1</v>
      </c>
      <c r="D7099" s="1">
        <v>44149.13652777778</v>
      </c>
      <c r="E7099" t="s">
        <v>22304</v>
      </c>
      <c r="F7099" t="s">
        <v>273</v>
      </c>
      <c r="G7099" t="s">
        <v>22301</v>
      </c>
      <c r="H7099" t="s">
        <v>275</v>
      </c>
      <c r="I7099" t="s">
        <v>29</v>
      </c>
      <c r="J7099">
        <v>1</v>
      </c>
      <c r="K7099">
        <f>1-844-288-9125</f>
        <v>-10256</v>
      </c>
      <c r="L7099" t="s">
        <v>22305</v>
      </c>
      <c r="M7099" t="s">
        <v>22306</v>
      </c>
      <c r="N7099" t="s">
        <v>278</v>
      </c>
      <c r="O7099" t="s">
        <v>134</v>
      </c>
      <c r="P7099" t="s">
        <v>29</v>
      </c>
      <c r="Q7099">
        <v>39</v>
      </c>
      <c r="R7099">
        <v>-77.487399999999994</v>
      </c>
    </row>
    <row r="7100" spans="1:18" x14ac:dyDescent="0.2">
      <c r="A7100" t="s">
        <v>270</v>
      </c>
      <c r="B7100" t="s">
        <v>440</v>
      </c>
      <c r="C7100">
        <v>1</v>
      </c>
      <c r="D7100" s="1">
        <v>44149.136064814818</v>
      </c>
      <c r="E7100" t="s">
        <v>22307</v>
      </c>
      <c r="F7100" t="s">
        <v>273</v>
      </c>
      <c r="G7100" t="s">
        <v>22301</v>
      </c>
      <c r="H7100" t="s">
        <v>275</v>
      </c>
      <c r="I7100" t="s">
        <v>29</v>
      </c>
      <c r="J7100">
        <v>1</v>
      </c>
      <c r="K7100">
        <f>1-844-288-9125</f>
        <v>-10256</v>
      </c>
      <c r="L7100" t="s">
        <v>22308</v>
      </c>
      <c r="M7100" t="s">
        <v>22309</v>
      </c>
      <c r="N7100" t="s">
        <v>278</v>
      </c>
      <c r="O7100" t="s">
        <v>134</v>
      </c>
      <c r="P7100" t="s">
        <v>29</v>
      </c>
      <c r="Q7100">
        <v>39</v>
      </c>
      <c r="R7100">
        <v>-77.487399999999994</v>
      </c>
    </row>
    <row r="7101" spans="1:18" x14ac:dyDescent="0.2">
      <c r="A7101" t="s">
        <v>270</v>
      </c>
      <c r="B7101" t="s">
        <v>440</v>
      </c>
      <c r="C7101">
        <v>1</v>
      </c>
      <c r="D7101" s="1">
        <v>44144.727777777778</v>
      </c>
      <c r="E7101" t="s">
        <v>22310</v>
      </c>
      <c r="F7101" t="s">
        <v>273</v>
      </c>
      <c r="G7101" t="s">
        <v>22301</v>
      </c>
      <c r="H7101" t="s">
        <v>275</v>
      </c>
      <c r="I7101" t="s">
        <v>29</v>
      </c>
      <c r="J7101">
        <v>1</v>
      </c>
      <c r="K7101">
        <f>1-844-276-4002</f>
        <v>-5121</v>
      </c>
      <c r="L7101" t="s">
        <v>22311</v>
      </c>
      <c r="M7101" t="s">
        <v>22312</v>
      </c>
      <c r="N7101" t="s">
        <v>278</v>
      </c>
      <c r="O7101" t="s">
        <v>28</v>
      </c>
      <c r="P7101" t="s">
        <v>29</v>
      </c>
      <c r="Q7101">
        <v>39</v>
      </c>
      <c r="R7101">
        <v>-77.487399999999994</v>
      </c>
    </row>
    <row r="7102" spans="1:18" x14ac:dyDescent="0.2">
      <c r="A7102" t="s">
        <v>270</v>
      </c>
      <c r="B7102" t="s">
        <v>440</v>
      </c>
      <c r="C7102">
        <v>1</v>
      </c>
      <c r="D7102" s="1">
        <v>44140.777962962966</v>
      </c>
      <c r="E7102" t="s">
        <v>22313</v>
      </c>
      <c r="F7102" t="s">
        <v>273</v>
      </c>
      <c r="G7102" t="s">
        <v>22301</v>
      </c>
      <c r="H7102" t="s">
        <v>275</v>
      </c>
      <c r="I7102" t="s">
        <v>29</v>
      </c>
      <c r="J7102">
        <v>1</v>
      </c>
      <c r="K7102">
        <f>1-888-397-7606</f>
        <v>-8890</v>
      </c>
      <c r="L7102" t="s">
        <v>22314</v>
      </c>
      <c r="M7102" t="s">
        <v>22315</v>
      </c>
      <c r="N7102" t="s">
        <v>278</v>
      </c>
      <c r="O7102" t="s">
        <v>28</v>
      </c>
      <c r="P7102" t="s">
        <v>29</v>
      </c>
      <c r="Q7102">
        <v>39</v>
      </c>
      <c r="R7102">
        <v>-77.487399999999994</v>
      </c>
    </row>
    <row r="7103" spans="1:18" x14ac:dyDescent="0.2">
      <c r="A7103" t="s">
        <v>270</v>
      </c>
      <c r="B7103" t="s">
        <v>271</v>
      </c>
      <c r="C7103">
        <v>1</v>
      </c>
      <c r="D7103" s="1">
        <v>44309.686354166668</v>
      </c>
      <c r="E7103" t="s">
        <v>22316</v>
      </c>
      <c r="F7103" t="s">
        <v>273</v>
      </c>
      <c r="G7103" t="s">
        <v>22317</v>
      </c>
      <c r="H7103" t="s">
        <v>275</v>
      </c>
      <c r="I7103" t="s">
        <v>29</v>
      </c>
      <c r="J7103">
        <v>1</v>
      </c>
      <c r="K7103">
        <f>1-844-521-489</f>
        <v>-1853</v>
      </c>
      <c r="L7103" t="s">
        <v>22318</v>
      </c>
      <c r="M7103" t="s">
        <v>22319</v>
      </c>
      <c r="N7103" t="s">
        <v>278</v>
      </c>
      <c r="O7103" t="s">
        <v>134</v>
      </c>
      <c r="P7103" t="s">
        <v>29</v>
      </c>
      <c r="Q7103">
        <v>42</v>
      </c>
      <c r="R7103">
        <v>-93.620800000000003</v>
      </c>
    </row>
    <row r="7104" spans="1:18" x14ac:dyDescent="0.2">
      <c r="A7104" t="s">
        <v>270</v>
      </c>
      <c r="B7104" t="s">
        <v>271</v>
      </c>
      <c r="C7104">
        <v>1</v>
      </c>
      <c r="D7104" s="1">
        <v>44232.905497685184</v>
      </c>
      <c r="E7104" t="s">
        <v>22320</v>
      </c>
      <c r="F7104" t="s">
        <v>273</v>
      </c>
      <c r="G7104" t="s">
        <v>22317</v>
      </c>
      <c r="H7104" t="s">
        <v>275</v>
      </c>
      <c r="I7104" t="s">
        <v>29</v>
      </c>
      <c r="J7104">
        <v>1</v>
      </c>
      <c r="K7104">
        <f>1-888-525-1921</f>
        <v>-3333</v>
      </c>
      <c r="L7104" t="s">
        <v>22321</v>
      </c>
      <c r="M7104" t="s">
        <v>22322</v>
      </c>
      <c r="N7104" t="s">
        <v>278</v>
      </c>
      <c r="O7104" t="s">
        <v>28</v>
      </c>
      <c r="P7104" t="s">
        <v>29</v>
      </c>
      <c r="Q7104">
        <v>42</v>
      </c>
      <c r="R7104">
        <v>-93.620800000000003</v>
      </c>
    </row>
    <row r="7105" spans="1:18" x14ac:dyDescent="0.2">
      <c r="A7105" t="s">
        <v>270</v>
      </c>
      <c r="B7105" t="s">
        <v>271</v>
      </c>
      <c r="C7105">
        <v>1</v>
      </c>
      <c r="D7105" s="1">
        <v>44232.846782407411</v>
      </c>
      <c r="E7105" t="s">
        <v>22323</v>
      </c>
      <c r="F7105" t="s">
        <v>273</v>
      </c>
      <c r="G7105" t="s">
        <v>22317</v>
      </c>
      <c r="H7105" t="s">
        <v>275</v>
      </c>
      <c r="I7105" t="s">
        <v>29</v>
      </c>
      <c r="J7105">
        <v>1</v>
      </c>
      <c r="K7105">
        <f>1-888-492-3260</f>
        <v>-4639</v>
      </c>
      <c r="L7105" t="s">
        <v>22324</v>
      </c>
      <c r="M7105" t="s">
        <v>22325</v>
      </c>
      <c r="N7105" t="s">
        <v>278</v>
      </c>
      <c r="O7105" t="s">
        <v>28</v>
      </c>
      <c r="P7105" t="s">
        <v>29</v>
      </c>
      <c r="Q7105">
        <v>42</v>
      </c>
      <c r="R7105">
        <v>-93.620800000000003</v>
      </c>
    </row>
    <row r="7106" spans="1:18" x14ac:dyDescent="0.2">
      <c r="A7106" t="s">
        <v>270</v>
      </c>
      <c r="B7106" t="s">
        <v>271</v>
      </c>
      <c r="C7106">
        <v>1</v>
      </c>
      <c r="D7106" s="1">
        <v>44225.844675925924</v>
      </c>
      <c r="E7106" t="s">
        <v>22326</v>
      </c>
      <c r="F7106" t="s">
        <v>273</v>
      </c>
      <c r="G7106" t="s">
        <v>22317</v>
      </c>
      <c r="H7106" t="s">
        <v>275</v>
      </c>
      <c r="I7106" t="s">
        <v>29</v>
      </c>
      <c r="J7106">
        <v>1</v>
      </c>
      <c r="K7106">
        <f>1-888-380-8394</f>
        <v>-9661</v>
      </c>
      <c r="L7106" t="s">
        <v>22327</v>
      </c>
      <c r="M7106" t="s">
        <v>22328</v>
      </c>
      <c r="N7106" t="s">
        <v>278</v>
      </c>
      <c r="O7106" t="s">
        <v>28</v>
      </c>
      <c r="P7106" t="s">
        <v>29</v>
      </c>
      <c r="Q7106">
        <v>42</v>
      </c>
      <c r="R7106">
        <v>-93.620800000000003</v>
      </c>
    </row>
    <row r="7107" spans="1:18" x14ac:dyDescent="0.2">
      <c r="A7107" t="s">
        <v>270</v>
      </c>
      <c r="B7107" t="s">
        <v>271</v>
      </c>
      <c r="C7107">
        <v>1</v>
      </c>
      <c r="D7107" s="1">
        <v>44187.890844907408</v>
      </c>
      <c r="E7107" t="s">
        <v>22329</v>
      </c>
      <c r="F7107" t="s">
        <v>273</v>
      </c>
      <c r="G7107" t="s">
        <v>22317</v>
      </c>
      <c r="H7107" t="s">
        <v>275</v>
      </c>
      <c r="I7107" t="s">
        <v>29</v>
      </c>
      <c r="J7107">
        <v>1</v>
      </c>
      <c r="K7107">
        <f>1-888-267-956</f>
        <v>-2110</v>
      </c>
      <c r="L7107" t="s">
        <v>22330</v>
      </c>
      <c r="M7107" t="s">
        <v>22331</v>
      </c>
      <c r="N7107" t="s">
        <v>278</v>
      </c>
      <c r="O7107" t="s">
        <v>28</v>
      </c>
      <c r="P7107" t="s">
        <v>29</v>
      </c>
      <c r="Q7107">
        <v>42</v>
      </c>
      <c r="R7107">
        <v>-93.620800000000003</v>
      </c>
    </row>
    <row r="7108" spans="1:18" x14ac:dyDescent="0.2">
      <c r="A7108" t="s">
        <v>270</v>
      </c>
      <c r="B7108" t="s">
        <v>271</v>
      </c>
      <c r="C7108">
        <v>1</v>
      </c>
      <c r="D7108" s="1">
        <v>44187.880023148151</v>
      </c>
      <c r="E7108" t="s">
        <v>22332</v>
      </c>
      <c r="F7108" t="s">
        <v>273</v>
      </c>
      <c r="G7108" t="s">
        <v>22317</v>
      </c>
      <c r="H7108" t="s">
        <v>275</v>
      </c>
      <c r="I7108" t="s">
        <v>29</v>
      </c>
      <c r="J7108">
        <v>1</v>
      </c>
      <c r="K7108">
        <f>1-888-210-3619</f>
        <v>-4716</v>
      </c>
      <c r="L7108" t="s">
        <v>22333</v>
      </c>
      <c r="M7108" t="s">
        <v>22334</v>
      </c>
      <c r="N7108" t="s">
        <v>278</v>
      </c>
      <c r="O7108" t="s">
        <v>28</v>
      </c>
      <c r="P7108" t="s">
        <v>29</v>
      </c>
      <c r="Q7108">
        <v>42</v>
      </c>
      <c r="R7108">
        <v>-93.620800000000003</v>
      </c>
    </row>
    <row r="7109" spans="1:18" x14ac:dyDescent="0.2">
      <c r="A7109" t="s">
        <v>270</v>
      </c>
      <c r="B7109" t="s">
        <v>271</v>
      </c>
      <c r="C7109">
        <v>1</v>
      </c>
      <c r="D7109" s="1">
        <v>44187.876562500001</v>
      </c>
      <c r="E7109" t="s">
        <v>22335</v>
      </c>
      <c r="F7109" t="s">
        <v>273</v>
      </c>
      <c r="G7109" t="s">
        <v>22317</v>
      </c>
      <c r="H7109" t="s">
        <v>275</v>
      </c>
      <c r="I7109" t="s">
        <v>29</v>
      </c>
      <c r="J7109">
        <v>1</v>
      </c>
      <c r="K7109">
        <f>1-888-210-3619</f>
        <v>-4716</v>
      </c>
      <c r="L7109" t="s">
        <v>22336</v>
      </c>
      <c r="M7109" t="s">
        <v>22337</v>
      </c>
      <c r="N7109" t="s">
        <v>278</v>
      </c>
      <c r="O7109" t="s">
        <v>28</v>
      </c>
      <c r="P7109" t="s">
        <v>29</v>
      </c>
      <c r="Q7109">
        <v>42</v>
      </c>
      <c r="R7109">
        <v>-93.620800000000003</v>
      </c>
    </row>
    <row r="7110" spans="1:18" x14ac:dyDescent="0.2">
      <c r="A7110" t="s">
        <v>270</v>
      </c>
      <c r="B7110" t="s">
        <v>271</v>
      </c>
      <c r="C7110">
        <v>1</v>
      </c>
      <c r="D7110" s="1">
        <v>44187.875254629631</v>
      </c>
      <c r="E7110" t="s">
        <v>22338</v>
      </c>
      <c r="F7110" t="s">
        <v>273</v>
      </c>
      <c r="G7110" t="s">
        <v>22317</v>
      </c>
      <c r="H7110" t="s">
        <v>275</v>
      </c>
      <c r="I7110" t="s">
        <v>29</v>
      </c>
      <c r="J7110">
        <v>1</v>
      </c>
      <c r="K7110">
        <f>1-888-210-3619</f>
        <v>-4716</v>
      </c>
      <c r="L7110" t="s">
        <v>22339</v>
      </c>
      <c r="M7110" t="s">
        <v>22340</v>
      </c>
      <c r="N7110" t="s">
        <v>278</v>
      </c>
      <c r="O7110" t="s">
        <v>28</v>
      </c>
      <c r="P7110" t="s">
        <v>29</v>
      </c>
      <c r="Q7110">
        <v>42</v>
      </c>
      <c r="R7110">
        <v>-93.620800000000003</v>
      </c>
    </row>
    <row r="7111" spans="1:18" x14ac:dyDescent="0.2">
      <c r="A7111" t="s">
        <v>270</v>
      </c>
      <c r="B7111" t="s">
        <v>271</v>
      </c>
      <c r="C7111">
        <v>1</v>
      </c>
      <c r="D7111" s="1">
        <v>44187.8746875</v>
      </c>
      <c r="E7111" t="s">
        <v>22341</v>
      </c>
      <c r="F7111" t="s">
        <v>273</v>
      </c>
      <c r="G7111" t="s">
        <v>22317</v>
      </c>
      <c r="H7111" t="s">
        <v>275</v>
      </c>
      <c r="I7111" t="s">
        <v>29</v>
      </c>
      <c r="J7111">
        <v>1</v>
      </c>
      <c r="K7111">
        <f>1-888-414-1646</f>
        <v>-2947</v>
      </c>
      <c r="L7111" t="s">
        <v>22342</v>
      </c>
      <c r="M7111" t="s">
        <v>22343</v>
      </c>
      <c r="N7111" t="s">
        <v>278</v>
      </c>
      <c r="O7111" t="s">
        <v>28</v>
      </c>
      <c r="P7111" t="s">
        <v>29</v>
      </c>
      <c r="Q7111">
        <v>42</v>
      </c>
      <c r="R7111">
        <v>-93.620800000000003</v>
      </c>
    </row>
    <row r="7112" spans="1:18" x14ac:dyDescent="0.2">
      <c r="A7112" t="s">
        <v>270</v>
      </c>
      <c r="B7112" t="s">
        <v>271</v>
      </c>
      <c r="C7112">
        <v>1</v>
      </c>
      <c r="D7112" s="1">
        <v>44187.873124999998</v>
      </c>
      <c r="E7112" t="s">
        <v>22344</v>
      </c>
      <c r="F7112" t="s">
        <v>273</v>
      </c>
      <c r="G7112" t="s">
        <v>22317</v>
      </c>
      <c r="H7112" t="s">
        <v>275</v>
      </c>
      <c r="I7112" t="s">
        <v>29</v>
      </c>
      <c r="J7112">
        <v>1</v>
      </c>
      <c r="K7112">
        <f>1-888-210-3619</f>
        <v>-4716</v>
      </c>
      <c r="L7112" t="s">
        <v>22345</v>
      </c>
      <c r="M7112" t="s">
        <v>22346</v>
      </c>
      <c r="N7112" t="s">
        <v>278</v>
      </c>
      <c r="O7112" t="s">
        <v>28</v>
      </c>
      <c r="P7112" t="s">
        <v>29</v>
      </c>
      <c r="Q7112">
        <v>42</v>
      </c>
      <c r="R7112">
        <v>-93.620800000000003</v>
      </c>
    </row>
    <row r="7113" spans="1:18" x14ac:dyDescent="0.2">
      <c r="A7113" t="s">
        <v>270</v>
      </c>
      <c r="B7113" t="s">
        <v>271</v>
      </c>
      <c r="C7113">
        <v>1</v>
      </c>
      <c r="D7113" s="1">
        <v>44187.87222222222</v>
      </c>
      <c r="E7113" t="s">
        <v>22347</v>
      </c>
      <c r="F7113" t="s">
        <v>273</v>
      </c>
      <c r="G7113" t="s">
        <v>22317</v>
      </c>
      <c r="H7113" t="s">
        <v>275</v>
      </c>
      <c r="I7113" t="s">
        <v>29</v>
      </c>
      <c r="J7113">
        <v>1</v>
      </c>
      <c r="K7113">
        <f>1-888-210-3619</f>
        <v>-4716</v>
      </c>
      <c r="L7113" t="s">
        <v>22348</v>
      </c>
      <c r="M7113" t="s">
        <v>22349</v>
      </c>
      <c r="N7113" t="s">
        <v>278</v>
      </c>
      <c r="O7113" t="s">
        <v>28</v>
      </c>
      <c r="P7113" t="s">
        <v>29</v>
      </c>
      <c r="Q7113">
        <v>42</v>
      </c>
      <c r="R7113">
        <v>-93.620800000000003</v>
      </c>
    </row>
    <row r="7114" spans="1:18" x14ac:dyDescent="0.2">
      <c r="A7114" t="s">
        <v>270</v>
      </c>
      <c r="B7114" t="s">
        <v>271</v>
      </c>
      <c r="C7114">
        <v>1</v>
      </c>
      <c r="D7114" s="1">
        <v>44187.886122685188</v>
      </c>
      <c r="E7114" t="s">
        <v>22350</v>
      </c>
      <c r="F7114" t="s">
        <v>273</v>
      </c>
      <c r="G7114" t="s">
        <v>22317</v>
      </c>
      <c r="H7114" t="s">
        <v>275</v>
      </c>
      <c r="I7114" t="s">
        <v>29</v>
      </c>
      <c r="J7114">
        <v>1</v>
      </c>
      <c r="K7114">
        <f>1-888-414-1646</f>
        <v>-2947</v>
      </c>
      <c r="L7114" t="s">
        <v>22351</v>
      </c>
      <c r="M7114" t="s">
        <v>22352</v>
      </c>
      <c r="N7114" t="s">
        <v>278</v>
      </c>
      <c r="O7114" t="s">
        <v>28</v>
      </c>
      <c r="P7114" t="s">
        <v>29</v>
      </c>
      <c r="Q7114">
        <v>42</v>
      </c>
      <c r="R7114">
        <v>-93.620800000000003</v>
      </c>
    </row>
    <row r="7115" spans="1:18" x14ac:dyDescent="0.2">
      <c r="A7115" t="s">
        <v>270</v>
      </c>
      <c r="B7115" t="s">
        <v>271</v>
      </c>
      <c r="C7115">
        <v>1</v>
      </c>
      <c r="D7115" s="1">
        <v>44179.781157407408</v>
      </c>
      <c r="E7115" t="s">
        <v>22353</v>
      </c>
      <c r="F7115" t="s">
        <v>273</v>
      </c>
      <c r="G7115" t="s">
        <v>22317</v>
      </c>
      <c r="H7115" t="s">
        <v>275</v>
      </c>
      <c r="I7115" t="s">
        <v>29</v>
      </c>
      <c r="J7115">
        <v>1</v>
      </c>
      <c r="K7115">
        <f>1-888-210-6292</f>
        <v>-7389</v>
      </c>
      <c r="L7115" t="s">
        <v>22354</v>
      </c>
      <c r="M7115" t="s">
        <v>22355</v>
      </c>
      <c r="N7115" t="s">
        <v>278</v>
      </c>
      <c r="O7115" t="s">
        <v>28</v>
      </c>
      <c r="P7115" t="s">
        <v>29</v>
      </c>
      <c r="Q7115">
        <v>42</v>
      </c>
      <c r="R7115">
        <v>-93.620800000000003</v>
      </c>
    </row>
    <row r="7116" spans="1:18" x14ac:dyDescent="0.2">
      <c r="A7116" t="s">
        <v>270</v>
      </c>
      <c r="B7116" t="s">
        <v>271</v>
      </c>
      <c r="C7116">
        <v>1</v>
      </c>
      <c r="D7116" s="1">
        <v>44172.716261574074</v>
      </c>
      <c r="E7116" t="s">
        <v>22356</v>
      </c>
      <c r="F7116" t="s">
        <v>273</v>
      </c>
      <c r="G7116" t="s">
        <v>22317</v>
      </c>
      <c r="H7116" t="s">
        <v>275</v>
      </c>
      <c r="I7116" t="s">
        <v>29</v>
      </c>
      <c r="J7116">
        <v>1</v>
      </c>
      <c r="K7116">
        <f>1-844-304-6044</f>
        <v>-7191</v>
      </c>
      <c r="L7116" t="s">
        <v>22357</v>
      </c>
      <c r="M7116" t="s">
        <v>22358</v>
      </c>
      <c r="N7116" t="s">
        <v>278</v>
      </c>
      <c r="O7116" t="s">
        <v>28</v>
      </c>
      <c r="P7116" t="s">
        <v>29</v>
      </c>
      <c r="Q7116">
        <v>42</v>
      </c>
      <c r="R7116">
        <v>-93.620800000000003</v>
      </c>
    </row>
    <row r="7117" spans="1:18" x14ac:dyDescent="0.2">
      <c r="A7117" t="s">
        <v>270</v>
      </c>
      <c r="B7117" t="s">
        <v>271</v>
      </c>
      <c r="C7117">
        <v>1</v>
      </c>
      <c r="D7117" s="1">
        <v>44149.154432870368</v>
      </c>
      <c r="E7117" t="s">
        <v>22359</v>
      </c>
      <c r="F7117" t="s">
        <v>273</v>
      </c>
      <c r="G7117" t="s">
        <v>22317</v>
      </c>
      <c r="H7117" t="s">
        <v>275</v>
      </c>
      <c r="I7117" t="s">
        <v>29</v>
      </c>
      <c r="J7117">
        <v>1</v>
      </c>
      <c r="K7117">
        <f>1-844-275-1730</f>
        <v>-2848</v>
      </c>
      <c r="L7117" t="s">
        <v>22360</v>
      </c>
      <c r="M7117" t="s">
        <v>22361</v>
      </c>
      <c r="N7117" t="s">
        <v>278</v>
      </c>
      <c r="O7117" t="s">
        <v>134</v>
      </c>
      <c r="P7117" t="s">
        <v>29</v>
      </c>
      <c r="Q7117">
        <v>42</v>
      </c>
      <c r="R7117">
        <v>-93.620800000000003</v>
      </c>
    </row>
    <row r="7118" spans="1:18" x14ac:dyDescent="0.2">
      <c r="A7118" t="s">
        <v>270</v>
      </c>
      <c r="B7118" t="s">
        <v>271</v>
      </c>
      <c r="C7118">
        <v>1</v>
      </c>
      <c r="D7118" s="1">
        <v>44149.134293981479</v>
      </c>
      <c r="E7118" t="s">
        <v>22362</v>
      </c>
      <c r="F7118" t="s">
        <v>273</v>
      </c>
      <c r="G7118" t="s">
        <v>22317</v>
      </c>
      <c r="H7118" t="s">
        <v>275</v>
      </c>
      <c r="I7118" t="s">
        <v>29</v>
      </c>
      <c r="J7118">
        <v>1</v>
      </c>
      <c r="K7118">
        <f>1-844-294-4812</f>
        <v>-5949</v>
      </c>
      <c r="L7118" t="s">
        <v>22363</v>
      </c>
      <c r="M7118" t="s">
        <v>22364</v>
      </c>
      <c r="N7118" t="s">
        <v>278</v>
      </c>
      <c r="O7118" t="s">
        <v>134</v>
      </c>
      <c r="P7118" t="s">
        <v>29</v>
      </c>
      <c r="Q7118">
        <v>42</v>
      </c>
      <c r="R7118">
        <v>-93.620800000000003</v>
      </c>
    </row>
    <row r="7119" spans="1:18" x14ac:dyDescent="0.2">
      <c r="A7119" t="s">
        <v>270</v>
      </c>
      <c r="B7119" t="s">
        <v>271</v>
      </c>
      <c r="C7119">
        <v>1</v>
      </c>
      <c r="D7119" s="1">
        <v>44149.123043981483</v>
      </c>
      <c r="E7119" t="s">
        <v>22365</v>
      </c>
      <c r="F7119" t="s">
        <v>273</v>
      </c>
      <c r="G7119" t="s">
        <v>22317</v>
      </c>
      <c r="H7119" t="s">
        <v>275</v>
      </c>
      <c r="I7119" t="s">
        <v>29</v>
      </c>
      <c r="J7119">
        <v>1</v>
      </c>
      <c r="K7119">
        <f>1-844-290-7339</f>
        <v>-8472</v>
      </c>
      <c r="L7119" t="s">
        <v>22366</v>
      </c>
      <c r="M7119" t="s">
        <v>22367</v>
      </c>
      <c r="N7119" t="s">
        <v>278</v>
      </c>
      <c r="O7119" t="s">
        <v>134</v>
      </c>
      <c r="P7119" t="s">
        <v>29</v>
      </c>
      <c r="Q7119">
        <v>42</v>
      </c>
      <c r="R7119">
        <v>-93.620800000000003</v>
      </c>
    </row>
    <row r="7120" spans="1:18" x14ac:dyDescent="0.2">
      <c r="A7120" t="s">
        <v>270</v>
      </c>
      <c r="B7120" t="s">
        <v>271</v>
      </c>
      <c r="C7120">
        <v>1</v>
      </c>
      <c r="D7120" s="1">
        <v>44149.121990740743</v>
      </c>
      <c r="E7120" t="s">
        <v>22368</v>
      </c>
      <c r="F7120" t="s">
        <v>273</v>
      </c>
      <c r="G7120" t="s">
        <v>22317</v>
      </c>
      <c r="H7120" t="s">
        <v>275</v>
      </c>
      <c r="I7120" t="s">
        <v>29</v>
      </c>
      <c r="J7120">
        <v>1</v>
      </c>
      <c r="K7120">
        <f>1-844-295-7564</f>
        <v>-8702</v>
      </c>
      <c r="L7120" t="s">
        <v>22369</v>
      </c>
      <c r="M7120" t="s">
        <v>22370</v>
      </c>
      <c r="N7120" t="s">
        <v>278</v>
      </c>
      <c r="O7120" t="s">
        <v>134</v>
      </c>
      <c r="P7120" t="s">
        <v>29</v>
      </c>
      <c r="Q7120">
        <v>42</v>
      </c>
      <c r="R7120">
        <v>-93.620800000000003</v>
      </c>
    </row>
    <row r="7121" spans="1:18" x14ac:dyDescent="0.2">
      <c r="A7121" t="s">
        <v>270</v>
      </c>
      <c r="B7121" t="s">
        <v>271</v>
      </c>
      <c r="C7121">
        <v>1</v>
      </c>
      <c r="D7121" s="1">
        <v>44144.727719907409</v>
      </c>
      <c r="E7121" t="s">
        <v>22371</v>
      </c>
      <c r="F7121" t="s">
        <v>273</v>
      </c>
      <c r="G7121" t="s">
        <v>22317</v>
      </c>
      <c r="H7121" t="s">
        <v>275</v>
      </c>
      <c r="I7121" t="s">
        <v>29</v>
      </c>
      <c r="J7121">
        <v>1</v>
      </c>
      <c r="K7121">
        <f>1-844-276-4002</f>
        <v>-5121</v>
      </c>
      <c r="L7121" t="s">
        <v>22372</v>
      </c>
      <c r="M7121" t="s">
        <v>22373</v>
      </c>
      <c r="N7121" t="s">
        <v>278</v>
      </c>
      <c r="O7121" t="s">
        <v>28</v>
      </c>
      <c r="P7121" t="s">
        <v>29</v>
      </c>
      <c r="Q7121">
        <v>42</v>
      </c>
      <c r="R7121">
        <v>-93.620800000000003</v>
      </c>
    </row>
    <row r="7122" spans="1:18" x14ac:dyDescent="0.2">
      <c r="A7122" t="s">
        <v>270</v>
      </c>
      <c r="B7122" t="s">
        <v>271</v>
      </c>
      <c r="C7122">
        <v>1</v>
      </c>
      <c r="D7122" s="1">
        <v>44140.780810185184</v>
      </c>
      <c r="E7122" t="s">
        <v>22374</v>
      </c>
      <c r="F7122" t="s">
        <v>273</v>
      </c>
      <c r="G7122" t="s">
        <v>22317</v>
      </c>
      <c r="H7122" t="s">
        <v>275</v>
      </c>
      <c r="I7122" t="s">
        <v>29</v>
      </c>
      <c r="J7122">
        <v>1</v>
      </c>
      <c r="K7122">
        <f>1-888-397-7606</f>
        <v>-8890</v>
      </c>
      <c r="L7122" t="s">
        <v>22375</v>
      </c>
      <c r="M7122" t="s">
        <v>22376</v>
      </c>
      <c r="N7122" t="s">
        <v>278</v>
      </c>
      <c r="O7122" t="s">
        <v>28</v>
      </c>
      <c r="P7122" t="s">
        <v>29</v>
      </c>
      <c r="Q7122">
        <v>42</v>
      </c>
      <c r="R7122">
        <v>-93.620800000000003</v>
      </c>
    </row>
    <row r="7123" spans="1:18" x14ac:dyDescent="0.2">
      <c r="A7123" t="s">
        <v>270</v>
      </c>
      <c r="B7123" t="s">
        <v>271</v>
      </c>
      <c r="C7123">
        <v>1</v>
      </c>
      <c r="D7123" s="1">
        <v>44140.779270833336</v>
      </c>
      <c r="E7123" t="s">
        <v>22377</v>
      </c>
      <c r="F7123" t="s">
        <v>273</v>
      </c>
      <c r="G7123" t="s">
        <v>22317</v>
      </c>
      <c r="H7123" t="s">
        <v>275</v>
      </c>
      <c r="I7123" t="s">
        <v>29</v>
      </c>
      <c r="J7123">
        <v>1</v>
      </c>
      <c r="K7123">
        <f>1-888-397-7606</f>
        <v>-8890</v>
      </c>
      <c r="L7123" t="s">
        <v>22378</v>
      </c>
      <c r="M7123" t="s">
        <v>22379</v>
      </c>
      <c r="N7123" t="s">
        <v>278</v>
      </c>
      <c r="O7123" t="s">
        <v>28</v>
      </c>
      <c r="P7123" t="s">
        <v>29</v>
      </c>
      <c r="Q7123">
        <v>42</v>
      </c>
      <c r="R7123">
        <v>-93.620800000000003</v>
      </c>
    </row>
    <row r="7124" spans="1:18" x14ac:dyDescent="0.2">
      <c r="A7124" t="s">
        <v>270</v>
      </c>
      <c r="B7124" t="s">
        <v>271</v>
      </c>
      <c r="C7124">
        <v>1</v>
      </c>
      <c r="D7124" s="1">
        <v>44140.778113425928</v>
      </c>
      <c r="E7124" t="s">
        <v>22380</v>
      </c>
      <c r="F7124" t="s">
        <v>273</v>
      </c>
      <c r="G7124" t="s">
        <v>22317</v>
      </c>
      <c r="H7124" t="s">
        <v>275</v>
      </c>
      <c r="I7124" t="s">
        <v>29</v>
      </c>
      <c r="J7124">
        <v>1</v>
      </c>
      <c r="K7124">
        <f>1-888-397-7606</f>
        <v>-8890</v>
      </c>
      <c r="L7124" t="s">
        <v>22381</v>
      </c>
      <c r="M7124" t="s">
        <v>22382</v>
      </c>
      <c r="N7124" t="s">
        <v>278</v>
      </c>
      <c r="O7124" t="s">
        <v>28</v>
      </c>
      <c r="P7124" t="s">
        <v>29</v>
      </c>
      <c r="Q7124">
        <v>42</v>
      </c>
      <c r="R7124">
        <v>-93.620800000000003</v>
      </c>
    </row>
    <row r="7125" spans="1:18" x14ac:dyDescent="0.2">
      <c r="A7125" t="s">
        <v>2233</v>
      </c>
      <c r="B7125" t="s">
        <v>4672</v>
      </c>
      <c r="C7125">
        <v>61</v>
      </c>
      <c r="D7125" s="1">
        <v>44140.816250000003</v>
      </c>
      <c r="E7125" t="s">
        <v>20703</v>
      </c>
      <c r="F7125" t="s">
        <v>2236</v>
      </c>
      <c r="G7125" t="s">
        <v>22383</v>
      </c>
      <c r="H7125" t="s">
        <v>2237</v>
      </c>
      <c r="I7125" t="s">
        <v>782</v>
      </c>
      <c r="J7125">
        <v>61</v>
      </c>
      <c r="K7125">
        <f>61-1800-290-946</f>
        <v>-2975</v>
      </c>
      <c r="L7125" t="s">
        <v>22384</v>
      </c>
      <c r="M7125" t="s">
        <v>22385</v>
      </c>
      <c r="N7125" t="s">
        <v>5354</v>
      </c>
      <c r="O7125" t="s">
        <v>28</v>
      </c>
      <c r="P7125" t="s">
        <v>782</v>
      </c>
      <c r="Q7125">
        <v>-34</v>
      </c>
      <c r="R7125">
        <v>99.999999000000003</v>
      </c>
    </row>
    <row r="7126" spans="1:18" x14ac:dyDescent="0.2">
      <c r="A7126" t="s">
        <v>663</v>
      </c>
      <c r="B7126" t="s">
        <v>2493</v>
      </c>
      <c r="C7126">
        <v>1</v>
      </c>
      <c r="D7126" s="1">
        <v>44140.845636574071</v>
      </c>
      <c r="E7126" t="s">
        <v>22386</v>
      </c>
      <c r="F7126" t="s">
        <v>666</v>
      </c>
      <c r="G7126" t="s">
        <v>22386</v>
      </c>
      <c r="H7126" t="s">
        <v>667</v>
      </c>
      <c r="I7126" t="s">
        <v>29</v>
      </c>
      <c r="J7126">
        <v>1</v>
      </c>
      <c r="K7126">
        <f>1-888-336-5926</f>
        <v>-7149</v>
      </c>
      <c r="L7126" t="s">
        <v>22387</v>
      </c>
      <c r="M7126" t="s">
        <v>22388</v>
      </c>
      <c r="N7126">
        <v>143</v>
      </c>
      <c r="O7126" t="s">
        <v>134</v>
      </c>
      <c r="P7126" t="s">
        <v>29</v>
      </c>
      <c r="Q7126">
        <v>41</v>
      </c>
      <c r="R7126">
        <v>-74.024699999999996</v>
      </c>
    </row>
    <row r="7127" spans="1:18" x14ac:dyDescent="0.2">
      <c r="A7127" t="s">
        <v>439</v>
      </c>
      <c r="B7127" t="s">
        <v>3094</v>
      </c>
      <c r="C7127">
        <v>1</v>
      </c>
      <c r="D7127" s="1">
        <v>44140.848703703705</v>
      </c>
      <c r="E7127" t="s">
        <v>22389</v>
      </c>
      <c r="F7127" t="s">
        <v>442</v>
      </c>
      <c r="G7127" t="s">
        <v>22390</v>
      </c>
      <c r="H7127" t="s">
        <v>444</v>
      </c>
      <c r="I7127" t="s">
        <v>29</v>
      </c>
      <c r="J7127">
        <v>1</v>
      </c>
      <c r="K7127">
        <f>1-833-377-2116</f>
        <v>-3325</v>
      </c>
      <c r="L7127" t="s">
        <v>22391</v>
      </c>
      <c r="M7127" t="s">
        <v>22392</v>
      </c>
      <c r="N7127" t="s">
        <v>36</v>
      </c>
      <c r="O7127" t="s">
        <v>28</v>
      </c>
      <c r="P7127" t="s">
        <v>2268</v>
      </c>
      <c r="Q7127">
        <v>46</v>
      </c>
      <c r="R7127">
        <v>-73.567300000000003</v>
      </c>
    </row>
    <row r="7128" spans="1:18" x14ac:dyDescent="0.2">
      <c r="A7128" t="s">
        <v>663</v>
      </c>
      <c r="B7128" t="s">
        <v>2493</v>
      </c>
      <c r="C7128">
        <v>1</v>
      </c>
      <c r="D7128" s="1">
        <v>44140.863136574073</v>
      </c>
      <c r="E7128" t="s">
        <v>22393</v>
      </c>
      <c r="F7128" t="s">
        <v>666</v>
      </c>
      <c r="G7128" t="s">
        <v>22393</v>
      </c>
      <c r="H7128" t="s">
        <v>667</v>
      </c>
      <c r="I7128" t="s">
        <v>29</v>
      </c>
      <c r="J7128">
        <v>1</v>
      </c>
      <c r="K7128">
        <f>1-888-305-508</f>
        <v>-1700</v>
      </c>
      <c r="L7128" t="s">
        <v>22394</v>
      </c>
      <c r="M7128" t="s">
        <v>22395</v>
      </c>
      <c r="N7128">
        <v>24</v>
      </c>
      <c r="O7128" t="s">
        <v>134</v>
      </c>
      <c r="P7128" t="s">
        <v>29</v>
      </c>
      <c r="Q7128">
        <v>41</v>
      </c>
      <c r="R7128">
        <v>-74.024699999999996</v>
      </c>
    </row>
    <row r="7129" spans="1:18" x14ac:dyDescent="0.2">
      <c r="A7129" t="s">
        <v>439</v>
      </c>
      <c r="B7129" t="s">
        <v>4321</v>
      </c>
      <c r="C7129">
        <v>1</v>
      </c>
      <c r="D7129" s="1">
        <v>44140.869039351855</v>
      </c>
      <c r="E7129" t="s">
        <v>22396</v>
      </c>
      <c r="F7129" t="s">
        <v>442</v>
      </c>
      <c r="G7129" t="s">
        <v>22397</v>
      </c>
      <c r="H7129" t="s">
        <v>444</v>
      </c>
      <c r="I7129" t="s">
        <v>29</v>
      </c>
      <c r="J7129">
        <v>1</v>
      </c>
      <c r="K7129">
        <f>1-888-392-7321</f>
        <v>-8600</v>
      </c>
      <c r="L7129" t="s">
        <v>22398</v>
      </c>
      <c r="M7129" t="s">
        <v>22399</v>
      </c>
      <c r="N7129" t="s">
        <v>683</v>
      </c>
      <c r="O7129" t="s">
        <v>28</v>
      </c>
      <c r="P7129" t="s">
        <v>29</v>
      </c>
      <c r="Q7129">
        <v>42</v>
      </c>
      <c r="R7129">
        <v>-87.629800000000003</v>
      </c>
    </row>
    <row r="7130" spans="1:18" x14ac:dyDescent="0.2">
      <c r="A7130" t="s">
        <v>2349</v>
      </c>
      <c r="B7130" t="s">
        <v>22400</v>
      </c>
      <c r="C7130">
        <v>81</v>
      </c>
      <c r="D7130" s="1">
        <v>44141.285914351851</v>
      </c>
      <c r="E7130" t="s">
        <v>22401</v>
      </c>
      <c r="F7130" t="s">
        <v>4584</v>
      </c>
      <c r="G7130" t="s">
        <v>22401</v>
      </c>
      <c r="H7130" t="s">
        <v>2353</v>
      </c>
      <c r="I7130" t="s">
        <v>53</v>
      </c>
      <c r="J7130">
        <v>81</v>
      </c>
      <c r="K7130">
        <f>81-50-3196-4797</f>
        <v>-7962</v>
      </c>
      <c r="L7130" t="s">
        <v>22402</v>
      </c>
      <c r="M7130" t="s">
        <v>22403</v>
      </c>
      <c r="N7130">
        <v>57</v>
      </c>
      <c r="O7130" t="s">
        <v>134</v>
      </c>
      <c r="P7130" t="s">
        <v>53</v>
      </c>
      <c r="Q7130">
        <v>36</v>
      </c>
      <c r="R7130">
        <v>99.999999000000003</v>
      </c>
    </row>
    <row r="7131" spans="1:18" x14ac:dyDescent="0.2">
      <c r="A7131" t="s">
        <v>439</v>
      </c>
      <c r="B7131" t="s">
        <v>3094</v>
      </c>
      <c r="C7131">
        <v>1</v>
      </c>
      <c r="D7131" s="1">
        <v>44140.881215277775</v>
      </c>
      <c r="E7131" t="s">
        <v>22396</v>
      </c>
      <c r="F7131" t="s">
        <v>442</v>
      </c>
      <c r="G7131" t="s">
        <v>22404</v>
      </c>
      <c r="H7131" t="s">
        <v>444</v>
      </c>
      <c r="I7131" t="s">
        <v>29</v>
      </c>
      <c r="J7131">
        <v>1</v>
      </c>
      <c r="K7131">
        <f>1-888-259-3848</f>
        <v>-4994</v>
      </c>
      <c r="L7131" t="s">
        <v>22405</v>
      </c>
      <c r="M7131" t="s">
        <v>22406</v>
      </c>
      <c r="N7131" t="s">
        <v>683</v>
      </c>
      <c r="O7131" t="s">
        <v>28</v>
      </c>
      <c r="P7131" t="s">
        <v>2268</v>
      </c>
      <c r="Q7131">
        <v>46</v>
      </c>
      <c r="R7131">
        <v>-73.567300000000003</v>
      </c>
    </row>
    <row r="7132" spans="1:18" x14ac:dyDescent="0.2">
      <c r="A7132" t="s">
        <v>439</v>
      </c>
      <c r="B7132" t="s">
        <v>3094</v>
      </c>
      <c r="C7132">
        <v>1</v>
      </c>
      <c r="D7132" s="1">
        <v>44140.930381944447</v>
      </c>
      <c r="E7132" t="s">
        <v>22407</v>
      </c>
      <c r="F7132" t="s">
        <v>442</v>
      </c>
      <c r="G7132" t="s">
        <v>22408</v>
      </c>
      <c r="H7132" t="s">
        <v>444</v>
      </c>
      <c r="I7132" t="s">
        <v>29</v>
      </c>
      <c r="J7132">
        <v>1</v>
      </c>
      <c r="K7132">
        <f>1-844-304-9480</f>
        <v>-10627</v>
      </c>
      <c r="L7132" t="s">
        <v>22409</v>
      </c>
      <c r="M7132" t="s">
        <v>22410</v>
      </c>
      <c r="N7132" t="s">
        <v>36</v>
      </c>
      <c r="O7132" t="s">
        <v>28</v>
      </c>
      <c r="P7132" t="s">
        <v>2268</v>
      </c>
      <c r="Q7132">
        <v>46</v>
      </c>
      <c r="R7132">
        <v>-73.567300000000003</v>
      </c>
    </row>
    <row r="7133" spans="1:18" x14ac:dyDescent="0.2">
      <c r="A7133" t="s">
        <v>2233</v>
      </c>
      <c r="B7133" t="s">
        <v>2500</v>
      </c>
      <c r="C7133">
        <v>1</v>
      </c>
      <c r="D7133" s="1">
        <v>44140.932754629626</v>
      </c>
      <c r="E7133" t="s">
        <v>17586</v>
      </c>
      <c r="F7133" t="s">
        <v>2236</v>
      </c>
      <c r="G7133" t="s">
        <v>22411</v>
      </c>
      <c r="H7133" t="s">
        <v>2237</v>
      </c>
      <c r="I7133" t="s">
        <v>29</v>
      </c>
      <c r="J7133">
        <v>1</v>
      </c>
      <c r="K7133">
        <f>1-844-264-1242</f>
        <v>-2349</v>
      </c>
      <c r="L7133" t="s">
        <v>22412</v>
      </c>
      <c r="M7133" t="s">
        <v>22413</v>
      </c>
      <c r="N7133" t="s">
        <v>5354</v>
      </c>
      <c r="O7133" t="s">
        <v>28</v>
      </c>
      <c r="P7133" t="s">
        <v>2500</v>
      </c>
      <c r="Q7133">
        <v>1</v>
      </c>
      <c r="R7133">
        <v>99.999999000000003</v>
      </c>
    </row>
    <row r="7134" spans="1:18" x14ac:dyDescent="0.2">
      <c r="A7134" t="s">
        <v>663</v>
      </c>
      <c r="B7134" t="s">
        <v>2493</v>
      </c>
      <c r="C7134">
        <v>61</v>
      </c>
      <c r="D7134" s="1">
        <v>44141.230173611111</v>
      </c>
      <c r="E7134" t="s">
        <v>22414</v>
      </c>
      <c r="F7134" t="s">
        <v>666</v>
      </c>
      <c r="G7134" t="s">
        <v>22414</v>
      </c>
      <c r="H7134" t="s">
        <v>667</v>
      </c>
      <c r="I7134" t="s">
        <v>782</v>
      </c>
      <c r="J7134">
        <v>61</v>
      </c>
      <c r="K7134">
        <f>61-1800-248-183</f>
        <v>-2170</v>
      </c>
      <c r="L7134" t="s">
        <v>22415</v>
      </c>
      <c r="M7134" t="s">
        <v>22416</v>
      </c>
      <c r="N7134">
        <v>148</v>
      </c>
      <c r="O7134" t="s">
        <v>134</v>
      </c>
      <c r="P7134" t="s">
        <v>29</v>
      </c>
      <c r="Q7134">
        <v>41</v>
      </c>
      <c r="R7134">
        <v>-74.024699999999996</v>
      </c>
    </row>
    <row r="7135" spans="1:18" x14ac:dyDescent="0.2">
      <c r="A7135" t="s">
        <v>439</v>
      </c>
      <c r="B7135" t="s">
        <v>3094</v>
      </c>
      <c r="C7135">
        <v>81</v>
      </c>
      <c r="D7135" s="1">
        <v>44141.28702546296</v>
      </c>
      <c r="E7135" t="s">
        <v>22417</v>
      </c>
      <c r="F7135" t="s">
        <v>442</v>
      </c>
      <c r="G7135" t="s">
        <v>22418</v>
      </c>
      <c r="H7135" t="s">
        <v>444</v>
      </c>
      <c r="I7135" t="s">
        <v>53</v>
      </c>
      <c r="J7135">
        <v>81</v>
      </c>
      <c r="K7135">
        <f>81-50-5809-9063</f>
        <v>-14841</v>
      </c>
      <c r="L7135" t="s">
        <v>22419</v>
      </c>
      <c r="M7135" t="s">
        <v>22420</v>
      </c>
      <c r="N7135" t="s">
        <v>447</v>
      </c>
      <c r="O7135" t="s">
        <v>28</v>
      </c>
      <c r="P7135" t="s">
        <v>2268</v>
      </c>
      <c r="Q7135">
        <v>46</v>
      </c>
      <c r="R7135">
        <v>-73.567300000000003</v>
      </c>
    </row>
    <row r="7136" spans="1:18" x14ac:dyDescent="0.2">
      <c r="A7136" t="s">
        <v>439</v>
      </c>
      <c r="B7136" t="s">
        <v>4321</v>
      </c>
      <c r="C7136">
        <v>1</v>
      </c>
      <c r="D7136" s="1">
        <v>44141.651585648149</v>
      </c>
      <c r="E7136" t="s">
        <v>22421</v>
      </c>
      <c r="F7136" t="s">
        <v>442</v>
      </c>
      <c r="G7136" t="s">
        <v>22422</v>
      </c>
      <c r="H7136" t="s">
        <v>444</v>
      </c>
      <c r="I7136" t="s">
        <v>29</v>
      </c>
      <c r="J7136">
        <v>1</v>
      </c>
      <c r="K7136">
        <f>1-888-348-4580</f>
        <v>-5815</v>
      </c>
      <c r="L7136" t="s">
        <v>22423</v>
      </c>
      <c r="M7136" t="s">
        <v>22424</v>
      </c>
      <c r="N7136" t="s">
        <v>1645</v>
      </c>
      <c r="O7136" t="s">
        <v>28</v>
      </c>
      <c r="P7136" t="s">
        <v>29</v>
      </c>
      <c r="Q7136">
        <v>42</v>
      </c>
      <c r="R7136">
        <v>-87.629800000000003</v>
      </c>
    </row>
    <row r="7137" spans="1:18" x14ac:dyDescent="0.2">
      <c r="A7137" t="s">
        <v>439</v>
      </c>
      <c r="B7137" t="s">
        <v>3094</v>
      </c>
      <c r="C7137">
        <v>1</v>
      </c>
      <c r="D7137" s="1">
        <v>44141.688634259262</v>
      </c>
      <c r="E7137" t="s">
        <v>22421</v>
      </c>
      <c r="F7137" t="s">
        <v>442</v>
      </c>
      <c r="G7137" t="s">
        <v>22425</v>
      </c>
      <c r="H7137" t="s">
        <v>444</v>
      </c>
      <c r="I7137" t="s">
        <v>29</v>
      </c>
      <c r="J7137">
        <v>1</v>
      </c>
      <c r="K7137">
        <f>1-888-384-741</f>
        <v>-2012</v>
      </c>
      <c r="L7137" t="s">
        <v>22426</v>
      </c>
      <c r="M7137" t="s">
        <v>22427</v>
      </c>
      <c r="N7137" t="s">
        <v>1645</v>
      </c>
      <c r="O7137" t="s">
        <v>28</v>
      </c>
      <c r="P7137" t="s">
        <v>2268</v>
      </c>
      <c r="Q7137">
        <v>46</v>
      </c>
      <c r="R7137">
        <v>-73.567300000000003</v>
      </c>
    </row>
    <row r="7138" spans="1:18" x14ac:dyDescent="0.2">
      <c r="A7138" t="s">
        <v>439</v>
      </c>
      <c r="B7138" t="s">
        <v>3094</v>
      </c>
      <c r="C7138">
        <v>1</v>
      </c>
      <c r="D7138" s="1">
        <v>44141.743807870371</v>
      </c>
      <c r="E7138" t="s">
        <v>22428</v>
      </c>
      <c r="F7138" t="s">
        <v>442</v>
      </c>
      <c r="G7138" t="s">
        <v>22429</v>
      </c>
      <c r="H7138" t="s">
        <v>444</v>
      </c>
      <c r="I7138" t="s">
        <v>29</v>
      </c>
      <c r="J7138">
        <v>1</v>
      </c>
      <c r="K7138">
        <f>1-888-396-3815</f>
        <v>-5098</v>
      </c>
      <c r="L7138" t="s">
        <v>22430</v>
      </c>
      <c r="M7138" t="s">
        <v>22431</v>
      </c>
      <c r="N7138" t="s">
        <v>2475</v>
      </c>
      <c r="O7138" t="s">
        <v>28</v>
      </c>
      <c r="P7138" t="s">
        <v>2268</v>
      </c>
      <c r="Q7138">
        <v>46</v>
      </c>
      <c r="R7138">
        <v>-73.567300000000003</v>
      </c>
    </row>
    <row r="7139" spans="1:18" x14ac:dyDescent="0.2">
      <c r="A7139" t="s">
        <v>663</v>
      </c>
      <c r="B7139" t="s">
        <v>2493</v>
      </c>
      <c r="C7139">
        <v>1</v>
      </c>
      <c r="D7139" s="1">
        <v>44141.770601851851</v>
      </c>
      <c r="E7139" t="s">
        <v>22432</v>
      </c>
      <c r="F7139" t="s">
        <v>666</v>
      </c>
      <c r="G7139" t="s">
        <v>22432</v>
      </c>
      <c r="H7139" t="s">
        <v>667</v>
      </c>
      <c r="I7139" t="s">
        <v>29</v>
      </c>
      <c r="J7139">
        <v>1</v>
      </c>
      <c r="K7139">
        <f>1-888-301-41</f>
        <v>-1229</v>
      </c>
      <c r="L7139" t="s">
        <v>22433</v>
      </c>
      <c r="M7139" t="s">
        <v>22434</v>
      </c>
      <c r="N7139">
        <v>102</v>
      </c>
      <c r="O7139" t="s">
        <v>134</v>
      </c>
      <c r="P7139" t="s">
        <v>29</v>
      </c>
      <c r="Q7139">
        <v>41</v>
      </c>
      <c r="R7139">
        <v>-74.024699999999996</v>
      </c>
    </row>
    <row r="7140" spans="1:18" x14ac:dyDescent="0.2">
      <c r="A7140" t="s">
        <v>663</v>
      </c>
      <c r="B7140" t="s">
        <v>2493</v>
      </c>
      <c r="C7140">
        <v>1</v>
      </c>
      <c r="D7140" s="1">
        <v>44141.768865740742</v>
      </c>
      <c r="E7140" t="s">
        <v>22432</v>
      </c>
      <c r="F7140" t="s">
        <v>666</v>
      </c>
      <c r="G7140" t="s">
        <v>22432</v>
      </c>
      <c r="H7140" t="s">
        <v>667</v>
      </c>
      <c r="I7140" t="s">
        <v>29</v>
      </c>
      <c r="J7140">
        <v>1</v>
      </c>
      <c r="K7140">
        <f>1-888-350-7002</f>
        <v>-8239</v>
      </c>
      <c r="L7140" t="s">
        <v>22435</v>
      </c>
      <c r="M7140" t="s">
        <v>22436</v>
      </c>
      <c r="N7140">
        <v>102</v>
      </c>
      <c r="O7140" t="s">
        <v>134</v>
      </c>
      <c r="P7140" t="s">
        <v>29</v>
      </c>
      <c r="Q7140">
        <v>41</v>
      </c>
      <c r="R7140">
        <v>-74.024699999999996</v>
      </c>
    </row>
    <row r="7141" spans="1:18" x14ac:dyDescent="0.2">
      <c r="A7141" t="s">
        <v>439</v>
      </c>
      <c r="B7141" t="s">
        <v>3094</v>
      </c>
      <c r="C7141">
        <v>1</v>
      </c>
      <c r="D7141" s="1">
        <v>44141.772060185183</v>
      </c>
      <c r="E7141" t="s">
        <v>22437</v>
      </c>
      <c r="F7141" t="s">
        <v>442</v>
      </c>
      <c r="G7141" t="s">
        <v>22438</v>
      </c>
      <c r="H7141" t="s">
        <v>444</v>
      </c>
      <c r="I7141" t="s">
        <v>29</v>
      </c>
      <c r="J7141">
        <v>1</v>
      </c>
      <c r="K7141">
        <f>1-844-303-5515</f>
        <v>-6661</v>
      </c>
      <c r="L7141" t="s">
        <v>22439</v>
      </c>
      <c r="M7141" t="s">
        <v>22440</v>
      </c>
      <c r="N7141" t="s">
        <v>36</v>
      </c>
      <c r="O7141" t="s">
        <v>28</v>
      </c>
      <c r="P7141" t="s">
        <v>2268</v>
      </c>
      <c r="Q7141">
        <v>46</v>
      </c>
      <c r="R7141">
        <v>-73.567300000000003</v>
      </c>
    </row>
    <row r="7142" spans="1:18" x14ac:dyDescent="0.2">
      <c r="A7142" t="s">
        <v>663</v>
      </c>
      <c r="B7142" t="s">
        <v>2493</v>
      </c>
      <c r="C7142">
        <v>1</v>
      </c>
      <c r="D7142" s="1">
        <v>44141.780960648146</v>
      </c>
      <c r="E7142" t="s">
        <v>22441</v>
      </c>
      <c r="F7142" t="s">
        <v>666</v>
      </c>
      <c r="G7142" t="s">
        <v>22441</v>
      </c>
      <c r="H7142" t="s">
        <v>667</v>
      </c>
      <c r="I7142" t="s">
        <v>29</v>
      </c>
      <c r="J7142">
        <v>1</v>
      </c>
      <c r="K7142">
        <f>1-888-398-1578</f>
        <v>-2863</v>
      </c>
      <c r="L7142" t="s">
        <v>22442</v>
      </c>
      <c r="M7142" t="s">
        <v>22443</v>
      </c>
      <c r="N7142">
        <v>25</v>
      </c>
      <c r="O7142" t="s">
        <v>134</v>
      </c>
      <c r="P7142" t="s">
        <v>29</v>
      </c>
      <c r="Q7142">
        <v>41</v>
      </c>
      <c r="R7142">
        <v>-74.024699999999996</v>
      </c>
    </row>
    <row r="7143" spans="1:18" x14ac:dyDescent="0.2">
      <c r="A7143" t="s">
        <v>663</v>
      </c>
      <c r="B7143" t="s">
        <v>2493</v>
      </c>
      <c r="C7143">
        <v>1</v>
      </c>
      <c r="D7143" s="1">
        <v>44141.780057870368</v>
      </c>
      <c r="E7143" t="s">
        <v>22441</v>
      </c>
      <c r="F7143" t="s">
        <v>666</v>
      </c>
      <c r="G7143" t="s">
        <v>22441</v>
      </c>
      <c r="H7143" t="s">
        <v>667</v>
      </c>
      <c r="I7143" t="s">
        <v>29</v>
      </c>
      <c r="J7143">
        <v>1</v>
      </c>
      <c r="K7143">
        <f>1-888-370-1404</f>
        <v>-2661</v>
      </c>
      <c r="L7143" t="s">
        <v>22444</v>
      </c>
      <c r="M7143" t="s">
        <v>22445</v>
      </c>
      <c r="N7143">
        <v>25</v>
      </c>
      <c r="O7143" t="s">
        <v>134</v>
      </c>
      <c r="P7143" t="s">
        <v>29</v>
      </c>
      <c r="Q7143">
        <v>41</v>
      </c>
      <c r="R7143">
        <v>-74.024699999999996</v>
      </c>
    </row>
    <row r="7144" spans="1:18" x14ac:dyDescent="0.2">
      <c r="A7144" t="s">
        <v>663</v>
      </c>
      <c r="B7144" t="s">
        <v>2493</v>
      </c>
      <c r="C7144">
        <v>61</v>
      </c>
      <c r="D7144" s="1">
        <v>44141.796238425923</v>
      </c>
      <c r="E7144" t="s">
        <v>22446</v>
      </c>
      <c r="F7144" t="s">
        <v>666</v>
      </c>
      <c r="G7144" t="s">
        <v>22447</v>
      </c>
      <c r="H7144" t="s">
        <v>667</v>
      </c>
      <c r="I7144" t="s">
        <v>782</v>
      </c>
      <c r="J7144">
        <v>61</v>
      </c>
      <c r="K7144">
        <f>61-1800-679-123</f>
        <v>-2541</v>
      </c>
      <c r="L7144" t="s">
        <v>22448</v>
      </c>
      <c r="M7144" t="s">
        <v>22449</v>
      </c>
      <c r="N7144" t="s">
        <v>36</v>
      </c>
      <c r="O7144" t="s">
        <v>28</v>
      </c>
      <c r="P7144" t="s">
        <v>29</v>
      </c>
      <c r="Q7144">
        <v>41</v>
      </c>
      <c r="R7144">
        <v>-74.024699999999996</v>
      </c>
    </row>
    <row r="7145" spans="1:18" x14ac:dyDescent="0.2">
      <c r="A7145" t="s">
        <v>2233</v>
      </c>
      <c r="B7145" t="s">
        <v>4672</v>
      </c>
      <c r="C7145">
        <v>1</v>
      </c>
      <c r="D7145" s="1">
        <v>44141.931377314817</v>
      </c>
      <c r="E7145" t="s">
        <v>22450</v>
      </c>
      <c r="F7145" t="s">
        <v>7023</v>
      </c>
      <c r="G7145" t="s">
        <v>22451</v>
      </c>
      <c r="H7145" t="s">
        <v>2237</v>
      </c>
      <c r="I7145" t="s">
        <v>29</v>
      </c>
      <c r="J7145">
        <v>1</v>
      </c>
      <c r="K7145">
        <f>1-844-303-4404</f>
        <v>-5550</v>
      </c>
      <c r="L7145" t="s">
        <v>22452</v>
      </c>
      <c r="M7145" t="s">
        <v>22453</v>
      </c>
      <c r="N7145" t="s">
        <v>22454</v>
      </c>
      <c r="O7145" t="s">
        <v>134</v>
      </c>
      <c r="P7145" t="s">
        <v>782</v>
      </c>
      <c r="Q7145">
        <v>-34</v>
      </c>
      <c r="R7145">
        <v>99.999999000000003</v>
      </c>
    </row>
    <row r="7146" spans="1:18" x14ac:dyDescent="0.2">
      <c r="A7146" t="s">
        <v>2233</v>
      </c>
      <c r="B7146" t="s">
        <v>2234</v>
      </c>
      <c r="C7146">
        <v>1</v>
      </c>
      <c r="D7146" s="1">
        <v>44141.94332175926</v>
      </c>
      <c r="E7146" t="s">
        <v>22455</v>
      </c>
      <c r="F7146" t="s">
        <v>2236</v>
      </c>
      <c r="G7146" t="s">
        <v>22456</v>
      </c>
      <c r="H7146" t="s">
        <v>2237</v>
      </c>
      <c r="I7146" t="s">
        <v>29</v>
      </c>
      <c r="J7146">
        <v>1</v>
      </c>
      <c r="K7146">
        <f>1-888-351-322</f>
        <v>-1560</v>
      </c>
      <c r="L7146" t="s">
        <v>22457</v>
      </c>
      <c r="M7146" t="s">
        <v>22458</v>
      </c>
      <c r="N7146" t="s">
        <v>6761</v>
      </c>
      <c r="O7146" t="s">
        <v>28</v>
      </c>
      <c r="P7146" t="s">
        <v>29</v>
      </c>
      <c r="Q7146">
        <v>40</v>
      </c>
      <c r="R7146">
        <v>-83.114099999999993</v>
      </c>
    </row>
    <row r="7147" spans="1:18" x14ac:dyDescent="0.2">
      <c r="A7147" t="s">
        <v>439</v>
      </c>
      <c r="B7147" t="s">
        <v>4321</v>
      </c>
      <c r="C7147">
        <v>1</v>
      </c>
      <c r="D7147" s="1">
        <v>44142.738136574073</v>
      </c>
      <c r="E7147" t="s">
        <v>22459</v>
      </c>
      <c r="F7147" t="s">
        <v>442</v>
      </c>
      <c r="G7147" t="s">
        <v>22460</v>
      </c>
      <c r="H7147" t="s">
        <v>444</v>
      </c>
      <c r="I7147" t="s">
        <v>29</v>
      </c>
      <c r="J7147">
        <v>1</v>
      </c>
      <c r="K7147">
        <f>1-888-456-5851</f>
        <v>-7194</v>
      </c>
      <c r="L7147" t="s">
        <v>22461</v>
      </c>
      <c r="M7147" t="s">
        <v>22462</v>
      </c>
      <c r="N7147" t="s">
        <v>1645</v>
      </c>
      <c r="O7147" t="s">
        <v>28</v>
      </c>
      <c r="P7147" t="s">
        <v>29</v>
      </c>
      <c r="Q7147">
        <v>42</v>
      </c>
      <c r="R7147">
        <v>-87.629800000000003</v>
      </c>
    </row>
    <row r="7148" spans="1:18" x14ac:dyDescent="0.2">
      <c r="A7148" t="s">
        <v>439</v>
      </c>
      <c r="B7148" t="s">
        <v>4321</v>
      </c>
      <c r="C7148">
        <v>1</v>
      </c>
      <c r="D7148" s="1">
        <v>44142.733472222222</v>
      </c>
      <c r="E7148" t="s">
        <v>22459</v>
      </c>
      <c r="F7148" t="s">
        <v>442</v>
      </c>
      <c r="G7148" t="s">
        <v>22460</v>
      </c>
      <c r="H7148" t="s">
        <v>444</v>
      </c>
      <c r="I7148" t="s">
        <v>29</v>
      </c>
      <c r="J7148">
        <v>1</v>
      </c>
      <c r="K7148">
        <f>1-888-521-2450</f>
        <v>-3858</v>
      </c>
      <c r="L7148" t="s">
        <v>22463</v>
      </c>
      <c r="M7148" t="s">
        <v>22464</v>
      </c>
      <c r="N7148" t="s">
        <v>1645</v>
      </c>
      <c r="O7148" t="s">
        <v>28</v>
      </c>
      <c r="P7148" t="s">
        <v>29</v>
      </c>
      <c r="Q7148">
        <v>42</v>
      </c>
      <c r="R7148">
        <v>-87.629800000000003</v>
      </c>
    </row>
    <row r="7149" spans="1:18" x14ac:dyDescent="0.2">
      <c r="A7149" t="s">
        <v>439</v>
      </c>
      <c r="B7149" t="s">
        <v>4321</v>
      </c>
      <c r="C7149">
        <v>1</v>
      </c>
      <c r="D7149" s="1">
        <v>44142.708923611113</v>
      </c>
      <c r="E7149" t="s">
        <v>22459</v>
      </c>
      <c r="F7149" t="s">
        <v>442</v>
      </c>
      <c r="G7149" t="s">
        <v>22460</v>
      </c>
      <c r="H7149" t="s">
        <v>444</v>
      </c>
      <c r="I7149" t="s">
        <v>29</v>
      </c>
      <c r="J7149">
        <v>1</v>
      </c>
      <c r="K7149">
        <f>1-888-382-2498</f>
        <v>-3767</v>
      </c>
      <c r="L7149" t="s">
        <v>22465</v>
      </c>
      <c r="M7149" t="s">
        <v>22466</v>
      </c>
      <c r="N7149" t="s">
        <v>1645</v>
      </c>
      <c r="O7149" t="s">
        <v>28</v>
      </c>
      <c r="P7149" t="s">
        <v>29</v>
      </c>
      <c r="Q7149">
        <v>42</v>
      </c>
      <c r="R7149">
        <v>-87.629800000000003</v>
      </c>
    </row>
    <row r="7150" spans="1:18" x14ac:dyDescent="0.2">
      <c r="A7150" t="s">
        <v>439</v>
      </c>
      <c r="B7150" t="s">
        <v>4321</v>
      </c>
      <c r="C7150">
        <v>1</v>
      </c>
      <c r="D7150" s="1">
        <v>44142.703356481485</v>
      </c>
      <c r="E7150" t="s">
        <v>22459</v>
      </c>
      <c r="F7150" t="s">
        <v>442</v>
      </c>
      <c r="G7150" t="s">
        <v>22460</v>
      </c>
      <c r="H7150" t="s">
        <v>444</v>
      </c>
      <c r="I7150" t="s">
        <v>29</v>
      </c>
      <c r="J7150">
        <v>1</v>
      </c>
      <c r="K7150">
        <f>1-888-388-4469</f>
        <v>-5744</v>
      </c>
      <c r="L7150" t="s">
        <v>22467</v>
      </c>
      <c r="M7150" t="s">
        <v>22468</v>
      </c>
      <c r="N7150" t="s">
        <v>1645</v>
      </c>
      <c r="O7150" t="s">
        <v>28</v>
      </c>
      <c r="P7150" t="s">
        <v>29</v>
      </c>
      <c r="Q7150">
        <v>42</v>
      </c>
      <c r="R7150">
        <v>-87.629800000000003</v>
      </c>
    </row>
    <row r="7151" spans="1:18" x14ac:dyDescent="0.2">
      <c r="A7151" t="s">
        <v>439</v>
      </c>
      <c r="B7151" t="s">
        <v>3094</v>
      </c>
      <c r="C7151">
        <v>1</v>
      </c>
      <c r="D7151" s="1">
        <v>44142.737708333334</v>
      </c>
      <c r="E7151" t="s">
        <v>22459</v>
      </c>
      <c r="F7151" t="s">
        <v>442</v>
      </c>
      <c r="G7151" t="s">
        <v>22469</v>
      </c>
      <c r="H7151" t="s">
        <v>444</v>
      </c>
      <c r="I7151" t="s">
        <v>29</v>
      </c>
      <c r="J7151">
        <v>1</v>
      </c>
      <c r="K7151">
        <f>1-888-451-3732</f>
        <v>-5070</v>
      </c>
      <c r="L7151" t="s">
        <v>22470</v>
      </c>
      <c r="M7151" t="s">
        <v>22471</v>
      </c>
      <c r="N7151" t="s">
        <v>1645</v>
      </c>
      <c r="O7151" t="s">
        <v>28</v>
      </c>
      <c r="P7151" t="s">
        <v>2268</v>
      </c>
      <c r="Q7151">
        <v>46</v>
      </c>
      <c r="R7151">
        <v>-73.567300000000003</v>
      </c>
    </row>
    <row r="7152" spans="1:18" x14ac:dyDescent="0.2">
      <c r="A7152" t="s">
        <v>439</v>
      </c>
      <c r="B7152" t="s">
        <v>3094</v>
      </c>
      <c r="C7152">
        <v>1</v>
      </c>
      <c r="D7152" s="1">
        <v>44142.708402777775</v>
      </c>
      <c r="E7152" t="s">
        <v>22459</v>
      </c>
      <c r="F7152" t="s">
        <v>442</v>
      </c>
      <c r="G7152" t="s">
        <v>22469</v>
      </c>
      <c r="H7152" t="s">
        <v>444</v>
      </c>
      <c r="I7152" t="s">
        <v>29</v>
      </c>
      <c r="J7152">
        <v>1</v>
      </c>
      <c r="K7152">
        <f>1-888-225-8916</f>
        <v>-10028</v>
      </c>
      <c r="L7152" t="s">
        <v>22472</v>
      </c>
      <c r="M7152" t="s">
        <v>22473</v>
      </c>
      <c r="N7152" t="s">
        <v>1645</v>
      </c>
      <c r="O7152" t="s">
        <v>28</v>
      </c>
      <c r="P7152" t="s">
        <v>2268</v>
      </c>
      <c r="Q7152">
        <v>46</v>
      </c>
      <c r="R7152">
        <v>-73.567300000000003</v>
      </c>
    </row>
    <row r="7153" spans="1:18" x14ac:dyDescent="0.2">
      <c r="A7153" t="s">
        <v>439</v>
      </c>
      <c r="B7153" t="s">
        <v>3094</v>
      </c>
      <c r="C7153">
        <v>1</v>
      </c>
      <c r="D7153" s="1">
        <v>44142.707615740743</v>
      </c>
      <c r="E7153" t="s">
        <v>22459</v>
      </c>
      <c r="F7153" t="s">
        <v>442</v>
      </c>
      <c r="G7153" t="s">
        <v>22469</v>
      </c>
      <c r="H7153" t="s">
        <v>444</v>
      </c>
      <c r="I7153" t="s">
        <v>29</v>
      </c>
      <c r="J7153">
        <v>1</v>
      </c>
      <c r="K7153">
        <f>1-888-392-252</f>
        <v>-1531</v>
      </c>
      <c r="L7153" t="s">
        <v>22474</v>
      </c>
      <c r="M7153" t="s">
        <v>22475</v>
      </c>
      <c r="N7153" t="s">
        <v>1645</v>
      </c>
      <c r="O7153" t="s">
        <v>28</v>
      </c>
      <c r="P7153" t="s">
        <v>2268</v>
      </c>
      <c r="Q7153">
        <v>46</v>
      </c>
      <c r="R7153">
        <v>-73.567300000000003</v>
      </c>
    </row>
    <row r="7154" spans="1:18" x14ac:dyDescent="0.2">
      <c r="A7154" t="s">
        <v>439</v>
      </c>
      <c r="B7154" t="s">
        <v>3094</v>
      </c>
      <c r="C7154">
        <v>1</v>
      </c>
      <c r="D7154" s="1">
        <v>44142.707962962966</v>
      </c>
      <c r="E7154" t="s">
        <v>22459</v>
      </c>
      <c r="F7154" t="s">
        <v>442</v>
      </c>
      <c r="G7154" t="s">
        <v>22476</v>
      </c>
      <c r="H7154" t="s">
        <v>444</v>
      </c>
      <c r="I7154" t="s">
        <v>29</v>
      </c>
      <c r="J7154">
        <v>1</v>
      </c>
      <c r="K7154">
        <f>1-888-401-1863</f>
        <v>-3151</v>
      </c>
      <c r="L7154" t="s">
        <v>22477</v>
      </c>
      <c r="M7154" t="s">
        <v>22478</v>
      </c>
      <c r="N7154" t="s">
        <v>1645</v>
      </c>
      <c r="O7154" t="s">
        <v>28</v>
      </c>
      <c r="P7154" t="s">
        <v>2268</v>
      </c>
      <c r="Q7154">
        <v>46</v>
      </c>
      <c r="R7154">
        <v>-73.567300000000003</v>
      </c>
    </row>
    <row r="7155" spans="1:18" x14ac:dyDescent="0.2">
      <c r="A7155" t="s">
        <v>18</v>
      </c>
      <c r="B7155" t="s">
        <v>462</v>
      </c>
      <c r="C7155">
        <v>1</v>
      </c>
      <c r="D7155" s="1">
        <v>44142.724247685182</v>
      </c>
      <c r="E7155" t="s">
        <v>22479</v>
      </c>
      <c r="F7155" t="s">
        <v>464</v>
      </c>
      <c r="G7155" t="s">
        <v>22480</v>
      </c>
      <c r="H7155" t="s">
        <v>466</v>
      </c>
      <c r="I7155" t="s">
        <v>29</v>
      </c>
      <c r="J7155">
        <v>1</v>
      </c>
      <c r="K7155">
        <f>1-877-906-8770</f>
        <v>-10552</v>
      </c>
      <c r="L7155" t="s">
        <v>22481</v>
      </c>
      <c r="M7155" t="s">
        <v>22482</v>
      </c>
      <c r="N7155" t="s">
        <v>452</v>
      </c>
      <c r="O7155" t="s">
        <v>28</v>
      </c>
      <c r="P7155" t="s">
        <v>29</v>
      </c>
      <c r="Q7155">
        <v>40</v>
      </c>
      <c r="R7155">
        <v>-99.999999000000003</v>
      </c>
    </row>
    <row r="7156" spans="1:18" x14ac:dyDescent="0.2">
      <c r="A7156" t="s">
        <v>439</v>
      </c>
      <c r="B7156" t="s">
        <v>3094</v>
      </c>
      <c r="C7156">
        <v>1</v>
      </c>
      <c r="D7156" s="1">
        <v>44142.750486111108</v>
      </c>
      <c r="E7156" t="s">
        <v>22483</v>
      </c>
      <c r="F7156" t="s">
        <v>442</v>
      </c>
      <c r="G7156" t="s">
        <v>22484</v>
      </c>
      <c r="H7156" t="s">
        <v>444</v>
      </c>
      <c r="I7156" t="s">
        <v>29</v>
      </c>
      <c r="J7156">
        <v>1</v>
      </c>
      <c r="K7156">
        <f>1-844-302-3182</f>
        <v>-4327</v>
      </c>
      <c r="L7156" t="s">
        <v>22485</v>
      </c>
      <c r="M7156" t="s">
        <v>22486</v>
      </c>
      <c r="N7156" t="s">
        <v>36</v>
      </c>
      <c r="O7156" t="s">
        <v>28</v>
      </c>
      <c r="P7156" t="s">
        <v>2268</v>
      </c>
      <c r="Q7156">
        <v>46</v>
      </c>
      <c r="R7156">
        <v>-73.567300000000003</v>
      </c>
    </row>
    <row r="7157" spans="1:18" x14ac:dyDescent="0.2">
      <c r="A7157" t="s">
        <v>439</v>
      </c>
      <c r="B7157" t="s">
        <v>4321</v>
      </c>
      <c r="C7157">
        <v>1</v>
      </c>
      <c r="D7157" s="1">
        <v>44142.765300925923</v>
      </c>
      <c r="E7157" t="s">
        <v>22487</v>
      </c>
      <c r="F7157" t="s">
        <v>442</v>
      </c>
      <c r="G7157" t="s">
        <v>22488</v>
      </c>
      <c r="H7157" t="s">
        <v>444</v>
      </c>
      <c r="I7157" t="s">
        <v>29</v>
      </c>
      <c r="J7157">
        <v>1</v>
      </c>
      <c r="K7157">
        <f>1-888-530-4416</f>
        <v>-5833</v>
      </c>
      <c r="L7157" t="s">
        <v>22489</v>
      </c>
      <c r="M7157" t="s">
        <v>22490</v>
      </c>
      <c r="N7157" t="s">
        <v>5354</v>
      </c>
      <c r="O7157" t="s">
        <v>28</v>
      </c>
      <c r="P7157" t="s">
        <v>29</v>
      </c>
      <c r="Q7157">
        <v>42</v>
      </c>
      <c r="R7157">
        <v>-87.629800000000003</v>
      </c>
    </row>
    <row r="7158" spans="1:18" x14ac:dyDescent="0.2">
      <c r="A7158" t="s">
        <v>439</v>
      </c>
      <c r="B7158" t="s">
        <v>4321</v>
      </c>
      <c r="C7158">
        <v>1</v>
      </c>
      <c r="D7158" s="1">
        <v>44142.763113425928</v>
      </c>
      <c r="E7158" t="s">
        <v>22487</v>
      </c>
      <c r="F7158" t="s">
        <v>442</v>
      </c>
      <c r="G7158" t="s">
        <v>22488</v>
      </c>
      <c r="H7158" t="s">
        <v>444</v>
      </c>
      <c r="I7158" t="s">
        <v>29</v>
      </c>
      <c r="J7158">
        <v>1</v>
      </c>
      <c r="K7158">
        <f>1-888-597-1361</f>
        <v>-2845</v>
      </c>
      <c r="L7158" t="s">
        <v>22491</v>
      </c>
      <c r="M7158" t="s">
        <v>22492</v>
      </c>
      <c r="N7158" t="s">
        <v>5354</v>
      </c>
      <c r="O7158" t="s">
        <v>28</v>
      </c>
      <c r="P7158" t="s">
        <v>29</v>
      </c>
      <c r="Q7158">
        <v>42</v>
      </c>
      <c r="R7158">
        <v>-87.629800000000003</v>
      </c>
    </row>
    <row r="7159" spans="1:18" x14ac:dyDescent="0.2">
      <c r="A7159" t="s">
        <v>439</v>
      </c>
      <c r="B7159" t="s">
        <v>3094</v>
      </c>
      <c r="C7159">
        <v>1</v>
      </c>
      <c r="D7159" s="1">
        <v>44142.765821759262</v>
      </c>
      <c r="E7159" t="s">
        <v>22487</v>
      </c>
      <c r="F7159" t="s">
        <v>442</v>
      </c>
      <c r="G7159" t="s">
        <v>22493</v>
      </c>
      <c r="H7159" t="s">
        <v>444</v>
      </c>
      <c r="I7159" t="s">
        <v>29</v>
      </c>
      <c r="J7159">
        <v>1</v>
      </c>
      <c r="K7159">
        <f>1-888-451-3732</f>
        <v>-5070</v>
      </c>
      <c r="L7159" t="s">
        <v>22494</v>
      </c>
      <c r="M7159" t="s">
        <v>22495</v>
      </c>
      <c r="N7159" t="s">
        <v>5354</v>
      </c>
      <c r="O7159" t="s">
        <v>28</v>
      </c>
      <c r="P7159" t="s">
        <v>2268</v>
      </c>
      <c r="Q7159">
        <v>46</v>
      </c>
      <c r="R7159">
        <v>-73.567300000000003</v>
      </c>
    </row>
    <row r="7160" spans="1:18" x14ac:dyDescent="0.2">
      <c r="A7160" t="s">
        <v>2349</v>
      </c>
      <c r="B7160" t="s">
        <v>10634</v>
      </c>
      <c r="C7160">
        <v>49</v>
      </c>
      <c r="D7160" s="1">
        <v>44143.479386574072</v>
      </c>
      <c r="E7160" t="s">
        <v>22496</v>
      </c>
      <c r="F7160" t="s">
        <v>2352</v>
      </c>
      <c r="G7160" t="s">
        <v>22496</v>
      </c>
      <c r="H7160" t="s">
        <v>2353</v>
      </c>
      <c r="I7160" t="s">
        <v>24</v>
      </c>
      <c r="J7160">
        <v>49</v>
      </c>
      <c r="K7160">
        <f>49-800-180-1054</f>
        <v>-1985</v>
      </c>
      <c r="L7160" t="s">
        <v>22497</v>
      </c>
      <c r="M7160" t="s">
        <v>22498</v>
      </c>
      <c r="N7160">
        <v>122</v>
      </c>
      <c r="O7160" t="s">
        <v>134</v>
      </c>
      <c r="P7160" t="s">
        <v>292</v>
      </c>
      <c r="Q7160">
        <v>49</v>
      </c>
      <c r="R7160">
        <v>2.3868999999999998</v>
      </c>
    </row>
    <row r="7161" spans="1:18" x14ac:dyDescent="0.2">
      <c r="A7161" t="s">
        <v>2349</v>
      </c>
      <c r="B7161" t="s">
        <v>22499</v>
      </c>
      <c r="C7161">
        <v>44</v>
      </c>
      <c r="D7161" s="1">
        <v>44143.783865740741</v>
      </c>
      <c r="E7161" t="s">
        <v>22500</v>
      </c>
      <c r="F7161" t="s">
        <v>4584</v>
      </c>
      <c r="G7161" t="s">
        <v>22500</v>
      </c>
      <c r="H7161" t="s">
        <v>2353</v>
      </c>
      <c r="I7161" t="s">
        <v>618</v>
      </c>
      <c r="J7161">
        <v>44</v>
      </c>
      <c r="K7161">
        <f>44-208-144-1867</f>
        <v>-2175</v>
      </c>
      <c r="L7161" t="s">
        <v>22501</v>
      </c>
      <c r="M7161" t="s">
        <v>22502</v>
      </c>
      <c r="N7161">
        <v>251</v>
      </c>
      <c r="O7161" t="s">
        <v>134</v>
      </c>
      <c r="P7161" t="s">
        <v>461</v>
      </c>
      <c r="Q7161">
        <v>52</v>
      </c>
      <c r="R7161">
        <v>4.6629100000000001</v>
      </c>
    </row>
    <row r="7162" spans="1:18" x14ac:dyDescent="0.2">
      <c r="A7162" t="s">
        <v>2233</v>
      </c>
      <c r="B7162" t="s">
        <v>1638</v>
      </c>
      <c r="C7162">
        <v>1</v>
      </c>
      <c r="D7162" s="1">
        <v>44143.793865740743</v>
      </c>
      <c r="E7162" t="s">
        <v>22503</v>
      </c>
      <c r="F7162" t="s">
        <v>2236</v>
      </c>
      <c r="G7162" t="s">
        <v>22504</v>
      </c>
      <c r="H7162" t="s">
        <v>2237</v>
      </c>
      <c r="I7162" t="s">
        <v>29</v>
      </c>
      <c r="J7162">
        <v>1</v>
      </c>
      <c r="K7162">
        <f>1-877-244-9823</f>
        <v>-10943</v>
      </c>
      <c r="L7162" t="s">
        <v>22505</v>
      </c>
      <c r="M7162" t="s">
        <v>22506</v>
      </c>
      <c r="N7162" t="s">
        <v>278</v>
      </c>
      <c r="O7162" t="s">
        <v>28</v>
      </c>
      <c r="P7162" t="s">
        <v>292</v>
      </c>
      <c r="Q7162">
        <v>49</v>
      </c>
      <c r="R7162">
        <v>2.35222</v>
      </c>
    </row>
    <row r="7163" spans="1:18" x14ac:dyDescent="0.2">
      <c r="A7163" t="s">
        <v>663</v>
      </c>
      <c r="B7163" t="s">
        <v>2493</v>
      </c>
      <c r="C7163">
        <v>61</v>
      </c>
      <c r="D7163" s="1">
        <v>44144.225428240738</v>
      </c>
      <c r="E7163" t="s">
        <v>22507</v>
      </c>
      <c r="F7163" t="s">
        <v>666</v>
      </c>
      <c r="G7163" t="s">
        <v>22507</v>
      </c>
      <c r="H7163" t="s">
        <v>667</v>
      </c>
      <c r="I7163" t="s">
        <v>782</v>
      </c>
      <c r="J7163">
        <v>61</v>
      </c>
      <c r="K7163">
        <f>61-1800-290-949</f>
        <v>-2978</v>
      </c>
      <c r="L7163" t="s">
        <v>22508</v>
      </c>
      <c r="M7163" t="s">
        <v>22509</v>
      </c>
      <c r="N7163">
        <v>101</v>
      </c>
      <c r="O7163" t="s">
        <v>134</v>
      </c>
      <c r="P7163" t="s">
        <v>29</v>
      </c>
      <c r="Q7163">
        <v>41</v>
      </c>
      <c r="R7163">
        <v>-74.024699999999996</v>
      </c>
    </row>
    <row r="7164" spans="1:18" x14ac:dyDescent="0.2">
      <c r="A7164" t="s">
        <v>2349</v>
      </c>
      <c r="B7164" t="s">
        <v>10634</v>
      </c>
      <c r="C7164">
        <v>49</v>
      </c>
      <c r="D7164" s="1">
        <v>44144.496574074074</v>
      </c>
      <c r="E7164" t="s">
        <v>22510</v>
      </c>
      <c r="F7164" t="s">
        <v>2352</v>
      </c>
      <c r="G7164" t="s">
        <v>22510</v>
      </c>
      <c r="H7164" t="s">
        <v>2353</v>
      </c>
      <c r="I7164" t="s">
        <v>24</v>
      </c>
      <c r="J7164">
        <v>49</v>
      </c>
      <c r="K7164">
        <f>49-800-180-1054</f>
        <v>-1985</v>
      </c>
      <c r="L7164" t="s">
        <v>22511</v>
      </c>
      <c r="M7164" t="s">
        <v>22512</v>
      </c>
      <c r="N7164">
        <v>158</v>
      </c>
      <c r="O7164" t="s">
        <v>134</v>
      </c>
      <c r="P7164" t="s">
        <v>292</v>
      </c>
      <c r="Q7164">
        <v>49</v>
      </c>
      <c r="R7164">
        <v>2.3868999999999998</v>
      </c>
    </row>
    <row r="7165" spans="1:18" x14ac:dyDescent="0.2">
      <c r="A7165" t="s">
        <v>663</v>
      </c>
      <c r="B7165" t="s">
        <v>2263</v>
      </c>
      <c r="C7165">
        <v>44</v>
      </c>
      <c r="D7165" s="1">
        <v>44144.619317129633</v>
      </c>
      <c r="E7165" t="s">
        <v>22513</v>
      </c>
      <c r="F7165" t="s">
        <v>666</v>
      </c>
      <c r="G7165" t="s">
        <v>22513</v>
      </c>
      <c r="H7165" t="s">
        <v>667</v>
      </c>
      <c r="I7165" t="s">
        <v>618</v>
      </c>
      <c r="J7165">
        <v>44</v>
      </c>
      <c r="K7165">
        <f>44-741-834-3747</f>
        <v>-5278</v>
      </c>
      <c r="L7165" t="s">
        <v>22514</v>
      </c>
      <c r="M7165" t="s">
        <v>22515</v>
      </c>
      <c r="N7165">
        <v>152</v>
      </c>
      <c r="O7165" t="s">
        <v>134</v>
      </c>
      <c r="P7165" t="s">
        <v>2268</v>
      </c>
      <c r="Q7165">
        <v>44</v>
      </c>
      <c r="R7165">
        <v>-79.362300000000005</v>
      </c>
    </row>
    <row r="7166" spans="1:18" x14ac:dyDescent="0.2">
      <c r="A7166" t="s">
        <v>439</v>
      </c>
      <c r="B7166" t="s">
        <v>4321</v>
      </c>
      <c r="C7166">
        <v>1</v>
      </c>
      <c r="D7166" s="1">
        <v>44144.717685185184</v>
      </c>
      <c r="E7166" t="s">
        <v>22516</v>
      </c>
      <c r="F7166" t="s">
        <v>442</v>
      </c>
      <c r="G7166" t="s">
        <v>22517</v>
      </c>
      <c r="H7166" t="s">
        <v>444</v>
      </c>
      <c r="I7166" t="s">
        <v>29</v>
      </c>
      <c r="J7166">
        <v>1</v>
      </c>
      <c r="K7166">
        <f>1-888-383-534</f>
        <v>-1804</v>
      </c>
      <c r="L7166" t="s">
        <v>22518</v>
      </c>
      <c r="M7166" t="s">
        <v>22519</v>
      </c>
      <c r="N7166" t="s">
        <v>683</v>
      </c>
      <c r="O7166" t="s">
        <v>28</v>
      </c>
      <c r="P7166" t="s">
        <v>29</v>
      </c>
      <c r="Q7166">
        <v>42</v>
      </c>
      <c r="R7166">
        <v>-87.629800000000003</v>
      </c>
    </row>
    <row r="7167" spans="1:18" x14ac:dyDescent="0.2">
      <c r="A7167" t="s">
        <v>439</v>
      </c>
      <c r="B7167" t="s">
        <v>4321</v>
      </c>
      <c r="C7167">
        <v>1</v>
      </c>
      <c r="D7167" s="1">
        <v>44144.715567129628</v>
      </c>
      <c r="E7167" t="s">
        <v>22516</v>
      </c>
      <c r="F7167" t="s">
        <v>442</v>
      </c>
      <c r="G7167" t="s">
        <v>22517</v>
      </c>
      <c r="H7167" t="s">
        <v>444</v>
      </c>
      <c r="I7167" t="s">
        <v>29</v>
      </c>
      <c r="J7167">
        <v>1</v>
      </c>
      <c r="K7167">
        <f>1-888-383-539</f>
        <v>-1809</v>
      </c>
      <c r="L7167" t="s">
        <v>22520</v>
      </c>
      <c r="M7167" t="s">
        <v>22521</v>
      </c>
      <c r="N7167" t="s">
        <v>683</v>
      </c>
      <c r="O7167" t="s">
        <v>28</v>
      </c>
      <c r="P7167" t="s">
        <v>29</v>
      </c>
      <c r="Q7167">
        <v>42</v>
      </c>
      <c r="R7167">
        <v>-87.629800000000003</v>
      </c>
    </row>
    <row r="7168" spans="1:18" x14ac:dyDescent="0.2">
      <c r="A7168" t="s">
        <v>439</v>
      </c>
      <c r="B7168" t="s">
        <v>3094</v>
      </c>
      <c r="C7168">
        <v>1</v>
      </c>
      <c r="D7168" s="1">
        <v>44144.715914351851</v>
      </c>
      <c r="E7168" t="s">
        <v>22516</v>
      </c>
      <c r="F7168" t="s">
        <v>442</v>
      </c>
      <c r="G7168" t="s">
        <v>22522</v>
      </c>
      <c r="H7168" t="s">
        <v>444</v>
      </c>
      <c r="I7168" t="s">
        <v>29</v>
      </c>
      <c r="J7168">
        <v>1</v>
      </c>
      <c r="K7168">
        <f>1-888-392-252</f>
        <v>-1531</v>
      </c>
      <c r="L7168" t="s">
        <v>22523</v>
      </c>
      <c r="M7168" t="s">
        <v>22524</v>
      </c>
      <c r="N7168" t="s">
        <v>683</v>
      </c>
      <c r="O7168" t="s">
        <v>28</v>
      </c>
      <c r="P7168" t="s">
        <v>2268</v>
      </c>
      <c r="Q7168">
        <v>46</v>
      </c>
      <c r="R7168">
        <v>-73.567300000000003</v>
      </c>
    </row>
    <row r="7169" spans="1:18" x14ac:dyDescent="0.2">
      <c r="A7169" t="s">
        <v>270</v>
      </c>
      <c r="B7169" t="s">
        <v>440</v>
      </c>
      <c r="C7169">
        <v>1</v>
      </c>
      <c r="D7169" s="1">
        <v>44233.749699074076</v>
      </c>
      <c r="E7169" t="s">
        <v>22525</v>
      </c>
      <c r="F7169" t="s">
        <v>273</v>
      </c>
      <c r="G7169" t="s">
        <v>22526</v>
      </c>
      <c r="H7169" t="s">
        <v>275</v>
      </c>
      <c r="I7169" t="s">
        <v>29</v>
      </c>
      <c r="J7169">
        <v>1</v>
      </c>
      <c r="K7169">
        <f>1-888-493-8164</f>
        <v>-9544</v>
      </c>
      <c r="L7169" t="s">
        <v>22527</v>
      </c>
      <c r="M7169" t="s">
        <v>22528</v>
      </c>
      <c r="N7169" t="s">
        <v>278</v>
      </c>
      <c r="O7169" t="s">
        <v>28</v>
      </c>
      <c r="P7169" t="s">
        <v>29</v>
      </c>
      <c r="Q7169">
        <v>39</v>
      </c>
      <c r="R7169">
        <v>-77.487399999999994</v>
      </c>
    </row>
    <row r="7170" spans="1:18" x14ac:dyDescent="0.2">
      <c r="A7170" t="s">
        <v>270</v>
      </c>
      <c r="B7170" t="s">
        <v>440</v>
      </c>
      <c r="C7170">
        <v>1</v>
      </c>
      <c r="D7170" s="1">
        <v>44229.762025462966</v>
      </c>
      <c r="E7170" t="s">
        <v>22529</v>
      </c>
      <c r="F7170" t="s">
        <v>273</v>
      </c>
      <c r="G7170" t="s">
        <v>22526</v>
      </c>
      <c r="H7170" t="s">
        <v>275</v>
      </c>
      <c r="I7170" t="s">
        <v>29</v>
      </c>
      <c r="J7170">
        <v>1</v>
      </c>
      <c r="K7170">
        <f>1-888-396-1801</f>
        <v>-3084</v>
      </c>
      <c r="L7170" t="s">
        <v>22530</v>
      </c>
      <c r="M7170" t="s">
        <v>22531</v>
      </c>
      <c r="N7170" t="s">
        <v>278</v>
      </c>
      <c r="O7170" t="s">
        <v>28</v>
      </c>
      <c r="P7170" t="s">
        <v>29</v>
      </c>
      <c r="Q7170">
        <v>39</v>
      </c>
      <c r="R7170">
        <v>-77.487399999999994</v>
      </c>
    </row>
    <row r="7171" spans="1:18" x14ac:dyDescent="0.2">
      <c r="A7171" t="s">
        <v>270</v>
      </c>
      <c r="B7171" t="s">
        <v>440</v>
      </c>
      <c r="C7171">
        <v>1</v>
      </c>
      <c r="D7171" s="1">
        <v>44225.813773148147</v>
      </c>
      <c r="E7171" t="s">
        <v>22532</v>
      </c>
      <c r="F7171" t="s">
        <v>273</v>
      </c>
      <c r="G7171" t="s">
        <v>22526</v>
      </c>
      <c r="H7171" t="s">
        <v>275</v>
      </c>
      <c r="I7171" t="s">
        <v>29</v>
      </c>
      <c r="J7171">
        <v>1</v>
      </c>
      <c r="K7171">
        <f>1-888-382-2417</f>
        <v>-3686</v>
      </c>
      <c r="L7171" t="s">
        <v>22533</v>
      </c>
      <c r="M7171" t="s">
        <v>22534</v>
      </c>
      <c r="N7171" t="s">
        <v>278</v>
      </c>
      <c r="O7171" t="s">
        <v>28</v>
      </c>
      <c r="P7171" t="s">
        <v>29</v>
      </c>
      <c r="Q7171">
        <v>39</v>
      </c>
      <c r="R7171">
        <v>-77.487399999999994</v>
      </c>
    </row>
    <row r="7172" spans="1:18" x14ac:dyDescent="0.2">
      <c r="A7172" t="s">
        <v>270</v>
      </c>
      <c r="B7172" t="s">
        <v>440</v>
      </c>
      <c r="C7172">
        <v>1</v>
      </c>
      <c r="D7172" s="1">
        <v>44217.723217592589</v>
      </c>
      <c r="E7172" t="s">
        <v>22535</v>
      </c>
      <c r="F7172" t="s">
        <v>273</v>
      </c>
      <c r="G7172" t="s">
        <v>22526</v>
      </c>
      <c r="H7172" t="s">
        <v>275</v>
      </c>
      <c r="I7172" t="s">
        <v>29</v>
      </c>
      <c r="J7172">
        <v>1</v>
      </c>
      <c r="K7172">
        <f>1-888-355-1838</f>
        <v>-3080</v>
      </c>
      <c r="L7172" t="s">
        <v>22536</v>
      </c>
      <c r="M7172" t="s">
        <v>22537</v>
      </c>
      <c r="N7172" t="s">
        <v>278</v>
      </c>
      <c r="O7172" t="s">
        <v>28</v>
      </c>
      <c r="P7172" t="s">
        <v>29</v>
      </c>
      <c r="Q7172">
        <v>39</v>
      </c>
      <c r="R7172">
        <v>-77.487399999999994</v>
      </c>
    </row>
    <row r="7173" spans="1:18" x14ac:dyDescent="0.2">
      <c r="A7173" t="s">
        <v>270</v>
      </c>
      <c r="B7173" t="s">
        <v>440</v>
      </c>
      <c r="C7173">
        <v>1</v>
      </c>
      <c r="D7173" s="1">
        <v>44149.135960648149</v>
      </c>
      <c r="E7173" t="s">
        <v>22538</v>
      </c>
      <c r="F7173" t="s">
        <v>273</v>
      </c>
      <c r="G7173" t="s">
        <v>22526</v>
      </c>
      <c r="H7173" t="s">
        <v>275</v>
      </c>
      <c r="I7173" t="s">
        <v>29</v>
      </c>
      <c r="J7173">
        <v>1</v>
      </c>
      <c r="K7173">
        <f>1-844-288-9125</f>
        <v>-10256</v>
      </c>
      <c r="L7173" t="s">
        <v>22539</v>
      </c>
      <c r="M7173" t="s">
        <v>22540</v>
      </c>
      <c r="N7173" t="s">
        <v>278</v>
      </c>
      <c r="O7173" t="s">
        <v>134</v>
      </c>
      <c r="P7173" t="s">
        <v>29</v>
      </c>
      <c r="Q7173">
        <v>39</v>
      </c>
      <c r="R7173">
        <v>-77.487399999999994</v>
      </c>
    </row>
    <row r="7174" spans="1:18" x14ac:dyDescent="0.2">
      <c r="A7174" t="s">
        <v>270</v>
      </c>
      <c r="B7174" t="s">
        <v>440</v>
      </c>
      <c r="C7174">
        <v>1</v>
      </c>
      <c r="D7174" s="1">
        <v>44144.728958333333</v>
      </c>
      <c r="E7174" t="s">
        <v>22541</v>
      </c>
      <c r="F7174" t="s">
        <v>273</v>
      </c>
      <c r="G7174" t="s">
        <v>22526</v>
      </c>
      <c r="H7174" t="s">
        <v>275</v>
      </c>
      <c r="I7174" t="s">
        <v>29</v>
      </c>
      <c r="J7174">
        <v>1</v>
      </c>
      <c r="K7174">
        <f>1-844-276-4002</f>
        <v>-5121</v>
      </c>
      <c r="L7174" t="s">
        <v>22542</v>
      </c>
      <c r="M7174" t="s">
        <v>22543</v>
      </c>
      <c r="N7174" t="s">
        <v>278</v>
      </c>
      <c r="O7174" t="s">
        <v>28</v>
      </c>
      <c r="P7174" t="s">
        <v>29</v>
      </c>
      <c r="Q7174">
        <v>39</v>
      </c>
      <c r="R7174">
        <v>-77.487399999999994</v>
      </c>
    </row>
    <row r="7175" spans="1:18" x14ac:dyDescent="0.2">
      <c r="A7175" t="s">
        <v>663</v>
      </c>
      <c r="B7175" t="s">
        <v>2493</v>
      </c>
      <c r="C7175">
        <v>1</v>
      </c>
      <c r="D7175" s="1">
        <v>44144.736701388887</v>
      </c>
      <c r="E7175" t="s">
        <v>22544</v>
      </c>
      <c r="F7175" t="s">
        <v>666</v>
      </c>
      <c r="G7175" t="s">
        <v>22544</v>
      </c>
      <c r="H7175" t="s">
        <v>667</v>
      </c>
      <c r="I7175" t="s">
        <v>29</v>
      </c>
      <c r="J7175">
        <v>1</v>
      </c>
      <c r="K7175">
        <f>1-888-528-2794</f>
        <v>-4209</v>
      </c>
      <c r="L7175" t="s">
        <v>22545</v>
      </c>
      <c r="M7175" t="s">
        <v>22546</v>
      </c>
      <c r="N7175">
        <v>62</v>
      </c>
      <c r="O7175" t="s">
        <v>134</v>
      </c>
      <c r="P7175" t="s">
        <v>29</v>
      </c>
      <c r="Q7175">
        <v>41</v>
      </c>
      <c r="R7175">
        <v>-74.024699999999996</v>
      </c>
    </row>
    <row r="7176" spans="1:18" x14ac:dyDescent="0.2">
      <c r="A7176" t="s">
        <v>663</v>
      </c>
      <c r="B7176" t="s">
        <v>2493</v>
      </c>
      <c r="C7176">
        <v>1</v>
      </c>
      <c r="D7176" s="1">
        <v>44144.78502314815</v>
      </c>
      <c r="E7176" t="s">
        <v>22547</v>
      </c>
      <c r="F7176" t="s">
        <v>666</v>
      </c>
      <c r="G7176" t="s">
        <v>22547</v>
      </c>
      <c r="H7176" t="s">
        <v>667</v>
      </c>
      <c r="I7176" t="s">
        <v>29</v>
      </c>
      <c r="J7176">
        <v>1</v>
      </c>
      <c r="K7176">
        <f>1-888-401-3012</f>
        <v>-4300</v>
      </c>
      <c r="L7176" t="s">
        <v>22548</v>
      </c>
      <c r="M7176" t="s">
        <v>22549</v>
      </c>
      <c r="N7176">
        <v>39</v>
      </c>
      <c r="O7176" t="s">
        <v>134</v>
      </c>
      <c r="P7176" t="s">
        <v>29</v>
      </c>
      <c r="Q7176">
        <v>41</v>
      </c>
      <c r="R7176">
        <v>-74.024699999999996</v>
      </c>
    </row>
    <row r="7177" spans="1:18" x14ac:dyDescent="0.2">
      <c r="A7177" t="s">
        <v>663</v>
      </c>
      <c r="B7177" t="s">
        <v>2493</v>
      </c>
      <c r="C7177">
        <v>1</v>
      </c>
      <c r="D7177" s="1">
        <v>44144.806273148148</v>
      </c>
      <c r="E7177" t="s">
        <v>22550</v>
      </c>
      <c r="F7177" t="s">
        <v>666</v>
      </c>
      <c r="G7177" t="s">
        <v>22550</v>
      </c>
      <c r="H7177" t="s">
        <v>667</v>
      </c>
      <c r="I7177" t="s">
        <v>29</v>
      </c>
      <c r="J7177">
        <v>1</v>
      </c>
      <c r="K7177">
        <f>1-844-292-4957</f>
        <v>-6092</v>
      </c>
      <c r="L7177" t="s">
        <v>22551</v>
      </c>
      <c r="M7177" t="s">
        <v>22552</v>
      </c>
      <c r="N7177">
        <v>189</v>
      </c>
      <c r="O7177" t="s">
        <v>134</v>
      </c>
      <c r="P7177" t="s">
        <v>29</v>
      </c>
      <c r="Q7177">
        <v>41</v>
      </c>
      <c r="R7177">
        <v>-74.024699999999996</v>
      </c>
    </row>
    <row r="7178" spans="1:18" x14ac:dyDescent="0.2">
      <c r="A7178" t="s">
        <v>439</v>
      </c>
      <c r="B7178" t="s">
        <v>3094</v>
      </c>
      <c r="C7178">
        <v>1</v>
      </c>
      <c r="D7178" s="1">
        <v>44145.115706018521</v>
      </c>
      <c r="E7178" t="s">
        <v>22553</v>
      </c>
      <c r="F7178" t="s">
        <v>442</v>
      </c>
      <c r="G7178" t="s">
        <v>22554</v>
      </c>
      <c r="H7178" t="s">
        <v>444</v>
      </c>
      <c r="I7178" t="s">
        <v>29</v>
      </c>
      <c r="J7178">
        <v>1</v>
      </c>
      <c r="K7178">
        <f>1-888-375-263</f>
        <v>-1525</v>
      </c>
      <c r="L7178" t="s">
        <v>22555</v>
      </c>
      <c r="M7178" t="s">
        <v>22556</v>
      </c>
      <c r="N7178" t="s">
        <v>452</v>
      </c>
      <c r="O7178" t="s">
        <v>134</v>
      </c>
      <c r="P7178" t="s">
        <v>2268</v>
      </c>
      <c r="Q7178">
        <v>46</v>
      </c>
      <c r="R7178">
        <v>-73.567300000000003</v>
      </c>
    </row>
    <row r="7179" spans="1:18" x14ac:dyDescent="0.2">
      <c r="A7179" t="s">
        <v>2233</v>
      </c>
      <c r="B7179" t="s">
        <v>1638</v>
      </c>
      <c r="C7179">
        <v>44</v>
      </c>
      <c r="D7179" s="1">
        <v>44265.638449074075</v>
      </c>
      <c r="E7179" t="s">
        <v>22557</v>
      </c>
      <c r="F7179" t="s">
        <v>2236</v>
      </c>
      <c r="G7179" t="s">
        <v>22558</v>
      </c>
      <c r="H7179" t="s">
        <v>2237</v>
      </c>
      <c r="I7179" t="s">
        <v>618</v>
      </c>
      <c r="J7179">
        <v>44</v>
      </c>
      <c r="K7179">
        <f>44-21-749-99-66</f>
        <v>-891</v>
      </c>
      <c r="L7179" t="s">
        <v>22559</v>
      </c>
      <c r="M7179" t="s">
        <v>22560</v>
      </c>
      <c r="N7179" t="s">
        <v>278</v>
      </c>
      <c r="O7179" t="s">
        <v>28</v>
      </c>
      <c r="P7179" t="s">
        <v>292</v>
      </c>
      <c r="Q7179">
        <v>49</v>
      </c>
      <c r="R7179">
        <v>2.35222</v>
      </c>
    </row>
    <row r="7180" spans="1:18" x14ac:dyDescent="0.2">
      <c r="A7180" t="s">
        <v>2233</v>
      </c>
      <c r="B7180" t="s">
        <v>1638</v>
      </c>
      <c r="C7180">
        <v>1</v>
      </c>
      <c r="D7180" s="1">
        <v>44145.383657407408</v>
      </c>
      <c r="E7180" t="s">
        <v>22561</v>
      </c>
      <c r="F7180" t="s">
        <v>2236</v>
      </c>
      <c r="G7180" t="s">
        <v>22558</v>
      </c>
      <c r="H7180" t="s">
        <v>2237</v>
      </c>
      <c r="I7180" t="s">
        <v>29</v>
      </c>
      <c r="J7180">
        <v>1</v>
      </c>
      <c r="K7180">
        <f>1-877-244-9823</f>
        <v>-10943</v>
      </c>
      <c r="L7180" t="s">
        <v>22562</v>
      </c>
      <c r="M7180" t="s">
        <v>22563</v>
      </c>
      <c r="N7180" t="s">
        <v>278</v>
      </c>
      <c r="O7180" t="s">
        <v>134</v>
      </c>
      <c r="P7180" t="s">
        <v>292</v>
      </c>
      <c r="Q7180">
        <v>49</v>
      </c>
      <c r="R7180">
        <v>2.35222</v>
      </c>
    </row>
    <row r="7181" spans="1:18" x14ac:dyDescent="0.2">
      <c r="A7181" t="s">
        <v>2349</v>
      </c>
      <c r="B7181" t="s">
        <v>10634</v>
      </c>
      <c r="C7181">
        <v>49</v>
      </c>
      <c r="D7181" s="1">
        <v>44145.543113425927</v>
      </c>
      <c r="E7181" t="s">
        <v>22564</v>
      </c>
      <c r="F7181" t="s">
        <v>2352</v>
      </c>
      <c r="G7181" t="s">
        <v>22564</v>
      </c>
      <c r="H7181" t="s">
        <v>2353</v>
      </c>
      <c r="I7181" t="s">
        <v>24</v>
      </c>
      <c r="J7181">
        <v>49</v>
      </c>
      <c r="K7181">
        <f>49-800-180-1054</f>
        <v>-1985</v>
      </c>
      <c r="L7181" t="s">
        <v>22565</v>
      </c>
      <c r="M7181" t="s">
        <v>22566</v>
      </c>
      <c r="N7181">
        <v>169</v>
      </c>
      <c r="O7181" t="s">
        <v>134</v>
      </c>
      <c r="P7181" t="s">
        <v>292</v>
      </c>
      <c r="Q7181">
        <v>49</v>
      </c>
      <c r="R7181">
        <v>2.3693900000000001</v>
      </c>
    </row>
    <row r="7182" spans="1:18" x14ac:dyDescent="0.2">
      <c r="A7182" t="s">
        <v>439</v>
      </c>
      <c r="B7182" t="s">
        <v>3094</v>
      </c>
      <c r="C7182">
        <v>1</v>
      </c>
      <c r="D7182" s="1">
        <v>44145.603935185187</v>
      </c>
      <c r="E7182" t="s">
        <v>22567</v>
      </c>
      <c r="F7182" t="s">
        <v>442</v>
      </c>
      <c r="G7182" t="s">
        <v>22568</v>
      </c>
      <c r="H7182" t="s">
        <v>444</v>
      </c>
      <c r="I7182" t="s">
        <v>29</v>
      </c>
      <c r="J7182">
        <v>1</v>
      </c>
      <c r="K7182">
        <f>1-888-525-646</f>
        <v>-2058</v>
      </c>
      <c r="L7182" t="s">
        <v>22569</v>
      </c>
      <c r="M7182" t="s">
        <v>22570</v>
      </c>
      <c r="N7182" t="s">
        <v>683</v>
      </c>
      <c r="O7182" t="s">
        <v>28</v>
      </c>
      <c r="P7182" t="s">
        <v>2268</v>
      </c>
      <c r="Q7182">
        <v>46</v>
      </c>
      <c r="R7182">
        <v>-73.567300000000003</v>
      </c>
    </row>
    <row r="7183" spans="1:18" x14ac:dyDescent="0.2">
      <c r="A7183" t="s">
        <v>439</v>
      </c>
      <c r="B7183" t="s">
        <v>4321</v>
      </c>
      <c r="C7183">
        <v>1</v>
      </c>
      <c r="D7183" s="1">
        <v>44145.661840277775</v>
      </c>
      <c r="E7183" t="s">
        <v>22571</v>
      </c>
      <c r="F7183" t="s">
        <v>442</v>
      </c>
      <c r="G7183" t="s">
        <v>22572</v>
      </c>
      <c r="H7183" t="s">
        <v>444</v>
      </c>
      <c r="I7183" t="s">
        <v>29</v>
      </c>
      <c r="J7183">
        <v>1</v>
      </c>
      <c r="K7183">
        <f>1-888-690-708</f>
        <v>-2285</v>
      </c>
      <c r="L7183" t="s">
        <v>22573</v>
      </c>
      <c r="M7183" t="s">
        <v>22574</v>
      </c>
      <c r="N7183" t="s">
        <v>1645</v>
      </c>
      <c r="O7183" t="s">
        <v>28</v>
      </c>
      <c r="P7183" t="s">
        <v>29</v>
      </c>
      <c r="Q7183">
        <v>42</v>
      </c>
      <c r="R7183">
        <v>-87.629800000000003</v>
      </c>
    </row>
    <row r="7184" spans="1:18" x14ac:dyDescent="0.2">
      <c r="A7184" t="s">
        <v>439</v>
      </c>
      <c r="B7184" t="s">
        <v>4321</v>
      </c>
      <c r="C7184">
        <v>1</v>
      </c>
      <c r="D7184" s="1">
        <v>44145.65960648148</v>
      </c>
      <c r="E7184" t="s">
        <v>22571</v>
      </c>
      <c r="F7184" t="s">
        <v>442</v>
      </c>
      <c r="G7184" t="s">
        <v>22572</v>
      </c>
      <c r="H7184" t="s">
        <v>444</v>
      </c>
      <c r="I7184" t="s">
        <v>29</v>
      </c>
      <c r="J7184">
        <v>1</v>
      </c>
      <c r="K7184">
        <f>1-888-598-1453</f>
        <v>-2938</v>
      </c>
      <c r="L7184" t="s">
        <v>22575</v>
      </c>
      <c r="M7184" t="s">
        <v>22576</v>
      </c>
      <c r="N7184" t="s">
        <v>1645</v>
      </c>
      <c r="O7184" t="s">
        <v>28</v>
      </c>
      <c r="P7184" t="s">
        <v>29</v>
      </c>
      <c r="Q7184">
        <v>42</v>
      </c>
      <c r="R7184">
        <v>-87.629800000000003</v>
      </c>
    </row>
    <row r="7185" spans="1:18" x14ac:dyDescent="0.2">
      <c r="A7185" t="s">
        <v>439</v>
      </c>
      <c r="B7185" t="s">
        <v>3094</v>
      </c>
      <c r="C7185">
        <v>1</v>
      </c>
      <c r="D7185" s="1">
        <v>44145.66170138889</v>
      </c>
      <c r="E7185" t="s">
        <v>22571</v>
      </c>
      <c r="F7185" t="s">
        <v>442</v>
      </c>
      <c r="G7185" t="s">
        <v>22577</v>
      </c>
      <c r="H7185" t="s">
        <v>444</v>
      </c>
      <c r="I7185" t="s">
        <v>29</v>
      </c>
      <c r="J7185">
        <v>1</v>
      </c>
      <c r="K7185">
        <f>1-888-655-2431</f>
        <v>-3973</v>
      </c>
      <c r="L7185" t="s">
        <v>22578</v>
      </c>
      <c r="M7185" t="s">
        <v>22579</v>
      </c>
      <c r="N7185" t="s">
        <v>1645</v>
      </c>
      <c r="O7185" t="s">
        <v>28</v>
      </c>
      <c r="P7185" t="s">
        <v>2268</v>
      </c>
      <c r="Q7185">
        <v>46</v>
      </c>
      <c r="R7185">
        <v>-73.567300000000003</v>
      </c>
    </row>
    <row r="7186" spans="1:18" x14ac:dyDescent="0.2">
      <c r="A7186" t="s">
        <v>439</v>
      </c>
      <c r="B7186" t="s">
        <v>3094</v>
      </c>
      <c r="C7186">
        <v>1</v>
      </c>
      <c r="D7186" s="1">
        <v>44145.66165509259</v>
      </c>
      <c r="E7186" t="s">
        <v>22571</v>
      </c>
      <c r="F7186" t="s">
        <v>442</v>
      </c>
      <c r="G7186" t="s">
        <v>22577</v>
      </c>
      <c r="H7186" t="s">
        <v>444</v>
      </c>
      <c r="I7186" t="s">
        <v>29</v>
      </c>
      <c r="J7186">
        <v>1</v>
      </c>
      <c r="K7186">
        <f>1-888-525-646</f>
        <v>-2058</v>
      </c>
      <c r="L7186" t="s">
        <v>22580</v>
      </c>
      <c r="M7186" t="s">
        <v>22581</v>
      </c>
      <c r="N7186" t="s">
        <v>1645</v>
      </c>
      <c r="O7186" t="s">
        <v>28</v>
      </c>
      <c r="P7186" t="s">
        <v>2268</v>
      </c>
      <c r="Q7186">
        <v>46</v>
      </c>
      <c r="R7186">
        <v>-73.567300000000003</v>
      </c>
    </row>
    <row r="7187" spans="1:18" x14ac:dyDescent="0.2">
      <c r="A7187" t="s">
        <v>439</v>
      </c>
      <c r="B7187" t="s">
        <v>3094</v>
      </c>
      <c r="C7187">
        <v>1</v>
      </c>
      <c r="D7187" s="1">
        <v>44145.661793981482</v>
      </c>
      <c r="E7187" t="s">
        <v>22571</v>
      </c>
      <c r="F7187" t="s">
        <v>442</v>
      </c>
      <c r="G7187" t="s">
        <v>22582</v>
      </c>
      <c r="H7187" t="s">
        <v>444</v>
      </c>
      <c r="I7187" t="s">
        <v>29</v>
      </c>
      <c r="J7187">
        <v>1</v>
      </c>
      <c r="K7187">
        <f>1-888-304-1296</f>
        <v>-2487</v>
      </c>
      <c r="L7187" t="s">
        <v>22583</v>
      </c>
      <c r="M7187" t="s">
        <v>22584</v>
      </c>
      <c r="N7187" t="s">
        <v>1645</v>
      </c>
      <c r="O7187" t="s">
        <v>28</v>
      </c>
      <c r="P7187" t="s">
        <v>2268</v>
      </c>
      <c r="Q7187">
        <v>46</v>
      </c>
      <c r="R7187">
        <v>-73.567300000000003</v>
      </c>
    </row>
    <row r="7188" spans="1:18" x14ac:dyDescent="0.2">
      <c r="A7188" t="s">
        <v>663</v>
      </c>
      <c r="B7188" t="s">
        <v>2493</v>
      </c>
      <c r="C7188">
        <v>1</v>
      </c>
      <c r="D7188" s="1">
        <v>44145.719641203701</v>
      </c>
      <c r="E7188" t="s">
        <v>22585</v>
      </c>
      <c r="F7188" t="s">
        <v>666</v>
      </c>
      <c r="G7188" t="s">
        <v>22585</v>
      </c>
      <c r="H7188" t="s">
        <v>667</v>
      </c>
      <c r="I7188" t="s">
        <v>29</v>
      </c>
      <c r="J7188">
        <v>1</v>
      </c>
      <c r="K7188">
        <f>1-888-400-8865</f>
        <v>-10152</v>
      </c>
      <c r="L7188" t="s">
        <v>22586</v>
      </c>
      <c r="M7188" t="s">
        <v>22587</v>
      </c>
      <c r="N7188">
        <v>67</v>
      </c>
      <c r="O7188" t="s">
        <v>134</v>
      </c>
      <c r="P7188" t="s">
        <v>29</v>
      </c>
      <c r="Q7188">
        <v>41</v>
      </c>
      <c r="R7188">
        <v>-74.024699999999996</v>
      </c>
    </row>
    <row r="7189" spans="1:18" x14ac:dyDescent="0.2">
      <c r="A7189" t="s">
        <v>439</v>
      </c>
      <c r="B7189" t="s">
        <v>3094</v>
      </c>
      <c r="C7189">
        <v>1</v>
      </c>
      <c r="D7189" s="1">
        <v>44145.760659722226</v>
      </c>
      <c r="E7189" t="s">
        <v>22588</v>
      </c>
      <c r="F7189" t="s">
        <v>442</v>
      </c>
      <c r="G7189" t="s">
        <v>22589</v>
      </c>
      <c r="H7189" t="s">
        <v>444</v>
      </c>
      <c r="I7189" t="s">
        <v>29</v>
      </c>
      <c r="J7189">
        <v>1</v>
      </c>
      <c r="K7189">
        <f>1-888-383-592</f>
        <v>-1862</v>
      </c>
      <c r="L7189" t="s">
        <v>22590</v>
      </c>
      <c r="M7189" t="s">
        <v>22591</v>
      </c>
      <c r="N7189" t="s">
        <v>1645</v>
      </c>
      <c r="O7189" t="s">
        <v>28</v>
      </c>
      <c r="P7189" t="s">
        <v>2268</v>
      </c>
      <c r="Q7189">
        <v>46</v>
      </c>
      <c r="R7189">
        <v>-73.567300000000003</v>
      </c>
    </row>
    <row r="7190" spans="1:18" x14ac:dyDescent="0.2">
      <c r="A7190" t="s">
        <v>439</v>
      </c>
      <c r="B7190" t="s">
        <v>3094</v>
      </c>
      <c r="C7190">
        <v>1</v>
      </c>
      <c r="D7190" s="1">
        <v>44145.747719907406</v>
      </c>
      <c r="E7190" t="s">
        <v>22588</v>
      </c>
      <c r="F7190" t="s">
        <v>442</v>
      </c>
      <c r="G7190" t="s">
        <v>22589</v>
      </c>
      <c r="H7190" t="s">
        <v>444</v>
      </c>
      <c r="I7190" t="s">
        <v>29</v>
      </c>
      <c r="J7190">
        <v>1</v>
      </c>
      <c r="K7190">
        <f>1-888-417-4019</f>
        <v>-5323</v>
      </c>
      <c r="L7190" t="s">
        <v>22592</v>
      </c>
      <c r="M7190" t="s">
        <v>22593</v>
      </c>
      <c r="N7190" t="s">
        <v>1645</v>
      </c>
      <c r="O7190" t="s">
        <v>28</v>
      </c>
      <c r="P7190" t="s">
        <v>2268</v>
      </c>
      <c r="Q7190">
        <v>46</v>
      </c>
      <c r="R7190">
        <v>-73.567300000000003</v>
      </c>
    </row>
    <row r="7191" spans="1:18" x14ac:dyDescent="0.2">
      <c r="A7191" t="s">
        <v>663</v>
      </c>
      <c r="B7191" t="s">
        <v>2493</v>
      </c>
      <c r="C7191">
        <v>1</v>
      </c>
      <c r="D7191" s="1">
        <v>44145.766863425924</v>
      </c>
      <c r="E7191" t="s">
        <v>22594</v>
      </c>
      <c r="F7191" t="s">
        <v>666</v>
      </c>
      <c r="G7191" t="s">
        <v>22594</v>
      </c>
      <c r="H7191" t="s">
        <v>667</v>
      </c>
      <c r="I7191" t="s">
        <v>29</v>
      </c>
      <c r="J7191">
        <v>1</v>
      </c>
      <c r="K7191">
        <f>1-888-417-4087</f>
        <v>-5391</v>
      </c>
      <c r="L7191" t="s">
        <v>22595</v>
      </c>
      <c r="M7191" t="s">
        <v>22596</v>
      </c>
      <c r="N7191">
        <v>78</v>
      </c>
      <c r="O7191" t="s">
        <v>134</v>
      </c>
      <c r="P7191" t="s">
        <v>29</v>
      </c>
      <c r="Q7191">
        <v>41</v>
      </c>
      <c r="R7191">
        <v>-74.024699999999996</v>
      </c>
    </row>
    <row r="7192" spans="1:18" x14ac:dyDescent="0.2">
      <c r="A7192" t="s">
        <v>663</v>
      </c>
      <c r="B7192" t="s">
        <v>2493</v>
      </c>
      <c r="C7192">
        <v>1</v>
      </c>
      <c r="D7192" s="1">
        <v>44145.766331018516</v>
      </c>
      <c r="E7192" t="s">
        <v>22594</v>
      </c>
      <c r="F7192" t="s">
        <v>666</v>
      </c>
      <c r="G7192" t="s">
        <v>22594</v>
      </c>
      <c r="H7192" t="s">
        <v>667</v>
      </c>
      <c r="I7192" t="s">
        <v>29</v>
      </c>
      <c r="J7192">
        <v>1</v>
      </c>
      <c r="K7192">
        <f>1-888-346-5810</f>
        <v>-7043</v>
      </c>
      <c r="L7192" t="s">
        <v>22597</v>
      </c>
      <c r="M7192" t="s">
        <v>22598</v>
      </c>
      <c r="N7192">
        <v>78</v>
      </c>
      <c r="O7192" t="s">
        <v>134</v>
      </c>
      <c r="P7192" t="s">
        <v>29</v>
      </c>
      <c r="Q7192">
        <v>41</v>
      </c>
      <c r="R7192">
        <v>-74.024699999999996</v>
      </c>
    </row>
    <row r="7193" spans="1:18" x14ac:dyDescent="0.2">
      <c r="A7193" t="s">
        <v>439</v>
      </c>
      <c r="B7193" t="s">
        <v>3094</v>
      </c>
      <c r="C7193">
        <v>1</v>
      </c>
      <c r="D7193" s="1">
        <v>44145.771307870367</v>
      </c>
      <c r="E7193" t="s">
        <v>22588</v>
      </c>
      <c r="F7193" t="s">
        <v>442</v>
      </c>
      <c r="G7193" t="s">
        <v>22599</v>
      </c>
      <c r="H7193" t="s">
        <v>444</v>
      </c>
      <c r="I7193" t="s">
        <v>29</v>
      </c>
      <c r="J7193">
        <v>1</v>
      </c>
      <c r="K7193">
        <f>1-888-521-9219</f>
        <v>-10627</v>
      </c>
      <c r="L7193" t="s">
        <v>22600</v>
      </c>
      <c r="M7193" t="s">
        <v>22601</v>
      </c>
      <c r="N7193" t="s">
        <v>1645</v>
      </c>
      <c r="O7193" t="s">
        <v>28</v>
      </c>
      <c r="P7193" t="s">
        <v>2268</v>
      </c>
      <c r="Q7193">
        <v>46</v>
      </c>
      <c r="R7193">
        <v>-73.567300000000003</v>
      </c>
    </row>
    <row r="7194" spans="1:18" x14ac:dyDescent="0.2">
      <c r="A7194" t="s">
        <v>663</v>
      </c>
      <c r="B7194" t="s">
        <v>2493</v>
      </c>
      <c r="C7194">
        <v>1</v>
      </c>
      <c r="D7194" s="1">
        <v>44145.777685185189</v>
      </c>
      <c r="E7194" t="s">
        <v>22602</v>
      </c>
      <c r="F7194" t="s">
        <v>666</v>
      </c>
      <c r="G7194" t="s">
        <v>22602</v>
      </c>
      <c r="H7194" t="s">
        <v>667</v>
      </c>
      <c r="I7194" t="s">
        <v>29</v>
      </c>
      <c r="J7194">
        <v>1</v>
      </c>
      <c r="K7194">
        <f>1-888-375-1311</f>
        <v>-2573</v>
      </c>
      <c r="L7194" t="s">
        <v>22603</v>
      </c>
      <c r="M7194" t="s">
        <v>22604</v>
      </c>
      <c r="N7194">
        <v>148</v>
      </c>
      <c r="O7194" t="s">
        <v>134</v>
      </c>
      <c r="P7194" t="s">
        <v>29</v>
      </c>
      <c r="Q7194">
        <v>41</v>
      </c>
      <c r="R7194">
        <v>-74.024699999999996</v>
      </c>
    </row>
    <row r="7195" spans="1:18" x14ac:dyDescent="0.2">
      <c r="A7195" t="s">
        <v>2349</v>
      </c>
      <c r="B7195" t="s">
        <v>6834</v>
      </c>
      <c r="C7195">
        <v>1</v>
      </c>
      <c r="D7195" s="1">
        <v>44145.797129629631</v>
      </c>
      <c r="E7195" t="s">
        <v>22605</v>
      </c>
      <c r="F7195" t="s">
        <v>2352</v>
      </c>
      <c r="G7195" t="s">
        <v>22606</v>
      </c>
      <c r="H7195" t="s">
        <v>2353</v>
      </c>
      <c r="I7195" t="s">
        <v>29</v>
      </c>
      <c r="J7195">
        <v>1</v>
      </c>
      <c r="K7195">
        <f>1-833-500-306</f>
        <v>-1638</v>
      </c>
      <c r="L7195" t="s">
        <v>22607</v>
      </c>
      <c r="M7195" t="s">
        <v>22608</v>
      </c>
      <c r="N7195" t="s">
        <v>3454</v>
      </c>
      <c r="O7195" t="s">
        <v>28</v>
      </c>
      <c r="P7195" t="s">
        <v>29</v>
      </c>
      <c r="Q7195">
        <v>34</v>
      </c>
      <c r="R7195">
        <v>-99.999999000000003</v>
      </c>
    </row>
    <row r="7196" spans="1:18" x14ac:dyDescent="0.2">
      <c r="A7196" t="s">
        <v>675</v>
      </c>
      <c r="B7196" t="s">
        <v>1412</v>
      </c>
      <c r="C7196">
        <v>1</v>
      </c>
      <c r="D7196" s="1">
        <v>44146.076249999998</v>
      </c>
      <c r="E7196" t="s">
        <v>22609</v>
      </c>
      <c r="F7196" t="s">
        <v>678</v>
      </c>
      <c r="G7196" t="s">
        <v>22610</v>
      </c>
      <c r="H7196" t="s">
        <v>680</v>
      </c>
      <c r="I7196" t="s">
        <v>29</v>
      </c>
      <c r="J7196">
        <v>1</v>
      </c>
      <c r="K7196">
        <f>1-833-635-2356</f>
        <v>-3823</v>
      </c>
      <c r="L7196" t="s">
        <v>22611</v>
      </c>
      <c r="M7196" t="s">
        <v>22612</v>
      </c>
      <c r="N7196" t="s">
        <v>1645</v>
      </c>
      <c r="O7196" t="s">
        <v>28</v>
      </c>
      <c r="P7196" t="s">
        <v>29</v>
      </c>
      <c r="Q7196">
        <v>41</v>
      </c>
      <c r="R7196">
        <v>-74.172399999999996</v>
      </c>
    </row>
    <row r="7197" spans="1:18" x14ac:dyDescent="0.2">
      <c r="A7197" t="s">
        <v>439</v>
      </c>
      <c r="B7197" t="s">
        <v>4321</v>
      </c>
      <c r="C7197">
        <v>1</v>
      </c>
      <c r="D7197" s="1">
        <v>44146.645046296297</v>
      </c>
      <c r="E7197" t="s">
        <v>22613</v>
      </c>
      <c r="F7197" t="s">
        <v>442</v>
      </c>
      <c r="G7197" t="s">
        <v>22614</v>
      </c>
      <c r="H7197" t="s">
        <v>444</v>
      </c>
      <c r="I7197" t="s">
        <v>29</v>
      </c>
      <c r="J7197">
        <v>1</v>
      </c>
      <c r="K7197">
        <f>1-888-383-549</f>
        <v>-1819</v>
      </c>
      <c r="L7197" t="s">
        <v>22615</v>
      </c>
      <c r="M7197" t="s">
        <v>22616</v>
      </c>
      <c r="N7197" t="s">
        <v>5354</v>
      </c>
      <c r="O7197" t="s">
        <v>28</v>
      </c>
      <c r="P7197" t="s">
        <v>29</v>
      </c>
      <c r="Q7197">
        <v>42</v>
      </c>
      <c r="R7197">
        <v>-87.629800000000003</v>
      </c>
    </row>
    <row r="7198" spans="1:18" x14ac:dyDescent="0.2">
      <c r="A7198" t="s">
        <v>439</v>
      </c>
      <c r="B7198" t="s">
        <v>3094</v>
      </c>
      <c r="C7198">
        <v>1</v>
      </c>
      <c r="D7198" s="1">
        <v>44146.736840277779</v>
      </c>
      <c r="E7198" t="s">
        <v>22617</v>
      </c>
      <c r="F7198" t="s">
        <v>442</v>
      </c>
      <c r="G7198" t="s">
        <v>22618</v>
      </c>
      <c r="H7198" t="s">
        <v>444</v>
      </c>
      <c r="I7198" t="s">
        <v>29</v>
      </c>
      <c r="J7198">
        <v>1</v>
      </c>
      <c r="K7198">
        <f>1-888-686-483</f>
        <v>-2056</v>
      </c>
      <c r="L7198" t="s">
        <v>22619</v>
      </c>
      <c r="M7198" t="s">
        <v>22620</v>
      </c>
      <c r="N7198" t="s">
        <v>5354</v>
      </c>
      <c r="O7198" t="s">
        <v>28</v>
      </c>
      <c r="P7198" t="s">
        <v>2268</v>
      </c>
      <c r="Q7198">
        <v>46</v>
      </c>
      <c r="R7198">
        <v>-73.567300000000003</v>
      </c>
    </row>
    <row r="7199" spans="1:18" x14ac:dyDescent="0.2">
      <c r="A7199" t="s">
        <v>439</v>
      </c>
      <c r="B7199" t="s">
        <v>3094</v>
      </c>
      <c r="C7199">
        <v>1</v>
      </c>
      <c r="D7199" s="1">
        <v>44146.735462962963</v>
      </c>
      <c r="E7199" t="s">
        <v>22617</v>
      </c>
      <c r="F7199" t="s">
        <v>442</v>
      </c>
      <c r="G7199" t="s">
        <v>22618</v>
      </c>
      <c r="H7199" t="s">
        <v>444</v>
      </c>
      <c r="I7199" t="s">
        <v>29</v>
      </c>
      <c r="J7199">
        <v>1</v>
      </c>
      <c r="K7199">
        <f>1-888-383-549</f>
        <v>-1819</v>
      </c>
      <c r="L7199" t="s">
        <v>22621</v>
      </c>
      <c r="M7199" t="s">
        <v>22622</v>
      </c>
      <c r="N7199" t="s">
        <v>5354</v>
      </c>
      <c r="O7199" t="s">
        <v>28</v>
      </c>
      <c r="P7199" t="s">
        <v>2268</v>
      </c>
      <c r="Q7199">
        <v>46</v>
      </c>
      <c r="R7199">
        <v>-73.567300000000003</v>
      </c>
    </row>
    <row r="7200" spans="1:18" x14ac:dyDescent="0.2">
      <c r="A7200" t="s">
        <v>439</v>
      </c>
      <c r="B7200" t="s">
        <v>4321</v>
      </c>
      <c r="C7200">
        <v>1</v>
      </c>
      <c r="D7200" s="1">
        <v>44146.739560185182</v>
      </c>
      <c r="E7200" t="s">
        <v>22617</v>
      </c>
      <c r="F7200" t="s">
        <v>442</v>
      </c>
      <c r="G7200" t="s">
        <v>22623</v>
      </c>
      <c r="H7200" t="s">
        <v>444</v>
      </c>
      <c r="I7200" t="s">
        <v>29</v>
      </c>
      <c r="J7200">
        <v>1</v>
      </c>
      <c r="K7200">
        <f>1-888-291-172</f>
        <v>-1350</v>
      </c>
      <c r="L7200" t="s">
        <v>22624</v>
      </c>
      <c r="M7200" t="s">
        <v>22625</v>
      </c>
      <c r="N7200" t="s">
        <v>5354</v>
      </c>
      <c r="O7200" t="s">
        <v>28</v>
      </c>
      <c r="P7200" t="s">
        <v>29</v>
      </c>
      <c r="Q7200">
        <v>42</v>
      </c>
      <c r="R7200">
        <v>-87.629800000000003</v>
      </c>
    </row>
    <row r="7201" spans="1:18" x14ac:dyDescent="0.2">
      <c r="A7201" t="s">
        <v>439</v>
      </c>
      <c r="B7201" t="s">
        <v>4321</v>
      </c>
      <c r="C7201">
        <v>1</v>
      </c>
      <c r="D7201" s="1">
        <v>44146.738946759258</v>
      </c>
      <c r="E7201" t="s">
        <v>22617</v>
      </c>
      <c r="F7201" t="s">
        <v>442</v>
      </c>
      <c r="G7201" t="s">
        <v>22623</v>
      </c>
      <c r="H7201" t="s">
        <v>444</v>
      </c>
      <c r="I7201" t="s">
        <v>29</v>
      </c>
      <c r="J7201">
        <v>1</v>
      </c>
      <c r="K7201">
        <f>1-888-312-1422</f>
        <v>-2621</v>
      </c>
      <c r="L7201" t="s">
        <v>22626</v>
      </c>
      <c r="M7201" t="s">
        <v>22627</v>
      </c>
      <c r="N7201" t="s">
        <v>5354</v>
      </c>
      <c r="O7201" t="s">
        <v>28</v>
      </c>
      <c r="P7201" t="s">
        <v>29</v>
      </c>
      <c r="Q7201">
        <v>42</v>
      </c>
      <c r="R7201">
        <v>-87.629800000000003</v>
      </c>
    </row>
    <row r="7202" spans="1:18" x14ac:dyDescent="0.2">
      <c r="A7202" t="s">
        <v>439</v>
      </c>
      <c r="B7202" t="s">
        <v>4321</v>
      </c>
      <c r="C7202">
        <v>1</v>
      </c>
      <c r="D7202" s="1">
        <v>44146.738749999997</v>
      </c>
      <c r="E7202" t="s">
        <v>22617</v>
      </c>
      <c r="F7202" t="s">
        <v>442</v>
      </c>
      <c r="G7202" t="s">
        <v>22623</v>
      </c>
      <c r="H7202" t="s">
        <v>444</v>
      </c>
      <c r="I7202" t="s">
        <v>29</v>
      </c>
      <c r="J7202">
        <v>1</v>
      </c>
      <c r="K7202">
        <f>1-888-690-708</f>
        <v>-2285</v>
      </c>
      <c r="L7202" t="s">
        <v>22628</v>
      </c>
      <c r="M7202" t="s">
        <v>22629</v>
      </c>
      <c r="N7202" t="s">
        <v>5354</v>
      </c>
      <c r="O7202" t="s">
        <v>28</v>
      </c>
      <c r="P7202" t="s">
        <v>29</v>
      </c>
      <c r="Q7202">
        <v>42</v>
      </c>
      <c r="R7202">
        <v>-87.629800000000003</v>
      </c>
    </row>
    <row r="7203" spans="1:18" x14ac:dyDescent="0.2">
      <c r="A7203" t="s">
        <v>663</v>
      </c>
      <c r="B7203" t="s">
        <v>2493</v>
      </c>
      <c r="C7203">
        <v>1</v>
      </c>
      <c r="D7203" s="1">
        <v>44146.750601851854</v>
      </c>
      <c r="E7203" t="s">
        <v>22630</v>
      </c>
      <c r="F7203" t="s">
        <v>666</v>
      </c>
      <c r="G7203" t="s">
        <v>22630</v>
      </c>
      <c r="H7203" t="s">
        <v>667</v>
      </c>
      <c r="I7203" t="s">
        <v>29</v>
      </c>
      <c r="J7203">
        <v>1</v>
      </c>
      <c r="K7203">
        <f>1-888-391-1895</f>
        <v>-3173</v>
      </c>
      <c r="L7203" t="s">
        <v>22631</v>
      </c>
      <c r="M7203" t="s">
        <v>22632</v>
      </c>
      <c r="N7203">
        <v>228</v>
      </c>
      <c r="O7203" t="s">
        <v>134</v>
      </c>
      <c r="P7203" t="s">
        <v>29</v>
      </c>
      <c r="Q7203">
        <v>41</v>
      </c>
      <c r="R7203">
        <v>-74.024699999999996</v>
      </c>
    </row>
    <row r="7204" spans="1:18" x14ac:dyDescent="0.2">
      <c r="A7204" t="s">
        <v>663</v>
      </c>
      <c r="B7204" t="s">
        <v>2493</v>
      </c>
      <c r="C7204">
        <v>1</v>
      </c>
      <c r="D7204" s="1">
        <v>44146.772291666668</v>
      </c>
      <c r="E7204" t="s">
        <v>22633</v>
      </c>
      <c r="F7204" t="s">
        <v>666</v>
      </c>
      <c r="G7204" t="s">
        <v>22633</v>
      </c>
      <c r="H7204" t="s">
        <v>667</v>
      </c>
      <c r="I7204" t="s">
        <v>29</v>
      </c>
      <c r="J7204">
        <v>1</v>
      </c>
      <c r="K7204">
        <f>1-888-389-6581</f>
        <v>-7857</v>
      </c>
      <c r="L7204" t="s">
        <v>22634</v>
      </c>
      <c r="M7204" t="s">
        <v>22635</v>
      </c>
      <c r="N7204">
        <v>22</v>
      </c>
      <c r="O7204" t="s">
        <v>134</v>
      </c>
      <c r="P7204" t="s">
        <v>29</v>
      </c>
      <c r="Q7204">
        <v>41</v>
      </c>
      <c r="R7204">
        <v>-74.024699999999996</v>
      </c>
    </row>
    <row r="7205" spans="1:18" x14ac:dyDescent="0.2">
      <c r="A7205" t="s">
        <v>439</v>
      </c>
      <c r="B7205" t="s">
        <v>3094</v>
      </c>
      <c r="C7205">
        <v>1</v>
      </c>
      <c r="D7205" s="1">
        <v>44146.782233796293</v>
      </c>
      <c r="E7205" t="s">
        <v>22636</v>
      </c>
      <c r="F7205" t="s">
        <v>442</v>
      </c>
      <c r="G7205" t="s">
        <v>22637</v>
      </c>
      <c r="H7205" t="s">
        <v>444</v>
      </c>
      <c r="I7205" t="s">
        <v>29</v>
      </c>
      <c r="J7205">
        <v>1</v>
      </c>
      <c r="K7205">
        <f>1-888-312-1371</f>
        <v>-2570</v>
      </c>
      <c r="L7205" t="s">
        <v>22638</v>
      </c>
      <c r="M7205" t="s">
        <v>22639</v>
      </c>
      <c r="N7205" t="s">
        <v>1645</v>
      </c>
      <c r="O7205" t="s">
        <v>28</v>
      </c>
      <c r="P7205" t="s">
        <v>2268</v>
      </c>
      <c r="Q7205">
        <v>46</v>
      </c>
      <c r="R7205">
        <v>-73.567300000000003</v>
      </c>
    </row>
    <row r="7206" spans="1:18" x14ac:dyDescent="0.2">
      <c r="A7206" t="s">
        <v>663</v>
      </c>
      <c r="B7206" t="s">
        <v>2493</v>
      </c>
      <c r="C7206">
        <v>1</v>
      </c>
      <c r="D7206" s="1">
        <v>44146.782754629632</v>
      </c>
      <c r="E7206" t="s">
        <v>22640</v>
      </c>
      <c r="F7206" t="s">
        <v>666</v>
      </c>
      <c r="G7206" t="s">
        <v>22640</v>
      </c>
      <c r="H7206" t="s">
        <v>667</v>
      </c>
      <c r="I7206" t="s">
        <v>29</v>
      </c>
      <c r="J7206">
        <v>1</v>
      </c>
      <c r="K7206">
        <f>1-877-595-1337</f>
        <v>-2808</v>
      </c>
      <c r="L7206" t="s">
        <v>22641</v>
      </c>
      <c r="M7206" t="s">
        <v>22642</v>
      </c>
      <c r="N7206">
        <v>134</v>
      </c>
      <c r="O7206" t="s">
        <v>134</v>
      </c>
      <c r="P7206" t="s">
        <v>29</v>
      </c>
      <c r="Q7206">
        <v>41</v>
      </c>
      <c r="R7206">
        <v>-74.024699999999996</v>
      </c>
    </row>
    <row r="7207" spans="1:18" x14ac:dyDescent="0.2">
      <c r="A7207" t="s">
        <v>1200</v>
      </c>
      <c r="B7207" t="s">
        <v>2500</v>
      </c>
      <c r="C7207">
        <v>1</v>
      </c>
      <c r="D7207" s="1">
        <v>44146.864178240743</v>
      </c>
      <c r="E7207" t="s">
        <v>22643</v>
      </c>
      <c r="F7207" t="s">
        <v>1203</v>
      </c>
      <c r="G7207" t="s">
        <v>22644</v>
      </c>
      <c r="H7207" t="s">
        <v>1205</v>
      </c>
      <c r="I7207" t="s">
        <v>29</v>
      </c>
      <c r="J7207">
        <v>1</v>
      </c>
      <c r="K7207">
        <f>1-888-250-4213</f>
        <v>-5350</v>
      </c>
      <c r="L7207" t="s">
        <v>22645</v>
      </c>
      <c r="M7207" t="s">
        <v>22646</v>
      </c>
      <c r="N7207" t="s">
        <v>5354</v>
      </c>
      <c r="O7207" t="s">
        <v>28</v>
      </c>
      <c r="P7207" t="s">
        <v>2500</v>
      </c>
      <c r="Q7207">
        <v>1</v>
      </c>
      <c r="R7207">
        <v>99.999999000000003</v>
      </c>
    </row>
    <row r="7208" spans="1:18" x14ac:dyDescent="0.2">
      <c r="A7208" t="s">
        <v>439</v>
      </c>
      <c r="B7208" t="s">
        <v>3094</v>
      </c>
      <c r="C7208">
        <v>1</v>
      </c>
      <c r="D7208" s="1">
        <v>44147.722766203704</v>
      </c>
      <c r="E7208" t="s">
        <v>22647</v>
      </c>
      <c r="F7208" t="s">
        <v>442</v>
      </c>
      <c r="G7208" t="s">
        <v>22648</v>
      </c>
      <c r="H7208" t="s">
        <v>444</v>
      </c>
      <c r="I7208" t="s">
        <v>29</v>
      </c>
      <c r="J7208">
        <v>1</v>
      </c>
      <c r="K7208">
        <f>1-844-304-831</f>
        <v>-1978</v>
      </c>
      <c r="L7208" t="s">
        <v>22649</v>
      </c>
      <c r="M7208" t="s">
        <v>22650</v>
      </c>
      <c r="N7208" t="s">
        <v>3441</v>
      </c>
      <c r="O7208" t="s">
        <v>134</v>
      </c>
      <c r="P7208" t="s">
        <v>2268</v>
      </c>
      <c r="Q7208">
        <v>46</v>
      </c>
      <c r="R7208">
        <v>-73.567300000000003</v>
      </c>
    </row>
    <row r="7209" spans="1:18" x14ac:dyDescent="0.2">
      <c r="A7209" t="s">
        <v>663</v>
      </c>
      <c r="B7209" t="s">
        <v>2493</v>
      </c>
      <c r="C7209">
        <v>1</v>
      </c>
      <c r="D7209" s="1">
        <v>44147.763912037037</v>
      </c>
      <c r="E7209" t="s">
        <v>22651</v>
      </c>
      <c r="F7209" t="s">
        <v>666</v>
      </c>
      <c r="G7209" t="s">
        <v>22651</v>
      </c>
      <c r="H7209" t="s">
        <v>667</v>
      </c>
      <c r="I7209" t="s">
        <v>29</v>
      </c>
      <c r="J7209">
        <v>1</v>
      </c>
      <c r="K7209">
        <f>1-888-304-1281</f>
        <v>-2472</v>
      </c>
      <c r="L7209" t="s">
        <v>22652</v>
      </c>
      <c r="M7209" t="s">
        <v>22653</v>
      </c>
      <c r="N7209">
        <v>161</v>
      </c>
      <c r="O7209" t="s">
        <v>134</v>
      </c>
      <c r="P7209" t="s">
        <v>29</v>
      </c>
      <c r="Q7209">
        <v>41</v>
      </c>
      <c r="R7209">
        <v>-74.024699999999996</v>
      </c>
    </row>
    <row r="7210" spans="1:18" x14ac:dyDescent="0.2">
      <c r="A7210" t="s">
        <v>663</v>
      </c>
      <c r="B7210" t="s">
        <v>2493</v>
      </c>
      <c r="C7210">
        <v>1</v>
      </c>
      <c r="D7210" s="1">
        <v>44147.761030092595</v>
      </c>
      <c r="E7210" t="s">
        <v>22651</v>
      </c>
      <c r="F7210" t="s">
        <v>666</v>
      </c>
      <c r="G7210" t="s">
        <v>22651</v>
      </c>
      <c r="H7210" t="s">
        <v>667</v>
      </c>
      <c r="I7210" t="s">
        <v>29</v>
      </c>
      <c r="J7210">
        <v>1</v>
      </c>
      <c r="K7210">
        <f>1-888-525-748</f>
        <v>-2160</v>
      </c>
      <c r="L7210" t="s">
        <v>22654</v>
      </c>
      <c r="M7210" t="s">
        <v>22655</v>
      </c>
      <c r="N7210">
        <v>161</v>
      </c>
      <c r="O7210" t="s">
        <v>134</v>
      </c>
      <c r="P7210" t="s">
        <v>29</v>
      </c>
      <c r="Q7210">
        <v>41</v>
      </c>
      <c r="R7210">
        <v>-74.024699999999996</v>
      </c>
    </row>
    <row r="7211" spans="1:18" x14ac:dyDescent="0.2">
      <c r="A7211" t="s">
        <v>663</v>
      </c>
      <c r="B7211" t="s">
        <v>664</v>
      </c>
      <c r="C7211">
        <v>1</v>
      </c>
      <c r="D7211" s="1">
        <v>44147.970462962963</v>
      </c>
      <c r="E7211" t="s">
        <v>22656</v>
      </c>
      <c r="F7211" t="s">
        <v>666</v>
      </c>
      <c r="G7211" t="s">
        <v>22656</v>
      </c>
      <c r="H7211" t="s">
        <v>667</v>
      </c>
      <c r="I7211" t="s">
        <v>29</v>
      </c>
      <c r="J7211">
        <v>1</v>
      </c>
      <c r="K7211">
        <f>1-888-339-4838</f>
        <v>-6064</v>
      </c>
      <c r="L7211" t="s">
        <v>22657</v>
      </c>
      <c r="M7211" t="s">
        <v>22658</v>
      </c>
      <c r="N7211">
        <v>85</v>
      </c>
      <c r="O7211" t="s">
        <v>134</v>
      </c>
      <c r="P7211" t="s">
        <v>29</v>
      </c>
      <c r="Q7211">
        <v>37</v>
      </c>
      <c r="R7211">
        <v>-99.999999000000003</v>
      </c>
    </row>
    <row r="7212" spans="1:18" x14ac:dyDescent="0.2">
      <c r="A7212" t="s">
        <v>675</v>
      </c>
      <c r="B7212" t="s">
        <v>1412</v>
      </c>
      <c r="C7212">
        <v>81</v>
      </c>
      <c r="D7212" s="1">
        <v>44161.753703703704</v>
      </c>
      <c r="E7212" t="s">
        <v>22659</v>
      </c>
      <c r="F7212" t="s">
        <v>678</v>
      </c>
      <c r="G7212" t="s">
        <v>22660</v>
      </c>
      <c r="H7212" t="s">
        <v>680</v>
      </c>
      <c r="I7212" t="s">
        <v>53</v>
      </c>
      <c r="J7212">
        <v>81</v>
      </c>
      <c r="K7212">
        <f>81-50-5809-8033</f>
        <v>-13811</v>
      </c>
      <c r="L7212" t="s">
        <v>22661</v>
      </c>
      <c r="M7212" t="s">
        <v>22662</v>
      </c>
      <c r="N7212" t="s">
        <v>2475</v>
      </c>
      <c r="O7212" t="s">
        <v>28</v>
      </c>
      <c r="P7212" t="s">
        <v>29</v>
      </c>
      <c r="Q7212">
        <v>41</v>
      </c>
      <c r="R7212">
        <v>-74.172399999999996</v>
      </c>
    </row>
    <row r="7213" spans="1:18" x14ac:dyDescent="0.2">
      <c r="A7213" t="s">
        <v>675</v>
      </c>
      <c r="B7213" t="s">
        <v>1412</v>
      </c>
      <c r="C7213">
        <v>81</v>
      </c>
      <c r="D7213" s="1">
        <v>44149.006423611114</v>
      </c>
      <c r="E7213" t="s">
        <v>22663</v>
      </c>
      <c r="F7213" t="s">
        <v>678</v>
      </c>
      <c r="G7213" t="s">
        <v>22660</v>
      </c>
      <c r="H7213" t="s">
        <v>680</v>
      </c>
      <c r="I7213" t="s">
        <v>53</v>
      </c>
      <c r="J7213">
        <v>81</v>
      </c>
      <c r="K7213">
        <f>81-50-5532-8476</f>
        <v>-13977</v>
      </c>
      <c r="L7213" t="s">
        <v>22664</v>
      </c>
      <c r="M7213" t="s">
        <v>22665</v>
      </c>
      <c r="N7213" t="s">
        <v>2475</v>
      </c>
      <c r="O7213" t="s">
        <v>28</v>
      </c>
      <c r="P7213" t="s">
        <v>29</v>
      </c>
      <c r="Q7213">
        <v>41</v>
      </c>
      <c r="R7213">
        <v>-74.172399999999996</v>
      </c>
    </row>
    <row r="7214" spans="1:18" x14ac:dyDescent="0.2">
      <c r="A7214" t="s">
        <v>675</v>
      </c>
      <c r="B7214" t="s">
        <v>1412</v>
      </c>
      <c r="C7214">
        <v>81</v>
      </c>
      <c r="D7214" s="1">
        <v>44149.202314814815</v>
      </c>
      <c r="E7214" t="s">
        <v>22666</v>
      </c>
      <c r="F7214" t="s">
        <v>678</v>
      </c>
      <c r="G7214" t="s">
        <v>22667</v>
      </c>
      <c r="H7214" t="s">
        <v>680</v>
      </c>
      <c r="I7214" t="s">
        <v>53</v>
      </c>
      <c r="J7214">
        <v>81</v>
      </c>
      <c r="K7214">
        <f>81-50-5534-6536</f>
        <v>-12039</v>
      </c>
      <c r="L7214" t="s">
        <v>22668</v>
      </c>
      <c r="M7214" t="s">
        <v>22669</v>
      </c>
      <c r="N7214" t="s">
        <v>2475</v>
      </c>
      <c r="O7214" t="s">
        <v>28</v>
      </c>
      <c r="P7214" t="s">
        <v>29</v>
      </c>
      <c r="Q7214">
        <v>41</v>
      </c>
      <c r="R7214">
        <v>-74.172399999999996</v>
      </c>
    </row>
    <row r="7215" spans="1:18" x14ac:dyDescent="0.2">
      <c r="A7215" t="s">
        <v>439</v>
      </c>
      <c r="B7215" t="s">
        <v>3094</v>
      </c>
      <c r="C7215">
        <v>81</v>
      </c>
      <c r="D7215" s="1">
        <v>44149.570868055554</v>
      </c>
      <c r="E7215" t="s">
        <v>22670</v>
      </c>
      <c r="F7215" t="s">
        <v>442</v>
      </c>
      <c r="G7215" t="s">
        <v>22671</v>
      </c>
      <c r="H7215" t="s">
        <v>444</v>
      </c>
      <c r="I7215" t="s">
        <v>53</v>
      </c>
      <c r="J7215">
        <v>81</v>
      </c>
      <c r="K7215">
        <f>81-50-5809-9063</f>
        <v>-14841</v>
      </c>
      <c r="L7215" t="s">
        <v>22672</v>
      </c>
      <c r="M7215" t="s">
        <v>22673</v>
      </c>
      <c r="N7215" t="s">
        <v>213</v>
      </c>
      <c r="O7215" t="s">
        <v>134</v>
      </c>
      <c r="P7215" t="s">
        <v>2268</v>
      </c>
      <c r="Q7215">
        <v>46</v>
      </c>
      <c r="R7215">
        <v>-73.567300000000003</v>
      </c>
    </row>
    <row r="7216" spans="1:18" x14ac:dyDescent="0.2">
      <c r="A7216" t="s">
        <v>675</v>
      </c>
      <c r="B7216" t="s">
        <v>6390</v>
      </c>
      <c r="C7216">
        <v>81</v>
      </c>
      <c r="D7216" s="1">
        <v>44150.248425925929</v>
      </c>
      <c r="E7216" t="s">
        <v>22674</v>
      </c>
      <c r="F7216" t="s">
        <v>678</v>
      </c>
      <c r="G7216" t="s">
        <v>22675</v>
      </c>
      <c r="H7216" t="s">
        <v>680</v>
      </c>
      <c r="I7216" t="s">
        <v>53</v>
      </c>
      <c r="J7216">
        <v>81</v>
      </c>
      <c r="K7216">
        <f>81-50-5539-7732</f>
        <v>-13240</v>
      </c>
      <c r="L7216" t="s">
        <v>22676</v>
      </c>
      <c r="M7216" t="s">
        <v>22677</v>
      </c>
      <c r="N7216" t="s">
        <v>2475</v>
      </c>
      <c r="O7216" t="s">
        <v>28</v>
      </c>
      <c r="P7216" t="s">
        <v>29</v>
      </c>
      <c r="Q7216">
        <v>37</v>
      </c>
      <c r="R7216">
        <v>-99.999999000000003</v>
      </c>
    </row>
    <row r="7217" spans="1:18" x14ac:dyDescent="0.2">
      <c r="A7217" t="s">
        <v>2349</v>
      </c>
      <c r="B7217" t="s">
        <v>10634</v>
      </c>
      <c r="C7217">
        <v>49</v>
      </c>
      <c r="D7217" s="1">
        <v>44151.576701388891</v>
      </c>
      <c r="E7217" t="s">
        <v>22678</v>
      </c>
      <c r="F7217" t="s">
        <v>2352</v>
      </c>
      <c r="G7217" t="s">
        <v>22678</v>
      </c>
      <c r="H7217" t="s">
        <v>2353</v>
      </c>
      <c r="I7217" t="s">
        <v>24</v>
      </c>
      <c r="J7217">
        <v>49</v>
      </c>
      <c r="K7217">
        <f>49-800-181-385</f>
        <v>-1317</v>
      </c>
      <c r="L7217" t="s">
        <v>22679</v>
      </c>
      <c r="M7217" t="s">
        <v>22680</v>
      </c>
      <c r="N7217">
        <v>146</v>
      </c>
      <c r="O7217" t="s">
        <v>134</v>
      </c>
      <c r="P7217" t="s">
        <v>292</v>
      </c>
      <c r="Q7217">
        <v>49</v>
      </c>
      <c r="R7217">
        <v>2.3868999999999998</v>
      </c>
    </row>
    <row r="7218" spans="1:18" x14ac:dyDescent="0.2">
      <c r="A7218" t="s">
        <v>663</v>
      </c>
      <c r="B7218" t="s">
        <v>664</v>
      </c>
      <c r="C7218">
        <v>1</v>
      </c>
      <c r="D7218" s="1">
        <v>44151.743784722225</v>
      </c>
      <c r="E7218" t="s">
        <v>22681</v>
      </c>
      <c r="F7218" t="s">
        <v>666</v>
      </c>
      <c r="G7218" t="s">
        <v>22682</v>
      </c>
      <c r="H7218" t="s">
        <v>667</v>
      </c>
      <c r="I7218" t="s">
        <v>29</v>
      </c>
      <c r="J7218">
        <v>1</v>
      </c>
      <c r="K7218">
        <f>1-844-270-9225</f>
        <v>-10338</v>
      </c>
      <c r="L7218" t="s">
        <v>22683</v>
      </c>
      <c r="M7218" t="s">
        <v>22684</v>
      </c>
      <c r="N7218" t="s">
        <v>36</v>
      </c>
      <c r="O7218" t="s">
        <v>28</v>
      </c>
      <c r="P7218" t="s">
        <v>29</v>
      </c>
      <c r="Q7218">
        <v>37</v>
      </c>
      <c r="R7218">
        <v>-99.999999000000003</v>
      </c>
    </row>
    <row r="7219" spans="1:18" x14ac:dyDescent="0.2">
      <c r="A7219" t="s">
        <v>439</v>
      </c>
      <c r="B7219" t="s">
        <v>3094</v>
      </c>
      <c r="C7219">
        <v>1</v>
      </c>
      <c r="D7219" s="1">
        <v>44151.766736111109</v>
      </c>
      <c r="E7219" t="s">
        <v>22685</v>
      </c>
      <c r="F7219" t="s">
        <v>442</v>
      </c>
      <c r="G7219" t="s">
        <v>22686</v>
      </c>
      <c r="H7219" t="s">
        <v>444</v>
      </c>
      <c r="I7219" t="s">
        <v>29</v>
      </c>
      <c r="J7219">
        <v>1</v>
      </c>
      <c r="K7219">
        <f>1-888-312-1371</f>
        <v>-2570</v>
      </c>
      <c r="L7219" t="s">
        <v>22687</v>
      </c>
      <c r="M7219" t="s">
        <v>22688</v>
      </c>
      <c r="N7219" t="s">
        <v>1645</v>
      </c>
      <c r="O7219" t="s">
        <v>28</v>
      </c>
      <c r="P7219" t="s">
        <v>2268</v>
      </c>
      <c r="Q7219">
        <v>46</v>
      </c>
      <c r="R7219">
        <v>-73.567300000000003</v>
      </c>
    </row>
    <row r="7220" spans="1:18" x14ac:dyDescent="0.2">
      <c r="A7220" t="s">
        <v>439</v>
      </c>
      <c r="B7220" t="s">
        <v>4321</v>
      </c>
      <c r="C7220">
        <v>1</v>
      </c>
      <c r="D7220" s="1">
        <v>44151.775416666664</v>
      </c>
      <c r="E7220" t="s">
        <v>22685</v>
      </c>
      <c r="F7220" t="s">
        <v>442</v>
      </c>
      <c r="G7220" t="s">
        <v>22689</v>
      </c>
      <c r="H7220" t="s">
        <v>444</v>
      </c>
      <c r="I7220" t="s">
        <v>29</v>
      </c>
      <c r="J7220">
        <v>1</v>
      </c>
      <c r="K7220">
        <f>1-888-598-1527</f>
        <v>-3012</v>
      </c>
      <c r="L7220" t="s">
        <v>22690</v>
      </c>
      <c r="M7220" t="s">
        <v>22691</v>
      </c>
      <c r="N7220" t="s">
        <v>1645</v>
      </c>
      <c r="O7220" t="s">
        <v>28</v>
      </c>
      <c r="P7220" t="s">
        <v>29</v>
      </c>
      <c r="Q7220">
        <v>42</v>
      </c>
      <c r="R7220">
        <v>-87.629800000000003</v>
      </c>
    </row>
    <row r="7221" spans="1:18" x14ac:dyDescent="0.2">
      <c r="A7221" t="s">
        <v>439</v>
      </c>
      <c r="B7221" t="s">
        <v>4321</v>
      </c>
      <c r="C7221">
        <v>1</v>
      </c>
      <c r="D7221" s="1">
        <v>44151.775289351855</v>
      </c>
      <c r="E7221" t="s">
        <v>22685</v>
      </c>
      <c r="F7221" t="s">
        <v>442</v>
      </c>
      <c r="G7221" t="s">
        <v>22689</v>
      </c>
      <c r="H7221" t="s">
        <v>444</v>
      </c>
      <c r="I7221" t="s">
        <v>29</v>
      </c>
      <c r="J7221">
        <v>1</v>
      </c>
      <c r="K7221">
        <f>1-888-525-660</f>
        <v>-2072</v>
      </c>
      <c r="L7221" t="s">
        <v>22692</v>
      </c>
      <c r="M7221" t="s">
        <v>22693</v>
      </c>
      <c r="N7221" t="s">
        <v>1645</v>
      </c>
      <c r="O7221" t="s">
        <v>28</v>
      </c>
      <c r="P7221" t="s">
        <v>29</v>
      </c>
      <c r="Q7221">
        <v>42</v>
      </c>
      <c r="R7221">
        <v>-87.629800000000003</v>
      </c>
    </row>
    <row r="7222" spans="1:18" x14ac:dyDescent="0.2">
      <c r="A7222" t="s">
        <v>439</v>
      </c>
      <c r="B7222" t="s">
        <v>3094</v>
      </c>
      <c r="C7222">
        <v>1</v>
      </c>
      <c r="D7222" s="1">
        <v>44151.775347222225</v>
      </c>
      <c r="E7222" t="s">
        <v>22685</v>
      </c>
      <c r="F7222" t="s">
        <v>442</v>
      </c>
      <c r="G7222" t="s">
        <v>22694</v>
      </c>
      <c r="H7222" t="s">
        <v>444</v>
      </c>
      <c r="I7222" t="s">
        <v>29</v>
      </c>
      <c r="J7222">
        <v>1</v>
      </c>
      <c r="K7222">
        <f>1-888-417-4078</f>
        <v>-5382</v>
      </c>
      <c r="L7222" t="s">
        <v>22695</v>
      </c>
      <c r="M7222" t="s">
        <v>22696</v>
      </c>
      <c r="N7222" t="s">
        <v>1645</v>
      </c>
      <c r="O7222" t="s">
        <v>28</v>
      </c>
      <c r="P7222" t="s">
        <v>2268</v>
      </c>
      <c r="Q7222">
        <v>46</v>
      </c>
      <c r="R7222">
        <v>-73.567300000000003</v>
      </c>
    </row>
    <row r="7223" spans="1:18" x14ac:dyDescent="0.2">
      <c r="A7223" t="s">
        <v>663</v>
      </c>
      <c r="B7223" t="s">
        <v>2493</v>
      </c>
      <c r="C7223">
        <v>1</v>
      </c>
      <c r="D7223" s="1">
        <v>44151.788344907407</v>
      </c>
      <c r="E7223" t="s">
        <v>22697</v>
      </c>
      <c r="F7223" t="s">
        <v>666</v>
      </c>
      <c r="G7223" t="s">
        <v>22697</v>
      </c>
      <c r="H7223" t="s">
        <v>667</v>
      </c>
      <c r="I7223" t="s">
        <v>29</v>
      </c>
      <c r="J7223">
        <v>1</v>
      </c>
      <c r="K7223">
        <f>1-888-436-6903</f>
        <v>-8226</v>
      </c>
      <c r="L7223" t="s">
        <v>22698</v>
      </c>
      <c r="M7223" t="s">
        <v>22699</v>
      </c>
      <c r="N7223">
        <v>83</v>
      </c>
      <c r="O7223" t="s">
        <v>134</v>
      </c>
      <c r="P7223" t="s">
        <v>29</v>
      </c>
      <c r="Q7223">
        <v>41</v>
      </c>
      <c r="R7223">
        <v>-74.024699999999996</v>
      </c>
    </row>
    <row r="7224" spans="1:18" x14ac:dyDescent="0.2">
      <c r="A7224" t="s">
        <v>663</v>
      </c>
      <c r="B7224" t="s">
        <v>2493</v>
      </c>
      <c r="C7224">
        <v>1</v>
      </c>
      <c r="D7224" s="1">
        <v>44151.804444444446</v>
      </c>
      <c r="E7224" t="s">
        <v>22700</v>
      </c>
      <c r="F7224" t="s">
        <v>666</v>
      </c>
      <c r="G7224" t="s">
        <v>22700</v>
      </c>
      <c r="H7224" t="s">
        <v>667</v>
      </c>
      <c r="I7224" t="s">
        <v>29</v>
      </c>
      <c r="J7224">
        <v>1</v>
      </c>
      <c r="K7224">
        <f>1-888-690-956</f>
        <v>-2533</v>
      </c>
      <c r="L7224" t="s">
        <v>22701</v>
      </c>
      <c r="M7224" t="s">
        <v>22702</v>
      </c>
      <c r="N7224">
        <v>136</v>
      </c>
      <c r="O7224" t="s">
        <v>134</v>
      </c>
      <c r="P7224" t="s">
        <v>29</v>
      </c>
      <c r="Q7224">
        <v>41</v>
      </c>
      <c r="R7224">
        <v>-74.024699999999996</v>
      </c>
    </row>
    <row r="7225" spans="1:18" x14ac:dyDescent="0.2">
      <c r="A7225" t="s">
        <v>439</v>
      </c>
      <c r="B7225" t="s">
        <v>3094</v>
      </c>
      <c r="C7225">
        <v>1</v>
      </c>
      <c r="D7225" s="1">
        <v>44151.810393518521</v>
      </c>
      <c r="E7225" t="s">
        <v>22703</v>
      </c>
      <c r="F7225" t="s">
        <v>442</v>
      </c>
      <c r="G7225" t="s">
        <v>22704</v>
      </c>
      <c r="H7225" t="s">
        <v>444</v>
      </c>
      <c r="I7225" t="s">
        <v>29</v>
      </c>
      <c r="J7225">
        <v>1</v>
      </c>
      <c r="K7225">
        <f>1-888-655-2430</f>
        <v>-3972</v>
      </c>
      <c r="L7225" t="s">
        <v>22705</v>
      </c>
      <c r="M7225" t="s">
        <v>22706</v>
      </c>
      <c r="N7225" t="s">
        <v>1645</v>
      </c>
      <c r="O7225" t="s">
        <v>28</v>
      </c>
      <c r="P7225" t="s">
        <v>2268</v>
      </c>
      <c r="Q7225">
        <v>46</v>
      </c>
      <c r="R7225">
        <v>-73.567300000000003</v>
      </c>
    </row>
    <row r="7226" spans="1:18" x14ac:dyDescent="0.2">
      <c r="A7226" t="s">
        <v>439</v>
      </c>
      <c r="B7226" t="s">
        <v>3094</v>
      </c>
      <c r="C7226">
        <v>1</v>
      </c>
      <c r="D7226" s="1">
        <v>44151.810115740744</v>
      </c>
      <c r="E7226" t="s">
        <v>22703</v>
      </c>
      <c r="F7226" t="s">
        <v>442</v>
      </c>
      <c r="G7226" t="s">
        <v>22704</v>
      </c>
      <c r="H7226" t="s">
        <v>444</v>
      </c>
      <c r="I7226" t="s">
        <v>29</v>
      </c>
      <c r="J7226">
        <v>1</v>
      </c>
      <c r="K7226">
        <f>1-888-291-154</f>
        <v>-1332</v>
      </c>
      <c r="L7226" t="s">
        <v>22707</v>
      </c>
      <c r="M7226" t="s">
        <v>22708</v>
      </c>
      <c r="N7226" t="s">
        <v>1645</v>
      </c>
      <c r="O7226" t="s">
        <v>28</v>
      </c>
      <c r="P7226" t="s">
        <v>2268</v>
      </c>
      <c r="Q7226">
        <v>46</v>
      </c>
      <c r="R7226">
        <v>-73.567300000000003</v>
      </c>
    </row>
    <row r="7227" spans="1:18" x14ac:dyDescent="0.2">
      <c r="A7227" t="s">
        <v>439</v>
      </c>
      <c r="B7227" t="s">
        <v>3094</v>
      </c>
      <c r="C7227">
        <v>1</v>
      </c>
      <c r="D7227" s="1">
        <v>44151.808819444443</v>
      </c>
      <c r="E7227" t="s">
        <v>22703</v>
      </c>
      <c r="F7227" t="s">
        <v>442</v>
      </c>
      <c r="G7227" t="s">
        <v>22704</v>
      </c>
      <c r="H7227" t="s">
        <v>444</v>
      </c>
      <c r="I7227" t="s">
        <v>29</v>
      </c>
      <c r="J7227">
        <v>1</v>
      </c>
      <c r="K7227">
        <f>1-888-521-9379</f>
        <v>-10787</v>
      </c>
      <c r="L7227" t="s">
        <v>22709</v>
      </c>
      <c r="M7227" t="s">
        <v>22710</v>
      </c>
      <c r="N7227" t="s">
        <v>1645</v>
      </c>
      <c r="O7227" t="s">
        <v>28</v>
      </c>
      <c r="P7227" t="s">
        <v>2268</v>
      </c>
      <c r="Q7227">
        <v>46</v>
      </c>
      <c r="R7227">
        <v>-73.567300000000003</v>
      </c>
    </row>
    <row r="7228" spans="1:18" x14ac:dyDescent="0.2">
      <c r="A7228" t="s">
        <v>439</v>
      </c>
      <c r="B7228" t="s">
        <v>4321</v>
      </c>
      <c r="C7228">
        <v>1</v>
      </c>
      <c r="D7228" s="1">
        <v>44151.809594907405</v>
      </c>
      <c r="E7228" t="s">
        <v>22703</v>
      </c>
      <c r="F7228" t="s">
        <v>442</v>
      </c>
      <c r="G7228" t="s">
        <v>22711</v>
      </c>
      <c r="H7228" t="s">
        <v>444</v>
      </c>
      <c r="I7228" t="s">
        <v>29</v>
      </c>
      <c r="J7228">
        <v>1</v>
      </c>
      <c r="K7228">
        <f>1-888-291-135</f>
        <v>-1313</v>
      </c>
      <c r="L7228" t="s">
        <v>22712</v>
      </c>
      <c r="M7228" t="s">
        <v>22713</v>
      </c>
      <c r="N7228" t="s">
        <v>1645</v>
      </c>
      <c r="O7228" t="s">
        <v>28</v>
      </c>
      <c r="P7228" t="s">
        <v>29</v>
      </c>
      <c r="Q7228">
        <v>42</v>
      </c>
      <c r="R7228">
        <v>-87.629800000000003</v>
      </c>
    </row>
    <row r="7229" spans="1:18" x14ac:dyDescent="0.2">
      <c r="A7229" t="s">
        <v>663</v>
      </c>
      <c r="B7229" t="s">
        <v>2493</v>
      </c>
      <c r="C7229">
        <v>1</v>
      </c>
      <c r="D7229" s="1">
        <v>44151.818067129629</v>
      </c>
      <c r="E7229" t="s">
        <v>22714</v>
      </c>
      <c r="F7229" t="s">
        <v>666</v>
      </c>
      <c r="G7229" t="s">
        <v>22714</v>
      </c>
      <c r="H7229" t="s">
        <v>667</v>
      </c>
      <c r="I7229" t="s">
        <v>29</v>
      </c>
      <c r="J7229">
        <v>1</v>
      </c>
      <c r="K7229">
        <f>1-888-526-3013</f>
        <v>-4426</v>
      </c>
      <c r="L7229" t="s">
        <v>22715</v>
      </c>
      <c r="M7229" t="s">
        <v>22716</v>
      </c>
      <c r="N7229">
        <v>225</v>
      </c>
      <c r="O7229" t="s">
        <v>134</v>
      </c>
      <c r="P7229" t="s">
        <v>29</v>
      </c>
      <c r="Q7229">
        <v>41</v>
      </c>
      <c r="R7229">
        <v>-74.024699999999996</v>
      </c>
    </row>
    <row r="7230" spans="1:18" x14ac:dyDescent="0.2">
      <c r="A7230" t="s">
        <v>675</v>
      </c>
      <c r="B7230" t="s">
        <v>1412</v>
      </c>
      <c r="C7230">
        <v>1</v>
      </c>
      <c r="D7230" s="1">
        <v>44167.460543981484</v>
      </c>
      <c r="E7230" t="s">
        <v>22717</v>
      </c>
      <c r="F7230" t="s">
        <v>678</v>
      </c>
      <c r="G7230" t="s">
        <v>22718</v>
      </c>
      <c r="H7230" t="s">
        <v>680</v>
      </c>
      <c r="I7230" t="s">
        <v>29</v>
      </c>
      <c r="J7230">
        <v>1</v>
      </c>
      <c r="K7230">
        <f>1-877-843-4740</f>
        <v>-6459</v>
      </c>
      <c r="L7230" t="s">
        <v>22719</v>
      </c>
      <c r="M7230" t="s">
        <v>22720</v>
      </c>
      <c r="N7230" t="s">
        <v>452</v>
      </c>
      <c r="O7230" t="s">
        <v>28</v>
      </c>
      <c r="P7230" t="s">
        <v>29</v>
      </c>
      <c r="Q7230">
        <v>41</v>
      </c>
      <c r="R7230">
        <v>-74.172399999999996</v>
      </c>
    </row>
    <row r="7231" spans="1:18" x14ac:dyDescent="0.2">
      <c r="A7231" t="s">
        <v>675</v>
      </c>
      <c r="B7231" t="s">
        <v>1412</v>
      </c>
      <c r="C7231">
        <v>1</v>
      </c>
      <c r="D7231" s="1">
        <v>44151.898634259262</v>
      </c>
      <c r="E7231" t="s">
        <v>22721</v>
      </c>
      <c r="F7231" t="s">
        <v>678</v>
      </c>
      <c r="G7231" t="s">
        <v>22718</v>
      </c>
      <c r="H7231" t="s">
        <v>680</v>
      </c>
      <c r="I7231" t="s">
        <v>29</v>
      </c>
      <c r="J7231">
        <v>1</v>
      </c>
      <c r="K7231">
        <f>1-877-843-4740</f>
        <v>-6459</v>
      </c>
      <c r="L7231" t="s">
        <v>22722</v>
      </c>
      <c r="M7231" t="s">
        <v>22723</v>
      </c>
      <c r="N7231" t="s">
        <v>452</v>
      </c>
      <c r="O7231" t="s">
        <v>28</v>
      </c>
      <c r="P7231" t="s">
        <v>29</v>
      </c>
      <c r="Q7231">
        <v>41</v>
      </c>
      <c r="R7231">
        <v>-74.172399999999996</v>
      </c>
    </row>
    <row r="7232" spans="1:18" x14ac:dyDescent="0.2">
      <c r="A7232" t="s">
        <v>663</v>
      </c>
      <c r="B7232" t="s">
        <v>2493</v>
      </c>
      <c r="C7232">
        <v>1</v>
      </c>
      <c r="D7232" s="1">
        <v>44152.789918981478</v>
      </c>
      <c r="E7232" t="s">
        <v>22724</v>
      </c>
      <c r="F7232" t="s">
        <v>666</v>
      </c>
      <c r="G7232" t="s">
        <v>22724</v>
      </c>
      <c r="H7232" t="s">
        <v>667</v>
      </c>
      <c r="I7232" t="s">
        <v>29</v>
      </c>
      <c r="J7232">
        <v>1</v>
      </c>
      <c r="K7232">
        <f>1-888-430-3482</f>
        <v>-4799</v>
      </c>
      <c r="L7232" t="s">
        <v>22725</v>
      </c>
      <c r="M7232" t="s">
        <v>22726</v>
      </c>
      <c r="N7232">
        <v>116</v>
      </c>
      <c r="O7232" t="s">
        <v>134</v>
      </c>
      <c r="P7232" t="s">
        <v>29</v>
      </c>
      <c r="Q7232">
        <v>41</v>
      </c>
      <c r="R7232">
        <v>-74.024699999999996</v>
      </c>
    </row>
    <row r="7233" spans="1:18" x14ac:dyDescent="0.2">
      <c r="A7233" t="s">
        <v>663</v>
      </c>
      <c r="B7233" t="s">
        <v>2493</v>
      </c>
      <c r="C7233">
        <v>1</v>
      </c>
      <c r="D7233" s="1">
        <v>44152.833414351851</v>
      </c>
      <c r="E7233" t="s">
        <v>22727</v>
      </c>
      <c r="F7233" t="s">
        <v>666</v>
      </c>
      <c r="G7233" t="s">
        <v>22727</v>
      </c>
      <c r="H7233" t="s">
        <v>667</v>
      </c>
      <c r="I7233" t="s">
        <v>29</v>
      </c>
      <c r="J7233">
        <v>1</v>
      </c>
      <c r="K7233">
        <f>1-888-655-2061</f>
        <v>-3603</v>
      </c>
      <c r="L7233" t="s">
        <v>22728</v>
      </c>
      <c r="M7233" t="s">
        <v>22729</v>
      </c>
      <c r="N7233">
        <v>82</v>
      </c>
      <c r="O7233" t="s">
        <v>134</v>
      </c>
      <c r="P7233" t="s">
        <v>29</v>
      </c>
      <c r="Q7233">
        <v>41</v>
      </c>
      <c r="R7233">
        <v>-74.024699999999996</v>
      </c>
    </row>
    <row r="7234" spans="1:18" x14ac:dyDescent="0.2">
      <c r="A7234" t="s">
        <v>663</v>
      </c>
      <c r="B7234" t="s">
        <v>2493</v>
      </c>
      <c r="C7234">
        <v>1</v>
      </c>
      <c r="D7234" s="1">
        <v>44153.787002314813</v>
      </c>
      <c r="E7234" t="s">
        <v>22730</v>
      </c>
      <c r="F7234" t="s">
        <v>666</v>
      </c>
      <c r="G7234" t="s">
        <v>22730</v>
      </c>
      <c r="H7234" t="s">
        <v>667</v>
      </c>
      <c r="I7234" t="s">
        <v>29</v>
      </c>
      <c r="J7234">
        <v>1</v>
      </c>
      <c r="K7234">
        <f>1-888-660-1325</f>
        <v>-2872</v>
      </c>
      <c r="L7234" t="s">
        <v>22731</v>
      </c>
      <c r="M7234" t="s">
        <v>22732</v>
      </c>
      <c r="N7234">
        <v>230</v>
      </c>
      <c r="O7234" t="s">
        <v>134</v>
      </c>
      <c r="P7234" t="s">
        <v>29</v>
      </c>
      <c r="Q7234">
        <v>41</v>
      </c>
      <c r="R7234">
        <v>-74.024699999999996</v>
      </c>
    </row>
    <row r="7235" spans="1:18" x14ac:dyDescent="0.2">
      <c r="A7235" t="s">
        <v>663</v>
      </c>
      <c r="B7235" t="s">
        <v>2493</v>
      </c>
      <c r="C7235">
        <v>1</v>
      </c>
      <c r="D7235" s="1">
        <v>44153.785046296296</v>
      </c>
      <c r="E7235" t="s">
        <v>22730</v>
      </c>
      <c r="F7235" t="s">
        <v>666</v>
      </c>
      <c r="G7235" t="s">
        <v>22730</v>
      </c>
      <c r="H7235" t="s">
        <v>667</v>
      </c>
      <c r="I7235" t="s">
        <v>29</v>
      </c>
      <c r="J7235">
        <v>1</v>
      </c>
      <c r="K7235">
        <f>1-888-344-6070</f>
        <v>-7301</v>
      </c>
      <c r="L7235" t="s">
        <v>22733</v>
      </c>
      <c r="M7235" t="s">
        <v>22734</v>
      </c>
      <c r="N7235">
        <v>230</v>
      </c>
      <c r="O7235" t="s">
        <v>134</v>
      </c>
      <c r="P7235" t="s">
        <v>29</v>
      </c>
      <c r="Q7235">
        <v>41</v>
      </c>
      <c r="R7235">
        <v>-74.024699999999996</v>
      </c>
    </row>
    <row r="7236" spans="1:18" x14ac:dyDescent="0.2">
      <c r="A7236" t="s">
        <v>663</v>
      </c>
      <c r="B7236" t="s">
        <v>2493</v>
      </c>
      <c r="C7236">
        <v>1</v>
      </c>
      <c r="D7236" s="1">
        <v>44153.783206018517</v>
      </c>
      <c r="E7236" t="s">
        <v>22730</v>
      </c>
      <c r="F7236" t="s">
        <v>666</v>
      </c>
      <c r="G7236" t="s">
        <v>22730</v>
      </c>
      <c r="H7236" t="s">
        <v>667</v>
      </c>
      <c r="I7236" t="s">
        <v>29</v>
      </c>
      <c r="J7236">
        <v>1</v>
      </c>
      <c r="K7236">
        <f>1-888-597-1449</f>
        <v>-2933</v>
      </c>
      <c r="L7236" t="s">
        <v>22735</v>
      </c>
      <c r="M7236" t="s">
        <v>22736</v>
      </c>
      <c r="N7236">
        <v>230</v>
      </c>
      <c r="O7236" t="s">
        <v>134</v>
      </c>
      <c r="P7236" t="s">
        <v>29</v>
      </c>
      <c r="Q7236">
        <v>41</v>
      </c>
      <c r="R7236">
        <v>-74.024699999999996</v>
      </c>
    </row>
    <row r="7237" spans="1:18" x14ac:dyDescent="0.2">
      <c r="A7237" t="s">
        <v>663</v>
      </c>
      <c r="B7237" t="s">
        <v>2493</v>
      </c>
      <c r="C7237">
        <v>1</v>
      </c>
      <c r="D7237" s="1">
        <v>44153.780092592591</v>
      </c>
      <c r="E7237" t="s">
        <v>22730</v>
      </c>
      <c r="F7237" t="s">
        <v>666</v>
      </c>
      <c r="G7237" t="s">
        <v>22730</v>
      </c>
      <c r="H7237" t="s">
        <v>667</v>
      </c>
      <c r="I7237" t="s">
        <v>29</v>
      </c>
      <c r="J7237">
        <v>1</v>
      </c>
      <c r="K7237">
        <f>1-888-690-779</f>
        <v>-2356</v>
      </c>
      <c r="L7237" t="s">
        <v>22737</v>
      </c>
      <c r="M7237" t="s">
        <v>22738</v>
      </c>
      <c r="N7237">
        <v>230</v>
      </c>
      <c r="O7237" t="s">
        <v>134</v>
      </c>
      <c r="P7237" t="s">
        <v>29</v>
      </c>
      <c r="Q7237">
        <v>41</v>
      </c>
      <c r="R7237">
        <v>-74.024699999999996</v>
      </c>
    </row>
    <row r="7238" spans="1:18" x14ac:dyDescent="0.2">
      <c r="A7238" t="s">
        <v>2349</v>
      </c>
      <c r="B7238" t="s">
        <v>10634</v>
      </c>
      <c r="C7238">
        <v>49</v>
      </c>
      <c r="D7238" s="1">
        <v>44153.588067129633</v>
      </c>
      <c r="E7238" t="s">
        <v>22739</v>
      </c>
      <c r="F7238" t="s">
        <v>2352</v>
      </c>
      <c r="G7238" t="s">
        <v>22739</v>
      </c>
      <c r="H7238" t="s">
        <v>2353</v>
      </c>
      <c r="I7238" t="s">
        <v>24</v>
      </c>
      <c r="J7238">
        <v>49</v>
      </c>
      <c r="K7238">
        <f>49-800-180-8218</f>
        <v>-9149</v>
      </c>
      <c r="L7238" t="s">
        <v>22740</v>
      </c>
      <c r="M7238" t="s">
        <v>22741</v>
      </c>
      <c r="N7238">
        <v>101</v>
      </c>
      <c r="O7238" t="s">
        <v>134</v>
      </c>
      <c r="P7238" t="s">
        <v>292</v>
      </c>
      <c r="Q7238">
        <v>49</v>
      </c>
      <c r="R7238">
        <v>2.3868999999999998</v>
      </c>
    </row>
    <row r="7239" spans="1:18" x14ac:dyDescent="0.2">
      <c r="A7239" t="s">
        <v>663</v>
      </c>
      <c r="B7239" t="s">
        <v>2493</v>
      </c>
      <c r="C7239">
        <v>1</v>
      </c>
      <c r="D7239" s="1">
        <v>44153.772349537037</v>
      </c>
      <c r="E7239" t="s">
        <v>22742</v>
      </c>
      <c r="F7239" t="s">
        <v>666</v>
      </c>
      <c r="G7239" t="s">
        <v>22742</v>
      </c>
      <c r="H7239" t="s">
        <v>667</v>
      </c>
      <c r="I7239" t="s">
        <v>29</v>
      </c>
      <c r="J7239">
        <v>1</v>
      </c>
      <c r="K7239">
        <f>1-888-291-128</f>
        <v>-1306</v>
      </c>
      <c r="L7239" t="s">
        <v>22743</v>
      </c>
      <c r="M7239" t="s">
        <v>22744</v>
      </c>
      <c r="N7239">
        <v>229</v>
      </c>
      <c r="O7239" t="s">
        <v>134</v>
      </c>
      <c r="P7239" t="s">
        <v>29</v>
      </c>
      <c r="Q7239">
        <v>41</v>
      </c>
      <c r="R7239">
        <v>-74.024699999999996</v>
      </c>
    </row>
    <row r="7240" spans="1:18" x14ac:dyDescent="0.2">
      <c r="A7240" t="s">
        <v>663</v>
      </c>
      <c r="B7240" t="s">
        <v>2493</v>
      </c>
      <c r="C7240">
        <v>1</v>
      </c>
      <c r="D7240" s="1">
        <v>44153.767094907409</v>
      </c>
      <c r="E7240" t="s">
        <v>22742</v>
      </c>
      <c r="F7240" t="s">
        <v>666</v>
      </c>
      <c r="G7240" t="s">
        <v>22742</v>
      </c>
      <c r="H7240" t="s">
        <v>667</v>
      </c>
      <c r="I7240" t="s">
        <v>29</v>
      </c>
      <c r="J7240">
        <v>1</v>
      </c>
      <c r="K7240">
        <f>1-888-383-568</f>
        <v>-1838</v>
      </c>
      <c r="L7240" t="s">
        <v>22745</v>
      </c>
      <c r="M7240" t="s">
        <v>22746</v>
      </c>
      <c r="N7240">
        <v>229</v>
      </c>
      <c r="O7240" t="s">
        <v>134</v>
      </c>
      <c r="P7240" t="s">
        <v>29</v>
      </c>
      <c r="Q7240">
        <v>41</v>
      </c>
      <c r="R7240">
        <v>-74.024699999999996</v>
      </c>
    </row>
    <row r="7241" spans="1:18" x14ac:dyDescent="0.2">
      <c r="A7241" t="s">
        <v>663</v>
      </c>
      <c r="B7241" t="s">
        <v>2493</v>
      </c>
      <c r="C7241">
        <v>1</v>
      </c>
      <c r="D7241" s="1">
        <v>44153.913425925923</v>
      </c>
      <c r="E7241" t="s">
        <v>22747</v>
      </c>
      <c r="F7241" t="s">
        <v>666</v>
      </c>
      <c r="G7241" t="s">
        <v>22747</v>
      </c>
      <c r="H7241" t="s">
        <v>667</v>
      </c>
      <c r="I7241" t="s">
        <v>29</v>
      </c>
      <c r="J7241">
        <v>1</v>
      </c>
      <c r="K7241">
        <f>1-888-654-4471</f>
        <v>-6012</v>
      </c>
      <c r="L7241" t="s">
        <v>22748</v>
      </c>
      <c r="M7241" t="s">
        <v>22749</v>
      </c>
      <c r="N7241">
        <v>43</v>
      </c>
      <c r="O7241" t="s">
        <v>134</v>
      </c>
      <c r="P7241" t="s">
        <v>29</v>
      </c>
      <c r="Q7241">
        <v>41</v>
      </c>
      <c r="R7241">
        <v>-74.024699999999996</v>
      </c>
    </row>
    <row r="7242" spans="1:18" x14ac:dyDescent="0.2">
      <c r="A7242" t="s">
        <v>2349</v>
      </c>
      <c r="B7242" t="s">
        <v>1212</v>
      </c>
      <c r="C7242">
        <v>44</v>
      </c>
      <c r="D7242" s="1">
        <v>44154.074849537035</v>
      </c>
      <c r="E7242" t="s">
        <v>22750</v>
      </c>
      <c r="F7242" t="s">
        <v>4584</v>
      </c>
      <c r="G7242" t="s">
        <v>22750</v>
      </c>
      <c r="H7242" t="s">
        <v>2353</v>
      </c>
      <c r="I7242" t="s">
        <v>618</v>
      </c>
      <c r="J7242">
        <v>44</v>
      </c>
      <c r="K7242">
        <f>44-208-144-1867</f>
        <v>-2175</v>
      </c>
      <c r="L7242" t="s">
        <v>22751</v>
      </c>
      <c r="M7242" t="s">
        <v>22752</v>
      </c>
      <c r="N7242">
        <v>92</v>
      </c>
      <c r="O7242" t="s">
        <v>134</v>
      </c>
      <c r="P7242" t="s">
        <v>618</v>
      </c>
      <c r="Q7242">
        <v>52</v>
      </c>
      <c r="R7242">
        <v>-6.3799999999999996E-2</v>
      </c>
    </row>
    <row r="7243" spans="1:18" x14ac:dyDescent="0.2">
      <c r="A7243" t="s">
        <v>663</v>
      </c>
      <c r="B7243" t="s">
        <v>2493</v>
      </c>
      <c r="C7243">
        <v>1</v>
      </c>
      <c r="D7243" s="1">
        <v>44154.774861111109</v>
      </c>
      <c r="E7243" t="s">
        <v>22753</v>
      </c>
      <c r="F7243" t="s">
        <v>666</v>
      </c>
      <c r="G7243" t="s">
        <v>22753</v>
      </c>
      <c r="H7243" t="s">
        <v>667</v>
      </c>
      <c r="I7243" t="s">
        <v>29</v>
      </c>
      <c r="J7243">
        <v>1</v>
      </c>
      <c r="K7243">
        <f>1-888-656-4485</f>
        <v>-6028</v>
      </c>
      <c r="L7243" t="s">
        <v>22754</v>
      </c>
      <c r="M7243" t="s">
        <v>22755</v>
      </c>
      <c r="N7243">
        <v>26</v>
      </c>
      <c r="O7243" t="s">
        <v>134</v>
      </c>
      <c r="P7243" t="s">
        <v>29</v>
      </c>
      <c r="Q7243">
        <v>41</v>
      </c>
      <c r="R7243">
        <v>-74.024699999999996</v>
      </c>
    </row>
    <row r="7244" spans="1:18" x14ac:dyDescent="0.2">
      <c r="A7244" t="s">
        <v>663</v>
      </c>
      <c r="B7244" t="s">
        <v>2493</v>
      </c>
      <c r="C7244">
        <v>1</v>
      </c>
      <c r="D7244" s="1">
        <v>44154.808518518519</v>
      </c>
      <c r="E7244" t="s">
        <v>22756</v>
      </c>
      <c r="F7244" t="s">
        <v>666</v>
      </c>
      <c r="G7244" t="s">
        <v>22756</v>
      </c>
      <c r="H7244" t="s">
        <v>667</v>
      </c>
      <c r="I7244" t="s">
        <v>29</v>
      </c>
      <c r="J7244">
        <v>1</v>
      </c>
      <c r="K7244">
        <f>1-888-620-6645</f>
        <v>-8152</v>
      </c>
      <c r="L7244" t="s">
        <v>22757</v>
      </c>
      <c r="M7244" t="s">
        <v>22758</v>
      </c>
      <c r="N7244">
        <v>73</v>
      </c>
      <c r="O7244" t="s">
        <v>134</v>
      </c>
      <c r="P7244" t="s">
        <v>29</v>
      </c>
      <c r="Q7244">
        <v>41</v>
      </c>
      <c r="R7244">
        <v>-74.024699999999996</v>
      </c>
    </row>
    <row r="7245" spans="1:18" x14ac:dyDescent="0.2">
      <c r="A7245" t="s">
        <v>663</v>
      </c>
      <c r="B7245" t="s">
        <v>2493</v>
      </c>
      <c r="C7245">
        <v>1</v>
      </c>
      <c r="D7245" s="1">
        <v>44154.914907407408</v>
      </c>
      <c r="E7245" t="s">
        <v>22759</v>
      </c>
      <c r="F7245" t="s">
        <v>666</v>
      </c>
      <c r="G7245" t="s">
        <v>22759</v>
      </c>
      <c r="H7245" t="s">
        <v>667</v>
      </c>
      <c r="I7245" t="s">
        <v>29</v>
      </c>
      <c r="J7245">
        <v>1</v>
      </c>
      <c r="K7245">
        <f>1-888-620-4814</f>
        <v>-6321</v>
      </c>
      <c r="L7245" t="s">
        <v>22760</v>
      </c>
      <c r="M7245" t="s">
        <v>22761</v>
      </c>
      <c r="N7245">
        <v>160</v>
      </c>
      <c r="O7245" t="s">
        <v>134</v>
      </c>
      <c r="P7245" t="s">
        <v>29</v>
      </c>
      <c r="Q7245">
        <v>41</v>
      </c>
      <c r="R7245">
        <v>-74.024699999999996</v>
      </c>
    </row>
    <row r="7246" spans="1:18" x14ac:dyDescent="0.2">
      <c r="A7246" t="s">
        <v>663</v>
      </c>
      <c r="B7246" t="s">
        <v>2493</v>
      </c>
      <c r="C7246">
        <v>1</v>
      </c>
      <c r="D7246" s="1">
        <v>44154.905844907407</v>
      </c>
      <c r="E7246" t="s">
        <v>22759</v>
      </c>
      <c r="F7246" t="s">
        <v>666</v>
      </c>
      <c r="G7246" t="s">
        <v>22759</v>
      </c>
      <c r="H7246" t="s">
        <v>667</v>
      </c>
      <c r="I7246" t="s">
        <v>29</v>
      </c>
      <c r="J7246">
        <v>1</v>
      </c>
      <c r="K7246">
        <f>1-888-606-993</f>
        <v>-2486</v>
      </c>
      <c r="L7246" t="s">
        <v>22762</v>
      </c>
      <c r="M7246" t="s">
        <v>22763</v>
      </c>
      <c r="N7246">
        <v>160</v>
      </c>
      <c r="O7246" t="s">
        <v>134</v>
      </c>
      <c r="P7246" t="s">
        <v>29</v>
      </c>
      <c r="Q7246">
        <v>41</v>
      </c>
      <c r="R7246">
        <v>-74.024699999999996</v>
      </c>
    </row>
    <row r="7247" spans="1:18" x14ac:dyDescent="0.2">
      <c r="A7247" t="s">
        <v>439</v>
      </c>
      <c r="B7247" t="s">
        <v>3094</v>
      </c>
      <c r="C7247">
        <v>81</v>
      </c>
      <c r="D7247" s="1">
        <v>44155.102210648147</v>
      </c>
      <c r="E7247" t="s">
        <v>22764</v>
      </c>
      <c r="F7247" t="s">
        <v>442</v>
      </c>
      <c r="G7247" t="s">
        <v>22765</v>
      </c>
      <c r="H7247" t="s">
        <v>444</v>
      </c>
      <c r="I7247" t="s">
        <v>53</v>
      </c>
      <c r="J7247">
        <v>81</v>
      </c>
      <c r="K7247">
        <f>81-50-5809-9799</f>
        <v>-15577</v>
      </c>
      <c r="L7247" t="s">
        <v>22766</v>
      </c>
      <c r="M7247" t="s">
        <v>22767</v>
      </c>
      <c r="N7247" t="s">
        <v>213</v>
      </c>
      <c r="O7247" t="s">
        <v>28</v>
      </c>
      <c r="P7247" t="s">
        <v>2268</v>
      </c>
      <c r="Q7247">
        <v>46</v>
      </c>
      <c r="R7247">
        <v>-73.567300000000003</v>
      </c>
    </row>
    <row r="7248" spans="1:18" x14ac:dyDescent="0.2">
      <c r="A7248" t="s">
        <v>2349</v>
      </c>
      <c r="B7248" t="s">
        <v>10634</v>
      </c>
      <c r="C7248">
        <v>49</v>
      </c>
      <c r="D7248" s="1">
        <v>44155.557025462964</v>
      </c>
      <c r="E7248" t="s">
        <v>22768</v>
      </c>
      <c r="F7248" t="s">
        <v>2352</v>
      </c>
      <c r="G7248" t="s">
        <v>22768</v>
      </c>
      <c r="H7248" t="s">
        <v>2353</v>
      </c>
      <c r="I7248" t="s">
        <v>24</v>
      </c>
      <c r="J7248">
        <v>49</v>
      </c>
      <c r="K7248">
        <f>49-800-181-385</f>
        <v>-1317</v>
      </c>
      <c r="L7248" t="s">
        <v>22769</v>
      </c>
      <c r="M7248" t="s">
        <v>22770</v>
      </c>
      <c r="N7248">
        <v>131</v>
      </c>
      <c r="O7248" t="s">
        <v>134</v>
      </c>
      <c r="P7248" t="s">
        <v>292</v>
      </c>
      <c r="Q7248">
        <v>49</v>
      </c>
      <c r="R7248">
        <v>2.3868999999999998</v>
      </c>
    </row>
    <row r="7249" spans="1:18" x14ac:dyDescent="0.2">
      <c r="A7249" t="s">
        <v>17523</v>
      </c>
      <c r="B7249" t="s">
        <v>22771</v>
      </c>
      <c r="C7249">
        <v>49</v>
      </c>
      <c r="D7249" s="1">
        <v>44155.579259259262</v>
      </c>
      <c r="E7249" t="s">
        <v>22772</v>
      </c>
      <c r="F7249" t="s">
        <v>17525</v>
      </c>
      <c r="G7249" t="s">
        <v>22772</v>
      </c>
      <c r="H7249" t="s">
        <v>17526</v>
      </c>
      <c r="I7249" t="s">
        <v>24</v>
      </c>
      <c r="J7249">
        <v>49</v>
      </c>
      <c r="K7249">
        <f>49-225-1963-9960</f>
        <v>-12099</v>
      </c>
      <c r="L7249" t="s">
        <v>22773</v>
      </c>
      <c r="M7249" t="s">
        <v>22774</v>
      </c>
      <c r="N7249">
        <v>223</v>
      </c>
      <c r="O7249" t="s">
        <v>134</v>
      </c>
      <c r="P7249" t="s">
        <v>6238</v>
      </c>
      <c r="Q7249">
        <v>60</v>
      </c>
      <c r="R7249">
        <v>24.952300000000001</v>
      </c>
    </row>
    <row r="7250" spans="1:18" x14ac:dyDescent="0.2">
      <c r="A7250" t="s">
        <v>2349</v>
      </c>
      <c r="B7250" t="s">
        <v>10634</v>
      </c>
      <c r="C7250">
        <v>49</v>
      </c>
      <c r="D7250" s="1">
        <v>44155.583935185183</v>
      </c>
      <c r="E7250" t="s">
        <v>22775</v>
      </c>
      <c r="F7250" t="s">
        <v>4584</v>
      </c>
      <c r="G7250" t="s">
        <v>22775</v>
      </c>
      <c r="H7250" t="s">
        <v>2353</v>
      </c>
      <c r="I7250" t="s">
        <v>24</v>
      </c>
      <c r="J7250">
        <v>49</v>
      </c>
      <c r="K7250">
        <f>49-800-180-8218</f>
        <v>-9149</v>
      </c>
      <c r="L7250" t="s">
        <v>22776</v>
      </c>
      <c r="M7250" t="s">
        <v>22777</v>
      </c>
      <c r="N7250">
        <v>49</v>
      </c>
      <c r="O7250" t="s">
        <v>134</v>
      </c>
      <c r="P7250" t="s">
        <v>292</v>
      </c>
      <c r="Q7250">
        <v>49</v>
      </c>
      <c r="R7250">
        <v>2.3868999999999998</v>
      </c>
    </row>
    <row r="7251" spans="1:18" x14ac:dyDescent="0.2">
      <c r="A7251" t="s">
        <v>663</v>
      </c>
      <c r="B7251" t="s">
        <v>2493</v>
      </c>
      <c r="C7251">
        <v>1</v>
      </c>
      <c r="D7251" s="1">
        <v>44155.736446759256</v>
      </c>
      <c r="E7251" t="s">
        <v>22778</v>
      </c>
      <c r="F7251" t="s">
        <v>666</v>
      </c>
      <c r="G7251" t="s">
        <v>22778</v>
      </c>
      <c r="H7251" t="s">
        <v>667</v>
      </c>
      <c r="I7251" t="s">
        <v>29</v>
      </c>
      <c r="J7251">
        <v>1</v>
      </c>
      <c r="K7251">
        <f>1-888-630-8141</f>
        <v>-9658</v>
      </c>
      <c r="L7251" t="s">
        <v>22779</v>
      </c>
      <c r="M7251" t="s">
        <v>22780</v>
      </c>
      <c r="N7251">
        <v>136</v>
      </c>
      <c r="O7251" t="s">
        <v>134</v>
      </c>
      <c r="P7251" t="s">
        <v>29</v>
      </c>
      <c r="Q7251">
        <v>41</v>
      </c>
      <c r="R7251">
        <v>-74.024699999999996</v>
      </c>
    </row>
    <row r="7252" spans="1:18" x14ac:dyDescent="0.2">
      <c r="A7252" t="s">
        <v>663</v>
      </c>
      <c r="B7252" t="s">
        <v>2493</v>
      </c>
      <c r="C7252">
        <v>1</v>
      </c>
      <c r="D7252" s="1">
        <v>44155.759664351855</v>
      </c>
      <c r="E7252" t="s">
        <v>22781</v>
      </c>
      <c r="F7252" t="s">
        <v>666</v>
      </c>
      <c r="G7252" t="s">
        <v>22781</v>
      </c>
      <c r="H7252" t="s">
        <v>667</v>
      </c>
      <c r="I7252" t="s">
        <v>29</v>
      </c>
      <c r="J7252">
        <v>1</v>
      </c>
      <c r="K7252">
        <f>1-888-593-8133</f>
        <v>-9613</v>
      </c>
      <c r="L7252" t="s">
        <v>22782</v>
      </c>
      <c r="M7252" t="s">
        <v>22783</v>
      </c>
      <c r="N7252">
        <v>3</v>
      </c>
      <c r="O7252" t="s">
        <v>134</v>
      </c>
      <c r="P7252" t="s">
        <v>29</v>
      </c>
      <c r="Q7252">
        <v>41</v>
      </c>
      <c r="R7252">
        <v>-74.024699999999996</v>
      </c>
    </row>
    <row r="7253" spans="1:18" x14ac:dyDescent="0.2">
      <c r="A7253" t="s">
        <v>663</v>
      </c>
      <c r="B7253" t="s">
        <v>2493</v>
      </c>
      <c r="C7253">
        <v>1</v>
      </c>
      <c r="D7253" s="1">
        <v>44155.783726851849</v>
      </c>
      <c r="E7253" t="s">
        <v>22784</v>
      </c>
      <c r="F7253" t="s">
        <v>666</v>
      </c>
      <c r="G7253" t="s">
        <v>22784</v>
      </c>
      <c r="H7253" t="s">
        <v>667</v>
      </c>
      <c r="I7253" t="s">
        <v>29</v>
      </c>
      <c r="J7253">
        <v>1</v>
      </c>
      <c r="K7253">
        <f>1-888-597-1348</f>
        <v>-2832</v>
      </c>
      <c r="L7253" t="s">
        <v>22785</v>
      </c>
      <c r="M7253" t="s">
        <v>22786</v>
      </c>
      <c r="N7253">
        <v>128</v>
      </c>
      <c r="O7253" t="s">
        <v>134</v>
      </c>
      <c r="P7253" t="s">
        <v>29</v>
      </c>
      <c r="Q7253">
        <v>41</v>
      </c>
      <c r="R7253">
        <v>-74.024699999999996</v>
      </c>
    </row>
    <row r="7254" spans="1:18" x14ac:dyDescent="0.2">
      <c r="A7254" t="s">
        <v>663</v>
      </c>
      <c r="B7254" t="s">
        <v>2493</v>
      </c>
      <c r="C7254">
        <v>1</v>
      </c>
      <c r="D7254" s="1">
        <v>44155.781099537038</v>
      </c>
      <c r="E7254" t="s">
        <v>22784</v>
      </c>
      <c r="F7254" t="s">
        <v>666</v>
      </c>
      <c r="G7254" t="s">
        <v>22784</v>
      </c>
      <c r="H7254" t="s">
        <v>667</v>
      </c>
      <c r="I7254" t="s">
        <v>29</v>
      </c>
      <c r="J7254">
        <v>1</v>
      </c>
      <c r="K7254">
        <f>1-888-604-806</f>
        <v>-2297</v>
      </c>
      <c r="L7254" t="s">
        <v>22787</v>
      </c>
      <c r="M7254" t="s">
        <v>22788</v>
      </c>
      <c r="N7254">
        <v>128</v>
      </c>
      <c r="O7254" t="s">
        <v>134</v>
      </c>
      <c r="P7254" t="s">
        <v>29</v>
      </c>
      <c r="Q7254">
        <v>41</v>
      </c>
      <c r="R7254">
        <v>-74.024699999999996</v>
      </c>
    </row>
    <row r="7255" spans="1:18" x14ac:dyDescent="0.2">
      <c r="A7255" t="s">
        <v>663</v>
      </c>
      <c r="B7255" t="s">
        <v>2493</v>
      </c>
      <c r="C7255">
        <v>1</v>
      </c>
      <c r="D7255" s="1">
        <v>44155.788287037038</v>
      </c>
      <c r="E7255" t="s">
        <v>22789</v>
      </c>
      <c r="F7255" t="s">
        <v>666</v>
      </c>
      <c r="G7255" t="s">
        <v>22789</v>
      </c>
      <c r="H7255" t="s">
        <v>667</v>
      </c>
      <c r="I7255" t="s">
        <v>29</v>
      </c>
      <c r="J7255">
        <v>1</v>
      </c>
      <c r="K7255">
        <f>1-888-594-3468</f>
        <v>-4949</v>
      </c>
      <c r="L7255" t="s">
        <v>22790</v>
      </c>
      <c r="M7255" t="s">
        <v>22791</v>
      </c>
      <c r="N7255">
        <v>58</v>
      </c>
      <c r="O7255" t="s">
        <v>134</v>
      </c>
      <c r="P7255" t="s">
        <v>29</v>
      </c>
      <c r="Q7255">
        <v>41</v>
      </c>
      <c r="R7255">
        <v>-74.024699999999996</v>
      </c>
    </row>
    <row r="7256" spans="1:18" x14ac:dyDescent="0.2">
      <c r="A7256" t="s">
        <v>663</v>
      </c>
      <c r="B7256" t="s">
        <v>2493</v>
      </c>
      <c r="C7256">
        <v>1</v>
      </c>
      <c r="D7256" s="1">
        <v>44155.787465277775</v>
      </c>
      <c r="E7256" t="s">
        <v>22789</v>
      </c>
      <c r="F7256" t="s">
        <v>666</v>
      </c>
      <c r="G7256" t="s">
        <v>22789</v>
      </c>
      <c r="H7256" t="s">
        <v>667</v>
      </c>
      <c r="I7256" t="s">
        <v>29</v>
      </c>
      <c r="J7256">
        <v>1</v>
      </c>
      <c r="K7256">
        <f>1-888-304-1163</f>
        <v>-2354</v>
      </c>
      <c r="L7256" t="s">
        <v>22792</v>
      </c>
      <c r="M7256" t="s">
        <v>22793</v>
      </c>
      <c r="N7256">
        <v>58</v>
      </c>
      <c r="O7256" t="s">
        <v>134</v>
      </c>
      <c r="P7256" t="s">
        <v>29</v>
      </c>
      <c r="Q7256">
        <v>41</v>
      </c>
      <c r="R7256">
        <v>-74.024699999999996</v>
      </c>
    </row>
    <row r="7257" spans="1:18" x14ac:dyDescent="0.2">
      <c r="A7257" t="s">
        <v>675</v>
      </c>
      <c r="B7257" t="s">
        <v>676</v>
      </c>
      <c r="C7257">
        <v>81</v>
      </c>
      <c r="D7257" s="1">
        <v>44170.211782407408</v>
      </c>
      <c r="E7257" t="s">
        <v>22794</v>
      </c>
      <c r="F7257" t="s">
        <v>3107</v>
      </c>
      <c r="G7257" t="s">
        <v>22795</v>
      </c>
      <c r="H7257" t="s">
        <v>680</v>
      </c>
      <c r="I7257" t="s">
        <v>53</v>
      </c>
      <c r="J7257">
        <v>81</v>
      </c>
      <c r="K7257">
        <f>81-50-5534-5393</f>
        <v>-10896</v>
      </c>
      <c r="L7257" t="s">
        <v>22796</v>
      </c>
      <c r="M7257" t="s">
        <v>22797</v>
      </c>
      <c r="N7257" t="s">
        <v>2475</v>
      </c>
      <c r="O7257" t="s">
        <v>28</v>
      </c>
      <c r="P7257" t="s">
        <v>29</v>
      </c>
      <c r="Q7257">
        <v>33</v>
      </c>
      <c r="R7257">
        <v>-99.999999000000003</v>
      </c>
    </row>
    <row r="7258" spans="1:18" x14ac:dyDescent="0.2">
      <c r="A7258" t="s">
        <v>675</v>
      </c>
      <c r="B7258" t="s">
        <v>676</v>
      </c>
      <c r="C7258">
        <v>44</v>
      </c>
      <c r="D7258" s="1">
        <v>44155.815821759257</v>
      </c>
      <c r="E7258" t="s">
        <v>22798</v>
      </c>
      <c r="F7258" t="s">
        <v>3107</v>
      </c>
      <c r="G7258" t="s">
        <v>22795</v>
      </c>
      <c r="H7258" t="s">
        <v>680</v>
      </c>
      <c r="I7258" t="s">
        <v>618</v>
      </c>
      <c r="J7258">
        <v>44</v>
      </c>
      <c r="K7258">
        <f>44-808-143-3684</f>
        <v>-4591</v>
      </c>
      <c r="L7258" t="s">
        <v>22799</v>
      </c>
      <c r="M7258" t="s">
        <v>22800</v>
      </c>
      <c r="N7258" t="s">
        <v>2475</v>
      </c>
      <c r="O7258" t="s">
        <v>28</v>
      </c>
      <c r="P7258" t="s">
        <v>29</v>
      </c>
      <c r="Q7258">
        <v>33</v>
      </c>
      <c r="R7258">
        <v>-99.999999000000003</v>
      </c>
    </row>
    <row r="7259" spans="1:18" x14ac:dyDescent="0.2">
      <c r="A7259" t="s">
        <v>663</v>
      </c>
      <c r="B7259" t="s">
        <v>2493</v>
      </c>
      <c r="C7259">
        <v>1</v>
      </c>
      <c r="D7259" s="1">
        <v>44155.862442129626</v>
      </c>
      <c r="E7259" t="s">
        <v>22801</v>
      </c>
      <c r="F7259" t="s">
        <v>666</v>
      </c>
      <c r="G7259" t="s">
        <v>22801</v>
      </c>
      <c r="H7259" t="s">
        <v>667</v>
      </c>
      <c r="I7259" t="s">
        <v>29</v>
      </c>
      <c r="J7259">
        <v>1</v>
      </c>
      <c r="K7259">
        <f>1-888-645-9254</f>
        <v>-10786</v>
      </c>
      <c r="L7259" t="s">
        <v>22802</v>
      </c>
      <c r="M7259" t="s">
        <v>22803</v>
      </c>
      <c r="N7259">
        <v>51</v>
      </c>
      <c r="O7259" t="s">
        <v>134</v>
      </c>
      <c r="P7259" t="s">
        <v>29</v>
      </c>
      <c r="Q7259">
        <v>41</v>
      </c>
      <c r="R7259">
        <v>-74.024699999999996</v>
      </c>
    </row>
    <row r="7260" spans="1:18" x14ac:dyDescent="0.2">
      <c r="A7260" t="s">
        <v>663</v>
      </c>
      <c r="B7260" t="s">
        <v>2493</v>
      </c>
      <c r="C7260">
        <v>1</v>
      </c>
      <c r="D7260" s="1">
        <v>44155.867881944447</v>
      </c>
      <c r="E7260" t="s">
        <v>22804</v>
      </c>
      <c r="F7260" t="s">
        <v>666</v>
      </c>
      <c r="G7260" t="s">
        <v>22804</v>
      </c>
      <c r="H7260" t="s">
        <v>667</v>
      </c>
      <c r="I7260" t="s">
        <v>29</v>
      </c>
      <c r="J7260">
        <v>1</v>
      </c>
      <c r="K7260">
        <f>1-888-605-5023</f>
        <v>-6515</v>
      </c>
      <c r="L7260" t="s">
        <v>22805</v>
      </c>
      <c r="M7260" t="s">
        <v>22806</v>
      </c>
      <c r="N7260">
        <v>112</v>
      </c>
      <c r="O7260" t="s">
        <v>134</v>
      </c>
      <c r="P7260" t="s">
        <v>29</v>
      </c>
      <c r="Q7260">
        <v>41</v>
      </c>
      <c r="R7260">
        <v>-74.024699999999996</v>
      </c>
    </row>
    <row r="7261" spans="1:18" x14ac:dyDescent="0.2">
      <c r="A7261" t="s">
        <v>663</v>
      </c>
      <c r="B7261" t="s">
        <v>664</v>
      </c>
      <c r="C7261">
        <v>1</v>
      </c>
      <c r="D7261" s="1">
        <v>44155.906990740739</v>
      </c>
      <c r="E7261" t="s">
        <v>22807</v>
      </c>
      <c r="F7261" t="s">
        <v>666</v>
      </c>
      <c r="G7261" t="s">
        <v>22808</v>
      </c>
      <c r="H7261" t="s">
        <v>667</v>
      </c>
      <c r="I7261" t="s">
        <v>29</v>
      </c>
      <c r="J7261">
        <v>1</v>
      </c>
      <c r="K7261">
        <f>1-844-297-5813</f>
        <v>-6953</v>
      </c>
      <c r="L7261" t="s">
        <v>22809</v>
      </c>
      <c r="M7261" t="s">
        <v>22810</v>
      </c>
      <c r="N7261" t="s">
        <v>1645</v>
      </c>
      <c r="O7261" t="s">
        <v>28</v>
      </c>
      <c r="P7261" t="s">
        <v>29</v>
      </c>
      <c r="Q7261">
        <v>37</v>
      </c>
      <c r="R7261">
        <v>-99.999999000000003</v>
      </c>
    </row>
    <row r="7262" spans="1:18" x14ac:dyDescent="0.2">
      <c r="A7262" t="s">
        <v>675</v>
      </c>
      <c r="B7262" t="s">
        <v>6390</v>
      </c>
      <c r="C7262">
        <v>81</v>
      </c>
      <c r="D7262" s="1">
        <v>44156.280034722222</v>
      </c>
      <c r="E7262" t="s">
        <v>22811</v>
      </c>
      <c r="F7262" t="s">
        <v>678</v>
      </c>
      <c r="G7262" t="s">
        <v>22812</v>
      </c>
      <c r="H7262" t="s">
        <v>680</v>
      </c>
      <c r="I7262" t="s">
        <v>53</v>
      </c>
      <c r="J7262">
        <v>81</v>
      </c>
      <c r="K7262">
        <f>81-50-5539-7732</f>
        <v>-13240</v>
      </c>
      <c r="L7262" t="s">
        <v>22813</v>
      </c>
      <c r="M7262" t="s">
        <v>22814</v>
      </c>
      <c r="N7262" t="s">
        <v>2475</v>
      </c>
      <c r="O7262" t="s">
        <v>28</v>
      </c>
      <c r="P7262" t="s">
        <v>29</v>
      </c>
      <c r="Q7262">
        <v>37</v>
      </c>
      <c r="R7262">
        <v>-99.999999000000003</v>
      </c>
    </row>
    <row r="7263" spans="1:18" x14ac:dyDescent="0.2">
      <c r="A7263" t="s">
        <v>675</v>
      </c>
      <c r="B7263" t="s">
        <v>6390</v>
      </c>
      <c r="C7263">
        <v>81</v>
      </c>
      <c r="D7263" s="1">
        <v>44156.279930555553</v>
      </c>
      <c r="E7263" t="s">
        <v>22811</v>
      </c>
      <c r="F7263" t="s">
        <v>678</v>
      </c>
      <c r="G7263" t="s">
        <v>22812</v>
      </c>
      <c r="H7263" t="s">
        <v>680</v>
      </c>
      <c r="I7263" t="s">
        <v>53</v>
      </c>
      <c r="J7263">
        <v>81</v>
      </c>
      <c r="K7263">
        <f>81-50-5534-5393</f>
        <v>-10896</v>
      </c>
      <c r="L7263" t="s">
        <v>22815</v>
      </c>
      <c r="M7263" t="s">
        <v>22816</v>
      </c>
      <c r="N7263" t="s">
        <v>2475</v>
      </c>
      <c r="O7263" t="s">
        <v>28</v>
      </c>
      <c r="P7263" t="s">
        <v>29</v>
      </c>
      <c r="Q7263">
        <v>37</v>
      </c>
      <c r="R7263">
        <v>-99.999999000000003</v>
      </c>
    </row>
    <row r="7264" spans="1:18" x14ac:dyDescent="0.2">
      <c r="A7264" t="s">
        <v>2349</v>
      </c>
      <c r="B7264" t="s">
        <v>10634</v>
      </c>
      <c r="C7264">
        <v>49</v>
      </c>
      <c r="D7264" s="1">
        <v>44156.547349537039</v>
      </c>
      <c r="E7264" t="s">
        <v>22817</v>
      </c>
      <c r="F7264" t="s">
        <v>2352</v>
      </c>
      <c r="G7264" t="s">
        <v>22817</v>
      </c>
      <c r="H7264" t="s">
        <v>2353</v>
      </c>
      <c r="I7264" t="s">
        <v>24</v>
      </c>
      <c r="J7264">
        <v>49</v>
      </c>
      <c r="K7264">
        <f>49-800-181-385</f>
        <v>-1317</v>
      </c>
      <c r="L7264" t="s">
        <v>22818</v>
      </c>
      <c r="M7264" t="s">
        <v>22819</v>
      </c>
      <c r="N7264">
        <v>23</v>
      </c>
      <c r="O7264" t="s">
        <v>134</v>
      </c>
      <c r="P7264" t="s">
        <v>292</v>
      </c>
      <c r="Q7264">
        <v>49</v>
      </c>
      <c r="R7264">
        <v>2.3868999999999998</v>
      </c>
    </row>
    <row r="7265" spans="1:18" x14ac:dyDescent="0.2">
      <c r="A7265" t="s">
        <v>663</v>
      </c>
      <c r="B7265" t="s">
        <v>2493</v>
      </c>
      <c r="C7265">
        <v>1</v>
      </c>
      <c r="D7265" s="1">
        <v>44156.734386574077</v>
      </c>
      <c r="E7265" t="s">
        <v>22820</v>
      </c>
      <c r="F7265" t="s">
        <v>666</v>
      </c>
      <c r="G7265" t="s">
        <v>22820</v>
      </c>
      <c r="H7265" t="s">
        <v>667</v>
      </c>
      <c r="I7265" t="s">
        <v>29</v>
      </c>
      <c r="J7265">
        <v>1</v>
      </c>
      <c r="K7265">
        <f>1-888-638-5876</f>
        <v>-7401</v>
      </c>
      <c r="L7265" t="s">
        <v>22821</v>
      </c>
      <c r="M7265" t="s">
        <v>22822</v>
      </c>
      <c r="N7265">
        <v>124</v>
      </c>
      <c r="O7265" t="s">
        <v>134</v>
      </c>
      <c r="P7265" t="s">
        <v>29</v>
      </c>
      <c r="Q7265">
        <v>41</v>
      </c>
      <c r="R7265">
        <v>-74.024699999999996</v>
      </c>
    </row>
    <row r="7266" spans="1:18" x14ac:dyDescent="0.2">
      <c r="A7266" t="s">
        <v>439</v>
      </c>
      <c r="B7266" t="s">
        <v>3094</v>
      </c>
      <c r="C7266">
        <v>1</v>
      </c>
      <c r="D7266" s="1">
        <v>44156.776030092595</v>
      </c>
      <c r="E7266" t="s">
        <v>22823</v>
      </c>
      <c r="F7266" t="s">
        <v>442</v>
      </c>
      <c r="G7266" t="s">
        <v>22824</v>
      </c>
      <c r="H7266" t="s">
        <v>444</v>
      </c>
      <c r="I7266" t="s">
        <v>29</v>
      </c>
      <c r="J7266">
        <v>1</v>
      </c>
      <c r="K7266">
        <f>1-888-491-1106</f>
        <v>-2484</v>
      </c>
      <c r="L7266" t="s">
        <v>22825</v>
      </c>
      <c r="M7266" t="s">
        <v>22826</v>
      </c>
      <c r="N7266" t="s">
        <v>5354</v>
      </c>
      <c r="O7266" t="s">
        <v>28</v>
      </c>
      <c r="P7266" t="s">
        <v>2268</v>
      </c>
      <c r="Q7266">
        <v>46</v>
      </c>
      <c r="R7266">
        <v>-73.567300000000003</v>
      </c>
    </row>
    <row r="7267" spans="1:18" x14ac:dyDescent="0.2">
      <c r="A7267" t="s">
        <v>439</v>
      </c>
      <c r="B7267" t="s">
        <v>3094</v>
      </c>
      <c r="C7267">
        <v>1</v>
      </c>
      <c r="D7267" s="1">
        <v>44156.774421296293</v>
      </c>
      <c r="E7267" t="s">
        <v>22823</v>
      </c>
      <c r="F7267" t="s">
        <v>442</v>
      </c>
      <c r="G7267" t="s">
        <v>22824</v>
      </c>
      <c r="H7267" t="s">
        <v>444</v>
      </c>
      <c r="I7267" t="s">
        <v>29</v>
      </c>
      <c r="J7267">
        <v>1</v>
      </c>
      <c r="K7267">
        <f>1-888-655-2430</f>
        <v>-3972</v>
      </c>
      <c r="L7267" t="s">
        <v>22827</v>
      </c>
      <c r="M7267" t="s">
        <v>22828</v>
      </c>
      <c r="N7267" t="s">
        <v>5354</v>
      </c>
      <c r="O7267" t="s">
        <v>28</v>
      </c>
      <c r="P7267" t="s">
        <v>2268</v>
      </c>
      <c r="Q7267">
        <v>46</v>
      </c>
      <c r="R7267">
        <v>-73.567300000000003</v>
      </c>
    </row>
    <row r="7268" spans="1:18" x14ac:dyDescent="0.2">
      <c r="A7268" t="s">
        <v>439</v>
      </c>
      <c r="B7268" t="s">
        <v>3094</v>
      </c>
      <c r="C7268">
        <v>1</v>
      </c>
      <c r="D7268" s="1">
        <v>44156.776134259257</v>
      </c>
      <c r="E7268" t="s">
        <v>22823</v>
      </c>
      <c r="F7268" t="s">
        <v>442</v>
      </c>
      <c r="G7268" t="s">
        <v>22829</v>
      </c>
      <c r="H7268" t="s">
        <v>444</v>
      </c>
      <c r="I7268" t="s">
        <v>29</v>
      </c>
      <c r="J7268">
        <v>1</v>
      </c>
      <c r="K7268">
        <f>1-888-436-4720</f>
        <v>-6043</v>
      </c>
      <c r="L7268" t="s">
        <v>22830</v>
      </c>
      <c r="M7268" t="s">
        <v>22831</v>
      </c>
      <c r="N7268" t="s">
        <v>5354</v>
      </c>
      <c r="O7268" t="s">
        <v>28</v>
      </c>
      <c r="P7268" t="s">
        <v>2268</v>
      </c>
      <c r="Q7268">
        <v>46</v>
      </c>
      <c r="R7268">
        <v>-73.567300000000003</v>
      </c>
    </row>
    <row r="7269" spans="1:18" x14ac:dyDescent="0.2">
      <c r="A7269" t="s">
        <v>439</v>
      </c>
      <c r="B7269" t="s">
        <v>3094</v>
      </c>
      <c r="C7269">
        <v>1</v>
      </c>
      <c r="D7269" s="1">
        <v>44156.776076388887</v>
      </c>
      <c r="E7269" t="s">
        <v>22823</v>
      </c>
      <c r="F7269" t="s">
        <v>442</v>
      </c>
      <c r="G7269" t="s">
        <v>22829</v>
      </c>
      <c r="H7269" t="s">
        <v>444</v>
      </c>
      <c r="I7269" t="s">
        <v>29</v>
      </c>
      <c r="J7269">
        <v>1</v>
      </c>
      <c r="K7269">
        <f>1-888-517-8593</f>
        <v>-9997</v>
      </c>
      <c r="L7269" t="s">
        <v>22832</v>
      </c>
      <c r="M7269" t="s">
        <v>22833</v>
      </c>
      <c r="N7269" t="s">
        <v>5354</v>
      </c>
      <c r="O7269" t="s">
        <v>28</v>
      </c>
      <c r="P7269" t="s">
        <v>2268</v>
      </c>
      <c r="Q7269">
        <v>46</v>
      </c>
      <c r="R7269">
        <v>-73.567300000000003</v>
      </c>
    </row>
    <row r="7270" spans="1:18" x14ac:dyDescent="0.2">
      <c r="A7270" t="s">
        <v>439</v>
      </c>
      <c r="B7270" t="s">
        <v>3094</v>
      </c>
      <c r="C7270">
        <v>1</v>
      </c>
      <c r="D7270" s="1">
        <v>44156.775983796295</v>
      </c>
      <c r="E7270" t="s">
        <v>22823</v>
      </c>
      <c r="F7270" t="s">
        <v>442</v>
      </c>
      <c r="G7270" t="s">
        <v>22829</v>
      </c>
      <c r="H7270" t="s">
        <v>444</v>
      </c>
      <c r="I7270" t="s">
        <v>29</v>
      </c>
      <c r="J7270">
        <v>1</v>
      </c>
      <c r="K7270">
        <f>1-888-423-327</f>
        <v>-1637</v>
      </c>
      <c r="L7270" t="s">
        <v>22834</v>
      </c>
      <c r="M7270" t="s">
        <v>22835</v>
      </c>
      <c r="N7270" t="s">
        <v>5354</v>
      </c>
      <c r="O7270" t="s">
        <v>28</v>
      </c>
      <c r="P7270" t="s">
        <v>2268</v>
      </c>
      <c r="Q7270">
        <v>46</v>
      </c>
      <c r="R7270">
        <v>-73.567300000000003</v>
      </c>
    </row>
    <row r="7271" spans="1:18" x14ac:dyDescent="0.2">
      <c r="A7271" t="s">
        <v>663</v>
      </c>
      <c r="B7271" t="s">
        <v>2493</v>
      </c>
      <c r="C7271">
        <v>1</v>
      </c>
      <c r="D7271" s="1">
        <v>44156.777453703704</v>
      </c>
      <c r="E7271" t="s">
        <v>22836</v>
      </c>
      <c r="F7271" t="s">
        <v>666</v>
      </c>
      <c r="G7271" t="s">
        <v>22836</v>
      </c>
      <c r="H7271" t="s">
        <v>667</v>
      </c>
      <c r="I7271" t="s">
        <v>29</v>
      </c>
      <c r="J7271">
        <v>1</v>
      </c>
      <c r="K7271">
        <f>1-888-662-6771</f>
        <v>-8320</v>
      </c>
      <c r="L7271" t="s">
        <v>22837</v>
      </c>
      <c r="M7271" t="s">
        <v>22838</v>
      </c>
      <c r="N7271">
        <v>171</v>
      </c>
      <c r="O7271" t="s">
        <v>134</v>
      </c>
      <c r="P7271" t="s">
        <v>29</v>
      </c>
      <c r="Q7271">
        <v>41</v>
      </c>
      <c r="R7271">
        <v>-74.024699999999996</v>
      </c>
    </row>
    <row r="7272" spans="1:18" x14ac:dyDescent="0.2">
      <c r="A7272" t="s">
        <v>2233</v>
      </c>
      <c r="B7272" t="s">
        <v>2500</v>
      </c>
      <c r="C7272">
        <v>1</v>
      </c>
      <c r="D7272" s="1">
        <v>44156.821516203701</v>
      </c>
      <c r="E7272" t="s">
        <v>22839</v>
      </c>
      <c r="F7272" t="s">
        <v>2236</v>
      </c>
      <c r="G7272" t="s">
        <v>22840</v>
      </c>
      <c r="H7272" t="s">
        <v>2237</v>
      </c>
      <c r="I7272" t="s">
        <v>29</v>
      </c>
      <c r="J7272">
        <v>1</v>
      </c>
      <c r="K7272">
        <f>1-844-264-1242</f>
        <v>-2349</v>
      </c>
      <c r="L7272" t="s">
        <v>22841</v>
      </c>
      <c r="M7272" t="s">
        <v>22842</v>
      </c>
      <c r="N7272" t="s">
        <v>5354</v>
      </c>
      <c r="O7272" t="s">
        <v>28</v>
      </c>
      <c r="P7272" t="s">
        <v>2500</v>
      </c>
      <c r="Q7272">
        <v>1</v>
      </c>
      <c r="R7272">
        <v>99.999999000000003</v>
      </c>
    </row>
    <row r="7273" spans="1:18" x14ac:dyDescent="0.2">
      <c r="A7273" t="s">
        <v>2349</v>
      </c>
      <c r="B7273" t="s">
        <v>6834</v>
      </c>
      <c r="C7273">
        <v>1</v>
      </c>
      <c r="D7273" s="1">
        <v>44156.821597222224</v>
      </c>
      <c r="E7273" t="s">
        <v>22843</v>
      </c>
      <c r="F7273" t="s">
        <v>2352</v>
      </c>
      <c r="G7273" t="s">
        <v>22844</v>
      </c>
      <c r="H7273" t="s">
        <v>2353</v>
      </c>
      <c r="I7273" t="s">
        <v>29</v>
      </c>
      <c r="J7273">
        <v>1</v>
      </c>
      <c r="K7273">
        <f>1-833-500-306</f>
        <v>-1638</v>
      </c>
      <c r="L7273" t="s">
        <v>22845</v>
      </c>
      <c r="M7273" t="s">
        <v>22846</v>
      </c>
      <c r="N7273" t="s">
        <v>447</v>
      </c>
      <c r="O7273" t="s">
        <v>28</v>
      </c>
      <c r="P7273" t="s">
        <v>29</v>
      </c>
      <c r="Q7273">
        <v>34</v>
      </c>
      <c r="R7273">
        <v>-99.999999000000003</v>
      </c>
    </row>
    <row r="7274" spans="1:18" x14ac:dyDescent="0.2">
      <c r="A7274" t="s">
        <v>439</v>
      </c>
      <c r="B7274" t="s">
        <v>3094</v>
      </c>
      <c r="C7274">
        <v>1</v>
      </c>
      <c r="D7274" s="1">
        <v>44156.821643518517</v>
      </c>
      <c r="E7274" t="s">
        <v>22847</v>
      </c>
      <c r="F7274" t="s">
        <v>442</v>
      </c>
      <c r="G7274" t="s">
        <v>22848</v>
      </c>
      <c r="H7274" t="s">
        <v>444</v>
      </c>
      <c r="I7274" t="s">
        <v>29</v>
      </c>
      <c r="J7274">
        <v>1</v>
      </c>
      <c r="K7274">
        <f>1-833-368-5296</f>
        <v>-6496</v>
      </c>
      <c r="L7274" t="s">
        <v>22849</v>
      </c>
      <c r="M7274" t="s">
        <v>22850</v>
      </c>
      <c r="N7274" t="s">
        <v>447</v>
      </c>
      <c r="O7274" t="s">
        <v>28</v>
      </c>
      <c r="P7274" t="s">
        <v>2268</v>
      </c>
      <c r="Q7274">
        <v>46</v>
      </c>
      <c r="R7274">
        <v>-73.567300000000003</v>
      </c>
    </row>
    <row r="7275" spans="1:18" x14ac:dyDescent="0.2">
      <c r="A7275" t="s">
        <v>2233</v>
      </c>
      <c r="B7275" t="s">
        <v>2500</v>
      </c>
      <c r="C7275">
        <v>1</v>
      </c>
      <c r="D7275" s="1">
        <v>44156.821712962963</v>
      </c>
      <c r="E7275" t="s">
        <v>22851</v>
      </c>
      <c r="F7275" t="s">
        <v>2236</v>
      </c>
      <c r="G7275" t="s">
        <v>22852</v>
      </c>
      <c r="H7275" t="s">
        <v>2237</v>
      </c>
      <c r="I7275" t="s">
        <v>29</v>
      </c>
      <c r="J7275">
        <v>1</v>
      </c>
      <c r="K7275">
        <f>1-833-760-694</f>
        <v>-2286</v>
      </c>
      <c r="L7275" t="s">
        <v>22853</v>
      </c>
      <c r="M7275" t="s">
        <v>22854</v>
      </c>
      <c r="N7275" t="s">
        <v>5354</v>
      </c>
      <c r="O7275" t="s">
        <v>28</v>
      </c>
      <c r="P7275" t="s">
        <v>2500</v>
      </c>
      <c r="Q7275">
        <v>1</v>
      </c>
      <c r="R7275">
        <v>99.999999000000003</v>
      </c>
    </row>
    <row r="7276" spans="1:18" x14ac:dyDescent="0.2">
      <c r="A7276" t="s">
        <v>663</v>
      </c>
      <c r="B7276" t="s">
        <v>2493</v>
      </c>
      <c r="C7276">
        <v>1</v>
      </c>
      <c r="D7276" s="1">
        <v>44156.848020833335</v>
      </c>
      <c r="E7276" t="s">
        <v>22855</v>
      </c>
      <c r="F7276" t="s">
        <v>666</v>
      </c>
      <c r="G7276" t="s">
        <v>22855</v>
      </c>
      <c r="H7276" t="s">
        <v>667</v>
      </c>
      <c r="I7276" t="s">
        <v>29</v>
      </c>
      <c r="J7276">
        <v>1</v>
      </c>
      <c r="K7276">
        <f>1-888-526-2095</f>
        <v>-3508</v>
      </c>
      <c r="L7276" t="s">
        <v>22856</v>
      </c>
      <c r="M7276" t="s">
        <v>22857</v>
      </c>
      <c r="N7276">
        <v>253</v>
      </c>
      <c r="O7276" t="s">
        <v>134</v>
      </c>
      <c r="P7276" t="s">
        <v>29</v>
      </c>
      <c r="Q7276">
        <v>41</v>
      </c>
      <c r="R7276">
        <v>-74.024699999999996</v>
      </c>
    </row>
    <row r="7277" spans="1:18" x14ac:dyDescent="0.2">
      <c r="A7277" t="s">
        <v>663</v>
      </c>
      <c r="B7277" t="s">
        <v>2493</v>
      </c>
      <c r="C7277">
        <v>1</v>
      </c>
      <c r="D7277" s="1">
        <v>44156.833124999997</v>
      </c>
      <c r="E7277" t="s">
        <v>22855</v>
      </c>
      <c r="F7277" t="s">
        <v>666</v>
      </c>
      <c r="G7277" t="s">
        <v>22855</v>
      </c>
      <c r="H7277" t="s">
        <v>667</v>
      </c>
      <c r="I7277" t="s">
        <v>29</v>
      </c>
      <c r="J7277">
        <v>1</v>
      </c>
      <c r="K7277">
        <f>1-888-585-6949</f>
        <v>-8421</v>
      </c>
      <c r="L7277" t="s">
        <v>22858</v>
      </c>
      <c r="M7277" t="s">
        <v>22859</v>
      </c>
      <c r="N7277">
        <v>253</v>
      </c>
      <c r="O7277" t="s">
        <v>134</v>
      </c>
      <c r="P7277" t="s">
        <v>29</v>
      </c>
      <c r="Q7277">
        <v>41</v>
      </c>
      <c r="R7277">
        <v>-74.024699999999996</v>
      </c>
    </row>
    <row r="7278" spans="1:18" x14ac:dyDescent="0.2">
      <c r="A7278" t="s">
        <v>663</v>
      </c>
      <c r="B7278" t="s">
        <v>2493</v>
      </c>
      <c r="C7278">
        <v>1</v>
      </c>
      <c r="D7278" s="1">
        <v>44156.834722222222</v>
      </c>
      <c r="E7278" t="s">
        <v>22860</v>
      </c>
      <c r="F7278" t="s">
        <v>666</v>
      </c>
      <c r="G7278" t="s">
        <v>22860</v>
      </c>
      <c r="H7278" t="s">
        <v>667</v>
      </c>
      <c r="I7278" t="s">
        <v>29</v>
      </c>
      <c r="J7278">
        <v>1</v>
      </c>
      <c r="K7278">
        <f>1-888-984-681</f>
        <v>-2552</v>
      </c>
      <c r="L7278" t="s">
        <v>22861</v>
      </c>
      <c r="M7278" t="s">
        <v>22862</v>
      </c>
      <c r="N7278">
        <v>85</v>
      </c>
      <c r="O7278" t="s">
        <v>134</v>
      </c>
      <c r="P7278" t="s">
        <v>29</v>
      </c>
      <c r="Q7278">
        <v>41</v>
      </c>
      <c r="R7278">
        <v>-74.024699999999996</v>
      </c>
    </row>
    <row r="7279" spans="1:18" x14ac:dyDescent="0.2">
      <c r="A7279" t="s">
        <v>2233</v>
      </c>
      <c r="B7279" t="s">
        <v>440</v>
      </c>
      <c r="C7279">
        <v>1</v>
      </c>
      <c r="D7279" s="1">
        <v>44156.873078703706</v>
      </c>
      <c r="E7279" t="s">
        <v>22863</v>
      </c>
      <c r="F7279" t="s">
        <v>2236</v>
      </c>
      <c r="G7279" t="s">
        <v>22864</v>
      </c>
      <c r="H7279" t="s">
        <v>2237</v>
      </c>
      <c r="I7279" t="s">
        <v>29</v>
      </c>
      <c r="J7279">
        <v>1</v>
      </c>
      <c r="K7279">
        <f>1-877-658-477</f>
        <v>-2011</v>
      </c>
      <c r="L7279" t="s">
        <v>22865</v>
      </c>
      <c r="M7279" t="s">
        <v>22866</v>
      </c>
      <c r="N7279" t="s">
        <v>5354</v>
      </c>
      <c r="O7279" t="s">
        <v>28</v>
      </c>
      <c r="P7279" t="s">
        <v>29</v>
      </c>
      <c r="Q7279">
        <v>39</v>
      </c>
      <c r="R7279">
        <v>-77.487399999999994</v>
      </c>
    </row>
    <row r="7280" spans="1:18" x14ac:dyDescent="0.2">
      <c r="A7280" t="s">
        <v>439</v>
      </c>
      <c r="B7280" t="s">
        <v>3094</v>
      </c>
      <c r="C7280">
        <v>1</v>
      </c>
      <c r="D7280" s="1">
        <v>44156.89435185185</v>
      </c>
      <c r="E7280" t="s">
        <v>22867</v>
      </c>
      <c r="F7280" t="s">
        <v>442</v>
      </c>
      <c r="G7280" t="s">
        <v>22868</v>
      </c>
      <c r="H7280" t="s">
        <v>444</v>
      </c>
      <c r="I7280" t="s">
        <v>29</v>
      </c>
      <c r="J7280">
        <v>1</v>
      </c>
      <c r="K7280">
        <f>1-888-491-1106</f>
        <v>-2484</v>
      </c>
      <c r="L7280" t="s">
        <v>22869</v>
      </c>
      <c r="M7280" t="s">
        <v>22870</v>
      </c>
      <c r="N7280" t="s">
        <v>1645</v>
      </c>
      <c r="O7280" t="s">
        <v>28</v>
      </c>
      <c r="P7280" t="s">
        <v>2268</v>
      </c>
      <c r="Q7280">
        <v>46</v>
      </c>
      <c r="R7280">
        <v>-73.567300000000003</v>
      </c>
    </row>
    <row r="7281" spans="1:18" x14ac:dyDescent="0.2">
      <c r="A7281" t="s">
        <v>439</v>
      </c>
      <c r="B7281" t="s">
        <v>3094</v>
      </c>
      <c r="C7281">
        <v>1</v>
      </c>
      <c r="D7281" s="1">
        <v>44156.894305555557</v>
      </c>
      <c r="E7281" t="s">
        <v>22867</v>
      </c>
      <c r="F7281" t="s">
        <v>442</v>
      </c>
      <c r="G7281" t="s">
        <v>22868</v>
      </c>
      <c r="H7281" t="s">
        <v>444</v>
      </c>
      <c r="I7281" t="s">
        <v>29</v>
      </c>
      <c r="J7281">
        <v>1</v>
      </c>
      <c r="K7281">
        <f>1-888-423-327</f>
        <v>-1637</v>
      </c>
      <c r="L7281" t="s">
        <v>22871</v>
      </c>
      <c r="M7281" t="s">
        <v>22872</v>
      </c>
      <c r="N7281" t="s">
        <v>1645</v>
      </c>
      <c r="O7281" t="s">
        <v>28</v>
      </c>
      <c r="P7281" t="s">
        <v>2268</v>
      </c>
      <c r="Q7281">
        <v>46</v>
      </c>
      <c r="R7281">
        <v>-73.567300000000003</v>
      </c>
    </row>
    <row r="7282" spans="1:18" x14ac:dyDescent="0.2">
      <c r="A7282" t="s">
        <v>439</v>
      </c>
      <c r="B7282" t="s">
        <v>3094</v>
      </c>
      <c r="C7282">
        <v>1</v>
      </c>
      <c r="D7282" s="1">
        <v>44156.893321759257</v>
      </c>
      <c r="E7282" t="s">
        <v>22867</v>
      </c>
      <c r="F7282" t="s">
        <v>442</v>
      </c>
      <c r="G7282" t="s">
        <v>22868</v>
      </c>
      <c r="H7282" t="s">
        <v>444</v>
      </c>
      <c r="I7282" t="s">
        <v>29</v>
      </c>
      <c r="J7282">
        <v>1</v>
      </c>
      <c r="K7282">
        <f>1-888-655-2430</f>
        <v>-3972</v>
      </c>
      <c r="L7282" t="s">
        <v>22873</v>
      </c>
      <c r="M7282" t="s">
        <v>22874</v>
      </c>
      <c r="N7282" t="s">
        <v>1645</v>
      </c>
      <c r="O7282" t="s">
        <v>28</v>
      </c>
      <c r="P7282" t="s">
        <v>2268</v>
      </c>
      <c r="Q7282">
        <v>46</v>
      </c>
      <c r="R7282">
        <v>-73.567300000000003</v>
      </c>
    </row>
    <row r="7283" spans="1:18" x14ac:dyDescent="0.2">
      <c r="A7283" t="s">
        <v>439</v>
      </c>
      <c r="B7283" t="s">
        <v>3094</v>
      </c>
      <c r="C7283">
        <v>1</v>
      </c>
      <c r="D7283" s="1">
        <v>44156.89439814815</v>
      </c>
      <c r="E7283" t="s">
        <v>22867</v>
      </c>
      <c r="F7283" t="s">
        <v>442</v>
      </c>
      <c r="G7283" t="s">
        <v>22875</v>
      </c>
      <c r="H7283" t="s">
        <v>444</v>
      </c>
      <c r="I7283" t="s">
        <v>29</v>
      </c>
      <c r="J7283">
        <v>1</v>
      </c>
      <c r="K7283">
        <f>1-888-517-8593</f>
        <v>-9997</v>
      </c>
      <c r="L7283" t="s">
        <v>22876</v>
      </c>
      <c r="M7283" t="s">
        <v>22877</v>
      </c>
      <c r="N7283" t="s">
        <v>1645</v>
      </c>
      <c r="O7283" t="s">
        <v>28</v>
      </c>
      <c r="P7283" t="s">
        <v>2268</v>
      </c>
      <c r="Q7283">
        <v>46</v>
      </c>
      <c r="R7283">
        <v>-73.567300000000003</v>
      </c>
    </row>
    <row r="7284" spans="1:18" x14ac:dyDescent="0.2">
      <c r="A7284" t="s">
        <v>439</v>
      </c>
      <c r="B7284" t="s">
        <v>4321</v>
      </c>
      <c r="C7284">
        <v>1</v>
      </c>
      <c r="D7284" s="1">
        <v>44156.894456018519</v>
      </c>
      <c r="E7284" t="s">
        <v>22867</v>
      </c>
      <c r="F7284" t="s">
        <v>442</v>
      </c>
      <c r="G7284" t="s">
        <v>22878</v>
      </c>
      <c r="H7284" t="s">
        <v>444</v>
      </c>
      <c r="I7284" t="s">
        <v>29</v>
      </c>
      <c r="J7284">
        <v>1</v>
      </c>
      <c r="K7284">
        <f>1-888-436-4720</f>
        <v>-6043</v>
      </c>
      <c r="L7284" t="s">
        <v>22879</v>
      </c>
      <c r="M7284" t="s">
        <v>22880</v>
      </c>
      <c r="N7284" t="s">
        <v>1645</v>
      </c>
      <c r="O7284" t="s">
        <v>28</v>
      </c>
      <c r="P7284" t="s">
        <v>29</v>
      </c>
      <c r="Q7284">
        <v>42</v>
      </c>
      <c r="R7284">
        <v>-87.629800000000003</v>
      </c>
    </row>
    <row r="7285" spans="1:18" x14ac:dyDescent="0.2">
      <c r="A7285" t="s">
        <v>439</v>
      </c>
      <c r="B7285" t="s">
        <v>4321</v>
      </c>
      <c r="C7285">
        <v>1</v>
      </c>
      <c r="D7285" s="1">
        <v>44156.950810185182</v>
      </c>
      <c r="E7285" t="s">
        <v>22881</v>
      </c>
      <c r="F7285" t="s">
        <v>442</v>
      </c>
      <c r="G7285" t="s">
        <v>22882</v>
      </c>
      <c r="H7285" t="s">
        <v>444</v>
      </c>
      <c r="I7285" t="s">
        <v>29</v>
      </c>
      <c r="J7285">
        <v>1</v>
      </c>
      <c r="K7285">
        <f>1-833-394-3932</f>
        <v>-5158</v>
      </c>
      <c r="L7285" t="s">
        <v>22883</v>
      </c>
      <c r="M7285" t="s">
        <v>22884</v>
      </c>
      <c r="N7285" t="s">
        <v>447</v>
      </c>
      <c r="O7285" t="s">
        <v>28</v>
      </c>
      <c r="P7285" t="s">
        <v>29</v>
      </c>
      <c r="Q7285">
        <v>42</v>
      </c>
      <c r="R7285">
        <v>-87.629800000000003</v>
      </c>
    </row>
    <row r="7286" spans="1:18" x14ac:dyDescent="0.2">
      <c r="A7286" t="s">
        <v>439</v>
      </c>
      <c r="B7286" t="s">
        <v>4321</v>
      </c>
      <c r="C7286">
        <v>1</v>
      </c>
      <c r="D7286" s="1">
        <v>44156.964884259258</v>
      </c>
      <c r="E7286" t="s">
        <v>22885</v>
      </c>
      <c r="F7286" t="s">
        <v>442</v>
      </c>
      <c r="G7286" t="s">
        <v>22886</v>
      </c>
      <c r="H7286" t="s">
        <v>444</v>
      </c>
      <c r="I7286" t="s">
        <v>29</v>
      </c>
      <c r="J7286">
        <v>1</v>
      </c>
      <c r="K7286">
        <f>1-888-985-7784</f>
        <v>-9656</v>
      </c>
      <c r="L7286" t="s">
        <v>22887</v>
      </c>
      <c r="M7286" t="s">
        <v>22888</v>
      </c>
      <c r="N7286" t="s">
        <v>20913</v>
      </c>
      <c r="O7286" t="s">
        <v>28</v>
      </c>
      <c r="P7286" t="s">
        <v>29</v>
      </c>
      <c r="Q7286">
        <v>42</v>
      </c>
      <c r="R7286">
        <v>-87.629800000000003</v>
      </c>
    </row>
    <row r="7287" spans="1:18" x14ac:dyDescent="0.2">
      <c r="A7287" t="s">
        <v>2233</v>
      </c>
      <c r="B7287" t="s">
        <v>17027</v>
      </c>
      <c r="C7287">
        <v>1</v>
      </c>
      <c r="D7287" s="1">
        <v>44157.076516203706</v>
      </c>
      <c r="E7287" t="s">
        <v>22889</v>
      </c>
      <c r="F7287" t="s">
        <v>2236</v>
      </c>
      <c r="G7287" t="s">
        <v>22890</v>
      </c>
      <c r="H7287" t="s">
        <v>2237</v>
      </c>
      <c r="I7287" t="s">
        <v>29</v>
      </c>
      <c r="J7287">
        <v>1</v>
      </c>
      <c r="K7287">
        <f>1-844-302-5247</f>
        <v>-6392</v>
      </c>
      <c r="L7287" t="s">
        <v>22891</v>
      </c>
      <c r="M7287" t="s">
        <v>22892</v>
      </c>
      <c r="O7287" t="s">
        <v>28</v>
      </c>
      <c r="P7287" t="s">
        <v>5789</v>
      </c>
      <c r="Q7287">
        <v>19</v>
      </c>
      <c r="R7287">
        <v>72.877700000000004</v>
      </c>
    </row>
    <row r="7288" spans="1:18" x14ac:dyDescent="0.2">
      <c r="A7288" t="s">
        <v>1200</v>
      </c>
      <c r="B7288" t="s">
        <v>2500</v>
      </c>
      <c r="C7288">
        <v>1</v>
      </c>
      <c r="D7288" s="1">
        <v>44157.784479166665</v>
      </c>
      <c r="E7288" t="s">
        <v>22893</v>
      </c>
      <c r="F7288" t="s">
        <v>1203</v>
      </c>
      <c r="G7288" t="s">
        <v>22894</v>
      </c>
      <c r="H7288" t="s">
        <v>1205</v>
      </c>
      <c r="I7288" t="s">
        <v>29</v>
      </c>
      <c r="J7288">
        <v>1</v>
      </c>
      <c r="K7288">
        <f>1-888-927-934</f>
        <v>-2748</v>
      </c>
      <c r="L7288" t="s">
        <v>22895</v>
      </c>
      <c r="M7288" t="s">
        <v>22896</v>
      </c>
      <c r="N7288" t="s">
        <v>452</v>
      </c>
      <c r="O7288" t="s">
        <v>28</v>
      </c>
      <c r="P7288" t="s">
        <v>2500</v>
      </c>
      <c r="Q7288">
        <v>1</v>
      </c>
      <c r="R7288">
        <v>99.999999000000003</v>
      </c>
    </row>
    <row r="7289" spans="1:18" x14ac:dyDescent="0.2">
      <c r="A7289" t="s">
        <v>439</v>
      </c>
      <c r="B7289" t="s">
        <v>4321</v>
      </c>
      <c r="C7289">
        <v>1</v>
      </c>
      <c r="D7289" s="1">
        <v>44157.814849537041</v>
      </c>
      <c r="E7289" t="s">
        <v>22897</v>
      </c>
      <c r="F7289" t="s">
        <v>442</v>
      </c>
      <c r="G7289" t="s">
        <v>22898</v>
      </c>
      <c r="H7289" t="s">
        <v>444</v>
      </c>
      <c r="I7289" t="s">
        <v>29</v>
      </c>
      <c r="J7289">
        <v>1</v>
      </c>
      <c r="K7289">
        <f>1-888-585-1639</f>
        <v>-3111</v>
      </c>
      <c r="L7289" t="s">
        <v>22899</v>
      </c>
      <c r="M7289" t="s">
        <v>22900</v>
      </c>
      <c r="N7289" t="s">
        <v>36</v>
      </c>
      <c r="O7289" t="s">
        <v>28</v>
      </c>
      <c r="P7289" t="s">
        <v>29</v>
      </c>
      <c r="Q7289">
        <v>42</v>
      </c>
      <c r="R7289">
        <v>-87.629800000000003</v>
      </c>
    </row>
    <row r="7290" spans="1:18" x14ac:dyDescent="0.2">
      <c r="A7290" t="s">
        <v>2233</v>
      </c>
      <c r="B7290" t="s">
        <v>2500</v>
      </c>
      <c r="C7290">
        <v>1</v>
      </c>
      <c r="D7290" s="1">
        <v>44157.834976851853</v>
      </c>
      <c r="E7290" t="s">
        <v>22901</v>
      </c>
      <c r="F7290" t="s">
        <v>2236</v>
      </c>
      <c r="G7290" t="s">
        <v>22902</v>
      </c>
      <c r="H7290" t="s">
        <v>2237</v>
      </c>
      <c r="I7290" t="s">
        <v>29</v>
      </c>
      <c r="J7290">
        <v>1</v>
      </c>
      <c r="K7290">
        <f>1-877-674-1679</f>
        <v>-3229</v>
      </c>
      <c r="L7290" t="s">
        <v>22903</v>
      </c>
      <c r="M7290" t="s">
        <v>22904</v>
      </c>
      <c r="N7290" t="s">
        <v>5354</v>
      </c>
      <c r="O7290" t="s">
        <v>28</v>
      </c>
      <c r="P7290" t="s">
        <v>2500</v>
      </c>
      <c r="Q7290">
        <v>1</v>
      </c>
      <c r="R7290">
        <v>99.999999000000003</v>
      </c>
    </row>
    <row r="7291" spans="1:18" x14ac:dyDescent="0.2">
      <c r="A7291" t="s">
        <v>439</v>
      </c>
      <c r="B7291" t="s">
        <v>5337</v>
      </c>
      <c r="C7291">
        <v>1</v>
      </c>
      <c r="D7291" s="1">
        <v>44157.840775462966</v>
      </c>
      <c r="E7291" t="s">
        <v>22905</v>
      </c>
      <c r="F7291" t="s">
        <v>442</v>
      </c>
      <c r="G7291" t="s">
        <v>22906</v>
      </c>
      <c r="H7291" t="s">
        <v>444</v>
      </c>
      <c r="I7291" t="s">
        <v>29</v>
      </c>
      <c r="J7291">
        <v>1</v>
      </c>
      <c r="K7291">
        <f>1-833-500-306</f>
        <v>-1638</v>
      </c>
      <c r="L7291" t="s">
        <v>22907</v>
      </c>
      <c r="M7291" t="s">
        <v>22908</v>
      </c>
      <c r="N7291" t="s">
        <v>447</v>
      </c>
      <c r="O7291" t="s">
        <v>28</v>
      </c>
      <c r="P7291" t="s">
        <v>29</v>
      </c>
      <c r="Q7291">
        <v>38</v>
      </c>
      <c r="R7291">
        <v>-99.999999000000003</v>
      </c>
    </row>
    <row r="7292" spans="1:18" x14ac:dyDescent="0.2">
      <c r="A7292" t="s">
        <v>2233</v>
      </c>
      <c r="B7292" t="s">
        <v>440</v>
      </c>
      <c r="C7292">
        <v>1</v>
      </c>
      <c r="D7292" s="1">
        <v>44157.85392361111</v>
      </c>
      <c r="E7292" t="s">
        <v>22909</v>
      </c>
      <c r="F7292" t="s">
        <v>2236</v>
      </c>
      <c r="G7292" t="s">
        <v>22910</v>
      </c>
      <c r="H7292" t="s">
        <v>2237</v>
      </c>
      <c r="I7292" t="s">
        <v>29</v>
      </c>
      <c r="J7292">
        <v>1</v>
      </c>
      <c r="K7292">
        <f>1-844-890-4209</f>
        <v>-5942</v>
      </c>
      <c r="L7292" t="s">
        <v>22911</v>
      </c>
      <c r="M7292" t="s">
        <v>22912</v>
      </c>
      <c r="N7292" t="s">
        <v>5354</v>
      </c>
      <c r="O7292" t="s">
        <v>28</v>
      </c>
      <c r="P7292" t="s">
        <v>29</v>
      </c>
      <c r="Q7292">
        <v>39</v>
      </c>
      <c r="R7292">
        <v>-77.487399999999994</v>
      </c>
    </row>
    <row r="7293" spans="1:18" x14ac:dyDescent="0.2">
      <c r="A7293" t="s">
        <v>2349</v>
      </c>
      <c r="B7293" t="s">
        <v>454</v>
      </c>
      <c r="C7293">
        <v>49</v>
      </c>
      <c r="D7293" s="1">
        <v>44158.598043981481</v>
      </c>
      <c r="E7293" t="s">
        <v>22913</v>
      </c>
      <c r="F7293" t="s">
        <v>4584</v>
      </c>
      <c r="G7293" t="s">
        <v>22913</v>
      </c>
      <c r="H7293" t="s">
        <v>2353</v>
      </c>
      <c r="I7293" t="s">
        <v>24</v>
      </c>
      <c r="J7293">
        <v>49</v>
      </c>
      <c r="K7293">
        <f>49-800-181-385</f>
        <v>-1317</v>
      </c>
      <c r="L7293" t="s">
        <v>22914</v>
      </c>
      <c r="M7293" t="s">
        <v>22915</v>
      </c>
      <c r="N7293">
        <v>127</v>
      </c>
      <c r="O7293" t="s">
        <v>134</v>
      </c>
      <c r="P7293" t="s">
        <v>461</v>
      </c>
      <c r="Q7293">
        <v>52</v>
      </c>
      <c r="R7293">
        <v>4.6562999999999999</v>
      </c>
    </row>
    <row r="7294" spans="1:18" x14ac:dyDescent="0.2">
      <c r="A7294" t="s">
        <v>663</v>
      </c>
      <c r="B7294" t="s">
        <v>2493</v>
      </c>
      <c r="C7294">
        <v>1</v>
      </c>
      <c r="D7294" s="1">
        <v>44158.777141203704</v>
      </c>
      <c r="E7294" t="s">
        <v>22916</v>
      </c>
      <c r="F7294" t="s">
        <v>666</v>
      </c>
      <c r="G7294" t="s">
        <v>22916</v>
      </c>
      <c r="H7294" t="s">
        <v>667</v>
      </c>
      <c r="I7294" t="s">
        <v>29</v>
      </c>
      <c r="J7294">
        <v>1</v>
      </c>
      <c r="K7294">
        <f>1-888-383-561</f>
        <v>-1831</v>
      </c>
      <c r="L7294" t="s">
        <v>22917</v>
      </c>
      <c r="M7294" t="s">
        <v>22918</v>
      </c>
      <c r="N7294">
        <v>100</v>
      </c>
      <c r="O7294" t="s">
        <v>134</v>
      </c>
      <c r="P7294" t="s">
        <v>29</v>
      </c>
      <c r="Q7294">
        <v>41</v>
      </c>
      <c r="R7294">
        <v>-74.024699999999996</v>
      </c>
    </row>
    <row r="7295" spans="1:18" x14ac:dyDescent="0.2">
      <c r="A7295" t="s">
        <v>2233</v>
      </c>
      <c r="B7295" t="s">
        <v>2500</v>
      </c>
      <c r="C7295">
        <v>1</v>
      </c>
      <c r="D7295" s="1">
        <v>44158.778715277775</v>
      </c>
      <c r="E7295" t="s">
        <v>22919</v>
      </c>
      <c r="F7295" t="s">
        <v>2236</v>
      </c>
      <c r="G7295" t="s">
        <v>22920</v>
      </c>
      <c r="H7295" t="s">
        <v>2237</v>
      </c>
      <c r="I7295" t="s">
        <v>29</v>
      </c>
      <c r="J7295">
        <v>1</v>
      </c>
      <c r="K7295">
        <f>1-877-674-1679</f>
        <v>-3229</v>
      </c>
      <c r="L7295" t="s">
        <v>22921</v>
      </c>
      <c r="M7295" t="s">
        <v>22922</v>
      </c>
      <c r="N7295" t="s">
        <v>5354</v>
      </c>
      <c r="O7295" t="s">
        <v>28</v>
      </c>
      <c r="P7295" t="s">
        <v>2500</v>
      </c>
      <c r="Q7295">
        <v>1</v>
      </c>
      <c r="R7295">
        <v>99.999999000000003</v>
      </c>
    </row>
    <row r="7296" spans="1:18" x14ac:dyDescent="0.2">
      <c r="A7296" t="s">
        <v>2233</v>
      </c>
      <c r="B7296" t="s">
        <v>4672</v>
      </c>
      <c r="C7296">
        <v>1</v>
      </c>
      <c r="D7296" s="1">
        <v>44158.809884259259</v>
      </c>
      <c r="E7296" t="s">
        <v>22923</v>
      </c>
      <c r="F7296" t="s">
        <v>2236</v>
      </c>
      <c r="G7296" t="s">
        <v>22924</v>
      </c>
      <c r="H7296" t="s">
        <v>2237</v>
      </c>
      <c r="I7296" t="s">
        <v>29</v>
      </c>
      <c r="J7296">
        <v>1</v>
      </c>
      <c r="K7296">
        <f>1-844-283-1919</f>
        <v>-3045</v>
      </c>
      <c r="L7296" t="s">
        <v>22925</v>
      </c>
      <c r="M7296" t="s">
        <v>22926</v>
      </c>
      <c r="N7296" t="s">
        <v>22454</v>
      </c>
      <c r="O7296" t="s">
        <v>134</v>
      </c>
      <c r="P7296" t="s">
        <v>782</v>
      </c>
      <c r="Q7296">
        <v>-34</v>
      </c>
      <c r="R7296">
        <v>99.999999000000003</v>
      </c>
    </row>
    <row r="7297" spans="1:18" x14ac:dyDescent="0.2">
      <c r="A7297" t="s">
        <v>663</v>
      </c>
      <c r="B7297" t="s">
        <v>2493</v>
      </c>
      <c r="C7297">
        <v>1</v>
      </c>
      <c r="D7297" s="1">
        <v>44158.930254629631</v>
      </c>
      <c r="E7297" t="s">
        <v>22927</v>
      </c>
      <c r="F7297" t="s">
        <v>666</v>
      </c>
      <c r="G7297" t="s">
        <v>22927</v>
      </c>
      <c r="H7297" t="s">
        <v>667</v>
      </c>
      <c r="I7297" t="s">
        <v>29</v>
      </c>
      <c r="J7297">
        <v>1</v>
      </c>
      <c r="K7297">
        <f>1-888-618-238</f>
        <v>-1743</v>
      </c>
      <c r="L7297" t="s">
        <v>22928</v>
      </c>
      <c r="M7297" t="s">
        <v>22929</v>
      </c>
      <c r="N7297">
        <v>167</v>
      </c>
      <c r="O7297" t="s">
        <v>134</v>
      </c>
      <c r="P7297" t="s">
        <v>29</v>
      </c>
      <c r="Q7297">
        <v>41</v>
      </c>
      <c r="R7297">
        <v>-74.024699999999996</v>
      </c>
    </row>
    <row r="7298" spans="1:18" x14ac:dyDescent="0.2">
      <c r="A7298" t="s">
        <v>663</v>
      </c>
      <c r="B7298" t="s">
        <v>2493</v>
      </c>
      <c r="C7298">
        <v>1</v>
      </c>
      <c r="D7298" s="1">
        <v>44158.924768518518</v>
      </c>
      <c r="E7298" t="s">
        <v>22927</v>
      </c>
      <c r="F7298" t="s">
        <v>666</v>
      </c>
      <c r="G7298" t="s">
        <v>22927</v>
      </c>
      <c r="H7298" t="s">
        <v>667</v>
      </c>
      <c r="I7298" t="s">
        <v>29</v>
      </c>
      <c r="J7298">
        <v>1</v>
      </c>
      <c r="K7298">
        <f>1-888-612-3848</f>
        <v>-5347</v>
      </c>
      <c r="L7298" t="s">
        <v>22930</v>
      </c>
      <c r="M7298" t="s">
        <v>22931</v>
      </c>
      <c r="N7298">
        <v>167</v>
      </c>
      <c r="O7298" t="s">
        <v>134</v>
      </c>
      <c r="P7298" t="s">
        <v>29</v>
      </c>
      <c r="Q7298">
        <v>41</v>
      </c>
      <c r="R7298">
        <v>-74.024699999999996</v>
      </c>
    </row>
    <row r="7299" spans="1:18" x14ac:dyDescent="0.2">
      <c r="A7299" t="s">
        <v>663</v>
      </c>
      <c r="B7299" t="s">
        <v>2493</v>
      </c>
      <c r="C7299">
        <v>1</v>
      </c>
      <c r="D7299" s="1">
        <v>44158.93608796296</v>
      </c>
      <c r="E7299" t="s">
        <v>22932</v>
      </c>
      <c r="F7299" t="s">
        <v>666</v>
      </c>
      <c r="G7299" t="s">
        <v>22932</v>
      </c>
      <c r="H7299" t="s">
        <v>667</v>
      </c>
      <c r="I7299" t="s">
        <v>29</v>
      </c>
      <c r="J7299">
        <v>1</v>
      </c>
      <c r="K7299">
        <f>1-888-538-976</f>
        <v>-2401</v>
      </c>
      <c r="L7299" t="s">
        <v>22933</v>
      </c>
      <c r="M7299" t="s">
        <v>22934</v>
      </c>
      <c r="N7299">
        <v>87</v>
      </c>
      <c r="O7299" t="s">
        <v>134</v>
      </c>
      <c r="P7299" t="s">
        <v>29</v>
      </c>
      <c r="Q7299">
        <v>41</v>
      </c>
      <c r="R7299">
        <v>-74.024699999999996</v>
      </c>
    </row>
    <row r="7300" spans="1:18" x14ac:dyDescent="0.2">
      <c r="A7300" t="s">
        <v>663</v>
      </c>
      <c r="B7300" t="s">
        <v>2493</v>
      </c>
      <c r="C7300">
        <v>1</v>
      </c>
      <c r="D7300" s="1">
        <v>44158.954039351855</v>
      </c>
      <c r="E7300" t="s">
        <v>22935</v>
      </c>
      <c r="F7300" t="s">
        <v>666</v>
      </c>
      <c r="G7300" t="s">
        <v>22935</v>
      </c>
      <c r="H7300" t="s">
        <v>667</v>
      </c>
      <c r="I7300" t="s">
        <v>29</v>
      </c>
      <c r="J7300">
        <v>1</v>
      </c>
      <c r="K7300">
        <f>1-888-531-1238</f>
        <v>-2656</v>
      </c>
      <c r="L7300" t="s">
        <v>22936</v>
      </c>
      <c r="M7300" t="s">
        <v>22937</v>
      </c>
      <c r="N7300">
        <v>133</v>
      </c>
      <c r="O7300" t="s">
        <v>134</v>
      </c>
      <c r="P7300" t="s">
        <v>29</v>
      </c>
      <c r="Q7300">
        <v>41</v>
      </c>
      <c r="R7300">
        <v>-74.024699999999996</v>
      </c>
    </row>
    <row r="7301" spans="1:18" x14ac:dyDescent="0.2">
      <c r="A7301" t="s">
        <v>663</v>
      </c>
      <c r="B7301" t="s">
        <v>2493</v>
      </c>
      <c r="C7301">
        <v>1</v>
      </c>
      <c r="D7301" s="1">
        <v>44158.950671296298</v>
      </c>
      <c r="E7301" t="s">
        <v>22935</v>
      </c>
      <c r="F7301" t="s">
        <v>666</v>
      </c>
      <c r="G7301" t="s">
        <v>22935</v>
      </c>
      <c r="H7301" t="s">
        <v>667</v>
      </c>
      <c r="I7301" t="s">
        <v>29</v>
      </c>
      <c r="J7301">
        <v>1</v>
      </c>
      <c r="K7301">
        <f>1-888-530-8462</f>
        <v>-9879</v>
      </c>
      <c r="L7301" t="s">
        <v>22938</v>
      </c>
      <c r="M7301" t="s">
        <v>22939</v>
      </c>
      <c r="N7301">
        <v>133</v>
      </c>
      <c r="O7301" t="s">
        <v>134</v>
      </c>
      <c r="P7301" t="s">
        <v>29</v>
      </c>
      <c r="Q7301">
        <v>41</v>
      </c>
      <c r="R7301">
        <v>-74.024699999999996</v>
      </c>
    </row>
    <row r="7302" spans="1:18" x14ac:dyDescent="0.2">
      <c r="A7302" t="s">
        <v>439</v>
      </c>
      <c r="B7302" t="s">
        <v>3094</v>
      </c>
      <c r="C7302">
        <v>1</v>
      </c>
      <c r="D7302" s="1">
        <v>44159.004537037035</v>
      </c>
      <c r="E7302" t="s">
        <v>22940</v>
      </c>
      <c r="F7302" t="s">
        <v>442</v>
      </c>
      <c r="G7302" t="s">
        <v>22941</v>
      </c>
      <c r="H7302" t="s">
        <v>444</v>
      </c>
      <c r="I7302" t="s">
        <v>29</v>
      </c>
      <c r="J7302">
        <v>1</v>
      </c>
      <c r="K7302">
        <f>1-888-441-812</f>
        <v>-2140</v>
      </c>
      <c r="L7302" t="s">
        <v>22942</v>
      </c>
      <c r="M7302" t="s">
        <v>22943</v>
      </c>
      <c r="N7302" t="s">
        <v>447</v>
      </c>
      <c r="O7302" t="s">
        <v>28</v>
      </c>
      <c r="P7302" t="s">
        <v>2268</v>
      </c>
      <c r="Q7302">
        <v>46</v>
      </c>
      <c r="R7302">
        <v>-73.567300000000003</v>
      </c>
    </row>
    <row r="7303" spans="1:18" x14ac:dyDescent="0.2">
      <c r="A7303" t="s">
        <v>663</v>
      </c>
      <c r="B7303" t="s">
        <v>2493</v>
      </c>
      <c r="C7303">
        <v>61</v>
      </c>
      <c r="D7303" s="1">
        <v>44159.253761574073</v>
      </c>
      <c r="E7303" t="s">
        <v>22944</v>
      </c>
      <c r="F7303" t="s">
        <v>666</v>
      </c>
      <c r="G7303" t="s">
        <v>22944</v>
      </c>
      <c r="H7303" t="s">
        <v>667</v>
      </c>
      <c r="I7303" t="s">
        <v>782</v>
      </c>
      <c r="J7303">
        <v>61</v>
      </c>
      <c r="K7303">
        <f>61-1800-290-947</f>
        <v>-2976</v>
      </c>
      <c r="L7303" t="s">
        <v>22945</v>
      </c>
      <c r="M7303" t="s">
        <v>22946</v>
      </c>
      <c r="N7303">
        <v>82</v>
      </c>
      <c r="O7303" t="s">
        <v>134</v>
      </c>
      <c r="P7303" t="s">
        <v>29</v>
      </c>
      <c r="Q7303">
        <v>41</v>
      </c>
      <c r="R7303">
        <v>-74.024699999999996</v>
      </c>
    </row>
    <row r="7304" spans="1:18" x14ac:dyDescent="0.2">
      <c r="A7304" t="s">
        <v>663</v>
      </c>
      <c r="B7304" t="s">
        <v>2493</v>
      </c>
      <c r="C7304">
        <v>1</v>
      </c>
      <c r="D7304" s="1">
        <v>44159.703287037039</v>
      </c>
      <c r="E7304" t="s">
        <v>22947</v>
      </c>
      <c r="F7304" t="s">
        <v>666</v>
      </c>
      <c r="G7304" t="s">
        <v>22947</v>
      </c>
      <c r="H7304" t="s">
        <v>667</v>
      </c>
      <c r="I7304" t="s">
        <v>29</v>
      </c>
      <c r="J7304">
        <v>1</v>
      </c>
      <c r="K7304">
        <f>1-888-627-7909</f>
        <v>-9423</v>
      </c>
      <c r="L7304" t="s">
        <v>22948</v>
      </c>
      <c r="M7304" t="s">
        <v>22949</v>
      </c>
      <c r="N7304">
        <v>190</v>
      </c>
      <c r="O7304" t="s">
        <v>134</v>
      </c>
      <c r="P7304" t="s">
        <v>29</v>
      </c>
      <c r="Q7304">
        <v>41</v>
      </c>
      <c r="R7304">
        <v>-74.024699999999996</v>
      </c>
    </row>
    <row r="7305" spans="1:18" x14ac:dyDescent="0.2">
      <c r="A7305" t="s">
        <v>663</v>
      </c>
      <c r="B7305" t="s">
        <v>2493</v>
      </c>
      <c r="C7305">
        <v>1</v>
      </c>
      <c r="D7305" s="1">
        <v>44159.736689814818</v>
      </c>
      <c r="E7305" t="s">
        <v>22950</v>
      </c>
      <c r="F7305" t="s">
        <v>666</v>
      </c>
      <c r="G7305" t="s">
        <v>22950</v>
      </c>
      <c r="H7305" t="s">
        <v>667</v>
      </c>
      <c r="I7305" t="s">
        <v>29</v>
      </c>
      <c r="J7305">
        <v>1</v>
      </c>
      <c r="K7305">
        <f>1-888-635-8081</f>
        <v>-9603</v>
      </c>
      <c r="L7305" t="s">
        <v>22951</v>
      </c>
      <c r="M7305" t="s">
        <v>22952</v>
      </c>
      <c r="N7305">
        <v>188</v>
      </c>
      <c r="O7305" t="s">
        <v>134</v>
      </c>
      <c r="P7305" t="s">
        <v>29</v>
      </c>
      <c r="Q7305">
        <v>41</v>
      </c>
      <c r="R7305">
        <v>-74.024699999999996</v>
      </c>
    </row>
    <row r="7306" spans="1:18" x14ac:dyDescent="0.2">
      <c r="A7306" t="s">
        <v>663</v>
      </c>
      <c r="B7306" t="s">
        <v>2493</v>
      </c>
      <c r="C7306">
        <v>1</v>
      </c>
      <c r="D7306" s="1">
        <v>44159.735034722224</v>
      </c>
      <c r="E7306" t="s">
        <v>22950</v>
      </c>
      <c r="F7306" t="s">
        <v>666</v>
      </c>
      <c r="G7306" t="s">
        <v>22950</v>
      </c>
      <c r="H7306" t="s">
        <v>667</v>
      </c>
      <c r="I7306" t="s">
        <v>29</v>
      </c>
      <c r="J7306">
        <v>1</v>
      </c>
      <c r="K7306">
        <f>1-888-644-5243</f>
        <v>-6774</v>
      </c>
      <c r="L7306" t="s">
        <v>22953</v>
      </c>
      <c r="M7306" t="s">
        <v>22954</v>
      </c>
      <c r="N7306">
        <v>188</v>
      </c>
      <c r="O7306" t="s">
        <v>134</v>
      </c>
      <c r="P7306" t="s">
        <v>29</v>
      </c>
      <c r="Q7306">
        <v>41</v>
      </c>
      <c r="R7306">
        <v>-74.024699999999996</v>
      </c>
    </row>
    <row r="7307" spans="1:18" x14ac:dyDescent="0.2">
      <c r="A7307" t="s">
        <v>439</v>
      </c>
      <c r="B7307" t="s">
        <v>3094</v>
      </c>
      <c r="C7307">
        <v>1</v>
      </c>
      <c r="D7307" s="1">
        <v>44159.740995370368</v>
      </c>
      <c r="E7307" t="s">
        <v>22955</v>
      </c>
      <c r="F7307" t="s">
        <v>442</v>
      </c>
      <c r="G7307" t="s">
        <v>22956</v>
      </c>
      <c r="H7307" t="s">
        <v>444</v>
      </c>
      <c r="I7307" t="s">
        <v>29</v>
      </c>
      <c r="J7307">
        <v>1</v>
      </c>
      <c r="K7307">
        <f>1-888-312-1069</f>
        <v>-2268</v>
      </c>
      <c r="L7307" t="s">
        <v>22957</v>
      </c>
      <c r="M7307" t="s">
        <v>22958</v>
      </c>
      <c r="N7307" t="s">
        <v>447</v>
      </c>
      <c r="O7307" t="s">
        <v>28</v>
      </c>
      <c r="P7307" t="s">
        <v>2268</v>
      </c>
      <c r="Q7307">
        <v>46</v>
      </c>
      <c r="R7307">
        <v>-73.567300000000003</v>
      </c>
    </row>
    <row r="7308" spans="1:18" x14ac:dyDescent="0.2">
      <c r="A7308" t="s">
        <v>663</v>
      </c>
      <c r="B7308" t="s">
        <v>2493</v>
      </c>
      <c r="C7308">
        <v>1</v>
      </c>
      <c r="D7308" s="1">
        <v>44159.792662037034</v>
      </c>
      <c r="E7308" t="s">
        <v>22959</v>
      </c>
      <c r="F7308" t="s">
        <v>666</v>
      </c>
      <c r="G7308" t="s">
        <v>22959</v>
      </c>
      <c r="H7308" t="s">
        <v>667</v>
      </c>
      <c r="I7308" t="s">
        <v>29</v>
      </c>
      <c r="J7308">
        <v>1</v>
      </c>
      <c r="K7308">
        <f>1-844-286-9498</f>
        <v>-10627</v>
      </c>
      <c r="L7308" t="s">
        <v>22960</v>
      </c>
      <c r="M7308" t="s">
        <v>22961</v>
      </c>
      <c r="N7308">
        <v>189</v>
      </c>
      <c r="O7308" t="s">
        <v>134</v>
      </c>
      <c r="P7308" t="s">
        <v>29</v>
      </c>
      <c r="Q7308">
        <v>41</v>
      </c>
      <c r="R7308">
        <v>-74.024699999999996</v>
      </c>
    </row>
    <row r="7309" spans="1:18" x14ac:dyDescent="0.2">
      <c r="A7309" t="s">
        <v>663</v>
      </c>
      <c r="B7309" t="s">
        <v>2493</v>
      </c>
      <c r="C7309">
        <v>1</v>
      </c>
      <c r="D7309" s="1">
        <v>44159.773379629631</v>
      </c>
      <c r="E7309" t="s">
        <v>22959</v>
      </c>
      <c r="F7309" t="s">
        <v>666</v>
      </c>
      <c r="G7309" t="s">
        <v>22959</v>
      </c>
      <c r="H7309" t="s">
        <v>667</v>
      </c>
      <c r="I7309" t="s">
        <v>29</v>
      </c>
      <c r="J7309">
        <v>1</v>
      </c>
      <c r="K7309">
        <f>1-888-644-5243</f>
        <v>-6774</v>
      </c>
      <c r="L7309" t="s">
        <v>22962</v>
      </c>
      <c r="M7309" t="s">
        <v>22963</v>
      </c>
      <c r="N7309">
        <v>189</v>
      </c>
      <c r="O7309" t="s">
        <v>134</v>
      </c>
      <c r="P7309" t="s">
        <v>29</v>
      </c>
      <c r="Q7309">
        <v>41</v>
      </c>
      <c r="R7309">
        <v>-74.024699999999996</v>
      </c>
    </row>
    <row r="7310" spans="1:18" x14ac:dyDescent="0.2">
      <c r="A7310" t="s">
        <v>663</v>
      </c>
      <c r="B7310" t="s">
        <v>2493</v>
      </c>
      <c r="C7310">
        <v>1</v>
      </c>
      <c r="D7310" s="1">
        <v>44159.748506944445</v>
      </c>
      <c r="E7310" t="s">
        <v>22959</v>
      </c>
      <c r="F7310" t="s">
        <v>666</v>
      </c>
      <c r="G7310" t="s">
        <v>22959</v>
      </c>
      <c r="H7310" t="s">
        <v>667</v>
      </c>
      <c r="I7310" t="s">
        <v>29</v>
      </c>
      <c r="J7310">
        <v>1</v>
      </c>
      <c r="K7310">
        <f>1-888-525-729</f>
        <v>-2141</v>
      </c>
      <c r="L7310" t="s">
        <v>22964</v>
      </c>
      <c r="M7310" t="s">
        <v>22965</v>
      </c>
      <c r="N7310">
        <v>189</v>
      </c>
      <c r="O7310" t="s">
        <v>134</v>
      </c>
      <c r="P7310" t="s">
        <v>29</v>
      </c>
      <c r="Q7310">
        <v>41</v>
      </c>
      <c r="R7310">
        <v>-74.024699999999996</v>
      </c>
    </row>
    <row r="7311" spans="1:18" x14ac:dyDescent="0.2">
      <c r="A7311" t="s">
        <v>439</v>
      </c>
      <c r="B7311" t="s">
        <v>3094</v>
      </c>
      <c r="C7311">
        <v>1</v>
      </c>
      <c r="D7311" s="1">
        <v>44159.810798611114</v>
      </c>
      <c r="E7311" t="s">
        <v>22966</v>
      </c>
      <c r="F7311" t="s">
        <v>442</v>
      </c>
      <c r="G7311" t="s">
        <v>22967</v>
      </c>
      <c r="H7311" t="s">
        <v>444</v>
      </c>
      <c r="I7311" t="s">
        <v>29</v>
      </c>
      <c r="J7311">
        <v>1</v>
      </c>
      <c r="K7311">
        <f>1-866-265-7522</f>
        <v>-8652</v>
      </c>
      <c r="L7311" t="s">
        <v>22968</v>
      </c>
      <c r="M7311" t="s">
        <v>22969</v>
      </c>
      <c r="N7311" t="s">
        <v>213</v>
      </c>
      <c r="O7311" t="s">
        <v>28</v>
      </c>
      <c r="P7311" t="s">
        <v>2268</v>
      </c>
      <c r="Q7311">
        <v>46</v>
      </c>
      <c r="R7311">
        <v>-73.567300000000003</v>
      </c>
    </row>
    <row r="7312" spans="1:18" x14ac:dyDescent="0.2">
      <c r="A7312" t="s">
        <v>2233</v>
      </c>
      <c r="B7312" t="s">
        <v>440</v>
      </c>
      <c r="C7312">
        <v>1</v>
      </c>
      <c r="D7312" s="1">
        <v>44159.812997685185</v>
      </c>
      <c r="E7312" t="s">
        <v>22970</v>
      </c>
      <c r="F7312" t="s">
        <v>2236</v>
      </c>
      <c r="G7312" t="s">
        <v>22971</v>
      </c>
      <c r="H7312" t="s">
        <v>2237</v>
      </c>
      <c r="I7312" t="s">
        <v>29</v>
      </c>
      <c r="J7312">
        <v>1</v>
      </c>
      <c r="K7312">
        <f>1-833-857-2321</f>
        <v>-4010</v>
      </c>
      <c r="L7312" t="s">
        <v>22972</v>
      </c>
      <c r="M7312" t="s">
        <v>22973</v>
      </c>
      <c r="N7312" t="s">
        <v>5354</v>
      </c>
      <c r="O7312" t="s">
        <v>28</v>
      </c>
      <c r="P7312" t="s">
        <v>29</v>
      </c>
      <c r="Q7312">
        <v>39</v>
      </c>
      <c r="R7312">
        <v>-77.487399999999994</v>
      </c>
    </row>
    <row r="7313" spans="1:18" x14ac:dyDescent="0.2">
      <c r="A7313" t="s">
        <v>663</v>
      </c>
      <c r="B7313" t="s">
        <v>2493</v>
      </c>
      <c r="C7313">
        <v>1</v>
      </c>
      <c r="D7313" s="1">
        <v>44159.814155092594</v>
      </c>
      <c r="E7313" t="s">
        <v>22974</v>
      </c>
      <c r="F7313" t="s">
        <v>666</v>
      </c>
      <c r="G7313" t="s">
        <v>22974</v>
      </c>
      <c r="H7313" t="s">
        <v>667</v>
      </c>
      <c r="I7313" t="s">
        <v>29</v>
      </c>
      <c r="J7313">
        <v>1</v>
      </c>
      <c r="K7313">
        <f>1-888-630-1347</f>
        <v>-2864</v>
      </c>
      <c r="L7313" t="s">
        <v>22975</v>
      </c>
      <c r="M7313" t="s">
        <v>22976</v>
      </c>
      <c r="N7313">
        <v>186</v>
      </c>
      <c r="O7313" t="s">
        <v>134</v>
      </c>
      <c r="P7313" t="s">
        <v>29</v>
      </c>
      <c r="Q7313">
        <v>41</v>
      </c>
      <c r="R7313">
        <v>-74.024699999999996</v>
      </c>
    </row>
    <row r="7314" spans="1:18" x14ac:dyDescent="0.2">
      <c r="A7314" t="s">
        <v>663</v>
      </c>
      <c r="B7314" t="s">
        <v>2493</v>
      </c>
      <c r="C7314">
        <v>1</v>
      </c>
      <c r="D7314" s="1">
        <v>44159.823298611111</v>
      </c>
      <c r="E7314" t="s">
        <v>22977</v>
      </c>
      <c r="F7314" t="s">
        <v>666</v>
      </c>
      <c r="G7314" t="s">
        <v>22977</v>
      </c>
      <c r="H7314" t="s">
        <v>667</v>
      </c>
      <c r="I7314" t="s">
        <v>29</v>
      </c>
      <c r="J7314">
        <v>1</v>
      </c>
      <c r="K7314">
        <f>1-617-555-111</f>
        <v>-1282</v>
      </c>
      <c r="L7314" t="s">
        <v>22978</v>
      </c>
      <c r="M7314" t="s">
        <v>22979</v>
      </c>
      <c r="N7314">
        <v>253</v>
      </c>
      <c r="O7314" t="s">
        <v>134</v>
      </c>
      <c r="P7314" t="s">
        <v>29</v>
      </c>
      <c r="Q7314">
        <v>41</v>
      </c>
      <c r="R7314">
        <v>-74.024699999999996</v>
      </c>
    </row>
    <row r="7315" spans="1:18" x14ac:dyDescent="0.2">
      <c r="A7315" t="s">
        <v>663</v>
      </c>
      <c r="B7315" t="s">
        <v>2493</v>
      </c>
      <c r="C7315">
        <v>1</v>
      </c>
      <c r="D7315" s="1">
        <v>44159.818206018521</v>
      </c>
      <c r="E7315" t="s">
        <v>22977</v>
      </c>
      <c r="F7315" t="s">
        <v>666</v>
      </c>
      <c r="G7315" t="s">
        <v>22977</v>
      </c>
      <c r="H7315" t="s">
        <v>667</v>
      </c>
      <c r="I7315" t="s">
        <v>29</v>
      </c>
      <c r="J7315">
        <v>1</v>
      </c>
      <c r="K7315">
        <f>1-202-555-119</f>
        <v>-875</v>
      </c>
      <c r="L7315" t="s">
        <v>22980</v>
      </c>
      <c r="M7315" t="s">
        <v>22981</v>
      </c>
      <c r="N7315">
        <v>253</v>
      </c>
      <c r="O7315" t="s">
        <v>134</v>
      </c>
      <c r="P7315" t="s">
        <v>29</v>
      </c>
      <c r="Q7315">
        <v>41</v>
      </c>
      <c r="R7315">
        <v>-74.024699999999996</v>
      </c>
    </row>
    <row r="7316" spans="1:18" x14ac:dyDescent="0.2">
      <c r="A7316" t="s">
        <v>663</v>
      </c>
      <c r="B7316" t="s">
        <v>2493</v>
      </c>
      <c r="C7316">
        <v>1</v>
      </c>
      <c r="D7316" s="1">
        <v>44159.85229166667</v>
      </c>
      <c r="E7316" t="s">
        <v>22982</v>
      </c>
      <c r="F7316" t="s">
        <v>666</v>
      </c>
      <c r="G7316" t="s">
        <v>22982</v>
      </c>
      <c r="H7316" t="s">
        <v>667</v>
      </c>
      <c r="I7316" t="s">
        <v>29</v>
      </c>
      <c r="J7316">
        <v>1</v>
      </c>
      <c r="K7316">
        <f>1-888-585-6448</f>
        <v>-7920</v>
      </c>
      <c r="L7316" t="s">
        <v>22983</v>
      </c>
      <c r="M7316" t="s">
        <v>22984</v>
      </c>
      <c r="N7316">
        <v>42</v>
      </c>
      <c r="O7316" t="s">
        <v>134</v>
      </c>
      <c r="P7316" t="s">
        <v>29</v>
      </c>
      <c r="Q7316">
        <v>41</v>
      </c>
      <c r="R7316">
        <v>-74.024699999999996</v>
      </c>
    </row>
    <row r="7317" spans="1:18" x14ac:dyDescent="0.2">
      <c r="A7317" t="s">
        <v>663</v>
      </c>
      <c r="B7317" t="s">
        <v>2493</v>
      </c>
      <c r="C7317">
        <v>1</v>
      </c>
      <c r="D7317" s="1">
        <v>44159.870115740741</v>
      </c>
      <c r="E7317" t="s">
        <v>22985</v>
      </c>
      <c r="F7317" t="s">
        <v>666</v>
      </c>
      <c r="G7317" t="s">
        <v>22985</v>
      </c>
      <c r="H7317" t="s">
        <v>667</v>
      </c>
      <c r="I7317" t="s">
        <v>29</v>
      </c>
      <c r="J7317">
        <v>1</v>
      </c>
      <c r="K7317">
        <f>1-617-555-111</f>
        <v>-1282</v>
      </c>
      <c r="L7317" t="s">
        <v>22986</v>
      </c>
      <c r="M7317" t="s">
        <v>22987</v>
      </c>
      <c r="N7317">
        <v>48</v>
      </c>
      <c r="O7317" t="s">
        <v>134</v>
      </c>
      <c r="P7317" t="s">
        <v>29</v>
      </c>
      <c r="Q7317">
        <v>41</v>
      </c>
      <c r="R7317">
        <v>-74.024699999999996</v>
      </c>
    </row>
    <row r="7318" spans="1:18" x14ac:dyDescent="0.2">
      <c r="A7318" t="s">
        <v>663</v>
      </c>
      <c r="B7318" t="s">
        <v>2493</v>
      </c>
      <c r="C7318">
        <v>1</v>
      </c>
      <c r="D7318" s="1">
        <v>44159.868645833332</v>
      </c>
      <c r="E7318" t="s">
        <v>22985</v>
      </c>
      <c r="F7318" t="s">
        <v>666</v>
      </c>
      <c r="G7318" t="s">
        <v>22985</v>
      </c>
      <c r="H7318" t="s">
        <v>667</v>
      </c>
      <c r="I7318" t="s">
        <v>29</v>
      </c>
      <c r="J7318">
        <v>1</v>
      </c>
      <c r="K7318">
        <f>1-888-621-1491</f>
        <v>-2999</v>
      </c>
      <c r="L7318" t="s">
        <v>22988</v>
      </c>
      <c r="M7318" t="s">
        <v>22989</v>
      </c>
      <c r="N7318">
        <v>48</v>
      </c>
      <c r="O7318" t="s">
        <v>134</v>
      </c>
      <c r="P7318" t="s">
        <v>29</v>
      </c>
      <c r="Q7318">
        <v>41</v>
      </c>
      <c r="R7318">
        <v>-74.024699999999996</v>
      </c>
    </row>
    <row r="7319" spans="1:18" x14ac:dyDescent="0.2">
      <c r="A7319" t="s">
        <v>663</v>
      </c>
      <c r="B7319" t="s">
        <v>2493</v>
      </c>
      <c r="C7319">
        <v>1</v>
      </c>
      <c r="D7319" s="1">
        <v>44159.882418981484</v>
      </c>
      <c r="E7319" t="s">
        <v>22990</v>
      </c>
      <c r="F7319" t="s">
        <v>666</v>
      </c>
      <c r="G7319" t="s">
        <v>22990</v>
      </c>
      <c r="H7319" t="s">
        <v>667</v>
      </c>
      <c r="I7319" t="s">
        <v>29</v>
      </c>
      <c r="J7319">
        <v>1</v>
      </c>
      <c r="K7319">
        <f>1-888-621-1491</f>
        <v>-2999</v>
      </c>
      <c r="L7319" t="s">
        <v>22991</v>
      </c>
      <c r="M7319" t="s">
        <v>22992</v>
      </c>
      <c r="N7319">
        <v>90</v>
      </c>
      <c r="O7319" t="s">
        <v>134</v>
      </c>
      <c r="P7319" t="s">
        <v>29</v>
      </c>
      <c r="Q7319">
        <v>41</v>
      </c>
      <c r="R7319">
        <v>-74.024699999999996</v>
      </c>
    </row>
    <row r="7320" spans="1:18" x14ac:dyDescent="0.2">
      <c r="A7320" t="s">
        <v>663</v>
      </c>
      <c r="B7320" t="s">
        <v>2493</v>
      </c>
      <c r="C7320">
        <v>1</v>
      </c>
      <c r="D7320" s="1">
        <v>44159.924062500002</v>
      </c>
      <c r="E7320" t="s">
        <v>22993</v>
      </c>
      <c r="F7320" t="s">
        <v>666</v>
      </c>
      <c r="G7320" t="s">
        <v>22993</v>
      </c>
      <c r="H7320" t="s">
        <v>667</v>
      </c>
      <c r="I7320" t="s">
        <v>29</v>
      </c>
      <c r="J7320">
        <v>1</v>
      </c>
      <c r="K7320">
        <f>1-888-621-1491</f>
        <v>-2999</v>
      </c>
      <c r="L7320" t="s">
        <v>22994</v>
      </c>
      <c r="M7320" t="s">
        <v>22995</v>
      </c>
      <c r="N7320">
        <v>248</v>
      </c>
      <c r="O7320" t="s">
        <v>134</v>
      </c>
      <c r="P7320" t="s">
        <v>29</v>
      </c>
      <c r="Q7320">
        <v>41</v>
      </c>
      <c r="R7320">
        <v>-74.024699999999996</v>
      </c>
    </row>
    <row r="7321" spans="1:18" x14ac:dyDescent="0.2">
      <c r="A7321" t="s">
        <v>439</v>
      </c>
      <c r="B7321" t="s">
        <v>3094</v>
      </c>
      <c r="C7321">
        <v>1</v>
      </c>
      <c r="D7321" s="1">
        <v>44160.041689814818</v>
      </c>
      <c r="E7321" t="s">
        <v>22996</v>
      </c>
      <c r="F7321" t="s">
        <v>442</v>
      </c>
      <c r="G7321" t="s">
        <v>22997</v>
      </c>
      <c r="H7321" t="s">
        <v>444</v>
      </c>
      <c r="I7321" t="s">
        <v>29</v>
      </c>
      <c r="J7321">
        <v>1</v>
      </c>
      <c r="K7321">
        <f>1-888-305-1816</f>
        <v>-3008</v>
      </c>
      <c r="L7321" t="s">
        <v>22998</v>
      </c>
      <c r="M7321" t="s">
        <v>22999</v>
      </c>
      <c r="N7321" t="s">
        <v>447</v>
      </c>
      <c r="O7321" t="s">
        <v>28</v>
      </c>
      <c r="P7321" t="s">
        <v>2268</v>
      </c>
      <c r="Q7321">
        <v>46</v>
      </c>
      <c r="R7321">
        <v>-73.567300000000003</v>
      </c>
    </row>
    <row r="7322" spans="1:18" x14ac:dyDescent="0.2">
      <c r="A7322" t="s">
        <v>675</v>
      </c>
      <c r="B7322" t="s">
        <v>1412</v>
      </c>
      <c r="C7322">
        <v>1</v>
      </c>
      <c r="D7322" s="1">
        <v>44160.04446759259</v>
      </c>
      <c r="E7322" t="s">
        <v>23000</v>
      </c>
      <c r="F7322" t="s">
        <v>678</v>
      </c>
      <c r="G7322" t="s">
        <v>23001</v>
      </c>
      <c r="H7322" t="s">
        <v>680</v>
      </c>
      <c r="I7322" t="s">
        <v>29</v>
      </c>
      <c r="J7322">
        <v>1</v>
      </c>
      <c r="K7322">
        <f>1-844-284-9696</f>
        <v>-10823</v>
      </c>
      <c r="L7322" t="s">
        <v>23002</v>
      </c>
      <c r="M7322" t="s">
        <v>23003</v>
      </c>
      <c r="N7322" t="s">
        <v>5354</v>
      </c>
      <c r="O7322" t="s">
        <v>28</v>
      </c>
      <c r="P7322" t="s">
        <v>29</v>
      </c>
      <c r="Q7322">
        <v>41</v>
      </c>
      <c r="R7322">
        <v>-74.172399999999996</v>
      </c>
    </row>
    <row r="7323" spans="1:18" x14ac:dyDescent="0.2">
      <c r="A7323" t="s">
        <v>675</v>
      </c>
      <c r="B7323" t="s">
        <v>1412</v>
      </c>
      <c r="C7323">
        <v>1</v>
      </c>
      <c r="D7323" s="1">
        <v>44160.044444444444</v>
      </c>
      <c r="E7323" t="s">
        <v>23000</v>
      </c>
      <c r="F7323" t="s">
        <v>678</v>
      </c>
      <c r="G7323" t="s">
        <v>23001</v>
      </c>
      <c r="H7323" t="s">
        <v>680</v>
      </c>
      <c r="I7323" t="s">
        <v>29</v>
      </c>
      <c r="J7323">
        <v>1</v>
      </c>
      <c r="K7323">
        <f>1-844-284-9696</f>
        <v>-10823</v>
      </c>
      <c r="L7323" t="s">
        <v>23004</v>
      </c>
      <c r="M7323" t="s">
        <v>23003</v>
      </c>
      <c r="N7323" t="s">
        <v>5354</v>
      </c>
      <c r="O7323" t="s">
        <v>28</v>
      </c>
      <c r="P7323" t="s">
        <v>29</v>
      </c>
      <c r="Q7323">
        <v>41</v>
      </c>
      <c r="R7323">
        <v>-74.172399999999996</v>
      </c>
    </row>
    <row r="7324" spans="1:18" x14ac:dyDescent="0.2">
      <c r="A7324" t="s">
        <v>675</v>
      </c>
      <c r="B7324" t="s">
        <v>1412</v>
      </c>
      <c r="C7324">
        <v>44</v>
      </c>
      <c r="D7324" s="1">
        <v>44169.494039351855</v>
      </c>
      <c r="E7324" t="s">
        <v>23005</v>
      </c>
      <c r="F7324" t="s">
        <v>678</v>
      </c>
      <c r="G7324" t="s">
        <v>23006</v>
      </c>
      <c r="H7324" t="s">
        <v>680</v>
      </c>
      <c r="I7324" t="s">
        <v>618</v>
      </c>
      <c r="J7324">
        <v>44</v>
      </c>
      <c r="K7324">
        <f>44-203-239-8882</f>
        <v>-9280</v>
      </c>
      <c r="L7324" t="s">
        <v>23007</v>
      </c>
      <c r="M7324" t="s">
        <v>23008</v>
      </c>
      <c r="N7324" t="s">
        <v>2475</v>
      </c>
      <c r="O7324" t="s">
        <v>28</v>
      </c>
      <c r="P7324" t="s">
        <v>29</v>
      </c>
      <c r="Q7324">
        <v>41</v>
      </c>
      <c r="R7324">
        <v>-74.172399999999996</v>
      </c>
    </row>
    <row r="7325" spans="1:18" x14ac:dyDescent="0.2">
      <c r="A7325" t="s">
        <v>675</v>
      </c>
      <c r="B7325" t="s">
        <v>6390</v>
      </c>
      <c r="C7325">
        <v>81</v>
      </c>
      <c r="D7325" s="1">
        <v>44160.269791666666</v>
      </c>
      <c r="E7325" t="s">
        <v>23009</v>
      </c>
      <c r="F7325" t="s">
        <v>678</v>
      </c>
      <c r="G7325" t="s">
        <v>23006</v>
      </c>
      <c r="H7325" t="s">
        <v>680</v>
      </c>
      <c r="I7325" t="s">
        <v>53</v>
      </c>
      <c r="J7325">
        <v>81</v>
      </c>
      <c r="K7325">
        <f>81-50-5532-4378</f>
        <v>-9879</v>
      </c>
      <c r="L7325" t="s">
        <v>23010</v>
      </c>
      <c r="M7325" t="s">
        <v>23011</v>
      </c>
      <c r="N7325" t="s">
        <v>2475</v>
      </c>
      <c r="O7325" t="s">
        <v>28</v>
      </c>
      <c r="P7325" t="s">
        <v>29</v>
      </c>
      <c r="Q7325">
        <v>37</v>
      </c>
      <c r="R7325">
        <v>-99.999999000000003</v>
      </c>
    </row>
    <row r="7326" spans="1:18" x14ac:dyDescent="0.2">
      <c r="A7326" t="s">
        <v>2349</v>
      </c>
      <c r="B7326" t="s">
        <v>10634</v>
      </c>
      <c r="C7326">
        <v>49</v>
      </c>
      <c r="D7326" s="1">
        <v>44160.552268518521</v>
      </c>
      <c r="E7326" t="s">
        <v>23012</v>
      </c>
      <c r="F7326" t="s">
        <v>4584</v>
      </c>
      <c r="G7326" t="s">
        <v>23012</v>
      </c>
      <c r="H7326" t="s">
        <v>2353</v>
      </c>
      <c r="I7326" t="s">
        <v>24</v>
      </c>
      <c r="J7326">
        <v>49</v>
      </c>
      <c r="K7326">
        <f>49-800-180-8218</f>
        <v>-9149</v>
      </c>
      <c r="L7326" t="s">
        <v>23013</v>
      </c>
      <c r="M7326" t="s">
        <v>23014</v>
      </c>
      <c r="N7326">
        <v>53</v>
      </c>
      <c r="O7326" t="s">
        <v>134</v>
      </c>
      <c r="P7326" t="s">
        <v>292</v>
      </c>
      <c r="Q7326">
        <v>49</v>
      </c>
      <c r="R7326">
        <v>2.3868999999999998</v>
      </c>
    </row>
    <row r="7327" spans="1:18" x14ac:dyDescent="0.2">
      <c r="A7327" t="s">
        <v>663</v>
      </c>
      <c r="B7327" t="s">
        <v>2493</v>
      </c>
      <c r="C7327">
        <v>1</v>
      </c>
      <c r="D7327" s="1">
        <v>44160.759814814817</v>
      </c>
      <c r="E7327" t="s">
        <v>23015</v>
      </c>
      <c r="F7327" t="s">
        <v>666</v>
      </c>
      <c r="G7327" t="s">
        <v>23015</v>
      </c>
      <c r="H7327" t="s">
        <v>667</v>
      </c>
      <c r="I7327" t="s">
        <v>29</v>
      </c>
      <c r="J7327">
        <v>1</v>
      </c>
      <c r="K7327">
        <f>1-888-404-1609</f>
        <v>-2900</v>
      </c>
      <c r="L7327" t="s">
        <v>23016</v>
      </c>
      <c r="M7327" t="s">
        <v>23017</v>
      </c>
      <c r="N7327">
        <v>15</v>
      </c>
      <c r="O7327" t="s">
        <v>134</v>
      </c>
      <c r="P7327" t="s">
        <v>29</v>
      </c>
      <c r="Q7327">
        <v>41</v>
      </c>
      <c r="R7327">
        <v>-74.024699999999996</v>
      </c>
    </row>
    <row r="7328" spans="1:18" x14ac:dyDescent="0.2">
      <c r="A7328" t="s">
        <v>663</v>
      </c>
      <c r="B7328" t="s">
        <v>2493</v>
      </c>
      <c r="C7328">
        <v>1</v>
      </c>
      <c r="D7328" s="1">
        <v>44160.77275462963</v>
      </c>
      <c r="E7328" t="s">
        <v>23018</v>
      </c>
      <c r="F7328" t="s">
        <v>666</v>
      </c>
      <c r="G7328" t="s">
        <v>23018</v>
      </c>
      <c r="H7328" t="s">
        <v>667</v>
      </c>
      <c r="I7328" t="s">
        <v>29</v>
      </c>
      <c r="J7328">
        <v>1</v>
      </c>
      <c r="K7328">
        <f>1-888-394-1287</f>
        <v>-2568</v>
      </c>
      <c r="L7328" t="s">
        <v>23019</v>
      </c>
      <c r="M7328" t="s">
        <v>23020</v>
      </c>
      <c r="N7328">
        <v>43</v>
      </c>
      <c r="O7328" t="s">
        <v>134</v>
      </c>
      <c r="P7328" t="s">
        <v>29</v>
      </c>
      <c r="Q7328">
        <v>41</v>
      </c>
      <c r="R7328">
        <v>-74.024699999999996</v>
      </c>
    </row>
    <row r="7329" spans="1:18" x14ac:dyDescent="0.2">
      <c r="A7329" t="s">
        <v>663</v>
      </c>
      <c r="B7329" t="s">
        <v>2493</v>
      </c>
      <c r="C7329">
        <v>1</v>
      </c>
      <c r="D7329" s="1">
        <v>44160.768599537034</v>
      </c>
      <c r="E7329" t="s">
        <v>23018</v>
      </c>
      <c r="F7329" t="s">
        <v>666</v>
      </c>
      <c r="G7329" t="s">
        <v>23018</v>
      </c>
      <c r="H7329" t="s">
        <v>667</v>
      </c>
      <c r="I7329" t="s">
        <v>29</v>
      </c>
      <c r="J7329">
        <v>1</v>
      </c>
      <c r="K7329">
        <f>1-888-634-7859</f>
        <v>-9380</v>
      </c>
      <c r="L7329" t="s">
        <v>23021</v>
      </c>
      <c r="M7329" t="s">
        <v>23022</v>
      </c>
      <c r="N7329">
        <v>43</v>
      </c>
      <c r="O7329" t="s">
        <v>134</v>
      </c>
      <c r="P7329" t="s">
        <v>29</v>
      </c>
      <c r="Q7329">
        <v>41</v>
      </c>
      <c r="R7329">
        <v>-74.024699999999996</v>
      </c>
    </row>
    <row r="7330" spans="1:18" x14ac:dyDescent="0.2">
      <c r="A7330" t="s">
        <v>663</v>
      </c>
      <c r="B7330" t="s">
        <v>2493</v>
      </c>
      <c r="C7330">
        <v>1</v>
      </c>
      <c r="D7330" s="1">
        <v>44160.786377314813</v>
      </c>
      <c r="E7330" t="s">
        <v>23023</v>
      </c>
      <c r="F7330" t="s">
        <v>666</v>
      </c>
      <c r="G7330" t="s">
        <v>23023</v>
      </c>
      <c r="H7330" t="s">
        <v>667</v>
      </c>
      <c r="I7330" t="s">
        <v>29</v>
      </c>
      <c r="J7330">
        <v>1</v>
      </c>
      <c r="K7330">
        <f>1-888-526-6152</f>
        <v>-7565</v>
      </c>
      <c r="L7330" t="s">
        <v>23024</v>
      </c>
      <c r="M7330" t="s">
        <v>23025</v>
      </c>
      <c r="N7330">
        <v>86</v>
      </c>
      <c r="O7330" t="s">
        <v>134</v>
      </c>
      <c r="P7330" t="s">
        <v>29</v>
      </c>
      <c r="Q7330">
        <v>41</v>
      </c>
      <c r="R7330">
        <v>-74.024699999999996</v>
      </c>
    </row>
    <row r="7331" spans="1:18" x14ac:dyDescent="0.2">
      <c r="A7331" t="s">
        <v>663</v>
      </c>
      <c r="B7331" t="s">
        <v>2493</v>
      </c>
      <c r="C7331">
        <v>1</v>
      </c>
      <c r="D7331" s="1">
        <v>44160.792118055557</v>
      </c>
      <c r="E7331" t="s">
        <v>23026</v>
      </c>
      <c r="F7331" t="s">
        <v>666</v>
      </c>
      <c r="G7331" t="s">
        <v>23026</v>
      </c>
      <c r="H7331" t="s">
        <v>667</v>
      </c>
      <c r="I7331" t="s">
        <v>29</v>
      </c>
      <c r="J7331">
        <v>1</v>
      </c>
      <c r="K7331">
        <f>1-888-394-1287</f>
        <v>-2568</v>
      </c>
      <c r="L7331" t="s">
        <v>23027</v>
      </c>
      <c r="M7331" t="s">
        <v>23028</v>
      </c>
      <c r="N7331">
        <v>17</v>
      </c>
      <c r="O7331" t="s">
        <v>134</v>
      </c>
      <c r="P7331" t="s">
        <v>29</v>
      </c>
      <c r="Q7331">
        <v>41</v>
      </c>
      <c r="R7331">
        <v>-74.024699999999996</v>
      </c>
    </row>
    <row r="7332" spans="1:18" x14ac:dyDescent="0.2">
      <c r="A7332" t="s">
        <v>663</v>
      </c>
      <c r="B7332" t="s">
        <v>2493</v>
      </c>
      <c r="C7332">
        <v>1</v>
      </c>
      <c r="D7332" s="1">
        <v>44160.822442129633</v>
      </c>
      <c r="E7332" t="s">
        <v>23029</v>
      </c>
      <c r="F7332" t="s">
        <v>666</v>
      </c>
      <c r="G7332" t="s">
        <v>23029</v>
      </c>
      <c r="H7332" t="s">
        <v>667</v>
      </c>
      <c r="I7332" t="s">
        <v>29</v>
      </c>
      <c r="J7332">
        <v>1</v>
      </c>
      <c r="K7332">
        <f>1-888-291-184</f>
        <v>-1362</v>
      </c>
      <c r="L7332" t="s">
        <v>23030</v>
      </c>
      <c r="M7332" t="s">
        <v>23031</v>
      </c>
      <c r="N7332">
        <v>240</v>
      </c>
      <c r="O7332" t="s">
        <v>134</v>
      </c>
      <c r="P7332" t="s">
        <v>29</v>
      </c>
      <c r="Q7332">
        <v>41</v>
      </c>
      <c r="R7332">
        <v>-74.024699999999996</v>
      </c>
    </row>
    <row r="7333" spans="1:18" x14ac:dyDescent="0.2">
      <c r="A7333" t="s">
        <v>663</v>
      </c>
      <c r="B7333" t="s">
        <v>2493</v>
      </c>
      <c r="C7333">
        <v>1</v>
      </c>
      <c r="D7333" s="1">
        <v>44160.821122685185</v>
      </c>
      <c r="E7333" t="s">
        <v>23029</v>
      </c>
      <c r="F7333" t="s">
        <v>666</v>
      </c>
      <c r="G7333" t="s">
        <v>23029</v>
      </c>
      <c r="H7333" t="s">
        <v>667</v>
      </c>
      <c r="I7333" t="s">
        <v>29</v>
      </c>
      <c r="J7333">
        <v>1</v>
      </c>
      <c r="K7333">
        <f>1-888-394-1287</f>
        <v>-2568</v>
      </c>
      <c r="L7333" t="s">
        <v>23032</v>
      </c>
      <c r="M7333" t="s">
        <v>23033</v>
      </c>
      <c r="N7333">
        <v>240</v>
      </c>
      <c r="O7333" t="s">
        <v>134</v>
      </c>
      <c r="P7333" t="s">
        <v>29</v>
      </c>
      <c r="Q7333">
        <v>41</v>
      </c>
      <c r="R7333">
        <v>-74.024699999999996</v>
      </c>
    </row>
    <row r="7334" spans="1:18" x14ac:dyDescent="0.2">
      <c r="A7334" t="s">
        <v>663</v>
      </c>
      <c r="B7334" t="s">
        <v>2493</v>
      </c>
      <c r="C7334">
        <v>1</v>
      </c>
      <c r="D7334" s="1">
        <v>44160.843148148146</v>
      </c>
      <c r="E7334" t="s">
        <v>23034</v>
      </c>
      <c r="F7334" t="s">
        <v>666</v>
      </c>
      <c r="G7334" t="s">
        <v>23034</v>
      </c>
      <c r="H7334" t="s">
        <v>667</v>
      </c>
      <c r="I7334" t="s">
        <v>29</v>
      </c>
      <c r="J7334">
        <v>1</v>
      </c>
      <c r="K7334">
        <f>1-888-598-1544</f>
        <v>-3029</v>
      </c>
      <c r="L7334" t="s">
        <v>23035</v>
      </c>
      <c r="M7334" t="s">
        <v>23036</v>
      </c>
      <c r="N7334">
        <v>200</v>
      </c>
      <c r="O7334" t="s">
        <v>134</v>
      </c>
      <c r="P7334" t="s">
        <v>29</v>
      </c>
      <c r="Q7334">
        <v>41</v>
      </c>
      <c r="R7334">
        <v>-74.024699999999996</v>
      </c>
    </row>
    <row r="7335" spans="1:18" x14ac:dyDescent="0.2">
      <c r="A7335" t="s">
        <v>2233</v>
      </c>
      <c r="B7335" t="s">
        <v>2500</v>
      </c>
      <c r="C7335">
        <v>1</v>
      </c>
      <c r="D7335" s="1">
        <v>44160.872881944444</v>
      </c>
      <c r="E7335" t="s">
        <v>23037</v>
      </c>
      <c r="F7335" t="s">
        <v>2236</v>
      </c>
      <c r="G7335" t="s">
        <v>23038</v>
      </c>
      <c r="H7335" t="s">
        <v>2237</v>
      </c>
      <c r="I7335" t="s">
        <v>29</v>
      </c>
      <c r="J7335">
        <v>1</v>
      </c>
      <c r="K7335">
        <f>1-844-468-3477</f>
        <v>-4788</v>
      </c>
      <c r="L7335" t="s">
        <v>23039</v>
      </c>
      <c r="M7335" t="s">
        <v>23040</v>
      </c>
      <c r="N7335" t="s">
        <v>5354</v>
      </c>
      <c r="O7335" t="s">
        <v>28</v>
      </c>
      <c r="P7335" t="s">
        <v>2500</v>
      </c>
      <c r="Q7335">
        <v>1</v>
      </c>
      <c r="R7335">
        <v>99.999999000000003</v>
      </c>
    </row>
    <row r="7336" spans="1:18" x14ac:dyDescent="0.2">
      <c r="A7336" t="s">
        <v>663</v>
      </c>
      <c r="B7336" t="s">
        <v>2493</v>
      </c>
      <c r="C7336">
        <v>1</v>
      </c>
      <c r="D7336" s="1">
        <v>44160.901238425926</v>
      </c>
      <c r="E7336" t="s">
        <v>23041</v>
      </c>
      <c r="F7336" t="s">
        <v>666</v>
      </c>
      <c r="G7336" t="s">
        <v>23041</v>
      </c>
      <c r="H7336" t="s">
        <v>667</v>
      </c>
      <c r="I7336" t="s">
        <v>29</v>
      </c>
      <c r="J7336">
        <v>1</v>
      </c>
      <c r="K7336">
        <f>1-888-619-7599</f>
        <v>-9105</v>
      </c>
      <c r="L7336" t="s">
        <v>23042</v>
      </c>
      <c r="M7336" t="s">
        <v>23043</v>
      </c>
      <c r="N7336">
        <v>246</v>
      </c>
      <c r="O7336" t="s">
        <v>134</v>
      </c>
      <c r="P7336" t="s">
        <v>29</v>
      </c>
      <c r="Q7336">
        <v>41</v>
      </c>
      <c r="R7336">
        <v>-74.024699999999996</v>
      </c>
    </row>
    <row r="7337" spans="1:18" x14ac:dyDescent="0.2">
      <c r="A7337" t="s">
        <v>663</v>
      </c>
      <c r="B7337" t="s">
        <v>2493</v>
      </c>
      <c r="C7337">
        <v>1</v>
      </c>
      <c r="D7337" s="1">
        <v>44160.900462962964</v>
      </c>
      <c r="E7337" t="s">
        <v>23041</v>
      </c>
      <c r="F7337" t="s">
        <v>666</v>
      </c>
      <c r="G7337" t="s">
        <v>23041</v>
      </c>
      <c r="H7337" t="s">
        <v>667</v>
      </c>
      <c r="I7337" t="s">
        <v>29</v>
      </c>
      <c r="J7337">
        <v>1</v>
      </c>
      <c r="K7337">
        <f>1-888-394-1287</f>
        <v>-2568</v>
      </c>
      <c r="L7337" t="s">
        <v>23044</v>
      </c>
      <c r="M7337" t="s">
        <v>23045</v>
      </c>
      <c r="N7337">
        <v>246</v>
      </c>
      <c r="O7337" t="s">
        <v>134</v>
      </c>
      <c r="P7337" t="s">
        <v>29</v>
      </c>
      <c r="Q7337">
        <v>41</v>
      </c>
      <c r="R7337">
        <v>-74.024699999999996</v>
      </c>
    </row>
    <row r="7338" spans="1:18" x14ac:dyDescent="0.2">
      <c r="A7338" t="s">
        <v>2233</v>
      </c>
      <c r="B7338" t="s">
        <v>2500</v>
      </c>
      <c r="C7338">
        <v>1</v>
      </c>
      <c r="D7338" s="1">
        <v>44160.910428240742</v>
      </c>
      <c r="E7338" t="s">
        <v>23046</v>
      </c>
      <c r="F7338" t="s">
        <v>2236</v>
      </c>
      <c r="G7338" t="s">
        <v>23047</v>
      </c>
      <c r="H7338" t="s">
        <v>2237</v>
      </c>
      <c r="I7338" t="s">
        <v>29</v>
      </c>
      <c r="J7338">
        <v>1</v>
      </c>
      <c r="K7338">
        <f>1-833-366-7095</f>
        <v>-8293</v>
      </c>
      <c r="L7338" t="s">
        <v>23048</v>
      </c>
      <c r="M7338" t="s">
        <v>23049</v>
      </c>
      <c r="N7338" t="s">
        <v>5354</v>
      </c>
      <c r="O7338" t="s">
        <v>28</v>
      </c>
      <c r="P7338" t="s">
        <v>2500</v>
      </c>
      <c r="Q7338">
        <v>1</v>
      </c>
      <c r="R7338">
        <v>99.999999000000003</v>
      </c>
    </row>
    <row r="7339" spans="1:18" x14ac:dyDescent="0.2">
      <c r="A7339" t="s">
        <v>663</v>
      </c>
      <c r="B7339" t="s">
        <v>2493</v>
      </c>
      <c r="C7339">
        <v>1</v>
      </c>
      <c r="D7339" s="1">
        <v>44160.980543981481</v>
      </c>
      <c r="E7339" t="s">
        <v>23050</v>
      </c>
      <c r="F7339" t="s">
        <v>666</v>
      </c>
      <c r="G7339" t="s">
        <v>23050</v>
      </c>
      <c r="H7339" t="s">
        <v>667</v>
      </c>
      <c r="I7339" t="s">
        <v>29</v>
      </c>
      <c r="J7339">
        <v>1</v>
      </c>
      <c r="K7339">
        <f>1-888-585-7503</f>
        <v>-8975</v>
      </c>
      <c r="L7339" t="s">
        <v>23051</v>
      </c>
      <c r="M7339" t="s">
        <v>23052</v>
      </c>
      <c r="N7339">
        <v>235</v>
      </c>
      <c r="O7339" t="s">
        <v>134</v>
      </c>
      <c r="P7339" t="s">
        <v>29</v>
      </c>
      <c r="Q7339">
        <v>41</v>
      </c>
      <c r="R7339">
        <v>-74.024699999999996</v>
      </c>
    </row>
    <row r="7340" spans="1:18" x14ac:dyDescent="0.2">
      <c r="A7340" t="s">
        <v>663</v>
      </c>
      <c r="B7340" t="s">
        <v>2493</v>
      </c>
      <c r="C7340">
        <v>1</v>
      </c>
      <c r="D7340" s="1">
        <v>44161.024525462963</v>
      </c>
      <c r="E7340" t="s">
        <v>23053</v>
      </c>
      <c r="F7340" t="s">
        <v>666</v>
      </c>
      <c r="G7340" t="s">
        <v>23053</v>
      </c>
      <c r="H7340" t="s">
        <v>667</v>
      </c>
      <c r="I7340" t="s">
        <v>29</v>
      </c>
      <c r="J7340">
        <v>1</v>
      </c>
      <c r="K7340">
        <f>1-888-291-217</f>
        <v>-1395</v>
      </c>
      <c r="L7340" t="s">
        <v>23054</v>
      </c>
      <c r="M7340" t="s">
        <v>23055</v>
      </c>
      <c r="N7340">
        <v>149</v>
      </c>
      <c r="O7340" t="s">
        <v>134</v>
      </c>
      <c r="P7340" t="s">
        <v>29</v>
      </c>
      <c r="Q7340">
        <v>41</v>
      </c>
      <c r="R7340">
        <v>-74.024699999999996</v>
      </c>
    </row>
    <row r="7341" spans="1:18" x14ac:dyDescent="0.2">
      <c r="A7341" t="s">
        <v>663</v>
      </c>
      <c r="B7341" t="s">
        <v>2493</v>
      </c>
      <c r="C7341">
        <v>61</v>
      </c>
      <c r="D7341" s="1">
        <v>44161.032037037039</v>
      </c>
      <c r="E7341" t="s">
        <v>23056</v>
      </c>
      <c r="F7341" t="s">
        <v>666</v>
      </c>
      <c r="G7341" t="s">
        <v>23056</v>
      </c>
      <c r="H7341" t="s">
        <v>667</v>
      </c>
      <c r="I7341" t="s">
        <v>782</v>
      </c>
      <c r="J7341">
        <v>61</v>
      </c>
      <c r="K7341">
        <f>61-1800-572-274</f>
        <v>-2585</v>
      </c>
      <c r="L7341" t="s">
        <v>23057</v>
      </c>
      <c r="M7341" t="s">
        <v>23058</v>
      </c>
      <c r="N7341">
        <v>36</v>
      </c>
      <c r="O7341" t="s">
        <v>134</v>
      </c>
      <c r="P7341" t="s">
        <v>29</v>
      </c>
      <c r="Q7341">
        <v>41</v>
      </c>
      <c r="R7341">
        <v>-74.024699999999996</v>
      </c>
    </row>
    <row r="7342" spans="1:18" x14ac:dyDescent="0.2">
      <c r="A7342" t="s">
        <v>675</v>
      </c>
      <c r="B7342" t="s">
        <v>1412</v>
      </c>
      <c r="C7342">
        <v>81</v>
      </c>
      <c r="D7342" s="1">
        <v>44170.211886574078</v>
      </c>
      <c r="E7342" t="s">
        <v>23059</v>
      </c>
      <c r="F7342" t="s">
        <v>678</v>
      </c>
      <c r="G7342" t="s">
        <v>23060</v>
      </c>
      <c r="H7342" t="s">
        <v>680</v>
      </c>
      <c r="I7342" t="s">
        <v>53</v>
      </c>
      <c r="J7342">
        <v>81</v>
      </c>
      <c r="K7342">
        <f>81-50-5539-7732</f>
        <v>-13240</v>
      </c>
      <c r="L7342" t="s">
        <v>23061</v>
      </c>
      <c r="M7342" t="s">
        <v>23062</v>
      </c>
      <c r="N7342" t="s">
        <v>2475</v>
      </c>
      <c r="O7342" t="s">
        <v>28</v>
      </c>
      <c r="P7342" t="s">
        <v>29</v>
      </c>
      <c r="Q7342">
        <v>41</v>
      </c>
      <c r="R7342">
        <v>-74.172399999999996</v>
      </c>
    </row>
    <row r="7343" spans="1:18" x14ac:dyDescent="0.2">
      <c r="A7343" t="s">
        <v>675</v>
      </c>
      <c r="B7343" t="s">
        <v>1412</v>
      </c>
      <c r="C7343">
        <v>81</v>
      </c>
      <c r="D7343" s="1">
        <v>44161.05877314815</v>
      </c>
      <c r="E7343" t="s">
        <v>23063</v>
      </c>
      <c r="F7343" t="s">
        <v>678</v>
      </c>
      <c r="G7343" t="s">
        <v>23060</v>
      </c>
      <c r="H7343" t="s">
        <v>680</v>
      </c>
      <c r="I7343" t="s">
        <v>53</v>
      </c>
      <c r="J7343">
        <v>81</v>
      </c>
      <c r="K7343">
        <f>81-50-5806-4943</f>
        <v>-10718</v>
      </c>
      <c r="L7343" t="s">
        <v>23064</v>
      </c>
      <c r="M7343" t="s">
        <v>23065</v>
      </c>
      <c r="N7343" t="s">
        <v>2475</v>
      </c>
      <c r="O7343" t="s">
        <v>28</v>
      </c>
      <c r="P7343" t="s">
        <v>29</v>
      </c>
      <c r="Q7343">
        <v>41</v>
      </c>
      <c r="R7343">
        <v>-74.172399999999996</v>
      </c>
    </row>
    <row r="7344" spans="1:18" x14ac:dyDescent="0.2">
      <c r="A7344" t="s">
        <v>663</v>
      </c>
      <c r="B7344" t="s">
        <v>2493</v>
      </c>
      <c r="C7344">
        <v>61</v>
      </c>
      <c r="D7344" s="1">
        <v>44161.285624999997</v>
      </c>
      <c r="E7344" t="s">
        <v>23066</v>
      </c>
      <c r="F7344" t="s">
        <v>666</v>
      </c>
      <c r="G7344" t="s">
        <v>23066</v>
      </c>
      <c r="H7344" t="s">
        <v>667</v>
      </c>
      <c r="I7344" t="s">
        <v>782</v>
      </c>
      <c r="J7344">
        <v>61</v>
      </c>
      <c r="K7344">
        <f>61-1800-572-274</f>
        <v>-2585</v>
      </c>
      <c r="L7344" t="s">
        <v>23067</v>
      </c>
      <c r="M7344" t="s">
        <v>23068</v>
      </c>
      <c r="N7344">
        <v>79</v>
      </c>
      <c r="O7344" t="s">
        <v>134</v>
      </c>
      <c r="P7344" t="s">
        <v>29</v>
      </c>
      <c r="Q7344">
        <v>41</v>
      </c>
      <c r="R7344">
        <v>-74.024699999999996</v>
      </c>
    </row>
    <row r="7345" spans="1:18" x14ac:dyDescent="0.2">
      <c r="A7345" t="s">
        <v>2349</v>
      </c>
      <c r="B7345" t="s">
        <v>10634</v>
      </c>
      <c r="C7345">
        <v>49</v>
      </c>
      <c r="D7345" s="1">
        <v>44161.582175925927</v>
      </c>
      <c r="E7345" t="s">
        <v>23069</v>
      </c>
      <c r="F7345" t="s">
        <v>4584</v>
      </c>
      <c r="G7345" t="s">
        <v>23069</v>
      </c>
      <c r="H7345" t="s">
        <v>2353</v>
      </c>
      <c r="I7345" t="s">
        <v>24</v>
      </c>
      <c r="J7345">
        <v>49</v>
      </c>
      <c r="K7345">
        <f>49-800-180-8218</f>
        <v>-9149</v>
      </c>
      <c r="L7345" t="s">
        <v>23070</v>
      </c>
      <c r="M7345" t="s">
        <v>23071</v>
      </c>
      <c r="N7345">
        <v>68</v>
      </c>
      <c r="O7345" t="s">
        <v>134</v>
      </c>
      <c r="P7345" t="s">
        <v>292</v>
      </c>
      <c r="Q7345">
        <v>49</v>
      </c>
      <c r="R7345">
        <v>2.3868999999999998</v>
      </c>
    </row>
    <row r="7346" spans="1:18" x14ac:dyDescent="0.2">
      <c r="A7346" t="s">
        <v>663</v>
      </c>
      <c r="B7346" t="s">
        <v>2493</v>
      </c>
      <c r="C7346">
        <v>1</v>
      </c>
      <c r="D7346" s="1">
        <v>44161.724722222221</v>
      </c>
      <c r="E7346" t="s">
        <v>23072</v>
      </c>
      <c r="F7346" t="s">
        <v>666</v>
      </c>
      <c r="G7346" t="s">
        <v>23072</v>
      </c>
      <c r="H7346" t="s">
        <v>667</v>
      </c>
      <c r="I7346" t="s">
        <v>29</v>
      </c>
      <c r="J7346">
        <v>1</v>
      </c>
      <c r="K7346">
        <f>1-888-593-9012</f>
        <v>-10492</v>
      </c>
      <c r="L7346" t="s">
        <v>23073</v>
      </c>
      <c r="M7346" t="s">
        <v>23074</v>
      </c>
      <c r="N7346">
        <v>138</v>
      </c>
      <c r="O7346" t="s">
        <v>134</v>
      </c>
      <c r="P7346" t="s">
        <v>29</v>
      </c>
      <c r="Q7346">
        <v>41</v>
      </c>
      <c r="R7346">
        <v>-74.024699999999996</v>
      </c>
    </row>
    <row r="7347" spans="1:18" x14ac:dyDescent="0.2">
      <c r="A7347" t="s">
        <v>675</v>
      </c>
      <c r="B7347" t="s">
        <v>1412</v>
      </c>
      <c r="C7347">
        <v>81</v>
      </c>
      <c r="D7347" s="1">
        <v>44162.463437500002</v>
      </c>
      <c r="E7347" t="s">
        <v>23075</v>
      </c>
      <c r="F7347" t="s">
        <v>678</v>
      </c>
      <c r="G7347" t="s">
        <v>23076</v>
      </c>
      <c r="H7347" t="s">
        <v>680</v>
      </c>
      <c r="I7347" t="s">
        <v>53</v>
      </c>
      <c r="J7347">
        <v>81</v>
      </c>
      <c r="K7347">
        <f>81-50-5809-8033</f>
        <v>-13811</v>
      </c>
      <c r="L7347" t="s">
        <v>23077</v>
      </c>
      <c r="M7347" t="s">
        <v>23078</v>
      </c>
      <c r="N7347" t="s">
        <v>2475</v>
      </c>
      <c r="O7347" t="s">
        <v>28</v>
      </c>
      <c r="P7347" t="s">
        <v>29</v>
      </c>
      <c r="Q7347">
        <v>41</v>
      </c>
      <c r="R7347">
        <v>-74.172399999999996</v>
      </c>
    </row>
    <row r="7348" spans="1:18" x14ac:dyDescent="0.2">
      <c r="A7348" t="s">
        <v>675</v>
      </c>
      <c r="B7348" t="s">
        <v>1412</v>
      </c>
      <c r="C7348">
        <v>81</v>
      </c>
      <c r="D7348" s="1">
        <v>44161.751597222225</v>
      </c>
      <c r="E7348" t="s">
        <v>23079</v>
      </c>
      <c r="F7348" t="s">
        <v>678</v>
      </c>
      <c r="G7348" t="s">
        <v>23076</v>
      </c>
      <c r="H7348" t="s">
        <v>680</v>
      </c>
      <c r="I7348" t="s">
        <v>53</v>
      </c>
      <c r="J7348">
        <v>81</v>
      </c>
      <c r="K7348">
        <f>81-50-5539-3417</f>
        <v>-8925</v>
      </c>
      <c r="L7348" t="s">
        <v>23080</v>
      </c>
      <c r="M7348" t="s">
        <v>23081</v>
      </c>
      <c r="N7348" t="s">
        <v>2475</v>
      </c>
      <c r="O7348" t="s">
        <v>28</v>
      </c>
      <c r="P7348" t="s">
        <v>29</v>
      </c>
      <c r="Q7348">
        <v>41</v>
      </c>
      <c r="R7348">
        <v>-74.172399999999996</v>
      </c>
    </row>
    <row r="7349" spans="1:18" x14ac:dyDescent="0.2">
      <c r="A7349" t="s">
        <v>675</v>
      </c>
      <c r="B7349" t="s">
        <v>6390</v>
      </c>
      <c r="C7349">
        <v>81</v>
      </c>
      <c r="D7349" s="1">
        <v>44161.752615740741</v>
      </c>
      <c r="E7349" t="s">
        <v>23082</v>
      </c>
      <c r="F7349" t="s">
        <v>678</v>
      </c>
      <c r="G7349" t="s">
        <v>23083</v>
      </c>
      <c r="H7349" t="s">
        <v>680</v>
      </c>
      <c r="I7349" t="s">
        <v>53</v>
      </c>
      <c r="J7349">
        <v>81</v>
      </c>
      <c r="K7349">
        <f>81-50-5534-5393</f>
        <v>-10896</v>
      </c>
      <c r="L7349" t="s">
        <v>23084</v>
      </c>
      <c r="M7349" t="s">
        <v>23085</v>
      </c>
      <c r="N7349" t="s">
        <v>2475</v>
      </c>
      <c r="O7349" t="s">
        <v>28</v>
      </c>
      <c r="P7349" t="s">
        <v>29</v>
      </c>
      <c r="Q7349">
        <v>37</v>
      </c>
      <c r="R7349">
        <v>-99.999999000000003</v>
      </c>
    </row>
    <row r="7350" spans="1:18" x14ac:dyDescent="0.2">
      <c r="A7350" t="s">
        <v>663</v>
      </c>
      <c r="B7350" t="s">
        <v>2493</v>
      </c>
      <c r="C7350">
        <v>1</v>
      </c>
      <c r="D7350" s="1">
        <v>44161.764444444445</v>
      </c>
      <c r="E7350" t="s">
        <v>23086</v>
      </c>
      <c r="F7350" t="s">
        <v>666</v>
      </c>
      <c r="G7350" t="s">
        <v>23086</v>
      </c>
      <c r="H7350" t="s">
        <v>667</v>
      </c>
      <c r="I7350" t="s">
        <v>29</v>
      </c>
      <c r="J7350">
        <v>1</v>
      </c>
      <c r="K7350">
        <f>1-888-635-4501</f>
        <v>-6023</v>
      </c>
      <c r="L7350" t="s">
        <v>23087</v>
      </c>
      <c r="M7350" t="s">
        <v>23088</v>
      </c>
      <c r="N7350">
        <v>14</v>
      </c>
      <c r="O7350" t="s">
        <v>134</v>
      </c>
      <c r="P7350" t="s">
        <v>29</v>
      </c>
      <c r="Q7350">
        <v>41</v>
      </c>
      <c r="R7350">
        <v>-74.024699999999996</v>
      </c>
    </row>
    <row r="7351" spans="1:18" x14ac:dyDescent="0.2">
      <c r="A7351" t="s">
        <v>663</v>
      </c>
      <c r="B7351" t="s">
        <v>2493</v>
      </c>
      <c r="C7351">
        <v>1</v>
      </c>
      <c r="D7351" s="1">
        <v>44161.76363425926</v>
      </c>
      <c r="E7351" t="s">
        <v>23086</v>
      </c>
      <c r="F7351" t="s">
        <v>666</v>
      </c>
      <c r="G7351" t="s">
        <v>23086</v>
      </c>
      <c r="H7351" t="s">
        <v>667</v>
      </c>
      <c r="I7351" t="s">
        <v>29</v>
      </c>
      <c r="J7351">
        <v>1</v>
      </c>
      <c r="K7351">
        <f>1-888-632-364</f>
        <v>-1883</v>
      </c>
      <c r="L7351" t="s">
        <v>23089</v>
      </c>
      <c r="M7351" t="s">
        <v>23090</v>
      </c>
      <c r="N7351">
        <v>14</v>
      </c>
      <c r="O7351" t="s">
        <v>134</v>
      </c>
      <c r="P7351" t="s">
        <v>29</v>
      </c>
      <c r="Q7351">
        <v>41</v>
      </c>
      <c r="R7351">
        <v>-74.024699999999996</v>
      </c>
    </row>
    <row r="7352" spans="1:18" x14ac:dyDescent="0.2">
      <c r="A7352" t="s">
        <v>663</v>
      </c>
      <c r="B7352" t="s">
        <v>2493</v>
      </c>
      <c r="C7352">
        <v>1</v>
      </c>
      <c r="D7352" s="1">
        <v>44161.777604166666</v>
      </c>
      <c r="E7352" t="s">
        <v>23091</v>
      </c>
      <c r="F7352" t="s">
        <v>2495</v>
      </c>
      <c r="G7352" t="s">
        <v>23091</v>
      </c>
      <c r="H7352" t="s">
        <v>667</v>
      </c>
      <c r="I7352" t="s">
        <v>29</v>
      </c>
      <c r="J7352">
        <v>1</v>
      </c>
      <c r="K7352">
        <f>1-888-705-864</f>
        <v>-2456</v>
      </c>
      <c r="L7352" t="s">
        <v>23092</v>
      </c>
      <c r="M7352" t="s">
        <v>23093</v>
      </c>
      <c r="N7352">
        <v>249</v>
      </c>
      <c r="O7352" t="s">
        <v>134</v>
      </c>
      <c r="P7352" t="s">
        <v>29</v>
      </c>
      <c r="Q7352">
        <v>41</v>
      </c>
      <c r="R7352">
        <v>-74.024699999999996</v>
      </c>
    </row>
    <row r="7353" spans="1:18" x14ac:dyDescent="0.2">
      <c r="A7353" t="s">
        <v>663</v>
      </c>
      <c r="B7353" t="s">
        <v>2493</v>
      </c>
      <c r="C7353">
        <v>1</v>
      </c>
      <c r="D7353" s="1">
        <v>44161.803194444445</v>
      </c>
      <c r="E7353" t="s">
        <v>23094</v>
      </c>
      <c r="F7353" t="s">
        <v>666</v>
      </c>
      <c r="G7353" t="s">
        <v>23094</v>
      </c>
      <c r="H7353" t="s">
        <v>667</v>
      </c>
      <c r="I7353" t="s">
        <v>29</v>
      </c>
      <c r="J7353">
        <v>1</v>
      </c>
      <c r="K7353">
        <f>1-888-525-739</f>
        <v>-2151</v>
      </c>
      <c r="L7353" t="s">
        <v>23095</v>
      </c>
      <c r="M7353" t="s">
        <v>23096</v>
      </c>
      <c r="N7353">
        <v>53</v>
      </c>
      <c r="O7353" t="s">
        <v>134</v>
      </c>
      <c r="P7353" t="s">
        <v>29</v>
      </c>
      <c r="Q7353">
        <v>41</v>
      </c>
      <c r="R7353">
        <v>-74.024699999999996</v>
      </c>
    </row>
    <row r="7354" spans="1:18" x14ac:dyDescent="0.2">
      <c r="A7354" t="s">
        <v>663</v>
      </c>
      <c r="B7354" t="s">
        <v>2493</v>
      </c>
      <c r="C7354">
        <v>1</v>
      </c>
      <c r="D7354" s="1">
        <v>44161.800451388888</v>
      </c>
      <c r="E7354" t="s">
        <v>23094</v>
      </c>
      <c r="F7354" t="s">
        <v>666</v>
      </c>
      <c r="G7354" t="s">
        <v>23094</v>
      </c>
      <c r="H7354" t="s">
        <v>667</v>
      </c>
      <c r="I7354" t="s">
        <v>29</v>
      </c>
      <c r="J7354">
        <v>1</v>
      </c>
      <c r="K7354">
        <f>1-888-417-4024</f>
        <v>-5328</v>
      </c>
      <c r="L7354" t="s">
        <v>23097</v>
      </c>
      <c r="M7354" t="s">
        <v>23098</v>
      </c>
      <c r="N7354">
        <v>53</v>
      </c>
      <c r="O7354" t="s">
        <v>134</v>
      </c>
      <c r="P7354" t="s">
        <v>29</v>
      </c>
      <c r="Q7354">
        <v>41</v>
      </c>
      <c r="R7354">
        <v>-74.024699999999996</v>
      </c>
    </row>
    <row r="7355" spans="1:18" x14ac:dyDescent="0.2">
      <c r="A7355" t="s">
        <v>663</v>
      </c>
      <c r="B7355" t="s">
        <v>2493</v>
      </c>
      <c r="C7355">
        <v>1</v>
      </c>
      <c r="D7355" s="1">
        <v>44161.797280092593</v>
      </c>
      <c r="E7355" t="s">
        <v>23094</v>
      </c>
      <c r="F7355" t="s">
        <v>666</v>
      </c>
      <c r="G7355" t="s">
        <v>23094</v>
      </c>
      <c r="H7355" t="s">
        <v>667</v>
      </c>
      <c r="I7355" t="s">
        <v>29</v>
      </c>
      <c r="J7355">
        <v>1</v>
      </c>
      <c r="K7355">
        <f>1-888-655-2349</f>
        <v>-3891</v>
      </c>
      <c r="L7355" t="s">
        <v>23099</v>
      </c>
      <c r="M7355" t="s">
        <v>23100</v>
      </c>
      <c r="N7355">
        <v>53</v>
      </c>
      <c r="O7355" t="s">
        <v>134</v>
      </c>
      <c r="P7355" t="s">
        <v>29</v>
      </c>
      <c r="Q7355">
        <v>41</v>
      </c>
      <c r="R7355">
        <v>-74.024699999999996</v>
      </c>
    </row>
    <row r="7356" spans="1:18" x14ac:dyDescent="0.2">
      <c r="A7356" t="s">
        <v>663</v>
      </c>
      <c r="B7356" t="s">
        <v>2493</v>
      </c>
      <c r="C7356">
        <v>1</v>
      </c>
      <c r="D7356" s="1">
        <v>44161.819074074076</v>
      </c>
      <c r="E7356" t="s">
        <v>23101</v>
      </c>
      <c r="F7356" t="s">
        <v>2495</v>
      </c>
      <c r="G7356" t="s">
        <v>23101</v>
      </c>
      <c r="H7356" t="s">
        <v>667</v>
      </c>
      <c r="I7356" t="s">
        <v>29</v>
      </c>
      <c r="J7356">
        <v>1</v>
      </c>
      <c r="K7356">
        <f>1-888-703-336</f>
        <v>-1926</v>
      </c>
      <c r="L7356" t="s">
        <v>23102</v>
      </c>
      <c r="M7356" t="s">
        <v>23103</v>
      </c>
      <c r="N7356">
        <v>106</v>
      </c>
      <c r="O7356" t="s">
        <v>134</v>
      </c>
      <c r="P7356" t="s">
        <v>29</v>
      </c>
      <c r="Q7356">
        <v>41</v>
      </c>
      <c r="R7356">
        <v>-74.024699999999996</v>
      </c>
    </row>
    <row r="7357" spans="1:18" x14ac:dyDescent="0.2">
      <c r="A7357" t="s">
        <v>663</v>
      </c>
      <c r="B7357" t="s">
        <v>2493</v>
      </c>
      <c r="C7357">
        <v>1</v>
      </c>
      <c r="D7357" s="1">
        <v>44161.810937499999</v>
      </c>
      <c r="E7357" t="s">
        <v>23101</v>
      </c>
      <c r="F7357" t="s">
        <v>2495</v>
      </c>
      <c r="G7357" t="s">
        <v>23101</v>
      </c>
      <c r="H7357" t="s">
        <v>667</v>
      </c>
      <c r="I7357" t="s">
        <v>29</v>
      </c>
      <c r="J7357">
        <v>1</v>
      </c>
      <c r="K7357">
        <f>1-888-598-1513</f>
        <v>-2998</v>
      </c>
      <c r="L7357" t="s">
        <v>23104</v>
      </c>
      <c r="M7357" t="s">
        <v>23105</v>
      </c>
      <c r="N7357">
        <v>106</v>
      </c>
      <c r="O7357" t="s">
        <v>134</v>
      </c>
      <c r="P7357" t="s">
        <v>29</v>
      </c>
      <c r="Q7357">
        <v>41</v>
      </c>
      <c r="R7357">
        <v>-74.024699999999996</v>
      </c>
    </row>
    <row r="7358" spans="1:18" x14ac:dyDescent="0.2">
      <c r="A7358" t="s">
        <v>663</v>
      </c>
      <c r="B7358" t="s">
        <v>2493</v>
      </c>
      <c r="C7358">
        <v>1</v>
      </c>
      <c r="D7358" s="1">
        <v>44161.805462962962</v>
      </c>
      <c r="E7358" t="s">
        <v>23101</v>
      </c>
      <c r="F7358" t="s">
        <v>2495</v>
      </c>
      <c r="G7358" t="s">
        <v>23101</v>
      </c>
      <c r="H7358" t="s">
        <v>667</v>
      </c>
      <c r="I7358" t="s">
        <v>29</v>
      </c>
      <c r="J7358">
        <v>1</v>
      </c>
      <c r="K7358">
        <f>1-888-650-6797</f>
        <v>-8334</v>
      </c>
      <c r="L7358" t="s">
        <v>23106</v>
      </c>
      <c r="M7358" t="s">
        <v>23107</v>
      </c>
      <c r="N7358">
        <v>106</v>
      </c>
      <c r="O7358" t="s">
        <v>134</v>
      </c>
      <c r="P7358" t="s">
        <v>29</v>
      </c>
      <c r="Q7358">
        <v>41</v>
      </c>
      <c r="R7358">
        <v>-74.024699999999996</v>
      </c>
    </row>
    <row r="7359" spans="1:18" x14ac:dyDescent="0.2">
      <c r="A7359" t="s">
        <v>2233</v>
      </c>
      <c r="B7359" t="s">
        <v>4672</v>
      </c>
      <c r="C7359">
        <v>1</v>
      </c>
      <c r="D7359" s="1">
        <v>44161.814722222225</v>
      </c>
      <c r="E7359" t="s">
        <v>23108</v>
      </c>
      <c r="F7359" t="s">
        <v>7023</v>
      </c>
      <c r="G7359" t="s">
        <v>23109</v>
      </c>
      <c r="H7359" t="s">
        <v>2237</v>
      </c>
      <c r="I7359" t="s">
        <v>29</v>
      </c>
      <c r="J7359">
        <v>1</v>
      </c>
      <c r="K7359">
        <f>1-844-303-2441</f>
        <v>-3587</v>
      </c>
      <c r="L7359" t="s">
        <v>23110</v>
      </c>
      <c r="M7359" t="s">
        <v>23111</v>
      </c>
      <c r="N7359" t="s">
        <v>22454</v>
      </c>
      <c r="O7359" t="s">
        <v>134</v>
      </c>
      <c r="P7359" t="s">
        <v>782</v>
      </c>
      <c r="Q7359">
        <v>-34</v>
      </c>
      <c r="R7359">
        <v>99.999999000000003</v>
      </c>
    </row>
    <row r="7360" spans="1:18" x14ac:dyDescent="0.2">
      <c r="A7360" t="s">
        <v>663</v>
      </c>
      <c r="B7360" t="s">
        <v>2493</v>
      </c>
      <c r="C7360">
        <v>1</v>
      </c>
      <c r="D7360" s="1">
        <v>44161.83326388889</v>
      </c>
      <c r="E7360" t="s">
        <v>23112</v>
      </c>
      <c r="F7360" t="s">
        <v>666</v>
      </c>
      <c r="G7360" t="s">
        <v>23112</v>
      </c>
      <c r="H7360" t="s">
        <v>667</v>
      </c>
      <c r="I7360" t="s">
        <v>29</v>
      </c>
      <c r="J7360">
        <v>1</v>
      </c>
      <c r="K7360">
        <f>1-888-613-3907</f>
        <v>-5407</v>
      </c>
      <c r="L7360" t="s">
        <v>23113</v>
      </c>
      <c r="M7360" t="s">
        <v>23114</v>
      </c>
      <c r="N7360">
        <v>37</v>
      </c>
      <c r="O7360" t="s">
        <v>134</v>
      </c>
      <c r="P7360" t="s">
        <v>29</v>
      </c>
      <c r="Q7360">
        <v>41</v>
      </c>
      <c r="R7360">
        <v>-74.024699999999996</v>
      </c>
    </row>
    <row r="7361" spans="1:18" x14ac:dyDescent="0.2">
      <c r="A7361" t="s">
        <v>663</v>
      </c>
      <c r="B7361" t="s">
        <v>2493</v>
      </c>
      <c r="C7361">
        <v>1</v>
      </c>
      <c r="D7361" s="1">
        <v>44161.85119212963</v>
      </c>
      <c r="E7361" t="s">
        <v>23115</v>
      </c>
      <c r="F7361" t="s">
        <v>666</v>
      </c>
      <c r="G7361" t="s">
        <v>23115</v>
      </c>
      <c r="H7361" t="s">
        <v>667</v>
      </c>
      <c r="I7361" t="s">
        <v>29</v>
      </c>
      <c r="J7361">
        <v>1</v>
      </c>
      <c r="K7361">
        <f>1-888-523-2518</f>
        <v>-3928</v>
      </c>
      <c r="L7361" t="s">
        <v>23116</v>
      </c>
      <c r="M7361" t="s">
        <v>23117</v>
      </c>
      <c r="N7361">
        <v>198</v>
      </c>
      <c r="O7361" t="s">
        <v>134</v>
      </c>
      <c r="P7361" t="s">
        <v>29</v>
      </c>
      <c r="Q7361">
        <v>41</v>
      </c>
      <c r="R7361">
        <v>-74.024699999999996</v>
      </c>
    </row>
    <row r="7362" spans="1:18" x14ac:dyDescent="0.2">
      <c r="A7362" t="s">
        <v>439</v>
      </c>
      <c r="B7362" t="s">
        <v>3094</v>
      </c>
      <c r="C7362">
        <v>1</v>
      </c>
      <c r="D7362" s="1">
        <v>44161.871689814812</v>
      </c>
      <c r="E7362" t="s">
        <v>23118</v>
      </c>
      <c r="F7362" t="s">
        <v>442</v>
      </c>
      <c r="G7362" t="s">
        <v>23119</v>
      </c>
      <c r="H7362" t="s">
        <v>444</v>
      </c>
      <c r="I7362" t="s">
        <v>29</v>
      </c>
      <c r="J7362">
        <v>1</v>
      </c>
      <c r="K7362">
        <f>1-844-304-2028</f>
        <v>-3175</v>
      </c>
      <c r="L7362" t="s">
        <v>23120</v>
      </c>
      <c r="M7362" t="s">
        <v>23121</v>
      </c>
      <c r="N7362" t="s">
        <v>36</v>
      </c>
      <c r="O7362" t="s">
        <v>28</v>
      </c>
      <c r="P7362" t="s">
        <v>2268</v>
      </c>
      <c r="Q7362">
        <v>46</v>
      </c>
      <c r="R7362">
        <v>-73.567300000000003</v>
      </c>
    </row>
    <row r="7363" spans="1:18" x14ac:dyDescent="0.2">
      <c r="A7363" t="s">
        <v>663</v>
      </c>
      <c r="B7363" t="s">
        <v>2493</v>
      </c>
      <c r="C7363">
        <v>1</v>
      </c>
      <c r="D7363" s="1">
        <v>44161.917754629627</v>
      </c>
      <c r="E7363" t="s">
        <v>23122</v>
      </c>
      <c r="F7363" t="s">
        <v>666</v>
      </c>
      <c r="G7363" t="s">
        <v>23122</v>
      </c>
      <c r="H7363" t="s">
        <v>667</v>
      </c>
      <c r="I7363" t="s">
        <v>29</v>
      </c>
      <c r="J7363">
        <v>1</v>
      </c>
      <c r="K7363">
        <f>1-888-529-5199</f>
        <v>-6615</v>
      </c>
      <c r="L7363" t="s">
        <v>23123</v>
      </c>
      <c r="M7363" t="s">
        <v>23124</v>
      </c>
      <c r="N7363">
        <v>219</v>
      </c>
      <c r="O7363" t="s">
        <v>134</v>
      </c>
      <c r="P7363" t="s">
        <v>29</v>
      </c>
      <c r="Q7363">
        <v>41</v>
      </c>
      <c r="R7363">
        <v>-74.024699999999996</v>
      </c>
    </row>
    <row r="7364" spans="1:18" x14ac:dyDescent="0.2">
      <c r="A7364" t="s">
        <v>663</v>
      </c>
      <c r="B7364" t="s">
        <v>2493</v>
      </c>
      <c r="C7364">
        <v>1</v>
      </c>
      <c r="D7364" s="1">
        <v>44161.92428240741</v>
      </c>
      <c r="E7364" t="s">
        <v>23125</v>
      </c>
      <c r="F7364" t="s">
        <v>666</v>
      </c>
      <c r="G7364" t="s">
        <v>23125</v>
      </c>
      <c r="H7364" t="s">
        <v>667</v>
      </c>
      <c r="I7364" t="s">
        <v>29</v>
      </c>
      <c r="J7364">
        <v>1</v>
      </c>
      <c r="K7364">
        <f>1-888-541-3209</f>
        <v>-4637</v>
      </c>
      <c r="L7364" t="s">
        <v>23126</v>
      </c>
      <c r="M7364" t="s">
        <v>23127</v>
      </c>
      <c r="N7364">
        <v>59</v>
      </c>
      <c r="O7364" t="s">
        <v>134</v>
      </c>
      <c r="P7364" t="s">
        <v>29</v>
      </c>
      <c r="Q7364">
        <v>41</v>
      </c>
      <c r="R7364">
        <v>-74.024699999999996</v>
      </c>
    </row>
    <row r="7365" spans="1:18" x14ac:dyDescent="0.2">
      <c r="A7365" t="s">
        <v>663</v>
      </c>
      <c r="B7365" t="s">
        <v>2493</v>
      </c>
      <c r="C7365">
        <v>1</v>
      </c>
      <c r="D7365" s="1">
        <v>44161.959155092591</v>
      </c>
      <c r="E7365" t="s">
        <v>23128</v>
      </c>
      <c r="F7365" t="s">
        <v>666</v>
      </c>
      <c r="G7365" t="s">
        <v>23128</v>
      </c>
      <c r="H7365" t="s">
        <v>667</v>
      </c>
      <c r="I7365" t="s">
        <v>29</v>
      </c>
      <c r="J7365">
        <v>1</v>
      </c>
      <c r="K7365">
        <f>1-888-655-2516</f>
        <v>-4058</v>
      </c>
      <c r="L7365" t="s">
        <v>23129</v>
      </c>
      <c r="M7365" t="s">
        <v>23130</v>
      </c>
      <c r="N7365">
        <v>59</v>
      </c>
      <c r="O7365" t="s">
        <v>134</v>
      </c>
      <c r="P7365" t="s">
        <v>29</v>
      </c>
      <c r="Q7365">
        <v>41</v>
      </c>
      <c r="R7365">
        <v>-74.024699999999996</v>
      </c>
    </row>
    <row r="7366" spans="1:18" x14ac:dyDescent="0.2">
      <c r="A7366" t="s">
        <v>663</v>
      </c>
      <c r="B7366" t="s">
        <v>2493</v>
      </c>
      <c r="C7366">
        <v>1</v>
      </c>
      <c r="D7366" s="1">
        <v>44161.965763888889</v>
      </c>
      <c r="E7366" t="s">
        <v>23131</v>
      </c>
      <c r="F7366" t="s">
        <v>666</v>
      </c>
      <c r="G7366" t="s">
        <v>23131</v>
      </c>
      <c r="H7366" t="s">
        <v>667</v>
      </c>
      <c r="I7366" t="s">
        <v>29</v>
      </c>
      <c r="J7366">
        <v>1</v>
      </c>
      <c r="K7366">
        <f>1-888-660-7718</f>
        <v>-9265</v>
      </c>
      <c r="L7366" t="s">
        <v>23132</v>
      </c>
      <c r="M7366" t="s">
        <v>23133</v>
      </c>
      <c r="N7366">
        <v>55</v>
      </c>
      <c r="O7366" t="s">
        <v>134</v>
      </c>
      <c r="P7366" t="s">
        <v>29</v>
      </c>
      <c r="Q7366">
        <v>41</v>
      </c>
      <c r="R7366">
        <v>-74.024699999999996</v>
      </c>
    </row>
    <row r="7367" spans="1:18" x14ac:dyDescent="0.2">
      <c r="A7367" t="s">
        <v>663</v>
      </c>
      <c r="B7367" t="s">
        <v>2493</v>
      </c>
      <c r="C7367">
        <v>1</v>
      </c>
      <c r="D7367" s="1">
        <v>44161.96533564815</v>
      </c>
      <c r="E7367" t="s">
        <v>23131</v>
      </c>
      <c r="F7367" t="s">
        <v>666</v>
      </c>
      <c r="G7367" t="s">
        <v>23131</v>
      </c>
      <c r="H7367" t="s">
        <v>667</v>
      </c>
      <c r="I7367" t="s">
        <v>29</v>
      </c>
      <c r="J7367">
        <v>1</v>
      </c>
      <c r="K7367">
        <f>1-888-526-8141</f>
        <v>-9554</v>
      </c>
      <c r="L7367" t="s">
        <v>23134</v>
      </c>
      <c r="M7367" t="s">
        <v>23135</v>
      </c>
      <c r="N7367">
        <v>55</v>
      </c>
      <c r="O7367" t="s">
        <v>134</v>
      </c>
      <c r="P7367" t="s">
        <v>29</v>
      </c>
      <c r="Q7367">
        <v>41</v>
      </c>
      <c r="R7367">
        <v>-74.024699999999996</v>
      </c>
    </row>
    <row r="7368" spans="1:18" x14ac:dyDescent="0.2">
      <c r="A7368" t="s">
        <v>663</v>
      </c>
      <c r="B7368" t="s">
        <v>2493</v>
      </c>
      <c r="C7368">
        <v>1</v>
      </c>
      <c r="D7368" s="1">
        <v>44161.980497685188</v>
      </c>
      <c r="E7368" t="s">
        <v>23136</v>
      </c>
      <c r="F7368" t="s">
        <v>666</v>
      </c>
      <c r="G7368" t="s">
        <v>23136</v>
      </c>
      <c r="H7368" t="s">
        <v>667</v>
      </c>
      <c r="I7368" t="s">
        <v>29</v>
      </c>
      <c r="J7368">
        <v>1</v>
      </c>
      <c r="K7368">
        <f>1-888-705-886</f>
        <v>-2478</v>
      </c>
      <c r="L7368" t="s">
        <v>23137</v>
      </c>
      <c r="M7368" t="s">
        <v>23138</v>
      </c>
      <c r="N7368">
        <v>9</v>
      </c>
      <c r="O7368" t="s">
        <v>134</v>
      </c>
      <c r="P7368" t="s">
        <v>29</v>
      </c>
      <c r="Q7368">
        <v>41</v>
      </c>
      <c r="R7368">
        <v>-74.024699999999996</v>
      </c>
    </row>
    <row r="7369" spans="1:18" x14ac:dyDescent="0.2">
      <c r="A7369" t="s">
        <v>663</v>
      </c>
      <c r="B7369" t="s">
        <v>2493</v>
      </c>
      <c r="C7369">
        <v>1</v>
      </c>
      <c r="D7369" s="1">
        <v>44161.989131944443</v>
      </c>
      <c r="E7369" t="s">
        <v>23139</v>
      </c>
      <c r="F7369" t="s">
        <v>666</v>
      </c>
      <c r="G7369" t="s">
        <v>23139</v>
      </c>
      <c r="H7369" t="s">
        <v>667</v>
      </c>
      <c r="I7369" t="s">
        <v>29</v>
      </c>
      <c r="J7369">
        <v>1</v>
      </c>
      <c r="K7369">
        <f>1-888-597-1390</f>
        <v>-2874</v>
      </c>
      <c r="L7369" t="s">
        <v>23140</v>
      </c>
      <c r="M7369" t="s">
        <v>23141</v>
      </c>
      <c r="N7369">
        <v>25</v>
      </c>
      <c r="O7369" t="s">
        <v>134</v>
      </c>
      <c r="P7369" t="s">
        <v>29</v>
      </c>
      <c r="Q7369">
        <v>41</v>
      </c>
      <c r="R7369">
        <v>-74.024699999999996</v>
      </c>
    </row>
    <row r="7370" spans="1:18" x14ac:dyDescent="0.2">
      <c r="A7370" t="s">
        <v>663</v>
      </c>
      <c r="B7370" t="s">
        <v>2493</v>
      </c>
      <c r="C7370">
        <v>1</v>
      </c>
      <c r="D7370" s="1">
        <v>44162.01666666667</v>
      </c>
      <c r="E7370" t="s">
        <v>23142</v>
      </c>
      <c r="F7370" t="s">
        <v>666</v>
      </c>
      <c r="G7370" t="s">
        <v>23142</v>
      </c>
      <c r="H7370" t="s">
        <v>667</v>
      </c>
      <c r="I7370" t="s">
        <v>29</v>
      </c>
      <c r="J7370">
        <v>1</v>
      </c>
      <c r="K7370">
        <f>1-888-598-1445</f>
        <v>-2930</v>
      </c>
      <c r="L7370" t="s">
        <v>23143</v>
      </c>
      <c r="M7370" t="s">
        <v>23144</v>
      </c>
      <c r="N7370">
        <v>88</v>
      </c>
      <c r="O7370" t="s">
        <v>134</v>
      </c>
      <c r="P7370" t="s">
        <v>29</v>
      </c>
      <c r="Q7370">
        <v>41</v>
      </c>
      <c r="R7370">
        <v>-74.024699999999996</v>
      </c>
    </row>
    <row r="7371" spans="1:18" x14ac:dyDescent="0.2">
      <c r="A7371" t="s">
        <v>663</v>
      </c>
      <c r="B7371" t="s">
        <v>2493</v>
      </c>
      <c r="C7371">
        <v>1</v>
      </c>
      <c r="D7371" s="1">
        <v>44162.053043981483</v>
      </c>
      <c r="E7371" t="s">
        <v>23145</v>
      </c>
      <c r="F7371" t="s">
        <v>666</v>
      </c>
      <c r="G7371" t="s">
        <v>23145</v>
      </c>
      <c r="H7371" t="s">
        <v>667</v>
      </c>
      <c r="I7371" t="s">
        <v>29</v>
      </c>
      <c r="J7371">
        <v>1</v>
      </c>
      <c r="K7371">
        <f>1-888-527-8970</f>
        <v>-10384</v>
      </c>
      <c r="L7371" t="s">
        <v>23146</v>
      </c>
      <c r="M7371" t="s">
        <v>23147</v>
      </c>
      <c r="N7371">
        <v>70</v>
      </c>
      <c r="O7371" t="s">
        <v>134</v>
      </c>
      <c r="P7371" t="s">
        <v>29</v>
      </c>
      <c r="Q7371">
        <v>41</v>
      </c>
      <c r="R7371">
        <v>-74.024699999999996</v>
      </c>
    </row>
    <row r="7372" spans="1:18" x14ac:dyDescent="0.2">
      <c r="A7372" t="s">
        <v>663</v>
      </c>
      <c r="B7372" t="s">
        <v>2493</v>
      </c>
      <c r="C7372">
        <v>1</v>
      </c>
      <c r="D7372" s="1">
        <v>44162.087129629632</v>
      </c>
      <c r="E7372" t="s">
        <v>23148</v>
      </c>
      <c r="F7372" t="s">
        <v>666</v>
      </c>
      <c r="G7372" t="s">
        <v>23148</v>
      </c>
      <c r="H7372" t="s">
        <v>667</v>
      </c>
      <c r="I7372" t="s">
        <v>29</v>
      </c>
      <c r="J7372">
        <v>1</v>
      </c>
      <c r="K7372">
        <f>1-888-597-1341</f>
        <v>-2825</v>
      </c>
      <c r="L7372" t="s">
        <v>23149</v>
      </c>
      <c r="M7372" t="s">
        <v>23150</v>
      </c>
      <c r="N7372">
        <v>145</v>
      </c>
      <c r="O7372" t="s">
        <v>134</v>
      </c>
      <c r="P7372" t="s">
        <v>29</v>
      </c>
      <c r="Q7372">
        <v>41</v>
      </c>
      <c r="R7372">
        <v>-74.024699999999996</v>
      </c>
    </row>
    <row r="7373" spans="1:18" x14ac:dyDescent="0.2">
      <c r="A7373" t="s">
        <v>663</v>
      </c>
      <c r="B7373" t="s">
        <v>2493</v>
      </c>
      <c r="C7373">
        <v>1</v>
      </c>
      <c r="D7373" s="1">
        <v>44162.086921296293</v>
      </c>
      <c r="E7373" t="s">
        <v>23148</v>
      </c>
      <c r="F7373" t="s">
        <v>666</v>
      </c>
      <c r="G7373" t="s">
        <v>23148</v>
      </c>
      <c r="H7373" t="s">
        <v>667</v>
      </c>
      <c r="I7373" t="s">
        <v>29</v>
      </c>
      <c r="J7373">
        <v>1</v>
      </c>
      <c r="K7373">
        <f>1-888-585-6961</f>
        <v>-8433</v>
      </c>
      <c r="L7373" t="s">
        <v>23151</v>
      </c>
      <c r="M7373" t="s">
        <v>23152</v>
      </c>
      <c r="N7373">
        <v>145</v>
      </c>
      <c r="O7373" t="s">
        <v>134</v>
      </c>
      <c r="P7373" t="s">
        <v>29</v>
      </c>
      <c r="Q7373">
        <v>41</v>
      </c>
      <c r="R7373">
        <v>-74.024699999999996</v>
      </c>
    </row>
    <row r="7374" spans="1:18" x14ac:dyDescent="0.2">
      <c r="A7374" t="s">
        <v>164</v>
      </c>
      <c r="B7374" t="s">
        <v>462</v>
      </c>
      <c r="C7374">
        <v>1</v>
      </c>
      <c r="D7374" s="1">
        <v>44313.811400462961</v>
      </c>
      <c r="E7374" t="s">
        <v>23153</v>
      </c>
      <c r="F7374" t="s">
        <v>464</v>
      </c>
      <c r="G7374" t="s">
        <v>23154</v>
      </c>
      <c r="H7374" t="s">
        <v>466</v>
      </c>
      <c r="I7374" t="s">
        <v>29</v>
      </c>
      <c r="J7374">
        <v>1</v>
      </c>
      <c r="K7374">
        <f>1-888-985-7395</f>
        <v>-9267</v>
      </c>
      <c r="L7374" t="s">
        <v>23155</v>
      </c>
      <c r="M7374" t="s">
        <v>23156</v>
      </c>
      <c r="N7374" t="s">
        <v>5354</v>
      </c>
      <c r="O7374" t="s">
        <v>134</v>
      </c>
      <c r="P7374" t="s">
        <v>29</v>
      </c>
      <c r="Q7374">
        <v>40</v>
      </c>
      <c r="R7374">
        <v>-99.999999000000003</v>
      </c>
    </row>
    <row r="7375" spans="1:18" x14ac:dyDescent="0.2">
      <c r="A7375" t="s">
        <v>18</v>
      </c>
      <c r="B7375" t="s">
        <v>462</v>
      </c>
      <c r="C7375">
        <v>1</v>
      </c>
      <c r="D7375" s="1">
        <v>44162.226331018515</v>
      </c>
      <c r="E7375" t="s">
        <v>23157</v>
      </c>
      <c r="F7375" t="s">
        <v>464</v>
      </c>
      <c r="G7375" t="s">
        <v>23154</v>
      </c>
      <c r="H7375" t="s">
        <v>466</v>
      </c>
      <c r="I7375" t="s">
        <v>29</v>
      </c>
      <c r="J7375">
        <v>1</v>
      </c>
      <c r="K7375">
        <f>1-888-985-6762</f>
        <v>-8634</v>
      </c>
      <c r="L7375" t="s">
        <v>23158</v>
      </c>
      <c r="M7375" t="s">
        <v>23159</v>
      </c>
      <c r="N7375" t="s">
        <v>23160</v>
      </c>
      <c r="O7375" t="s">
        <v>134</v>
      </c>
      <c r="P7375" t="s">
        <v>29</v>
      </c>
      <c r="Q7375">
        <v>40</v>
      </c>
      <c r="R7375">
        <v>-99.999999000000003</v>
      </c>
    </row>
    <row r="7376" spans="1:18" x14ac:dyDescent="0.2">
      <c r="A7376" t="s">
        <v>663</v>
      </c>
      <c r="B7376" t="s">
        <v>2493</v>
      </c>
      <c r="C7376">
        <v>61</v>
      </c>
      <c r="D7376" s="1">
        <v>44162.258460648147</v>
      </c>
      <c r="E7376" t="s">
        <v>23161</v>
      </c>
      <c r="F7376" t="s">
        <v>666</v>
      </c>
      <c r="G7376" t="s">
        <v>23161</v>
      </c>
      <c r="H7376" t="s">
        <v>667</v>
      </c>
      <c r="I7376" t="s">
        <v>782</v>
      </c>
      <c r="J7376">
        <v>61</v>
      </c>
      <c r="K7376">
        <f>61-1800-531-564</f>
        <v>-2834</v>
      </c>
      <c r="L7376" t="s">
        <v>23162</v>
      </c>
      <c r="M7376" t="s">
        <v>23163</v>
      </c>
      <c r="N7376">
        <v>54</v>
      </c>
      <c r="O7376" t="s">
        <v>134</v>
      </c>
      <c r="P7376" t="s">
        <v>29</v>
      </c>
      <c r="Q7376">
        <v>41</v>
      </c>
      <c r="R7376">
        <v>-74.024699999999996</v>
      </c>
    </row>
    <row r="7377" spans="1:18" x14ac:dyDescent="0.2">
      <c r="A7377" t="s">
        <v>675</v>
      </c>
      <c r="B7377" t="s">
        <v>1412</v>
      </c>
      <c r="C7377">
        <v>61</v>
      </c>
      <c r="D7377" s="1">
        <v>44165.201296296298</v>
      </c>
      <c r="E7377" t="s">
        <v>23164</v>
      </c>
      <c r="F7377" t="s">
        <v>678</v>
      </c>
      <c r="G7377" t="s">
        <v>23165</v>
      </c>
      <c r="H7377" t="s">
        <v>680</v>
      </c>
      <c r="I7377" t="s">
        <v>782</v>
      </c>
      <c r="J7377">
        <v>61</v>
      </c>
      <c r="K7377">
        <f>61-1800-875-294</f>
        <v>-2908</v>
      </c>
      <c r="L7377" t="s">
        <v>23166</v>
      </c>
      <c r="M7377" t="s">
        <v>23167</v>
      </c>
      <c r="N7377" t="s">
        <v>674</v>
      </c>
      <c r="O7377" t="s">
        <v>134</v>
      </c>
      <c r="P7377" t="s">
        <v>29</v>
      </c>
      <c r="Q7377">
        <v>41</v>
      </c>
      <c r="R7377">
        <v>-74.172399999999996</v>
      </c>
    </row>
    <row r="7378" spans="1:18" x14ac:dyDescent="0.2">
      <c r="A7378" t="s">
        <v>675</v>
      </c>
      <c r="B7378" t="s">
        <v>1412</v>
      </c>
      <c r="C7378">
        <v>61</v>
      </c>
      <c r="D7378" s="1">
        <v>44162.259513888886</v>
      </c>
      <c r="E7378" t="s">
        <v>23168</v>
      </c>
      <c r="F7378" t="s">
        <v>678</v>
      </c>
      <c r="G7378" t="s">
        <v>23165</v>
      </c>
      <c r="H7378" t="s">
        <v>680</v>
      </c>
      <c r="I7378" t="s">
        <v>782</v>
      </c>
      <c r="J7378">
        <v>61</v>
      </c>
      <c r="K7378">
        <f>61-1800-875-294</f>
        <v>-2908</v>
      </c>
      <c r="L7378" t="s">
        <v>23169</v>
      </c>
      <c r="M7378" t="s">
        <v>23170</v>
      </c>
      <c r="N7378" t="s">
        <v>3441</v>
      </c>
      <c r="O7378" t="s">
        <v>28</v>
      </c>
      <c r="P7378" t="s">
        <v>29</v>
      </c>
      <c r="Q7378">
        <v>41</v>
      </c>
      <c r="R7378">
        <v>-74.172399999999996</v>
      </c>
    </row>
    <row r="7379" spans="1:18" x14ac:dyDescent="0.2">
      <c r="A7379" t="s">
        <v>23171</v>
      </c>
      <c r="B7379" t="s">
        <v>2263</v>
      </c>
      <c r="C7379">
        <v>81</v>
      </c>
      <c r="D7379" s="1">
        <v>44162.463379629633</v>
      </c>
      <c r="E7379" t="s">
        <v>23172</v>
      </c>
      <c r="F7379" t="s">
        <v>23173</v>
      </c>
      <c r="G7379" t="s">
        <v>23174</v>
      </c>
      <c r="H7379" t="s">
        <v>23175</v>
      </c>
      <c r="I7379" t="s">
        <v>53</v>
      </c>
      <c r="J7379">
        <v>81</v>
      </c>
      <c r="K7379">
        <f>81-50-5539-3417</f>
        <v>-8925</v>
      </c>
      <c r="L7379" t="s">
        <v>23176</v>
      </c>
      <c r="M7379" t="s">
        <v>23177</v>
      </c>
      <c r="N7379" t="s">
        <v>2475</v>
      </c>
      <c r="O7379" t="s">
        <v>28</v>
      </c>
      <c r="P7379" t="s">
        <v>2268</v>
      </c>
      <c r="Q7379">
        <v>44</v>
      </c>
      <c r="R7379">
        <v>-79.410499999999999</v>
      </c>
    </row>
    <row r="7380" spans="1:18" x14ac:dyDescent="0.2">
      <c r="A7380" t="s">
        <v>23171</v>
      </c>
      <c r="B7380" t="s">
        <v>2263</v>
      </c>
      <c r="C7380">
        <v>81</v>
      </c>
      <c r="D7380" s="1">
        <v>44162.463321759256</v>
      </c>
      <c r="E7380" t="s">
        <v>23172</v>
      </c>
      <c r="F7380" t="s">
        <v>23173</v>
      </c>
      <c r="G7380" t="s">
        <v>23174</v>
      </c>
      <c r="H7380" t="s">
        <v>23175</v>
      </c>
      <c r="I7380" t="s">
        <v>53</v>
      </c>
      <c r="J7380">
        <v>81</v>
      </c>
      <c r="K7380">
        <f>81-50-5539-7732</f>
        <v>-13240</v>
      </c>
      <c r="L7380" t="s">
        <v>23178</v>
      </c>
      <c r="M7380" t="s">
        <v>23179</v>
      </c>
      <c r="N7380" t="s">
        <v>2475</v>
      </c>
      <c r="O7380" t="s">
        <v>28</v>
      </c>
      <c r="P7380" t="s">
        <v>2268</v>
      </c>
      <c r="Q7380">
        <v>44</v>
      </c>
      <c r="R7380">
        <v>-79.410499999999999</v>
      </c>
    </row>
    <row r="7381" spans="1:18" x14ac:dyDescent="0.2">
      <c r="A7381" t="s">
        <v>663</v>
      </c>
      <c r="B7381" t="s">
        <v>2493</v>
      </c>
      <c r="C7381">
        <v>1</v>
      </c>
      <c r="D7381" s="1">
        <v>44162.780092592591</v>
      </c>
      <c r="E7381" t="s">
        <v>23180</v>
      </c>
      <c r="F7381" t="s">
        <v>666</v>
      </c>
      <c r="G7381" t="s">
        <v>23180</v>
      </c>
      <c r="H7381" t="s">
        <v>667</v>
      </c>
      <c r="I7381" t="s">
        <v>29</v>
      </c>
      <c r="J7381">
        <v>1</v>
      </c>
      <c r="K7381">
        <f>1-888-589-481</f>
        <v>-1957</v>
      </c>
      <c r="L7381" t="s">
        <v>23181</v>
      </c>
      <c r="M7381" t="s">
        <v>23182</v>
      </c>
      <c r="N7381">
        <v>49</v>
      </c>
      <c r="O7381" t="s">
        <v>134</v>
      </c>
      <c r="P7381" t="s">
        <v>29</v>
      </c>
      <c r="Q7381">
        <v>41</v>
      </c>
      <c r="R7381">
        <v>-74.024699999999996</v>
      </c>
    </row>
    <row r="7382" spans="1:18" x14ac:dyDescent="0.2">
      <c r="A7382" t="s">
        <v>663</v>
      </c>
      <c r="B7382" t="s">
        <v>2493</v>
      </c>
      <c r="C7382">
        <v>1</v>
      </c>
      <c r="D7382" s="1">
        <v>44162.779930555553</v>
      </c>
      <c r="E7382" t="s">
        <v>23180</v>
      </c>
      <c r="F7382" t="s">
        <v>666</v>
      </c>
      <c r="G7382" t="s">
        <v>23180</v>
      </c>
      <c r="H7382" t="s">
        <v>667</v>
      </c>
      <c r="I7382" t="s">
        <v>29</v>
      </c>
      <c r="J7382">
        <v>1</v>
      </c>
      <c r="K7382">
        <f>1-888-650-8930</f>
        <v>-10467</v>
      </c>
      <c r="L7382" t="s">
        <v>23183</v>
      </c>
      <c r="M7382" t="s">
        <v>23184</v>
      </c>
      <c r="N7382">
        <v>49</v>
      </c>
      <c r="O7382" t="s">
        <v>134</v>
      </c>
      <c r="P7382" t="s">
        <v>29</v>
      </c>
      <c r="Q7382">
        <v>41</v>
      </c>
      <c r="R7382">
        <v>-74.024699999999996</v>
      </c>
    </row>
    <row r="7383" spans="1:18" x14ac:dyDescent="0.2">
      <c r="A7383" t="s">
        <v>663</v>
      </c>
      <c r="B7383" t="s">
        <v>2493</v>
      </c>
      <c r="C7383">
        <v>1</v>
      </c>
      <c r="D7383" s="1">
        <v>44162.779756944445</v>
      </c>
      <c r="E7383" t="s">
        <v>23180</v>
      </c>
      <c r="F7383" t="s">
        <v>666</v>
      </c>
      <c r="G7383" t="s">
        <v>23180</v>
      </c>
      <c r="H7383" t="s">
        <v>667</v>
      </c>
      <c r="I7383" t="s">
        <v>29</v>
      </c>
      <c r="J7383">
        <v>1</v>
      </c>
      <c r="K7383">
        <f>1-888-650-6908</f>
        <v>-8445</v>
      </c>
      <c r="L7383" t="s">
        <v>23185</v>
      </c>
      <c r="M7383" t="s">
        <v>23186</v>
      </c>
      <c r="N7383">
        <v>49</v>
      </c>
      <c r="O7383" t="s">
        <v>134</v>
      </c>
      <c r="P7383" t="s">
        <v>29</v>
      </c>
      <c r="Q7383">
        <v>41</v>
      </c>
      <c r="R7383">
        <v>-74.024699999999996</v>
      </c>
    </row>
    <row r="7384" spans="1:18" x14ac:dyDescent="0.2">
      <c r="A7384" t="s">
        <v>663</v>
      </c>
      <c r="B7384" t="s">
        <v>2493</v>
      </c>
      <c r="C7384">
        <v>1</v>
      </c>
      <c r="D7384" s="1">
        <v>44162.775902777779</v>
      </c>
      <c r="E7384" t="s">
        <v>23180</v>
      </c>
      <c r="F7384" t="s">
        <v>666</v>
      </c>
      <c r="G7384" t="s">
        <v>23180</v>
      </c>
      <c r="H7384" t="s">
        <v>667</v>
      </c>
      <c r="I7384" t="s">
        <v>29</v>
      </c>
      <c r="J7384">
        <v>1</v>
      </c>
      <c r="K7384">
        <f>1-888-651-9492</f>
        <v>-11030</v>
      </c>
      <c r="L7384" t="s">
        <v>23187</v>
      </c>
      <c r="M7384" t="s">
        <v>23188</v>
      </c>
      <c r="N7384">
        <v>49</v>
      </c>
      <c r="O7384" t="s">
        <v>134</v>
      </c>
      <c r="P7384" t="s">
        <v>29</v>
      </c>
      <c r="Q7384">
        <v>41</v>
      </c>
      <c r="R7384">
        <v>-74.024699999999996</v>
      </c>
    </row>
    <row r="7385" spans="1:18" x14ac:dyDescent="0.2">
      <c r="A7385" t="s">
        <v>663</v>
      </c>
      <c r="B7385" t="s">
        <v>2493</v>
      </c>
      <c r="C7385">
        <v>1</v>
      </c>
      <c r="D7385" s="1">
        <v>44162.775787037041</v>
      </c>
      <c r="E7385" t="s">
        <v>23180</v>
      </c>
      <c r="F7385" t="s">
        <v>666</v>
      </c>
      <c r="G7385" t="s">
        <v>23180</v>
      </c>
      <c r="H7385" t="s">
        <v>667</v>
      </c>
      <c r="I7385" t="s">
        <v>29</v>
      </c>
      <c r="J7385">
        <v>1</v>
      </c>
      <c r="K7385">
        <f>1-888-651-258</f>
        <v>-1796</v>
      </c>
      <c r="L7385" t="s">
        <v>23189</v>
      </c>
      <c r="M7385" t="s">
        <v>23190</v>
      </c>
      <c r="N7385">
        <v>49</v>
      </c>
      <c r="O7385" t="s">
        <v>134</v>
      </c>
      <c r="P7385" t="s">
        <v>29</v>
      </c>
      <c r="Q7385">
        <v>41</v>
      </c>
      <c r="R7385">
        <v>-74.024699999999996</v>
      </c>
    </row>
    <row r="7386" spans="1:18" x14ac:dyDescent="0.2">
      <c r="A7386" t="s">
        <v>663</v>
      </c>
      <c r="B7386" t="s">
        <v>2493</v>
      </c>
      <c r="C7386">
        <v>1</v>
      </c>
      <c r="D7386" s="1">
        <v>44162.775625000002</v>
      </c>
      <c r="E7386" t="s">
        <v>23180</v>
      </c>
      <c r="F7386" t="s">
        <v>666</v>
      </c>
      <c r="G7386" t="s">
        <v>23180</v>
      </c>
      <c r="H7386" t="s">
        <v>667</v>
      </c>
      <c r="I7386" t="s">
        <v>29</v>
      </c>
      <c r="J7386">
        <v>1</v>
      </c>
      <c r="K7386">
        <f>1-888-655-9646</f>
        <v>-11188</v>
      </c>
      <c r="L7386" t="s">
        <v>23191</v>
      </c>
      <c r="M7386" t="s">
        <v>23192</v>
      </c>
      <c r="N7386">
        <v>49</v>
      </c>
      <c r="O7386" t="s">
        <v>134</v>
      </c>
      <c r="P7386" t="s">
        <v>29</v>
      </c>
      <c r="Q7386">
        <v>41</v>
      </c>
      <c r="R7386">
        <v>-74.024699999999996</v>
      </c>
    </row>
    <row r="7387" spans="1:18" x14ac:dyDescent="0.2">
      <c r="A7387" t="s">
        <v>663</v>
      </c>
      <c r="B7387" t="s">
        <v>2493</v>
      </c>
      <c r="C7387">
        <v>1</v>
      </c>
      <c r="D7387" s="1">
        <v>44162.774861111109</v>
      </c>
      <c r="E7387" t="s">
        <v>23180</v>
      </c>
      <c r="F7387" t="s">
        <v>666</v>
      </c>
      <c r="G7387" t="s">
        <v>23180</v>
      </c>
      <c r="H7387" t="s">
        <v>667</v>
      </c>
      <c r="I7387" t="s">
        <v>29</v>
      </c>
      <c r="J7387">
        <v>1</v>
      </c>
      <c r="K7387">
        <f>1-888-652-4083</f>
        <v>-5622</v>
      </c>
      <c r="L7387" t="s">
        <v>23193</v>
      </c>
      <c r="M7387" t="s">
        <v>23194</v>
      </c>
      <c r="N7387">
        <v>49</v>
      </c>
      <c r="O7387" t="s">
        <v>134</v>
      </c>
      <c r="P7387" t="s">
        <v>29</v>
      </c>
      <c r="Q7387">
        <v>41</v>
      </c>
      <c r="R7387">
        <v>-74.024699999999996</v>
      </c>
    </row>
    <row r="7388" spans="1:18" x14ac:dyDescent="0.2">
      <c r="A7388" t="s">
        <v>663</v>
      </c>
      <c r="B7388" t="s">
        <v>2493</v>
      </c>
      <c r="C7388">
        <v>1</v>
      </c>
      <c r="D7388" s="1">
        <v>44162.771782407406</v>
      </c>
      <c r="E7388" t="s">
        <v>23180</v>
      </c>
      <c r="F7388" t="s">
        <v>666</v>
      </c>
      <c r="G7388" t="s">
        <v>23180</v>
      </c>
      <c r="H7388" t="s">
        <v>667</v>
      </c>
      <c r="I7388" t="s">
        <v>29</v>
      </c>
      <c r="J7388">
        <v>1</v>
      </c>
      <c r="K7388">
        <f>1-888-647-5243</f>
        <v>-6777</v>
      </c>
      <c r="L7388" t="s">
        <v>23195</v>
      </c>
      <c r="M7388" t="s">
        <v>23196</v>
      </c>
      <c r="N7388">
        <v>49</v>
      </c>
      <c r="O7388" t="s">
        <v>134</v>
      </c>
      <c r="P7388" t="s">
        <v>29</v>
      </c>
      <c r="Q7388">
        <v>41</v>
      </c>
      <c r="R7388">
        <v>-74.024699999999996</v>
      </c>
    </row>
    <row r="7389" spans="1:18" x14ac:dyDescent="0.2">
      <c r="A7389" t="s">
        <v>663</v>
      </c>
      <c r="B7389" t="s">
        <v>2493</v>
      </c>
      <c r="C7389">
        <v>1</v>
      </c>
      <c r="D7389" s="1">
        <v>44162.770405092589</v>
      </c>
      <c r="E7389" t="s">
        <v>23180</v>
      </c>
      <c r="F7389" t="s">
        <v>666</v>
      </c>
      <c r="G7389" t="s">
        <v>23180</v>
      </c>
      <c r="H7389" t="s">
        <v>667</v>
      </c>
      <c r="I7389" t="s">
        <v>29</v>
      </c>
      <c r="J7389">
        <v>1</v>
      </c>
      <c r="K7389">
        <f>1-888-660-6616</f>
        <v>-8163</v>
      </c>
      <c r="L7389" t="s">
        <v>23197</v>
      </c>
      <c r="M7389" t="s">
        <v>23198</v>
      </c>
      <c r="N7389">
        <v>49</v>
      </c>
      <c r="O7389" t="s">
        <v>134</v>
      </c>
      <c r="P7389" t="s">
        <v>29</v>
      </c>
      <c r="Q7389">
        <v>41</v>
      </c>
      <c r="R7389">
        <v>-74.024699999999996</v>
      </c>
    </row>
    <row r="7390" spans="1:18" x14ac:dyDescent="0.2">
      <c r="A7390" t="s">
        <v>663</v>
      </c>
      <c r="B7390" t="s">
        <v>2493</v>
      </c>
      <c r="C7390">
        <v>1</v>
      </c>
      <c r="D7390" s="1">
        <v>44162.811863425923</v>
      </c>
      <c r="E7390" t="s">
        <v>23199</v>
      </c>
      <c r="F7390" t="s">
        <v>666</v>
      </c>
      <c r="G7390" t="s">
        <v>23199</v>
      </c>
      <c r="H7390" t="s">
        <v>667</v>
      </c>
      <c r="I7390" t="s">
        <v>29</v>
      </c>
      <c r="J7390">
        <v>1</v>
      </c>
      <c r="K7390">
        <f>1-888-589-481</f>
        <v>-1957</v>
      </c>
      <c r="L7390" t="s">
        <v>23200</v>
      </c>
      <c r="M7390" t="s">
        <v>23201</v>
      </c>
      <c r="N7390">
        <v>15</v>
      </c>
      <c r="O7390" t="s">
        <v>134</v>
      </c>
      <c r="P7390" t="s">
        <v>29</v>
      </c>
      <c r="Q7390">
        <v>41</v>
      </c>
      <c r="R7390">
        <v>-74.024699999999996</v>
      </c>
    </row>
    <row r="7391" spans="1:18" x14ac:dyDescent="0.2">
      <c r="A7391" t="s">
        <v>663</v>
      </c>
      <c r="B7391" t="s">
        <v>2493</v>
      </c>
      <c r="C7391">
        <v>1</v>
      </c>
      <c r="D7391" s="1">
        <v>44162.780393518522</v>
      </c>
      <c r="E7391" t="s">
        <v>23199</v>
      </c>
      <c r="F7391" t="s">
        <v>666</v>
      </c>
      <c r="G7391" t="s">
        <v>23199</v>
      </c>
      <c r="H7391" t="s">
        <v>667</v>
      </c>
      <c r="I7391" t="s">
        <v>29</v>
      </c>
      <c r="J7391">
        <v>1</v>
      </c>
      <c r="K7391">
        <f>1-888-650-6865</f>
        <v>-8402</v>
      </c>
      <c r="L7391" t="s">
        <v>23202</v>
      </c>
      <c r="M7391" t="s">
        <v>23203</v>
      </c>
      <c r="N7391">
        <v>15</v>
      </c>
      <c r="O7391" t="s">
        <v>134</v>
      </c>
      <c r="P7391" t="s">
        <v>29</v>
      </c>
      <c r="Q7391">
        <v>41</v>
      </c>
      <c r="R7391">
        <v>-74.024699999999996</v>
      </c>
    </row>
    <row r="7392" spans="1:18" x14ac:dyDescent="0.2">
      <c r="A7392" t="s">
        <v>663</v>
      </c>
      <c r="B7392" t="s">
        <v>2493</v>
      </c>
      <c r="C7392">
        <v>1</v>
      </c>
      <c r="D7392" s="1">
        <v>44162.810046296298</v>
      </c>
      <c r="E7392" t="s">
        <v>23204</v>
      </c>
      <c r="F7392" t="s">
        <v>666</v>
      </c>
      <c r="G7392" t="s">
        <v>23204</v>
      </c>
      <c r="H7392" t="s">
        <v>667</v>
      </c>
      <c r="I7392" t="s">
        <v>29</v>
      </c>
      <c r="J7392">
        <v>1</v>
      </c>
      <c r="K7392">
        <f>1-888-210-3832</f>
        <v>-4929</v>
      </c>
      <c r="L7392" t="s">
        <v>23205</v>
      </c>
      <c r="M7392" t="s">
        <v>23206</v>
      </c>
      <c r="N7392">
        <v>78</v>
      </c>
      <c r="O7392" t="s">
        <v>134</v>
      </c>
      <c r="P7392" t="s">
        <v>29</v>
      </c>
      <c r="Q7392">
        <v>41</v>
      </c>
      <c r="R7392">
        <v>-74.024699999999996</v>
      </c>
    </row>
    <row r="7393" spans="1:18" x14ac:dyDescent="0.2">
      <c r="A7393" t="s">
        <v>663</v>
      </c>
      <c r="B7393" t="s">
        <v>2493</v>
      </c>
      <c r="C7393">
        <v>1</v>
      </c>
      <c r="D7393" s="1">
        <v>44162.880393518521</v>
      </c>
      <c r="E7393" t="s">
        <v>23207</v>
      </c>
      <c r="F7393" t="s">
        <v>666</v>
      </c>
      <c r="G7393" t="s">
        <v>23207</v>
      </c>
      <c r="H7393" t="s">
        <v>667</v>
      </c>
      <c r="I7393" t="s">
        <v>29</v>
      </c>
      <c r="J7393">
        <v>1</v>
      </c>
      <c r="K7393">
        <f>1-888-585-1784</f>
        <v>-3256</v>
      </c>
      <c r="L7393" t="s">
        <v>23208</v>
      </c>
      <c r="M7393" t="s">
        <v>23209</v>
      </c>
      <c r="N7393">
        <v>90</v>
      </c>
      <c r="O7393" t="s">
        <v>134</v>
      </c>
      <c r="P7393" t="s">
        <v>29</v>
      </c>
      <c r="Q7393">
        <v>41</v>
      </c>
      <c r="R7393">
        <v>-74.024699999999996</v>
      </c>
    </row>
    <row r="7394" spans="1:18" x14ac:dyDescent="0.2">
      <c r="A7394" t="s">
        <v>663</v>
      </c>
      <c r="B7394" t="s">
        <v>2493</v>
      </c>
      <c r="C7394">
        <v>1</v>
      </c>
      <c r="D7394" s="1">
        <v>44162.853865740741</v>
      </c>
      <c r="E7394" t="s">
        <v>23207</v>
      </c>
      <c r="F7394" t="s">
        <v>666</v>
      </c>
      <c r="G7394" t="s">
        <v>23207</v>
      </c>
      <c r="H7394" t="s">
        <v>667</v>
      </c>
      <c r="I7394" t="s">
        <v>29</v>
      </c>
      <c r="J7394">
        <v>1</v>
      </c>
      <c r="K7394">
        <f>1-888-598-1446</f>
        <v>-2931</v>
      </c>
      <c r="L7394" t="s">
        <v>23210</v>
      </c>
      <c r="M7394" t="s">
        <v>23211</v>
      </c>
      <c r="N7394">
        <v>90</v>
      </c>
      <c r="O7394" t="s">
        <v>134</v>
      </c>
      <c r="P7394" t="s">
        <v>29</v>
      </c>
      <c r="Q7394">
        <v>41</v>
      </c>
      <c r="R7394">
        <v>-74.024699999999996</v>
      </c>
    </row>
    <row r="7395" spans="1:18" x14ac:dyDescent="0.2">
      <c r="A7395" t="s">
        <v>2233</v>
      </c>
      <c r="B7395" t="s">
        <v>4672</v>
      </c>
      <c r="C7395">
        <v>1</v>
      </c>
      <c r="D7395" s="1">
        <v>44162.87127314815</v>
      </c>
      <c r="E7395" t="s">
        <v>23212</v>
      </c>
      <c r="F7395" t="s">
        <v>2236</v>
      </c>
      <c r="G7395" t="s">
        <v>23213</v>
      </c>
      <c r="H7395" t="s">
        <v>2237</v>
      </c>
      <c r="I7395" t="s">
        <v>29</v>
      </c>
      <c r="J7395">
        <v>1</v>
      </c>
      <c r="K7395">
        <f>1-844-303-4286</f>
        <v>-5432</v>
      </c>
      <c r="L7395" t="s">
        <v>23214</v>
      </c>
      <c r="M7395" t="s">
        <v>23215</v>
      </c>
      <c r="N7395" t="s">
        <v>7822</v>
      </c>
      <c r="O7395" t="s">
        <v>134</v>
      </c>
      <c r="P7395" t="s">
        <v>782</v>
      </c>
      <c r="Q7395">
        <v>-34</v>
      </c>
      <c r="R7395">
        <v>99.999999000000003</v>
      </c>
    </row>
    <row r="7396" spans="1:18" x14ac:dyDescent="0.2">
      <c r="A7396" t="s">
        <v>439</v>
      </c>
      <c r="B7396" t="s">
        <v>4321</v>
      </c>
      <c r="C7396">
        <v>1</v>
      </c>
      <c r="D7396" s="1">
        <v>44162.880462962959</v>
      </c>
      <c r="E7396" t="s">
        <v>23216</v>
      </c>
      <c r="F7396" t="s">
        <v>442</v>
      </c>
      <c r="G7396" t="s">
        <v>23217</v>
      </c>
      <c r="H7396" t="s">
        <v>444</v>
      </c>
      <c r="I7396" t="s">
        <v>29</v>
      </c>
      <c r="J7396">
        <v>1</v>
      </c>
      <c r="K7396">
        <f>1-844-275-9241</f>
        <v>-10359</v>
      </c>
      <c r="L7396" t="s">
        <v>23218</v>
      </c>
      <c r="M7396" t="s">
        <v>23219</v>
      </c>
      <c r="N7396" t="s">
        <v>447</v>
      </c>
      <c r="O7396" t="s">
        <v>28</v>
      </c>
      <c r="P7396" t="s">
        <v>29</v>
      </c>
      <c r="Q7396">
        <v>42</v>
      </c>
      <c r="R7396">
        <v>-87.629800000000003</v>
      </c>
    </row>
    <row r="7397" spans="1:18" x14ac:dyDescent="0.2">
      <c r="A7397" t="s">
        <v>663</v>
      </c>
      <c r="B7397" t="s">
        <v>2493</v>
      </c>
      <c r="C7397">
        <v>1</v>
      </c>
      <c r="D7397" s="1">
        <v>44162.880578703705</v>
      </c>
      <c r="E7397" t="s">
        <v>23220</v>
      </c>
      <c r="F7397" t="s">
        <v>666</v>
      </c>
      <c r="G7397" t="s">
        <v>23220</v>
      </c>
      <c r="H7397" t="s">
        <v>667</v>
      </c>
      <c r="I7397" t="s">
        <v>29</v>
      </c>
      <c r="J7397">
        <v>1</v>
      </c>
      <c r="K7397">
        <f>1-888-585-1784</f>
        <v>-3256</v>
      </c>
      <c r="L7397" t="s">
        <v>23221</v>
      </c>
      <c r="M7397" t="s">
        <v>23222</v>
      </c>
      <c r="N7397">
        <v>37</v>
      </c>
      <c r="O7397" t="s">
        <v>134</v>
      </c>
      <c r="P7397" t="s">
        <v>29</v>
      </c>
      <c r="Q7397">
        <v>41</v>
      </c>
      <c r="R7397">
        <v>-74.024699999999996</v>
      </c>
    </row>
    <row r="7398" spans="1:18" x14ac:dyDescent="0.2">
      <c r="A7398" t="s">
        <v>663</v>
      </c>
      <c r="B7398" t="s">
        <v>2493</v>
      </c>
      <c r="C7398">
        <v>1</v>
      </c>
      <c r="D7398" s="1">
        <v>44162.906863425924</v>
      </c>
      <c r="E7398" t="s">
        <v>23223</v>
      </c>
      <c r="F7398" t="s">
        <v>666</v>
      </c>
      <c r="G7398" t="s">
        <v>23223</v>
      </c>
      <c r="H7398" t="s">
        <v>667</v>
      </c>
      <c r="I7398" t="s">
        <v>29</v>
      </c>
      <c r="J7398">
        <v>1</v>
      </c>
      <c r="K7398">
        <f>1-888-240-5809</f>
        <v>-6936</v>
      </c>
      <c r="L7398" t="s">
        <v>23224</v>
      </c>
      <c r="M7398" t="s">
        <v>23225</v>
      </c>
      <c r="N7398">
        <v>20</v>
      </c>
      <c r="O7398" t="s">
        <v>134</v>
      </c>
      <c r="P7398" t="s">
        <v>29</v>
      </c>
      <c r="Q7398">
        <v>41</v>
      </c>
      <c r="R7398">
        <v>-74.024699999999996</v>
      </c>
    </row>
    <row r="7399" spans="1:18" x14ac:dyDescent="0.2">
      <c r="A7399" t="s">
        <v>663</v>
      </c>
      <c r="B7399" t="s">
        <v>2493</v>
      </c>
      <c r="C7399">
        <v>1</v>
      </c>
      <c r="D7399" s="1">
        <v>44162.941967592589</v>
      </c>
      <c r="E7399" t="s">
        <v>23226</v>
      </c>
      <c r="F7399" t="s">
        <v>666</v>
      </c>
      <c r="G7399" t="s">
        <v>23226</v>
      </c>
      <c r="H7399" t="s">
        <v>667</v>
      </c>
      <c r="I7399" t="s">
        <v>29</v>
      </c>
      <c r="J7399">
        <v>1</v>
      </c>
      <c r="K7399">
        <f>1-888-654-939</f>
        <v>-2480</v>
      </c>
      <c r="L7399" t="s">
        <v>23227</v>
      </c>
      <c r="M7399" t="s">
        <v>23228</v>
      </c>
      <c r="N7399">
        <v>206</v>
      </c>
      <c r="O7399" t="s">
        <v>134</v>
      </c>
      <c r="P7399" t="s">
        <v>29</v>
      </c>
      <c r="Q7399">
        <v>41</v>
      </c>
      <c r="R7399">
        <v>-74.024699999999996</v>
      </c>
    </row>
    <row r="7400" spans="1:18" x14ac:dyDescent="0.2">
      <c r="A7400" t="s">
        <v>663</v>
      </c>
      <c r="B7400" t="s">
        <v>2493</v>
      </c>
      <c r="C7400">
        <v>1</v>
      </c>
      <c r="D7400" s="1">
        <v>44162.94259259259</v>
      </c>
      <c r="E7400" t="s">
        <v>23229</v>
      </c>
      <c r="F7400" t="s">
        <v>666</v>
      </c>
      <c r="G7400" t="s">
        <v>23229</v>
      </c>
      <c r="H7400" t="s">
        <v>667</v>
      </c>
      <c r="I7400" t="s">
        <v>29</v>
      </c>
      <c r="J7400">
        <v>1</v>
      </c>
      <c r="K7400">
        <f>1-888-657-411</f>
        <v>-1955</v>
      </c>
      <c r="L7400" t="s">
        <v>23230</v>
      </c>
      <c r="M7400" t="s">
        <v>23231</v>
      </c>
      <c r="N7400">
        <v>29</v>
      </c>
      <c r="O7400" t="s">
        <v>134</v>
      </c>
      <c r="P7400" t="s">
        <v>29</v>
      </c>
      <c r="Q7400">
        <v>41</v>
      </c>
      <c r="R7400">
        <v>-74.024699999999996</v>
      </c>
    </row>
    <row r="7401" spans="1:18" x14ac:dyDescent="0.2">
      <c r="A7401" t="s">
        <v>663</v>
      </c>
      <c r="B7401" t="s">
        <v>2493</v>
      </c>
      <c r="C7401">
        <v>1</v>
      </c>
      <c r="D7401" s="1">
        <v>44162.943425925929</v>
      </c>
      <c r="E7401" t="s">
        <v>23232</v>
      </c>
      <c r="F7401" t="s">
        <v>666</v>
      </c>
      <c r="G7401" t="s">
        <v>23232</v>
      </c>
      <c r="H7401" t="s">
        <v>667</v>
      </c>
      <c r="I7401" t="s">
        <v>29</v>
      </c>
      <c r="J7401">
        <v>1</v>
      </c>
      <c r="K7401">
        <f>1-888-617-5609</f>
        <v>-7113</v>
      </c>
      <c r="L7401" t="s">
        <v>23233</v>
      </c>
      <c r="M7401" t="s">
        <v>23234</v>
      </c>
      <c r="N7401">
        <v>179</v>
      </c>
      <c r="O7401" t="s">
        <v>134</v>
      </c>
      <c r="P7401" t="s">
        <v>29</v>
      </c>
      <c r="Q7401">
        <v>41</v>
      </c>
      <c r="R7401">
        <v>-74.024699999999996</v>
      </c>
    </row>
    <row r="7402" spans="1:18" x14ac:dyDescent="0.2">
      <c r="A7402" t="s">
        <v>663</v>
      </c>
      <c r="B7402" t="s">
        <v>2493</v>
      </c>
      <c r="C7402">
        <v>1</v>
      </c>
      <c r="D7402" s="1">
        <v>44162.995555555557</v>
      </c>
      <c r="E7402" t="s">
        <v>23235</v>
      </c>
      <c r="F7402" t="s">
        <v>666</v>
      </c>
      <c r="G7402" t="s">
        <v>23235</v>
      </c>
      <c r="H7402" t="s">
        <v>667</v>
      </c>
      <c r="I7402" t="s">
        <v>29</v>
      </c>
      <c r="J7402">
        <v>1</v>
      </c>
      <c r="K7402">
        <f>1-888-637-998</f>
        <v>-2522</v>
      </c>
      <c r="L7402" t="s">
        <v>23236</v>
      </c>
      <c r="M7402" t="s">
        <v>23237</v>
      </c>
      <c r="N7402">
        <v>83</v>
      </c>
      <c r="O7402" t="s">
        <v>134</v>
      </c>
      <c r="P7402" t="s">
        <v>29</v>
      </c>
      <c r="Q7402">
        <v>41</v>
      </c>
      <c r="R7402">
        <v>-74.024699999999996</v>
      </c>
    </row>
    <row r="7403" spans="1:18" x14ac:dyDescent="0.2">
      <c r="A7403" t="s">
        <v>2233</v>
      </c>
      <c r="B7403" t="s">
        <v>4672</v>
      </c>
      <c r="C7403">
        <v>1</v>
      </c>
      <c r="D7403" s="1">
        <v>44163.04787037037</v>
      </c>
      <c r="E7403" t="s">
        <v>23238</v>
      </c>
      <c r="F7403" t="s">
        <v>2236</v>
      </c>
      <c r="G7403" t="s">
        <v>23239</v>
      </c>
      <c r="H7403" t="s">
        <v>2237</v>
      </c>
      <c r="I7403" t="s">
        <v>29</v>
      </c>
      <c r="J7403">
        <v>1</v>
      </c>
      <c r="K7403">
        <f>1-844-304-1600</f>
        <v>-2747</v>
      </c>
      <c r="L7403" t="s">
        <v>23240</v>
      </c>
      <c r="M7403" t="s">
        <v>23241</v>
      </c>
      <c r="N7403" t="s">
        <v>22454</v>
      </c>
      <c r="O7403" t="s">
        <v>134</v>
      </c>
      <c r="P7403" t="s">
        <v>782</v>
      </c>
      <c r="Q7403">
        <v>-34</v>
      </c>
      <c r="R7403">
        <v>99.999999000000003</v>
      </c>
    </row>
    <row r="7404" spans="1:18" x14ac:dyDescent="0.2">
      <c r="A7404" t="s">
        <v>663</v>
      </c>
      <c r="B7404" t="s">
        <v>2493</v>
      </c>
      <c r="C7404">
        <v>61</v>
      </c>
      <c r="D7404" s="1">
        <v>44163.172280092593</v>
      </c>
      <c r="E7404" t="s">
        <v>23242</v>
      </c>
      <c r="F7404" t="s">
        <v>666</v>
      </c>
      <c r="G7404" t="s">
        <v>23242</v>
      </c>
      <c r="H7404" t="s">
        <v>667</v>
      </c>
      <c r="I7404" t="s">
        <v>782</v>
      </c>
      <c r="J7404">
        <v>61</v>
      </c>
      <c r="K7404">
        <f>61-1800-290-947</f>
        <v>-2976</v>
      </c>
      <c r="L7404" t="s">
        <v>23243</v>
      </c>
      <c r="M7404" t="s">
        <v>23244</v>
      </c>
      <c r="N7404">
        <v>201</v>
      </c>
      <c r="O7404" t="s">
        <v>134</v>
      </c>
      <c r="P7404" t="s">
        <v>29</v>
      </c>
      <c r="Q7404">
        <v>41</v>
      </c>
      <c r="R7404">
        <v>-74.024699999999996</v>
      </c>
    </row>
    <row r="7405" spans="1:18" x14ac:dyDescent="0.2">
      <c r="A7405" t="s">
        <v>663</v>
      </c>
      <c r="B7405" t="s">
        <v>2263</v>
      </c>
      <c r="C7405">
        <v>81</v>
      </c>
      <c r="D7405" s="1">
        <v>44174.228217592594</v>
      </c>
      <c r="E7405" t="s">
        <v>23245</v>
      </c>
      <c r="F7405" t="s">
        <v>666</v>
      </c>
      <c r="G7405" t="s">
        <v>23246</v>
      </c>
      <c r="H7405" t="s">
        <v>667</v>
      </c>
      <c r="I7405" t="s">
        <v>53</v>
      </c>
      <c r="J7405">
        <v>81</v>
      </c>
      <c r="K7405">
        <f>81-50-5532-7250</f>
        <v>-12751</v>
      </c>
      <c r="L7405" t="s">
        <v>23247</v>
      </c>
      <c r="M7405" t="s">
        <v>23248</v>
      </c>
      <c r="N7405" t="s">
        <v>2475</v>
      </c>
      <c r="O7405" t="s">
        <v>28</v>
      </c>
      <c r="P7405" t="s">
        <v>2268</v>
      </c>
      <c r="Q7405">
        <v>44</v>
      </c>
      <c r="R7405">
        <v>-79.362300000000005</v>
      </c>
    </row>
    <row r="7406" spans="1:18" x14ac:dyDescent="0.2">
      <c r="A7406" t="s">
        <v>663</v>
      </c>
      <c r="B7406" t="s">
        <v>2263</v>
      </c>
      <c r="C7406">
        <v>81</v>
      </c>
      <c r="D7406" s="1">
        <v>44165.209247685183</v>
      </c>
      <c r="E7406" t="s">
        <v>23249</v>
      </c>
      <c r="F7406" t="s">
        <v>666</v>
      </c>
      <c r="G7406" t="s">
        <v>23246</v>
      </c>
      <c r="H7406" t="s">
        <v>667</v>
      </c>
      <c r="I7406" t="s">
        <v>53</v>
      </c>
      <c r="J7406">
        <v>81</v>
      </c>
      <c r="K7406">
        <f>81-50-5532-7250</f>
        <v>-12751</v>
      </c>
      <c r="L7406" t="s">
        <v>23250</v>
      </c>
      <c r="M7406" t="s">
        <v>23251</v>
      </c>
      <c r="N7406" t="s">
        <v>2475</v>
      </c>
      <c r="O7406" t="s">
        <v>28</v>
      </c>
      <c r="P7406" t="s">
        <v>2268</v>
      </c>
      <c r="Q7406">
        <v>44</v>
      </c>
      <c r="R7406">
        <v>-79.362300000000005</v>
      </c>
    </row>
    <row r="7407" spans="1:18" x14ac:dyDescent="0.2">
      <c r="A7407" t="s">
        <v>663</v>
      </c>
      <c r="B7407" t="s">
        <v>2263</v>
      </c>
      <c r="C7407">
        <v>81</v>
      </c>
      <c r="D7407" s="1">
        <v>44163.260428240741</v>
      </c>
      <c r="E7407" t="s">
        <v>23252</v>
      </c>
      <c r="F7407" t="s">
        <v>666</v>
      </c>
      <c r="G7407" t="s">
        <v>23246</v>
      </c>
      <c r="H7407" t="s">
        <v>667</v>
      </c>
      <c r="I7407" t="s">
        <v>53</v>
      </c>
      <c r="J7407">
        <v>81</v>
      </c>
      <c r="K7407">
        <f>81-50-5532-7250</f>
        <v>-12751</v>
      </c>
      <c r="L7407" t="s">
        <v>23253</v>
      </c>
      <c r="M7407" t="s">
        <v>23254</v>
      </c>
      <c r="N7407" t="s">
        <v>2475</v>
      </c>
      <c r="O7407" t="s">
        <v>28</v>
      </c>
      <c r="P7407" t="s">
        <v>2268</v>
      </c>
      <c r="Q7407">
        <v>44</v>
      </c>
      <c r="R7407">
        <v>-79.362300000000005</v>
      </c>
    </row>
    <row r="7408" spans="1:18" x14ac:dyDescent="0.2">
      <c r="A7408" t="s">
        <v>663</v>
      </c>
      <c r="B7408" t="s">
        <v>2493</v>
      </c>
      <c r="C7408">
        <v>1</v>
      </c>
      <c r="D7408" s="1">
        <v>44163.756249999999</v>
      </c>
      <c r="E7408" t="s">
        <v>23255</v>
      </c>
      <c r="F7408" t="s">
        <v>666</v>
      </c>
      <c r="G7408" t="s">
        <v>23255</v>
      </c>
      <c r="H7408" t="s">
        <v>667</v>
      </c>
      <c r="I7408" t="s">
        <v>29</v>
      </c>
      <c r="J7408">
        <v>1</v>
      </c>
      <c r="K7408">
        <f>1-888-211-4453</f>
        <v>-5551</v>
      </c>
      <c r="L7408" t="s">
        <v>23256</v>
      </c>
      <c r="M7408" t="s">
        <v>23257</v>
      </c>
      <c r="N7408">
        <v>52</v>
      </c>
      <c r="O7408" t="s">
        <v>134</v>
      </c>
      <c r="P7408" t="s">
        <v>29</v>
      </c>
      <c r="Q7408">
        <v>41</v>
      </c>
      <c r="R7408">
        <v>-74.024699999999996</v>
      </c>
    </row>
    <row r="7409" spans="1:18" x14ac:dyDescent="0.2">
      <c r="A7409" t="s">
        <v>663</v>
      </c>
      <c r="B7409" t="s">
        <v>2493</v>
      </c>
      <c r="C7409">
        <v>1</v>
      </c>
      <c r="D7409" s="1">
        <v>44163.756076388891</v>
      </c>
      <c r="E7409" t="s">
        <v>23255</v>
      </c>
      <c r="F7409" t="s">
        <v>666</v>
      </c>
      <c r="G7409" t="s">
        <v>23255</v>
      </c>
      <c r="H7409" t="s">
        <v>667</v>
      </c>
      <c r="I7409" t="s">
        <v>29</v>
      </c>
      <c r="J7409">
        <v>1</v>
      </c>
      <c r="K7409">
        <f>1-888-604-2911</f>
        <v>-4402</v>
      </c>
      <c r="L7409" t="s">
        <v>23258</v>
      </c>
      <c r="M7409" t="s">
        <v>23259</v>
      </c>
      <c r="N7409">
        <v>52</v>
      </c>
      <c r="O7409" t="s">
        <v>134</v>
      </c>
      <c r="P7409" t="s">
        <v>29</v>
      </c>
      <c r="Q7409">
        <v>41</v>
      </c>
      <c r="R7409">
        <v>-74.024699999999996</v>
      </c>
    </row>
    <row r="7410" spans="1:18" x14ac:dyDescent="0.2">
      <c r="A7410" t="s">
        <v>2233</v>
      </c>
      <c r="B7410" t="s">
        <v>2234</v>
      </c>
      <c r="C7410">
        <v>1</v>
      </c>
      <c r="D7410" s="1">
        <v>44163.780150462961</v>
      </c>
      <c r="E7410" t="s">
        <v>23260</v>
      </c>
      <c r="F7410" t="s">
        <v>2236</v>
      </c>
      <c r="G7410" t="s">
        <v>23261</v>
      </c>
      <c r="H7410" t="s">
        <v>2237</v>
      </c>
      <c r="I7410" t="s">
        <v>29</v>
      </c>
      <c r="J7410">
        <v>1</v>
      </c>
      <c r="K7410">
        <f>1-844-304-7275</f>
        <v>-8422</v>
      </c>
      <c r="L7410" t="s">
        <v>23262</v>
      </c>
      <c r="M7410" t="s">
        <v>23263</v>
      </c>
      <c r="N7410" t="s">
        <v>23264</v>
      </c>
      <c r="O7410" t="s">
        <v>28</v>
      </c>
      <c r="P7410" t="s">
        <v>29</v>
      </c>
      <c r="Q7410">
        <v>40</v>
      </c>
      <c r="R7410">
        <v>-83.114099999999993</v>
      </c>
    </row>
    <row r="7411" spans="1:18" x14ac:dyDescent="0.2">
      <c r="A7411" t="s">
        <v>2233</v>
      </c>
      <c r="B7411" t="s">
        <v>2500</v>
      </c>
      <c r="C7411">
        <v>1</v>
      </c>
      <c r="D7411" s="1">
        <v>44334.818993055553</v>
      </c>
      <c r="E7411" t="s">
        <v>23265</v>
      </c>
      <c r="F7411" t="s">
        <v>2236</v>
      </c>
      <c r="G7411" t="s">
        <v>23266</v>
      </c>
      <c r="H7411" t="s">
        <v>2237</v>
      </c>
      <c r="I7411" t="s">
        <v>29</v>
      </c>
      <c r="J7411">
        <v>1</v>
      </c>
      <c r="K7411">
        <f>1-833-251-8241</f>
        <v>-9324</v>
      </c>
      <c r="L7411" t="s">
        <v>23267</v>
      </c>
      <c r="M7411" t="s">
        <v>23268</v>
      </c>
      <c r="N7411" t="s">
        <v>5354</v>
      </c>
      <c r="O7411" t="s">
        <v>28</v>
      </c>
      <c r="P7411" t="s">
        <v>2500</v>
      </c>
      <c r="Q7411">
        <v>1</v>
      </c>
      <c r="R7411">
        <v>99.999999000000003</v>
      </c>
    </row>
    <row r="7412" spans="1:18" x14ac:dyDescent="0.2">
      <c r="A7412" t="s">
        <v>2233</v>
      </c>
      <c r="B7412" t="s">
        <v>2500</v>
      </c>
      <c r="C7412">
        <v>1</v>
      </c>
      <c r="D7412" s="1">
        <v>44163.823495370372</v>
      </c>
      <c r="E7412" t="s">
        <v>23269</v>
      </c>
      <c r="F7412" t="s">
        <v>2236</v>
      </c>
      <c r="G7412" t="s">
        <v>23266</v>
      </c>
      <c r="H7412" t="s">
        <v>2237</v>
      </c>
      <c r="I7412" t="s">
        <v>29</v>
      </c>
      <c r="J7412">
        <v>1</v>
      </c>
      <c r="K7412">
        <f>1-866-471-2264</f>
        <v>-3600</v>
      </c>
      <c r="L7412" t="s">
        <v>23270</v>
      </c>
      <c r="M7412" t="s">
        <v>23271</v>
      </c>
      <c r="N7412" t="s">
        <v>10633</v>
      </c>
      <c r="O7412" t="s">
        <v>28</v>
      </c>
      <c r="P7412" t="s">
        <v>2500</v>
      </c>
      <c r="Q7412">
        <v>1</v>
      </c>
      <c r="R7412">
        <v>99.999999000000003</v>
      </c>
    </row>
    <row r="7413" spans="1:18" x14ac:dyDescent="0.2">
      <c r="A7413" t="s">
        <v>2233</v>
      </c>
      <c r="B7413" t="s">
        <v>2500</v>
      </c>
      <c r="C7413">
        <v>1</v>
      </c>
      <c r="D7413" s="1">
        <v>44163.823564814818</v>
      </c>
      <c r="E7413" t="s">
        <v>23272</v>
      </c>
      <c r="F7413" t="s">
        <v>2236</v>
      </c>
      <c r="G7413" t="s">
        <v>23273</v>
      </c>
      <c r="H7413" t="s">
        <v>2237</v>
      </c>
      <c r="I7413" t="s">
        <v>29</v>
      </c>
      <c r="J7413">
        <v>1</v>
      </c>
      <c r="K7413">
        <f>1-877-674-1679</f>
        <v>-3229</v>
      </c>
      <c r="L7413" t="s">
        <v>23274</v>
      </c>
      <c r="M7413" t="s">
        <v>23275</v>
      </c>
      <c r="N7413" t="s">
        <v>5354</v>
      </c>
      <c r="O7413" t="s">
        <v>28</v>
      </c>
      <c r="P7413" t="s">
        <v>2500</v>
      </c>
      <c r="Q7413">
        <v>1</v>
      </c>
      <c r="R7413">
        <v>99.999999000000003</v>
      </c>
    </row>
    <row r="7414" spans="1:18" x14ac:dyDescent="0.2">
      <c r="A7414" t="s">
        <v>663</v>
      </c>
      <c r="B7414" t="s">
        <v>2493</v>
      </c>
      <c r="C7414">
        <v>1</v>
      </c>
      <c r="D7414" s="1">
        <v>44163.823611111111</v>
      </c>
      <c r="E7414" t="s">
        <v>23276</v>
      </c>
      <c r="F7414" t="s">
        <v>666</v>
      </c>
      <c r="G7414" t="s">
        <v>23276</v>
      </c>
      <c r="H7414" t="s">
        <v>667</v>
      </c>
      <c r="I7414" t="s">
        <v>29</v>
      </c>
      <c r="J7414">
        <v>1</v>
      </c>
      <c r="K7414">
        <f>1-888-207-5938</f>
        <v>-7032</v>
      </c>
      <c r="L7414" t="s">
        <v>23277</v>
      </c>
      <c r="M7414" t="s">
        <v>23278</v>
      </c>
      <c r="N7414">
        <v>86</v>
      </c>
      <c r="O7414" t="s">
        <v>134</v>
      </c>
      <c r="P7414" t="s">
        <v>29</v>
      </c>
      <c r="Q7414">
        <v>41</v>
      </c>
      <c r="R7414">
        <v>-74.024699999999996</v>
      </c>
    </row>
    <row r="7415" spans="1:18" x14ac:dyDescent="0.2">
      <c r="A7415" t="s">
        <v>663</v>
      </c>
      <c r="B7415" t="s">
        <v>2493</v>
      </c>
      <c r="C7415">
        <v>1</v>
      </c>
      <c r="D7415" s="1">
        <v>44163.823657407411</v>
      </c>
      <c r="E7415" t="s">
        <v>23279</v>
      </c>
      <c r="F7415" t="s">
        <v>666</v>
      </c>
      <c r="G7415" t="s">
        <v>23279</v>
      </c>
      <c r="H7415" t="s">
        <v>667</v>
      </c>
      <c r="I7415" t="s">
        <v>29</v>
      </c>
      <c r="J7415">
        <v>1</v>
      </c>
      <c r="K7415">
        <f>1-888-207-5938</f>
        <v>-7032</v>
      </c>
      <c r="L7415" t="s">
        <v>23280</v>
      </c>
      <c r="M7415" t="s">
        <v>23281</v>
      </c>
      <c r="N7415">
        <v>84</v>
      </c>
      <c r="O7415" t="s">
        <v>134</v>
      </c>
      <c r="P7415" t="s">
        <v>29</v>
      </c>
      <c r="Q7415">
        <v>41</v>
      </c>
      <c r="R7415">
        <v>-74.024699999999996</v>
      </c>
    </row>
    <row r="7416" spans="1:18" x14ac:dyDescent="0.2">
      <c r="A7416" t="s">
        <v>663</v>
      </c>
      <c r="B7416" t="s">
        <v>2493</v>
      </c>
      <c r="C7416">
        <v>61</v>
      </c>
      <c r="D7416" s="1">
        <v>44165.201180555552</v>
      </c>
      <c r="E7416" t="s">
        <v>23282</v>
      </c>
      <c r="F7416" t="s">
        <v>666</v>
      </c>
      <c r="G7416" t="s">
        <v>23282</v>
      </c>
      <c r="H7416" t="s">
        <v>667</v>
      </c>
      <c r="I7416" t="s">
        <v>782</v>
      </c>
      <c r="J7416">
        <v>61</v>
      </c>
      <c r="K7416">
        <f>61-1800-819-136</f>
        <v>-2694</v>
      </c>
      <c r="L7416" t="s">
        <v>23283</v>
      </c>
      <c r="M7416" t="s">
        <v>23284</v>
      </c>
      <c r="N7416">
        <v>89</v>
      </c>
      <c r="O7416" t="s">
        <v>134</v>
      </c>
      <c r="P7416" t="s">
        <v>29</v>
      </c>
      <c r="Q7416">
        <v>41</v>
      </c>
      <c r="R7416">
        <v>-74.024699999999996</v>
      </c>
    </row>
    <row r="7417" spans="1:18" x14ac:dyDescent="0.2">
      <c r="A7417" t="s">
        <v>2233</v>
      </c>
      <c r="B7417" t="s">
        <v>2500</v>
      </c>
      <c r="C7417">
        <v>1</v>
      </c>
      <c r="D7417" s="1">
        <v>44165.856365740743</v>
      </c>
      <c r="E7417" t="s">
        <v>23285</v>
      </c>
      <c r="F7417" t="s">
        <v>2236</v>
      </c>
      <c r="G7417" t="s">
        <v>23286</v>
      </c>
      <c r="H7417" t="s">
        <v>2237</v>
      </c>
      <c r="I7417" t="s">
        <v>29</v>
      </c>
      <c r="J7417">
        <v>1</v>
      </c>
      <c r="K7417">
        <f>1-833-366-7095</f>
        <v>-8293</v>
      </c>
      <c r="L7417" t="s">
        <v>23287</v>
      </c>
      <c r="M7417" t="s">
        <v>23288</v>
      </c>
      <c r="N7417" t="s">
        <v>10633</v>
      </c>
      <c r="O7417" t="s">
        <v>28</v>
      </c>
      <c r="P7417" t="s">
        <v>2500</v>
      </c>
      <c r="Q7417">
        <v>1</v>
      </c>
      <c r="R7417">
        <v>99.999999000000003</v>
      </c>
    </row>
    <row r="7418" spans="1:18" x14ac:dyDescent="0.2">
      <c r="A7418" t="s">
        <v>663</v>
      </c>
      <c r="B7418" t="s">
        <v>2493</v>
      </c>
      <c r="C7418">
        <v>61</v>
      </c>
      <c r="D7418" s="1">
        <v>44166.348703703705</v>
      </c>
      <c r="E7418" t="s">
        <v>23289</v>
      </c>
      <c r="F7418" t="s">
        <v>666</v>
      </c>
      <c r="G7418" t="s">
        <v>23289</v>
      </c>
      <c r="H7418" t="s">
        <v>667</v>
      </c>
      <c r="I7418" t="s">
        <v>782</v>
      </c>
      <c r="J7418">
        <v>61</v>
      </c>
      <c r="K7418">
        <f>61-1800-290-947</f>
        <v>-2976</v>
      </c>
      <c r="L7418" t="s">
        <v>23290</v>
      </c>
      <c r="M7418" t="s">
        <v>23291</v>
      </c>
      <c r="N7418">
        <v>63</v>
      </c>
      <c r="O7418" t="s">
        <v>134</v>
      </c>
      <c r="P7418" t="s">
        <v>29</v>
      </c>
      <c r="Q7418">
        <v>41</v>
      </c>
      <c r="R7418">
        <v>-74.024699999999996</v>
      </c>
    </row>
    <row r="7419" spans="1:18" x14ac:dyDescent="0.2">
      <c r="A7419" t="s">
        <v>663</v>
      </c>
      <c r="B7419" t="s">
        <v>2493</v>
      </c>
      <c r="C7419">
        <v>1</v>
      </c>
      <c r="D7419" s="1">
        <v>44167.734976851854</v>
      </c>
      <c r="E7419" t="s">
        <v>23292</v>
      </c>
      <c r="F7419" t="s">
        <v>666</v>
      </c>
      <c r="G7419" t="s">
        <v>23292</v>
      </c>
      <c r="H7419" t="s">
        <v>667</v>
      </c>
      <c r="I7419" t="s">
        <v>29</v>
      </c>
      <c r="J7419">
        <v>1</v>
      </c>
      <c r="K7419">
        <f>1-888-712-687</f>
        <v>-2286</v>
      </c>
      <c r="L7419" t="s">
        <v>23293</v>
      </c>
      <c r="M7419" t="s">
        <v>23294</v>
      </c>
      <c r="N7419">
        <v>105</v>
      </c>
      <c r="O7419" t="s">
        <v>134</v>
      </c>
      <c r="P7419" t="s">
        <v>29</v>
      </c>
      <c r="Q7419">
        <v>41</v>
      </c>
      <c r="R7419">
        <v>-74.024699999999996</v>
      </c>
    </row>
    <row r="7420" spans="1:18" x14ac:dyDescent="0.2">
      <c r="A7420" t="s">
        <v>663</v>
      </c>
      <c r="B7420" t="s">
        <v>2493</v>
      </c>
      <c r="C7420">
        <v>1</v>
      </c>
      <c r="D7420" s="1">
        <v>44167.734826388885</v>
      </c>
      <c r="E7420" t="s">
        <v>23292</v>
      </c>
      <c r="F7420" t="s">
        <v>666</v>
      </c>
      <c r="G7420" t="s">
        <v>23292</v>
      </c>
      <c r="H7420" t="s">
        <v>667</v>
      </c>
      <c r="I7420" t="s">
        <v>29</v>
      </c>
      <c r="J7420">
        <v>1</v>
      </c>
      <c r="K7420">
        <f>1-888-598-1349</f>
        <v>-2834</v>
      </c>
      <c r="L7420" t="s">
        <v>23295</v>
      </c>
      <c r="M7420" t="s">
        <v>23296</v>
      </c>
      <c r="N7420">
        <v>105</v>
      </c>
      <c r="O7420" t="s">
        <v>134</v>
      </c>
      <c r="P7420" t="s">
        <v>29</v>
      </c>
      <c r="Q7420">
        <v>41</v>
      </c>
      <c r="R7420">
        <v>-74.024699999999996</v>
      </c>
    </row>
    <row r="7421" spans="1:18" x14ac:dyDescent="0.2">
      <c r="A7421" t="s">
        <v>663</v>
      </c>
      <c r="B7421" t="s">
        <v>2493</v>
      </c>
      <c r="C7421">
        <v>1</v>
      </c>
      <c r="D7421" s="1">
        <v>44167.733888888892</v>
      </c>
      <c r="E7421" t="s">
        <v>23292</v>
      </c>
      <c r="F7421" t="s">
        <v>666</v>
      </c>
      <c r="G7421" t="s">
        <v>23292</v>
      </c>
      <c r="H7421" t="s">
        <v>667</v>
      </c>
      <c r="I7421" t="s">
        <v>29</v>
      </c>
      <c r="J7421">
        <v>1</v>
      </c>
      <c r="K7421">
        <f>1-888-712-697</f>
        <v>-2296</v>
      </c>
      <c r="L7421" t="s">
        <v>23297</v>
      </c>
      <c r="M7421" t="s">
        <v>23298</v>
      </c>
      <c r="N7421">
        <v>105</v>
      </c>
      <c r="O7421" t="s">
        <v>134</v>
      </c>
      <c r="P7421" t="s">
        <v>29</v>
      </c>
      <c r="Q7421">
        <v>41</v>
      </c>
      <c r="R7421">
        <v>-74.024699999999996</v>
      </c>
    </row>
    <row r="7422" spans="1:18" x14ac:dyDescent="0.2">
      <c r="A7422" t="s">
        <v>663</v>
      </c>
      <c r="B7422" t="s">
        <v>2493</v>
      </c>
      <c r="C7422">
        <v>1</v>
      </c>
      <c r="D7422" s="1">
        <v>44167.734699074077</v>
      </c>
      <c r="E7422" t="s">
        <v>23292</v>
      </c>
      <c r="F7422" t="s">
        <v>666</v>
      </c>
      <c r="G7422" t="s">
        <v>23292</v>
      </c>
      <c r="H7422" t="s">
        <v>667</v>
      </c>
      <c r="I7422" t="s">
        <v>29</v>
      </c>
      <c r="J7422">
        <v>1</v>
      </c>
      <c r="K7422">
        <f>1-888-650-3740</f>
        <v>-5277</v>
      </c>
      <c r="L7422" t="s">
        <v>23299</v>
      </c>
      <c r="M7422" t="s">
        <v>23300</v>
      </c>
      <c r="N7422">
        <v>105</v>
      </c>
      <c r="O7422" t="s">
        <v>134</v>
      </c>
      <c r="P7422" t="s">
        <v>29</v>
      </c>
      <c r="Q7422">
        <v>41</v>
      </c>
      <c r="R7422">
        <v>-74.024699999999996</v>
      </c>
    </row>
    <row r="7423" spans="1:18" x14ac:dyDescent="0.2">
      <c r="A7423" t="s">
        <v>663</v>
      </c>
      <c r="B7423" t="s">
        <v>2493</v>
      </c>
      <c r="C7423">
        <v>1</v>
      </c>
      <c r="D7423" s="1">
        <v>44166.761018518519</v>
      </c>
      <c r="E7423" t="s">
        <v>23301</v>
      </c>
      <c r="F7423" t="s">
        <v>666</v>
      </c>
      <c r="G7423" t="s">
        <v>23301</v>
      </c>
      <c r="H7423" t="s">
        <v>667</v>
      </c>
      <c r="I7423" t="s">
        <v>29</v>
      </c>
      <c r="J7423">
        <v>1</v>
      </c>
      <c r="K7423">
        <f>1-888-403-6101</f>
        <v>-7391</v>
      </c>
      <c r="L7423" t="s">
        <v>23302</v>
      </c>
      <c r="M7423" t="s">
        <v>23303</v>
      </c>
      <c r="N7423">
        <v>183</v>
      </c>
      <c r="O7423" t="s">
        <v>134</v>
      </c>
      <c r="P7423" t="s">
        <v>29</v>
      </c>
      <c r="Q7423">
        <v>41</v>
      </c>
      <c r="R7423">
        <v>-74.024699999999996</v>
      </c>
    </row>
    <row r="7424" spans="1:18" x14ac:dyDescent="0.2">
      <c r="A7424" t="s">
        <v>663</v>
      </c>
      <c r="B7424" t="s">
        <v>2493</v>
      </c>
      <c r="C7424">
        <v>1</v>
      </c>
      <c r="D7424" s="1">
        <v>44166.797291666669</v>
      </c>
      <c r="E7424" t="s">
        <v>23304</v>
      </c>
      <c r="F7424" t="s">
        <v>666</v>
      </c>
      <c r="G7424" t="s">
        <v>23304</v>
      </c>
      <c r="H7424" t="s">
        <v>667</v>
      </c>
      <c r="I7424" t="s">
        <v>29</v>
      </c>
      <c r="J7424">
        <v>1</v>
      </c>
      <c r="K7424">
        <f>1-888-210-1729</f>
        <v>-2826</v>
      </c>
      <c r="L7424" t="s">
        <v>23305</v>
      </c>
      <c r="M7424" t="s">
        <v>23306</v>
      </c>
      <c r="N7424">
        <v>190</v>
      </c>
      <c r="O7424" t="s">
        <v>134</v>
      </c>
      <c r="P7424" t="s">
        <v>29</v>
      </c>
      <c r="Q7424">
        <v>41</v>
      </c>
      <c r="R7424">
        <v>-74.024699999999996</v>
      </c>
    </row>
    <row r="7425" spans="1:18" x14ac:dyDescent="0.2">
      <c r="A7425" t="s">
        <v>663</v>
      </c>
      <c r="B7425" t="s">
        <v>2493</v>
      </c>
      <c r="C7425">
        <v>1</v>
      </c>
      <c r="D7425" s="1">
        <v>44166.802569444444</v>
      </c>
      <c r="E7425" t="s">
        <v>23307</v>
      </c>
      <c r="F7425" t="s">
        <v>666</v>
      </c>
      <c r="G7425" t="s">
        <v>23307</v>
      </c>
      <c r="H7425" t="s">
        <v>667</v>
      </c>
      <c r="I7425" t="s">
        <v>29</v>
      </c>
      <c r="J7425">
        <v>1</v>
      </c>
      <c r="K7425">
        <f>1-888-268-9204</f>
        <v>-10359</v>
      </c>
      <c r="L7425" t="s">
        <v>23308</v>
      </c>
      <c r="M7425" t="s">
        <v>23309</v>
      </c>
      <c r="N7425">
        <v>192</v>
      </c>
      <c r="O7425" t="s">
        <v>134</v>
      </c>
      <c r="P7425" t="s">
        <v>29</v>
      </c>
      <c r="Q7425">
        <v>41</v>
      </c>
      <c r="R7425">
        <v>-74.024699999999996</v>
      </c>
    </row>
    <row r="7426" spans="1:18" x14ac:dyDescent="0.2">
      <c r="A7426" t="s">
        <v>2349</v>
      </c>
      <c r="B7426" t="s">
        <v>6962</v>
      </c>
      <c r="C7426">
        <v>1</v>
      </c>
      <c r="D7426" s="1">
        <v>44166.80741898148</v>
      </c>
      <c r="E7426" t="s">
        <v>23310</v>
      </c>
      <c r="F7426" t="s">
        <v>2352</v>
      </c>
      <c r="G7426" t="s">
        <v>23310</v>
      </c>
      <c r="H7426" t="s">
        <v>2353</v>
      </c>
      <c r="I7426" t="s">
        <v>29</v>
      </c>
      <c r="J7426">
        <v>1</v>
      </c>
      <c r="K7426">
        <f>1-844-304-2035</f>
        <v>-3182</v>
      </c>
      <c r="L7426" t="s">
        <v>23311</v>
      </c>
      <c r="M7426" t="s">
        <v>23312</v>
      </c>
      <c r="N7426">
        <v>197</v>
      </c>
      <c r="O7426" t="s">
        <v>134</v>
      </c>
      <c r="P7426" t="s">
        <v>29</v>
      </c>
      <c r="Q7426">
        <v>42</v>
      </c>
      <c r="R7426">
        <v>-87.995400000000004</v>
      </c>
    </row>
    <row r="7427" spans="1:18" x14ac:dyDescent="0.2">
      <c r="A7427" t="s">
        <v>2233</v>
      </c>
      <c r="B7427" t="s">
        <v>4672</v>
      </c>
      <c r="C7427">
        <v>1</v>
      </c>
      <c r="D7427" s="1">
        <v>44166.8284375</v>
      </c>
      <c r="E7427" t="s">
        <v>23313</v>
      </c>
      <c r="F7427" t="s">
        <v>2236</v>
      </c>
      <c r="G7427" t="s">
        <v>23314</v>
      </c>
      <c r="H7427" t="s">
        <v>2237</v>
      </c>
      <c r="I7427" t="s">
        <v>29</v>
      </c>
      <c r="J7427">
        <v>1</v>
      </c>
      <c r="K7427">
        <f>1-844-303-8587</f>
        <v>-9733</v>
      </c>
      <c r="L7427" t="s">
        <v>23315</v>
      </c>
      <c r="M7427" t="s">
        <v>23316</v>
      </c>
      <c r="N7427" t="s">
        <v>22454</v>
      </c>
      <c r="O7427" t="s">
        <v>134</v>
      </c>
      <c r="P7427" t="s">
        <v>782</v>
      </c>
      <c r="Q7427">
        <v>-34</v>
      </c>
      <c r="R7427">
        <v>99.999999000000003</v>
      </c>
    </row>
    <row r="7428" spans="1:18" x14ac:dyDescent="0.2">
      <c r="A7428" t="s">
        <v>663</v>
      </c>
      <c r="B7428" t="s">
        <v>2493</v>
      </c>
      <c r="C7428">
        <v>1</v>
      </c>
      <c r="D7428" s="1">
        <v>44166.836712962962</v>
      </c>
      <c r="E7428" t="s">
        <v>23317</v>
      </c>
      <c r="F7428" t="s">
        <v>666</v>
      </c>
      <c r="G7428" t="s">
        <v>23317</v>
      </c>
      <c r="H7428" t="s">
        <v>667</v>
      </c>
      <c r="I7428" t="s">
        <v>29</v>
      </c>
      <c r="J7428">
        <v>1</v>
      </c>
      <c r="K7428">
        <f>1-888-230-4689</f>
        <v>-5806</v>
      </c>
      <c r="L7428" t="s">
        <v>23318</v>
      </c>
      <c r="M7428" t="s">
        <v>23319</v>
      </c>
      <c r="N7428">
        <v>148</v>
      </c>
      <c r="O7428" t="s">
        <v>134</v>
      </c>
      <c r="P7428" t="s">
        <v>29</v>
      </c>
      <c r="Q7428">
        <v>41</v>
      </c>
      <c r="R7428">
        <v>-74.024699999999996</v>
      </c>
    </row>
    <row r="7429" spans="1:18" x14ac:dyDescent="0.2">
      <c r="A7429" t="s">
        <v>663</v>
      </c>
      <c r="B7429" t="s">
        <v>2493</v>
      </c>
      <c r="C7429">
        <v>1</v>
      </c>
      <c r="D7429" s="1">
        <v>44166.836365740739</v>
      </c>
      <c r="E7429" t="s">
        <v>23317</v>
      </c>
      <c r="F7429" t="s">
        <v>666</v>
      </c>
      <c r="G7429" t="s">
        <v>23317</v>
      </c>
      <c r="H7429" t="s">
        <v>667</v>
      </c>
      <c r="I7429" t="s">
        <v>29</v>
      </c>
      <c r="J7429">
        <v>1</v>
      </c>
      <c r="K7429">
        <f>1-888-253-4240</f>
        <v>-5380</v>
      </c>
      <c r="L7429" t="s">
        <v>23320</v>
      </c>
      <c r="M7429" t="s">
        <v>23321</v>
      </c>
      <c r="N7429">
        <v>148</v>
      </c>
      <c r="O7429" t="s">
        <v>134</v>
      </c>
      <c r="P7429" t="s">
        <v>29</v>
      </c>
      <c r="Q7429">
        <v>41</v>
      </c>
      <c r="R7429">
        <v>-74.024699999999996</v>
      </c>
    </row>
    <row r="7430" spans="1:18" x14ac:dyDescent="0.2">
      <c r="A7430" t="s">
        <v>663</v>
      </c>
      <c r="B7430" t="s">
        <v>2493</v>
      </c>
      <c r="C7430">
        <v>1</v>
      </c>
      <c r="D7430" s="1">
        <v>44166.854525462964</v>
      </c>
      <c r="E7430" t="s">
        <v>23322</v>
      </c>
      <c r="F7430" t="s">
        <v>666</v>
      </c>
      <c r="G7430" t="s">
        <v>23322</v>
      </c>
      <c r="H7430" t="s">
        <v>667</v>
      </c>
      <c r="I7430" t="s">
        <v>29</v>
      </c>
      <c r="J7430">
        <v>1</v>
      </c>
      <c r="K7430">
        <f>1-888-210-3115</f>
        <v>-4212</v>
      </c>
      <c r="L7430" t="s">
        <v>23323</v>
      </c>
      <c r="M7430" t="s">
        <v>23324</v>
      </c>
      <c r="N7430">
        <v>215</v>
      </c>
      <c r="O7430" t="s">
        <v>134</v>
      </c>
      <c r="P7430" t="s">
        <v>29</v>
      </c>
      <c r="Q7430">
        <v>41</v>
      </c>
      <c r="R7430">
        <v>-74.024699999999996</v>
      </c>
    </row>
    <row r="7431" spans="1:18" x14ac:dyDescent="0.2">
      <c r="A7431" t="s">
        <v>663</v>
      </c>
      <c r="B7431" t="s">
        <v>2493</v>
      </c>
      <c r="C7431">
        <v>1</v>
      </c>
      <c r="D7431" s="1">
        <v>44166.854456018518</v>
      </c>
      <c r="E7431" t="s">
        <v>23322</v>
      </c>
      <c r="F7431" t="s">
        <v>666</v>
      </c>
      <c r="G7431" t="s">
        <v>23322</v>
      </c>
      <c r="H7431" t="s">
        <v>667</v>
      </c>
      <c r="I7431" t="s">
        <v>29</v>
      </c>
      <c r="J7431">
        <v>1</v>
      </c>
      <c r="K7431">
        <f>1-888-585-7311</f>
        <v>-8783</v>
      </c>
      <c r="L7431" t="s">
        <v>23325</v>
      </c>
      <c r="M7431" t="s">
        <v>23326</v>
      </c>
      <c r="N7431">
        <v>215</v>
      </c>
      <c r="O7431" t="s">
        <v>134</v>
      </c>
      <c r="P7431" t="s">
        <v>29</v>
      </c>
      <c r="Q7431">
        <v>41</v>
      </c>
      <c r="R7431">
        <v>-74.024699999999996</v>
      </c>
    </row>
    <row r="7432" spans="1:18" x14ac:dyDescent="0.2">
      <c r="A7432" t="s">
        <v>663</v>
      </c>
      <c r="B7432" t="s">
        <v>2493</v>
      </c>
      <c r="C7432">
        <v>1</v>
      </c>
      <c r="D7432" s="1">
        <v>44166.854039351849</v>
      </c>
      <c r="E7432" t="s">
        <v>23322</v>
      </c>
      <c r="F7432" t="s">
        <v>666</v>
      </c>
      <c r="G7432" t="s">
        <v>23322</v>
      </c>
      <c r="H7432" t="s">
        <v>667</v>
      </c>
      <c r="I7432" t="s">
        <v>29</v>
      </c>
      <c r="J7432">
        <v>1</v>
      </c>
      <c r="K7432">
        <f>1-888-599-8076</f>
        <v>-9562</v>
      </c>
      <c r="L7432" t="s">
        <v>23327</v>
      </c>
      <c r="M7432" t="s">
        <v>23328</v>
      </c>
      <c r="N7432">
        <v>215</v>
      </c>
      <c r="O7432" t="s">
        <v>134</v>
      </c>
      <c r="P7432" t="s">
        <v>29</v>
      </c>
      <c r="Q7432">
        <v>41</v>
      </c>
      <c r="R7432">
        <v>-74.024699999999996</v>
      </c>
    </row>
    <row r="7433" spans="1:18" x14ac:dyDescent="0.2">
      <c r="A7433" t="s">
        <v>663</v>
      </c>
      <c r="B7433" t="s">
        <v>2493</v>
      </c>
      <c r="C7433">
        <v>1</v>
      </c>
      <c r="D7433" s="1">
        <v>44166.886076388888</v>
      </c>
      <c r="E7433" t="s">
        <v>23329</v>
      </c>
      <c r="F7433" t="s">
        <v>666</v>
      </c>
      <c r="G7433" t="s">
        <v>23329</v>
      </c>
      <c r="H7433" t="s">
        <v>667</v>
      </c>
      <c r="I7433" t="s">
        <v>29</v>
      </c>
      <c r="J7433">
        <v>1</v>
      </c>
      <c r="K7433">
        <f>1-888-223-6179</f>
        <v>-7289</v>
      </c>
      <c r="L7433" t="s">
        <v>23330</v>
      </c>
      <c r="M7433" t="s">
        <v>23331</v>
      </c>
      <c r="N7433">
        <v>237</v>
      </c>
      <c r="O7433" t="s">
        <v>134</v>
      </c>
      <c r="P7433" t="s">
        <v>29</v>
      </c>
      <c r="Q7433">
        <v>41</v>
      </c>
      <c r="R7433">
        <v>-74.024699999999996</v>
      </c>
    </row>
    <row r="7434" spans="1:18" x14ac:dyDescent="0.2">
      <c r="A7434" t="s">
        <v>663</v>
      </c>
      <c r="B7434" t="s">
        <v>2493</v>
      </c>
      <c r="C7434">
        <v>1</v>
      </c>
      <c r="D7434" s="1">
        <v>44166.885995370372</v>
      </c>
      <c r="E7434" t="s">
        <v>23329</v>
      </c>
      <c r="F7434" t="s">
        <v>666</v>
      </c>
      <c r="G7434" t="s">
        <v>23329</v>
      </c>
      <c r="H7434" t="s">
        <v>667</v>
      </c>
      <c r="I7434" t="s">
        <v>29</v>
      </c>
      <c r="J7434">
        <v>1</v>
      </c>
      <c r="K7434">
        <f>1-888-210-6382</f>
        <v>-7479</v>
      </c>
      <c r="L7434" t="s">
        <v>23332</v>
      </c>
      <c r="M7434" t="s">
        <v>23333</v>
      </c>
      <c r="N7434">
        <v>237</v>
      </c>
      <c r="O7434" t="s">
        <v>134</v>
      </c>
      <c r="P7434" t="s">
        <v>29</v>
      </c>
      <c r="Q7434">
        <v>41</v>
      </c>
      <c r="R7434">
        <v>-74.024699999999996</v>
      </c>
    </row>
    <row r="7435" spans="1:18" x14ac:dyDescent="0.2">
      <c r="A7435" t="s">
        <v>663</v>
      </c>
      <c r="B7435" t="s">
        <v>2493</v>
      </c>
      <c r="C7435">
        <v>1</v>
      </c>
      <c r="D7435" s="1">
        <v>44166.885891203703</v>
      </c>
      <c r="E7435" t="s">
        <v>23329</v>
      </c>
      <c r="F7435" t="s">
        <v>666</v>
      </c>
      <c r="G7435" t="s">
        <v>23329</v>
      </c>
      <c r="H7435" t="s">
        <v>667</v>
      </c>
      <c r="I7435" t="s">
        <v>29</v>
      </c>
      <c r="J7435">
        <v>1</v>
      </c>
      <c r="K7435">
        <f>1-888-253-5081</f>
        <v>-6221</v>
      </c>
      <c r="L7435" t="s">
        <v>23334</v>
      </c>
      <c r="M7435" t="s">
        <v>23335</v>
      </c>
      <c r="N7435">
        <v>237</v>
      </c>
      <c r="O7435" t="s">
        <v>134</v>
      </c>
      <c r="P7435" t="s">
        <v>29</v>
      </c>
      <c r="Q7435">
        <v>41</v>
      </c>
      <c r="R7435">
        <v>-74.024699999999996</v>
      </c>
    </row>
    <row r="7436" spans="1:18" x14ac:dyDescent="0.2">
      <c r="A7436" t="s">
        <v>663</v>
      </c>
      <c r="B7436" t="s">
        <v>2493</v>
      </c>
      <c r="C7436">
        <v>1</v>
      </c>
      <c r="D7436" s="1">
        <v>44166.885648148149</v>
      </c>
      <c r="E7436" t="s">
        <v>23329</v>
      </c>
      <c r="F7436" t="s">
        <v>666</v>
      </c>
      <c r="G7436" t="s">
        <v>23329</v>
      </c>
      <c r="H7436" t="s">
        <v>667</v>
      </c>
      <c r="I7436" t="s">
        <v>29</v>
      </c>
      <c r="J7436">
        <v>1</v>
      </c>
      <c r="K7436">
        <f>1-888-257-3981</f>
        <v>-5125</v>
      </c>
      <c r="L7436" t="s">
        <v>23336</v>
      </c>
      <c r="M7436" t="s">
        <v>23337</v>
      </c>
      <c r="N7436">
        <v>237</v>
      </c>
      <c r="O7436" t="s">
        <v>134</v>
      </c>
      <c r="P7436" t="s">
        <v>29</v>
      </c>
      <c r="Q7436">
        <v>41</v>
      </c>
      <c r="R7436">
        <v>-74.024699999999996</v>
      </c>
    </row>
    <row r="7437" spans="1:18" x14ac:dyDescent="0.2">
      <c r="A7437" t="s">
        <v>2233</v>
      </c>
      <c r="B7437" t="s">
        <v>2500</v>
      </c>
      <c r="C7437">
        <v>1</v>
      </c>
      <c r="D7437" s="1">
        <v>44166.893518518518</v>
      </c>
      <c r="E7437" t="s">
        <v>17586</v>
      </c>
      <c r="F7437" t="s">
        <v>2236</v>
      </c>
      <c r="G7437" t="s">
        <v>23338</v>
      </c>
      <c r="H7437" t="s">
        <v>2237</v>
      </c>
      <c r="I7437" t="s">
        <v>29</v>
      </c>
      <c r="J7437">
        <v>1</v>
      </c>
      <c r="K7437">
        <f>1-833-366-7095</f>
        <v>-8293</v>
      </c>
      <c r="L7437" t="s">
        <v>23339</v>
      </c>
      <c r="M7437" t="s">
        <v>23340</v>
      </c>
      <c r="N7437" t="s">
        <v>5354</v>
      </c>
      <c r="O7437" t="s">
        <v>28</v>
      </c>
      <c r="P7437" t="s">
        <v>2500</v>
      </c>
      <c r="Q7437">
        <v>1</v>
      </c>
      <c r="R7437">
        <v>99.999999000000003</v>
      </c>
    </row>
    <row r="7438" spans="1:18" x14ac:dyDescent="0.2">
      <c r="A7438" t="s">
        <v>663</v>
      </c>
      <c r="B7438" t="s">
        <v>2493</v>
      </c>
      <c r="C7438">
        <v>1</v>
      </c>
      <c r="D7438" s="1">
        <v>44166.907708333332</v>
      </c>
      <c r="E7438" t="s">
        <v>23341</v>
      </c>
      <c r="F7438" t="s">
        <v>666</v>
      </c>
      <c r="G7438" t="s">
        <v>23341</v>
      </c>
      <c r="H7438" t="s">
        <v>667</v>
      </c>
      <c r="I7438" t="s">
        <v>29</v>
      </c>
      <c r="J7438">
        <v>1</v>
      </c>
      <c r="K7438">
        <f>1-888-211-6986</f>
        <v>-8084</v>
      </c>
      <c r="L7438" t="s">
        <v>23342</v>
      </c>
      <c r="M7438" t="s">
        <v>23343</v>
      </c>
      <c r="N7438">
        <v>122</v>
      </c>
      <c r="O7438" t="s">
        <v>134</v>
      </c>
      <c r="P7438" t="s">
        <v>29</v>
      </c>
      <c r="Q7438">
        <v>41</v>
      </c>
      <c r="R7438">
        <v>-74.024699999999996</v>
      </c>
    </row>
    <row r="7439" spans="1:18" x14ac:dyDescent="0.2">
      <c r="A7439" t="s">
        <v>663</v>
      </c>
      <c r="B7439" t="s">
        <v>2493</v>
      </c>
      <c r="C7439">
        <v>1</v>
      </c>
      <c r="D7439" s="1">
        <v>44166.902280092596</v>
      </c>
      <c r="E7439" t="s">
        <v>23341</v>
      </c>
      <c r="F7439" t="s">
        <v>666</v>
      </c>
      <c r="G7439" t="s">
        <v>23341</v>
      </c>
      <c r="H7439" t="s">
        <v>667</v>
      </c>
      <c r="I7439" t="s">
        <v>29</v>
      </c>
      <c r="J7439">
        <v>1</v>
      </c>
      <c r="K7439">
        <f>1-888-233-4386</f>
        <v>-5506</v>
      </c>
      <c r="L7439" t="s">
        <v>23344</v>
      </c>
      <c r="M7439" t="s">
        <v>23345</v>
      </c>
      <c r="N7439">
        <v>122</v>
      </c>
      <c r="O7439" t="s">
        <v>134</v>
      </c>
      <c r="P7439" t="s">
        <v>29</v>
      </c>
      <c r="Q7439">
        <v>41</v>
      </c>
      <c r="R7439">
        <v>-74.024699999999996</v>
      </c>
    </row>
    <row r="7440" spans="1:18" x14ac:dyDescent="0.2">
      <c r="A7440" t="s">
        <v>663</v>
      </c>
      <c r="B7440" t="s">
        <v>2493</v>
      </c>
      <c r="C7440">
        <v>1</v>
      </c>
      <c r="D7440" s="1">
        <v>44166.923831018517</v>
      </c>
      <c r="E7440" t="s">
        <v>23346</v>
      </c>
      <c r="F7440" t="s">
        <v>666</v>
      </c>
      <c r="G7440" t="s">
        <v>23346</v>
      </c>
      <c r="H7440" t="s">
        <v>667</v>
      </c>
      <c r="I7440" t="s">
        <v>29</v>
      </c>
      <c r="J7440">
        <v>1</v>
      </c>
      <c r="K7440">
        <f>1-888-202-778</f>
        <v>-1867</v>
      </c>
      <c r="L7440" t="s">
        <v>23347</v>
      </c>
      <c r="M7440" t="s">
        <v>23348</v>
      </c>
      <c r="N7440">
        <v>80</v>
      </c>
      <c r="O7440" t="s">
        <v>134</v>
      </c>
      <c r="P7440" t="s">
        <v>29</v>
      </c>
      <c r="Q7440">
        <v>41</v>
      </c>
      <c r="R7440">
        <v>-74.024699999999996</v>
      </c>
    </row>
    <row r="7441" spans="1:18" x14ac:dyDescent="0.2">
      <c r="A7441" t="s">
        <v>663</v>
      </c>
      <c r="B7441" t="s">
        <v>2493</v>
      </c>
      <c r="C7441">
        <v>1</v>
      </c>
      <c r="D7441" s="1">
        <v>44166.923738425925</v>
      </c>
      <c r="E7441" t="s">
        <v>23346</v>
      </c>
      <c r="F7441" t="s">
        <v>666</v>
      </c>
      <c r="G7441" t="s">
        <v>23346</v>
      </c>
      <c r="H7441" t="s">
        <v>667</v>
      </c>
      <c r="I7441" t="s">
        <v>29</v>
      </c>
      <c r="J7441">
        <v>1</v>
      </c>
      <c r="K7441">
        <f>1-888-258-5807</f>
        <v>-6952</v>
      </c>
      <c r="L7441" t="s">
        <v>23349</v>
      </c>
      <c r="M7441" t="s">
        <v>23350</v>
      </c>
      <c r="N7441">
        <v>80</v>
      </c>
      <c r="O7441" t="s">
        <v>134</v>
      </c>
      <c r="P7441" t="s">
        <v>29</v>
      </c>
      <c r="Q7441">
        <v>41</v>
      </c>
      <c r="R7441">
        <v>-74.024699999999996</v>
      </c>
    </row>
    <row r="7442" spans="1:18" x14ac:dyDescent="0.2">
      <c r="A7442" t="s">
        <v>663</v>
      </c>
      <c r="B7442" t="s">
        <v>2493</v>
      </c>
      <c r="C7442">
        <v>1</v>
      </c>
      <c r="D7442" s="1">
        <v>44166.923587962963</v>
      </c>
      <c r="E7442" t="s">
        <v>23346</v>
      </c>
      <c r="F7442" t="s">
        <v>666</v>
      </c>
      <c r="G7442" t="s">
        <v>23346</v>
      </c>
      <c r="H7442" t="s">
        <v>667</v>
      </c>
      <c r="I7442" t="s">
        <v>29</v>
      </c>
      <c r="J7442">
        <v>1</v>
      </c>
      <c r="K7442">
        <f>1-888-598-145</f>
        <v>-1630</v>
      </c>
      <c r="L7442" t="s">
        <v>23351</v>
      </c>
      <c r="M7442" t="s">
        <v>23352</v>
      </c>
      <c r="N7442">
        <v>80</v>
      </c>
      <c r="O7442" t="s">
        <v>134</v>
      </c>
      <c r="P7442" t="s">
        <v>29</v>
      </c>
      <c r="Q7442">
        <v>41</v>
      </c>
      <c r="R7442">
        <v>-74.024699999999996</v>
      </c>
    </row>
    <row r="7443" spans="1:18" x14ac:dyDescent="0.2">
      <c r="A7443" t="s">
        <v>2233</v>
      </c>
      <c r="B7443" t="s">
        <v>2234</v>
      </c>
      <c r="C7443">
        <v>1</v>
      </c>
      <c r="D7443" s="1">
        <v>44166.963969907411</v>
      </c>
      <c r="E7443" t="s">
        <v>23353</v>
      </c>
      <c r="F7443" t="s">
        <v>2236</v>
      </c>
      <c r="G7443" t="s">
        <v>23354</v>
      </c>
      <c r="H7443" t="s">
        <v>2237</v>
      </c>
      <c r="I7443" t="s">
        <v>29</v>
      </c>
      <c r="J7443">
        <v>1</v>
      </c>
      <c r="K7443">
        <f>1-844-303-7542</f>
        <v>-8688</v>
      </c>
      <c r="L7443" t="s">
        <v>23355</v>
      </c>
      <c r="M7443" t="s">
        <v>23356</v>
      </c>
      <c r="N7443" t="s">
        <v>5354</v>
      </c>
      <c r="O7443" t="s">
        <v>28</v>
      </c>
      <c r="P7443" t="s">
        <v>29</v>
      </c>
      <c r="Q7443">
        <v>40</v>
      </c>
      <c r="R7443">
        <v>-83.114099999999993</v>
      </c>
    </row>
    <row r="7444" spans="1:18" x14ac:dyDescent="0.2">
      <c r="A7444" t="s">
        <v>663</v>
      </c>
      <c r="B7444" t="s">
        <v>2493</v>
      </c>
      <c r="C7444">
        <v>1</v>
      </c>
      <c r="D7444" s="1">
        <v>44167.023518518516</v>
      </c>
      <c r="E7444" t="s">
        <v>23357</v>
      </c>
      <c r="F7444" t="s">
        <v>666</v>
      </c>
      <c r="G7444" t="s">
        <v>23357</v>
      </c>
      <c r="H7444" t="s">
        <v>667</v>
      </c>
      <c r="I7444" t="s">
        <v>29</v>
      </c>
      <c r="J7444">
        <v>1</v>
      </c>
      <c r="K7444">
        <f>1-888-585-4307</f>
        <v>-5779</v>
      </c>
      <c r="L7444" t="s">
        <v>23358</v>
      </c>
      <c r="M7444" t="s">
        <v>23359</v>
      </c>
      <c r="N7444">
        <v>186</v>
      </c>
      <c r="O7444" t="s">
        <v>134</v>
      </c>
      <c r="P7444" t="s">
        <v>29</v>
      </c>
      <c r="Q7444">
        <v>41</v>
      </c>
      <c r="R7444">
        <v>-74.024699999999996</v>
      </c>
    </row>
    <row r="7445" spans="1:18" x14ac:dyDescent="0.2">
      <c r="A7445" t="s">
        <v>2233</v>
      </c>
      <c r="B7445" t="s">
        <v>4672</v>
      </c>
      <c r="C7445">
        <v>44</v>
      </c>
      <c r="D7445" s="1">
        <v>44167.533888888887</v>
      </c>
      <c r="E7445" t="s">
        <v>23360</v>
      </c>
      <c r="F7445" t="s">
        <v>2236</v>
      </c>
      <c r="G7445" t="s">
        <v>23361</v>
      </c>
      <c r="H7445" t="s">
        <v>2237</v>
      </c>
      <c r="I7445" t="s">
        <v>618</v>
      </c>
      <c r="J7445">
        <v>44</v>
      </c>
      <c r="K7445">
        <f>44-203-885-722</f>
        <v>-1766</v>
      </c>
      <c r="L7445" t="s">
        <v>23362</v>
      </c>
      <c r="M7445" t="s">
        <v>23363</v>
      </c>
      <c r="N7445" t="s">
        <v>22454</v>
      </c>
      <c r="O7445" t="s">
        <v>134</v>
      </c>
      <c r="P7445" t="s">
        <v>782</v>
      </c>
      <c r="Q7445">
        <v>-34</v>
      </c>
      <c r="R7445">
        <v>99.999999000000003</v>
      </c>
    </row>
    <row r="7446" spans="1:18" x14ac:dyDescent="0.2">
      <c r="A7446" t="s">
        <v>270</v>
      </c>
      <c r="B7446" t="s">
        <v>271</v>
      </c>
      <c r="C7446">
        <v>1</v>
      </c>
      <c r="D7446" s="1">
        <v>44167.748391203706</v>
      </c>
      <c r="E7446" t="s">
        <v>23364</v>
      </c>
      <c r="F7446" t="s">
        <v>273</v>
      </c>
      <c r="G7446" t="s">
        <v>23365</v>
      </c>
      <c r="H7446" t="s">
        <v>275</v>
      </c>
      <c r="I7446" t="s">
        <v>29</v>
      </c>
      <c r="J7446">
        <v>1</v>
      </c>
      <c r="K7446">
        <f>1-833-559-428</f>
        <v>-1819</v>
      </c>
      <c r="L7446" t="s">
        <v>23366</v>
      </c>
      <c r="M7446" t="s">
        <v>23367</v>
      </c>
      <c r="N7446" t="s">
        <v>278</v>
      </c>
      <c r="O7446" t="s">
        <v>28</v>
      </c>
      <c r="P7446" t="s">
        <v>29</v>
      </c>
      <c r="Q7446">
        <v>42</v>
      </c>
      <c r="R7446">
        <v>-93.620800000000003</v>
      </c>
    </row>
    <row r="7447" spans="1:18" x14ac:dyDescent="0.2">
      <c r="A7447" t="s">
        <v>663</v>
      </c>
      <c r="B7447" t="s">
        <v>2493</v>
      </c>
      <c r="C7447">
        <v>1</v>
      </c>
      <c r="D7447" s="1">
        <v>44167.75445601852</v>
      </c>
      <c r="E7447" t="s">
        <v>23368</v>
      </c>
      <c r="F7447" t="s">
        <v>666</v>
      </c>
      <c r="G7447" t="s">
        <v>23368</v>
      </c>
      <c r="H7447" t="s">
        <v>667</v>
      </c>
      <c r="I7447" t="s">
        <v>29</v>
      </c>
      <c r="J7447">
        <v>1</v>
      </c>
      <c r="K7447">
        <f>1-888-598-1532</f>
        <v>-3017</v>
      </c>
      <c r="L7447" t="s">
        <v>23369</v>
      </c>
      <c r="M7447" t="s">
        <v>23370</v>
      </c>
      <c r="N7447">
        <v>212</v>
      </c>
      <c r="O7447" t="s">
        <v>134</v>
      </c>
      <c r="P7447" t="s">
        <v>29</v>
      </c>
      <c r="Q7447">
        <v>41</v>
      </c>
      <c r="R7447">
        <v>-74.024699999999996</v>
      </c>
    </row>
    <row r="7448" spans="1:18" x14ac:dyDescent="0.2">
      <c r="A7448" t="s">
        <v>663</v>
      </c>
      <c r="B7448" t="s">
        <v>2493</v>
      </c>
      <c r="C7448">
        <v>1</v>
      </c>
      <c r="D7448" s="1">
        <v>44167.754386574074</v>
      </c>
      <c r="E7448" t="s">
        <v>23368</v>
      </c>
      <c r="F7448" t="s">
        <v>666</v>
      </c>
      <c r="G7448" t="s">
        <v>23368</v>
      </c>
      <c r="H7448" t="s">
        <v>667</v>
      </c>
      <c r="I7448" t="s">
        <v>29</v>
      </c>
      <c r="J7448">
        <v>1</v>
      </c>
      <c r="K7448">
        <f>1-888-705-836</f>
        <v>-2428</v>
      </c>
      <c r="L7448" t="s">
        <v>23371</v>
      </c>
      <c r="M7448" t="s">
        <v>23372</v>
      </c>
      <c r="N7448">
        <v>212</v>
      </c>
      <c r="O7448" t="s">
        <v>134</v>
      </c>
      <c r="P7448" t="s">
        <v>29</v>
      </c>
      <c r="Q7448">
        <v>41</v>
      </c>
      <c r="R7448">
        <v>-74.024699999999996</v>
      </c>
    </row>
    <row r="7449" spans="1:18" x14ac:dyDescent="0.2">
      <c r="A7449" t="s">
        <v>663</v>
      </c>
      <c r="B7449" t="s">
        <v>2493</v>
      </c>
      <c r="C7449">
        <v>1</v>
      </c>
      <c r="D7449" s="1">
        <v>44167.754282407404</v>
      </c>
      <c r="E7449" t="s">
        <v>23368</v>
      </c>
      <c r="F7449" t="s">
        <v>666</v>
      </c>
      <c r="G7449" t="s">
        <v>23368</v>
      </c>
      <c r="H7449" t="s">
        <v>667</v>
      </c>
      <c r="I7449" t="s">
        <v>29</v>
      </c>
      <c r="J7449">
        <v>1</v>
      </c>
      <c r="K7449">
        <f>1-888-269-8394</f>
        <v>-9550</v>
      </c>
      <c r="L7449" t="s">
        <v>23373</v>
      </c>
      <c r="M7449" t="s">
        <v>23374</v>
      </c>
      <c r="N7449">
        <v>212</v>
      </c>
      <c r="O7449" t="s">
        <v>134</v>
      </c>
      <c r="P7449" t="s">
        <v>29</v>
      </c>
      <c r="Q7449">
        <v>41</v>
      </c>
      <c r="R7449">
        <v>-74.024699999999996</v>
      </c>
    </row>
    <row r="7450" spans="1:18" x14ac:dyDescent="0.2">
      <c r="A7450" t="s">
        <v>663</v>
      </c>
      <c r="B7450" t="s">
        <v>2493</v>
      </c>
      <c r="C7450">
        <v>1</v>
      </c>
      <c r="D7450" s="1">
        <v>44167.754166666666</v>
      </c>
      <c r="E7450" t="s">
        <v>23368</v>
      </c>
      <c r="F7450" t="s">
        <v>666</v>
      </c>
      <c r="G7450" t="s">
        <v>23368</v>
      </c>
      <c r="H7450" t="s">
        <v>667</v>
      </c>
      <c r="I7450" t="s">
        <v>29</v>
      </c>
      <c r="J7450">
        <v>1</v>
      </c>
      <c r="K7450">
        <f>1-888-598-1510</f>
        <v>-2995</v>
      </c>
      <c r="L7450" t="s">
        <v>23375</v>
      </c>
      <c r="M7450" t="s">
        <v>23376</v>
      </c>
      <c r="N7450">
        <v>212</v>
      </c>
      <c r="O7450" t="s">
        <v>134</v>
      </c>
      <c r="P7450" t="s">
        <v>29</v>
      </c>
      <c r="Q7450">
        <v>41</v>
      </c>
      <c r="R7450">
        <v>-74.024699999999996</v>
      </c>
    </row>
    <row r="7451" spans="1:18" x14ac:dyDescent="0.2">
      <c r="A7451" t="s">
        <v>663</v>
      </c>
      <c r="B7451" t="s">
        <v>2493</v>
      </c>
      <c r="C7451">
        <v>1</v>
      </c>
      <c r="D7451" s="1">
        <v>44167.779074074075</v>
      </c>
      <c r="E7451" t="s">
        <v>23377</v>
      </c>
      <c r="F7451" t="s">
        <v>666</v>
      </c>
      <c r="G7451" t="s">
        <v>23377</v>
      </c>
      <c r="H7451" t="s">
        <v>667</v>
      </c>
      <c r="I7451" t="s">
        <v>29</v>
      </c>
      <c r="J7451">
        <v>1</v>
      </c>
      <c r="K7451">
        <f>1-888-635-7613</f>
        <v>-9135</v>
      </c>
      <c r="L7451" t="s">
        <v>23378</v>
      </c>
      <c r="M7451" t="s">
        <v>23379</v>
      </c>
      <c r="N7451">
        <v>25</v>
      </c>
      <c r="O7451" t="s">
        <v>134</v>
      </c>
      <c r="P7451" t="s">
        <v>29</v>
      </c>
      <c r="Q7451">
        <v>41</v>
      </c>
      <c r="R7451">
        <v>-74.024699999999996</v>
      </c>
    </row>
    <row r="7452" spans="1:18" x14ac:dyDescent="0.2">
      <c r="A7452" t="s">
        <v>663</v>
      </c>
      <c r="B7452" t="s">
        <v>2493</v>
      </c>
      <c r="C7452">
        <v>1</v>
      </c>
      <c r="D7452" s="1">
        <v>44167.778854166667</v>
      </c>
      <c r="E7452" t="s">
        <v>23377</v>
      </c>
      <c r="F7452" t="s">
        <v>666</v>
      </c>
      <c r="G7452" t="s">
        <v>23377</v>
      </c>
      <c r="H7452" t="s">
        <v>667</v>
      </c>
      <c r="I7452" t="s">
        <v>29</v>
      </c>
      <c r="J7452">
        <v>1</v>
      </c>
      <c r="K7452">
        <f>1-888-585-4306</f>
        <v>-5778</v>
      </c>
      <c r="L7452" t="s">
        <v>23380</v>
      </c>
      <c r="M7452" t="s">
        <v>23381</v>
      </c>
      <c r="N7452">
        <v>25</v>
      </c>
      <c r="O7452" t="s">
        <v>134</v>
      </c>
      <c r="P7452" t="s">
        <v>29</v>
      </c>
      <c r="Q7452">
        <v>41</v>
      </c>
      <c r="R7452">
        <v>-74.024699999999996</v>
      </c>
    </row>
    <row r="7453" spans="1:18" x14ac:dyDescent="0.2">
      <c r="A7453" t="s">
        <v>663</v>
      </c>
      <c r="B7453" t="s">
        <v>2493</v>
      </c>
      <c r="C7453">
        <v>1</v>
      </c>
      <c r="D7453" s="1">
        <v>44167.779270833336</v>
      </c>
      <c r="E7453" t="s">
        <v>23382</v>
      </c>
      <c r="F7453" t="s">
        <v>666</v>
      </c>
      <c r="G7453" t="s">
        <v>23382</v>
      </c>
      <c r="H7453" t="s">
        <v>667</v>
      </c>
      <c r="I7453" t="s">
        <v>29</v>
      </c>
      <c r="J7453">
        <v>1</v>
      </c>
      <c r="K7453">
        <f>1-888-594-3239</f>
        <v>-4720</v>
      </c>
      <c r="L7453" t="s">
        <v>23383</v>
      </c>
      <c r="M7453" t="s">
        <v>23384</v>
      </c>
      <c r="N7453">
        <v>91</v>
      </c>
      <c r="O7453" t="s">
        <v>134</v>
      </c>
      <c r="P7453" t="s">
        <v>29</v>
      </c>
      <c r="Q7453">
        <v>41</v>
      </c>
      <c r="R7453">
        <v>-74.024699999999996</v>
      </c>
    </row>
    <row r="7454" spans="1:18" x14ac:dyDescent="0.2">
      <c r="A7454" t="s">
        <v>663</v>
      </c>
      <c r="B7454" t="s">
        <v>2493</v>
      </c>
      <c r="C7454">
        <v>1</v>
      </c>
      <c r="D7454" s="1">
        <v>44167.779178240744</v>
      </c>
      <c r="E7454" t="s">
        <v>23382</v>
      </c>
      <c r="F7454" t="s">
        <v>666</v>
      </c>
      <c r="G7454" t="s">
        <v>23382</v>
      </c>
      <c r="H7454" t="s">
        <v>667</v>
      </c>
      <c r="I7454" t="s">
        <v>29</v>
      </c>
      <c r="J7454">
        <v>1</v>
      </c>
      <c r="K7454">
        <f>1-888-690-835</f>
        <v>-2412</v>
      </c>
      <c r="L7454" t="s">
        <v>23385</v>
      </c>
      <c r="M7454" t="s">
        <v>23386</v>
      </c>
      <c r="N7454">
        <v>91</v>
      </c>
      <c r="O7454" t="s">
        <v>134</v>
      </c>
      <c r="P7454" t="s">
        <v>29</v>
      </c>
      <c r="Q7454">
        <v>41</v>
      </c>
      <c r="R7454">
        <v>-74.024699999999996</v>
      </c>
    </row>
    <row r="7455" spans="1:18" x14ac:dyDescent="0.2">
      <c r="A7455" t="s">
        <v>663</v>
      </c>
      <c r="B7455" t="s">
        <v>2493</v>
      </c>
      <c r="C7455">
        <v>1</v>
      </c>
      <c r="D7455" s="1">
        <v>44167.829201388886</v>
      </c>
      <c r="E7455" t="s">
        <v>23387</v>
      </c>
      <c r="F7455" t="s">
        <v>666</v>
      </c>
      <c r="G7455" t="s">
        <v>23387</v>
      </c>
      <c r="H7455" t="s">
        <v>667</v>
      </c>
      <c r="I7455" t="s">
        <v>29</v>
      </c>
      <c r="J7455">
        <v>1</v>
      </c>
      <c r="K7455">
        <f>1-888-614-8597</f>
        <v>-10098</v>
      </c>
      <c r="L7455" t="s">
        <v>23388</v>
      </c>
      <c r="M7455" t="s">
        <v>23389</v>
      </c>
      <c r="N7455">
        <v>195</v>
      </c>
      <c r="O7455" t="s">
        <v>134</v>
      </c>
      <c r="P7455" t="s">
        <v>29</v>
      </c>
      <c r="Q7455">
        <v>41</v>
      </c>
      <c r="R7455">
        <v>-74.024699999999996</v>
      </c>
    </row>
    <row r="7456" spans="1:18" x14ac:dyDescent="0.2">
      <c r="A7456" t="s">
        <v>663</v>
      </c>
      <c r="B7456" t="s">
        <v>2493</v>
      </c>
      <c r="C7456">
        <v>1</v>
      </c>
      <c r="D7456" s="1">
        <v>44167.863645833335</v>
      </c>
      <c r="E7456" t="s">
        <v>23390</v>
      </c>
      <c r="F7456" t="s">
        <v>666</v>
      </c>
      <c r="G7456" t="s">
        <v>23390</v>
      </c>
      <c r="H7456" t="s">
        <v>667</v>
      </c>
      <c r="I7456" t="s">
        <v>29</v>
      </c>
      <c r="J7456">
        <v>1</v>
      </c>
      <c r="K7456">
        <f>1-888-690-927</f>
        <v>-2504</v>
      </c>
      <c r="L7456" t="s">
        <v>23391</v>
      </c>
      <c r="M7456" t="s">
        <v>23392</v>
      </c>
      <c r="N7456">
        <v>140</v>
      </c>
      <c r="O7456" t="s">
        <v>134</v>
      </c>
      <c r="P7456" t="s">
        <v>29</v>
      </c>
      <c r="Q7456">
        <v>41</v>
      </c>
      <c r="R7456">
        <v>-74.024699999999996</v>
      </c>
    </row>
    <row r="7457" spans="1:18" x14ac:dyDescent="0.2">
      <c r="A7457" t="s">
        <v>663</v>
      </c>
      <c r="B7457" t="s">
        <v>2493</v>
      </c>
      <c r="C7457">
        <v>1</v>
      </c>
      <c r="D7457" s="1">
        <v>44167.857847222222</v>
      </c>
      <c r="E7457" t="s">
        <v>23390</v>
      </c>
      <c r="F7457" t="s">
        <v>666</v>
      </c>
      <c r="G7457" t="s">
        <v>23390</v>
      </c>
      <c r="H7457" t="s">
        <v>667</v>
      </c>
      <c r="I7457" t="s">
        <v>29</v>
      </c>
      <c r="J7457">
        <v>1</v>
      </c>
      <c r="K7457">
        <f>1-888-614-4841</f>
        <v>-6342</v>
      </c>
      <c r="L7457" t="s">
        <v>23393</v>
      </c>
      <c r="M7457" t="s">
        <v>23394</v>
      </c>
      <c r="N7457">
        <v>140</v>
      </c>
      <c r="O7457" t="s">
        <v>134</v>
      </c>
      <c r="P7457" t="s">
        <v>29</v>
      </c>
      <c r="Q7457">
        <v>41</v>
      </c>
      <c r="R7457">
        <v>-74.024699999999996</v>
      </c>
    </row>
    <row r="7458" spans="1:18" x14ac:dyDescent="0.2">
      <c r="A7458" t="s">
        <v>663</v>
      </c>
      <c r="B7458" t="s">
        <v>2493</v>
      </c>
      <c r="C7458">
        <v>1</v>
      </c>
      <c r="D7458" s="1">
        <v>44167.884108796294</v>
      </c>
      <c r="E7458" t="s">
        <v>23395</v>
      </c>
      <c r="F7458" t="s">
        <v>666</v>
      </c>
      <c r="G7458" t="s">
        <v>23395</v>
      </c>
      <c r="H7458" t="s">
        <v>667</v>
      </c>
      <c r="I7458" t="s">
        <v>29</v>
      </c>
      <c r="J7458">
        <v>1</v>
      </c>
      <c r="K7458">
        <f>1-888-600-7051</f>
        <v>-8538</v>
      </c>
      <c r="L7458" t="s">
        <v>23396</v>
      </c>
      <c r="M7458" t="s">
        <v>23397</v>
      </c>
      <c r="N7458">
        <v>89</v>
      </c>
      <c r="O7458" t="s">
        <v>134</v>
      </c>
      <c r="P7458" t="s">
        <v>29</v>
      </c>
      <c r="Q7458">
        <v>41</v>
      </c>
      <c r="R7458">
        <v>-74.024699999999996</v>
      </c>
    </row>
    <row r="7459" spans="1:18" x14ac:dyDescent="0.2">
      <c r="A7459" t="s">
        <v>663</v>
      </c>
      <c r="B7459" t="s">
        <v>2493</v>
      </c>
      <c r="C7459">
        <v>1</v>
      </c>
      <c r="D7459" s="1">
        <v>44167.883692129632</v>
      </c>
      <c r="E7459" t="s">
        <v>23395</v>
      </c>
      <c r="F7459" t="s">
        <v>666</v>
      </c>
      <c r="G7459" t="s">
        <v>23395</v>
      </c>
      <c r="H7459" t="s">
        <v>667</v>
      </c>
      <c r="I7459" t="s">
        <v>29</v>
      </c>
      <c r="J7459">
        <v>1</v>
      </c>
      <c r="K7459">
        <f>1-888-216-2715</f>
        <v>-3818</v>
      </c>
      <c r="L7459" t="s">
        <v>23398</v>
      </c>
      <c r="M7459" t="s">
        <v>23399</v>
      </c>
      <c r="N7459">
        <v>89</v>
      </c>
      <c r="O7459" t="s">
        <v>134</v>
      </c>
      <c r="P7459" t="s">
        <v>29</v>
      </c>
      <c r="Q7459">
        <v>41</v>
      </c>
      <c r="R7459">
        <v>-74.024699999999996</v>
      </c>
    </row>
    <row r="7460" spans="1:18" x14ac:dyDescent="0.2">
      <c r="A7460" t="s">
        <v>2233</v>
      </c>
      <c r="B7460" t="s">
        <v>4672</v>
      </c>
      <c r="C7460">
        <v>1</v>
      </c>
      <c r="D7460" s="1">
        <v>44167.884236111109</v>
      </c>
      <c r="E7460" t="s">
        <v>23400</v>
      </c>
      <c r="F7460" t="s">
        <v>7023</v>
      </c>
      <c r="G7460" t="s">
        <v>23401</v>
      </c>
      <c r="H7460" t="s">
        <v>2237</v>
      </c>
      <c r="I7460" t="s">
        <v>29</v>
      </c>
      <c r="J7460">
        <v>1</v>
      </c>
      <c r="K7460">
        <f>1-844-469-9793</f>
        <v>-11105</v>
      </c>
      <c r="L7460" t="s">
        <v>23402</v>
      </c>
      <c r="M7460" t="s">
        <v>23403</v>
      </c>
      <c r="N7460" t="s">
        <v>22454</v>
      </c>
      <c r="O7460" t="s">
        <v>134</v>
      </c>
      <c r="P7460" t="s">
        <v>782</v>
      </c>
      <c r="Q7460">
        <v>-34</v>
      </c>
      <c r="R7460">
        <v>99.999999000000003</v>
      </c>
    </row>
    <row r="7461" spans="1:18" x14ac:dyDescent="0.2">
      <c r="A7461" t="s">
        <v>2233</v>
      </c>
      <c r="B7461" t="s">
        <v>4672</v>
      </c>
      <c r="C7461">
        <v>1</v>
      </c>
      <c r="D7461" s="1">
        <v>44167.944398148145</v>
      </c>
      <c r="E7461" t="s">
        <v>23404</v>
      </c>
      <c r="F7461" t="s">
        <v>7023</v>
      </c>
      <c r="G7461" t="s">
        <v>23405</v>
      </c>
      <c r="H7461" t="s">
        <v>2237</v>
      </c>
      <c r="I7461" t="s">
        <v>29</v>
      </c>
      <c r="J7461">
        <v>1</v>
      </c>
      <c r="K7461">
        <f>1-844-303-2614</f>
        <v>-3760</v>
      </c>
      <c r="L7461" t="s">
        <v>23406</v>
      </c>
      <c r="M7461" t="s">
        <v>23407</v>
      </c>
      <c r="N7461" t="s">
        <v>22454</v>
      </c>
      <c r="O7461" t="s">
        <v>134</v>
      </c>
      <c r="P7461" t="s">
        <v>782</v>
      </c>
      <c r="Q7461">
        <v>-34</v>
      </c>
      <c r="R7461">
        <v>99.999999000000003</v>
      </c>
    </row>
    <row r="7462" spans="1:18" x14ac:dyDescent="0.2">
      <c r="A7462" t="s">
        <v>663</v>
      </c>
      <c r="B7462" t="s">
        <v>2493</v>
      </c>
      <c r="C7462">
        <v>1</v>
      </c>
      <c r="D7462" s="1">
        <v>44168.727094907408</v>
      </c>
      <c r="E7462" t="s">
        <v>23408</v>
      </c>
      <c r="F7462" t="s">
        <v>666</v>
      </c>
      <c r="G7462" t="s">
        <v>23408</v>
      </c>
      <c r="H7462" t="s">
        <v>667</v>
      </c>
      <c r="I7462" t="s">
        <v>29</v>
      </c>
      <c r="J7462">
        <v>1</v>
      </c>
      <c r="K7462">
        <f>1-888-212-5641</f>
        <v>-6740</v>
      </c>
      <c r="L7462" t="s">
        <v>23409</v>
      </c>
      <c r="M7462" t="s">
        <v>23410</v>
      </c>
      <c r="N7462">
        <v>41</v>
      </c>
      <c r="O7462" t="s">
        <v>134</v>
      </c>
      <c r="P7462" t="s">
        <v>29</v>
      </c>
      <c r="Q7462">
        <v>41</v>
      </c>
      <c r="R7462">
        <v>-74.024699999999996</v>
      </c>
    </row>
    <row r="7463" spans="1:18" x14ac:dyDescent="0.2">
      <c r="A7463" t="s">
        <v>663</v>
      </c>
      <c r="B7463" t="s">
        <v>2493</v>
      </c>
      <c r="C7463">
        <v>1</v>
      </c>
      <c r="D7463" s="1">
        <v>44168.724814814814</v>
      </c>
      <c r="E7463" t="s">
        <v>23408</v>
      </c>
      <c r="F7463" t="s">
        <v>666</v>
      </c>
      <c r="G7463" t="s">
        <v>23408</v>
      </c>
      <c r="H7463" t="s">
        <v>667</v>
      </c>
      <c r="I7463" t="s">
        <v>29</v>
      </c>
      <c r="J7463">
        <v>1</v>
      </c>
      <c r="K7463">
        <f>1-888-585-4129</f>
        <v>-5601</v>
      </c>
      <c r="L7463" t="s">
        <v>23411</v>
      </c>
      <c r="M7463" t="s">
        <v>23412</v>
      </c>
      <c r="N7463">
        <v>41</v>
      </c>
      <c r="O7463" t="s">
        <v>134</v>
      </c>
      <c r="P7463" t="s">
        <v>29</v>
      </c>
      <c r="Q7463">
        <v>41</v>
      </c>
      <c r="R7463">
        <v>-74.024699999999996</v>
      </c>
    </row>
    <row r="7464" spans="1:18" x14ac:dyDescent="0.2">
      <c r="A7464" t="s">
        <v>2233</v>
      </c>
      <c r="B7464" t="s">
        <v>2234</v>
      </c>
      <c r="C7464">
        <v>32</v>
      </c>
      <c r="D7464" s="1">
        <v>44169.438854166663</v>
      </c>
      <c r="E7464" t="s">
        <v>23413</v>
      </c>
      <c r="F7464" t="s">
        <v>2236</v>
      </c>
      <c r="G7464" t="s">
        <v>23413</v>
      </c>
      <c r="H7464" t="s">
        <v>2237</v>
      </c>
      <c r="I7464" t="s">
        <v>4288</v>
      </c>
      <c r="J7464">
        <v>32</v>
      </c>
      <c r="K7464">
        <f>32-466-90-17-99</f>
        <v>-640</v>
      </c>
      <c r="L7464" t="s">
        <v>23414</v>
      </c>
      <c r="M7464" t="s">
        <v>23415</v>
      </c>
      <c r="N7464">
        <v>136</v>
      </c>
      <c r="O7464" t="s">
        <v>134</v>
      </c>
      <c r="P7464" t="s">
        <v>6188</v>
      </c>
      <c r="Q7464">
        <v>53</v>
      </c>
      <c r="R7464">
        <v>-6.2603099999999996</v>
      </c>
    </row>
    <row r="7465" spans="1:18" x14ac:dyDescent="0.2">
      <c r="A7465" t="s">
        <v>2233</v>
      </c>
      <c r="B7465" t="s">
        <v>2234</v>
      </c>
      <c r="C7465">
        <v>41</v>
      </c>
      <c r="D7465" s="1">
        <v>44169.437268518515</v>
      </c>
      <c r="E7465" t="s">
        <v>23413</v>
      </c>
      <c r="F7465" t="s">
        <v>2236</v>
      </c>
      <c r="G7465" t="s">
        <v>23413</v>
      </c>
      <c r="H7465" t="s">
        <v>2237</v>
      </c>
      <c r="I7465" t="s">
        <v>204</v>
      </c>
      <c r="J7465">
        <v>41</v>
      </c>
      <c r="K7465">
        <f>41-44-586-76-58</f>
        <v>-723</v>
      </c>
      <c r="L7465" t="s">
        <v>23416</v>
      </c>
      <c r="M7465" t="s">
        <v>23417</v>
      </c>
      <c r="N7465">
        <v>136</v>
      </c>
      <c r="O7465" t="s">
        <v>134</v>
      </c>
      <c r="P7465" t="s">
        <v>6188</v>
      </c>
      <c r="Q7465">
        <v>53</v>
      </c>
      <c r="R7465">
        <v>-6.2603099999999996</v>
      </c>
    </row>
    <row r="7466" spans="1:18" x14ac:dyDescent="0.2">
      <c r="A7466" t="s">
        <v>663</v>
      </c>
      <c r="B7466" t="s">
        <v>2493</v>
      </c>
      <c r="C7466">
        <v>61</v>
      </c>
      <c r="D7466" s="1">
        <v>44169.38013888889</v>
      </c>
      <c r="E7466" t="s">
        <v>23418</v>
      </c>
      <c r="F7466" t="s">
        <v>666</v>
      </c>
      <c r="G7466" t="s">
        <v>23418</v>
      </c>
      <c r="H7466" t="s">
        <v>667</v>
      </c>
      <c r="I7466" t="s">
        <v>782</v>
      </c>
      <c r="J7466">
        <v>61</v>
      </c>
      <c r="K7466">
        <f>61-1800-531-564</f>
        <v>-2834</v>
      </c>
      <c r="L7466" t="s">
        <v>23419</v>
      </c>
      <c r="M7466" t="s">
        <v>23420</v>
      </c>
      <c r="N7466">
        <v>95</v>
      </c>
      <c r="O7466" t="s">
        <v>134</v>
      </c>
      <c r="P7466" t="s">
        <v>29</v>
      </c>
      <c r="Q7466">
        <v>41</v>
      </c>
      <c r="R7466">
        <v>-74.024699999999996</v>
      </c>
    </row>
    <row r="7467" spans="1:18" x14ac:dyDescent="0.2">
      <c r="A7467" t="s">
        <v>663</v>
      </c>
      <c r="B7467" t="s">
        <v>2493</v>
      </c>
      <c r="C7467">
        <v>1</v>
      </c>
      <c r="D7467" s="1">
        <v>44168.817175925928</v>
      </c>
      <c r="E7467" t="s">
        <v>23421</v>
      </c>
      <c r="F7467" t="s">
        <v>666</v>
      </c>
      <c r="G7467" t="s">
        <v>23421</v>
      </c>
      <c r="H7467" t="s">
        <v>667</v>
      </c>
      <c r="I7467" t="s">
        <v>29</v>
      </c>
      <c r="J7467">
        <v>1</v>
      </c>
      <c r="K7467">
        <f>1-833-559-425</f>
        <v>-1816</v>
      </c>
      <c r="L7467" t="s">
        <v>23422</v>
      </c>
      <c r="M7467" t="s">
        <v>23423</v>
      </c>
      <c r="N7467">
        <v>246</v>
      </c>
      <c r="O7467" t="s">
        <v>134</v>
      </c>
      <c r="P7467" t="s">
        <v>29</v>
      </c>
      <c r="Q7467">
        <v>41</v>
      </c>
      <c r="R7467">
        <v>-74.024699999999996</v>
      </c>
    </row>
    <row r="7468" spans="1:18" x14ac:dyDescent="0.2">
      <c r="A7468" t="s">
        <v>2233</v>
      </c>
      <c r="B7468" t="s">
        <v>4672</v>
      </c>
      <c r="C7468">
        <v>1</v>
      </c>
      <c r="D7468" s="1">
        <v>44168.81753472222</v>
      </c>
      <c r="E7468" t="s">
        <v>23424</v>
      </c>
      <c r="F7468" t="s">
        <v>2236</v>
      </c>
      <c r="G7468" t="s">
        <v>23425</v>
      </c>
      <c r="H7468" t="s">
        <v>2237</v>
      </c>
      <c r="I7468" t="s">
        <v>29</v>
      </c>
      <c r="J7468">
        <v>1</v>
      </c>
      <c r="K7468">
        <f>1-844-303-2614</f>
        <v>-3760</v>
      </c>
      <c r="L7468" t="s">
        <v>23426</v>
      </c>
      <c r="M7468" t="s">
        <v>23427</v>
      </c>
      <c r="N7468" t="s">
        <v>22454</v>
      </c>
      <c r="O7468" t="s">
        <v>134</v>
      </c>
      <c r="P7468" t="s">
        <v>782</v>
      </c>
      <c r="Q7468">
        <v>-34</v>
      </c>
      <c r="R7468">
        <v>99.999999000000003</v>
      </c>
    </row>
    <row r="7469" spans="1:18" x14ac:dyDescent="0.2">
      <c r="A7469" t="s">
        <v>663</v>
      </c>
      <c r="B7469" t="s">
        <v>2493</v>
      </c>
      <c r="C7469">
        <v>1</v>
      </c>
      <c r="D7469" s="1">
        <v>44168.82135416667</v>
      </c>
      <c r="E7469" t="s">
        <v>23428</v>
      </c>
      <c r="F7469" t="s">
        <v>666</v>
      </c>
      <c r="G7469" t="s">
        <v>23428</v>
      </c>
      <c r="H7469" t="s">
        <v>667</v>
      </c>
      <c r="I7469" t="s">
        <v>29</v>
      </c>
      <c r="J7469">
        <v>1</v>
      </c>
      <c r="K7469">
        <f>1-888-599-4298</f>
        <v>-5784</v>
      </c>
      <c r="L7469" t="s">
        <v>23429</v>
      </c>
      <c r="M7469" t="s">
        <v>23430</v>
      </c>
      <c r="N7469">
        <v>137</v>
      </c>
      <c r="O7469" t="s">
        <v>134</v>
      </c>
      <c r="P7469" t="s">
        <v>29</v>
      </c>
      <c r="Q7469">
        <v>41</v>
      </c>
      <c r="R7469">
        <v>-74.024699999999996</v>
      </c>
    </row>
    <row r="7470" spans="1:18" x14ac:dyDescent="0.2">
      <c r="A7470" t="s">
        <v>663</v>
      </c>
      <c r="B7470" t="s">
        <v>2493</v>
      </c>
      <c r="C7470">
        <v>1</v>
      </c>
      <c r="D7470" s="1">
        <v>44168.820659722223</v>
      </c>
      <c r="E7470" t="s">
        <v>23428</v>
      </c>
      <c r="F7470" t="s">
        <v>666</v>
      </c>
      <c r="G7470" t="s">
        <v>23428</v>
      </c>
      <c r="H7470" t="s">
        <v>667</v>
      </c>
      <c r="I7470" t="s">
        <v>29</v>
      </c>
      <c r="J7470">
        <v>1</v>
      </c>
      <c r="K7470">
        <f>1-888-592-7014</f>
        <v>-8493</v>
      </c>
      <c r="L7470" t="s">
        <v>23431</v>
      </c>
      <c r="M7470" t="s">
        <v>23432</v>
      </c>
      <c r="N7470">
        <v>137</v>
      </c>
      <c r="O7470" t="s">
        <v>134</v>
      </c>
      <c r="P7470" t="s">
        <v>29</v>
      </c>
      <c r="Q7470">
        <v>41</v>
      </c>
      <c r="R7470">
        <v>-74.024699999999996</v>
      </c>
    </row>
    <row r="7471" spans="1:18" x14ac:dyDescent="0.2">
      <c r="A7471" t="s">
        <v>2349</v>
      </c>
      <c r="B7471" t="s">
        <v>6962</v>
      </c>
      <c r="C7471">
        <v>1</v>
      </c>
      <c r="D7471" s="1">
        <v>44168.822048611109</v>
      </c>
      <c r="E7471" t="s">
        <v>23433</v>
      </c>
      <c r="F7471" t="s">
        <v>2352</v>
      </c>
      <c r="G7471" t="s">
        <v>23433</v>
      </c>
      <c r="H7471" t="s">
        <v>2353</v>
      </c>
      <c r="I7471" t="s">
        <v>29</v>
      </c>
      <c r="J7471">
        <v>1</v>
      </c>
      <c r="K7471">
        <f>1-844-304-2035</f>
        <v>-3182</v>
      </c>
      <c r="L7471" t="s">
        <v>23434</v>
      </c>
      <c r="M7471" t="s">
        <v>23435</v>
      </c>
      <c r="N7471">
        <v>206</v>
      </c>
      <c r="O7471" t="s">
        <v>134</v>
      </c>
      <c r="P7471" t="s">
        <v>29</v>
      </c>
      <c r="Q7471">
        <v>42</v>
      </c>
      <c r="R7471">
        <v>-87.995400000000004</v>
      </c>
    </row>
    <row r="7472" spans="1:18" x14ac:dyDescent="0.2">
      <c r="A7472" t="s">
        <v>439</v>
      </c>
      <c r="B7472" t="s">
        <v>4321</v>
      </c>
      <c r="C7472">
        <v>1</v>
      </c>
      <c r="D7472" s="1">
        <v>44168.891701388886</v>
      </c>
      <c r="E7472" t="s">
        <v>23436</v>
      </c>
      <c r="F7472" t="s">
        <v>442</v>
      </c>
      <c r="G7472" t="s">
        <v>23437</v>
      </c>
      <c r="H7472" t="s">
        <v>444</v>
      </c>
      <c r="I7472" t="s">
        <v>29</v>
      </c>
      <c r="J7472">
        <v>1</v>
      </c>
      <c r="K7472">
        <f>1-844-304-8165</f>
        <v>-9312</v>
      </c>
      <c r="L7472" t="s">
        <v>23438</v>
      </c>
      <c r="M7472" t="s">
        <v>23439</v>
      </c>
      <c r="N7472" t="s">
        <v>36</v>
      </c>
      <c r="O7472" t="s">
        <v>28</v>
      </c>
      <c r="P7472" t="s">
        <v>29</v>
      </c>
      <c r="Q7472">
        <v>42</v>
      </c>
      <c r="R7472">
        <v>-87.629800000000003</v>
      </c>
    </row>
    <row r="7473" spans="1:18" x14ac:dyDescent="0.2">
      <c r="A7473" t="s">
        <v>663</v>
      </c>
      <c r="B7473" t="s">
        <v>2493</v>
      </c>
      <c r="C7473">
        <v>1</v>
      </c>
      <c r="D7473" s="1">
        <v>44168.89738425926</v>
      </c>
      <c r="E7473" t="s">
        <v>23440</v>
      </c>
      <c r="F7473" t="s">
        <v>666</v>
      </c>
      <c r="G7473" t="s">
        <v>23440</v>
      </c>
      <c r="H7473" t="s">
        <v>667</v>
      </c>
      <c r="I7473" t="s">
        <v>29</v>
      </c>
      <c r="J7473">
        <v>1</v>
      </c>
      <c r="K7473">
        <f>1-888-604-4153</f>
        <v>-5644</v>
      </c>
      <c r="L7473" t="s">
        <v>23441</v>
      </c>
      <c r="M7473" t="s">
        <v>23442</v>
      </c>
      <c r="N7473">
        <v>162</v>
      </c>
      <c r="O7473" t="s">
        <v>134</v>
      </c>
      <c r="P7473" t="s">
        <v>29</v>
      </c>
      <c r="Q7473">
        <v>41</v>
      </c>
      <c r="R7473">
        <v>-74.024699999999996</v>
      </c>
    </row>
    <row r="7474" spans="1:18" x14ac:dyDescent="0.2">
      <c r="A7474" t="s">
        <v>663</v>
      </c>
      <c r="B7474" t="s">
        <v>2493</v>
      </c>
      <c r="C7474">
        <v>1</v>
      </c>
      <c r="D7474" s="1">
        <v>44168.897210648145</v>
      </c>
      <c r="E7474" t="s">
        <v>23440</v>
      </c>
      <c r="F7474" t="s">
        <v>666</v>
      </c>
      <c r="G7474" t="s">
        <v>23440</v>
      </c>
      <c r="H7474" t="s">
        <v>667</v>
      </c>
      <c r="I7474" t="s">
        <v>29</v>
      </c>
      <c r="J7474">
        <v>1</v>
      </c>
      <c r="K7474">
        <f>1-888-593-681</f>
        <v>-2161</v>
      </c>
      <c r="L7474" t="s">
        <v>23443</v>
      </c>
      <c r="M7474" t="s">
        <v>23444</v>
      </c>
      <c r="N7474">
        <v>162</v>
      </c>
      <c r="O7474" t="s">
        <v>134</v>
      </c>
      <c r="P7474" t="s">
        <v>29</v>
      </c>
      <c r="Q7474">
        <v>41</v>
      </c>
      <c r="R7474">
        <v>-74.024699999999996</v>
      </c>
    </row>
    <row r="7475" spans="1:18" x14ac:dyDescent="0.2">
      <c r="A7475" t="s">
        <v>663</v>
      </c>
      <c r="B7475" t="s">
        <v>2493</v>
      </c>
      <c r="C7475">
        <v>1</v>
      </c>
      <c r="D7475" s="1">
        <v>44168.952881944446</v>
      </c>
      <c r="E7475" t="s">
        <v>23445</v>
      </c>
      <c r="F7475" t="s">
        <v>666</v>
      </c>
      <c r="G7475" t="s">
        <v>23445</v>
      </c>
      <c r="H7475" t="s">
        <v>667</v>
      </c>
      <c r="I7475" t="s">
        <v>29</v>
      </c>
      <c r="J7475">
        <v>1</v>
      </c>
      <c r="K7475">
        <f>1-888-258-8646</f>
        <v>-9791</v>
      </c>
      <c r="L7475" t="s">
        <v>23446</v>
      </c>
      <c r="M7475" t="s">
        <v>23447</v>
      </c>
      <c r="N7475">
        <v>254</v>
      </c>
      <c r="O7475" t="s">
        <v>134</v>
      </c>
      <c r="P7475" t="s">
        <v>29</v>
      </c>
      <c r="Q7475">
        <v>41</v>
      </c>
      <c r="R7475">
        <v>-74.024699999999996</v>
      </c>
    </row>
    <row r="7476" spans="1:18" x14ac:dyDescent="0.2">
      <c r="A7476" t="s">
        <v>663</v>
      </c>
      <c r="B7476" t="s">
        <v>2493</v>
      </c>
      <c r="C7476">
        <v>1</v>
      </c>
      <c r="D7476" s="1">
        <v>44168.952800925923</v>
      </c>
      <c r="E7476" t="s">
        <v>23445</v>
      </c>
      <c r="F7476" t="s">
        <v>666</v>
      </c>
      <c r="G7476" t="s">
        <v>23445</v>
      </c>
      <c r="H7476" t="s">
        <v>667</v>
      </c>
      <c r="I7476" t="s">
        <v>29</v>
      </c>
      <c r="J7476">
        <v>1</v>
      </c>
      <c r="K7476">
        <f>1-888-585-7330</f>
        <v>-8802</v>
      </c>
      <c r="L7476" t="s">
        <v>23448</v>
      </c>
      <c r="M7476" t="s">
        <v>23449</v>
      </c>
      <c r="N7476">
        <v>254</v>
      </c>
      <c r="O7476" t="s">
        <v>134</v>
      </c>
      <c r="P7476" t="s">
        <v>29</v>
      </c>
      <c r="Q7476">
        <v>41</v>
      </c>
      <c r="R7476">
        <v>-74.024699999999996</v>
      </c>
    </row>
    <row r="7477" spans="1:18" x14ac:dyDescent="0.2">
      <c r="A7477" t="s">
        <v>663</v>
      </c>
      <c r="B7477" t="s">
        <v>2500</v>
      </c>
      <c r="C7477">
        <v>81</v>
      </c>
      <c r="D7477" s="1">
        <v>44169.565636574072</v>
      </c>
      <c r="E7477" t="s">
        <v>23450</v>
      </c>
      <c r="F7477" t="s">
        <v>23451</v>
      </c>
      <c r="G7477" t="s">
        <v>23450</v>
      </c>
      <c r="H7477" t="s">
        <v>667</v>
      </c>
      <c r="I7477" t="s">
        <v>53</v>
      </c>
      <c r="J7477">
        <v>81</v>
      </c>
      <c r="K7477">
        <f>81-120-994-817</f>
        <v>-1850</v>
      </c>
      <c r="L7477" t="s">
        <v>23452</v>
      </c>
      <c r="M7477" t="s">
        <v>23453</v>
      </c>
      <c r="N7477">
        <v>39</v>
      </c>
      <c r="O7477" t="s">
        <v>134</v>
      </c>
      <c r="P7477" t="s">
        <v>2500</v>
      </c>
      <c r="Q7477">
        <v>1</v>
      </c>
      <c r="R7477">
        <v>99.999999000000003</v>
      </c>
    </row>
    <row r="7478" spans="1:18" x14ac:dyDescent="0.2">
      <c r="A7478" t="s">
        <v>675</v>
      </c>
      <c r="B7478" t="s">
        <v>1412</v>
      </c>
      <c r="C7478">
        <v>1</v>
      </c>
      <c r="D7478" s="1">
        <v>44169.662314814814</v>
      </c>
      <c r="E7478" t="s">
        <v>23454</v>
      </c>
      <c r="F7478" t="s">
        <v>678</v>
      </c>
      <c r="G7478" t="s">
        <v>23455</v>
      </c>
      <c r="H7478" t="s">
        <v>680</v>
      </c>
      <c r="I7478" t="s">
        <v>29</v>
      </c>
      <c r="J7478">
        <v>1</v>
      </c>
      <c r="K7478">
        <f>1-206-590-4317</f>
        <v>-5112</v>
      </c>
      <c r="L7478" t="s">
        <v>23456</v>
      </c>
      <c r="M7478" t="s">
        <v>23457</v>
      </c>
      <c r="N7478" t="s">
        <v>452</v>
      </c>
      <c r="O7478" t="s">
        <v>28</v>
      </c>
      <c r="P7478" t="s">
        <v>29</v>
      </c>
      <c r="Q7478">
        <v>41</v>
      </c>
      <c r="R7478">
        <v>-74.172399999999996</v>
      </c>
    </row>
    <row r="7479" spans="1:18" x14ac:dyDescent="0.2">
      <c r="A7479" t="s">
        <v>1200</v>
      </c>
      <c r="B7479" t="s">
        <v>2500</v>
      </c>
      <c r="C7479">
        <v>1</v>
      </c>
      <c r="D7479" s="1">
        <v>44169.680497685185</v>
      </c>
      <c r="E7479" t="s">
        <v>23458</v>
      </c>
      <c r="F7479" t="s">
        <v>1203</v>
      </c>
      <c r="G7479" t="s">
        <v>23459</v>
      </c>
      <c r="H7479" t="s">
        <v>1205</v>
      </c>
      <c r="I7479" t="s">
        <v>29</v>
      </c>
      <c r="J7479">
        <v>1</v>
      </c>
      <c r="K7479">
        <f>1-888-514-7179</f>
        <v>-8580</v>
      </c>
      <c r="L7479" t="s">
        <v>23460</v>
      </c>
      <c r="M7479" t="s">
        <v>23461</v>
      </c>
      <c r="N7479" t="s">
        <v>452</v>
      </c>
      <c r="O7479" t="s">
        <v>134</v>
      </c>
      <c r="P7479" t="s">
        <v>2500</v>
      </c>
      <c r="Q7479">
        <v>1</v>
      </c>
      <c r="R7479">
        <v>99.999999000000003</v>
      </c>
    </row>
    <row r="7480" spans="1:18" x14ac:dyDescent="0.2">
      <c r="A7480" t="s">
        <v>439</v>
      </c>
      <c r="B7480" t="s">
        <v>4321</v>
      </c>
      <c r="C7480">
        <v>1</v>
      </c>
      <c r="D7480" s="1">
        <v>44169.687893518516</v>
      </c>
      <c r="E7480" t="s">
        <v>23462</v>
      </c>
      <c r="F7480" t="s">
        <v>442</v>
      </c>
      <c r="G7480" t="s">
        <v>23463</v>
      </c>
      <c r="H7480" t="s">
        <v>444</v>
      </c>
      <c r="I7480" t="s">
        <v>29</v>
      </c>
      <c r="J7480">
        <v>1</v>
      </c>
      <c r="K7480">
        <f>1-888-203-710</f>
        <v>-1800</v>
      </c>
      <c r="L7480" t="s">
        <v>23464</v>
      </c>
      <c r="M7480" t="s">
        <v>23465</v>
      </c>
      <c r="N7480" t="s">
        <v>213</v>
      </c>
      <c r="O7480" t="s">
        <v>134</v>
      </c>
      <c r="P7480" t="s">
        <v>29</v>
      </c>
      <c r="Q7480">
        <v>42</v>
      </c>
      <c r="R7480">
        <v>-87.629800000000003</v>
      </c>
    </row>
    <row r="7481" spans="1:18" x14ac:dyDescent="0.2">
      <c r="A7481" t="s">
        <v>663</v>
      </c>
      <c r="B7481" t="s">
        <v>664</v>
      </c>
      <c r="C7481">
        <v>1</v>
      </c>
      <c r="D7481" s="1">
        <v>44169.704432870371</v>
      </c>
      <c r="E7481" t="s">
        <v>23466</v>
      </c>
      <c r="F7481" t="s">
        <v>2495</v>
      </c>
      <c r="G7481" t="s">
        <v>23467</v>
      </c>
      <c r="H7481" t="s">
        <v>667</v>
      </c>
      <c r="I7481" t="s">
        <v>29</v>
      </c>
      <c r="J7481">
        <v>1</v>
      </c>
      <c r="K7481">
        <f>1-888-203-710</f>
        <v>-1800</v>
      </c>
      <c r="L7481" t="s">
        <v>23468</v>
      </c>
      <c r="M7481" t="s">
        <v>23469</v>
      </c>
      <c r="N7481" t="s">
        <v>674</v>
      </c>
      <c r="O7481" t="s">
        <v>134</v>
      </c>
      <c r="P7481" t="s">
        <v>29</v>
      </c>
      <c r="Q7481">
        <v>37</v>
      </c>
      <c r="R7481">
        <v>-99.999999000000003</v>
      </c>
    </row>
    <row r="7482" spans="1:18" x14ac:dyDescent="0.2">
      <c r="A7482" t="s">
        <v>663</v>
      </c>
      <c r="B7482" t="s">
        <v>2493</v>
      </c>
      <c r="C7482">
        <v>1</v>
      </c>
      <c r="D7482" s="1">
        <v>44169.769652777781</v>
      </c>
      <c r="E7482" t="s">
        <v>23470</v>
      </c>
      <c r="F7482" t="s">
        <v>666</v>
      </c>
      <c r="G7482" t="s">
        <v>23470</v>
      </c>
      <c r="H7482" t="s">
        <v>667</v>
      </c>
      <c r="I7482" t="s">
        <v>29</v>
      </c>
      <c r="J7482">
        <v>1</v>
      </c>
      <c r="K7482">
        <f>1-888-642-2903</f>
        <v>-4432</v>
      </c>
      <c r="L7482" t="s">
        <v>23471</v>
      </c>
      <c r="M7482" t="s">
        <v>23472</v>
      </c>
      <c r="N7482">
        <v>142</v>
      </c>
      <c r="O7482" t="s">
        <v>134</v>
      </c>
      <c r="P7482" t="s">
        <v>29</v>
      </c>
      <c r="Q7482">
        <v>41</v>
      </c>
      <c r="R7482">
        <v>-74.024699999999996</v>
      </c>
    </row>
    <row r="7483" spans="1:18" x14ac:dyDescent="0.2">
      <c r="A7483" t="s">
        <v>663</v>
      </c>
      <c r="B7483" t="s">
        <v>2493</v>
      </c>
      <c r="C7483">
        <v>1</v>
      </c>
      <c r="D7483" s="1">
        <v>44169.768553240741</v>
      </c>
      <c r="E7483" t="s">
        <v>23470</v>
      </c>
      <c r="F7483" t="s">
        <v>666</v>
      </c>
      <c r="G7483" t="s">
        <v>23470</v>
      </c>
      <c r="H7483" t="s">
        <v>667</v>
      </c>
      <c r="I7483" t="s">
        <v>29</v>
      </c>
      <c r="J7483">
        <v>1</v>
      </c>
      <c r="K7483">
        <f>1-888-202-732</f>
        <v>-1821</v>
      </c>
      <c r="L7483" t="s">
        <v>23473</v>
      </c>
      <c r="M7483" t="s">
        <v>23474</v>
      </c>
      <c r="N7483">
        <v>142</v>
      </c>
      <c r="O7483" t="s">
        <v>134</v>
      </c>
      <c r="P7483" t="s">
        <v>29</v>
      </c>
      <c r="Q7483">
        <v>41</v>
      </c>
      <c r="R7483">
        <v>-74.024699999999996</v>
      </c>
    </row>
    <row r="7484" spans="1:18" x14ac:dyDescent="0.2">
      <c r="A7484" t="s">
        <v>439</v>
      </c>
      <c r="B7484" t="s">
        <v>5337</v>
      </c>
      <c r="C7484">
        <v>1</v>
      </c>
      <c r="D7484" s="1">
        <v>44169.774756944447</v>
      </c>
      <c r="E7484" t="s">
        <v>23475</v>
      </c>
      <c r="F7484" t="s">
        <v>442</v>
      </c>
      <c r="G7484" t="s">
        <v>23476</v>
      </c>
      <c r="H7484" t="s">
        <v>444</v>
      </c>
      <c r="I7484" t="s">
        <v>29</v>
      </c>
      <c r="J7484">
        <v>1</v>
      </c>
      <c r="K7484">
        <f>1-888-436-4720</f>
        <v>-6043</v>
      </c>
      <c r="L7484" t="s">
        <v>23477</v>
      </c>
      <c r="M7484" t="s">
        <v>23478</v>
      </c>
      <c r="N7484" t="s">
        <v>20553</v>
      </c>
      <c r="O7484" t="s">
        <v>28</v>
      </c>
      <c r="P7484" t="s">
        <v>29</v>
      </c>
      <c r="Q7484">
        <v>38</v>
      </c>
      <c r="R7484">
        <v>-99.999999000000003</v>
      </c>
    </row>
    <row r="7485" spans="1:18" x14ac:dyDescent="0.2">
      <c r="A7485" t="s">
        <v>439</v>
      </c>
      <c r="B7485" t="s">
        <v>5337</v>
      </c>
      <c r="C7485">
        <v>1</v>
      </c>
      <c r="D7485" s="1">
        <v>44169.774664351855</v>
      </c>
      <c r="E7485" t="s">
        <v>23475</v>
      </c>
      <c r="F7485" t="s">
        <v>442</v>
      </c>
      <c r="G7485" t="s">
        <v>23476</v>
      </c>
      <c r="H7485" t="s">
        <v>444</v>
      </c>
      <c r="I7485" t="s">
        <v>29</v>
      </c>
      <c r="J7485">
        <v>1</v>
      </c>
      <c r="K7485">
        <f>1-888-585-4399</f>
        <v>-5871</v>
      </c>
      <c r="L7485" t="s">
        <v>23479</v>
      </c>
      <c r="M7485" t="s">
        <v>23480</v>
      </c>
      <c r="N7485" t="s">
        <v>20553</v>
      </c>
      <c r="O7485" t="s">
        <v>28</v>
      </c>
      <c r="P7485" t="s">
        <v>29</v>
      </c>
      <c r="Q7485">
        <v>38</v>
      </c>
      <c r="R7485">
        <v>-99.999999000000003</v>
      </c>
    </row>
    <row r="7486" spans="1:18" x14ac:dyDescent="0.2">
      <c r="A7486" t="s">
        <v>439</v>
      </c>
      <c r="B7486" t="s">
        <v>5337</v>
      </c>
      <c r="C7486">
        <v>1</v>
      </c>
      <c r="D7486" s="1">
        <v>44169.774594907409</v>
      </c>
      <c r="E7486" t="s">
        <v>23475</v>
      </c>
      <c r="F7486" t="s">
        <v>442</v>
      </c>
      <c r="G7486" t="s">
        <v>23476</v>
      </c>
      <c r="H7486" t="s">
        <v>444</v>
      </c>
      <c r="I7486" t="s">
        <v>29</v>
      </c>
      <c r="J7486">
        <v>1</v>
      </c>
      <c r="K7486">
        <f>1-888-592-3691</f>
        <v>-5170</v>
      </c>
      <c r="L7486" t="s">
        <v>23481</v>
      </c>
      <c r="M7486" t="s">
        <v>23482</v>
      </c>
      <c r="N7486" t="s">
        <v>20553</v>
      </c>
      <c r="O7486" t="s">
        <v>28</v>
      </c>
      <c r="P7486" t="s">
        <v>29</v>
      </c>
      <c r="Q7486">
        <v>38</v>
      </c>
      <c r="R7486">
        <v>-99.999999000000003</v>
      </c>
    </row>
    <row r="7487" spans="1:18" x14ac:dyDescent="0.2">
      <c r="A7487" t="s">
        <v>439</v>
      </c>
      <c r="B7487" t="s">
        <v>4321</v>
      </c>
      <c r="C7487">
        <v>1</v>
      </c>
      <c r="D7487" s="1">
        <v>44169.774710648147</v>
      </c>
      <c r="E7487" t="s">
        <v>23475</v>
      </c>
      <c r="F7487" t="s">
        <v>442</v>
      </c>
      <c r="G7487" t="s">
        <v>23483</v>
      </c>
      <c r="H7487" t="s">
        <v>444</v>
      </c>
      <c r="I7487" t="s">
        <v>29</v>
      </c>
      <c r="J7487">
        <v>1</v>
      </c>
      <c r="K7487">
        <f>1-888-517-8593</f>
        <v>-9997</v>
      </c>
      <c r="L7487" t="s">
        <v>23484</v>
      </c>
      <c r="M7487" t="s">
        <v>23485</v>
      </c>
      <c r="N7487" t="s">
        <v>20553</v>
      </c>
      <c r="O7487" t="s">
        <v>28</v>
      </c>
      <c r="P7487" t="s">
        <v>29</v>
      </c>
      <c r="Q7487">
        <v>42</v>
      </c>
      <c r="R7487">
        <v>-87.629800000000003</v>
      </c>
    </row>
    <row r="7488" spans="1:18" x14ac:dyDescent="0.2">
      <c r="A7488" t="s">
        <v>439</v>
      </c>
      <c r="B7488" t="s">
        <v>4321</v>
      </c>
      <c r="C7488">
        <v>1</v>
      </c>
      <c r="D7488" s="1">
        <v>44169.780324074076</v>
      </c>
      <c r="E7488" t="s">
        <v>23486</v>
      </c>
      <c r="F7488" t="s">
        <v>442</v>
      </c>
      <c r="G7488" t="s">
        <v>23487</v>
      </c>
      <c r="H7488" t="s">
        <v>444</v>
      </c>
      <c r="I7488" t="s">
        <v>29</v>
      </c>
      <c r="J7488">
        <v>1</v>
      </c>
      <c r="K7488">
        <f>1-888-251-5089</f>
        <v>-6227</v>
      </c>
      <c r="L7488" t="s">
        <v>23488</v>
      </c>
      <c r="M7488" t="s">
        <v>23489</v>
      </c>
      <c r="N7488" t="s">
        <v>674</v>
      </c>
      <c r="O7488" t="s">
        <v>134</v>
      </c>
      <c r="P7488" t="s">
        <v>29</v>
      </c>
      <c r="Q7488">
        <v>42</v>
      </c>
      <c r="R7488">
        <v>-87.629800000000003</v>
      </c>
    </row>
    <row r="7489" spans="1:18" x14ac:dyDescent="0.2">
      <c r="A7489" t="s">
        <v>663</v>
      </c>
      <c r="B7489" t="s">
        <v>2493</v>
      </c>
      <c r="C7489">
        <v>1</v>
      </c>
      <c r="D7489" s="1">
        <v>44169.783877314818</v>
      </c>
      <c r="E7489" t="s">
        <v>23490</v>
      </c>
      <c r="F7489" t="s">
        <v>666</v>
      </c>
      <c r="G7489" t="s">
        <v>23490</v>
      </c>
      <c r="H7489" t="s">
        <v>667</v>
      </c>
      <c r="I7489" t="s">
        <v>29</v>
      </c>
      <c r="J7489">
        <v>1</v>
      </c>
      <c r="K7489">
        <f>1-888-585-3268</f>
        <v>-4740</v>
      </c>
      <c r="L7489" t="s">
        <v>23491</v>
      </c>
      <c r="M7489" t="s">
        <v>23492</v>
      </c>
      <c r="N7489">
        <v>27</v>
      </c>
      <c r="O7489" t="s">
        <v>134</v>
      </c>
      <c r="P7489" t="s">
        <v>29</v>
      </c>
      <c r="Q7489">
        <v>41</v>
      </c>
      <c r="R7489">
        <v>-74.024699999999996</v>
      </c>
    </row>
    <row r="7490" spans="1:18" x14ac:dyDescent="0.2">
      <c r="A7490" t="s">
        <v>663</v>
      </c>
      <c r="B7490" t="s">
        <v>2493</v>
      </c>
      <c r="C7490">
        <v>1</v>
      </c>
      <c r="D7490" s="1">
        <v>44169.801238425927</v>
      </c>
      <c r="E7490" t="s">
        <v>23493</v>
      </c>
      <c r="F7490" t="s">
        <v>666</v>
      </c>
      <c r="G7490" t="s">
        <v>23493</v>
      </c>
      <c r="H7490" t="s">
        <v>667</v>
      </c>
      <c r="I7490" t="s">
        <v>29</v>
      </c>
      <c r="J7490">
        <v>1</v>
      </c>
      <c r="K7490">
        <f>1-888-210-6693</f>
        <v>-7790</v>
      </c>
      <c r="L7490" t="s">
        <v>23494</v>
      </c>
      <c r="M7490" t="s">
        <v>23495</v>
      </c>
      <c r="N7490">
        <v>213</v>
      </c>
      <c r="O7490" t="s">
        <v>134</v>
      </c>
      <c r="P7490" t="s">
        <v>29</v>
      </c>
      <c r="Q7490">
        <v>41</v>
      </c>
      <c r="R7490">
        <v>-74.024699999999996</v>
      </c>
    </row>
    <row r="7491" spans="1:18" x14ac:dyDescent="0.2">
      <c r="A7491" t="s">
        <v>663</v>
      </c>
      <c r="B7491" t="s">
        <v>2493</v>
      </c>
      <c r="C7491">
        <v>1</v>
      </c>
      <c r="D7491" s="1">
        <v>44169.794733796298</v>
      </c>
      <c r="E7491" t="s">
        <v>23493</v>
      </c>
      <c r="F7491" t="s">
        <v>666</v>
      </c>
      <c r="G7491" t="s">
        <v>23493</v>
      </c>
      <c r="H7491" t="s">
        <v>667</v>
      </c>
      <c r="I7491" t="s">
        <v>29</v>
      </c>
      <c r="J7491">
        <v>1</v>
      </c>
      <c r="K7491">
        <f>1-888-217-5975</f>
        <v>-7079</v>
      </c>
      <c r="L7491" t="s">
        <v>23496</v>
      </c>
      <c r="M7491" t="s">
        <v>23497</v>
      </c>
      <c r="N7491">
        <v>213</v>
      </c>
      <c r="O7491" t="s">
        <v>134</v>
      </c>
      <c r="P7491" t="s">
        <v>29</v>
      </c>
      <c r="Q7491">
        <v>41</v>
      </c>
      <c r="R7491">
        <v>-74.024699999999996</v>
      </c>
    </row>
    <row r="7492" spans="1:18" x14ac:dyDescent="0.2">
      <c r="A7492" t="s">
        <v>439</v>
      </c>
      <c r="B7492" t="s">
        <v>4321</v>
      </c>
      <c r="C7492">
        <v>1</v>
      </c>
      <c r="D7492" s="1">
        <v>44169.796377314815</v>
      </c>
      <c r="E7492" t="s">
        <v>23475</v>
      </c>
      <c r="F7492" t="s">
        <v>442</v>
      </c>
      <c r="G7492" t="s">
        <v>23498</v>
      </c>
      <c r="H7492" t="s">
        <v>444</v>
      </c>
      <c r="I7492" t="s">
        <v>29</v>
      </c>
      <c r="J7492">
        <v>1</v>
      </c>
      <c r="K7492">
        <f>1-888-610-5017</f>
        <v>-6514</v>
      </c>
      <c r="L7492" t="s">
        <v>23499</v>
      </c>
      <c r="M7492" t="s">
        <v>23500</v>
      </c>
      <c r="N7492" t="s">
        <v>20553</v>
      </c>
      <c r="O7492" t="s">
        <v>28</v>
      </c>
      <c r="P7492" t="s">
        <v>29</v>
      </c>
      <c r="Q7492">
        <v>42</v>
      </c>
      <c r="R7492">
        <v>-87.629800000000003</v>
      </c>
    </row>
    <row r="7493" spans="1:18" x14ac:dyDescent="0.2">
      <c r="A7493" t="s">
        <v>1200</v>
      </c>
      <c r="B7493" t="s">
        <v>2500</v>
      </c>
      <c r="C7493">
        <v>1</v>
      </c>
      <c r="D7493" s="1">
        <v>44169.796539351853</v>
      </c>
      <c r="E7493" t="s">
        <v>23501</v>
      </c>
      <c r="F7493" t="s">
        <v>1203</v>
      </c>
      <c r="G7493" t="s">
        <v>23502</v>
      </c>
      <c r="H7493" t="s">
        <v>1205</v>
      </c>
      <c r="I7493" t="s">
        <v>29</v>
      </c>
      <c r="J7493">
        <v>1</v>
      </c>
      <c r="K7493">
        <f>1-714-361-3984</f>
        <v>-5058</v>
      </c>
      <c r="L7493" t="s">
        <v>23503</v>
      </c>
      <c r="M7493" t="s">
        <v>23504</v>
      </c>
      <c r="N7493" t="s">
        <v>452</v>
      </c>
      <c r="O7493" t="s">
        <v>134</v>
      </c>
      <c r="P7493" t="s">
        <v>2500</v>
      </c>
      <c r="Q7493">
        <v>1</v>
      </c>
      <c r="R7493">
        <v>99.999999000000003</v>
      </c>
    </row>
    <row r="7494" spans="1:18" x14ac:dyDescent="0.2">
      <c r="A7494" t="s">
        <v>663</v>
      </c>
      <c r="B7494" t="s">
        <v>2493</v>
      </c>
      <c r="C7494">
        <v>1</v>
      </c>
      <c r="D7494" s="1">
        <v>44169.848391203705</v>
      </c>
      <c r="E7494" t="s">
        <v>23505</v>
      </c>
      <c r="F7494" t="s">
        <v>666</v>
      </c>
      <c r="G7494" t="s">
        <v>23505</v>
      </c>
      <c r="H7494" t="s">
        <v>667</v>
      </c>
      <c r="I7494" t="s">
        <v>29</v>
      </c>
      <c r="J7494">
        <v>1</v>
      </c>
      <c r="K7494">
        <f>1-888-271-2902</f>
        <v>-4060</v>
      </c>
      <c r="L7494" t="s">
        <v>23506</v>
      </c>
      <c r="M7494" t="s">
        <v>23507</v>
      </c>
      <c r="N7494">
        <v>170</v>
      </c>
      <c r="O7494" t="s">
        <v>134</v>
      </c>
      <c r="P7494" t="s">
        <v>29</v>
      </c>
      <c r="Q7494">
        <v>41</v>
      </c>
      <c r="R7494">
        <v>-74.024699999999996</v>
      </c>
    </row>
    <row r="7495" spans="1:18" x14ac:dyDescent="0.2">
      <c r="A7495" t="s">
        <v>663</v>
      </c>
      <c r="B7495" t="s">
        <v>2493</v>
      </c>
      <c r="C7495">
        <v>1</v>
      </c>
      <c r="D7495" s="1">
        <v>44169.848310185182</v>
      </c>
      <c r="E7495" t="s">
        <v>23505</v>
      </c>
      <c r="F7495" t="s">
        <v>666</v>
      </c>
      <c r="G7495" t="s">
        <v>23505</v>
      </c>
      <c r="H7495" t="s">
        <v>667</v>
      </c>
      <c r="I7495" t="s">
        <v>29</v>
      </c>
      <c r="J7495">
        <v>1</v>
      </c>
      <c r="K7495">
        <f>1-888-210-5955</f>
        <v>-7052</v>
      </c>
      <c r="L7495" t="s">
        <v>23508</v>
      </c>
      <c r="M7495" t="s">
        <v>23509</v>
      </c>
      <c r="N7495">
        <v>170</v>
      </c>
      <c r="O7495" t="s">
        <v>134</v>
      </c>
      <c r="P7495" t="s">
        <v>29</v>
      </c>
      <c r="Q7495">
        <v>41</v>
      </c>
      <c r="R7495">
        <v>-74.024699999999996</v>
      </c>
    </row>
    <row r="7496" spans="1:18" x14ac:dyDescent="0.2">
      <c r="A7496" t="s">
        <v>663</v>
      </c>
      <c r="B7496" t="s">
        <v>2493</v>
      </c>
      <c r="C7496">
        <v>1</v>
      </c>
      <c r="D7496" s="1">
        <v>44169.848229166666</v>
      </c>
      <c r="E7496" t="s">
        <v>23505</v>
      </c>
      <c r="F7496" t="s">
        <v>666</v>
      </c>
      <c r="G7496" t="s">
        <v>23505</v>
      </c>
      <c r="H7496" t="s">
        <v>667</v>
      </c>
      <c r="I7496" t="s">
        <v>29</v>
      </c>
      <c r="J7496">
        <v>1</v>
      </c>
      <c r="K7496">
        <f>1-888-599-3405</f>
        <v>-4891</v>
      </c>
      <c r="L7496" t="s">
        <v>23510</v>
      </c>
      <c r="M7496" t="s">
        <v>23511</v>
      </c>
      <c r="N7496">
        <v>170</v>
      </c>
      <c r="O7496" t="s">
        <v>134</v>
      </c>
      <c r="P7496" t="s">
        <v>29</v>
      </c>
      <c r="Q7496">
        <v>41</v>
      </c>
      <c r="R7496">
        <v>-74.024699999999996</v>
      </c>
    </row>
    <row r="7497" spans="1:18" x14ac:dyDescent="0.2">
      <c r="A7497" t="s">
        <v>663</v>
      </c>
      <c r="B7497" t="s">
        <v>2493</v>
      </c>
      <c r="C7497">
        <v>1</v>
      </c>
      <c r="D7497" s="1">
        <v>44169.863067129627</v>
      </c>
      <c r="E7497" t="s">
        <v>23512</v>
      </c>
      <c r="F7497" t="s">
        <v>666</v>
      </c>
      <c r="G7497" t="s">
        <v>23512</v>
      </c>
      <c r="H7497" t="s">
        <v>667</v>
      </c>
      <c r="I7497" t="s">
        <v>29</v>
      </c>
      <c r="J7497">
        <v>1</v>
      </c>
      <c r="K7497">
        <f>1-844-309-2136</f>
        <v>-3288</v>
      </c>
      <c r="L7497" t="s">
        <v>23513</v>
      </c>
      <c r="M7497" t="s">
        <v>23514</v>
      </c>
      <c r="N7497">
        <v>118</v>
      </c>
      <c r="O7497" t="s">
        <v>134</v>
      </c>
      <c r="P7497" t="s">
        <v>29</v>
      </c>
      <c r="Q7497">
        <v>41</v>
      </c>
      <c r="R7497">
        <v>-74.024699999999996</v>
      </c>
    </row>
    <row r="7498" spans="1:18" x14ac:dyDescent="0.2">
      <c r="A7498" t="s">
        <v>663</v>
      </c>
      <c r="B7498" t="s">
        <v>2493</v>
      </c>
      <c r="C7498">
        <v>1</v>
      </c>
      <c r="D7498" s="1">
        <v>44169.890648148146</v>
      </c>
      <c r="E7498" t="s">
        <v>23515</v>
      </c>
      <c r="F7498" t="s">
        <v>666</v>
      </c>
      <c r="G7498" t="s">
        <v>23515</v>
      </c>
      <c r="H7498" t="s">
        <v>667</v>
      </c>
      <c r="I7498" t="s">
        <v>29</v>
      </c>
      <c r="J7498">
        <v>1</v>
      </c>
      <c r="K7498">
        <f>1-888-412-7745</f>
        <v>-9044</v>
      </c>
      <c r="L7498" t="s">
        <v>23516</v>
      </c>
      <c r="M7498" t="s">
        <v>23517</v>
      </c>
      <c r="N7498">
        <v>214</v>
      </c>
      <c r="O7498" t="s">
        <v>134</v>
      </c>
      <c r="P7498" t="s">
        <v>29</v>
      </c>
      <c r="Q7498">
        <v>41</v>
      </c>
      <c r="R7498">
        <v>-74.024699999999996</v>
      </c>
    </row>
    <row r="7499" spans="1:18" x14ac:dyDescent="0.2">
      <c r="A7499" t="s">
        <v>663</v>
      </c>
      <c r="B7499" t="s">
        <v>2493</v>
      </c>
      <c r="C7499">
        <v>1</v>
      </c>
      <c r="D7499" s="1">
        <v>44169.887835648151</v>
      </c>
      <c r="E7499" t="s">
        <v>23515</v>
      </c>
      <c r="F7499" t="s">
        <v>666</v>
      </c>
      <c r="G7499" t="s">
        <v>23515</v>
      </c>
      <c r="H7499" t="s">
        <v>667</v>
      </c>
      <c r="I7499" t="s">
        <v>29</v>
      </c>
      <c r="J7499">
        <v>1</v>
      </c>
      <c r="K7499">
        <f>1-888-203-6358</f>
        <v>-7448</v>
      </c>
      <c r="L7499" t="s">
        <v>23518</v>
      </c>
      <c r="M7499" t="s">
        <v>23519</v>
      </c>
      <c r="N7499">
        <v>214</v>
      </c>
      <c r="O7499" t="s">
        <v>134</v>
      </c>
      <c r="P7499" t="s">
        <v>29</v>
      </c>
      <c r="Q7499">
        <v>41</v>
      </c>
      <c r="R7499">
        <v>-74.024699999999996</v>
      </c>
    </row>
    <row r="7500" spans="1:18" x14ac:dyDescent="0.2">
      <c r="A7500" t="s">
        <v>663</v>
      </c>
      <c r="B7500" t="s">
        <v>2493</v>
      </c>
      <c r="C7500">
        <v>1</v>
      </c>
      <c r="D7500" s="1">
        <v>44169.878275462965</v>
      </c>
      <c r="E7500" t="s">
        <v>23515</v>
      </c>
      <c r="F7500" t="s">
        <v>666</v>
      </c>
      <c r="G7500" t="s">
        <v>23515</v>
      </c>
      <c r="H7500" t="s">
        <v>667</v>
      </c>
      <c r="I7500" t="s">
        <v>29</v>
      </c>
      <c r="J7500">
        <v>1</v>
      </c>
      <c r="K7500">
        <f>1-888-249-9013</f>
        <v>-10149</v>
      </c>
      <c r="L7500" t="s">
        <v>23520</v>
      </c>
      <c r="M7500" t="s">
        <v>23521</v>
      </c>
      <c r="N7500">
        <v>214</v>
      </c>
      <c r="O7500" t="s">
        <v>134</v>
      </c>
      <c r="P7500" t="s">
        <v>29</v>
      </c>
      <c r="Q7500">
        <v>41</v>
      </c>
      <c r="R7500">
        <v>-74.024699999999996</v>
      </c>
    </row>
    <row r="7501" spans="1:18" x14ac:dyDescent="0.2">
      <c r="A7501" t="s">
        <v>439</v>
      </c>
      <c r="B7501" t="s">
        <v>4321</v>
      </c>
      <c r="C7501">
        <v>1</v>
      </c>
      <c r="D7501" s="1">
        <v>44169.882835648146</v>
      </c>
      <c r="E7501" t="s">
        <v>23522</v>
      </c>
      <c r="F7501" t="s">
        <v>442</v>
      </c>
      <c r="G7501" t="s">
        <v>23523</v>
      </c>
      <c r="H7501" t="s">
        <v>444</v>
      </c>
      <c r="I7501" t="s">
        <v>29</v>
      </c>
      <c r="J7501">
        <v>1</v>
      </c>
      <c r="K7501">
        <f>1-888-235-7641</f>
        <v>-8763</v>
      </c>
      <c r="L7501" t="s">
        <v>23524</v>
      </c>
      <c r="M7501" t="s">
        <v>23525</v>
      </c>
      <c r="N7501" t="s">
        <v>674</v>
      </c>
      <c r="O7501" t="s">
        <v>134</v>
      </c>
      <c r="P7501" t="s">
        <v>29</v>
      </c>
      <c r="Q7501">
        <v>42</v>
      </c>
      <c r="R7501">
        <v>-87.629800000000003</v>
      </c>
    </row>
    <row r="7502" spans="1:18" x14ac:dyDescent="0.2">
      <c r="A7502" t="s">
        <v>439</v>
      </c>
      <c r="B7502" t="s">
        <v>4321</v>
      </c>
      <c r="C7502">
        <v>1</v>
      </c>
      <c r="D7502" s="1">
        <v>44169.882881944446</v>
      </c>
      <c r="E7502" t="s">
        <v>23526</v>
      </c>
      <c r="F7502" t="s">
        <v>442</v>
      </c>
      <c r="G7502" t="s">
        <v>23527</v>
      </c>
      <c r="H7502" t="s">
        <v>444</v>
      </c>
      <c r="I7502" t="s">
        <v>29</v>
      </c>
      <c r="J7502">
        <v>1</v>
      </c>
      <c r="K7502">
        <f>1-888-381-8315</f>
        <v>-9583</v>
      </c>
      <c r="L7502" t="s">
        <v>23528</v>
      </c>
      <c r="M7502" t="s">
        <v>23529</v>
      </c>
      <c r="N7502" t="s">
        <v>452</v>
      </c>
      <c r="O7502" t="s">
        <v>28</v>
      </c>
      <c r="P7502" t="s">
        <v>29</v>
      </c>
      <c r="Q7502">
        <v>42</v>
      </c>
      <c r="R7502">
        <v>-87.629800000000003</v>
      </c>
    </row>
    <row r="7503" spans="1:18" x14ac:dyDescent="0.2">
      <c r="A7503" t="s">
        <v>439</v>
      </c>
      <c r="B7503" t="s">
        <v>4321</v>
      </c>
      <c r="C7503">
        <v>1</v>
      </c>
      <c r="D7503" s="1">
        <v>44169.882939814815</v>
      </c>
      <c r="E7503" t="s">
        <v>23530</v>
      </c>
      <c r="F7503" t="s">
        <v>442</v>
      </c>
      <c r="G7503" t="s">
        <v>23531</v>
      </c>
      <c r="H7503" t="s">
        <v>444</v>
      </c>
      <c r="I7503" t="s">
        <v>29</v>
      </c>
      <c r="J7503">
        <v>1</v>
      </c>
      <c r="K7503">
        <f>1-888-592-3691</f>
        <v>-5170</v>
      </c>
      <c r="L7503" t="s">
        <v>23532</v>
      </c>
      <c r="M7503" t="s">
        <v>23533</v>
      </c>
      <c r="N7503" t="s">
        <v>683</v>
      </c>
      <c r="O7503" t="s">
        <v>28</v>
      </c>
      <c r="P7503" t="s">
        <v>29</v>
      </c>
      <c r="Q7503">
        <v>42</v>
      </c>
      <c r="R7503">
        <v>-87.629800000000003</v>
      </c>
    </row>
    <row r="7504" spans="1:18" x14ac:dyDescent="0.2">
      <c r="A7504" t="s">
        <v>439</v>
      </c>
      <c r="B7504" t="s">
        <v>4321</v>
      </c>
      <c r="C7504">
        <v>1</v>
      </c>
      <c r="D7504" s="1">
        <v>44169.903171296297</v>
      </c>
      <c r="E7504" t="s">
        <v>23534</v>
      </c>
      <c r="F7504" t="s">
        <v>442</v>
      </c>
      <c r="G7504" t="s">
        <v>23535</v>
      </c>
      <c r="H7504" t="s">
        <v>444</v>
      </c>
      <c r="I7504" t="s">
        <v>29</v>
      </c>
      <c r="J7504">
        <v>1</v>
      </c>
      <c r="K7504">
        <f>1-844-306-9101</f>
        <v>-10250</v>
      </c>
      <c r="L7504" t="s">
        <v>23536</v>
      </c>
      <c r="M7504" t="s">
        <v>23537</v>
      </c>
      <c r="N7504" t="s">
        <v>36</v>
      </c>
      <c r="O7504" t="s">
        <v>28</v>
      </c>
      <c r="P7504" t="s">
        <v>29</v>
      </c>
      <c r="Q7504">
        <v>42</v>
      </c>
      <c r="R7504">
        <v>-87.629800000000003</v>
      </c>
    </row>
    <row r="7505" spans="1:18" x14ac:dyDescent="0.2">
      <c r="A7505" t="s">
        <v>663</v>
      </c>
      <c r="B7505" t="s">
        <v>2493</v>
      </c>
      <c r="C7505">
        <v>1</v>
      </c>
      <c r="D7505" s="1">
        <v>44169.912418981483</v>
      </c>
      <c r="E7505" t="s">
        <v>23538</v>
      </c>
      <c r="F7505" t="s">
        <v>666</v>
      </c>
      <c r="G7505" t="s">
        <v>23538</v>
      </c>
      <c r="H7505" t="s">
        <v>667</v>
      </c>
      <c r="I7505" t="s">
        <v>29</v>
      </c>
      <c r="J7505">
        <v>1</v>
      </c>
      <c r="K7505">
        <f>1-888-531-5349</f>
        <v>-6767</v>
      </c>
      <c r="L7505" t="s">
        <v>23539</v>
      </c>
      <c r="M7505" t="s">
        <v>23540</v>
      </c>
      <c r="N7505">
        <v>174</v>
      </c>
      <c r="O7505" t="s">
        <v>134</v>
      </c>
      <c r="P7505" t="s">
        <v>29</v>
      </c>
      <c r="Q7505">
        <v>41</v>
      </c>
      <c r="R7505">
        <v>-74.024699999999996</v>
      </c>
    </row>
    <row r="7506" spans="1:18" x14ac:dyDescent="0.2">
      <c r="A7506" t="s">
        <v>663</v>
      </c>
      <c r="B7506" t="s">
        <v>2493</v>
      </c>
      <c r="C7506">
        <v>1</v>
      </c>
      <c r="D7506" s="1">
        <v>44169.912326388891</v>
      </c>
      <c r="E7506" t="s">
        <v>23538</v>
      </c>
      <c r="F7506" t="s">
        <v>666</v>
      </c>
      <c r="G7506" t="s">
        <v>23538</v>
      </c>
      <c r="H7506" t="s">
        <v>667</v>
      </c>
      <c r="I7506" t="s">
        <v>29</v>
      </c>
      <c r="J7506">
        <v>1</v>
      </c>
      <c r="K7506">
        <f>1-888-534-7134</f>
        <v>-8555</v>
      </c>
      <c r="L7506" t="s">
        <v>23541</v>
      </c>
      <c r="M7506" t="s">
        <v>23542</v>
      </c>
      <c r="N7506">
        <v>174</v>
      </c>
      <c r="O7506" t="s">
        <v>134</v>
      </c>
      <c r="P7506" t="s">
        <v>29</v>
      </c>
      <c r="Q7506">
        <v>41</v>
      </c>
      <c r="R7506">
        <v>-74.024699999999996</v>
      </c>
    </row>
    <row r="7507" spans="1:18" x14ac:dyDescent="0.2">
      <c r="A7507" t="s">
        <v>663</v>
      </c>
      <c r="B7507" t="s">
        <v>2493</v>
      </c>
      <c r="C7507">
        <v>1</v>
      </c>
      <c r="D7507" s="1">
        <v>44169.948182870372</v>
      </c>
      <c r="E7507" t="s">
        <v>23543</v>
      </c>
      <c r="F7507" t="s">
        <v>666</v>
      </c>
      <c r="G7507" t="s">
        <v>23543</v>
      </c>
      <c r="H7507" t="s">
        <v>667</v>
      </c>
      <c r="I7507" t="s">
        <v>29</v>
      </c>
      <c r="J7507">
        <v>1</v>
      </c>
      <c r="K7507">
        <f>1-888-219-5536</f>
        <v>-6642</v>
      </c>
      <c r="L7507" t="s">
        <v>23544</v>
      </c>
      <c r="M7507" t="s">
        <v>23545</v>
      </c>
      <c r="N7507">
        <v>58</v>
      </c>
      <c r="O7507" t="s">
        <v>134</v>
      </c>
      <c r="P7507" t="s">
        <v>29</v>
      </c>
      <c r="Q7507">
        <v>41</v>
      </c>
      <c r="R7507">
        <v>-74.024699999999996</v>
      </c>
    </row>
    <row r="7508" spans="1:18" x14ac:dyDescent="0.2">
      <c r="A7508" t="s">
        <v>663</v>
      </c>
      <c r="B7508" t="s">
        <v>2493</v>
      </c>
      <c r="C7508">
        <v>1</v>
      </c>
      <c r="D7508" s="1">
        <v>44169.948125000003</v>
      </c>
      <c r="E7508" t="s">
        <v>23543</v>
      </c>
      <c r="F7508" t="s">
        <v>666</v>
      </c>
      <c r="G7508" t="s">
        <v>23543</v>
      </c>
      <c r="H7508" t="s">
        <v>667</v>
      </c>
      <c r="I7508" t="s">
        <v>29</v>
      </c>
      <c r="J7508">
        <v>1</v>
      </c>
      <c r="K7508">
        <f>1-888-210-2667</f>
        <v>-3764</v>
      </c>
      <c r="L7508" t="s">
        <v>23546</v>
      </c>
      <c r="M7508" t="s">
        <v>23547</v>
      </c>
      <c r="N7508">
        <v>58</v>
      </c>
      <c r="O7508" t="s">
        <v>134</v>
      </c>
      <c r="P7508" t="s">
        <v>29</v>
      </c>
      <c r="Q7508">
        <v>41</v>
      </c>
      <c r="R7508">
        <v>-74.024699999999996</v>
      </c>
    </row>
    <row r="7509" spans="1:18" x14ac:dyDescent="0.2">
      <c r="A7509" t="s">
        <v>663</v>
      </c>
      <c r="B7509" t="s">
        <v>2493</v>
      </c>
      <c r="C7509">
        <v>1</v>
      </c>
      <c r="D7509" s="1">
        <v>44169.948078703703</v>
      </c>
      <c r="E7509" t="s">
        <v>23543</v>
      </c>
      <c r="F7509" t="s">
        <v>666</v>
      </c>
      <c r="G7509" t="s">
        <v>23543</v>
      </c>
      <c r="H7509" t="s">
        <v>667</v>
      </c>
      <c r="I7509" t="s">
        <v>29</v>
      </c>
      <c r="J7509">
        <v>1</v>
      </c>
      <c r="K7509">
        <f>1-888-202-1879</f>
        <v>-2968</v>
      </c>
      <c r="L7509" t="s">
        <v>23548</v>
      </c>
      <c r="M7509" t="s">
        <v>23549</v>
      </c>
      <c r="N7509">
        <v>58</v>
      </c>
      <c r="O7509" t="s">
        <v>134</v>
      </c>
      <c r="P7509" t="s">
        <v>29</v>
      </c>
      <c r="Q7509">
        <v>41</v>
      </c>
      <c r="R7509">
        <v>-74.024699999999996</v>
      </c>
    </row>
    <row r="7510" spans="1:18" x14ac:dyDescent="0.2">
      <c r="A7510" t="s">
        <v>663</v>
      </c>
      <c r="B7510" t="s">
        <v>2493</v>
      </c>
      <c r="C7510">
        <v>1</v>
      </c>
      <c r="D7510" s="1">
        <v>44169.967557870368</v>
      </c>
      <c r="E7510" t="s">
        <v>23550</v>
      </c>
      <c r="F7510" t="s">
        <v>666</v>
      </c>
      <c r="G7510" t="s">
        <v>23550</v>
      </c>
      <c r="H7510" t="s">
        <v>667</v>
      </c>
      <c r="I7510" t="s">
        <v>29</v>
      </c>
      <c r="J7510">
        <v>1</v>
      </c>
      <c r="K7510">
        <f>1-888-471-3699</f>
        <v>-5057</v>
      </c>
      <c r="L7510" t="s">
        <v>23551</v>
      </c>
      <c r="M7510" t="s">
        <v>23552</v>
      </c>
      <c r="N7510">
        <v>83</v>
      </c>
      <c r="O7510" t="s">
        <v>134</v>
      </c>
      <c r="P7510" t="s">
        <v>29</v>
      </c>
      <c r="Q7510">
        <v>41</v>
      </c>
      <c r="R7510">
        <v>-74.024699999999996</v>
      </c>
    </row>
    <row r="7511" spans="1:18" x14ac:dyDescent="0.2">
      <c r="A7511" t="s">
        <v>663</v>
      </c>
      <c r="B7511" t="s">
        <v>2493</v>
      </c>
      <c r="C7511">
        <v>1</v>
      </c>
      <c r="D7511" s="1">
        <v>44169.965266203704</v>
      </c>
      <c r="E7511" t="s">
        <v>23550</v>
      </c>
      <c r="F7511" t="s">
        <v>666</v>
      </c>
      <c r="G7511" t="s">
        <v>23550</v>
      </c>
      <c r="H7511" t="s">
        <v>667</v>
      </c>
      <c r="I7511" t="s">
        <v>29</v>
      </c>
      <c r="J7511">
        <v>1</v>
      </c>
      <c r="K7511">
        <f>1-888-655-2438</f>
        <v>-3980</v>
      </c>
      <c r="L7511" t="s">
        <v>23553</v>
      </c>
      <c r="M7511" t="s">
        <v>23554</v>
      </c>
      <c r="N7511">
        <v>83</v>
      </c>
      <c r="O7511" t="s">
        <v>134</v>
      </c>
      <c r="P7511" t="s">
        <v>29</v>
      </c>
      <c r="Q7511">
        <v>41</v>
      </c>
      <c r="R7511">
        <v>-74.024699999999996</v>
      </c>
    </row>
    <row r="7512" spans="1:18" x14ac:dyDescent="0.2">
      <c r="A7512" t="s">
        <v>663</v>
      </c>
      <c r="B7512" t="s">
        <v>2493</v>
      </c>
      <c r="C7512">
        <v>1</v>
      </c>
      <c r="D7512" s="1">
        <v>44169.963831018518</v>
      </c>
      <c r="E7512" t="s">
        <v>23550</v>
      </c>
      <c r="F7512" t="s">
        <v>666</v>
      </c>
      <c r="G7512" t="s">
        <v>23550</v>
      </c>
      <c r="H7512" t="s">
        <v>667</v>
      </c>
      <c r="I7512" t="s">
        <v>29</v>
      </c>
      <c r="J7512">
        <v>1</v>
      </c>
      <c r="K7512">
        <f>1-888-210-4070</f>
        <v>-5167</v>
      </c>
      <c r="L7512" t="s">
        <v>23555</v>
      </c>
      <c r="M7512" t="s">
        <v>23556</v>
      </c>
      <c r="N7512">
        <v>83</v>
      </c>
      <c r="O7512" t="s">
        <v>134</v>
      </c>
      <c r="P7512" t="s">
        <v>29</v>
      </c>
      <c r="Q7512">
        <v>41</v>
      </c>
      <c r="R7512">
        <v>-74.024699999999996</v>
      </c>
    </row>
    <row r="7513" spans="1:18" x14ac:dyDescent="0.2">
      <c r="A7513" t="s">
        <v>663</v>
      </c>
      <c r="B7513" t="s">
        <v>2493</v>
      </c>
      <c r="C7513">
        <v>1</v>
      </c>
      <c r="D7513" s="1">
        <v>44169.962511574071</v>
      </c>
      <c r="E7513" t="s">
        <v>23550</v>
      </c>
      <c r="F7513" t="s">
        <v>666</v>
      </c>
      <c r="G7513" t="s">
        <v>23550</v>
      </c>
      <c r="H7513" t="s">
        <v>667</v>
      </c>
      <c r="I7513" t="s">
        <v>29</v>
      </c>
      <c r="J7513">
        <v>1</v>
      </c>
      <c r="K7513">
        <f>1-888-705-921</f>
        <v>-2513</v>
      </c>
      <c r="L7513" t="s">
        <v>23557</v>
      </c>
      <c r="M7513" t="s">
        <v>23558</v>
      </c>
      <c r="N7513">
        <v>83</v>
      </c>
      <c r="O7513" t="s">
        <v>134</v>
      </c>
      <c r="P7513" t="s">
        <v>29</v>
      </c>
      <c r="Q7513">
        <v>41</v>
      </c>
      <c r="R7513">
        <v>-74.024699999999996</v>
      </c>
    </row>
    <row r="7514" spans="1:18" x14ac:dyDescent="0.2">
      <c r="A7514" t="s">
        <v>663</v>
      </c>
      <c r="B7514" t="s">
        <v>2493</v>
      </c>
      <c r="C7514">
        <v>1</v>
      </c>
      <c r="D7514" s="1">
        <v>44170.053865740738</v>
      </c>
      <c r="E7514" t="s">
        <v>23559</v>
      </c>
      <c r="F7514" t="s">
        <v>666</v>
      </c>
      <c r="G7514" t="s">
        <v>23559</v>
      </c>
      <c r="H7514" t="s">
        <v>667</v>
      </c>
      <c r="I7514" t="s">
        <v>29</v>
      </c>
      <c r="J7514">
        <v>1</v>
      </c>
      <c r="K7514">
        <f>1-888-202-546</f>
        <v>-1635</v>
      </c>
      <c r="L7514" t="s">
        <v>23560</v>
      </c>
      <c r="M7514" t="s">
        <v>23561</v>
      </c>
      <c r="N7514">
        <v>223</v>
      </c>
      <c r="O7514" t="s">
        <v>134</v>
      </c>
      <c r="P7514" t="s">
        <v>29</v>
      </c>
      <c r="Q7514">
        <v>41</v>
      </c>
      <c r="R7514">
        <v>-74.024699999999996</v>
      </c>
    </row>
    <row r="7515" spans="1:18" x14ac:dyDescent="0.2">
      <c r="A7515" t="s">
        <v>663</v>
      </c>
      <c r="B7515" t="s">
        <v>2493</v>
      </c>
      <c r="C7515">
        <v>1</v>
      </c>
      <c r="D7515" s="1">
        <v>44170.053773148145</v>
      </c>
      <c r="E7515" t="s">
        <v>23559</v>
      </c>
      <c r="F7515" t="s">
        <v>666</v>
      </c>
      <c r="G7515" t="s">
        <v>23559</v>
      </c>
      <c r="H7515" t="s">
        <v>667</v>
      </c>
      <c r="I7515" t="s">
        <v>29</v>
      </c>
      <c r="J7515">
        <v>1</v>
      </c>
      <c r="K7515">
        <f>1-888-206-4030</f>
        <v>-5123</v>
      </c>
      <c r="L7515" t="s">
        <v>23562</v>
      </c>
      <c r="M7515" t="s">
        <v>23563</v>
      </c>
      <c r="N7515">
        <v>223</v>
      </c>
      <c r="O7515" t="s">
        <v>134</v>
      </c>
      <c r="P7515" t="s">
        <v>29</v>
      </c>
      <c r="Q7515">
        <v>41</v>
      </c>
      <c r="R7515">
        <v>-74.024699999999996</v>
      </c>
    </row>
    <row r="7516" spans="1:18" x14ac:dyDescent="0.2">
      <c r="A7516" t="s">
        <v>663</v>
      </c>
      <c r="B7516" t="s">
        <v>2493</v>
      </c>
      <c r="C7516">
        <v>1</v>
      </c>
      <c r="D7516" s="1">
        <v>44170.018368055556</v>
      </c>
      <c r="E7516" t="s">
        <v>23559</v>
      </c>
      <c r="F7516" t="s">
        <v>666</v>
      </c>
      <c r="G7516" t="s">
        <v>23559</v>
      </c>
      <c r="H7516" t="s">
        <v>667</v>
      </c>
      <c r="I7516" t="s">
        <v>29</v>
      </c>
      <c r="J7516">
        <v>1</v>
      </c>
      <c r="K7516">
        <f>1-888-524-859</f>
        <v>-2270</v>
      </c>
      <c r="L7516" t="s">
        <v>23564</v>
      </c>
      <c r="M7516" t="s">
        <v>23565</v>
      </c>
      <c r="N7516">
        <v>223</v>
      </c>
      <c r="O7516" t="s">
        <v>134</v>
      </c>
      <c r="P7516" t="s">
        <v>29</v>
      </c>
      <c r="Q7516">
        <v>41</v>
      </c>
      <c r="R7516">
        <v>-74.024699999999996</v>
      </c>
    </row>
    <row r="7517" spans="1:18" x14ac:dyDescent="0.2">
      <c r="A7517" t="s">
        <v>663</v>
      </c>
      <c r="B7517" t="s">
        <v>2493</v>
      </c>
      <c r="C7517">
        <v>1</v>
      </c>
      <c r="D7517" s="1">
        <v>44170.018240740741</v>
      </c>
      <c r="E7517" t="s">
        <v>23559</v>
      </c>
      <c r="F7517" t="s">
        <v>666</v>
      </c>
      <c r="G7517" t="s">
        <v>23559</v>
      </c>
      <c r="H7517" t="s">
        <v>667</v>
      </c>
      <c r="I7517" t="s">
        <v>29</v>
      </c>
      <c r="J7517">
        <v>1</v>
      </c>
      <c r="K7517">
        <f>1-888-531-6410</f>
        <v>-7828</v>
      </c>
      <c r="L7517" t="s">
        <v>23566</v>
      </c>
      <c r="M7517" t="s">
        <v>23567</v>
      </c>
      <c r="N7517">
        <v>223</v>
      </c>
      <c r="O7517" t="s">
        <v>134</v>
      </c>
      <c r="P7517" t="s">
        <v>29</v>
      </c>
      <c r="Q7517">
        <v>41</v>
      </c>
      <c r="R7517">
        <v>-74.024699999999996</v>
      </c>
    </row>
    <row r="7518" spans="1:18" x14ac:dyDescent="0.2">
      <c r="A7518" t="s">
        <v>663</v>
      </c>
      <c r="B7518" t="s">
        <v>2493</v>
      </c>
      <c r="C7518">
        <v>1</v>
      </c>
      <c r="D7518" s="1">
        <v>44170.018171296295</v>
      </c>
      <c r="E7518" t="s">
        <v>23559</v>
      </c>
      <c r="F7518" t="s">
        <v>666</v>
      </c>
      <c r="G7518" t="s">
        <v>23559</v>
      </c>
      <c r="H7518" t="s">
        <v>667</v>
      </c>
      <c r="I7518" t="s">
        <v>29</v>
      </c>
      <c r="J7518">
        <v>1</v>
      </c>
      <c r="K7518">
        <f>1-888-471-3699</f>
        <v>-5057</v>
      </c>
      <c r="L7518" t="s">
        <v>23568</v>
      </c>
      <c r="M7518" t="s">
        <v>23569</v>
      </c>
      <c r="N7518">
        <v>223</v>
      </c>
      <c r="O7518" t="s">
        <v>134</v>
      </c>
      <c r="P7518" t="s">
        <v>29</v>
      </c>
      <c r="Q7518">
        <v>41</v>
      </c>
      <c r="R7518">
        <v>-74.024699999999996</v>
      </c>
    </row>
    <row r="7519" spans="1:18" x14ac:dyDescent="0.2">
      <c r="A7519" t="s">
        <v>663</v>
      </c>
      <c r="B7519" t="s">
        <v>2493</v>
      </c>
      <c r="C7519">
        <v>81</v>
      </c>
      <c r="D7519" s="1">
        <v>44170.211828703701</v>
      </c>
      <c r="E7519" t="s">
        <v>23570</v>
      </c>
      <c r="F7519" t="s">
        <v>666</v>
      </c>
      <c r="G7519" t="s">
        <v>23570</v>
      </c>
      <c r="H7519" t="s">
        <v>667</v>
      </c>
      <c r="I7519" t="s">
        <v>53</v>
      </c>
      <c r="J7519">
        <v>81</v>
      </c>
      <c r="K7519">
        <f>81-50-3196-4205</f>
        <v>-7370</v>
      </c>
      <c r="L7519" t="s">
        <v>23571</v>
      </c>
      <c r="M7519" t="s">
        <v>23572</v>
      </c>
      <c r="N7519">
        <v>233</v>
      </c>
      <c r="O7519" t="s">
        <v>134</v>
      </c>
      <c r="P7519" t="s">
        <v>29</v>
      </c>
      <c r="Q7519">
        <v>41</v>
      </c>
      <c r="R7519">
        <v>-74.024699999999996</v>
      </c>
    </row>
    <row r="7520" spans="1:18" x14ac:dyDescent="0.2">
      <c r="A7520" t="s">
        <v>663</v>
      </c>
      <c r="B7520" t="s">
        <v>2493</v>
      </c>
      <c r="C7520">
        <v>61</v>
      </c>
      <c r="D7520" s="1">
        <v>44170.213483796295</v>
      </c>
      <c r="E7520" t="s">
        <v>23573</v>
      </c>
      <c r="F7520" t="s">
        <v>666</v>
      </c>
      <c r="G7520" t="s">
        <v>23573</v>
      </c>
      <c r="H7520" t="s">
        <v>667</v>
      </c>
      <c r="I7520" t="s">
        <v>782</v>
      </c>
      <c r="J7520">
        <v>61</v>
      </c>
      <c r="K7520">
        <f>61-1800-290-947</f>
        <v>-2976</v>
      </c>
      <c r="L7520" t="s">
        <v>23574</v>
      </c>
      <c r="M7520" t="s">
        <v>23575</v>
      </c>
      <c r="N7520">
        <v>167</v>
      </c>
      <c r="O7520" t="s">
        <v>134</v>
      </c>
      <c r="P7520" t="s">
        <v>29</v>
      </c>
      <c r="Q7520">
        <v>41</v>
      </c>
      <c r="R7520">
        <v>-74.024699999999996</v>
      </c>
    </row>
    <row r="7521" spans="1:18" x14ac:dyDescent="0.2">
      <c r="A7521" t="s">
        <v>439</v>
      </c>
      <c r="B7521" t="s">
        <v>4321</v>
      </c>
      <c r="C7521">
        <v>1</v>
      </c>
      <c r="D7521" s="1">
        <v>44170.718252314815</v>
      </c>
      <c r="E7521" t="s">
        <v>23576</v>
      </c>
      <c r="F7521" t="s">
        <v>442</v>
      </c>
      <c r="G7521" t="s">
        <v>23577</v>
      </c>
      <c r="H7521" t="s">
        <v>444</v>
      </c>
      <c r="I7521" t="s">
        <v>29</v>
      </c>
      <c r="J7521">
        <v>1</v>
      </c>
      <c r="K7521">
        <f>1-888-527-3215</f>
        <v>-4629</v>
      </c>
      <c r="L7521" t="s">
        <v>23578</v>
      </c>
      <c r="M7521" t="s">
        <v>23579</v>
      </c>
      <c r="N7521" t="s">
        <v>213</v>
      </c>
      <c r="O7521" t="s">
        <v>134</v>
      </c>
      <c r="P7521" t="s">
        <v>29</v>
      </c>
      <c r="Q7521">
        <v>42</v>
      </c>
      <c r="R7521">
        <v>-87.629800000000003</v>
      </c>
    </row>
    <row r="7522" spans="1:18" x14ac:dyDescent="0.2">
      <c r="A7522" t="s">
        <v>439</v>
      </c>
      <c r="B7522" t="s">
        <v>4321</v>
      </c>
      <c r="C7522">
        <v>1</v>
      </c>
      <c r="D7522" s="1">
        <v>44170.718298611115</v>
      </c>
      <c r="E7522" t="s">
        <v>23580</v>
      </c>
      <c r="F7522" t="s">
        <v>442</v>
      </c>
      <c r="G7522" t="s">
        <v>23581</v>
      </c>
      <c r="H7522" t="s">
        <v>444</v>
      </c>
      <c r="I7522" t="s">
        <v>29</v>
      </c>
      <c r="J7522">
        <v>1</v>
      </c>
      <c r="K7522">
        <f>1-888-383-7830</f>
        <v>-9100</v>
      </c>
      <c r="L7522" t="s">
        <v>23582</v>
      </c>
      <c r="M7522" t="s">
        <v>23583</v>
      </c>
      <c r="N7522" t="s">
        <v>452</v>
      </c>
      <c r="O7522" t="s">
        <v>28</v>
      </c>
      <c r="P7522" t="s">
        <v>29</v>
      </c>
      <c r="Q7522">
        <v>42</v>
      </c>
      <c r="R7522">
        <v>-87.629800000000003</v>
      </c>
    </row>
    <row r="7523" spans="1:18" x14ac:dyDescent="0.2">
      <c r="A7523" t="s">
        <v>663</v>
      </c>
      <c r="B7523" t="s">
        <v>2493</v>
      </c>
      <c r="C7523">
        <v>1</v>
      </c>
      <c r="D7523" s="1">
        <v>44170.735289351855</v>
      </c>
      <c r="E7523" t="s">
        <v>23584</v>
      </c>
      <c r="F7523" t="s">
        <v>666</v>
      </c>
      <c r="G7523" t="s">
        <v>23584</v>
      </c>
      <c r="H7523" t="s">
        <v>667</v>
      </c>
      <c r="I7523" t="s">
        <v>29</v>
      </c>
      <c r="J7523">
        <v>1</v>
      </c>
      <c r="K7523">
        <f>1-888-381-6721</f>
        <v>-7989</v>
      </c>
      <c r="L7523" t="s">
        <v>23585</v>
      </c>
      <c r="M7523" t="s">
        <v>23586</v>
      </c>
      <c r="N7523">
        <v>249</v>
      </c>
      <c r="O7523" t="s">
        <v>134</v>
      </c>
      <c r="P7523" t="s">
        <v>29</v>
      </c>
      <c r="Q7523">
        <v>41</v>
      </c>
      <c r="R7523">
        <v>-74.024699999999996</v>
      </c>
    </row>
    <row r="7524" spans="1:18" x14ac:dyDescent="0.2">
      <c r="A7524" t="s">
        <v>663</v>
      </c>
      <c r="B7524" t="s">
        <v>2493</v>
      </c>
      <c r="C7524">
        <v>1</v>
      </c>
      <c r="D7524" s="1">
        <v>44170.735243055555</v>
      </c>
      <c r="E7524" t="s">
        <v>23584</v>
      </c>
      <c r="F7524" t="s">
        <v>666</v>
      </c>
      <c r="G7524" t="s">
        <v>23584</v>
      </c>
      <c r="H7524" t="s">
        <v>667</v>
      </c>
      <c r="I7524" t="s">
        <v>29</v>
      </c>
      <c r="J7524">
        <v>1</v>
      </c>
      <c r="K7524">
        <f>1-888-210-2717</f>
        <v>-3814</v>
      </c>
      <c r="L7524" t="s">
        <v>23587</v>
      </c>
      <c r="M7524" t="s">
        <v>23588</v>
      </c>
      <c r="N7524">
        <v>249</v>
      </c>
      <c r="O7524" t="s">
        <v>134</v>
      </c>
      <c r="P7524" t="s">
        <v>29</v>
      </c>
      <c r="Q7524">
        <v>41</v>
      </c>
      <c r="R7524">
        <v>-74.024699999999996</v>
      </c>
    </row>
    <row r="7525" spans="1:18" x14ac:dyDescent="0.2">
      <c r="A7525" t="s">
        <v>663</v>
      </c>
      <c r="B7525" t="s">
        <v>2493</v>
      </c>
      <c r="C7525">
        <v>1</v>
      </c>
      <c r="D7525" s="1">
        <v>44170.735208333332</v>
      </c>
      <c r="E7525" t="s">
        <v>23584</v>
      </c>
      <c r="F7525" t="s">
        <v>666</v>
      </c>
      <c r="G7525" t="s">
        <v>23584</v>
      </c>
      <c r="H7525" t="s">
        <v>667</v>
      </c>
      <c r="I7525" t="s">
        <v>29</v>
      </c>
      <c r="J7525">
        <v>1</v>
      </c>
      <c r="K7525">
        <f>1-888-210-3296</f>
        <v>-4393</v>
      </c>
      <c r="L7525" t="s">
        <v>23589</v>
      </c>
      <c r="M7525" t="s">
        <v>23590</v>
      </c>
      <c r="N7525">
        <v>249</v>
      </c>
      <c r="O7525" t="s">
        <v>134</v>
      </c>
      <c r="P7525" t="s">
        <v>29</v>
      </c>
      <c r="Q7525">
        <v>41</v>
      </c>
      <c r="R7525">
        <v>-74.024699999999996</v>
      </c>
    </row>
    <row r="7526" spans="1:18" x14ac:dyDescent="0.2">
      <c r="A7526" t="s">
        <v>663</v>
      </c>
      <c r="B7526" t="s">
        <v>2493</v>
      </c>
      <c r="C7526">
        <v>1</v>
      </c>
      <c r="D7526" s="1">
        <v>44170.79755787037</v>
      </c>
      <c r="E7526" t="s">
        <v>23591</v>
      </c>
      <c r="F7526" t="s">
        <v>666</v>
      </c>
      <c r="G7526" t="s">
        <v>23591</v>
      </c>
      <c r="H7526" t="s">
        <v>667</v>
      </c>
      <c r="I7526" t="s">
        <v>29</v>
      </c>
      <c r="J7526">
        <v>1</v>
      </c>
      <c r="K7526">
        <f>1-844-309-2136</f>
        <v>-3288</v>
      </c>
      <c r="L7526" t="s">
        <v>23592</v>
      </c>
      <c r="M7526" t="s">
        <v>23593</v>
      </c>
      <c r="N7526">
        <v>92</v>
      </c>
      <c r="O7526" t="s">
        <v>134</v>
      </c>
      <c r="P7526" t="s">
        <v>29</v>
      </c>
      <c r="Q7526">
        <v>41</v>
      </c>
      <c r="R7526">
        <v>-74.024699999999996</v>
      </c>
    </row>
    <row r="7527" spans="1:18" x14ac:dyDescent="0.2">
      <c r="A7527" t="s">
        <v>439</v>
      </c>
      <c r="B7527" t="s">
        <v>4321</v>
      </c>
      <c r="C7527">
        <v>1</v>
      </c>
      <c r="D7527" s="1">
        <v>44170.797627314816</v>
      </c>
      <c r="E7527" t="s">
        <v>23594</v>
      </c>
      <c r="F7527" t="s">
        <v>442</v>
      </c>
      <c r="G7527" t="s">
        <v>23595</v>
      </c>
      <c r="H7527" t="s">
        <v>444</v>
      </c>
      <c r="I7527" t="s">
        <v>29</v>
      </c>
      <c r="J7527">
        <v>1</v>
      </c>
      <c r="K7527">
        <f>1-888-527-3215</f>
        <v>-4629</v>
      </c>
      <c r="L7527" t="s">
        <v>23596</v>
      </c>
      <c r="M7527" t="s">
        <v>23597</v>
      </c>
      <c r="N7527" t="s">
        <v>213</v>
      </c>
      <c r="O7527" t="s">
        <v>134</v>
      </c>
      <c r="P7527" t="s">
        <v>29</v>
      </c>
      <c r="Q7527">
        <v>42</v>
      </c>
      <c r="R7527">
        <v>-87.629800000000003</v>
      </c>
    </row>
    <row r="7528" spans="1:18" x14ac:dyDescent="0.2">
      <c r="A7528" t="s">
        <v>439</v>
      </c>
      <c r="B7528" t="s">
        <v>4321</v>
      </c>
      <c r="C7528">
        <v>1</v>
      </c>
      <c r="D7528" s="1">
        <v>44170.797743055555</v>
      </c>
      <c r="E7528" t="s">
        <v>23598</v>
      </c>
      <c r="F7528" t="s">
        <v>442</v>
      </c>
      <c r="G7528" t="s">
        <v>23599</v>
      </c>
      <c r="H7528" t="s">
        <v>444</v>
      </c>
      <c r="I7528" t="s">
        <v>29</v>
      </c>
      <c r="J7528">
        <v>1</v>
      </c>
      <c r="K7528">
        <f>1-888-383-7830</f>
        <v>-9100</v>
      </c>
      <c r="L7528" t="s">
        <v>23600</v>
      </c>
      <c r="M7528" t="s">
        <v>23601</v>
      </c>
      <c r="N7528" t="s">
        <v>452</v>
      </c>
      <c r="O7528" t="s">
        <v>28</v>
      </c>
      <c r="P7528" t="s">
        <v>29</v>
      </c>
      <c r="Q7528">
        <v>42</v>
      </c>
      <c r="R7528">
        <v>-87.629800000000003</v>
      </c>
    </row>
    <row r="7529" spans="1:18" x14ac:dyDescent="0.2">
      <c r="A7529" t="s">
        <v>663</v>
      </c>
      <c r="B7529" t="s">
        <v>2493</v>
      </c>
      <c r="C7529">
        <v>1</v>
      </c>
      <c r="D7529" s="1">
        <v>44170.799618055556</v>
      </c>
      <c r="E7529" t="s">
        <v>23602</v>
      </c>
      <c r="F7529" t="s">
        <v>666</v>
      </c>
      <c r="G7529" t="s">
        <v>23602</v>
      </c>
      <c r="H7529" t="s">
        <v>667</v>
      </c>
      <c r="I7529" t="s">
        <v>29</v>
      </c>
      <c r="J7529">
        <v>1</v>
      </c>
      <c r="K7529">
        <f>1-888-225-5175</f>
        <v>-6287</v>
      </c>
      <c r="L7529" t="s">
        <v>23603</v>
      </c>
      <c r="M7529" t="s">
        <v>23604</v>
      </c>
      <c r="N7529">
        <v>24</v>
      </c>
      <c r="O7529" t="s">
        <v>134</v>
      </c>
      <c r="P7529" t="s">
        <v>29</v>
      </c>
      <c r="Q7529">
        <v>41</v>
      </c>
      <c r="R7529">
        <v>-74.024699999999996</v>
      </c>
    </row>
    <row r="7530" spans="1:18" x14ac:dyDescent="0.2">
      <c r="A7530" t="s">
        <v>663</v>
      </c>
      <c r="B7530" t="s">
        <v>2493</v>
      </c>
      <c r="C7530">
        <v>1</v>
      </c>
      <c r="D7530" s="1">
        <v>44170.799571759257</v>
      </c>
      <c r="E7530" t="s">
        <v>23602</v>
      </c>
      <c r="F7530" t="s">
        <v>666</v>
      </c>
      <c r="G7530" t="s">
        <v>23602</v>
      </c>
      <c r="H7530" t="s">
        <v>667</v>
      </c>
      <c r="I7530" t="s">
        <v>29</v>
      </c>
      <c r="J7530">
        <v>1</v>
      </c>
      <c r="K7530">
        <f>1-888-603-9912</f>
        <v>-11402</v>
      </c>
      <c r="L7530" t="s">
        <v>23605</v>
      </c>
      <c r="M7530" t="s">
        <v>23606</v>
      </c>
      <c r="N7530">
        <v>24</v>
      </c>
      <c r="O7530" t="s">
        <v>134</v>
      </c>
      <c r="P7530" t="s">
        <v>29</v>
      </c>
      <c r="Q7530">
        <v>41</v>
      </c>
      <c r="R7530">
        <v>-74.024699999999996</v>
      </c>
    </row>
    <row r="7531" spans="1:18" x14ac:dyDescent="0.2">
      <c r="A7531" t="s">
        <v>663</v>
      </c>
      <c r="B7531" t="s">
        <v>2493</v>
      </c>
      <c r="C7531">
        <v>1</v>
      </c>
      <c r="D7531" s="1">
        <v>44170.834467592591</v>
      </c>
      <c r="E7531" t="s">
        <v>23607</v>
      </c>
      <c r="F7531" t="s">
        <v>666</v>
      </c>
      <c r="G7531" t="s">
        <v>23607</v>
      </c>
      <c r="H7531" t="s">
        <v>667</v>
      </c>
      <c r="I7531" t="s">
        <v>29</v>
      </c>
      <c r="J7531">
        <v>1</v>
      </c>
      <c r="K7531">
        <f>1-888-210-2930</f>
        <v>-4027</v>
      </c>
      <c r="L7531" t="s">
        <v>23608</v>
      </c>
      <c r="M7531" t="s">
        <v>23609</v>
      </c>
      <c r="N7531">
        <v>188</v>
      </c>
      <c r="O7531" t="s">
        <v>134</v>
      </c>
      <c r="P7531" t="s">
        <v>29</v>
      </c>
      <c r="Q7531">
        <v>41</v>
      </c>
      <c r="R7531">
        <v>-74.024699999999996</v>
      </c>
    </row>
    <row r="7532" spans="1:18" x14ac:dyDescent="0.2">
      <c r="A7532" t="s">
        <v>663</v>
      </c>
      <c r="B7532" t="s">
        <v>2493</v>
      </c>
      <c r="C7532">
        <v>1</v>
      </c>
      <c r="D7532" s="1">
        <v>44170.830729166664</v>
      </c>
      <c r="E7532" t="s">
        <v>23607</v>
      </c>
      <c r="F7532" t="s">
        <v>666</v>
      </c>
      <c r="G7532" t="s">
        <v>23607</v>
      </c>
      <c r="H7532" t="s">
        <v>667</v>
      </c>
      <c r="I7532" t="s">
        <v>29</v>
      </c>
      <c r="J7532">
        <v>1</v>
      </c>
      <c r="K7532">
        <f>1-888-221-2652</f>
        <v>-3760</v>
      </c>
      <c r="L7532" t="s">
        <v>23610</v>
      </c>
      <c r="M7532" t="s">
        <v>23611</v>
      </c>
      <c r="N7532">
        <v>188</v>
      </c>
      <c r="O7532" t="s">
        <v>134</v>
      </c>
      <c r="P7532" t="s">
        <v>29</v>
      </c>
      <c r="Q7532">
        <v>41</v>
      </c>
      <c r="R7532">
        <v>-74.024699999999996</v>
      </c>
    </row>
    <row r="7533" spans="1:18" x14ac:dyDescent="0.2">
      <c r="A7533" t="s">
        <v>663</v>
      </c>
      <c r="B7533" t="s">
        <v>2493</v>
      </c>
      <c r="C7533">
        <v>1</v>
      </c>
      <c r="D7533" s="1">
        <v>44170.830682870372</v>
      </c>
      <c r="E7533" t="s">
        <v>23607</v>
      </c>
      <c r="F7533" t="s">
        <v>666</v>
      </c>
      <c r="G7533" t="s">
        <v>23607</v>
      </c>
      <c r="H7533" t="s">
        <v>667</v>
      </c>
      <c r="I7533" t="s">
        <v>29</v>
      </c>
      <c r="J7533">
        <v>1</v>
      </c>
      <c r="K7533">
        <f>1-888-525-685</f>
        <v>-2097</v>
      </c>
      <c r="L7533" t="s">
        <v>23612</v>
      </c>
      <c r="M7533" t="s">
        <v>23613</v>
      </c>
      <c r="N7533">
        <v>188</v>
      </c>
      <c r="O7533" t="s">
        <v>134</v>
      </c>
      <c r="P7533" t="s">
        <v>29</v>
      </c>
      <c r="Q7533">
        <v>41</v>
      </c>
      <c r="R7533">
        <v>-74.024699999999996</v>
      </c>
    </row>
    <row r="7534" spans="1:18" x14ac:dyDescent="0.2">
      <c r="A7534" t="s">
        <v>663</v>
      </c>
      <c r="B7534" t="s">
        <v>2493</v>
      </c>
      <c r="C7534">
        <v>1</v>
      </c>
      <c r="D7534" s="1">
        <v>44170.830636574072</v>
      </c>
      <c r="E7534" t="s">
        <v>23607</v>
      </c>
      <c r="F7534" t="s">
        <v>666</v>
      </c>
      <c r="G7534" t="s">
        <v>23607</v>
      </c>
      <c r="H7534" t="s">
        <v>667</v>
      </c>
      <c r="I7534" t="s">
        <v>29</v>
      </c>
      <c r="J7534">
        <v>1</v>
      </c>
      <c r="K7534">
        <f>1-888-257-5232</f>
        <v>-6376</v>
      </c>
      <c r="L7534" t="s">
        <v>23614</v>
      </c>
      <c r="M7534" t="s">
        <v>23615</v>
      </c>
      <c r="N7534">
        <v>188</v>
      </c>
      <c r="O7534" t="s">
        <v>134</v>
      </c>
      <c r="P7534" t="s">
        <v>29</v>
      </c>
      <c r="Q7534">
        <v>41</v>
      </c>
      <c r="R7534">
        <v>-74.024699999999996</v>
      </c>
    </row>
    <row r="7535" spans="1:18" x14ac:dyDescent="0.2">
      <c r="A7535" t="s">
        <v>663</v>
      </c>
      <c r="B7535" t="s">
        <v>2493</v>
      </c>
      <c r="C7535">
        <v>1</v>
      </c>
      <c r="D7535" s="1">
        <v>44170.824861111112</v>
      </c>
      <c r="E7535" t="s">
        <v>23607</v>
      </c>
      <c r="F7535" t="s">
        <v>666</v>
      </c>
      <c r="G7535" t="s">
        <v>23607</v>
      </c>
      <c r="H7535" t="s">
        <v>667</v>
      </c>
      <c r="I7535" t="s">
        <v>29</v>
      </c>
      <c r="J7535">
        <v>1</v>
      </c>
      <c r="K7535">
        <f>1-888-210-6578</f>
        <v>-7675</v>
      </c>
      <c r="L7535" t="s">
        <v>23616</v>
      </c>
      <c r="M7535" t="s">
        <v>23617</v>
      </c>
      <c r="N7535">
        <v>188</v>
      </c>
      <c r="O7535" t="s">
        <v>134</v>
      </c>
      <c r="P7535" t="s">
        <v>29</v>
      </c>
      <c r="Q7535">
        <v>41</v>
      </c>
      <c r="R7535">
        <v>-74.024699999999996</v>
      </c>
    </row>
    <row r="7536" spans="1:18" x14ac:dyDescent="0.2">
      <c r="A7536" t="s">
        <v>663</v>
      </c>
      <c r="B7536" t="s">
        <v>2493</v>
      </c>
      <c r="C7536">
        <v>1</v>
      </c>
      <c r="D7536" s="1">
        <v>44170.824814814812</v>
      </c>
      <c r="E7536" t="s">
        <v>23607</v>
      </c>
      <c r="F7536" t="s">
        <v>666</v>
      </c>
      <c r="G7536" t="s">
        <v>23607</v>
      </c>
      <c r="H7536" t="s">
        <v>667</v>
      </c>
      <c r="I7536" t="s">
        <v>29</v>
      </c>
      <c r="J7536">
        <v>1</v>
      </c>
      <c r="K7536">
        <f>1-888-210-5806</f>
        <v>-6903</v>
      </c>
      <c r="L7536" t="s">
        <v>23618</v>
      </c>
      <c r="M7536" t="s">
        <v>23619</v>
      </c>
      <c r="N7536">
        <v>188</v>
      </c>
      <c r="O7536" t="s">
        <v>134</v>
      </c>
      <c r="P7536" t="s">
        <v>29</v>
      </c>
      <c r="Q7536">
        <v>41</v>
      </c>
      <c r="R7536">
        <v>-74.024699999999996</v>
      </c>
    </row>
    <row r="7537" spans="1:18" x14ac:dyDescent="0.2">
      <c r="A7537" t="s">
        <v>663</v>
      </c>
      <c r="B7537" t="s">
        <v>2493</v>
      </c>
      <c r="C7537">
        <v>1</v>
      </c>
      <c r="D7537" s="1">
        <v>44170.82476851852</v>
      </c>
      <c r="E7537" t="s">
        <v>23607</v>
      </c>
      <c r="F7537" t="s">
        <v>666</v>
      </c>
      <c r="G7537" t="s">
        <v>23607</v>
      </c>
      <c r="H7537" t="s">
        <v>667</v>
      </c>
      <c r="I7537" t="s">
        <v>29</v>
      </c>
      <c r="J7537">
        <v>1</v>
      </c>
      <c r="K7537">
        <f>1-888-523-1564</f>
        <v>-2974</v>
      </c>
      <c r="L7537" t="s">
        <v>23620</v>
      </c>
      <c r="M7537" t="s">
        <v>23621</v>
      </c>
      <c r="N7537">
        <v>188</v>
      </c>
      <c r="O7537" t="s">
        <v>134</v>
      </c>
      <c r="P7537" t="s">
        <v>29</v>
      </c>
      <c r="Q7537">
        <v>41</v>
      </c>
      <c r="R7537">
        <v>-74.024699999999996</v>
      </c>
    </row>
    <row r="7538" spans="1:18" x14ac:dyDescent="0.2">
      <c r="A7538" t="s">
        <v>663</v>
      </c>
      <c r="B7538" t="s">
        <v>2493</v>
      </c>
      <c r="C7538">
        <v>1</v>
      </c>
      <c r="D7538" s="1">
        <v>44170.82472222222</v>
      </c>
      <c r="E7538" t="s">
        <v>23607</v>
      </c>
      <c r="F7538" t="s">
        <v>666</v>
      </c>
      <c r="G7538" t="s">
        <v>23607</v>
      </c>
      <c r="H7538" t="s">
        <v>667</v>
      </c>
      <c r="I7538" t="s">
        <v>29</v>
      </c>
      <c r="J7538">
        <v>1</v>
      </c>
      <c r="K7538">
        <f>1-888-210-3814</f>
        <v>-4911</v>
      </c>
      <c r="L7538" t="s">
        <v>23622</v>
      </c>
      <c r="M7538" t="s">
        <v>23623</v>
      </c>
      <c r="N7538">
        <v>188</v>
      </c>
      <c r="O7538" t="s">
        <v>134</v>
      </c>
      <c r="P7538" t="s">
        <v>29</v>
      </c>
      <c r="Q7538">
        <v>41</v>
      </c>
      <c r="R7538">
        <v>-74.024699999999996</v>
      </c>
    </row>
    <row r="7539" spans="1:18" x14ac:dyDescent="0.2">
      <c r="A7539" t="s">
        <v>663</v>
      </c>
      <c r="B7539" t="s">
        <v>2493</v>
      </c>
      <c r="C7539">
        <v>1</v>
      </c>
      <c r="D7539" s="1">
        <v>44170.865601851852</v>
      </c>
      <c r="E7539" t="s">
        <v>23624</v>
      </c>
      <c r="F7539" t="s">
        <v>2495</v>
      </c>
      <c r="G7539" t="s">
        <v>23624</v>
      </c>
      <c r="H7539" t="s">
        <v>667</v>
      </c>
      <c r="I7539" t="s">
        <v>29</v>
      </c>
      <c r="J7539">
        <v>1</v>
      </c>
      <c r="K7539">
        <f>1-888-396-4092</f>
        <v>-5375</v>
      </c>
      <c r="L7539" t="s">
        <v>23625</v>
      </c>
      <c r="M7539" t="s">
        <v>23626</v>
      </c>
      <c r="N7539">
        <v>196</v>
      </c>
      <c r="O7539" t="s">
        <v>134</v>
      </c>
      <c r="P7539" t="s">
        <v>29</v>
      </c>
      <c r="Q7539">
        <v>41</v>
      </c>
      <c r="R7539">
        <v>-74.024699999999996</v>
      </c>
    </row>
    <row r="7540" spans="1:18" x14ac:dyDescent="0.2">
      <c r="A7540" t="s">
        <v>663</v>
      </c>
      <c r="B7540" t="s">
        <v>2493</v>
      </c>
      <c r="C7540">
        <v>1</v>
      </c>
      <c r="D7540" s="1">
        <v>44170.896643518521</v>
      </c>
      <c r="E7540" t="s">
        <v>23627</v>
      </c>
      <c r="F7540" t="s">
        <v>666</v>
      </c>
      <c r="G7540" t="s">
        <v>23627</v>
      </c>
      <c r="H7540" t="s">
        <v>667</v>
      </c>
      <c r="I7540" t="s">
        <v>29</v>
      </c>
      <c r="J7540">
        <v>1</v>
      </c>
      <c r="K7540">
        <f>1-888-210-1132</f>
        <v>-2229</v>
      </c>
      <c r="L7540" t="s">
        <v>23628</v>
      </c>
      <c r="M7540" t="s">
        <v>23629</v>
      </c>
      <c r="N7540">
        <v>136</v>
      </c>
      <c r="O7540" t="s">
        <v>134</v>
      </c>
      <c r="P7540" t="s">
        <v>29</v>
      </c>
      <c r="Q7540">
        <v>41</v>
      </c>
      <c r="R7540">
        <v>-74.024699999999996</v>
      </c>
    </row>
    <row r="7541" spans="1:18" x14ac:dyDescent="0.2">
      <c r="A7541" t="s">
        <v>663</v>
      </c>
      <c r="B7541" t="s">
        <v>2493</v>
      </c>
      <c r="C7541">
        <v>1</v>
      </c>
      <c r="D7541" s="1">
        <v>44170.896608796298</v>
      </c>
      <c r="E7541" t="s">
        <v>23627</v>
      </c>
      <c r="F7541" t="s">
        <v>666</v>
      </c>
      <c r="G7541" t="s">
        <v>23627</v>
      </c>
      <c r="H7541" t="s">
        <v>667</v>
      </c>
      <c r="I7541" t="s">
        <v>29</v>
      </c>
      <c r="J7541">
        <v>1</v>
      </c>
      <c r="K7541">
        <f>1-888-259-6165</f>
        <v>-7311</v>
      </c>
      <c r="L7541" t="s">
        <v>23630</v>
      </c>
      <c r="M7541" t="s">
        <v>23631</v>
      </c>
      <c r="N7541">
        <v>136</v>
      </c>
      <c r="O7541" t="s">
        <v>134</v>
      </c>
      <c r="P7541" t="s">
        <v>29</v>
      </c>
      <c r="Q7541">
        <v>41</v>
      </c>
      <c r="R7541">
        <v>-74.024699999999996</v>
      </c>
    </row>
    <row r="7542" spans="1:18" x14ac:dyDescent="0.2">
      <c r="A7542" t="s">
        <v>663</v>
      </c>
      <c r="B7542" t="s">
        <v>2493</v>
      </c>
      <c r="C7542">
        <v>1</v>
      </c>
      <c r="D7542" s="1">
        <v>44170.931064814817</v>
      </c>
      <c r="E7542" t="s">
        <v>23632</v>
      </c>
      <c r="F7542" t="s">
        <v>666</v>
      </c>
      <c r="G7542" t="s">
        <v>23632</v>
      </c>
      <c r="H7542" t="s">
        <v>667</v>
      </c>
      <c r="I7542" t="s">
        <v>29</v>
      </c>
      <c r="J7542">
        <v>1</v>
      </c>
      <c r="K7542">
        <f>1-888-203-2064</f>
        <v>-3154</v>
      </c>
      <c r="L7542" t="s">
        <v>23633</v>
      </c>
      <c r="M7542" t="s">
        <v>23634</v>
      </c>
      <c r="N7542">
        <v>201</v>
      </c>
      <c r="O7542" t="s">
        <v>134</v>
      </c>
      <c r="P7542" t="s">
        <v>29</v>
      </c>
      <c r="Q7542">
        <v>41</v>
      </c>
      <c r="R7542">
        <v>-74.024699999999996</v>
      </c>
    </row>
    <row r="7543" spans="1:18" x14ac:dyDescent="0.2">
      <c r="A7543" t="s">
        <v>663</v>
      </c>
      <c r="B7543" t="s">
        <v>2493</v>
      </c>
      <c r="C7543">
        <v>1</v>
      </c>
      <c r="D7543" s="1">
        <v>44170.928715277776</v>
      </c>
      <c r="E7543" t="s">
        <v>23632</v>
      </c>
      <c r="F7543" t="s">
        <v>666</v>
      </c>
      <c r="G7543" t="s">
        <v>23632</v>
      </c>
      <c r="H7543" t="s">
        <v>667</v>
      </c>
      <c r="I7543" t="s">
        <v>29</v>
      </c>
      <c r="J7543">
        <v>1</v>
      </c>
      <c r="K7543">
        <f>1-888-211-806</f>
        <v>-1904</v>
      </c>
      <c r="L7543" t="s">
        <v>23635</v>
      </c>
      <c r="M7543" t="s">
        <v>23636</v>
      </c>
      <c r="N7543">
        <v>201</v>
      </c>
      <c r="O7543" t="s">
        <v>134</v>
      </c>
      <c r="P7543" t="s">
        <v>29</v>
      </c>
      <c r="Q7543">
        <v>41</v>
      </c>
      <c r="R7543">
        <v>-74.024699999999996</v>
      </c>
    </row>
    <row r="7544" spans="1:18" x14ac:dyDescent="0.2">
      <c r="A7544" t="s">
        <v>439</v>
      </c>
      <c r="B7544" t="s">
        <v>4321</v>
      </c>
      <c r="C7544">
        <v>1</v>
      </c>
      <c r="D7544" s="1">
        <v>44170.933738425927</v>
      </c>
      <c r="E7544" t="s">
        <v>23637</v>
      </c>
      <c r="F7544" t="s">
        <v>442</v>
      </c>
      <c r="G7544" t="s">
        <v>23638</v>
      </c>
      <c r="H7544" t="s">
        <v>444</v>
      </c>
      <c r="I7544" t="s">
        <v>29</v>
      </c>
      <c r="J7544">
        <v>1</v>
      </c>
      <c r="K7544">
        <f>1-888-985-7155</f>
        <v>-9027</v>
      </c>
      <c r="L7544" t="s">
        <v>23639</v>
      </c>
      <c r="M7544" t="s">
        <v>23640</v>
      </c>
      <c r="N7544" t="s">
        <v>20913</v>
      </c>
      <c r="O7544" t="s">
        <v>28</v>
      </c>
      <c r="P7544" t="s">
        <v>29</v>
      </c>
      <c r="Q7544">
        <v>42</v>
      </c>
      <c r="R7544">
        <v>-87.629800000000003</v>
      </c>
    </row>
    <row r="7545" spans="1:18" x14ac:dyDescent="0.2">
      <c r="A7545" t="s">
        <v>439</v>
      </c>
      <c r="B7545" t="s">
        <v>4321</v>
      </c>
      <c r="C7545">
        <v>1</v>
      </c>
      <c r="D7545" s="1">
        <v>44170.940740740742</v>
      </c>
      <c r="E7545" t="s">
        <v>23641</v>
      </c>
      <c r="F7545" t="s">
        <v>442</v>
      </c>
      <c r="G7545" t="s">
        <v>23642</v>
      </c>
      <c r="H7545" t="s">
        <v>444</v>
      </c>
      <c r="I7545" t="s">
        <v>29</v>
      </c>
      <c r="J7545">
        <v>1</v>
      </c>
      <c r="K7545">
        <f>1-844-251-8038</f>
        <v>-9132</v>
      </c>
      <c r="L7545" t="s">
        <v>23643</v>
      </c>
      <c r="M7545" t="s">
        <v>23644</v>
      </c>
      <c r="N7545" t="s">
        <v>36</v>
      </c>
      <c r="O7545" t="s">
        <v>28</v>
      </c>
      <c r="P7545" t="s">
        <v>29</v>
      </c>
      <c r="Q7545">
        <v>42</v>
      </c>
      <c r="R7545">
        <v>-87.629800000000003</v>
      </c>
    </row>
    <row r="7546" spans="1:18" x14ac:dyDescent="0.2">
      <c r="A7546" t="s">
        <v>439</v>
      </c>
      <c r="B7546" t="s">
        <v>4321</v>
      </c>
      <c r="C7546">
        <v>1</v>
      </c>
      <c r="D7546" s="1">
        <v>44170.963217592594</v>
      </c>
      <c r="E7546" t="s">
        <v>23645</v>
      </c>
      <c r="F7546" t="s">
        <v>442</v>
      </c>
      <c r="G7546" t="s">
        <v>23646</v>
      </c>
      <c r="H7546" t="s">
        <v>444</v>
      </c>
      <c r="I7546" t="s">
        <v>29</v>
      </c>
      <c r="J7546">
        <v>1</v>
      </c>
      <c r="K7546">
        <f>1-888-985-6873</f>
        <v>-8745</v>
      </c>
      <c r="L7546" t="s">
        <v>23647</v>
      </c>
      <c r="M7546" t="s">
        <v>23648</v>
      </c>
      <c r="N7546" t="s">
        <v>20913</v>
      </c>
      <c r="O7546" t="s">
        <v>28</v>
      </c>
      <c r="P7546" t="s">
        <v>29</v>
      </c>
      <c r="Q7546">
        <v>42</v>
      </c>
      <c r="R7546">
        <v>-87.629800000000003</v>
      </c>
    </row>
    <row r="7547" spans="1:18" x14ac:dyDescent="0.2">
      <c r="A7547" t="s">
        <v>663</v>
      </c>
      <c r="B7547" t="s">
        <v>2493</v>
      </c>
      <c r="C7547">
        <v>1</v>
      </c>
      <c r="D7547" s="1">
        <v>44170.988749999997</v>
      </c>
      <c r="E7547" t="s">
        <v>23649</v>
      </c>
      <c r="F7547" t="s">
        <v>666</v>
      </c>
      <c r="G7547" t="s">
        <v>23649</v>
      </c>
      <c r="H7547" t="s">
        <v>667</v>
      </c>
      <c r="I7547" t="s">
        <v>29</v>
      </c>
      <c r="J7547">
        <v>1</v>
      </c>
      <c r="K7547">
        <f>1-888-250-6924</f>
        <v>-8061</v>
      </c>
      <c r="L7547" t="s">
        <v>23650</v>
      </c>
      <c r="M7547" t="s">
        <v>23651</v>
      </c>
      <c r="N7547">
        <v>43</v>
      </c>
      <c r="O7547" t="s">
        <v>134</v>
      </c>
      <c r="P7547" t="s">
        <v>29</v>
      </c>
      <c r="Q7547">
        <v>41</v>
      </c>
      <c r="R7547">
        <v>-74.024699999999996</v>
      </c>
    </row>
    <row r="7548" spans="1:18" x14ac:dyDescent="0.2">
      <c r="A7548" t="s">
        <v>663</v>
      </c>
      <c r="B7548" t="s">
        <v>4281</v>
      </c>
      <c r="C7548">
        <v>1</v>
      </c>
      <c r="D7548" s="1">
        <v>44171.800613425927</v>
      </c>
      <c r="E7548" t="s">
        <v>23652</v>
      </c>
      <c r="F7548" t="s">
        <v>666</v>
      </c>
      <c r="G7548" t="s">
        <v>23653</v>
      </c>
      <c r="H7548" t="s">
        <v>667</v>
      </c>
      <c r="I7548" t="s">
        <v>29</v>
      </c>
      <c r="J7548">
        <v>1</v>
      </c>
      <c r="K7548">
        <f>1-888-985-6795</f>
        <v>-8667</v>
      </c>
      <c r="L7548" t="s">
        <v>23654</v>
      </c>
      <c r="M7548" t="s">
        <v>23655</v>
      </c>
      <c r="N7548" t="s">
        <v>20913</v>
      </c>
      <c r="O7548" t="s">
        <v>134</v>
      </c>
      <c r="P7548" t="s">
        <v>24</v>
      </c>
      <c r="Q7548">
        <v>50</v>
      </c>
      <c r="R7548">
        <v>8.6843000000000004</v>
      </c>
    </row>
    <row r="7549" spans="1:18" x14ac:dyDescent="0.2">
      <c r="A7549" t="s">
        <v>663</v>
      </c>
      <c r="B7549" t="s">
        <v>4281</v>
      </c>
      <c r="C7549">
        <v>1</v>
      </c>
      <c r="D7549" s="1">
        <v>44171.513194444444</v>
      </c>
      <c r="E7549" t="s">
        <v>23656</v>
      </c>
      <c r="F7549" t="s">
        <v>666</v>
      </c>
      <c r="G7549" t="s">
        <v>23653</v>
      </c>
      <c r="H7549" t="s">
        <v>667</v>
      </c>
      <c r="I7549" t="s">
        <v>29</v>
      </c>
      <c r="J7549">
        <v>1</v>
      </c>
      <c r="K7549">
        <f>1-888-985-7155</f>
        <v>-9027</v>
      </c>
      <c r="L7549" t="s">
        <v>23657</v>
      </c>
      <c r="M7549" t="s">
        <v>23658</v>
      </c>
      <c r="N7549" t="s">
        <v>20913</v>
      </c>
      <c r="O7549" t="s">
        <v>134</v>
      </c>
      <c r="P7549" t="s">
        <v>24</v>
      </c>
      <c r="Q7549">
        <v>50</v>
      </c>
      <c r="R7549">
        <v>8.6843000000000004</v>
      </c>
    </row>
    <row r="7550" spans="1:18" x14ac:dyDescent="0.2">
      <c r="A7550" t="s">
        <v>663</v>
      </c>
      <c r="B7550" t="s">
        <v>4281</v>
      </c>
      <c r="C7550">
        <v>1</v>
      </c>
      <c r="D7550" s="1">
        <v>44171.513148148151</v>
      </c>
      <c r="E7550" t="s">
        <v>23656</v>
      </c>
      <c r="F7550" t="s">
        <v>666</v>
      </c>
      <c r="G7550" t="s">
        <v>23653</v>
      </c>
      <c r="H7550" t="s">
        <v>667</v>
      </c>
      <c r="I7550" t="s">
        <v>29</v>
      </c>
      <c r="J7550">
        <v>1</v>
      </c>
      <c r="K7550">
        <f>1-888-985-6873</f>
        <v>-8745</v>
      </c>
      <c r="L7550" t="s">
        <v>23659</v>
      </c>
      <c r="M7550" t="s">
        <v>23660</v>
      </c>
      <c r="N7550" t="s">
        <v>20913</v>
      </c>
      <c r="O7550" t="s">
        <v>134</v>
      </c>
      <c r="P7550" t="s">
        <v>24</v>
      </c>
      <c r="Q7550">
        <v>50</v>
      </c>
      <c r="R7550">
        <v>8.6843000000000004</v>
      </c>
    </row>
    <row r="7551" spans="1:18" x14ac:dyDescent="0.2">
      <c r="A7551" t="s">
        <v>663</v>
      </c>
      <c r="B7551" t="s">
        <v>4281</v>
      </c>
      <c r="C7551">
        <v>1</v>
      </c>
      <c r="D7551" s="1">
        <v>44171.512129629627</v>
      </c>
      <c r="E7551" t="s">
        <v>23652</v>
      </c>
      <c r="F7551" t="s">
        <v>666</v>
      </c>
      <c r="G7551" t="s">
        <v>23653</v>
      </c>
      <c r="H7551" t="s">
        <v>667</v>
      </c>
      <c r="I7551" t="s">
        <v>29</v>
      </c>
      <c r="J7551">
        <v>1</v>
      </c>
      <c r="K7551">
        <f>1-888-985-6873</f>
        <v>-8745</v>
      </c>
      <c r="L7551" t="s">
        <v>23661</v>
      </c>
      <c r="M7551" t="s">
        <v>23662</v>
      </c>
      <c r="N7551" t="s">
        <v>20913</v>
      </c>
      <c r="O7551" t="s">
        <v>134</v>
      </c>
      <c r="P7551" t="s">
        <v>24</v>
      </c>
      <c r="Q7551">
        <v>50</v>
      </c>
      <c r="R7551">
        <v>8.6843000000000004</v>
      </c>
    </row>
    <row r="7552" spans="1:18" x14ac:dyDescent="0.2">
      <c r="A7552" t="s">
        <v>663</v>
      </c>
      <c r="B7552" t="s">
        <v>4281</v>
      </c>
      <c r="C7552">
        <v>1</v>
      </c>
      <c r="D7552" s="1">
        <v>44171.512060185189</v>
      </c>
      <c r="E7552" t="s">
        <v>23652</v>
      </c>
      <c r="F7552" t="s">
        <v>666</v>
      </c>
      <c r="G7552" t="s">
        <v>23653</v>
      </c>
      <c r="H7552" t="s">
        <v>667</v>
      </c>
      <c r="I7552" t="s">
        <v>29</v>
      </c>
      <c r="J7552">
        <v>1</v>
      </c>
      <c r="K7552">
        <f>1-888-985-7155</f>
        <v>-9027</v>
      </c>
      <c r="L7552" t="s">
        <v>23663</v>
      </c>
      <c r="M7552" t="s">
        <v>23664</v>
      </c>
      <c r="N7552" t="s">
        <v>20913</v>
      </c>
      <c r="O7552" t="s">
        <v>134</v>
      </c>
      <c r="P7552" t="s">
        <v>24</v>
      </c>
      <c r="Q7552">
        <v>50</v>
      </c>
      <c r="R7552">
        <v>8.6843000000000004</v>
      </c>
    </row>
    <row r="7553" spans="1:18" x14ac:dyDescent="0.2">
      <c r="A7553" t="s">
        <v>663</v>
      </c>
      <c r="B7553" t="s">
        <v>4281</v>
      </c>
      <c r="C7553">
        <v>1</v>
      </c>
      <c r="D7553" s="1">
        <v>44171.511793981481</v>
      </c>
      <c r="E7553" t="s">
        <v>23665</v>
      </c>
      <c r="F7553" t="s">
        <v>666</v>
      </c>
      <c r="G7553" t="s">
        <v>23653</v>
      </c>
      <c r="H7553" t="s">
        <v>667</v>
      </c>
      <c r="I7553" t="s">
        <v>29</v>
      </c>
      <c r="J7553">
        <v>1</v>
      </c>
      <c r="K7553">
        <f>1-888-985-7155</f>
        <v>-9027</v>
      </c>
      <c r="L7553" t="s">
        <v>23666</v>
      </c>
      <c r="M7553" t="s">
        <v>23667</v>
      </c>
      <c r="N7553" t="s">
        <v>20913</v>
      </c>
      <c r="O7553" t="s">
        <v>134</v>
      </c>
      <c r="P7553" t="s">
        <v>24</v>
      </c>
      <c r="Q7553">
        <v>50</v>
      </c>
      <c r="R7553">
        <v>8.6843000000000004</v>
      </c>
    </row>
    <row r="7554" spans="1:18" x14ac:dyDescent="0.2">
      <c r="A7554" t="s">
        <v>663</v>
      </c>
      <c r="B7554" t="s">
        <v>4281</v>
      </c>
      <c r="C7554">
        <v>1</v>
      </c>
      <c r="D7554" s="1">
        <v>44171.511666666665</v>
      </c>
      <c r="E7554" t="s">
        <v>23665</v>
      </c>
      <c r="F7554" t="s">
        <v>666</v>
      </c>
      <c r="G7554" t="s">
        <v>23653</v>
      </c>
      <c r="H7554" t="s">
        <v>667</v>
      </c>
      <c r="I7554" t="s">
        <v>29</v>
      </c>
      <c r="J7554">
        <v>1</v>
      </c>
      <c r="K7554">
        <f>1-888-985-6873</f>
        <v>-8745</v>
      </c>
      <c r="L7554" t="s">
        <v>23668</v>
      </c>
      <c r="M7554" t="s">
        <v>23669</v>
      </c>
      <c r="N7554" t="s">
        <v>20913</v>
      </c>
      <c r="O7554" t="s">
        <v>134</v>
      </c>
      <c r="P7554" t="s">
        <v>24</v>
      </c>
      <c r="Q7554">
        <v>50</v>
      </c>
      <c r="R7554">
        <v>8.6843000000000004</v>
      </c>
    </row>
    <row r="7555" spans="1:18" x14ac:dyDescent="0.2">
      <c r="A7555" t="s">
        <v>663</v>
      </c>
      <c r="B7555" t="s">
        <v>4281</v>
      </c>
      <c r="C7555">
        <v>1</v>
      </c>
      <c r="D7555" s="1">
        <v>44171.511377314811</v>
      </c>
      <c r="E7555" t="s">
        <v>23670</v>
      </c>
      <c r="F7555" t="s">
        <v>666</v>
      </c>
      <c r="G7555" t="s">
        <v>23653</v>
      </c>
      <c r="H7555" t="s">
        <v>667</v>
      </c>
      <c r="I7555" t="s">
        <v>29</v>
      </c>
      <c r="J7555">
        <v>1</v>
      </c>
      <c r="K7555">
        <f>1-888-985-6873</f>
        <v>-8745</v>
      </c>
      <c r="L7555" t="s">
        <v>23671</v>
      </c>
      <c r="M7555" t="s">
        <v>23672</v>
      </c>
      <c r="N7555" t="s">
        <v>20913</v>
      </c>
      <c r="O7555" t="s">
        <v>134</v>
      </c>
      <c r="P7555" t="s">
        <v>24</v>
      </c>
      <c r="Q7555">
        <v>50</v>
      </c>
      <c r="R7555">
        <v>8.6843000000000004</v>
      </c>
    </row>
    <row r="7556" spans="1:18" x14ac:dyDescent="0.2">
      <c r="A7556" t="s">
        <v>663</v>
      </c>
      <c r="B7556" t="s">
        <v>4281</v>
      </c>
      <c r="C7556">
        <v>1</v>
      </c>
      <c r="D7556" s="1">
        <v>44171.511284722219</v>
      </c>
      <c r="E7556" t="s">
        <v>23673</v>
      </c>
      <c r="F7556" t="s">
        <v>666</v>
      </c>
      <c r="G7556" t="s">
        <v>23653</v>
      </c>
      <c r="H7556" t="s">
        <v>667</v>
      </c>
      <c r="I7556" t="s">
        <v>29</v>
      </c>
      <c r="J7556">
        <v>1</v>
      </c>
      <c r="K7556">
        <f>1-888-985-6873</f>
        <v>-8745</v>
      </c>
      <c r="L7556" t="s">
        <v>23674</v>
      </c>
      <c r="M7556" t="s">
        <v>23675</v>
      </c>
      <c r="N7556" t="s">
        <v>20913</v>
      </c>
      <c r="O7556" t="s">
        <v>134</v>
      </c>
      <c r="P7556" t="s">
        <v>24</v>
      </c>
      <c r="Q7556">
        <v>50</v>
      </c>
      <c r="R7556">
        <v>8.6843000000000004</v>
      </c>
    </row>
    <row r="7557" spans="1:18" x14ac:dyDescent="0.2">
      <c r="A7557" t="s">
        <v>663</v>
      </c>
      <c r="B7557" t="s">
        <v>4281</v>
      </c>
      <c r="C7557">
        <v>1</v>
      </c>
      <c r="D7557" s="1">
        <v>44171.50984953704</v>
      </c>
      <c r="E7557" t="s">
        <v>23670</v>
      </c>
      <c r="F7557" t="s">
        <v>666</v>
      </c>
      <c r="G7557" t="s">
        <v>23653</v>
      </c>
      <c r="H7557" t="s">
        <v>667</v>
      </c>
      <c r="I7557" t="s">
        <v>29</v>
      </c>
      <c r="J7557">
        <v>1</v>
      </c>
      <c r="K7557">
        <f>1-888-985-7155</f>
        <v>-9027</v>
      </c>
      <c r="L7557" t="s">
        <v>23676</v>
      </c>
      <c r="M7557" t="s">
        <v>23677</v>
      </c>
      <c r="N7557" t="s">
        <v>20913</v>
      </c>
      <c r="O7557" t="s">
        <v>134</v>
      </c>
      <c r="P7557" t="s">
        <v>24</v>
      </c>
      <c r="Q7557">
        <v>50</v>
      </c>
      <c r="R7557">
        <v>8.6843000000000004</v>
      </c>
    </row>
    <row r="7558" spans="1:18" x14ac:dyDescent="0.2">
      <c r="A7558" t="s">
        <v>663</v>
      </c>
      <c r="B7558" t="s">
        <v>4281</v>
      </c>
      <c r="C7558">
        <v>1</v>
      </c>
      <c r="D7558" s="1">
        <v>44171.509606481479</v>
      </c>
      <c r="E7558" t="s">
        <v>23673</v>
      </c>
      <c r="F7558" t="s">
        <v>666</v>
      </c>
      <c r="G7558" t="s">
        <v>23653</v>
      </c>
      <c r="H7558" t="s">
        <v>667</v>
      </c>
      <c r="I7558" t="s">
        <v>29</v>
      </c>
      <c r="J7558">
        <v>1</v>
      </c>
      <c r="K7558">
        <f>1-888-985-7155</f>
        <v>-9027</v>
      </c>
      <c r="L7558" t="s">
        <v>23678</v>
      </c>
      <c r="M7558" t="s">
        <v>23679</v>
      </c>
      <c r="N7558" t="s">
        <v>20913</v>
      </c>
      <c r="O7558" t="s">
        <v>134</v>
      </c>
      <c r="P7558" t="s">
        <v>24</v>
      </c>
      <c r="Q7558">
        <v>50</v>
      </c>
      <c r="R7558">
        <v>8.6843000000000004</v>
      </c>
    </row>
    <row r="7559" spans="1:18" x14ac:dyDescent="0.2">
      <c r="A7559" t="s">
        <v>663</v>
      </c>
      <c r="B7559" t="s">
        <v>4281</v>
      </c>
      <c r="C7559">
        <v>1</v>
      </c>
      <c r="D7559" s="1">
        <v>44171.509317129632</v>
      </c>
      <c r="E7559" t="s">
        <v>23680</v>
      </c>
      <c r="F7559" t="s">
        <v>666</v>
      </c>
      <c r="G7559" t="s">
        <v>23653</v>
      </c>
      <c r="H7559" t="s">
        <v>667</v>
      </c>
      <c r="I7559" t="s">
        <v>29</v>
      </c>
      <c r="J7559">
        <v>1</v>
      </c>
      <c r="K7559">
        <f>1-888-985-7155</f>
        <v>-9027</v>
      </c>
      <c r="L7559" t="s">
        <v>23681</v>
      </c>
      <c r="M7559" t="s">
        <v>23682</v>
      </c>
      <c r="N7559" t="s">
        <v>20913</v>
      </c>
      <c r="O7559" t="s">
        <v>134</v>
      </c>
      <c r="P7559" t="s">
        <v>24</v>
      </c>
      <c r="Q7559">
        <v>50</v>
      </c>
      <c r="R7559">
        <v>8.6843000000000004</v>
      </c>
    </row>
    <row r="7560" spans="1:18" x14ac:dyDescent="0.2">
      <c r="A7560" t="s">
        <v>663</v>
      </c>
      <c r="B7560" t="s">
        <v>4281</v>
      </c>
      <c r="C7560">
        <v>1</v>
      </c>
      <c r="D7560" s="1">
        <v>44171.50917824074</v>
      </c>
      <c r="E7560" t="s">
        <v>23680</v>
      </c>
      <c r="F7560" t="s">
        <v>666</v>
      </c>
      <c r="G7560" t="s">
        <v>23653</v>
      </c>
      <c r="H7560" t="s">
        <v>667</v>
      </c>
      <c r="I7560" t="s">
        <v>29</v>
      </c>
      <c r="J7560">
        <v>1</v>
      </c>
      <c r="K7560">
        <f>1-888-985-6873</f>
        <v>-8745</v>
      </c>
      <c r="L7560" t="s">
        <v>23683</v>
      </c>
      <c r="M7560" t="s">
        <v>23684</v>
      </c>
      <c r="N7560" t="s">
        <v>20913</v>
      </c>
      <c r="O7560" t="s">
        <v>134</v>
      </c>
      <c r="P7560" t="s">
        <v>24</v>
      </c>
      <c r="Q7560">
        <v>50</v>
      </c>
      <c r="R7560">
        <v>8.6843000000000004</v>
      </c>
    </row>
    <row r="7561" spans="1:18" x14ac:dyDescent="0.2">
      <c r="A7561" t="s">
        <v>663</v>
      </c>
      <c r="B7561" t="s">
        <v>4281</v>
      </c>
      <c r="C7561">
        <v>1</v>
      </c>
      <c r="D7561" s="1">
        <v>44171.50886574074</v>
      </c>
      <c r="E7561" t="s">
        <v>23685</v>
      </c>
      <c r="F7561" t="s">
        <v>666</v>
      </c>
      <c r="G7561" t="s">
        <v>23653</v>
      </c>
      <c r="H7561" t="s">
        <v>667</v>
      </c>
      <c r="I7561" t="s">
        <v>29</v>
      </c>
      <c r="J7561">
        <v>1</v>
      </c>
      <c r="K7561">
        <f>1-888-985-6873</f>
        <v>-8745</v>
      </c>
      <c r="L7561" t="s">
        <v>23686</v>
      </c>
      <c r="M7561" t="s">
        <v>23687</v>
      </c>
      <c r="N7561" t="s">
        <v>20913</v>
      </c>
      <c r="O7561" t="s">
        <v>134</v>
      </c>
      <c r="P7561" t="s">
        <v>24</v>
      </c>
      <c r="Q7561">
        <v>50</v>
      </c>
      <c r="R7561">
        <v>8.6843000000000004</v>
      </c>
    </row>
    <row r="7562" spans="1:18" x14ac:dyDescent="0.2">
      <c r="A7562" t="s">
        <v>663</v>
      </c>
      <c r="B7562" t="s">
        <v>4281</v>
      </c>
      <c r="C7562">
        <v>1</v>
      </c>
      <c r="D7562" s="1">
        <v>44171.508692129632</v>
      </c>
      <c r="E7562" t="s">
        <v>23685</v>
      </c>
      <c r="F7562" t="s">
        <v>666</v>
      </c>
      <c r="G7562" t="s">
        <v>23653</v>
      </c>
      <c r="H7562" t="s">
        <v>667</v>
      </c>
      <c r="I7562" t="s">
        <v>29</v>
      </c>
      <c r="J7562">
        <v>1</v>
      </c>
      <c r="K7562">
        <f>1-888-985-7155</f>
        <v>-9027</v>
      </c>
      <c r="L7562" t="s">
        <v>23688</v>
      </c>
      <c r="M7562" t="s">
        <v>23689</v>
      </c>
      <c r="N7562" t="s">
        <v>20913</v>
      </c>
      <c r="O7562" t="s">
        <v>134</v>
      </c>
      <c r="P7562" t="s">
        <v>24</v>
      </c>
      <c r="Q7562">
        <v>50</v>
      </c>
      <c r="R7562">
        <v>8.6843000000000004</v>
      </c>
    </row>
    <row r="7563" spans="1:18" x14ac:dyDescent="0.2">
      <c r="A7563" t="s">
        <v>663</v>
      </c>
      <c r="B7563" t="s">
        <v>4281</v>
      </c>
      <c r="C7563">
        <v>1</v>
      </c>
      <c r="D7563" s="1">
        <v>44171.508472222224</v>
      </c>
      <c r="E7563" t="s">
        <v>23690</v>
      </c>
      <c r="F7563" t="s">
        <v>666</v>
      </c>
      <c r="G7563" t="s">
        <v>23653</v>
      </c>
      <c r="H7563" t="s">
        <v>667</v>
      </c>
      <c r="I7563" t="s">
        <v>29</v>
      </c>
      <c r="J7563">
        <v>1</v>
      </c>
      <c r="K7563">
        <f>1-888-985-7155</f>
        <v>-9027</v>
      </c>
      <c r="L7563" t="s">
        <v>23691</v>
      </c>
      <c r="M7563" t="s">
        <v>23692</v>
      </c>
      <c r="N7563" t="s">
        <v>20913</v>
      </c>
      <c r="O7563" t="s">
        <v>134</v>
      </c>
      <c r="P7563" t="s">
        <v>24</v>
      </c>
      <c r="Q7563">
        <v>50</v>
      </c>
      <c r="R7563">
        <v>8.6843000000000004</v>
      </c>
    </row>
    <row r="7564" spans="1:18" x14ac:dyDescent="0.2">
      <c r="A7564" t="s">
        <v>439</v>
      </c>
      <c r="B7564" t="s">
        <v>4321</v>
      </c>
      <c r="C7564">
        <v>1</v>
      </c>
      <c r="D7564" s="1">
        <v>44171.766574074078</v>
      </c>
      <c r="E7564" t="s">
        <v>23693</v>
      </c>
      <c r="F7564" t="s">
        <v>442</v>
      </c>
      <c r="G7564" t="s">
        <v>23694</v>
      </c>
      <c r="H7564" t="s">
        <v>444</v>
      </c>
      <c r="I7564" t="s">
        <v>29</v>
      </c>
      <c r="J7564">
        <v>1</v>
      </c>
      <c r="K7564">
        <f>1-888-985-6795</f>
        <v>-8667</v>
      </c>
      <c r="L7564" t="s">
        <v>23695</v>
      </c>
      <c r="M7564" t="s">
        <v>23696</v>
      </c>
      <c r="N7564" t="s">
        <v>20913</v>
      </c>
      <c r="O7564" t="s">
        <v>28</v>
      </c>
      <c r="P7564" t="s">
        <v>29</v>
      </c>
      <c r="Q7564">
        <v>42</v>
      </c>
      <c r="R7564">
        <v>-87.629800000000003</v>
      </c>
    </row>
    <row r="7565" spans="1:18" x14ac:dyDescent="0.2">
      <c r="A7565" t="s">
        <v>439</v>
      </c>
      <c r="B7565" t="s">
        <v>4321</v>
      </c>
      <c r="C7565">
        <v>1</v>
      </c>
      <c r="D7565" s="1">
        <v>44171.824386574073</v>
      </c>
      <c r="E7565" t="s">
        <v>23697</v>
      </c>
      <c r="F7565" t="s">
        <v>442</v>
      </c>
      <c r="G7565" t="s">
        <v>23698</v>
      </c>
      <c r="H7565" t="s">
        <v>444</v>
      </c>
      <c r="I7565" t="s">
        <v>29</v>
      </c>
      <c r="J7565">
        <v>1</v>
      </c>
      <c r="K7565">
        <f>1-888-210-1029</f>
        <v>-2126</v>
      </c>
      <c r="L7565" t="s">
        <v>23699</v>
      </c>
      <c r="M7565" t="s">
        <v>23700</v>
      </c>
      <c r="N7565" t="s">
        <v>674</v>
      </c>
      <c r="O7565" t="s">
        <v>134</v>
      </c>
      <c r="P7565" t="s">
        <v>29</v>
      </c>
      <c r="Q7565">
        <v>42</v>
      </c>
      <c r="R7565">
        <v>-87.629800000000003</v>
      </c>
    </row>
    <row r="7566" spans="1:18" x14ac:dyDescent="0.2">
      <c r="A7566" t="s">
        <v>439</v>
      </c>
      <c r="B7566" t="s">
        <v>4321</v>
      </c>
      <c r="C7566">
        <v>1</v>
      </c>
      <c r="D7566" s="1">
        <v>44171.846585648149</v>
      </c>
      <c r="E7566" t="s">
        <v>23701</v>
      </c>
      <c r="F7566" t="s">
        <v>442</v>
      </c>
      <c r="G7566" t="s">
        <v>23702</v>
      </c>
      <c r="H7566" t="s">
        <v>444</v>
      </c>
      <c r="I7566" t="s">
        <v>29</v>
      </c>
      <c r="J7566">
        <v>1</v>
      </c>
      <c r="K7566">
        <f>1-888-523-3551</f>
        <v>-4961</v>
      </c>
      <c r="L7566" t="s">
        <v>23703</v>
      </c>
      <c r="M7566" t="s">
        <v>23704</v>
      </c>
      <c r="N7566" t="s">
        <v>674</v>
      </c>
      <c r="O7566" t="s">
        <v>134</v>
      </c>
      <c r="P7566" t="s">
        <v>29</v>
      </c>
      <c r="Q7566">
        <v>42</v>
      </c>
      <c r="R7566">
        <v>-87.629800000000003</v>
      </c>
    </row>
    <row r="7567" spans="1:18" x14ac:dyDescent="0.2">
      <c r="A7567" t="s">
        <v>663</v>
      </c>
      <c r="B7567" t="s">
        <v>2493</v>
      </c>
      <c r="C7567">
        <v>81</v>
      </c>
      <c r="D7567" s="1">
        <v>44246.210173611114</v>
      </c>
      <c r="E7567" t="s">
        <v>23705</v>
      </c>
      <c r="F7567" t="s">
        <v>666</v>
      </c>
      <c r="G7567" t="s">
        <v>23706</v>
      </c>
      <c r="H7567" t="s">
        <v>667</v>
      </c>
      <c r="I7567" t="s">
        <v>53</v>
      </c>
      <c r="J7567">
        <v>81</v>
      </c>
      <c r="K7567">
        <f>81-50-5532-7925</f>
        <v>-13426</v>
      </c>
      <c r="L7567" t="s">
        <v>23707</v>
      </c>
      <c r="M7567" t="s">
        <v>23708</v>
      </c>
      <c r="N7567" t="s">
        <v>452</v>
      </c>
      <c r="O7567" t="s">
        <v>28</v>
      </c>
      <c r="P7567" t="s">
        <v>29</v>
      </c>
      <c r="Q7567">
        <v>41</v>
      </c>
      <c r="R7567">
        <v>-74.024699999999996</v>
      </c>
    </row>
    <row r="7568" spans="1:18" x14ac:dyDescent="0.2">
      <c r="A7568" t="s">
        <v>663</v>
      </c>
      <c r="B7568" t="s">
        <v>2493</v>
      </c>
      <c r="C7568">
        <v>81</v>
      </c>
      <c r="D7568" s="1">
        <v>44245.770624999997</v>
      </c>
      <c r="E7568" t="s">
        <v>23709</v>
      </c>
      <c r="F7568" t="s">
        <v>666</v>
      </c>
      <c r="G7568" t="s">
        <v>23706</v>
      </c>
      <c r="H7568" t="s">
        <v>667</v>
      </c>
      <c r="I7568" t="s">
        <v>53</v>
      </c>
      <c r="J7568">
        <v>81</v>
      </c>
      <c r="K7568">
        <f>81-50-5532-7925</f>
        <v>-13426</v>
      </c>
      <c r="L7568" t="s">
        <v>23710</v>
      </c>
      <c r="M7568" t="s">
        <v>23711</v>
      </c>
      <c r="N7568" t="s">
        <v>452</v>
      </c>
      <c r="O7568" t="s">
        <v>28</v>
      </c>
      <c r="P7568" t="s">
        <v>29</v>
      </c>
      <c r="Q7568">
        <v>41</v>
      </c>
      <c r="R7568">
        <v>-74.024699999999996</v>
      </c>
    </row>
    <row r="7569" spans="1:18" x14ac:dyDescent="0.2">
      <c r="A7569" t="s">
        <v>663</v>
      </c>
      <c r="B7569" t="s">
        <v>2493</v>
      </c>
      <c r="C7569">
        <v>81</v>
      </c>
      <c r="D7569" s="1">
        <v>44243.696076388886</v>
      </c>
      <c r="E7569" t="s">
        <v>23712</v>
      </c>
      <c r="F7569" t="s">
        <v>666</v>
      </c>
      <c r="G7569" t="s">
        <v>23706</v>
      </c>
      <c r="H7569" t="s">
        <v>667</v>
      </c>
      <c r="I7569" t="s">
        <v>53</v>
      </c>
      <c r="J7569">
        <v>81</v>
      </c>
      <c r="K7569">
        <f>81-50-5532-7925</f>
        <v>-13426</v>
      </c>
      <c r="L7569" t="s">
        <v>23713</v>
      </c>
      <c r="M7569" t="s">
        <v>23714</v>
      </c>
      <c r="N7569" t="s">
        <v>452</v>
      </c>
      <c r="O7569" t="s">
        <v>28</v>
      </c>
      <c r="P7569" t="s">
        <v>29</v>
      </c>
      <c r="Q7569">
        <v>41</v>
      </c>
      <c r="R7569">
        <v>-74.024699999999996</v>
      </c>
    </row>
    <row r="7570" spans="1:18" x14ac:dyDescent="0.2">
      <c r="A7570" t="s">
        <v>663</v>
      </c>
      <c r="B7570" t="s">
        <v>2493</v>
      </c>
      <c r="C7570">
        <v>61</v>
      </c>
      <c r="D7570" s="1">
        <v>44172.411631944444</v>
      </c>
      <c r="E7570" t="s">
        <v>23706</v>
      </c>
      <c r="F7570" t="s">
        <v>666</v>
      </c>
      <c r="G7570" t="s">
        <v>23706</v>
      </c>
      <c r="H7570" t="s">
        <v>667</v>
      </c>
      <c r="I7570" t="s">
        <v>782</v>
      </c>
      <c r="J7570">
        <v>61</v>
      </c>
      <c r="K7570">
        <f>61-1800-531-564</f>
        <v>-2834</v>
      </c>
      <c r="L7570" t="s">
        <v>23715</v>
      </c>
      <c r="M7570" t="s">
        <v>23716</v>
      </c>
      <c r="N7570">
        <v>113</v>
      </c>
      <c r="O7570" t="s">
        <v>134</v>
      </c>
      <c r="P7570" t="s">
        <v>29</v>
      </c>
      <c r="Q7570">
        <v>41</v>
      </c>
      <c r="R7570">
        <v>-74.024699999999996</v>
      </c>
    </row>
    <row r="7571" spans="1:18" x14ac:dyDescent="0.2">
      <c r="A7571" t="s">
        <v>439</v>
      </c>
      <c r="B7571" t="s">
        <v>4321</v>
      </c>
      <c r="C7571">
        <v>1</v>
      </c>
      <c r="D7571" s="1">
        <v>44171.894988425927</v>
      </c>
      <c r="E7571" t="s">
        <v>23717</v>
      </c>
      <c r="F7571" t="s">
        <v>442</v>
      </c>
      <c r="G7571" t="s">
        <v>23718</v>
      </c>
      <c r="H7571" t="s">
        <v>444</v>
      </c>
      <c r="I7571" t="s">
        <v>29</v>
      </c>
      <c r="J7571">
        <v>1</v>
      </c>
      <c r="K7571">
        <f>1-888-985-6758</f>
        <v>-8630</v>
      </c>
      <c r="L7571" t="s">
        <v>23719</v>
      </c>
      <c r="M7571" t="s">
        <v>23720</v>
      </c>
      <c r="N7571" t="s">
        <v>20913</v>
      </c>
      <c r="O7571" t="s">
        <v>28</v>
      </c>
      <c r="P7571" t="s">
        <v>29</v>
      </c>
      <c r="Q7571">
        <v>42</v>
      </c>
      <c r="R7571">
        <v>-87.629800000000003</v>
      </c>
    </row>
    <row r="7572" spans="1:18" x14ac:dyDescent="0.2">
      <c r="A7572" t="s">
        <v>663</v>
      </c>
      <c r="B7572" t="s">
        <v>2493</v>
      </c>
      <c r="C7572">
        <v>1</v>
      </c>
      <c r="D7572" s="1">
        <v>44214.62332175926</v>
      </c>
      <c r="E7572" t="s">
        <v>23721</v>
      </c>
      <c r="F7572" t="s">
        <v>666</v>
      </c>
      <c r="G7572" t="s">
        <v>23722</v>
      </c>
      <c r="H7572" t="s">
        <v>667</v>
      </c>
      <c r="I7572" t="s">
        <v>29</v>
      </c>
      <c r="J7572">
        <v>1</v>
      </c>
      <c r="K7572">
        <f>1-888-515-7173</f>
        <v>-8575</v>
      </c>
      <c r="L7572" t="s">
        <v>23723</v>
      </c>
      <c r="M7572" t="s">
        <v>23724</v>
      </c>
      <c r="N7572" t="s">
        <v>674</v>
      </c>
      <c r="O7572" t="s">
        <v>134</v>
      </c>
      <c r="P7572" t="s">
        <v>29</v>
      </c>
      <c r="Q7572">
        <v>41</v>
      </c>
      <c r="R7572">
        <v>-74.024699999999996</v>
      </c>
    </row>
    <row r="7573" spans="1:18" x14ac:dyDescent="0.2">
      <c r="A7573" t="s">
        <v>663</v>
      </c>
      <c r="B7573" t="s">
        <v>2493</v>
      </c>
      <c r="C7573">
        <v>1</v>
      </c>
      <c r="D7573" s="1">
        <v>44214.623240740744</v>
      </c>
      <c r="E7573" t="s">
        <v>23721</v>
      </c>
      <c r="F7573" t="s">
        <v>666</v>
      </c>
      <c r="G7573" t="s">
        <v>23722</v>
      </c>
      <c r="H7573" t="s">
        <v>667</v>
      </c>
      <c r="I7573" t="s">
        <v>29</v>
      </c>
      <c r="J7573">
        <v>1</v>
      </c>
      <c r="K7573">
        <f>1-833-220-3921</f>
        <v>-4973</v>
      </c>
      <c r="L7573" t="s">
        <v>23725</v>
      </c>
      <c r="M7573" t="s">
        <v>23726</v>
      </c>
      <c r="N7573" t="s">
        <v>674</v>
      </c>
      <c r="O7573" t="s">
        <v>134</v>
      </c>
      <c r="P7573" t="s">
        <v>29</v>
      </c>
      <c r="Q7573">
        <v>41</v>
      </c>
      <c r="R7573">
        <v>-74.024699999999996</v>
      </c>
    </row>
    <row r="7574" spans="1:18" x14ac:dyDescent="0.2">
      <c r="A7574" t="s">
        <v>663</v>
      </c>
      <c r="B7574" t="s">
        <v>2493</v>
      </c>
      <c r="C7574">
        <v>1</v>
      </c>
      <c r="D7574" s="1">
        <v>44214.623194444444</v>
      </c>
      <c r="E7574" t="s">
        <v>23721</v>
      </c>
      <c r="F7574" t="s">
        <v>666</v>
      </c>
      <c r="G7574" t="s">
        <v>23722</v>
      </c>
      <c r="H7574" t="s">
        <v>667</v>
      </c>
      <c r="I7574" t="s">
        <v>29</v>
      </c>
      <c r="J7574">
        <v>1</v>
      </c>
      <c r="K7574">
        <f>1-833-220-3814</f>
        <v>-4866</v>
      </c>
      <c r="L7574" t="s">
        <v>23727</v>
      </c>
      <c r="M7574" t="s">
        <v>23728</v>
      </c>
      <c r="N7574" t="s">
        <v>674</v>
      </c>
      <c r="O7574" t="s">
        <v>134</v>
      </c>
      <c r="P7574" t="s">
        <v>29</v>
      </c>
      <c r="Q7574">
        <v>41</v>
      </c>
      <c r="R7574">
        <v>-74.024699999999996</v>
      </c>
    </row>
    <row r="7575" spans="1:18" x14ac:dyDescent="0.2">
      <c r="A7575" t="s">
        <v>663</v>
      </c>
      <c r="B7575" t="s">
        <v>2493</v>
      </c>
      <c r="C7575">
        <v>1</v>
      </c>
      <c r="D7575" s="1">
        <v>44214.623136574075</v>
      </c>
      <c r="E7575" t="s">
        <v>23721</v>
      </c>
      <c r="F7575" t="s">
        <v>666</v>
      </c>
      <c r="G7575" t="s">
        <v>23722</v>
      </c>
      <c r="H7575" t="s">
        <v>667</v>
      </c>
      <c r="I7575" t="s">
        <v>29</v>
      </c>
      <c r="J7575">
        <v>1</v>
      </c>
      <c r="K7575">
        <f>1-888-521-1597</f>
        <v>-3005</v>
      </c>
      <c r="L7575" t="s">
        <v>23729</v>
      </c>
      <c r="M7575" t="s">
        <v>23730</v>
      </c>
      <c r="N7575" t="s">
        <v>674</v>
      </c>
      <c r="O7575" t="s">
        <v>134</v>
      </c>
      <c r="P7575" t="s">
        <v>29</v>
      </c>
      <c r="Q7575">
        <v>41</v>
      </c>
      <c r="R7575">
        <v>-74.024699999999996</v>
      </c>
    </row>
    <row r="7576" spans="1:18" x14ac:dyDescent="0.2">
      <c r="A7576" t="s">
        <v>663</v>
      </c>
      <c r="B7576" t="s">
        <v>2493</v>
      </c>
      <c r="C7576">
        <v>1</v>
      </c>
      <c r="D7576" s="1">
        <v>44214.623043981483</v>
      </c>
      <c r="E7576" t="s">
        <v>23721</v>
      </c>
      <c r="F7576" t="s">
        <v>666</v>
      </c>
      <c r="G7576" t="s">
        <v>23722</v>
      </c>
      <c r="H7576" t="s">
        <v>667</v>
      </c>
      <c r="I7576" t="s">
        <v>29</v>
      </c>
      <c r="J7576">
        <v>1</v>
      </c>
      <c r="K7576">
        <f>1-888-463-325</f>
        <v>-1675</v>
      </c>
      <c r="L7576" t="s">
        <v>23731</v>
      </c>
      <c r="M7576" t="s">
        <v>23732</v>
      </c>
      <c r="N7576" t="s">
        <v>674</v>
      </c>
      <c r="O7576" t="s">
        <v>134</v>
      </c>
      <c r="P7576" t="s">
        <v>29</v>
      </c>
      <c r="Q7576">
        <v>41</v>
      </c>
      <c r="R7576">
        <v>-74.024699999999996</v>
      </c>
    </row>
    <row r="7577" spans="1:18" x14ac:dyDescent="0.2">
      <c r="A7577" t="s">
        <v>663</v>
      </c>
      <c r="B7577" t="s">
        <v>2493</v>
      </c>
      <c r="C7577">
        <v>1</v>
      </c>
      <c r="D7577" s="1">
        <v>44214.62195601852</v>
      </c>
      <c r="E7577" t="s">
        <v>23733</v>
      </c>
      <c r="F7577" t="s">
        <v>666</v>
      </c>
      <c r="G7577" t="s">
        <v>23722</v>
      </c>
      <c r="H7577" t="s">
        <v>667</v>
      </c>
      <c r="I7577" t="s">
        <v>29</v>
      </c>
      <c r="J7577">
        <v>1</v>
      </c>
      <c r="K7577">
        <f>1-888-515-7173</f>
        <v>-8575</v>
      </c>
      <c r="L7577" t="s">
        <v>23734</v>
      </c>
      <c r="M7577" t="s">
        <v>23735</v>
      </c>
      <c r="N7577" t="s">
        <v>3454</v>
      </c>
      <c r="O7577" t="s">
        <v>134</v>
      </c>
      <c r="P7577" t="s">
        <v>29</v>
      </c>
      <c r="Q7577">
        <v>41</v>
      </c>
      <c r="R7577">
        <v>-74.024699999999996</v>
      </c>
    </row>
    <row r="7578" spans="1:18" x14ac:dyDescent="0.2">
      <c r="A7578" t="s">
        <v>663</v>
      </c>
      <c r="B7578" t="s">
        <v>2493</v>
      </c>
      <c r="C7578">
        <v>1</v>
      </c>
      <c r="D7578" s="1">
        <v>44214.621921296297</v>
      </c>
      <c r="E7578" t="s">
        <v>23733</v>
      </c>
      <c r="F7578" t="s">
        <v>666</v>
      </c>
      <c r="G7578" t="s">
        <v>23722</v>
      </c>
      <c r="H7578" t="s">
        <v>667</v>
      </c>
      <c r="I7578" t="s">
        <v>29</v>
      </c>
      <c r="J7578">
        <v>1</v>
      </c>
      <c r="K7578">
        <f>1-888-605-5293</f>
        <v>-6785</v>
      </c>
      <c r="L7578">
        <v>6005935499368</v>
      </c>
      <c r="M7578" t="s">
        <v>23736</v>
      </c>
      <c r="N7578" t="s">
        <v>3454</v>
      </c>
      <c r="O7578" t="s">
        <v>134</v>
      </c>
      <c r="P7578" t="s">
        <v>29</v>
      </c>
      <c r="Q7578">
        <v>41</v>
      </c>
      <c r="R7578">
        <v>-74.024699999999996</v>
      </c>
    </row>
    <row r="7579" spans="1:18" x14ac:dyDescent="0.2">
      <c r="A7579" t="s">
        <v>663</v>
      </c>
      <c r="B7579" t="s">
        <v>2493</v>
      </c>
      <c r="C7579">
        <v>1</v>
      </c>
      <c r="D7579" s="1">
        <v>44214.621874999997</v>
      </c>
      <c r="E7579" t="s">
        <v>23733</v>
      </c>
      <c r="F7579" t="s">
        <v>666</v>
      </c>
      <c r="G7579" t="s">
        <v>23722</v>
      </c>
      <c r="H7579" t="s">
        <v>667</v>
      </c>
      <c r="I7579" t="s">
        <v>29</v>
      </c>
      <c r="J7579">
        <v>1</v>
      </c>
      <c r="K7579">
        <f>1-888-308-4615</f>
        <v>-5810</v>
      </c>
      <c r="L7579" t="s">
        <v>23737</v>
      </c>
      <c r="M7579" t="s">
        <v>23738</v>
      </c>
      <c r="N7579" t="s">
        <v>3454</v>
      </c>
      <c r="O7579" t="s">
        <v>134</v>
      </c>
      <c r="P7579" t="s">
        <v>29</v>
      </c>
      <c r="Q7579">
        <v>41</v>
      </c>
      <c r="R7579">
        <v>-74.024699999999996</v>
      </c>
    </row>
    <row r="7580" spans="1:18" x14ac:dyDescent="0.2">
      <c r="A7580" t="s">
        <v>663</v>
      </c>
      <c r="B7580" t="s">
        <v>2493</v>
      </c>
      <c r="C7580">
        <v>1</v>
      </c>
      <c r="D7580" s="1">
        <v>44214.621805555558</v>
      </c>
      <c r="E7580" t="s">
        <v>23733</v>
      </c>
      <c r="F7580" t="s">
        <v>666</v>
      </c>
      <c r="G7580" t="s">
        <v>23722</v>
      </c>
      <c r="H7580" t="s">
        <v>667</v>
      </c>
      <c r="I7580" t="s">
        <v>29</v>
      </c>
      <c r="J7580">
        <v>1</v>
      </c>
      <c r="K7580">
        <f>1-833-220-3955</f>
        <v>-5007</v>
      </c>
      <c r="L7580" t="s">
        <v>23739</v>
      </c>
      <c r="M7580" t="s">
        <v>23740</v>
      </c>
      <c r="N7580" t="s">
        <v>3454</v>
      </c>
      <c r="O7580" t="s">
        <v>134</v>
      </c>
      <c r="P7580" t="s">
        <v>29</v>
      </c>
      <c r="Q7580">
        <v>41</v>
      </c>
      <c r="R7580">
        <v>-74.024699999999996</v>
      </c>
    </row>
    <row r="7581" spans="1:18" x14ac:dyDescent="0.2">
      <c r="A7581" t="s">
        <v>663</v>
      </c>
      <c r="B7581" t="s">
        <v>2493</v>
      </c>
      <c r="C7581">
        <v>1</v>
      </c>
      <c r="D7581" s="1">
        <v>44214.621770833335</v>
      </c>
      <c r="E7581" t="s">
        <v>23733</v>
      </c>
      <c r="F7581" t="s">
        <v>666</v>
      </c>
      <c r="G7581" t="s">
        <v>23722</v>
      </c>
      <c r="H7581" t="s">
        <v>667</v>
      </c>
      <c r="I7581" t="s">
        <v>29</v>
      </c>
      <c r="J7581">
        <v>1</v>
      </c>
      <c r="K7581">
        <f>1-833-220-3921</f>
        <v>-4973</v>
      </c>
      <c r="L7581" t="s">
        <v>23741</v>
      </c>
      <c r="M7581" t="s">
        <v>23742</v>
      </c>
      <c r="N7581" t="s">
        <v>3454</v>
      </c>
      <c r="O7581" t="s">
        <v>134</v>
      </c>
      <c r="P7581" t="s">
        <v>29</v>
      </c>
      <c r="Q7581">
        <v>41</v>
      </c>
      <c r="R7581">
        <v>-74.024699999999996</v>
      </c>
    </row>
    <row r="7582" spans="1:18" x14ac:dyDescent="0.2">
      <c r="A7582" t="s">
        <v>663</v>
      </c>
      <c r="B7582" t="s">
        <v>2493</v>
      </c>
      <c r="C7582">
        <v>1</v>
      </c>
      <c r="D7582" s="1">
        <v>44214.621724537035</v>
      </c>
      <c r="E7582" t="s">
        <v>23733</v>
      </c>
      <c r="F7582" t="s">
        <v>666</v>
      </c>
      <c r="G7582" t="s">
        <v>23722</v>
      </c>
      <c r="H7582" t="s">
        <v>667</v>
      </c>
      <c r="I7582" t="s">
        <v>29</v>
      </c>
      <c r="J7582">
        <v>1</v>
      </c>
      <c r="K7582">
        <f>1-833-220-3814</f>
        <v>-4866</v>
      </c>
      <c r="L7582" t="s">
        <v>23743</v>
      </c>
      <c r="M7582" t="s">
        <v>23744</v>
      </c>
      <c r="N7582" t="s">
        <v>3454</v>
      </c>
      <c r="O7582" t="s">
        <v>134</v>
      </c>
      <c r="P7582" t="s">
        <v>29</v>
      </c>
      <c r="Q7582">
        <v>41</v>
      </c>
      <c r="R7582">
        <v>-74.024699999999996</v>
      </c>
    </row>
    <row r="7583" spans="1:18" x14ac:dyDescent="0.2">
      <c r="A7583" t="s">
        <v>663</v>
      </c>
      <c r="B7583" t="s">
        <v>2493</v>
      </c>
      <c r="C7583">
        <v>1</v>
      </c>
      <c r="D7583" s="1">
        <v>44214.621678240743</v>
      </c>
      <c r="E7583" t="s">
        <v>23733</v>
      </c>
      <c r="F7583" t="s">
        <v>666</v>
      </c>
      <c r="G7583" t="s">
        <v>23722</v>
      </c>
      <c r="H7583" t="s">
        <v>667</v>
      </c>
      <c r="I7583" t="s">
        <v>29</v>
      </c>
      <c r="J7583">
        <v>1</v>
      </c>
      <c r="K7583">
        <f>1-888-312-3182</f>
        <v>-4381</v>
      </c>
      <c r="L7583" t="s">
        <v>23745</v>
      </c>
      <c r="M7583" t="s">
        <v>23746</v>
      </c>
      <c r="N7583" t="s">
        <v>3454</v>
      </c>
      <c r="O7583" t="s">
        <v>134</v>
      </c>
      <c r="P7583" t="s">
        <v>29</v>
      </c>
      <c r="Q7583">
        <v>41</v>
      </c>
      <c r="R7583">
        <v>-74.024699999999996</v>
      </c>
    </row>
    <row r="7584" spans="1:18" x14ac:dyDescent="0.2">
      <c r="A7584" t="s">
        <v>663</v>
      </c>
      <c r="B7584" t="s">
        <v>2493</v>
      </c>
      <c r="C7584">
        <v>1</v>
      </c>
      <c r="D7584" s="1">
        <v>44214.621516203704</v>
      </c>
      <c r="E7584" t="s">
        <v>23733</v>
      </c>
      <c r="F7584" t="s">
        <v>666</v>
      </c>
      <c r="G7584" t="s">
        <v>23722</v>
      </c>
      <c r="H7584" t="s">
        <v>667</v>
      </c>
      <c r="I7584" t="s">
        <v>29</v>
      </c>
      <c r="J7584">
        <v>1</v>
      </c>
      <c r="K7584">
        <f>1-888-521-1597</f>
        <v>-3005</v>
      </c>
      <c r="L7584" t="s">
        <v>23747</v>
      </c>
      <c r="M7584" t="s">
        <v>23748</v>
      </c>
      <c r="N7584" t="s">
        <v>3454</v>
      </c>
      <c r="O7584" t="s">
        <v>134</v>
      </c>
      <c r="P7584" t="s">
        <v>29</v>
      </c>
      <c r="Q7584">
        <v>41</v>
      </c>
      <c r="R7584">
        <v>-74.024699999999996</v>
      </c>
    </row>
    <row r="7585" spans="1:18" x14ac:dyDescent="0.2">
      <c r="A7585" t="s">
        <v>663</v>
      </c>
      <c r="B7585" t="s">
        <v>2493</v>
      </c>
      <c r="C7585">
        <v>1</v>
      </c>
      <c r="D7585" s="1">
        <v>44214.621469907404</v>
      </c>
      <c r="E7585" t="s">
        <v>23733</v>
      </c>
      <c r="F7585" t="s">
        <v>666</v>
      </c>
      <c r="G7585" t="s">
        <v>23722</v>
      </c>
      <c r="H7585" t="s">
        <v>667</v>
      </c>
      <c r="I7585" t="s">
        <v>29</v>
      </c>
      <c r="J7585">
        <v>1</v>
      </c>
      <c r="K7585">
        <f>1-888-264-344</f>
        <v>-1495</v>
      </c>
      <c r="L7585" t="s">
        <v>23749</v>
      </c>
      <c r="M7585" t="s">
        <v>23750</v>
      </c>
      <c r="N7585" t="s">
        <v>3454</v>
      </c>
      <c r="O7585" t="s">
        <v>134</v>
      </c>
      <c r="P7585" t="s">
        <v>29</v>
      </c>
      <c r="Q7585">
        <v>41</v>
      </c>
      <c r="R7585">
        <v>-74.024699999999996</v>
      </c>
    </row>
    <row r="7586" spans="1:18" x14ac:dyDescent="0.2">
      <c r="A7586" t="s">
        <v>663</v>
      </c>
      <c r="B7586" t="s">
        <v>2493</v>
      </c>
      <c r="C7586">
        <v>1</v>
      </c>
      <c r="D7586" s="1">
        <v>44214.620567129627</v>
      </c>
      <c r="E7586" t="s">
        <v>23733</v>
      </c>
      <c r="F7586" t="s">
        <v>666</v>
      </c>
      <c r="G7586" t="s">
        <v>23722</v>
      </c>
      <c r="H7586" t="s">
        <v>667</v>
      </c>
      <c r="I7586" t="s">
        <v>29</v>
      </c>
      <c r="J7586">
        <v>1</v>
      </c>
      <c r="K7586">
        <f>1-888-463-325</f>
        <v>-1675</v>
      </c>
      <c r="L7586" t="s">
        <v>23751</v>
      </c>
      <c r="M7586" t="s">
        <v>23752</v>
      </c>
      <c r="N7586" t="s">
        <v>3454</v>
      </c>
      <c r="O7586" t="s">
        <v>134</v>
      </c>
      <c r="P7586" t="s">
        <v>29</v>
      </c>
      <c r="Q7586">
        <v>41</v>
      </c>
      <c r="R7586">
        <v>-74.024699999999996</v>
      </c>
    </row>
    <row r="7587" spans="1:18" x14ac:dyDescent="0.2">
      <c r="A7587" t="s">
        <v>663</v>
      </c>
      <c r="B7587" t="s">
        <v>2493</v>
      </c>
      <c r="C7587">
        <v>1</v>
      </c>
      <c r="D7587" s="1">
        <v>44214.620405092595</v>
      </c>
      <c r="E7587" t="s">
        <v>23733</v>
      </c>
      <c r="F7587" t="s">
        <v>666</v>
      </c>
      <c r="G7587" t="s">
        <v>23722</v>
      </c>
      <c r="H7587" t="s">
        <v>667</v>
      </c>
      <c r="I7587" t="s">
        <v>29</v>
      </c>
      <c r="J7587">
        <v>1</v>
      </c>
      <c r="K7587">
        <f>1-888-618-264</f>
        <v>-1769</v>
      </c>
      <c r="L7587" t="s">
        <v>23753</v>
      </c>
      <c r="M7587" t="s">
        <v>23754</v>
      </c>
      <c r="N7587" t="s">
        <v>3454</v>
      </c>
      <c r="O7587" t="s">
        <v>134</v>
      </c>
      <c r="P7587" t="s">
        <v>29</v>
      </c>
      <c r="Q7587">
        <v>41</v>
      </c>
      <c r="R7587">
        <v>-74.024699999999996</v>
      </c>
    </row>
    <row r="7588" spans="1:18" x14ac:dyDescent="0.2">
      <c r="A7588" t="s">
        <v>663</v>
      </c>
      <c r="B7588" t="s">
        <v>2493</v>
      </c>
      <c r="C7588">
        <v>1</v>
      </c>
      <c r="D7588" s="1">
        <v>44214.619363425925</v>
      </c>
      <c r="E7588" t="s">
        <v>23755</v>
      </c>
      <c r="F7588" t="s">
        <v>666</v>
      </c>
      <c r="G7588" t="s">
        <v>23722</v>
      </c>
      <c r="H7588" t="s">
        <v>667</v>
      </c>
      <c r="I7588" t="s">
        <v>29</v>
      </c>
      <c r="J7588">
        <v>1</v>
      </c>
      <c r="K7588">
        <f>1-888-515-7173</f>
        <v>-8575</v>
      </c>
      <c r="L7588" t="s">
        <v>23756</v>
      </c>
      <c r="M7588" t="s">
        <v>23757</v>
      </c>
      <c r="N7588" t="s">
        <v>447</v>
      </c>
      <c r="O7588" t="s">
        <v>134</v>
      </c>
      <c r="P7588" t="s">
        <v>29</v>
      </c>
      <c r="Q7588">
        <v>41</v>
      </c>
      <c r="R7588">
        <v>-74.024699999999996</v>
      </c>
    </row>
    <row r="7589" spans="1:18" x14ac:dyDescent="0.2">
      <c r="A7589" t="s">
        <v>663</v>
      </c>
      <c r="B7589" t="s">
        <v>2493</v>
      </c>
      <c r="C7589">
        <v>1</v>
      </c>
      <c r="D7589" s="1">
        <v>44214.619317129633</v>
      </c>
      <c r="E7589" t="s">
        <v>23755</v>
      </c>
      <c r="F7589" t="s">
        <v>666</v>
      </c>
      <c r="G7589" t="s">
        <v>23722</v>
      </c>
      <c r="H7589" t="s">
        <v>667</v>
      </c>
      <c r="I7589" t="s">
        <v>29</v>
      </c>
      <c r="J7589">
        <v>1</v>
      </c>
      <c r="K7589">
        <f>1-888-605-5293</f>
        <v>-6785</v>
      </c>
      <c r="L7589" t="s">
        <v>23758</v>
      </c>
      <c r="M7589" t="s">
        <v>23759</v>
      </c>
      <c r="N7589" t="s">
        <v>447</v>
      </c>
      <c r="O7589" t="s">
        <v>134</v>
      </c>
      <c r="P7589" t="s">
        <v>29</v>
      </c>
      <c r="Q7589">
        <v>41</v>
      </c>
      <c r="R7589">
        <v>-74.024699999999996</v>
      </c>
    </row>
    <row r="7590" spans="1:18" x14ac:dyDescent="0.2">
      <c r="A7590" t="s">
        <v>663</v>
      </c>
      <c r="B7590" t="s">
        <v>2493</v>
      </c>
      <c r="C7590">
        <v>1</v>
      </c>
      <c r="D7590" s="1">
        <v>44214.61928240741</v>
      </c>
      <c r="E7590" t="s">
        <v>23755</v>
      </c>
      <c r="F7590" t="s">
        <v>666</v>
      </c>
      <c r="G7590" t="s">
        <v>23722</v>
      </c>
      <c r="H7590" t="s">
        <v>667</v>
      </c>
      <c r="I7590" t="s">
        <v>29</v>
      </c>
      <c r="J7590">
        <v>1</v>
      </c>
      <c r="K7590">
        <f>1-888-308-4615</f>
        <v>-5810</v>
      </c>
      <c r="L7590" t="s">
        <v>23760</v>
      </c>
      <c r="M7590" t="s">
        <v>23761</v>
      </c>
      <c r="N7590" t="s">
        <v>447</v>
      </c>
      <c r="O7590" t="s">
        <v>134</v>
      </c>
      <c r="P7590" t="s">
        <v>29</v>
      </c>
      <c r="Q7590">
        <v>41</v>
      </c>
      <c r="R7590">
        <v>-74.024699999999996</v>
      </c>
    </row>
    <row r="7591" spans="1:18" x14ac:dyDescent="0.2">
      <c r="A7591" t="s">
        <v>663</v>
      </c>
      <c r="B7591" t="s">
        <v>2493</v>
      </c>
      <c r="C7591">
        <v>1</v>
      </c>
      <c r="D7591" s="1">
        <v>44214.61923611111</v>
      </c>
      <c r="E7591" t="s">
        <v>23755</v>
      </c>
      <c r="F7591" t="s">
        <v>666</v>
      </c>
      <c r="G7591" t="s">
        <v>23722</v>
      </c>
      <c r="H7591" t="s">
        <v>667</v>
      </c>
      <c r="I7591" t="s">
        <v>29</v>
      </c>
      <c r="J7591">
        <v>1</v>
      </c>
      <c r="K7591">
        <f>1-833-220-3955</f>
        <v>-5007</v>
      </c>
      <c r="L7591" t="s">
        <v>23762</v>
      </c>
      <c r="M7591" t="s">
        <v>23763</v>
      </c>
      <c r="N7591" t="s">
        <v>447</v>
      </c>
      <c r="O7591" t="s">
        <v>134</v>
      </c>
      <c r="P7591" t="s">
        <v>29</v>
      </c>
      <c r="Q7591">
        <v>41</v>
      </c>
      <c r="R7591">
        <v>-74.024699999999996</v>
      </c>
    </row>
    <row r="7592" spans="1:18" x14ac:dyDescent="0.2">
      <c r="A7592" t="s">
        <v>663</v>
      </c>
      <c r="B7592" t="s">
        <v>2493</v>
      </c>
      <c r="C7592">
        <v>1</v>
      </c>
      <c r="D7592" s="1">
        <v>44214.619143518517</v>
      </c>
      <c r="E7592" t="s">
        <v>23755</v>
      </c>
      <c r="F7592" t="s">
        <v>666</v>
      </c>
      <c r="G7592" t="s">
        <v>23722</v>
      </c>
      <c r="H7592" t="s">
        <v>667</v>
      </c>
      <c r="I7592" t="s">
        <v>29</v>
      </c>
      <c r="J7592">
        <v>1</v>
      </c>
      <c r="K7592">
        <f>1-833-220-3921</f>
        <v>-4973</v>
      </c>
      <c r="L7592" t="s">
        <v>23764</v>
      </c>
      <c r="M7592" t="s">
        <v>23765</v>
      </c>
      <c r="N7592" t="s">
        <v>447</v>
      </c>
      <c r="O7592" t="s">
        <v>134</v>
      </c>
      <c r="P7592" t="s">
        <v>29</v>
      </c>
      <c r="Q7592">
        <v>41</v>
      </c>
      <c r="R7592">
        <v>-74.024699999999996</v>
      </c>
    </row>
    <row r="7593" spans="1:18" x14ac:dyDescent="0.2">
      <c r="A7593" t="s">
        <v>663</v>
      </c>
      <c r="B7593" t="s">
        <v>2493</v>
      </c>
      <c r="C7593">
        <v>1</v>
      </c>
      <c r="D7593" s="1">
        <v>44214.619097222225</v>
      </c>
      <c r="E7593" t="s">
        <v>23755</v>
      </c>
      <c r="F7593" t="s">
        <v>666</v>
      </c>
      <c r="G7593" t="s">
        <v>23722</v>
      </c>
      <c r="H7593" t="s">
        <v>667</v>
      </c>
      <c r="I7593" t="s">
        <v>29</v>
      </c>
      <c r="J7593">
        <v>1</v>
      </c>
      <c r="K7593">
        <f>1-833-220-3814</f>
        <v>-4866</v>
      </c>
      <c r="L7593" t="s">
        <v>23766</v>
      </c>
      <c r="M7593" t="s">
        <v>23767</v>
      </c>
      <c r="N7593" t="s">
        <v>447</v>
      </c>
      <c r="O7593" t="s">
        <v>134</v>
      </c>
      <c r="P7593" t="s">
        <v>29</v>
      </c>
      <c r="Q7593">
        <v>41</v>
      </c>
      <c r="R7593">
        <v>-74.024699999999996</v>
      </c>
    </row>
    <row r="7594" spans="1:18" x14ac:dyDescent="0.2">
      <c r="A7594" t="s">
        <v>663</v>
      </c>
      <c r="B7594" t="s">
        <v>2493</v>
      </c>
      <c r="C7594">
        <v>1</v>
      </c>
      <c r="D7594" s="1">
        <v>44214.619050925925</v>
      </c>
      <c r="E7594" t="s">
        <v>23755</v>
      </c>
      <c r="F7594" t="s">
        <v>666</v>
      </c>
      <c r="G7594" t="s">
        <v>23722</v>
      </c>
      <c r="H7594" t="s">
        <v>667</v>
      </c>
      <c r="I7594" t="s">
        <v>29</v>
      </c>
      <c r="J7594">
        <v>1</v>
      </c>
      <c r="K7594">
        <f>1-888-312-3182</f>
        <v>-4381</v>
      </c>
      <c r="L7594" t="s">
        <v>23768</v>
      </c>
      <c r="M7594" t="s">
        <v>23769</v>
      </c>
      <c r="N7594" t="s">
        <v>447</v>
      </c>
      <c r="O7594" t="s">
        <v>134</v>
      </c>
      <c r="P7594" t="s">
        <v>29</v>
      </c>
      <c r="Q7594">
        <v>41</v>
      </c>
      <c r="R7594">
        <v>-74.024699999999996</v>
      </c>
    </row>
    <row r="7595" spans="1:18" x14ac:dyDescent="0.2">
      <c r="A7595" t="s">
        <v>663</v>
      </c>
      <c r="B7595" t="s">
        <v>2493</v>
      </c>
      <c r="C7595">
        <v>1</v>
      </c>
      <c r="D7595" s="1">
        <v>44214.619016203702</v>
      </c>
      <c r="E7595" t="s">
        <v>23755</v>
      </c>
      <c r="F7595" t="s">
        <v>666</v>
      </c>
      <c r="G7595" t="s">
        <v>23722</v>
      </c>
      <c r="H7595" t="s">
        <v>667</v>
      </c>
      <c r="I7595" t="s">
        <v>29</v>
      </c>
      <c r="J7595">
        <v>1</v>
      </c>
      <c r="K7595">
        <f>1-888-521-1597</f>
        <v>-3005</v>
      </c>
      <c r="L7595" t="s">
        <v>23770</v>
      </c>
      <c r="M7595" t="s">
        <v>23771</v>
      </c>
      <c r="N7595" t="s">
        <v>447</v>
      </c>
      <c r="O7595" t="s">
        <v>134</v>
      </c>
      <c r="P7595" t="s">
        <v>29</v>
      </c>
      <c r="Q7595">
        <v>41</v>
      </c>
      <c r="R7595">
        <v>-74.024699999999996</v>
      </c>
    </row>
    <row r="7596" spans="1:18" x14ac:dyDescent="0.2">
      <c r="A7596" t="s">
        <v>663</v>
      </c>
      <c r="B7596" t="s">
        <v>2493</v>
      </c>
      <c r="C7596">
        <v>1</v>
      </c>
      <c r="D7596" s="1">
        <v>44214.618969907409</v>
      </c>
      <c r="E7596" t="s">
        <v>23755</v>
      </c>
      <c r="F7596" t="s">
        <v>666</v>
      </c>
      <c r="G7596" t="s">
        <v>23722</v>
      </c>
      <c r="H7596" t="s">
        <v>667</v>
      </c>
      <c r="I7596" t="s">
        <v>29</v>
      </c>
      <c r="J7596">
        <v>1</v>
      </c>
      <c r="K7596">
        <f>1-888-264-344</f>
        <v>-1495</v>
      </c>
      <c r="L7596" t="s">
        <v>23772</v>
      </c>
      <c r="M7596" t="s">
        <v>23773</v>
      </c>
      <c r="N7596" t="s">
        <v>447</v>
      </c>
      <c r="O7596" t="s">
        <v>134</v>
      </c>
      <c r="P7596" t="s">
        <v>29</v>
      </c>
      <c r="Q7596">
        <v>41</v>
      </c>
      <c r="R7596">
        <v>-74.024699999999996</v>
      </c>
    </row>
    <row r="7597" spans="1:18" x14ac:dyDescent="0.2">
      <c r="A7597" t="s">
        <v>663</v>
      </c>
      <c r="B7597" t="s">
        <v>2493</v>
      </c>
      <c r="C7597">
        <v>1</v>
      </c>
      <c r="D7597" s="1">
        <v>44214.618645833332</v>
      </c>
      <c r="E7597" t="s">
        <v>23755</v>
      </c>
      <c r="F7597" t="s">
        <v>666</v>
      </c>
      <c r="G7597" t="s">
        <v>23722</v>
      </c>
      <c r="H7597" t="s">
        <v>667</v>
      </c>
      <c r="I7597" t="s">
        <v>29</v>
      </c>
      <c r="J7597">
        <v>1</v>
      </c>
      <c r="K7597">
        <f>1-888-463-325</f>
        <v>-1675</v>
      </c>
      <c r="L7597" t="s">
        <v>23774</v>
      </c>
      <c r="M7597" t="s">
        <v>23775</v>
      </c>
      <c r="N7597" t="s">
        <v>447</v>
      </c>
      <c r="O7597" t="s">
        <v>134</v>
      </c>
      <c r="P7597" t="s">
        <v>29</v>
      </c>
      <c r="Q7597">
        <v>41</v>
      </c>
      <c r="R7597">
        <v>-74.024699999999996</v>
      </c>
    </row>
    <row r="7598" spans="1:18" x14ac:dyDescent="0.2">
      <c r="A7598" t="s">
        <v>663</v>
      </c>
      <c r="B7598" t="s">
        <v>2493</v>
      </c>
      <c r="C7598">
        <v>1</v>
      </c>
      <c r="D7598" s="1">
        <v>44214.618483796294</v>
      </c>
      <c r="E7598" t="s">
        <v>23755</v>
      </c>
      <c r="F7598" t="s">
        <v>666</v>
      </c>
      <c r="G7598" t="s">
        <v>23722</v>
      </c>
      <c r="H7598" t="s">
        <v>667</v>
      </c>
      <c r="I7598" t="s">
        <v>29</v>
      </c>
      <c r="J7598">
        <v>1</v>
      </c>
      <c r="K7598">
        <f>1-888-618-264</f>
        <v>-1769</v>
      </c>
      <c r="L7598" t="s">
        <v>23776</v>
      </c>
      <c r="M7598" t="s">
        <v>23777</v>
      </c>
      <c r="N7598" t="s">
        <v>447</v>
      </c>
      <c r="O7598" t="s">
        <v>134</v>
      </c>
      <c r="P7598" t="s">
        <v>29</v>
      </c>
      <c r="Q7598">
        <v>41</v>
      </c>
      <c r="R7598">
        <v>-74.024699999999996</v>
      </c>
    </row>
    <row r="7599" spans="1:18" x14ac:dyDescent="0.2">
      <c r="A7599" t="s">
        <v>663</v>
      </c>
      <c r="B7599" t="s">
        <v>2493</v>
      </c>
      <c r="C7599">
        <v>1</v>
      </c>
      <c r="D7599" s="1">
        <v>44214.618148148147</v>
      </c>
      <c r="E7599" t="s">
        <v>23778</v>
      </c>
      <c r="F7599" t="s">
        <v>666</v>
      </c>
      <c r="G7599" t="s">
        <v>23722</v>
      </c>
      <c r="H7599" t="s">
        <v>667</v>
      </c>
      <c r="I7599" t="s">
        <v>29</v>
      </c>
      <c r="J7599">
        <v>1</v>
      </c>
      <c r="K7599">
        <f>1-888-515-7173</f>
        <v>-8575</v>
      </c>
      <c r="L7599" t="s">
        <v>23779</v>
      </c>
      <c r="M7599" t="s">
        <v>23780</v>
      </c>
      <c r="N7599" t="s">
        <v>447</v>
      </c>
      <c r="O7599" t="s">
        <v>134</v>
      </c>
      <c r="P7599" t="s">
        <v>29</v>
      </c>
      <c r="Q7599">
        <v>41</v>
      </c>
      <c r="R7599">
        <v>-74.024699999999996</v>
      </c>
    </row>
    <row r="7600" spans="1:18" x14ac:dyDescent="0.2">
      <c r="A7600" t="s">
        <v>663</v>
      </c>
      <c r="B7600" t="s">
        <v>2493</v>
      </c>
      <c r="C7600">
        <v>1</v>
      </c>
      <c r="D7600" s="1">
        <v>44214.618101851855</v>
      </c>
      <c r="E7600" t="s">
        <v>23778</v>
      </c>
      <c r="F7600" t="s">
        <v>666</v>
      </c>
      <c r="G7600" t="s">
        <v>23722</v>
      </c>
      <c r="H7600" t="s">
        <v>667</v>
      </c>
      <c r="I7600" t="s">
        <v>29</v>
      </c>
      <c r="J7600">
        <v>1</v>
      </c>
      <c r="K7600">
        <f>1-888-605-5293</f>
        <v>-6785</v>
      </c>
      <c r="L7600" t="s">
        <v>23781</v>
      </c>
      <c r="M7600" t="s">
        <v>23782</v>
      </c>
      <c r="N7600" t="s">
        <v>447</v>
      </c>
      <c r="O7600" t="s">
        <v>134</v>
      </c>
      <c r="P7600" t="s">
        <v>29</v>
      </c>
      <c r="Q7600">
        <v>41</v>
      </c>
      <c r="R7600">
        <v>-74.024699999999996</v>
      </c>
    </row>
    <row r="7601" spans="1:18" x14ac:dyDescent="0.2">
      <c r="A7601" t="s">
        <v>663</v>
      </c>
      <c r="B7601" t="s">
        <v>2493</v>
      </c>
      <c r="C7601">
        <v>1</v>
      </c>
      <c r="D7601" s="1">
        <v>44214.618032407408</v>
      </c>
      <c r="E7601" t="s">
        <v>23778</v>
      </c>
      <c r="F7601" t="s">
        <v>666</v>
      </c>
      <c r="G7601" t="s">
        <v>23722</v>
      </c>
      <c r="H7601" t="s">
        <v>667</v>
      </c>
      <c r="I7601" t="s">
        <v>29</v>
      </c>
      <c r="J7601">
        <v>1</v>
      </c>
      <c r="K7601">
        <f>1-888-308-4615</f>
        <v>-5810</v>
      </c>
      <c r="L7601" t="s">
        <v>23783</v>
      </c>
      <c r="M7601" t="s">
        <v>23784</v>
      </c>
      <c r="N7601" t="s">
        <v>447</v>
      </c>
      <c r="O7601" t="s">
        <v>134</v>
      </c>
      <c r="P7601" t="s">
        <v>29</v>
      </c>
      <c r="Q7601">
        <v>41</v>
      </c>
      <c r="R7601">
        <v>-74.024699999999996</v>
      </c>
    </row>
    <row r="7602" spans="1:18" x14ac:dyDescent="0.2">
      <c r="A7602" t="s">
        <v>663</v>
      </c>
      <c r="B7602" t="s">
        <v>2493</v>
      </c>
      <c r="C7602">
        <v>1</v>
      </c>
      <c r="D7602" s="1">
        <v>44214.617974537039</v>
      </c>
      <c r="E7602" t="s">
        <v>23778</v>
      </c>
      <c r="F7602" t="s">
        <v>666</v>
      </c>
      <c r="G7602" t="s">
        <v>23722</v>
      </c>
      <c r="H7602" t="s">
        <v>667</v>
      </c>
      <c r="I7602" t="s">
        <v>29</v>
      </c>
      <c r="J7602">
        <v>1</v>
      </c>
      <c r="K7602">
        <f>1-833-220-3955</f>
        <v>-5007</v>
      </c>
      <c r="L7602" t="s">
        <v>23785</v>
      </c>
      <c r="M7602" t="s">
        <v>23786</v>
      </c>
      <c r="N7602" t="s">
        <v>447</v>
      </c>
      <c r="O7602" t="s">
        <v>134</v>
      </c>
      <c r="P7602" t="s">
        <v>29</v>
      </c>
      <c r="Q7602">
        <v>41</v>
      </c>
      <c r="R7602">
        <v>-74.024699999999996</v>
      </c>
    </row>
    <row r="7603" spans="1:18" x14ac:dyDescent="0.2">
      <c r="A7603" t="s">
        <v>663</v>
      </c>
      <c r="B7603" t="s">
        <v>2493</v>
      </c>
      <c r="C7603">
        <v>1</v>
      </c>
      <c r="D7603" s="1">
        <v>44214.617905092593</v>
      </c>
      <c r="E7603" t="s">
        <v>23778</v>
      </c>
      <c r="F7603" t="s">
        <v>666</v>
      </c>
      <c r="G7603" t="s">
        <v>23722</v>
      </c>
      <c r="H7603" t="s">
        <v>667</v>
      </c>
      <c r="I7603" t="s">
        <v>29</v>
      </c>
      <c r="J7603">
        <v>1</v>
      </c>
      <c r="K7603">
        <f>1-833-220-3921</f>
        <v>-4973</v>
      </c>
      <c r="L7603" t="s">
        <v>23787</v>
      </c>
      <c r="M7603" t="s">
        <v>23788</v>
      </c>
      <c r="N7603" t="s">
        <v>447</v>
      </c>
      <c r="O7603" t="s">
        <v>134</v>
      </c>
      <c r="P7603" t="s">
        <v>29</v>
      </c>
      <c r="Q7603">
        <v>41</v>
      </c>
      <c r="R7603">
        <v>-74.024699999999996</v>
      </c>
    </row>
    <row r="7604" spans="1:18" x14ac:dyDescent="0.2">
      <c r="A7604" t="s">
        <v>663</v>
      </c>
      <c r="B7604" t="s">
        <v>2493</v>
      </c>
      <c r="C7604">
        <v>1</v>
      </c>
      <c r="D7604" s="1">
        <v>44214.617835648147</v>
      </c>
      <c r="E7604" t="s">
        <v>23778</v>
      </c>
      <c r="F7604" t="s">
        <v>666</v>
      </c>
      <c r="G7604" t="s">
        <v>23722</v>
      </c>
      <c r="H7604" t="s">
        <v>667</v>
      </c>
      <c r="I7604" t="s">
        <v>29</v>
      </c>
      <c r="J7604">
        <v>1</v>
      </c>
      <c r="K7604">
        <f>1-833-220-3814</f>
        <v>-4866</v>
      </c>
      <c r="L7604" t="s">
        <v>23789</v>
      </c>
      <c r="M7604" t="s">
        <v>23790</v>
      </c>
      <c r="N7604" t="s">
        <v>447</v>
      </c>
      <c r="O7604" t="s">
        <v>134</v>
      </c>
      <c r="P7604" t="s">
        <v>29</v>
      </c>
      <c r="Q7604">
        <v>41</v>
      </c>
      <c r="R7604">
        <v>-74.024699999999996</v>
      </c>
    </row>
    <row r="7605" spans="1:18" x14ac:dyDescent="0.2">
      <c r="A7605" t="s">
        <v>663</v>
      </c>
      <c r="B7605" t="s">
        <v>2493</v>
      </c>
      <c r="C7605">
        <v>1</v>
      </c>
      <c r="D7605" s="1">
        <v>44214.617766203701</v>
      </c>
      <c r="E7605" t="s">
        <v>23778</v>
      </c>
      <c r="F7605" t="s">
        <v>666</v>
      </c>
      <c r="G7605" t="s">
        <v>23722</v>
      </c>
      <c r="H7605" t="s">
        <v>667</v>
      </c>
      <c r="I7605" t="s">
        <v>29</v>
      </c>
      <c r="J7605">
        <v>1</v>
      </c>
      <c r="K7605">
        <f>1-888-312-3182</f>
        <v>-4381</v>
      </c>
      <c r="L7605" t="s">
        <v>23791</v>
      </c>
      <c r="M7605" t="s">
        <v>23792</v>
      </c>
      <c r="N7605" t="s">
        <v>447</v>
      </c>
      <c r="O7605" t="s">
        <v>134</v>
      </c>
      <c r="P7605" t="s">
        <v>29</v>
      </c>
      <c r="Q7605">
        <v>41</v>
      </c>
      <c r="R7605">
        <v>-74.024699999999996</v>
      </c>
    </row>
    <row r="7606" spans="1:18" x14ac:dyDescent="0.2">
      <c r="A7606" t="s">
        <v>663</v>
      </c>
      <c r="B7606" t="s">
        <v>2493</v>
      </c>
      <c r="C7606">
        <v>1</v>
      </c>
      <c r="D7606" s="1">
        <v>44214.617743055554</v>
      </c>
      <c r="E7606" t="s">
        <v>23778</v>
      </c>
      <c r="F7606" t="s">
        <v>666</v>
      </c>
      <c r="G7606" t="s">
        <v>23722</v>
      </c>
      <c r="H7606" t="s">
        <v>667</v>
      </c>
      <c r="I7606" t="s">
        <v>29</v>
      </c>
      <c r="J7606">
        <v>1</v>
      </c>
      <c r="K7606">
        <f>1-888-521-1597</f>
        <v>-3005</v>
      </c>
      <c r="L7606" s="2" t="s">
        <v>23793</v>
      </c>
      <c r="M7606" t="s">
        <v>23794</v>
      </c>
      <c r="N7606" t="s">
        <v>447</v>
      </c>
      <c r="O7606" t="s">
        <v>134</v>
      </c>
      <c r="P7606" t="s">
        <v>29</v>
      </c>
      <c r="Q7606">
        <v>41</v>
      </c>
      <c r="R7606">
        <v>-74.024699999999996</v>
      </c>
    </row>
    <row r="7607" spans="1:18" x14ac:dyDescent="0.2">
      <c r="A7607" t="s">
        <v>663</v>
      </c>
      <c r="B7607" t="s">
        <v>2493</v>
      </c>
      <c r="C7607">
        <v>1</v>
      </c>
      <c r="D7607" s="1">
        <v>44214.617615740739</v>
      </c>
      <c r="E7607" t="s">
        <v>23778</v>
      </c>
      <c r="F7607" t="s">
        <v>666</v>
      </c>
      <c r="G7607" t="s">
        <v>23722</v>
      </c>
      <c r="H7607" t="s">
        <v>667</v>
      </c>
      <c r="I7607" t="s">
        <v>29</v>
      </c>
      <c r="J7607">
        <v>1</v>
      </c>
      <c r="K7607">
        <f>1-888-264-344</f>
        <v>-1495</v>
      </c>
      <c r="L7607" t="s">
        <v>23795</v>
      </c>
      <c r="M7607" t="s">
        <v>23796</v>
      </c>
      <c r="N7607" t="s">
        <v>447</v>
      </c>
      <c r="O7607" t="s">
        <v>134</v>
      </c>
      <c r="P7607" t="s">
        <v>29</v>
      </c>
      <c r="Q7607">
        <v>41</v>
      </c>
      <c r="R7607">
        <v>-74.024699999999996</v>
      </c>
    </row>
    <row r="7608" spans="1:18" x14ac:dyDescent="0.2">
      <c r="A7608" t="s">
        <v>663</v>
      </c>
      <c r="B7608" t="s">
        <v>2493</v>
      </c>
      <c r="C7608">
        <v>1</v>
      </c>
      <c r="D7608" s="1">
        <v>44214.617534722223</v>
      </c>
      <c r="E7608" t="s">
        <v>23778</v>
      </c>
      <c r="F7608" t="s">
        <v>666</v>
      </c>
      <c r="G7608" t="s">
        <v>23722</v>
      </c>
      <c r="H7608" t="s">
        <v>667</v>
      </c>
      <c r="I7608" t="s">
        <v>29</v>
      </c>
      <c r="J7608">
        <v>1</v>
      </c>
      <c r="K7608">
        <f>1-888-463-325</f>
        <v>-1675</v>
      </c>
      <c r="L7608" t="s">
        <v>23797</v>
      </c>
      <c r="M7608" t="s">
        <v>23798</v>
      </c>
      <c r="N7608" t="s">
        <v>447</v>
      </c>
      <c r="O7608" t="s">
        <v>134</v>
      </c>
      <c r="P7608" t="s">
        <v>29</v>
      </c>
      <c r="Q7608">
        <v>41</v>
      </c>
      <c r="R7608">
        <v>-74.024699999999996</v>
      </c>
    </row>
    <row r="7609" spans="1:18" x14ac:dyDescent="0.2">
      <c r="A7609" t="s">
        <v>663</v>
      </c>
      <c r="B7609" t="s">
        <v>2493</v>
      </c>
      <c r="C7609">
        <v>1</v>
      </c>
      <c r="D7609" s="1">
        <v>44214.617395833331</v>
      </c>
      <c r="E7609" t="s">
        <v>23778</v>
      </c>
      <c r="F7609" t="s">
        <v>666</v>
      </c>
      <c r="G7609" t="s">
        <v>23722</v>
      </c>
      <c r="H7609" t="s">
        <v>667</v>
      </c>
      <c r="I7609" t="s">
        <v>29</v>
      </c>
      <c r="J7609">
        <v>1</v>
      </c>
      <c r="K7609">
        <f>1-888-618-264</f>
        <v>-1769</v>
      </c>
      <c r="L7609" t="s">
        <v>23799</v>
      </c>
      <c r="M7609" t="s">
        <v>23800</v>
      </c>
      <c r="N7609" t="s">
        <v>447</v>
      </c>
      <c r="O7609" t="s">
        <v>134</v>
      </c>
      <c r="P7609" t="s">
        <v>29</v>
      </c>
      <c r="Q7609">
        <v>41</v>
      </c>
      <c r="R7609">
        <v>-74.024699999999996</v>
      </c>
    </row>
    <row r="7610" spans="1:18" x14ac:dyDescent="0.2">
      <c r="A7610" t="s">
        <v>663</v>
      </c>
      <c r="B7610" t="s">
        <v>2493</v>
      </c>
      <c r="C7610">
        <v>1</v>
      </c>
      <c r="D7610" s="1">
        <v>44210.852812500001</v>
      </c>
      <c r="E7610" t="s">
        <v>23722</v>
      </c>
      <c r="F7610" t="s">
        <v>666</v>
      </c>
      <c r="G7610" t="s">
        <v>23722</v>
      </c>
      <c r="H7610" t="s">
        <v>667</v>
      </c>
      <c r="I7610" t="s">
        <v>29</v>
      </c>
      <c r="J7610">
        <v>1</v>
      </c>
      <c r="K7610">
        <f>1-888-521-1597</f>
        <v>-3005</v>
      </c>
      <c r="L7610" t="s">
        <v>23801</v>
      </c>
      <c r="M7610" t="s">
        <v>23802</v>
      </c>
      <c r="N7610">
        <v>123</v>
      </c>
      <c r="O7610" t="s">
        <v>134</v>
      </c>
      <c r="P7610" t="s">
        <v>29</v>
      </c>
      <c r="Q7610">
        <v>41</v>
      </c>
      <c r="R7610">
        <v>-74.024699999999996</v>
      </c>
    </row>
    <row r="7611" spans="1:18" x14ac:dyDescent="0.2">
      <c r="A7611" t="s">
        <v>663</v>
      </c>
      <c r="B7611" t="s">
        <v>2493</v>
      </c>
      <c r="C7611">
        <v>1</v>
      </c>
      <c r="D7611" s="1">
        <v>44210.852488425924</v>
      </c>
      <c r="E7611" t="s">
        <v>23722</v>
      </c>
      <c r="F7611" t="s">
        <v>666</v>
      </c>
      <c r="G7611" t="s">
        <v>23722</v>
      </c>
      <c r="H7611" t="s">
        <v>667</v>
      </c>
      <c r="I7611" t="s">
        <v>29</v>
      </c>
      <c r="J7611">
        <v>1</v>
      </c>
      <c r="K7611">
        <f>1-888-463-325</f>
        <v>-1675</v>
      </c>
      <c r="L7611" t="s">
        <v>23803</v>
      </c>
      <c r="M7611" t="s">
        <v>23804</v>
      </c>
      <c r="N7611">
        <v>123</v>
      </c>
      <c r="O7611" t="s">
        <v>134</v>
      </c>
      <c r="P7611" t="s">
        <v>29</v>
      </c>
      <c r="Q7611">
        <v>41</v>
      </c>
      <c r="R7611">
        <v>-74.024699999999996</v>
      </c>
    </row>
    <row r="7612" spans="1:18" x14ac:dyDescent="0.2">
      <c r="A7612" t="s">
        <v>663</v>
      </c>
      <c r="B7612" t="s">
        <v>2493</v>
      </c>
      <c r="C7612">
        <v>1</v>
      </c>
      <c r="D7612" s="1">
        <v>44210.853067129632</v>
      </c>
      <c r="E7612" t="s">
        <v>23722</v>
      </c>
      <c r="F7612" t="s">
        <v>666</v>
      </c>
      <c r="G7612" t="s">
        <v>23722</v>
      </c>
      <c r="H7612" t="s">
        <v>667</v>
      </c>
      <c r="I7612" t="s">
        <v>29</v>
      </c>
      <c r="J7612">
        <v>1</v>
      </c>
      <c r="K7612">
        <f>1-833-220-3814</f>
        <v>-4866</v>
      </c>
      <c r="L7612" t="s">
        <v>23805</v>
      </c>
      <c r="M7612" t="s">
        <v>23806</v>
      </c>
      <c r="N7612">
        <v>123</v>
      </c>
      <c r="O7612" t="s">
        <v>134</v>
      </c>
      <c r="P7612" t="s">
        <v>29</v>
      </c>
      <c r="Q7612">
        <v>41</v>
      </c>
      <c r="R7612">
        <v>-74.024699999999996</v>
      </c>
    </row>
    <row r="7613" spans="1:18" x14ac:dyDescent="0.2">
      <c r="A7613" t="s">
        <v>663</v>
      </c>
      <c r="B7613" t="s">
        <v>2493</v>
      </c>
      <c r="C7613">
        <v>1</v>
      </c>
      <c r="D7613" s="1">
        <v>44210.853206018517</v>
      </c>
      <c r="E7613" t="s">
        <v>23722</v>
      </c>
      <c r="F7613" t="s">
        <v>666</v>
      </c>
      <c r="G7613" t="s">
        <v>23722</v>
      </c>
      <c r="H7613" t="s">
        <v>667</v>
      </c>
      <c r="I7613" t="s">
        <v>29</v>
      </c>
      <c r="J7613">
        <v>1</v>
      </c>
      <c r="K7613">
        <f>1-833-220-3921</f>
        <v>-4973</v>
      </c>
      <c r="L7613" t="s">
        <v>23807</v>
      </c>
      <c r="M7613" t="s">
        <v>23808</v>
      </c>
      <c r="N7613">
        <v>123</v>
      </c>
      <c r="O7613" t="s">
        <v>134</v>
      </c>
      <c r="P7613" t="s">
        <v>29</v>
      </c>
      <c r="Q7613">
        <v>41</v>
      </c>
      <c r="R7613">
        <v>-74.024699999999996</v>
      </c>
    </row>
    <row r="7614" spans="1:18" x14ac:dyDescent="0.2">
      <c r="A7614" t="s">
        <v>663</v>
      </c>
      <c r="B7614" t="s">
        <v>2493</v>
      </c>
      <c r="C7614">
        <v>1</v>
      </c>
      <c r="D7614" s="1">
        <v>44210.853738425925</v>
      </c>
      <c r="E7614" t="s">
        <v>23722</v>
      </c>
      <c r="F7614" t="s">
        <v>666</v>
      </c>
      <c r="G7614" t="s">
        <v>23722</v>
      </c>
      <c r="H7614" t="s">
        <v>667</v>
      </c>
      <c r="I7614" t="s">
        <v>29</v>
      </c>
      <c r="J7614">
        <v>1</v>
      </c>
      <c r="K7614">
        <f>1-888-515-7173</f>
        <v>-8575</v>
      </c>
      <c r="L7614" t="s">
        <v>23809</v>
      </c>
      <c r="M7614" t="s">
        <v>23810</v>
      </c>
      <c r="N7614">
        <v>123</v>
      </c>
      <c r="O7614" t="s">
        <v>134</v>
      </c>
      <c r="P7614" t="s">
        <v>29</v>
      </c>
      <c r="Q7614">
        <v>41</v>
      </c>
      <c r="R7614">
        <v>-74.024699999999996</v>
      </c>
    </row>
    <row r="7615" spans="1:18" x14ac:dyDescent="0.2">
      <c r="A7615" t="s">
        <v>663</v>
      </c>
      <c r="B7615" t="s">
        <v>2493</v>
      </c>
      <c r="C7615">
        <v>1</v>
      </c>
      <c r="D7615" s="1">
        <v>44200.785555555558</v>
      </c>
      <c r="E7615" t="s">
        <v>23811</v>
      </c>
      <c r="F7615" t="s">
        <v>666</v>
      </c>
      <c r="G7615" t="s">
        <v>23722</v>
      </c>
      <c r="H7615" t="s">
        <v>667</v>
      </c>
      <c r="I7615" t="s">
        <v>29</v>
      </c>
      <c r="J7615">
        <v>1</v>
      </c>
      <c r="K7615">
        <f>1-888-312-3182</f>
        <v>-4381</v>
      </c>
      <c r="L7615" t="s">
        <v>23812</v>
      </c>
      <c r="M7615" t="s">
        <v>23813</v>
      </c>
      <c r="N7615" t="s">
        <v>3441</v>
      </c>
      <c r="O7615" t="s">
        <v>134</v>
      </c>
      <c r="P7615" t="s">
        <v>29</v>
      </c>
      <c r="Q7615">
        <v>41</v>
      </c>
      <c r="R7615">
        <v>-74.024699999999996</v>
      </c>
    </row>
    <row r="7616" spans="1:18" x14ac:dyDescent="0.2">
      <c r="A7616" t="s">
        <v>663</v>
      </c>
      <c r="B7616" t="s">
        <v>2493</v>
      </c>
      <c r="C7616">
        <v>1</v>
      </c>
      <c r="D7616" s="1">
        <v>44195.853541666664</v>
      </c>
      <c r="E7616" t="s">
        <v>23722</v>
      </c>
      <c r="F7616" t="s">
        <v>666</v>
      </c>
      <c r="G7616" t="s">
        <v>23722</v>
      </c>
      <c r="H7616" t="s">
        <v>667</v>
      </c>
      <c r="I7616" t="s">
        <v>29</v>
      </c>
      <c r="J7616">
        <v>1</v>
      </c>
      <c r="K7616">
        <f>1-888-308-4615</f>
        <v>-5810</v>
      </c>
      <c r="L7616" t="s">
        <v>23814</v>
      </c>
      <c r="M7616" t="s">
        <v>23815</v>
      </c>
      <c r="N7616">
        <v>123</v>
      </c>
      <c r="O7616" t="s">
        <v>134</v>
      </c>
      <c r="P7616" t="s">
        <v>29</v>
      </c>
      <c r="Q7616">
        <v>41</v>
      </c>
      <c r="R7616">
        <v>-74.024699999999996</v>
      </c>
    </row>
    <row r="7617" spans="1:18" x14ac:dyDescent="0.2">
      <c r="A7617" t="s">
        <v>663</v>
      </c>
      <c r="B7617" t="s">
        <v>2493</v>
      </c>
      <c r="C7617">
        <v>1</v>
      </c>
      <c r="D7617" s="1">
        <v>44195.853483796294</v>
      </c>
      <c r="E7617" t="s">
        <v>23722</v>
      </c>
      <c r="F7617" t="s">
        <v>666</v>
      </c>
      <c r="G7617" t="s">
        <v>23722</v>
      </c>
      <c r="H7617" t="s">
        <v>667</v>
      </c>
      <c r="I7617" t="s">
        <v>29</v>
      </c>
      <c r="J7617">
        <v>1</v>
      </c>
      <c r="K7617">
        <f>1-833-220-3955</f>
        <v>-5007</v>
      </c>
      <c r="L7617" t="s">
        <v>23816</v>
      </c>
      <c r="M7617" t="s">
        <v>23817</v>
      </c>
      <c r="N7617">
        <v>123</v>
      </c>
      <c r="O7617" t="s">
        <v>134</v>
      </c>
      <c r="P7617" t="s">
        <v>29</v>
      </c>
      <c r="Q7617">
        <v>41</v>
      </c>
      <c r="R7617">
        <v>-74.024699999999996</v>
      </c>
    </row>
    <row r="7618" spans="1:18" x14ac:dyDescent="0.2">
      <c r="A7618" t="s">
        <v>663</v>
      </c>
      <c r="B7618" t="s">
        <v>2493</v>
      </c>
      <c r="C7618">
        <v>1</v>
      </c>
      <c r="D7618" s="1">
        <v>44195.853437500002</v>
      </c>
      <c r="E7618" t="s">
        <v>23722</v>
      </c>
      <c r="F7618" t="s">
        <v>666</v>
      </c>
      <c r="G7618" t="s">
        <v>23722</v>
      </c>
      <c r="H7618" t="s">
        <v>667</v>
      </c>
      <c r="I7618" t="s">
        <v>29</v>
      </c>
      <c r="J7618">
        <v>1</v>
      </c>
      <c r="K7618">
        <f>1-888-312-3182</f>
        <v>-4381</v>
      </c>
      <c r="L7618" t="s">
        <v>23818</v>
      </c>
      <c r="M7618" t="s">
        <v>23819</v>
      </c>
      <c r="N7618">
        <v>123</v>
      </c>
      <c r="O7618" t="s">
        <v>134</v>
      </c>
      <c r="P7618" t="s">
        <v>29</v>
      </c>
      <c r="Q7618">
        <v>41</v>
      </c>
      <c r="R7618">
        <v>-74.024699999999996</v>
      </c>
    </row>
    <row r="7619" spans="1:18" x14ac:dyDescent="0.2">
      <c r="A7619" t="s">
        <v>663</v>
      </c>
      <c r="B7619" t="s">
        <v>2493</v>
      </c>
      <c r="C7619">
        <v>1</v>
      </c>
      <c r="D7619" s="1">
        <v>44195.853391203702</v>
      </c>
      <c r="E7619" t="s">
        <v>23722</v>
      </c>
      <c r="F7619" t="s">
        <v>666</v>
      </c>
      <c r="G7619" t="s">
        <v>23722</v>
      </c>
      <c r="H7619" t="s">
        <v>667</v>
      </c>
      <c r="I7619" t="s">
        <v>29</v>
      </c>
      <c r="J7619">
        <v>1</v>
      </c>
      <c r="K7619">
        <f>1-888-264-344</f>
        <v>-1495</v>
      </c>
      <c r="L7619" t="s">
        <v>23820</v>
      </c>
      <c r="M7619" t="s">
        <v>23821</v>
      </c>
      <c r="N7619">
        <v>123</v>
      </c>
      <c r="O7619" t="s">
        <v>134</v>
      </c>
      <c r="P7619" t="s">
        <v>29</v>
      </c>
      <c r="Q7619">
        <v>41</v>
      </c>
      <c r="R7619">
        <v>-74.024699999999996</v>
      </c>
    </row>
    <row r="7620" spans="1:18" x14ac:dyDescent="0.2">
      <c r="A7620" t="s">
        <v>663</v>
      </c>
      <c r="B7620" t="s">
        <v>2493</v>
      </c>
      <c r="C7620">
        <v>1</v>
      </c>
      <c r="D7620" s="1">
        <v>44195.853344907409</v>
      </c>
      <c r="E7620" t="s">
        <v>23722</v>
      </c>
      <c r="F7620" t="s">
        <v>666</v>
      </c>
      <c r="G7620" t="s">
        <v>23722</v>
      </c>
      <c r="H7620" t="s">
        <v>667</v>
      </c>
      <c r="I7620" t="s">
        <v>29</v>
      </c>
      <c r="J7620">
        <v>1</v>
      </c>
      <c r="K7620">
        <f>1-888-618-264</f>
        <v>-1769</v>
      </c>
      <c r="L7620" t="s">
        <v>23822</v>
      </c>
      <c r="M7620" t="s">
        <v>23823</v>
      </c>
      <c r="N7620">
        <v>123</v>
      </c>
      <c r="O7620" t="s">
        <v>134</v>
      </c>
      <c r="P7620" t="s">
        <v>29</v>
      </c>
      <c r="Q7620">
        <v>41</v>
      </c>
      <c r="R7620">
        <v>-74.024699999999996</v>
      </c>
    </row>
    <row r="7621" spans="1:18" x14ac:dyDescent="0.2">
      <c r="A7621" t="s">
        <v>663</v>
      </c>
      <c r="B7621" t="s">
        <v>2493</v>
      </c>
      <c r="C7621">
        <v>1</v>
      </c>
      <c r="D7621" s="1">
        <v>44195.821851851855</v>
      </c>
      <c r="E7621" t="s">
        <v>23824</v>
      </c>
      <c r="F7621" t="s">
        <v>666</v>
      </c>
      <c r="G7621" t="s">
        <v>23722</v>
      </c>
      <c r="H7621" t="s">
        <v>667</v>
      </c>
      <c r="I7621" t="s">
        <v>29</v>
      </c>
      <c r="J7621">
        <v>1</v>
      </c>
      <c r="K7621">
        <f>1-888-605-5293</f>
        <v>-6785</v>
      </c>
      <c r="L7621" t="s">
        <v>23825</v>
      </c>
      <c r="M7621" t="s">
        <v>23826</v>
      </c>
      <c r="N7621" t="s">
        <v>3454</v>
      </c>
      <c r="O7621" t="s">
        <v>134</v>
      </c>
      <c r="P7621" t="s">
        <v>29</v>
      </c>
      <c r="Q7621">
        <v>41</v>
      </c>
      <c r="R7621">
        <v>-74.024699999999996</v>
      </c>
    </row>
    <row r="7622" spans="1:18" x14ac:dyDescent="0.2">
      <c r="A7622" t="s">
        <v>663</v>
      </c>
      <c r="B7622" t="s">
        <v>2493</v>
      </c>
      <c r="C7622">
        <v>1</v>
      </c>
      <c r="D7622" s="1">
        <v>44195.821805555555</v>
      </c>
      <c r="E7622" t="s">
        <v>23824</v>
      </c>
      <c r="F7622" t="s">
        <v>666</v>
      </c>
      <c r="G7622" t="s">
        <v>23722</v>
      </c>
      <c r="H7622" t="s">
        <v>667</v>
      </c>
      <c r="I7622" t="s">
        <v>29</v>
      </c>
      <c r="J7622">
        <v>1</v>
      </c>
      <c r="K7622">
        <f>1-888-308-4615</f>
        <v>-5810</v>
      </c>
      <c r="L7622" t="s">
        <v>23827</v>
      </c>
      <c r="M7622" t="s">
        <v>23828</v>
      </c>
      <c r="N7622" t="s">
        <v>3454</v>
      </c>
      <c r="O7622" t="s">
        <v>134</v>
      </c>
      <c r="P7622" t="s">
        <v>29</v>
      </c>
      <c r="Q7622">
        <v>41</v>
      </c>
      <c r="R7622">
        <v>-74.024699999999996</v>
      </c>
    </row>
    <row r="7623" spans="1:18" x14ac:dyDescent="0.2">
      <c r="A7623" t="s">
        <v>663</v>
      </c>
      <c r="B7623" t="s">
        <v>2493</v>
      </c>
      <c r="C7623">
        <v>1</v>
      </c>
      <c r="D7623" s="1">
        <v>44195.821759259263</v>
      </c>
      <c r="E7623" t="s">
        <v>23824</v>
      </c>
      <c r="F7623" t="s">
        <v>666</v>
      </c>
      <c r="G7623" t="s">
        <v>23722</v>
      </c>
      <c r="H7623" t="s">
        <v>667</v>
      </c>
      <c r="I7623" t="s">
        <v>29</v>
      </c>
      <c r="J7623">
        <v>1</v>
      </c>
      <c r="K7623">
        <f>1-833-220-3955</f>
        <v>-5007</v>
      </c>
      <c r="L7623" t="s">
        <v>23829</v>
      </c>
      <c r="M7623" t="s">
        <v>23830</v>
      </c>
      <c r="N7623" t="s">
        <v>3454</v>
      </c>
      <c r="O7623" t="s">
        <v>134</v>
      </c>
      <c r="P7623" t="s">
        <v>29</v>
      </c>
      <c r="Q7623">
        <v>41</v>
      </c>
      <c r="R7623">
        <v>-74.024699999999996</v>
      </c>
    </row>
    <row r="7624" spans="1:18" x14ac:dyDescent="0.2">
      <c r="A7624" t="s">
        <v>663</v>
      </c>
      <c r="B7624" t="s">
        <v>2493</v>
      </c>
      <c r="C7624">
        <v>1</v>
      </c>
      <c r="D7624" s="1">
        <v>44195.821689814817</v>
      </c>
      <c r="E7624" t="s">
        <v>23824</v>
      </c>
      <c r="F7624" t="s">
        <v>666</v>
      </c>
      <c r="G7624" t="s">
        <v>23722</v>
      </c>
      <c r="H7624" t="s">
        <v>667</v>
      </c>
      <c r="I7624" t="s">
        <v>29</v>
      </c>
      <c r="J7624">
        <v>1</v>
      </c>
      <c r="K7624">
        <f>1-888-264-344</f>
        <v>-1495</v>
      </c>
      <c r="L7624" t="s">
        <v>23831</v>
      </c>
      <c r="M7624" t="s">
        <v>23832</v>
      </c>
      <c r="N7624" t="s">
        <v>3454</v>
      </c>
      <c r="O7624" t="s">
        <v>134</v>
      </c>
      <c r="P7624" t="s">
        <v>29</v>
      </c>
      <c r="Q7624">
        <v>41</v>
      </c>
      <c r="R7624">
        <v>-74.024699999999996</v>
      </c>
    </row>
    <row r="7625" spans="1:18" x14ac:dyDescent="0.2">
      <c r="A7625" t="s">
        <v>663</v>
      </c>
      <c r="B7625" t="s">
        <v>2493</v>
      </c>
      <c r="C7625">
        <v>1</v>
      </c>
      <c r="D7625" s="1">
        <v>44195.821643518517</v>
      </c>
      <c r="E7625" t="s">
        <v>23824</v>
      </c>
      <c r="F7625" t="s">
        <v>666</v>
      </c>
      <c r="G7625" t="s">
        <v>23722</v>
      </c>
      <c r="H7625" t="s">
        <v>667</v>
      </c>
      <c r="I7625" t="s">
        <v>29</v>
      </c>
      <c r="J7625">
        <v>1</v>
      </c>
      <c r="K7625">
        <f>1-888-618-264</f>
        <v>-1769</v>
      </c>
      <c r="L7625" t="s">
        <v>23833</v>
      </c>
      <c r="M7625" t="s">
        <v>23834</v>
      </c>
      <c r="N7625" t="s">
        <v>3454</v>
      </c>
      <c r="O7625" t="s">
        <v>134</v>
      </c>
      <c r="P7625" t="s">
        <v>29</v>
      </c>
      <c r="Q7625">
        <v>41</v>
      </c>
      <c r="R7625">
        <v>-74.024699999999996</v>
      </c>
    </row>
    <row r="7626" spans="1:18" x14ac:dyDescent="0.2">
      <c r="A7626" t="s">
        <v>663</v>
      </c>
      <c r="B7626" t="s">
        <v>2493</v>
      </c>
      <c r="C7626">
        <v>1</v>
      </c>
      <c r="D7626" s="1">
        <v>44195.821006944447</v>
      </c>
      <c r="E7626" t="s">
        <v>23835</v>
      </c>
      <c r="F7626" t="s">
        <v>666</v>
      </c>
      <c r="G7626" t="s">
        <v>23722</v>
      </c>
      <c r="H7626" t="s">
        <v>667</v>
      </c>
      <c r="I7626" t="s">
        <v>29</v>
      </c>
      <c r="J7626">
        <v>1</v>
      </c>
      <c r="K7626">
        <f>1-888-605-5293</f>
        <v>-6785</v>
      </c>
      <c r="L7626" t="s">
        <v>23836</v>
      </c>
      <c r="M7626" t="s">
        <v>23837</v>
      </c>
      <c r="N7626" t="s">
        <v>3454</v>
      </c>
      <c r="O7626" t="s">
        <v>134</v>
      </c>
      <c r="P7626" t="s">
        <v>29</v>
      </c>
      <c r="Q7626">
        <v>41</v>
      </c>
      <c r="R7626">
        <v>-74.024699999999996</v>
      </c>
    </row>
    <row r="7627" spans="1:18" x14ac:dyDescent="0.2">
      <c r="A7627" t="s">
        <v>663</v>
      </c>
      <c r="B7627" t="s">
        <v>2493</v>
      </c>
      <c r="C7627">
        <v>1</v>
      </c>
      <c r="D7627" s="1">
        <v>44195.820960648147</v>
      </c>
      <c r="E7627" t="s">
        <v>23835</v>
      </c>
      <c r="F7627" t="s">
        <v>666</v>
      </c>
      <c r="G7627" t="s">
        <v>23722</v>
      </c>
      <c r="H7627" t="s">
        <v>667</v>
      </c>
      <c r="I7627" t="s">
        <v>29</v>
      </c>
      <c r="J7627">
        <v>1</v>
      </c>
      <c r="K7627">
        <f>1-888-308-4615</f>
        <v>-5810</v>
      </c>
      <c r="L7627" t="s">
        <v>23838</v>
      </c>
      <c r="M7627" t="s">
        <v>23839</v>
      </c>
      <c r="N7627" t="s">
        <v>3454</v>
      </c>
      <c r="O7627" t="s">
        <v>134</v>
      </c>
      <c r="P7627" t="s">
        <v>29</v>
      </c>
      <c r="Q7627">
        <v>41</v>
      </c>
      <c r="R7627">
        <v>-74.024699999999996</v>
      </c>
    </row>
    <row r="7628" spans="1:18" x14ac:dyDescent="0.2">
      <c r="A7628" t="s">
        <v>663</v>
      </c>
      <c r="B7628" t="s">
        <v>2493</v>
      </c>
      <c r="C7628">
        <v>1</v>
      </c>
      <c r="D7628" s="1">
        <v>44195.820914351854</v>
      </c>
      <c r="E7628" t="s">
        <v>23835</v>
      </c>
      <c r="F7628" t="s">
        <v>666</v>
      </c>
      <c r="G7628" t="s">
        <v>23722</v>
      </c>
      <c r="H7628" t="s">
        <v>667</v>
      </c>
      <c r="I7628" t="s">
        <v>29</v>
      </c>
      <c r="J7628">
        <v>1</v>
      </c>
      <c r="K7628">
        <f>1-833-220-3955</f>
        <v>-5007</v>
      </c>
      <c r="L7628" t="s">
        <v>23840</v>
      </c>
      <c r="M7628" t="s">
        <v>23841</v>
      </c>
      <c r="N7628" t="s">
        <v>3454</v>
      </c>
      <c r="O7628" t="s">
        <v>134</v>
      </c>
      <c r="P7628" t="s">
        <v>29</v>
      </c>
      <c r="Q7628">
        <v>41</v>
      </c>
      <c r="R7628">
        <v>-74.024699999999996</v>
      </c>
    </row>
    <row r="7629" spans="1:18" x14ac:dyDescent="0.2">
      <c r="A7629" t="s">
        <v>663</v>
      </c>
      <c r="B7629" t="s">
        <v>2493</v>
      </c>
      <c r="C7629">
        <v>1</v>
      </c>
      <c r="D7629" s="1">
        <v>44195.820856481485</v>
      </c>
      <c r="E7629" t="s">
        <v>23835</v>
      </c>
      <c r="F7629" t="s">
        <v>666</v>
      </c>
      <c r="G7629" t="s">
        <v>23722</v>
      </c>
      <c r="H7629" t="s">
        <v>667</v>
      </c>
      <c r="I7629" t="s">
        <v>29</v>
      </c>
      <c r="J7629">
        <v>1</v>
      </c>
      <c r="K7629">
        <f>1-888-312-3182</f>
        <v>-4381</v>
      </c>
      <c r="L7629" t="s">
        <v>23842</v>
      </c>
      <c r="M7629" t="s">
        <v>23843</v>
      </c>
      <c r="N7629" t="s">
        <v>3454</v>
      </c>
      <c r="O7629" t="s">
        <v>134</v>
      </c>
      <c r="P7629" t="s">
        <v>29</v>
      </c>
      <c r="Q7629">
        <v>41</v>
      </c>
      <c r="R7629">
        <v>-74.024699999999996</v>
      </c>
    </row>
    <row r="7630" spans="1:18" x14ac:dyDescent="0.2">
      <c r="A7630" t="s">
        <v>663</v>
      </c>
      <c r="B7630" t="s">
        <v>2493</v>
      </c>
      <c r="C7630">
        <v>1</v>
      </c>
      <c r="D7630" s="1">
        <v>44195.820798611108</v>
      </c>
      <c r="E7630" t="s">
        <v>23835</v>
      </c>
      <c r="F7630" t="s">
        <v>666</v>
      </c>
      <c r="G7630" t="s">
        <v>23722</v>
      </c>
      <c r="H7630" t="s">
        <v>667</v>
      </c>
      <c r="I7630" t="s">
        <v>29</v>
      </c>
      <c r="J7630">
        <v>1</v>
      </c>
      <c r="K7630">
        <f>1-888-618-264</f>
        <v>-1769</v>
      </c>
      <c r="L7630" t="s">
        <v>23844</v>
      </c>
      <c r="M7630" t="s">
        <v>23845</v>
      </c>
      <c r="N7630" t="s">
        <v>3454</v>
      </c>
      <c r="O7630" t="s">
        <v>134</v>
      </c>
      <c r="P7630" t="s">
        <v>29</v>
      </c>
      <c r="Q7630">
        <v>41</v>
      </c>
      <c r="R7630">
        <v>-74.024699999999996</v>
      </c>
    </row>
    <row r="7631" spans="1:18" x14ac:dyDescent="0.2">
      <c r="A7631" t="s">
        <v>663</v>
      </c>
      <c r="B7631" t="s">
        <v>2493</v>
      </c>
      <c r="C7631">
        <v>1</v>
      </c>
      <c r="D7631" s="1">
        <v>44195.819756944446</v>
      </c>
      <c r="E7631" t="s">
        <v>23721</v>
      </c>
      <c r="F7631" t="s">
        <v>666</v>
      </c>
      <c r="G7631" t="s">
        <v>23722</v>
      </c>
      <c r="H7631" t="s">
        <v>667</v>
      </c>
      <c r="I7631" t="s">
        <v>29</v>
      </c>
      <c r="J7631">
        <v>1</v>
      </c>
      <c r="K7631">
        <f>1-888-605-5293</f>
        <v>-6785</v>
      </c>
      <c r="L7631" t="s">
        <v>23846</v>
      </c>
      <c r="M7631" t="s">
        <v>23847</v>
      </c>
      <c r="N7631" t="s">
        <v>674</v>
      </c>
      <c r="O7631" t="s">
        <v>134</v>
      </c>
      <c r="P7631" t="s">
        <v>29</v>
      </c>
      <c r="Q7631">
        <v>41</v>
      </c>
      <c r="R7631">
        <v>-74.024699999999996</v>
      </c>
    </row>
    <row r="7632" spans="1:18" x14ac:dyDescent="0.2">
      <c r="A7632" t="s">
        <v>663</v>
      </c>
      <c r="B7632" t="s">
        <v>2493</v>
      </c>
      <c r="C7632">
        <v>1</v>
      </c>
      <c r="D7632" s="1">
        <v>44195.819710648146</v>
      </c>
      <c r="E7632" t="s">
        <v>23721</v>
      </c>
      <c r="F7632" t="s">
        <v>666</v>
      </c>
      <c r="G7632" t="s">
        <v>23722</v>
      </c>
      <c r="H7632" t="s">
        <v>667</v>
      </c>
      <c r="I7632" t="s">
        <v>29</v>
      </c>
      <c r="J7632">
        <v>1</v>
      </c>
      <c r="K7632">
        <f>1-833-220-3955</f>
        <v>-5007</v>
      </c>
      <c r="L7632" t="s">
        <v>23848</v>
      </c>
      <c r="M7632" t="s">
        <v>23849</v>
      </c>
      <c r="N7632" t="s">
        <v>674</v>
      </c>
      <c r="O7632" t="s">
        <v>134</v>
      </c>
      <c r="P7632" t="s">
        <v>29</v>
      </c>
      <c r="Q7632">
        <v>41</v>
      </c>
      <c r="R7632">
        <v>-74.024699999999996</v>
      </c>
    </row>
    <row r="7633" spans="1:18" x14ac:dyDescent="0.2">
      <c r="A7633" t="s">
        <v>663</v>
      </c>
      <c r="B7633" t="s">
        <v>2493</v>
      </c>
      <c r="C7633">
        <v>1</v>
      </c>
      <c r="D7633" s="1">
        <v>44195.817152777781</v>
      </c>
      <c r="E7633" t="s">
        <v>23721</v>
      </c>
      <c r="F7633" t="s">
        <v>666</v>
      </c>
      <c r="G7633" t="s">
        <v>23722</v>
      </c>
      <c r="H7633" t="s">
        <v>667</v>
      </c>
      <c r="I7633" t="s">
        <v>29</v>
      </c>
      <c r="J7633">
        <v>1</v>
      </c>
      <c r="K7633">
        <f>1-888-308-4615</f>
        <v>-5810</v>
      </c>
      <c r="L7633" t="s">
        <v>23850</v>
      </c>
      <c r="M7633" t="s">
        <v>23851</v>
      </c>
      <c r="N7633" t="s">
        <v>674</v>
      </c>
      <c r="O7633" t="s">
        <v>134</v>
      </c>
      <c r="P7633" t="s">
        <v>29</v>
      </c>
      <c r="Q7633">
        <v>41</v>
      </c>
      <c r="R7633">
        <v>-74.024699999999996</v>
      </c>
    </row>
    <row r="7634" spans="1:18" x14ac:dyDescent="0.2">
      <c r="A7634" t="s">
        <v>663</v>
      </c>
      <c r="B7634" t="s">
        <v>2493</v>
      </c>
      <c r="C7634">
        <v>1</v>
      </c>
      <c r="D7634" s="1">
        <v>44195.819664351853</v>
      </c>
      <c r="E7634" t="s">
        <v>23721</v>
      </c>
      <c r="F7634" t="s">
        <v>666</v>
      </c>
      <c r="G7634" t="s">
        <v>23722</v>
      </c>
      <c r="H7634" t="s">
        <v>667</v>
      </c>
      <c r="I7634" t="s">
        <v>29</v>
      </c>
      <c r="J7634">
        <v>1</v>
      </c>
      <c r="K7634">
        <f>1-888-312-3182</f>
        <v>-4381</v>
      </c>
      <c r="L7634" t="s">
        <v>23852</v>
      </c>
      <c r="M7634" t="s">
        <v>23853</v>
      </c>
      <c r="N7634" t="s">
        <v>674</v>
      </c>
      <c r="O7634" t="s">
        <v>134</v>
      </c>
      <c r="P7634" t="s">
        <v>29</v>
      </c>
      <c r="Q7634">
        <v>41</v>
      </c>
      <c r="R7634">
        <v>-74.024699999999996</v>
      </c>
    </row>
    <row r="7635" spans="1:18" x14ac:dyDescent="0.2">
      <c r="A7635" t="s">
        <v>663</v>
      </c>
      <c r="B7635" t="s">
        <v>2493</v>
      </c>
      <c r="C7635">
        <v>1</v>
      </c>
      <c r="D7635" s="1">
        <v>44195.81962962963</v>
      </c>
      <c r="E7635" t="s">
        <v>23721</v>
      </c>
      <c r="F7635" t="s">
        <v>666</v>
      </c>
      <c r="G7635" t="s">
        <v>23722</v>
      </c>
      <c r="H7635" t="s">
        <v>667</v>
      </c>
      <c r="I7635" t="s">
        <v>29</v>
      </c>
      <c r="J7635">
        <v>1</v>
      </c>
      <c r="K7635">
        <f>1-888-264-344</f>
        <v>-1495</v>
      </c>
      <c r="L7635" t="s">
        <v>23854</v>
      </c>
      <c r="M7635" t="s">
        <v>23855</v>
      </c>
      <c r="N7635" t="s">
        <v>674</v>
      </c>
      <c r="O7635" t="s">
        <v>134</v>
      </c>
      <c r="P7635" t="s">
        <v>29</v>
      </c>
      <c r="Q7635">
        <v>41</v>
      </c>
      <c r="R7635">
        <v>-74.024699999999996</v>
      </c>
    </row>
    <row r="7636" spans="1:18" x14ac:dyDescent="0.2">
      <c r="A7636" t="s">
        <v>663</v>
      </c>
      <c r="B7636" t="s">
        <v>2493</v>
      </c>
      <c r="C7636">
        <v>1</v>
      </c>
      <c r="D7636" s="1">
        <v>44194.833101851851</v>
      </c>
      <c r="E7636" t="s">
        <v>23722</v>
      </c>
      <c r="F7636" t="s">
        <v>666</v>
      </c>
      <c r="G7636" t="s">
        <v>23722</v>
      </c>
      <c r="H7636" t="s">
        <v>667</v>
      </c>
      <c r="I7636" t="s">
        <v>29</v>
      </c>
      <c r="J7636">
        <v>1</v>
      </c>
      <c r="K7636">
        <f>1-888-605-5293</f>
        <v>-6785</v>
      </c>
      <c r="L7636" t="s">
        <v>23856</v>
      </c>
      <c r="M7636" t="s">
        <v>23857</v>
      </c>
      <c r="N7636">
        <v>123</v>
      </c>
      <c r="O7636" t="s">
        <v>134</v>
      </c>
      <c r="P7636" t="s">
        <v>29</v>
      </c>
      <c r="Q7636">
        <v>41</v>
      </c>
      <c r="R7636">
        <v>-74.024699999999996</v>
      </c>
    </row>
    <row r="7637" spans="1:18" x14ac:dyDescent="0.2">
      <c r="A7637" t="s">
        <v>663</v>
      </c>
      <c r="B7637" t="s">
        <v>2493</v>
      </c>
      <c r="C7637">
        <v>1</v>
      </c>
      <c r="D7637" s="1">
        <v>44194.821770833332</v>
      </c>
      <c r="E7637" t="s">
        <v>23824</v>
      </c>
      <c r="F7637" t="s">
        <v>666</v>
      </c>
      <c r="G7637" t="s">
        <v>23722</v>
      </c>
      <c r="H7637" t="s">
        <v>667</v>
      </c>
      <c r="I7637" t="s">
        <v>29</v>
      </c>
      <c r="J7637">
        <v>1</v>
      </c>
      <c r="K7637">
        <f>1-888-312-3182</f>
        <v>-4381</v>
      </c>
      <c r="L7637" t="s">
        <v>23858</v>
      </c>
      <c r="M7637" t="s">
        <v>23859</v>
      </c>
      <c r="N7637" t="s">
        <v>3454</v>
      </c>
      <c r="O7637" t="s">
        <v>134</v>
      </c>
      <c r="P7637" t="s">
        <v>29</v>
      </c>
      <c r="Q7637">
        <v>41</v>
      </c>
      <c r="R7637">
        <v>-74.024699999999996</v>
      </c>
    </row>
    <row r="7638" spans="1:18" x14ac:dyDescent="0.2">
      <c r="A7638" t="s">
        <v>663</v>
      </c>
      <c r="B7638" t="s">
        <v>2493</v>
      </c>
      <c r="C7638">
        <v>1</v>
      </c>
      <c r="D7638" s="1">
        <v>44194.821712962963</v>
      </c>
      <c r="E7638" t="s">
        <v>23835</v>
      </c>
      <c r="F7638" t="s">
        <v>666</v>
      </c>
      <c r="G7638" t="s">
        <v>23722</v>
      </c>
      <c r="H7638" t="s">
        <v>667</v>
      </c>
      <c r="I7638" t="s">
        <v>29</v>
      </c>
      <c r="J7638">
        <v>1</v>
      </c>
      <c r="K7638">
        <f>1-888-264-344</f>
        <v>-1495</v>
      </c>
      <c r="L7638" t="s">
        <v>23860</v>
      </c>
      <c r="M7638" t="s">
        <v>23861</v>
      </c>
      <c r="N7638" t="s">
        <v>3454</v>
      </c>
      <c r="O7638" t="s">
        <v>134</v>
      </c>
      <c r="P7638" t="s">
        <v>29</v>
      </c>
      <c r="Q7638">
        <v>41</v>
      </c>
      <c r="R7638">
        <v>-74.024699999999996</v>
      </c>
    </row>
    <row r="7639" spans="1:18" x14ac:dyDescent="0.2">
      <c r="A7639" t="s">
        <v>663</v>
      </c>
      <c r="B7639" t="s">
        <v>2493</v>
      </c>
      <c r="C7639">
        <v>1</v>
      </c>
      <c r="D7639" s="1">
        <v>44194.821666666663</v>
      </c>
      <c r="E7639" t="s">
        <v>23721</v>
      </c>
      <c r="F7639" t="s">
        <v>666</v>
      </c>
      <c r="G7639" t="s">
        <v>23722</v>
      </c>
      <c r="H7639" t="s">
        <v>667</v>
      </c>
      <c r="I7639" t="s">
        <v>29</v>
      </c>
      <c r="J7639">
        <v>1</v>
      </c>
      <c r="K7639">
        <f>1-888-618-264</f>
        <v>-1769</v>
      </c>
      <c r="L7639" t="s">
        <v>23862</v>
      </c>
      <c r="M7639" t="s">
        <v>23863</v>
      </c>
      <c r="N7639" t="s">
        <v>674</v>
      </c>
      <c r="O7639" t="s">
        <v>134</v>
      </c>
      <c r="P7639" t="s">
        <v>29</v>
      </c>
      <c r="Q7639">
        <v>41</v>
      </c>
      <c r="R7639">
        <v>-74.024699999999996</v>
      </c>
    </row>
    <row r="7640" spans="1:18" x14ac:dyDescent="0.2">
      <c r="A7640" t="s">
        <v>663</v>
      </c>
      <c r="B7640" t="s">
        <v>2493</v>
      </c>
      <c r="C7640">
        <v>1</v>
      </c>
      <c r="D7640" s="1">
        <v>44194.821608796294</v>
      </c>
      <c r="E7640" t="s">
        <v>23864</v>
      </c>
      <c r="F7640" t="s">
        <v>666</v>
      </c>
      <c r="G7640" t="s">
        <v>23722</v>
      </c>
      <c r="H7640" t="s">
        <v>667</v>
      </c>
      <c r="I7640" t="s">
        <v>29</v>
      </c>
      <c r="J7640">
        <v>1</v>
      </c>
      <c r="K7640">
        <f>1-888-605-5293</f>
        <v>-6785</v>
      </c>
      <c r="L7640" t="s">
        <v>23865</v>
      </c>
      <c r="M7640" t="s">
        <v>23866</v>
      </c>
      <c r="N7640" t="s">
        <v>3441</v>
      </c>
      <c r="O7640" t="s">
        <v>134</v>
      </c>
      <c r="P7640" t="s">
        <v>29</v>
      </c>
      <c r="Q7640">
        <v>41</v>
      </c>
      <c r="R7640">
        <v>-74.024699999999996</v>
      </c>
    </row>
    <row r="7641" spans="1:18" x14ac:dyDescent="0.2">
      <c r="A7641" t="s">
        <v>663</v>
      </c>
      <c r="B7641" t="s">
        <v>2493</v>
      </c>
      <c r="C7641">
        <v>1</v>
      </c>
      <c r="D7641" s="1">
        <v>44194.821562500001</v>
      </c>
      <c r="E7641" t="s">
        <v>23864</v>
      </c>
      <c r="F7641" t="s">
        <v>666</v>
      </c>
      <c r="G7641" t="s">
        <v>23722</v>
      </c>
      <c r="H7641" t="s">
        <v>667</v>
      </c>
      <c r="I7641" t="s">
        <v>29</v>
      </c>
      <c r="J7641">
        <v>1</v>
      </c>
      <c r="K7641">
        <f>1-888-308-4615</f>
        <v>-5810</v>
      </c>
      <c r="L7641" t="s">
        <v>23867</v>
      </c>
      <c r="M7641" t="s">
        <v>23868</v>
      </c>
      <c r="N7641" t="s">
        <v>3441</v>
      </c>
      <c r="O7641" t="s">
        <v>134</v>
      </c>
      <c r="P7641" t="s">
        <v>29</v>
      </c>
      <c r="Q7641">
        <v>41</v>
      </c>
      <c r="R7641">
        <v>-74.024699999999996</v>
      </c>
    </row>
    <row r="7642" spans="1:18" x14ac:dyDescent="0.2">
      <c r="A7642" t="s">
        <v>663</v>
      </c>
      <c r="B7642" t="s">
        <v>2493</v>
      </c>
      <c r="C7642">
        <v>1</v>
      </c>
      <c r="D7642" s="1">
        <v>44194.821516203701</v>
      </c>
      <c r="E7642" t="s">
        <v>23864</v>
      </c>
      <c r="F7642" t="s">
        <v>666</v>
      </c>
      <c r="G7642" t="s">
        <v>23722</v>
      </c>
      <c r="H7642" t="s">
        <v>667</v>
      </c>
      <c r="I7642" t="s">
        <v>29</v>
      </c>
      <c r="J7642">
        <v>1</v>
      </c>
      <c r="K7642">
        <f>1-833-220-3955</f>
        <v>-5007</v>
      </c>
      <c r="L7642" t="s">
        <v>23869</v>
      </c>
      <c r="M7642" t="s">
        <v>23870</v>
      </c>
      <c r="N7642" t="s">
        <v>3441</v>
      </c>
      <c r="O7642" t="s">
        <v>134</v>
      </c>
      <c r="P7642" t="s">
        <v>29</v>
      </c>
      <c r="Q7642">
        <v>41</v>
      </c>
      <c r="R7642">
        <v>-74.024699999999996</v>
      </c>
    </row>
    <row r="7643" spans="1:18" x14ac:dyDescent="0.2">
      <c r="A7643" t="s">
        <v>663</v>
      </c>
      <c r="B7643" t="s">
        <v>2493</v>
      </c>
      <c r="C7643">
        <v>1</v>
      </c>
      <c r="D7643" s="1">
        <v>44194.821458333332</v>
      </c>
      <c r="E7643" t="s">
        <v>23864</v>
      </c>
      <c r="F7643" t="s">
        <v>666</v>
      </c>
      <c r="G7643" t="s">
        <v>23722</v>
      </c>
      <c r="H7643" t="s">
        <v>667</v>
      </c>
      <c r="I7643" t="s">
        <v>29</v>
      </c>
      <c r="J7643">
        <v>1</v>
      </c>
      <c r="K7643">
        <f>1-888-312-3182</f>
        <v>-4381</v>
      </c>
      <c r="L7643" t="s">
        <v>23871</v>
      </c>
      <c r="M7643" t="s">
        <v>23872</v>
      </c>
      <c r="N7643" t="s">
        <v>3441</v>
      </c>
      <c r="O7643" t="s">
        <v>134</v>
      </c>
      <c r="P7643" t="s">
        <v>29</v>
      </c>
      <c r="Q7643">
        <v>41</v>
      </c>
      <c r="R7643">
        <v>-74.024699999999996</v>
      </c>
    </row>
    <row r="7644" spans="1:18" x14ac:dyDescent="0.2">
      <c r="A7644" t="s">
        <v>663</v>
      </c>
      <c r="B7644" t="s">
        <v>2493</v>
      </c>
      <c r="C7644">
        <v>1</v>
      </c>
      <c r="D7644" s="1">
        <v>44194.821412037039</v>
      </c>
      <c r="E7644" t="s">
        <v>23864</v>
      </c>
      <c r="F7644" t="s">
        <v>666</v>
      </c>
      <c r="G7644" t="s">
        <v>23722</v>
      </c>
      <c r="H7644" t="s">
        <v>667</v>
      </c>
      <c r="I7644" t="s">
        <v>29</v>
      </c>
      <c r="J7644">
        <v>1</v>
      </c>
      <c r="K7644">
        <f>1-888-264-344</f>
        <v>-1495</v>
      </c>
      <c r="L7644" t="s">
        <v>23873</v>
      </c>
      <c r="M7644" t="s">
        <v>23874</v>
      </c>
      <c r="N7644" t="s">
        <v>3441</v>
      </c>
      <c r="O7644" t="s">
        <v>134</v>
      </c>
      <c r="P7644" t="s">
        <v>29</v>
      </c>
      <c r="Q7644">
        <v>41</v>
      </c>
      <c r="R7644">
        <v>-74.024699999999996</v>
      </c>
    </row>
    <row r="7645" spans="1:18" x14ac:dyDescent="0.2">
      <c r="A7645" t="s">
        <v>663</v>
      </c>
      <c r="B7645" t="s">
        <v>2493</v>
      </c>
      <c r="C7645">
        <v>1</v>
      </c>
      <c r="D7645" s="1">
        <v>44194.82136574074</v>
      </c>
      <c r="E7645" t="s">
        <v>23864</v>
      </c>
      <c r="F7645" t="s">
        <v>666</v>
      </c>
      <c r="G7645" t="s">
        <v>23722</v>
      </c>
      <c r="H7645" t="s">
        <v>667</v>
      </c>
      <c r="I7645" t="s">
        <v>29</v>
      </c>
      <c r="J7645">
        <v>1</v>
      </c>
      <c r="K7645">
        <f>1-888-618-264</f>
        <v>-1769</v>
      </c>
      <c r="L7645" t="s">
        <v>23875</v>
      </c>
      <c r="M7645" t="s">
        <v>23876</v>
      </c>
      <c r="N7645" t="s">
        <v>3441</v>
      </c>
      <c r="O7645" t="s">
        <v>134</v>
      </c>
      <c r="P7645" t="s">
        <v>29</v>
      </c>
      <c r="Q7645">
        <v>41</v>
      </c>
      <c r="R7645">
        <v>-74.024699999999996</v>
      </c>
    </row>
    <row r="7646" spans="1:18" x14ac:dyDescent="0.2">
      <c r="A7646" t="s">
        <v>663</v>
      </c>
      <c r="B7646" t="s">
        <v>2493</v>
      </c>
      <c r="C7646">
        <v>1</v>
      </c>
      <c r="D7646" s="1">
        <v>44179.992627314816</v>
      </c>
      <c r="E7646" t="s">
        <v>23877</v>
      </c>
      <c r="F7646" t="s">
        <v>666</v>
      </c>
      <c r="G7646" t="s">
        <v>23722</v>
      </c>
      <c r="H7646" t="s">
        <v>667</v>
      </c>
      <c r="I7646" t="s">
        <v>29</v>
      </c>
      <c r="J7646">
        <v>1</v>
      </c>
      <c r="K7646">
        <f>1-888-591-4894</f>
        <v>-6372</v>
      </c>
      <c r="L7646" t="s">
        <v>23878</v>
      </c>
      <c r="M7646" t="s">
        <v>23879</v>
      </c>
      <c r="N7646" t="s">
        <v>3454</v>
      </c>
      <c r="O7646" t="s">
        <v>134</v>
      </c>
      <c r="P7646" t="s">
        <v>29</v>
      </c>
      <c r="Q7646">
        <v>41</v>
      </c>
      <c r="R7646">
        <v>-74.024699999999996</v>
      </c>
    </row>
    <row r="7647" spans="1:18" x14ac:dyDescent="0.2">
      <c r="A7647" t="s">
        <v>663</v>
      </c>
      <c r="B7647" t="s">
        <v>2493</v>
      </c>
      <c r="C7647">
        <v>1</v>
      </c>
      <c r="D7647" s="1">
        <v>44179.804027777776</v>
      </c>
      <c r="E7647" t="s">
        <v>23880</v>
      </c>
      <c r="F7647" t="s">
        <v>666</v>
      </c>
      <c r="G7647" t="s">
        <v>23722</v>
      </c>
      <c r="H7647" t="s">
        <v>667</v>
      </c>
      <c r="I7647" t="s">
        <v>29</v>
      </c>
      <c r="J7647">
        <v>1</v>
      </c>
      <c r="K7647">
        <f>1-888-663-85</f>
        <v>-1635</v>
      </c>
      <c r="L7647" t="s">
        <v>23881</v>
      </c>
      <c r="M7647" t="s">
        <v>23882</v>
      </c>
      <c r="N7647" t="s">
        <v>3454</v>
      </c>
      <c r="O7647" t="s">
        <v>134</v>
      </c>
      <c r="P7647" t="s">
        <v>29</v>
      </c>
      <c r="Q7647">
        <v>41</v>
      </c>
      <c r="R7647">
        <v>-74.024699999999996</v>
      </c>
    </row>
    <row r="7648" spans="1:18" x14ac:dyDescent="0.2">
      <c r="A7648" t="s">
        <v>663</v>
      </c>
      <c r="B7648" t="s">
        <v>2493</v>
      </c>
      <c r="C7648">
        <v>1</v>
      </c>
      <c r="D7648" s="1">
        <v>44179.803969907407</v>
      </c>
      <c r="E7648" t="s">
        <v>23883</v>
      </c>
      <c r="F7648" t="s">
        <v>666</v>
      </c>
      <c r="G7648" t="s">
        <v>23722</v>
      </c>
      <c r="H7648" t="s">
        <v>667</v>
      </c>
      <c r="I7648" t="s">
        <v>29</v>
      </c>
      <c r="J7648">
        <v>1</v>
      </c>
      <c r="K7648">
        <f>1-888-598-1569</f>
        <v>-3054</v>
      </c>
      <c r="L7648" t="s">
        <v>23884</v>
      </c>
      <c r="M7648" t="s">
        <v>23885</v>
      </c>
      <c r="N7648" t="s">
        <v>674</v>
      </c>
      <c r="O7648" t="s">
        <v>134</v>
      </c>
      <c r="P7648" t="s">
        <v>29</v>
      </c>
      <c r="Q7648">
        <v>41</v>
      </c>
      <c r="R7648">
        <v>-74.024699999999996</v>
      </c>
    </row>
    <row r="7649" spans="1:18" x14ac:dyDescent="0.2">
      <c r="A7649" t="s">
        <v>663</v>
      </c>
      <c r="B7649" t="s">
        <v>2493</v>
      </c>
      <c r="C7649">
        <v>1</v>
      </c>
      <c r="D7649" s="1">
        <v>44179.803923611114</v>
      </c>
      <c r="E7649" t="s">
        <v>23886</v>
      </c>
      <c r="F7649" t="s">
        <v>666</v>
      </c>
      <c r="G7649" t="s">
        <v>23722</v>
      </c>
      <c r="H7649" t="s">
        <v>667</v>
      </c>
      <c r="I7649" t="s">
        <v>29</v>
      </c>
      <c r="J7649">
        <v>1</v>
      </c>
      <c r="K7649">
        <f>1-888-268-1673</f>
        <v>-2828</v>
      </c>
      <c r="L7649" t="s">
        <v>23887</v>
      </c>
      <c r="M7649" t="s">
        <v>23888</v>
      </c>
      <c r="N7649" t="s">
        <v>447</v>
      </c>
      <c r="O7649" t="s">
        <v>134</v>
      </c>
      <c r="P7649" t="s">
        <v>29</v>
      </c>
      <c r="Q7649">
        <v>41</v>
      </c>
      <c r="R7649">
        <v>-74.024699999999996</v>
      </c>
    </row>
    <row r="7650" spans="1:18" x14ac:dyDescent="0.2">
      <c r="A7650" t="s">
        <v>663</v>
      </c>
      <c r="B7650" t="s">
        <v>2493</v>
      </c>
      <c r="C7650">
        <v>1</v>
      </c>
      <c r="D7650" s="1">
        <v>44179.802384259259</v>
      </c>
      <c r="E7650" t="s">
        <v>23889</v>
      </c>
      <c r="F7650" t="s">
        <v>666</v>
      </c>
      <c r="G7650" t="s">
        <v>23722</v>
      </c>
      <c r="H7650" t="s">
        <v>667</v>
      </c>
      <c r="I7650" t="s">
        <v>29</v>
      </c>
      <c r="J7650">
        <v>1</v>
      </c>
      <c r="K7650">
        <f>1-844-250-1627</f>
        <v>-2720</v>
      </c>
      <c r="L7650" t="s">
        <v>23890</v>
      </c>
      <c r="M7650" t="s">
        <v>23891</v>
      </c>
      <c r="N7650" t="s">
        <v>3441</v>
      </c>
      <c r="O7650" t="s">
        <v>134</v>
      </c>
      <c r="P7650" t="s">
        <v>29</v>
      </c>
      <c r="Q7650">
        <v>41</v>
      </c>
      <c r="R7650">
        <v>-74.024699999999996</v>
      </c>
    </row>
    <row r="7651" spans="1:18" x14ac:dyDescent="0.2">
      <c r="A7651" t="s">
        <v>663</v>
      </c>
      <c r="B7651" t="s">
        <v>2493</v>
      </c>
      <c r="C7651">
        <v>1</v>
      </c>
      <c r="D7651" s="1">
        <v>44179.795266203706</v>
      </c>
      <c r="E7651" t="s">
        <v>23892</v>
      </c>
      <c r="F7651" t="s">
        <v>666</v>
      </c>
      <c r="G7651" t="s">
        <v>23722</v>
      </c>
      <c r="H7651" t="s">
        <v>667</v>
      </c>
      <c r="I7651" t="s">
        <v>29</v>
      </c>
      <c r="J7651">
        <v>1</v>
      </c>
      <c r="K7651">
        <f>1-888-307-4042</f>
        <v>-5236</v>
      </c>
      <c r="L7651" t="s">
        <v>23893</v>
      </c>
      <c r="M7651" t="s">
        <v>23894</v>
      </c>
      <c r="N7651" t="s">
        <v>674</v>
      </c>
      <c r="O7651" t="s">
        <v>134</v>
      </c>
      <c r="P7651" t="s">
        <v>29</v>
      </c>
      <c r="Q7651">
        <v>41</v>
      </c>
      <c r="R7651">
        <v>-74.024699999999996</v>
      </c>
    </row>
    <row r="7652" spans="1:18" x14ac:dyDescent="0.2">
      <c r="A7652" t="s">
        <v>663</v>
      </c>
      <c r="B7652" t="s">
        <v>2493</v>
      </c>
      <c r="C7652">
        <v>1</v>
      </c>
      <c r="D7652" s="1">
        <v>44179.750104166669</v>
      </c>
      <c r="E7652" t="s">
        <v>23895</v>
      </c>
      <c r="F7652" t="s">
        <v>666</v>
      </c>
      <c r="G7652" t="s">
        <v>23722</v>
      </c>
      <c r="H7652" t="s">
        <v>667</v>
      </c>
      <c r="I7652" t="s">
        <v>29</v>
      </c>
      <c r="J7652">
        <v>1</v>
      </c>
      <c r="K7652">
        <f>1-888-599-379</f>
        <v>-1865</v>
      </c>
      <c r="L7652" t="s">
        <v>23896</v>
      </c>
      <c r="M7652" t="s">
        <v>23897</v>
      </c>
      <c r="N7652" t="s">
        <v>447</v>
      </c>
      <c r="O7652" t="s">
        <v>134</v>
      </c>
      <c r="P7652" t="s">
        <v>29</v>
      </c>
      <c r="Q7652">
        <v>41</v>
      </c>
      <c r="R7652">
        <v>-74.024699999999996</v>
      </c>
    </row>
    <row r="7653" spans="1:18" x14ac:dyDescent="0.2">
      <c r="A7653" t="s">
        <v>663</v>
      </c>
      <c r="B7653" t="s">
        <v>2493</v>
      </c>
      <c r="C7653">
        <v>1</v>
      </c>
      <c r="D7653" s="1">
        <v>44179.747164351851</v>
      </c>
      <c r="E7653" t="s">
        <v>23898</v>
      </c>
      <c r="F7653" t="s">
        <v>666</v>
      </c>
      <c r="G7653" t="s">
        <v>23722</v>
      </c>
      <c r="H7653" t="s">
        <v>667</v>
      </c>
      <c r="I7653" t="s">
        <v>29</v>
      </c>
      <c r="J7653">
        <v>1</v>
      </c>
      <c r="K7653">
        <f>1-800-471-4804</f>
        <v>-6074</v>
      </c>
      <c r="L7653" t="s">
        <v>23899</v>
      </c>
      <c r="M7653" t="s">
        <v>23900</v>
      </c>
      <c r="N7653" t="s">
        <v>3441</v>
      </c>
      <c r="O7653" t="s">
        <v>134</v>
      </c>
      <c r="P7653" t="s">
        <v>29</v>
      </c>
      <c r="Q7653">
        <v>41</v>
      </c>
      <c r="R7653">
        <v>-74.024699999999996</v>
      </c>
    </row>
    <row r="7654" spans="1:18" x14ac:dyDescent="0.2">
      <c r="A7654" t="s">
        <v>663</v>
      </c>
      <c r="B7654" t="s">
        <v>2493</v>
      </c>
      <c r="C7654">
        <v>1</v>
      </c>
      <c r="D7654" s="1">
        <v>44179.747118055559</v>
      </c>
      <c r="E7654" t="s">
        <v>23901</v>
      </c>
      <c r="F7654" t="s">
        <v>666</v>
      </c>
      <c r="G7654" t="s">
        <v>23722</v>
      </c>
      <c r="H7654" t="s">
        <v>667</v>
      </c>
      <c r="I7654" t="s">
        <v>29</v>
      </c>
      <c r="J7654">
        <v>1</v>
      </c>
      <c r="K7654">
        <f>1-888-531-9706</f>
        <v>-11124</v>
      </c>
      <c r="L7654" t="s">
        <v>23902</v>
      </c>
      <c r="M7654" t="s">
        <v>23903</v>
      </c>
      <c r="N7654" t="s">
        <v>213</v>
      </c>
      <c r="O7654" t="s">
        <v>134</v>
      </c>
      <c r="P7654" t="s">
        <v>29</v>
      </c>
      <c r="Q7654">
        <v>41</v>
      </c>
      <c r="R7654">
        <v>-74.024699999999996</v>
      </c>
    </row>
    <row r="7655" spans="1:18" x14ac:dyDescent="0.2">
      <c r="A7655" t="s">
        <v>663</v>
      </c>
      <c r="B7655" t="s">
        <v>2493</v>
      </c>
      <c r="C7655">
        <v>1</v>
      </c>
      <c r="D7655" s="1">
        <v>44179.746990740743</v>
      </c>
      <c r="E7655" t="s">
        <v>23904</v>
      </c>
      <c r="F7655" t="s">
        <v>666</v>
      </c>
      <c r="G7655" t="s">
        <v>23722</v>
      </c>
      <c r="H7655" t="s">
        <v>667</v>
      </c>
      <c r="I7655" t="s">
        <v>29</v>
      </c>
      <c r="J7655">
        <v>1</v>
      </c>
      <c r="K7655">
        <f>1-844-243-2130</f>
        <v>-3216</v>
      </c>
      <c r="L7655" t="s">
        <v>23905</v>
      </c>
      <c r="M7655" t="s">
        <v>23906</v>
      </c>
      <c r="N7655" t="s">
        <v>213</v>
      </c>
      <c r="O7655" t="s">
        <v>134</v>
      </c>
      <c r="P7655" t="s">
        <v>29</v>
      </c>
      <c r="Q7655">
        <v>41</v>
      </c>
      <c r="R7655">
        <v>-74.024699999999996</v>
      </c>
    </row>
    <row r="7656" spans="1:18" x14ac:dyDescent="0.2">
      <c r="A7656" t="s">
        <v>663</v>
      </c>
      <c r="B7656" t="s">
        <v>2493</v>
      </c>
      <c r="C7656">
        <v>1</v>
      </c>
      <c r="D7656" s="1">
        <v>44179.744826388887</v>
      </c>
      <c r="E7656" t="s">
        <v>23907</v>
      </c>
      <c r="F7656" t="s">
        <v>666</v>
      </c>
      <c r="G7656" t="s">
        <v>23722</v>
      </c>
      <c r="H7656" t="s">
        <v>667</v>
      </c>
      <c r="I7656" t="s">
        <v>29</v>
      </c>
      <c r="J7656">
        <v>1</v>
      </c>
      <c r="K7656">
        <f>1-888-599-379</f>
        <v>-1865</v>
      </c>
      <c r="L7656" t="s">
        <v>23908</v>
      </c>
      <c r="M7656" t="s">
        <v>23909</v>
      </c>
      <c r="N7656" t="s">
        <v>3441</v>
      </c>
      <c r="O7656" t="s">
        <v>134</v>
      </c>
      <c r="P7656" t="s">
        <v>29</v>
      </c>
      <c r="Q7656">
        <v>41</v>
      </c>
      <c r="R7656">
        <v>-74.024699999999996</v>
      </c>
    </row>
    <row r="7657" spans="1:18" x14ac:dyDescent="0.2">
      <c r="A7657" t="s">
        <v>663</v>
      </c>
      <c r="B7657" t="s">
        <v>2493</v>
      </c>
      <c r="C7657">
        <v>1</v>
      </c>
      <c r="D7657" s="1">
        <v>44172.797384259262</v>
      </c>
      <c r="E7657" t="s">
        <v>23910</v>
      </c>
      <c r="F7657" t="s">
        <v>666</v>
      </c>
      <c r="G7657" t="s">
        <v>23722</v>
      </c>
      <c r="H7657" t="s">
        <v>667</v>
      </c>
      <c r="I7657" t="s">
        <v>29</v>
      </c>
      <c r="J7657">
        <v>1</v>
      </c>
      <c r="K7657">
        <f>1-888-531-9706</f>
        <v>-11124</v>
      </c>
      <c r="L7657" t="s">
        <v>23911</v>
      </c>
      <c r="M7657" t="s">
        <v>23912</v>
      </c>
      <c r="N7657" t="s">
        <v>447</v>
      </c>
      <c r="O7657" t="s">
        <v>134</v>
      </c>
      <c r="P7657" t="s">
        <v>29</v>
      </c>
      <c r="Q7657">
        <v>41</v>
      </c>
      <c r="R7657">
        <v>-74.024699999999996</v>
      </c>
    </row>
    <row r="7658" spans="1:18" x14ac:dyDescent="0.2">
      <c r="A7658" t="s">
        <v>663</v>
      </c>
      <c r="B7658" t="s">
        <v>2493</v>
      </c>
      <c r="C7658">
        <v>1</v>
      </c>
      <c r="D7658" s="1">
        <v>44172.797337962962</v>
      </c>
      <c r="E7658" t="s">
        <v>23910</v>
      </c>
      <c r="F7658" t="s">
        <v>666</v>
      </c>
      <c r="G7658" t="s">
        <v>23722</v>
      </c>
      <c r="H7658" t="s">
        <v>667</v>
      </c>
      <c r="I7658" t="s">
        <v>29</v>
      </c>
      <c r="J7658">
        <v>1</v>
      </c>
      <c r="K7658">
        <f>1-844-273-9495</f>
        <v>-10611</v>
      </c>
      <c r="L7658" t="s">
        <v>23913</v>
      </c>
      <c r="M7658" t="s">
        <v>23914</v>
      </c>
      <c r="N7658" t="s">
        <v>447</v>
      </c>
      <c r="O7658" t="s">
        <v>134</v>
      </c>
      <c r="P7658" t="s">
        <v>29</v>
      </c>
      <c r="Q7658">
        <v>41</v>
      </c>
      <c r="R7658">
        <v>-74.024699999999996</v>
      </c>
    </row>
    <row r="7659" spans="1:18" x14ac:dyDescent="0.2">
      <c r="A7659" t="s">
        <v>663</v>
      </c>
      <c r="B7659" t="s">
        <v>2493</v>
      </c>
      <c r="C7659">
        <v>1</v>
      </c>
      <c r="D7659" s="1">
        <v>44172.797291666669</v>
      </c>
      <c r="E7659" t="s">
        <v>23910</v>
      </c>
      <c r="F7659" t="s">
        <v>666</v>
      </c>
      <c r="G7659" t="s">
        <v>23722</v>
      </c>
      <c r="H7659" t="s">
        <v>667</v>
      </c>
      <c r="I7659" t="s">
        <v>29</v>
      </c>
      <c r="J7659">
        <v>1</v>
      </c>
      <c r="K7659">
        <f>1-888-591-4894</f>
        <v>-6372</v>
      </c>
      <c r="L7659" t="s">
        <v>23915</v>
      </c>
      <c r="M7659" t="s">
        <v>23916</v>
      </c>
      <c r="N7659" t="s">
        <v>447</v>
      </c>
      <c r="O7659" t="s">
        <v>134</v>
      </c>
      <c r="P7659" t="s">
        <v>29</v>
      </c>
      <c r="Q7659">
        <v>41</v>
      </c>
      <c r="R7659">
        <v>-74.024699999999996</v>
      </c>
    </row>
    <row r="7660" spans="1:18" x14ac:dyDescent="0.2">
      <c r="A7660" t="s">
        <v>663</v>
      </c>
      <c r="B7660" t="s">
        <v>2493</v>
      </c>
      <c r="C7660">
        <v>1</v>
      </c>
      <c r="D7660" s="1">
        <v>44172.79724537037</v>
      </c>
      <c r="E7660" t="s">
        <v>23910</v>
      </c>
      <c r="F7660" t="s">
        <v>666</v>
      </c>
      <c r="G7660" t="s">
        <v>23722</v>
      </c>
      <c r="H7660" t="s">
        <v>667</v>
      </c>
      <c r="I7660" t="s">
        <v>29</v>
      </c>
      <c r="J7660">
        <v>1</v>
      </c>
      <c r="K7660">
        <f>1-888-319-4881</f>
        <v>-6087</v>
      </c>
      <c r="L7660" t="s">
        <v>23917</v>
      </c>
      <c r="M7660" t="s">
        <v>23918</v>
      </c>
      <c r="N7660" t="s">
        <v>447</v>
      </c>
      <c r="O7660" t="s">
        <v>134</v>
      </c>
      <c r="P7660" t="s">
        <v>29</v>
      </c>
      <c r="Q7660">
        <v>41</v>
      </c>
      <c r="R7660">
        <v>-74.024699999999996</v>
      </c>
    </row>
    <row r="7661" spans="1:18" x14ac:dyDescent="0.2">
      <c r="A7661" t="s">
        <v>663</v>
      </c>
      <c r="B7661" t="s">
        <v>2493</v>
      </c>
      <c r="C7661">
        <v>1</v>
      </c>
      <c r="D7661" s="1">
        <v>44172.797199074077</v>
      </c>
      <c r="E7661" t="s">
        <v>23910</v>
      </c>
      <c r="F7661" t="s">
        <v>666</v>
      </c>
      <c r="G7661" t="s">
        <v>23722</v>
      </c>
      <c r="H7661" t="s">
        <v>667</v>
      </c>
      <c r="I7661" t="s">
        <v>29</v>
      </c>
      <c r="J7661">
        <v>1</v>
      </c>
      <c r="K7661">
        <f>1-800-471-4804</f>
        <v>-6074</v>
      </c>
      <c r="L7661" t="s">
        <v>23919</v>
      </c>
      <c r="M7661" t="s">
        <v>23920</v>
      </c>
      <c r="N7661" t="s">
        <v>447</v>
      </c>
      <c r="O7661" t="s">
        <v>134</v>
      </c>
      <c r="P7661" t="s">
        <v>29</v>
      </c>
      <c r="Q7661">
        <v>41</v>
      </c>
      <c r="R7661">
        <v>-74.024699999999996</v>
      </c>
    </row>
    <row r="7662" spans="1:18" x14ac:dyDescent="0.2">
      <c r="A7662" t="s">
        <v>663</v>
      </c>
      <c r="B7662" t="s">
        <v>2493</v>
      </c>
      <c r="C7662">
        <v>1</v>
      </c>
      <c r="D7662" s="1">
        <v>44172.797152777777</v>
      </c>
      <c r="E7662" t="s">
        <v>23910</v>
      </c>
      <c r="F7662" t="s">
        <v>666</v>
      </c>
      <c r="G7662" t="s">
        <v>23722</v>
      </c>
      <c r="H7662" t="s">
        <v>667</v>
      </c>
      <c r="I7662" t="s">
        <v>29</v>
      </c>
      <c r="J7662">
        <v>1</v>
      </c>
      <c r="K7662">
        <f>1-888-268-1673</f>
        <v>-2828</v>
      </c>
      <c r="L7662" t="s">
        <v>23921</v>
      </c>
      <c r="M7662" t="s">
        <v>23922</v>
      </c>
      <c r="N7662" t="s">
        <v>447</v>
      </c>
      <c r="O7662" t="s">
        <v>134</v>
      </c>
      <c r="P7662" t="s">
        <v>29</v>
      </c>
      <c r="Q7662">
        <v>41</v>
      </c>
      <c r="R7662">
        <v>-74.024699999999996</v>
      </c>
    </row>
    <row r="7663" spans="1:18" x14ac:dyDescent="0.2">
      <c r="A7663" t="s">
        <v>663</v>
      </c>
      <c r="B7663" t="s">
        <v>2493</v>
      </c>
      <c r="C7663">
        <v>1</v>
      </c>
      <c r="D7663" s="1">
        <v>44172.797106481485</v>
      </c>
      <c r="E7663" t="s">
        <v>23910</v>
      </c>
      <c r="F7663" t="s">
        <v>666</v>
      </c>
      <c r="G7663" t="s">
        <v>23722</v>
      </c>
      <c r="H7663" t="s">
        <v>667</v>
      </c>
      <c r="I7663" t="s">
        <v>29</v>
      </c>
      <c r="J7663">
        <v>1</v>
      </c>
      <c r="K7663">
        <f>1-888-655-2592</f>
        <v>-4134</v>
      </c>
      <c r="L7663" t="s">
        <v>23923</v>
      </c>
      <c r="M7663" t="s">
        <v>23924</v>
      </c>
      <c r="N7663" t="s">
        <v>447</v>
      </c>
      <c r="O7663" t="s">
        <v>134</v>
      </c>
      <c r="P7663" t="s">
        <v>29</v>
      </c>
      <c r="Q7663">
        <v>41</v>
      </c>
      <c r="R7663">
        <v>-74.024699999999996</v>
      </c>
    </row>
    <row r="7664" spans="1:18" x14ac:dyDescent="0.2">
      <c r="A7664" t="s">
        <v>663</v>
      </c>
      <c r="B7664" t="s">
        <v>2493</v>
      </c>
      <c r="C7664">
        <v>1</v>
      </c>
      <c r="D7664" s="1">
        <v>44172.797060185185</v>
      </c>
      <c r="E7664" t="s">
        <v>23910</v>
      </c>
      <c r="F7664" t="s">
        <v>666</v>
      </c>
      <c r="G7664" t="s">
        <v>23722</v>
      </c>
      <c r="H7664" t="s">
        <v>667</v>
      </c>
      <c r="I7664" t="s">
        <v>29</v>
      </c>
      <c r="J7664">
        <v>1</v>
      </c>
      <c r="K7664">
        <f>1-888-598-1569</f>
        <v>-3054</v>
      </c>
      <c r="L7664" t="s">
        <v>23925</v>
      </c>
      <c r="M7664" t="s">
        <v>23926</v>
      </c>
      <c r="N7664" t="s">
        <v>447</v>
      </c>
      <c r="O7664" t="s">
        <v>134</v>
      </c>
      <c r="P7664" t="s">
        <v>29</v>
      </c>
      <c r="Q7664">
        <v>41</v>
      </c>
      <c r="R7664">
        <v>-74.024699999999996</v>
      </c>
    </row>
    <row r="7665" spans="1:18" x14ac:dyDescent="0.2">
      <c r="A7665" t="s">
        <v>663</v>
      </c>
      <c r="B7665" t="s">
        <v>2493</v>
      </c>
      <c r="C7665">
        <v>1</v>
      </c>
      <c r="D7665" s="1">
        <v>44172.797013888892</v>
      </c>
      <c r="E7665" t="s">
        <v>23910</v>
      </c>
      <c r="F7665" t="s">
        <v>666</v>
      </c>
      <c r="G7665" t="s">
        <v>23722</v>
      </c>
      <c r="H7665" t="s">
        <v>667</v>
      </c>
      <c r="I7665" t="s">
        <v>29</v>
      </c>
      <c r="J7665">
        <v>1</v>
      </c>
      <c r="K7665">
        <f>1-888-706-1246</f>
        <v>-2839</v>
      </c>
      <c r="L7665" t="s">
        <v>23927</v>
      </c>
      <c r="M7665" t="s">
        <v>23928</v>
      </c>
      <c r="N7665" t="s">
        <v>447</v>
      </c>
      <c r="O7665" t="s">
        <v>134</v>
      </c>
      <c r="P7665" t="s">
        <v>29</v>
      </c>
      <c r="Q7665">
        <v>41</v>
      </c>
      <c r="R7665">
        <v>-74.024699999999996</v>
      </c>
    </row>
    <row r="7666" spans="1:18" x14ac:dyDescent="0.2">
      <c r="A7666" t="s">
        <v>663</v>
      </c>
      <c r="B7666" t="s">
        <v>2493</v>
      </c>
      <c r="C7666">
        <v>1</v>
      </c>
      <c r="D7666" s="1">
        <v>44172.796967592592</v>
      </c>
      <c r="E7666" t="s">
        <v>23910</v>
      </c>
      <c r="F7666" t="s">
        <v>666</v>
      </c>
      <c r="G7666" t="s">
        <v>23722</v>
      </c>
      <c r="H7666" t="s">
        <v>667</v>
      </c>
      <c r="I7666" t="s">
        <v>29</v>
      </c>
      <c r="J7666">
        <v>1</v>
      </c>
      <c r="K7666">
        <f>1-888-663-85</f>
        <v>-1635</v>
      </c>
      <c r="L7666" t="s">
        <v>23929</v>
      </c>
      <c r="M7666" t="s">
        <v>23930</v>
      </c>
      <c r="N7666" t="s">
        <v>447</v>
      </c>
      <c r="O7666" t="s">
        <v>134</v>
      </c>
      <c r="P7666" t="s">
        <v>29</v>
      </c>
      <c r="Q7666">
        <v>41</v>
      </c>
      <c r="R7666">
        <v>-74.024699999999996</v>
      </c>
    </row>
    <row r="7667" spans="1:18" x14ac:dyDescent="0.2">
      <c r="A7667" t="s">
        <v>663</v>
      </c>
      <c r="B7667" t="s">
        <v>2493</v>
      </c>
      <c r="C7667">
        <v>1</v>
      </c>
      <c r="D7667" s="1">
        <v>44172.795520833337</v>
      </c>
      <c r="E7667" t="s">
        <v>23910</v>
      </c>
      <c r="F7667" t="s">
        <v>666</v>
      </c>
      <c r="G7667" t="s">
        <v>23722</v>
      </c>
      <c r="H7667" t="s">
        <v>667</v>
      </c>
      <c r="I7667" t="s">
        <v>29</v>
      </c>
      <c r="J7667">
        <v>1</v>
      </c>
      <c r="K7667">
        <f>1-844-303-5401</f>
        <v>-6547</v>
      </c>
      <c r="L7667" t="s">
        <v>23931</v>
      </c>
      <c r="M7667" t="s">
        <v>23932</v>
      </c>
      <c r="N7667" t="s">
        <v>447</v>
      </c>
      <c r="O7667" t="s">
        <v>134</v>
      </c>
      <c r="P7667" t="s">
        <v>29</v>
      </c>
      <c r="Q7667">
        <v>41</v>
      </c>
      <c r="R7667">
        <v>-74.024699999999996</v>
      </c>
    </row>
    <row r="7668" spans="1:18" x14ac:dyDescent="0.2">
      <c r="A7668" t="s">
        <v>663</v>
      </c>
      <c r="B7668" t="s">
        <v>2493</v>
      </c>
      <c r="C7668">
        <v>1</v>
      </c>
      <c r="D7668" s="1">
        <v>44172.691736111112</v>
      </c>
      <c r="E7668" t="s">
        <v>23910</v>
      </c>
      <c r="F7668" t="s">
        <v>666</v>
      </c>
      <c r="G7668" t="s">
        <v>23722</v>
      </c>
      <c r="H7668" t="s">
        <v>667</v>
      </c>
      <c r="I7668" t="s">
        <v>29</v>
      </c>
      <c r="J7668">
        <v>1</v>
      </c>
      <c r="K7668">
        <f>1-888-206-6855</f>
        <v>-7948</v>
      </c>
      <c r="L7668" t="s">
        <v>23933</v>
      </c>
      <c r="M7668" t="s">
        <v>23934</v>
      </c>
      <c r="N7668" t="s">
        <v>447</v>
      </c>
      <c r="O7668" t="s">
        <v>134</v>
      </c>
      <c r="P7668" t="s">
        <v>29</v>
      </c>
      <c r="Q7668">
        <v>41</v>
      </c>
      <c r="R7668">
        <v>-74.024699999999996</v>
      </c>
    </row>
    <row r="7669" spans="1:18" x14ac:dyDescent="0.2">
      <c r="A7669" t="s">
        <v>439</v>
      </c>
      <c r="B7669" t="s">
        <v>4321</v>
      </c>
      <c r="C7669">
        <v>1</v>
      </c>
      <c r="D7669" s="1">
        <v>44172.772847222222</v>
      </c>
      <c r="E7669" t="s">
        <v>23935</v>
      </c>
      <c r="F7669" t="s">
        <v>442</v>
      </c>
      <c r="G7669" t="s">
        <v>23936</v>
      </c>
      <c r="H7669" t="s">
        <v>444</v>
      </c>
      <c r="I7669" t="s">
        <v>29</v>
      </c>
      <c r="J7669">
        <v>1</v>
      </c>
      <c r="K7669">
        <f>1-844-207-9674</f>
        <v>-10724</v>
      </c>
      <c r="L7669" t="s">
        <v>23937</v>
      </c>
      <c r="M7669" t="s">
        <v>23938</v>
      </c>
      <c r="N7669" t="s">
        <v>674</v>
      </c>
      <c r="O7669" t="s">
        <v>134</v>
      </c>
      <c r="P7669" t="s">
        <v>29</v>
      </c>
      <c r="Q7669">
        <v>42</v>
      </c>
      <c r="R7669">
        <v>-87.629800000000003</v>
      </c>
    </row>
    <row r="7670" spans="1:18" x14ac:dyDescent="0.2">
      <c r="A7670" t="s">
        <v>439</v>
      </c>
      <c r="B7670" t="s">
        <v>4321</v>
      </c>
      <c r="C7670">
        <v>1</v>
      </c>
      <c r="D7670" s="1">
        <v>44172.772939814815</v>
      </c>
      <c r="E7670" t="s">
        <v>23939</v>
      </c>
      <c r="F7670" t="s">
        <v>442</v>
      </c>
      <c r="G7670" t="s">
        <v>23940</v>
      </c>
      <c r="H7670" t="s">
        <v>444</v>
      </c>
      <c r="I7670" t="s">
        <v>29</v>
      </c>
      <c r="J7670">
        <v>1</v>
      </c>
      <c r="K7670">
        <f>1-888-383-7830</f>
        <v>-9100</v>
      </c>
      <c r="L7670" t="s">
        <v>23941</v>
      </c>
      <c r="M7670" t="s">
        <v>23942</v>
      </c>
      <c r="N7670" t="s">
        <v>452</v>
      </c>
      <c r="O7670" t="s">
        <v>134</v>
      </c>
      <c r="P7670" t="s">
        <v>29</v>
      </c>
      <c r="Q7670">
        <v>42</v>
      </c>
      <c r="R7670">
        <v>-87.629800000000003</v>
      </c>
    </row>
    <row r="7671" spans="1:18" x14ac:dyDescent="0.2">
      <c r="A7671" t="s">
        <v>663</v>
      </c>
      <c r="B7671" t="s">
        <v>2493</v>
      </c>
      <c r="C7671">
        <v>1</v>
      </c>
      <c r="D7671" s="1">
        <v>44172.773599537039</v>
      </c>
      <c r="E7671" t="s">
        <v>23943</v>
      </c>
      <c r="F7671" t="s">
        <v>666</v>
      </c>
      <c r="G7671" t="s">
        <v>23943</v>
      </c>
      <c r="H7671" t="s">
        <v>667</v>
      </c>
      <c r="I7671" t="s">
        <v>29</v>
      </c>
      <c r="J7671">
        <v>1</v>
      </c>
      <c r="K7671">
        <f>1-888-602-7662</f>
        <v>-9151</v>
      </c>
      <c r="L7671" t="s">
        <v>23944</v>
      </c>
      <c r="M7671" t="s">
        <v>23945</v>
      </c>
      <c r="N7671">
        <v>106</v>
      </c>
      <c r="O7671" t="s">
        <v>134</v>
      </c>
      <c r="P7671" t="s">
        <v>29</v>
      </c>
      <c r="Q7671">
        <v>41</v>
      </c>
      <c r="R7671">
        <v>-74.024699999999996</v>
      </c>
    </row>
    <row r="7672" spans="1:18" x14ac:dyDescent="0.2">
      <c r="A7672" t="s">
        <v>439</v>
      </c>
      <c r="B7672" t="s">
        <v>4321</v>
      </c>
      <c r="C7672">
        <v>1</v>
      </c>
      <c r="D7672" s="1">
        <v>44172.784085648149</v>
      </c>
      <c r="E7672" t="s">
        <v>23946</v>
      </c>
      <c r="F7672" t="s">
        <v>442</v>
      </c>
      <c r="G7672" t="s">
        <v>23947</v>
      </c>
      <c r="H7672" t="s">
        <v>444</v>
      </c>
      <c r="I7672" t="s">
        <v>29</v>
      </c>
      <c r="J7672">
        <v>1</v>
      </c>
      <c r="K7672">
        <f>1-888-383-7830</f>
        <v>-9100</v>
      </c>
      <c r="L7672" t="s">
        <v>23948</v>
      </c>
      <c r="M7672" t="s">
        <v>23949</v>
      </c>
      <c r="N7672" t="s">
        <v>452</v>
      </c>
      <c r="O7672" t="s">
        <v>28</v>
      </c>
      <c r="P7672" t="s">
        <v>29</v>
      </c>
      <c r="Q7672">
        <v>42</v>
      </c>
      <c r="R7672">
        <v>-87.629800000000003</v>
      </c>
    </row>
    <row r="7673" spans="1:18" x14ac:dyDescent="0.2">
      <c r="A7673" t="s">
        <v>663</v>
      </c>
      <c r="B7673" t="s">
        <v>2493</v>
      </c>
      <c r="C7673">
        <v>1</v>
      </c>
      <c r="D7673" s="1">
        <v>44172.806076388886</v>
      </c>
      <c r="E7673" t="s">
        <v>23950</v>
      </c>
      <c r="F7673" t="s">
        <v>666</v>
      </c>
      <c r="G7673" t="s">
        <v>23950</v>
      </c>
      <c r="H7673" t="s">
        <v>667</v>
      </c>
      <c r="I7673" t="s">
        <v>29</v>
      </c>
      <c r="J7673">
        <v>1</v>
      </c>
      <c r="K7673">
        <f>1-888-210-1763</f>
        <v>-2860</v>
      </c>
      <c r="L7673" t="s">
        <v>23951</v>
      </c>
      <c r="M7673" t="s">
        <v>23952</v>
      </c>
      <c r="N7673">
        <v>67</v>
      </c>
      <c r="O7673" t="s">
        <v>134</v>
      </c>
      <c r="P7673" t="s">
        <v>29</v>
      </c>
      <c r="Q7673">
        <v>41</v>
      </c>
      <c r="R7673">
        <v>-74.024699999999996</v>
      </c>
    </row>
    <row r="7674" spans="1:18" x14ac:dyDescent="0.2">
      <c r="A7674" t="s">
        <v>663</v>
      </c>
      <c r="B7674" t="s">
        <v>2493</v>
      </c>
      <c r="C7674">
        <v>1</v>
      </c>
      <c r="D7674" s="1">
        <v>44172.80060185185</v>
      </c>
      <c r="E7674" t="s">
        <v>23950</v>
      </c>
      <c r="F7674" t="s">
        <v>666</v>
      </c>
      <c r="G7674" t="s">
        <v>23950</v>
      </c>
      <c r="H7674" t="s">
        <v>667</v>
      </c>
      <c r="I7674" t="s">
        <v>29</v>
      </c>
      <c r="J7674">
        <v>1</v>
      </c>
      <c r="K7674">
        <f>1-888-227-6524</f>
        <v>-7638</v>
      </c>
      <c r="L7674" t="s">
        <v>23953</v>
      </c>
      <c r="M7674" t="s">
        <v>23954</v>
      </c>
      <c r="N7674">
        <v>67</v>
      </c>
      <c r="O7674" t="s">
        <v>134</v>
      </c>
      <c r="P7674" t="s">
        <v>29</v>
      </c>
      <c r="Q7674">
        <v>41</v>
      </c>
      <c r="R7674">
        <v>-74.024699999999996</v>
      </c>
    </row>
    <row r="7675" spans="1:18" x14ac:dyDescent="0.2">
      <c r="A7675" t="s">
        <v>439</v>
      </c>
      <c r="B7675" t="s">
        <v>4321</v>
      </c>
      <c r="C7675">
        <v>1</v>
      </c>
      <c r="D7675" s="1">
        <v>44172.811712962961</v>
      </c>
      <c r="E7675" t="s">
        <v>23946</v>
      </c>
      <c r="F7675" t="s">
        <v>442</v>
      </c>
      <c r="G7675" t="s">
        <v>23955</v>
      </c>
      <c r="H7675" t="s">
        <v>444</v>
      </c>
      <c r="I7675" t="s">
        <v>29</v>
      </c>
      <c r="J7675">
        <v>1</v>
      </c>
      <c r="K7675">
        <f>1-888-381-8315</f>
        <v>-9583</v>
      </c>
      <c r="L7675" t="s">
        <v>23956</v>
      </c>
      <c r="M7675" t="s">
        <v>23957</v>
      </c>
      <c r="N7675" t="s">
        <v>452</v>
      </c>
      <c r="O7675" t="s">
        <v>28</v>
      </c>
      <c r="P7675" t="s">
        <v>29</v>
      </c>
      <c r="Q7675">
        <v>42</v>
      </c>
      <c r="R7675">
        <v>-87.629800000000003</v>
      </c>
    </row>
    <row r="7676" spans="1:18" x14ac:dyDescent="0.2">
      <c r="A7676" t="s">
        <v>270</v>
      </c>
      <c r="B7676" t="s">
        <v>1638</v>
      </c>
      <c r="C7676">
        <v>1</v>
      </c>
      <c r="D7676" s="1">
        <v>44277.918252314812</v>
      </c>
      <c r="E7676" t="s">
        <v>23958</v>
      </c>
      <c r="F7676" t="s">
        <v>273</v>
      </c>
      <c r="G7676" t="s">
        <v>23959</v>
      </c>
      <c r="H7676" t="s">
        <v>275</v>
      </c>
      <c r="I7676" t="s">
        <v>29</v>
      </c>
      <c r="J7676">
        <v>1</v>
      </c>
      <c r="K7676">
        <f>1-844-339-7964</f>
        <v>-9146</v>
      </c>
      <c r="L7676" t="s">
        <v>23960</v>
      </c>
      <c r="M7676" t="s">
        <v>23961</v>
      </c>
      <c r="N7676" t="s">
        <v>278</v>
      </c>
      <c r="O7676" t="s">
        <v>28</v>
      </c>
      <c r="P7676" t="s">
        <v>292</v>
      </c>
      <c r="Q7676">
        <v>49</v>
      </c>
      <c r="R7676">
        <v>2.3473220000000001</v>
      </c>
    </row>
    <row r="7677" spans="1:18" x14ac:dyDescent="0.2">
      <c r="A7677" t="s">
        <v>270</v>
      </c>
      <c r="B7677" t="s">
        <v>1638</v>
      </c>
      <c r="C7677">
        <v>1</v>
      </c>
      <c r="D7677" s="1">
        <v>44277.759456018517</v>
      </c>
      <c r="E7677" t="s">
        <v>23962</v>
      </c>
      <c r="F7677" t="s">
        <v>273</v>
      </c>
      <c r="G7677" t="s">
        <v>23959</v>
      </c>
      <c r="H7677" t="s">
        <v>275</v>
      </c>
      <c r="I7677" t="s">
        <v>29</v>
      </c>
      <c r="J7677">
        <v>1</v>
      </c>
      <c r="K7677">
        <f>1-844-362-6838</f>
        <v>-8043</v>
      </c>
      <c r="L7677" t="s">
        <v>23963</v>
      </c>
      <c r="M7677" t="s">
        <v>23964</v>
      </c>
      <c r="N7677" t="s">
        <v>278</v>
      </c>
      <c r="O7677" t="s">
        <v>28</v>
      </c>
      <c r="P7677" t="s">
        <v>292</v>
      </c>
      <c r="Q7677">
        <v>49</v>
      </c>
      <c r="R7677">
        <v>2.3473220000000001</v>
      </c>
    </row>
    <row r="7678" spans="1:18" x14ac:dyDescent="0.2">
      <c r="A7678" t="s">
        <v>270</v>
      </c>
      <c r="B7678" t="s">
        <v>1638</v>
      </c>
      <c r="C7678">
        <v>1</v>
      </c>
      <c r="D7678" s="1">
        <v>44209.761006944442</v>
      </c>
      <c r="E7678" t="s">
        <v>23965</v>
      </c>
      <c r="F7678" t="s">
        <v>273</v>
      </c>
      <c r="G7678" t="s">
        <v>23959</v>
      </c>
      <c r="H7678" t="s">
        <v>275</v>
      </c>
      <c r="I7678" t="s">
        <v>29</v>
      </c>
      <c r="J7678">
        <v>1</v>
      </c>
      <c r="K7678">
        <f>1-888-297-4403</f>
        <v>-5587</v>
      </c>
      <c r="L7678" t="s">
        <v>23966</v>
      </c>
      <c r="M7678" t="s">
        <v>23967</v>
      </c>
      <c r="N7678" t="s">
        <v>278</v>
      </c>
      <c r="O7678" t="s">
        <v>28</v>
      </c>
      <c r="P7678" t="s">
        <v>292</v>
      </c>
      <c r="Q7678">
        <v>49</v>
      </c>
      <c r="R7678">
        <v>2.3473220000000001</v>
      </c>
    </row>
    <row r="7679" spans="1:18" x14ac:dyDescent="0.2">
      <c r="A7679" t="s">
        <v>270</v>
      </c>
      <c r="B7679" t="s">
        <v>1638</v>
      </c>
      <c r="C7679">
        <v>1</v>
      </c>
      <c r="D7679" s="1">
        <v>44200.770543981482</v>
      </c>
      <c r="E7679" t="s">
        <v>23968</v>
      </c>
      <c r="F7679" t="s">
        <v>273</v>
      </c>
      <c r="G7679" t="s">
        <v>23959</v>
      </c>
      <c r="H7679" t="s">
        <v>275</v>
      </c>
      <c r="I7679" t="s">
        <v>29</v>
      </c>
      <c r="J7679">
        <v>1</v>
      </c>
      <c r="K7679">
        <f>1-888-279-3938</f>
        <v>-5104</v>
      </c>
      <c r="L7679" t="s">
        <v>23969</v>
      </c>
      <c r="M7679" t="s">
        <v>23970</v>
      </c>
      <c r="N7679" t="s">
        <v>278</v>
      </c>
      <c r="O7679" t="s">
        <v>28</v>
      </c>
      <c r="P7679" t="s">
        <v>292</v>
      </c>
      <c r="Q7679">
        <v>49</v>
      </c>
      <c r="R7679">
        <v>2.3473220000000001</v>
      </c>
    </row>
    <row r="7680" spans="1:18" x14ac:dyDescent="0.2">
      <c r="A7680" t="s">
        <v>270</v>
      </c>
      <c r="B7680" t="s">
        <v>1638</v>
      </c>
      <c r="C7680">
        <v>1</v>
      </c>
      <c r="D7680" s="1">
        <v>44172.807314814818</v>
      </c>
      <c r="E7680" t="s">
        <v>23971</v>
      </c>
      <c r="F7680" t="s">
        <v>273</v>
      </c>
      <c r="G7680" t="s">
        <v>23959</v>
      </c>
      <c r="H7680" t="s">
        <v>275</v>
      </c>
      <c r="I7680" t="s">
        <v>29</v>
      </c>
      <c r="J7680">
        <v>1</v>
      </c>
      <c r="K7680">
        <f>1-844-304-6923</f>
        <v>-8070</v>
      </c>
      <c r="L7680" t="s">
        <v>23972</v>
      </c>
      <c r="M7680" t="s">
        <v>23973</v>
      </c>
      <c r="N7680" t="s">
        <v>278</v>
      </c>
      <c r="O7680" t="s">
        <v>28</v>
      </c>
      <c r="P7680" t="s">
        <v>292</v>
      </c>
      <c r="Q7680">
        <v>49</v>
      </c>
      <c r="R7680">
        <v>2.3473220000000001</v>
      </c>
    </row>
    <row r="7681" spans="1:18" x14ac:dyDescent="0.2">
      <c r="A7681" t="s">
        <v>663</v>
      </c>
      <c r="B7681" t="s">
        <v>2493</v>
      </c>
      <c r="C7681">
        <v>1</v>
      </c>
      <c r="D7681" s="1">
        <v>44172.80736111111</v>
      </c>
      <c r="E7681" t="s">
        <v>23974</v>
      </c>
      <c r="F7681" t="s">
        <v>666</v>
      </c>
      <c r="G7681" t="s">
        <v>23974</v>
      </c>
      <c r="H7681" t="s">
        <v>667</v>
      </c>
      <c r="I7681" t="s">
        <v>29</v>
      </c>
      <c r="J7681">
        <v>1</v>
      </c>
      <c r="K7681">
        <f>1-844-309-2136</f>
        <v>-3288</v>
      </c>
      <c r="L7681" t="s">
        <v>23975</v>
      </c>
      <c r="M7681" t="s">
        <v>23976</v>
      </c>
      <c r="N7681">
        <v>161</v>
      </c>
      <c r="O7681" t="s">
        <v>134</v>
      </c>
      <c r="P7681" t="s">
        <v>29</v>
      </c>
      <c r="Q7681">
        <v>41</v>
      </c>
      <c r="R7681">
        <v>-74.024699999999996</v>
      </c>
    </row>
    <row r="7682" spans="1:18" x14ac:dyDescent="0.2">
      <c r="A7682" t="s">
        <v>663</v>
      </c>
      <c r="B7682" t="s">
        <v>1212</v>
      </c>
      <c r="C7682">
        <v>81</v>
      </c>
      <c r="D7682" s="1">
        <v>44172.814930555556</v>
      </c>
      <c r="E7682" t="s">
        <v>23977</v>
      </c>
      <c r="F7682" t="s">
        <v>666</v>
      </c>
      <c r="G7682" t="s">
        <v>23978</v>
      </c>
      <c r="H7682" t="s">
        <v>667</v>
      </c>
      <c r="I7682" t="s">
        <v>53</v>
      </c>
      <c r="J7682">
        <v>81</v>
      </c>
      <c r="K7682">
        <f>81-50-5539-4361</f>
        <v>-9869</v>
      </c>
      <c r="L7682" t="s">
        <v>23979</v>
      </c>
      <c r="M7682" t="s">
        <v>23980</v>
      </c>
      <c r="N7682" t="s">
        <v>213</v>
      </c>
      <c r="O7682" t="s">
        <v>28</v>
      </c>
      <c r="P7682" t="s">
        <v>618</v>
      </c>
      <c r="Q7682">
        <v>52</v>
      </c>
      <c r="R7682">
        <v>-0.62150000000000005</v>
      </c>
    </row>
    <row r="7683" spans="1:18" x14ac:dyDescent="0.2">
      <c r="A7683" t="s">
        <v>439</v>
      </c>
      <c r="B7683" t="s">
        <v>4321</v>
      </c>
      <c r="C7683">
        <v>1</v>
      </c>
      <c r="D7683" s="1">
        <v>44172.822858796295</v>
      </c>
      <c r="E7683" t="s">
        <v>23981</v>
      </c>
      <c r="F7683" t="s">
        <v>442</v>
      </c>
      <c r="G7683" t="s">
        <v>23982</v>
      </c>
      <c r="H7683" t="s">
        <v>444</v>
      </c>
      <c r="I7683" t="s">
        <v>29</v>
      </c>
      <c r="J7683">
        <v>1</v>
      </c>
      <c r="K7683">
        <f>1-833-257-3196</f>
        <v>-4285</v>
      </c>
      <c r="L7683" t="s">
        <v>23983</v>
      </c>
      <c r="M7683" t="s">
        <v>23984</v>
      </c>
      <c r="N7683" t="s">
        <v>447</v>
      </c>
      <c r="O7683" t="s">
        <v>134</v>
      </c>
      <c r="P7683" t="s">
        <v>29</v>
      </c>
      <c r="Q7683">
        <v>42</v>
      </c>
      <c r="R7683">
        <v>-87.629800000000003</v>
      </c>
    </row>
    <row r="7684" spans="1:18" x14ac:dyDescent="0.2">
      <c r="A7684" t="s">
        <v>439</v>
      </c>
      <c r="B7684" t="s">
        <v>4321</v>
      </c>
      <c r="C7684">
        <v>1</v>
      </c>
      <c r="D7684" s="1">
        <v>44172.833275462966</v>
      </c>
      <c r="E7684" t="s">
        <v>23985</v>
      </c>
      <c r="F7684" t="s">
        <v>442</v>
      </c>
      <c r="G7684" t="s">
        <v>23986</v>
      </c>
      <c r="H7684" t="s">
        <v>444</v>
      </c>
      <c r="I7684" t="s">
        <v>29</v>
      </c>
      <c r="J7684">
        <v>1</v>
      </c>
      <c r="K7684">
        <f>1-888-633-483</f>
        <v>-2003</v>
      </c>
      <c r="L7684" t="s">
        <v>23987</v>
      </c>
      <c r="M7684" t="s">
        <v>23988</v>
      </c>
      <c r="N7684" t="s">
        <v>452</v>
      </c>
      <c r="O7684" t="s">
        <v>28</v>
      </c>
      <c r="P7684" t="s">
        <v>29</v>
      </c>
      <c r="Q7684">
        <v>42</v>
      </c>
      <c r="R7684">
        <v>-87.629800000000003</v>
      </c>
    </row>
    <row r="7685" spans="1:18" x14ac:dyDescent="0.2">
      <c r="A7685" t="s">
        <v>439</v>
      </c>
      <c r="B7685" t="s">
        <v>4321</v>
      </c>
      <c r="C7685">
        <v>1</v>
      </c>
      <c r="D7685" s="1">
        <v>44172.822905092595</v>
      </c>
      <c r="E7685" t="s">
        <v>23985</v>
      </c>
      <c r="F7685" t="s">
        <v>442</v>
      </c>
      <c r="G7685" t="s">
        <v>23986</v>
      </c>
      <c r="H7685" t="s">
        <v>444</v>
      </c>
      <c r="I7685" t="s">
        <v>29</v>
      </c>
      <c r="J7685">
        <v>1</v>
      </c>
      <c r="K7685">
        <f>1-888-381-8315</f>
        <v>-9583</v>
      </c>
      <c r="L7685" t="s">
        <v>23989</v>
      </c>
      <c r="M7685" t="s">
        <v>23990</v>
      </c>
      <c r="N7685" t="s">
        <v>452</v>
      </c>
      <c r="O7685" t="s">
        <v>28</v>
      </c>
      <c r="P7685" t="s">
        <v>29</v>
      </c>
      <c r="Q7685">
        <v>42</v>
      </c>
      <c r="R7685">
        <v>-87.629800000000003</v>
      </c>
    </row>
    <row r="7686" spans="1:18" x14ac:dyDescent="0.2">
      <c r="A7686" t="s">
        <v>663</v>
      </c>
      <c r="B7686" t="s">
        <v>2493</v>
      </c>
      <c r="C7686">
        <v>1</v>
      </c>
      <c r="D7686" s="1">
        <v>44172.822951388887</v>
      </c>
      <c r="E7686" t="s">
        <v>23991</v>
      </c>
      <c r="F7686" t="s">
        <v>666</v>
      </c>
      <c r="G7686" t="s">
        <v>23991</v>
      </c>
      <c r="H7686" t="s">
        <v>667</v>
      </c>
      <c r="I7686" t="s">
        <v>29</v>
      </c>
      <c r="J7686">
        <v>1</v>
      </c>
      <c r="K7686">
        <f>1-844-309-2136</f>
        <v>-3288</v>
      </c>
      <c r="L7686" t="s">
        <v>23992</v>
      </c>
      <c r="M7686" t="s">
        <v>23993</v>
      </c>
      <c r="N7686">
        <v>133</v>
      </c>
      <c r="O7686" t="s">
        <v>134</v>
      </c>
      <c r="P7686" t="s">
        <v>29</v>
      </c>
      <c r="Q7686">
        <v>41</v>
      </c>
      <c r="R7686">
        <v>-74.024699999999996</v>
      </c>
    </row>
    <row r="7687" spans="1:18" x14ac:dyDescent="0.2">
      <c r="A7687" t="s">
        <v>663</v>
      </c>
      <c r="B7687" t="s">
        <v>2493</v>
      </c>
      <c r="C7687">
        <v>1</v>
      </c>
      <c r="D7687" s="1">
        <v>44172.83017361111</v>
      </c>
      <c r="E7687" t="s">
        <v>23994</v>
      </c>
      <c r="F7687" t="s">
        <v>666</v>
      </c>
      <c r="G7687" t="s">
        <v>23994</v>
      </c>
      <c r="H7687" t="s">
        <v>667</v>
      </c>
      <c r="I7687" t="s">
        <v>29</v>
      </c>
      <c r="J7687">
        <v>1</v>
      </c>
      <c r="K7687">
        <f>1-888-231-4495</f>
        <v>-5613</v>
      </c>
      <c r="L7687" t="s">
        <v>23995</v>
      </c>
      <c r="M7687" t="s">
        <v>23996</v>
      </c>
      <c r="N7687">
        <v>82</v>
      </c>
      <c r="O7687" t="s">
        <v>134</v>
      </c>
      <c r="P7687" t="s">
        <v>29</v>
      </c>
      <c r="Q7687">
        <v>41</v>
      </c>
      <c r="R7687">
        <v>-74.024699999999996</v>
      </c>
    </row>
    <row r="7688" spans="1:18" x14ac:dyDescent="0.2">
      <c r="A7688" t="s">
        <v>663</v>
      </c>
      <c r="B7688" t="s">
        <v>2493</v>
      </c>
      <c r="C7688">
        <v>1</v>
      </c>
      <c r="D7688" s="1">
        <v>44172.830127314817</v>
      </c>
      <c r="E7688" t="s">
        <v>23994</v>
      </c>
      <c r="F7688" t="s">
        <v>666</v>
      </c>
      <c r="G7688" t="s">
        <v>23994</v>
      </c>
      <c r="H7688" t="s">
        <v>667</v>
      </c>
      <c r="I7688" t="s">
        <v>29</v>
      </c>
      <c r="J7688">
        <v>1</v>
      </c>
      <c r="K7688">
        <f>1-888-203-8532</f>
        <v>-9622</v>
      </c>
      <c r="L7688" t="s">
        <v>23997</v>
      </c>
      <c r="M7688" t="s">
        <v>23998</v>
      </c>
      <c r="N7688">
        <v>82</v>
      </c>
      <c r="O7688" t="s">
        <v>134</v>
      </c>
      <c r="P7688" t="s">
        <v>29</v>
      </c>
      <c r="Q7688">
        <v>41</v>
      </c>
      <c r="R7688">
        <v>-74.024699999999996</v>
      </c>
    </row>
    <row r="7689" spans="1:18" x14ac:dyDescent="0.2">
      <c r="A7689" t="s">
        <v>439</v>
      </c>
      <c r="B7689" t="s">
        <v>4321</v>
      </c>
      <c r="C7689">
        <v>1</v>
      </c>
      <c r="D7689" s="1">
        <v>44172.833229166667</v>
      </c>
      <c r="E7689" t="s">
        <v>23999</v>
      </c>
      <c r="F7689" t="s">
        <v>442</v>
      </c>
      <c r="G7689" t="s">
        <v>24000</v>
      </c>
      <c r="H7689" t="s">
        <v>444</v>
      </c>
      <c r="I7689" t="s">
        <v>29</v>
      </c>
      <c r="J7689">
        <v>1</v>
      </c>
      <c r="K7689">
        <f>1-833-257-3196</f>
        <v>-4285</v>
      </c>
      <c r="L7689" t="s">
        <v>24001</v>
      </c>
      <c r="M7689" t="s">
        <v>24002</v>
      </c>
      <c r="N7689" t="s">
        <v>447</v>
      </c>
      <c r="O7689" t="s">
        <v>134</v>
      </c>
      <c r="P7689" t="s">
        <v>29</v>
      </c>
      <c r="Q7689">
        <v>42</v>
      </c>
      <c r="R7689">
        <v>-87.629800000000003</v>
      </c>
    </row>
    <row r="7690" spans="1:18" x14ac:dyDescent="0.2">
      <c r="A7690" t="s">
        <v>3420</v>
      </c>
      <c r="B7690" t="s">
        <v>6921</v>
      </c>
      <c r="C7690">
        <v>1</v>
      </c>
      <c r="D7690" s="1">
        <v>44173.415277777778</v>
      </c>
      <c r="E7690" t="s">
        <v>24003</v>
      </c>
      <c r="F7690" t="s">
        <v>3422</v>
      </c>
      <c r="G7690" t="s">
        <v>24004</v>
      </c>
      <c r="H7690" t="s">
        <v>3423</v>
      </c>
      <c r="I7690" t="s">
        <v>29</v>
      </c>
      <c r="J7690">
        <v>1</v>
      </c>
      <c r="K7690">
        <f>1-888-322-2282</f>
        <v>-3491</v>
      </c>
      <c r="L7690" t="s">
        <v>24005</v>
      </c>
      <c r="M7690" t="s">
        <v>24006</v>
      </c>
      <c r="N7690" t="s">
        <v>5354</v>
      </c>
      <c r="O7690" t="s">
        <v>28</v>
      </c>
      <c r="P7690" t="s">
        <v>29</v>
      </c>
      <c r="Q7690">
        <v>41</v>
      </c>
      <c r="R7690">
        <v>-95.860799999999998</v>
      </c>
    </row>
    <row r="7691" spans="1:18" x14ac:dyDescent="0.2">
      <c r="A7691" t="s">
        <v>663</v>
      </c>
      <c r="B7691" t="s">
        <v>2493</v>
      </c>
      <c r="C7691">
        <v>1</v>
      </c>
      <c r="D7691" s="1">
        <v>44173.779791666668</v>
      </c>
      <c r="E7691" t="s">
        <v>24007</v>
      </c>
      <c r="F7691" t="s">
        <v>666</v>
      </c>
      <c r="G7691" t="s">
        <v>24007</v>
      </c>
      <c r="H7691" t="s">
        <v>667</v>
      </c>
      <c r="I7691" t="s">
        <v>29</v>
      </c>
      <c r="J7691">
        <v>1</v>
      </c>
      <c r="K7691">
        <f>1-888-609-2072</f>
        <v>-3568</v>
      </c>
      <c r="L7691" t="s">
        <v>24008</v>
      </c>
      <c r="M7691" t="s">
        <v>24009</v>
      </c>
      <c r="N7691">
        <v>107</v>
      </c>
      <c r="O7691" t="s">
        <v>134</v>
      </c>
      <c r="P7691" t="s">
        <v>29</v>
      </c>
      <c r="Q7691">
        <v>41</v>
      </c>
      <c r="R7691">
        <v>-74.024699999999996</v>
      </c>
    </row>
    <row r="7692" spans="1:18" x14ac:dyDescent="0.2">
      <c r="A7692" t="s">
        <v>663</v>
      </c>
      <c r="B7692" t="s">
        <v>2493</v>
      </c>
      <c r="C7692">
        <v>1</v>
      </c>
      <c r="D7692" s="1">
        <v>44173.779745370368</v>
      </c>
      <c r="E7692" t="s">
        <v>24007</v>
      </c>
      <c r="F7692" t="s">
        <v>666</v>
      </c>
      <c r="G7692" t="s">
        <v>24007</v>
      </c>
      <c r="H7692" t="s">
        <v>667</v>
      </c>
      <c r="I7692" t="s">
        <v>29</v>
      </c>
      <c r="J7692">
        <v>1</v>
      </c>
      <c r="K7692">
        <f>1-888-631-9784</f>
        <v>-11302</v>
      </c>
      <c r="L7692" t="s">
        <v>24010</v>
      </c>
      <c r="M7692" t="s">
        <v>24011</v>
      </c>
      <c r="N7692">
        <v>107</v>
      </c>
      <c r="O7692" t="s">
        <v>134</v>
      </c>
      <c r="P7692" t="s">
        <v>29</v>
      </c>
      <c r="Q7692">
        <v>41</v>
      </c>
      <c r="R7692">
        <v>-74.024699999999996</v>
      </c>
    </row>
    <row r="7693" spans="1:18" x14ac:dyDescent="0.2">
      <c r="A7693" t="s">
        <v>439</v>
      </c>
      <c r="B7693" t="s">
        <v>4321</v>
      </c>
      <c r="C7693">
        <v>1</v>
      </c>
      <c r="D7693" s="1">
        <v>44173.779849537037</v>
      </c>
      <c r="E7693" t="s">
        <v>24012</v>
      </c>
      <c r="F7693" t="s">
        <v>442</v>
      </c>
      <c r="G7693" t="s">
        <v>24013</v>
      </c>
      <c r="H7693" t="s">
        <v>444</v>
      </c>
      <c r="I7693" t="s">
        <v>29</v>
      </c>
      <c r="J7693">
        <v>1</v>
      </c>
      <c r="K7693">
        <f>1-888-984-5497</f>
        <v>-7368</v>
      </c>
      <c r="L7693" t="s">
        <v>24014</v>
      </c>
      <c r="M7693" t="s">
        <v>24015</v>
      </c>
      <c r="N7693" t="s">
        <v>20913</v>
      </c>
      <c r="O7693" t="s">
        <v>28</v>
      </c>
      <c r="P7693" t="s">
        <v>29</v>
      </c>
      <c r="Q7693">
        <v>42</v>
      </c>
      <c r="R7693">
        <v>-87.629800000000003</v>
      </c>
    </row>
    <row r="7694" spans="1:18" x14ac:dyDescent="0.2">
      <c r="A7694" t="s">
        <v>663</v>
      </c>
      <c r="B7694" t="s">
        <v>3245</v>
      </c>
      <c r="C7694">
        <v>1</v>
      </c>
      <c r="D7694" s="1">
        <v>44175.751469907409</v>
      </c>
      <c r="E7694" t="s">
        <v>24016</v>
      </c>
      <c r="F7694" t="s">
        <v>666</v>
      </c>
      <c r="G7694" t="s">
        <v>24017</v>
      </c>
      <c r="H7694" t="s">
        <v>667</v>
      </c>
      <c r="I7694" t="s">
        <v>29</v>
      </c>
      <c r="J7694">
        <v>1</v>
      </c>
      <c r="K7694">
        <f>1-844-309-2676</f>
        <v>-3828</v>
      </c>
      <c r="L7694" t="s">
        <v>24018</v>
      </c>
      <c r="M7694" t="s">
        <v>24019</v>
      </c>
      <c r="N7694" t="s">
        <v>3441</v>
      </c>
      <c r="O7694" t="s">
        <v>28</v>
      </c>
      <c r="P7694" t="s">
        <v>29</v>
      </c>
      <c r="Q7694">
        <v>41</v>
      </c>
      <c r="R7694">
        <v>-74.140299999999996</v>
      </c>
    </row>
    <row r="7695" spans="1:18" x14ac:dyDescent="0.2">
      <c r="A7695" t="s">
        <v>663</v>
      </c>
      <c r="B7695" t="s">
        <v>3245</v>
      </c>
      <c r="C7695">
        <v>1</v>
      </c>
      <c r="D7695" s="1">
        <v>44173.855682870373</v>
      </c>
      <c r="E7695" t="s">
        <v>24020</v>
      </c>
      <c r="F7695" t="s">
        <v>666</v>
      </c>
      <c r="G7695" t="s">
        <v>24017</v>
      </c>
      <c r="H7695" t="s">
        <v>667</v>
      </c>
      <c r="I7695" t="s">
        <v>29</v>
      </c>
      <c r="J7695">
        <v>1</v>
      </c>
      <c r="K7695">
        <f>1-833-389-3478</f>
        <v>-4699</v>
      </c>
      <c r="L7695" t="s">
        <v>24021</v>
      </c>
      <c r="M7695" t="s">
        <v>24022</v>
      </c>
      <c r="N7695" t="s">
        <v>3454</v>
      </c>
      <c r="O7695" t="s">
        <v>28</v>
      </c>
      <c r="P7695" t="s">
        <v>29</v>
      </c>
      <c r="Q7695">
        <v>41</v>
      </c>
      <c r="R7695">
        <v>-74.140299999999996</v>
      </c>
    </row>
    <row r="7696" spans="1:18" x14ac:dyDescent="0.2">
      <c r="A7696" t="s">
        <v>663</v>
      </c>
      <c r="B7696" t="s">
        <v>3245</v>
      </c>
      <c r="C7696">
        <v>1</v>
      </c>
      <c r="D7696" s="1">
        <v>44173.855138888888</v>
      </c>
      <c r="E7696" t="s">
        <v>24023</v>
      </c>
      <c r="F7696" t="s">
        <v>666</v>
      </c>
      <c r="G7696" t="s">
        <v>24017</v>
      </c>
      <c r="H7696" t="s">
        <v>667</v>
      </c>
      <c r="I7696" t="s">
        <v>29</v>
      </c>
      <c r="J7696">
        <v>1</v>
      </c>
      <c r="K7696">
        <f>1-833-389-3478</f>
        <v>-4699</v>
      </c>
      <c r="L7696" t="s">
        <v>24024</v>
      </c>
      <c r="M7696" t="s">
        <v>24025</v>
      </c>
      <c r="N7696" t="s">
        <v>213</v>
      </c>
      <c r="O7696" t="s">
        <v>28</v>
      </c>
      <c r="P7696" t="s">
        <v>29</v>
      </c>
      <c r="Q7696">
        <v>41</v>
      </c>
      <c r="R7696">
        <v>-74.140299999999996</v>
      </c>
    </row>
    <row r="7697" spans="1:18" x14ac:dyDescent="0.2">
      <c r="A7697" t="s">
        <v>663</v>
      </c>
      <c r="B7697" t="s">
        <v>3245</v>
      </c>
      <c r="C7697">
        <v>1</v>
      </c>
      <c r="D7697" s="1">
        <v>44173.853587962964</v>
      </c>
      <c r="E7697" t="s">
        <v>24026</v>
      </c>
      <c r="F7697" t="s">
        <v>666</v>
      </c>
      <c r="G7697" t="s">
        <v>24017</v>
      </c>
      <c r="H7697" t="s">
        <v>667</v>
      </c>
      <c r="I7697" t="s">
        <v>29</v>
      </c>
      <c r="J7697">
        <v>1</v>
      </c>
      <c r="K7697">
        <f>1-833-389-3478</f>
        <v>-4699</v>
      </c>
      <c r="L7697" t="s">
        <v>24027</v>
      </c>
      <c r="M7697" t="s">
        <v>24028</v>
      </c>
      <c r="N7697" t="s">
        <v>447</v>
      </c>
      <c r="O7697" t="s">
        <v>28</v>
      </c>
      <c r="P7697" t="s">
        <v>29</v>
      </c>
      <c r="Q7697">
        <v>41</v>
      </c>
      <c r="R7697">
        <v>-74.140299999999996</v>
      </c>
    </row>
    <row r="7698" spans="1:18" x14ac:dyDescent="0.2">
      <c r="A7698" t="s">
        <v>7424</v>
      </c>
      <c r="B7698" t="s">
        <v>7425</v>
      </c>
      <c r="C7698">
        <v>81</v>
      </c>
      <c r="D7698" s="1">
        <v>44173.864270833335</v>
      </c>
      <c r="E7698" t="s">
        <v>24029</v>
      </c>
      <c r="F7698" t="s">
        <v>7427</v>
      </c>
      <c r="G7698" t="s">
        <v>24030</v>
      </c>
      <c r="H7698" t="s">
        <v>7429</v>
      </c>
      <c r="I7698" t="s">
        <v>53</v>
      </c>
      <c r="J7698">
        <v>81</v>
      </c>
      <c r="K7698">
        <f>81-50-5539-947</f>
        <v>-6455</v>
      </c>
      <c r="L7698" t="s">
        <v>24031</v>
      </c>
      <c r="M7698" t="s">
        <v>24032</v>
      </c>
      <c r="N7698" t="s">
        <v>452</v>
      </c>
      <c r="O7698" t="s">
        <v>134</v>
      </c>
      <c r="P7698" t="s">
        <v>29</v>
      </c>
      <c r="Q7698">
        <v>43</v>
      </c>
      <c r="R7698">
        <v>-84.642700000000005</v>
      </c>
    </row>
    <row r="7699" spans="1:18" x14ac:dyDescent="0.2">
      <c r="A7699" t="s">
        <v>1200</v>
      </c>
      <c r="B7699" t="s">
        <v>440</v>
      </c>
      <c r="C7699">
        <v>1</v>
      </c>
      <c r="D7699" s="1">
        <v>44173.868159722224</v>
      </c>
      <c r="E7699" t="s">
        <v>24033</v>
      </c>
      <c r="F7699" t="s">
        <v>1203</v>
      </c>
      <c r="G7699" t="s">
        <v>24034</v>
      </c>
      <c r="H7699" t="s">
        <v>1205</v>
      </c>
      <c r="I7699" t="s">
        <v>29</v>
      </c>
      <c r="J7699">
        <v>1</v>
      </c>
      <c r="K7699">
        <f>1-850-203-4103</f>
        <v>-5155</v>
      </c>
      <c r="L7699" t="s">
        <v>24035</v>
      </c>
      <c r="M7699" t="s">
        <v>24036</v>
      </c>
      <c r="N7699" t="s">
        <v>452</v>
      </c>
      <c r="O7699" t="s">
        <v>134</v>
      </c>
      <c r="P7699" t="s">
        <v>29</v>
      </c>
      <c r="Q7699">
        <v>39</v>
      </c>
      <c r="R7699">
        <v>-77.472800000000007</v>
      </c>
    </row>
    <row r="7700" spans="1:18" x14ac:dyDescent="0.2">
      <c r="A7700" t="s">
        <v>663</v>
      </c>
      <c r="B7700" t="s">
        <v>2493</v>
      </c>
      <c r="C7700">
        <v>1</v>
      </c>
      <c r="D7700" s="1">
        <v>44173.927916666667</v>
      </c>
      <c r="E7700" t="s">
        <v>24037</v>
      </c>
      <c r="F7700" t="s">
        <v>666</v>
      </c>
      <c r="G7700" t="s">
        <v>24037</v>
      </c>
      <c r="H7700" t="s">
        <v>667</v>
      </c>
      <c r="I7700" t="s">
        <v>29</v>
      </c>
      <c r="J7700">
        <v>1</v>
      </c>
      <c r="K7700">
        <f>1-888-220-1461</f>
        <v>-2568</v>
      </c>
      <c r="L7700" t="s">
        <v>24038</v>
      </c>
      <c r="M7700" t="s">
        <v>24039</v>
      </c>
      <c r="N7700">
        <v>61</v>
      </c>
      <c r="O7700" t="s">
        <v>134</v>
      </c>
      <c r="P7700" t="s">
        <v>29</v>
      </c>
      <c r="Q7700">
        <v>41</v>
      </c>
      <c r="R7700">
        <v>-74.024699999999996</v>
      </c>
    </row>
    <row r="7701" spans="1:18" x14ac:dyDescent="0.2">
      <c r="A7701" t="s">
        <v>663</v>
      </c>
      <c r="B7701" t="s">
        <v>2493</v>
      </c>
      <c r="C7701">
        <v>1</v>
      </c>
      <c r="D7701" s="1">
        <v>44173.927870370368</v>
      </c>
      <c r="E7701" t="s">
        <v>24037</v>
      </c>
      <c r="F7701" t="s">
        <v>666</v>
      </c>
      <c r="G7701" t="s">
        <v>24037</v>
      </c>
      <c r="H7701" t="s">
        <v>667</v>
      </c>
      <c r="I7701" t="s">
        <v>29</v>
      </c>
      <c r="J7701">
        <v>1</v>
      </c>
      <c r="K7701">
        <f>1-888-231-5388</f>
        <v>-6506</v>
      </c>
      <c r="L7701" t="s">
        <v>24040</v>
      </c>
      <c r="M7701" t="s">
        <v>24041</v>
      </c>
      <c r="N7701">
        <v>61</v>
      </c>
      <c r="O7701" t="s">
        <v>134</v>
      </c>
      <c r="P7701" t="s">
        <v>29</v>
      </c>
      <c r="Q7701">
        <v>41</v>
      </c>
      <c r="R7701">
        <v>-74.024699999999996</v>
      </c>
    </row>
    <row r="7702" spans="1:18" x14ac:dyDescent="0.2">
      <c r="A7702" t="s">
        <v>439</v>
      </c>
      <c r="B7702" t="s">
        <v>4321</v>
      </c>
      <c r="C7702">
        <v>1</v>
      </c>
      <c r="D7702" s="1">
        <v>44173.927974537037</v>
      </c>
      <c r="E7702" t="s">
        <v>24042</v>
      </c>
      <c r="F7702" t="s">
        <v>442</v>
      </c>
      <c r="G7702" t="s">
        <v>24043</v>
      </c>
      <c r="H7702" t="s">
        <v>444</v>
      </c>
      <c r="I7702" t="s">
        <v>29</v>
      </c>
      <c r="J7702">
        <v>1</v>
      </c>
      <c r="K7702">
        <f>1-888-984-5439</f>
        <v>-7310</v>
      </c>
      <c r="L7702" t="s">
        <v>24044</v>
      </c>
      <c r="M7702" t="s">
        <v>24045</v>
      </c>
      <c r="N7702" t="s">
        <v>20913</v>
      </c>
      <c r="O7702" t="s">
        <v>28</v>
      </c>
      <c r="P7702" t="s">
        <v>29</v>
      </c>
      <c r="Q7702">
        <v>42</v>
      </c>
      <c r="R7702">
        <v>-87.629800000000003</v>
      </c>
    </row>
    <row r="7703" spans="1:18" x14ac:dyDescent="0.2">
      <c r="A7703" t="s">
        <v>663</v>
      </c>
      <c r="B7703" t="s">
        <v>2493</v>
      </c>
      <c r="C7703">
        <v>1</v>
      </c>
      <c r="D7703" s="1">
        <v>44173.944976851853</v>
      </c>
      <c r="E7703" t="s">
        <v>24046</v>
      </c>
      <c r="F7703" t="s">
        <v>666</v>
      </c>
      <c r="G7703" t="s">
        <v>24046</v>
      </c>
      <c r="H7703" t="s">
        <v>667</v>
      </c>
      <c r="I7703" t="s">
        <v>29</v>
      </c>
      <c r="J7703">
        <v>1</v>
      </c>
      <c r="K7703">
        <f>1-888-225-9074</f>
        <v>-10186</v>
      </c>
      <c r="L7703" t="s">
        <v>24047</v>
      </c>
      <c r="M7703" t="s">
        <v>24048</v>
      </c>
      <c r="N7703">
        <v>1</v>
      </c>
      <c r="O7703" t="s">
        <v>134</v>
      </c>
      <c r="P7703" t="s">
        <v>29</v>
      </c>
      <c r="Q7703">
        <v>41</v>
      </c>
      <c r="R7703">
        <v>-74.024699999999996</v>
      </c>
    </row>
    <row r="7704" spans="1:18" x14ac:dyDescent="0.2">
      <c r="A7704" t="s">
        <v>663</v>
      </c>
      <c r="B7704" t="s">
        <v>2493</v>
      </c>
      <c r="C7704">
        <v>1</v>
      </c>
      <c r="D7704" s="1">
        <v>44173.957662037035</v>
      </c>
      <c r="E7704" t="s">
        <v>24049</v>
      </c>
      <c r="F7704" t="s">
        <v>666</v>
      </c>
      <c r="G7704" t="s">
        <v>24049</v>
      </c>
      <c r="H7704" t="s">
        <v>667</v>
      </c>
      <c r="I7704" t="s">
        <v>29</v>
      </c>
      <c r="J7704">
        <v>1</v>
      </c>
      <c r="K7704">
        <f>1-888-210-6517</f>
        <v>-7614</v>
      </c>
      <c r="L7704" t="s">
        <v>24050</v>
      </c>
      <c r="M7704" t="s">
        <v>24051</v>
      </c>
      <c r="N7704">
        <v>157</v>
      </c>
      <c r="O7704" t="s">
        <v>134</v>
      </c>
      <c r="P7704" t="s">
        <v>29</v>
      </c>
      <c r="Q7704">
        <v>41</v>
      </c>
      <c r="R7704">
        <v>-74.024699999999996</v>
      </c>
    </row>
    <row r="7705" spans="1:18" x14ac:dyDescent="0.2">
      <c r="A7705" t="s">
        <v>675</v>
      </c>
      <c r="B7705" t="s">
        <v>1412</v>
      </c>
      <c r="C7705">
        <v>81</v>
      </c>
      <c r="D7705" s="1">
        <v>44174.228171296294</v>
      </c>
      <c r="E7705" t="s">
        <v>24052</v>
      </c>
      <c r="F7705" t="s">
        <v>678</v>
      </c>
      <c r="G7705" t="s">
        <v>24053</v>
      </c>
      <c r="H7705" t="s">
        <v>680</v>
      </c>
      <c r="I7705" t="s">
        <v>53</v>
      </c>
      <c r="J7705">
        <v>81</v>
      </c>
      <c r="K7705">
        <f>81-50-5539-7732</f>
        <v>-13240</v>
      </c>
      <c r="L7705" t="s">
        <v>24054</v>
      </c>
      <c r="M7705" t="s">
        <v>24055</v>
      </c>
      <c r="N7705" t="s">
        <v>2475</v>
      </c>
      <c r="O7705" t="s">
        <v>28</v>
      </c>
      <c r="P7705" t="s">
        <v>29</v>
      </c>
      <c r="Q7705">
        <v>41</v>
      </c>
      <c r="R7705">
        <v>-74.172399999999996</v>
      </c>
    </row>
    <row r="7706" spans="1:18" x14ac:dyDescent="0.2">
      <c r="A7706" t="s">
        <v>663</v>
      </c>
      <c r="B7706" t="s">
        <v>664</v>
      </c>
      <c r="C7706">
        <v>1</v>
      </c>
      <c r="D7706" s="1">
        <v>44193.156678240739</v>
      </c>
      <c r="E7706" t="s">
        <v>24056</v>
      </c>
      <c r="F7706" t="s">
        <v>666</v>
      </c>
      <c r="G7706" t="s">
        <v>24057</v>
      </c>
      <c r="H7706" t="s">
        <v>667</v>
      </c>
      <c r="I7706" t="s">
        <v>29</v>
      </c>
      <c r="J7706">
        <v>1</v>
      </c>
      <c r="K7706">
        <f t="shared" ref="K7706:K7725" si="61">1-888-985-8972</f>
        <v>-10844</v>
      </c>
      <c r="L7706" t="s">
        <v>24058</v>
      </c>
      <c r="M7706" t="s">
        <v>24059</v>
      </c>
      <c r="N7706" t="s">
        <v>20913</v>
      </c>
      <c r="O7706" t="s">
        <v>134</v>
      </c>
      <c r="P7706" t="s">
        <v>29</v>
      </c>
      <c r="Q7706">
        <v>37</v>
      </c>
      <c r="R7706">
        <v>-99.999999000000003</v>
      </c>
    </row>
    <row r="7707" spans="1:18" x14ac:dyDescent="0.2">
      <c r="A7707" t="s">
        <v>663</v>
      </c>
      <c r="B7707" t="s">
        <v>664</v>
      </c>
      <c r="C7707">
        <v>1</v>
      </c>
      <c r="D7707" s="1">
        <v>44193.1565625</v>
      </c>
      <c r="E7707" t="s">
        <v>24060</v>
      </c>
      <c r="F7707" t="s">
        <v>666</v>
      </c>
      <c r="G7707" t="s">
        <v>24057</v>
      </c>
      <c r="H7707" t="s">
        <v>667</v>
      </c>
      <c r="I7707" t="s">
        <v>29</v>
      </c>
      <c r="J7707">
        <v>1</v>
      </c>
      <c r="K7707">
        <f t="shared" si="61"/>
        <v>-10844</v>
      </c>
      <c r="L7707" t="s">
        <v>24061</v>
      </c>
      <c r="M7707" t="s">
        <v>24062</v>
      </c>
      <c r="N7707" t="s">
        <v>20913</v>
      </c>
      <c r="O7707" t="s">
        <v>134</v>
      </c>
      <c r="P7707" t="s">
        <v>29</v>
      </c>
      <c r="Q7707">
        <v>37</v>
      </c>
      <c r="R7707">
        <v>-99.999999000000003</v>
      </c>
    </row>
    <row r="7708" spans="1:18" x14ac:dyDescent="0.2">
      <c r="A7708" t="s">
        <v>663</v>
      </c>
      <c r="B7708" t="s">
        <v>664</v>
      </c>
      <c r="C7708">
        <v>1</v>
      </c>
      <c r="D7708" s="1">
        <v>44193.156527777777</v>
      </c>
      <c r="E7708" t="s">
        <v>24063</v>
      </c>
      <c r="F7708" t="s">
        <v>666</v>
      </c>
      <c r="G7708" t="s">
        <v>24057</v>
      </c>
      <c r="H7708" t="s">
        <v>667</v>
      </c>
      <c r="I7708" t="s">
        <v>29</v>
      </c>
      <c r="J7708">
        <v>1</v>
      </c>
      <c r="K7708">
        <f t="shared" si="61"/>
        <v>-10844</v>
      </c>
      <c r="L7708" t="s">
        <v>24064</v>
      </c>
      <c r="M7708" t="s">
        <v>24065</v>
      </c>
      <c r="N7708" t="s">
        <v>20913</v>
      </c>
      <c r="O7708" t="s">
        <v>134</v>
      </c>
      <c r="P7708" t="s">
        <v>29</v>
      </c>
      <c r="Q7708">
        <v>37</v>
      </c>
      <c r="R7708">
        <v>-99.999999000000003</v>
      </c>
    </row>
    <row r="7709" spans="1:18" x14ac:dyDescent="0.2">
      <c r="A7709" t="s">
        <v>663</v>
      </c>
      <c r="B7709" t="s">
        <v>664</v>
      </c>
      <c r="C7709">
        <v>1</v>
      </c>
      <c r="D7709" s="1">
        <v>44193.156435185185</v>
      </c>
      <c r="E7709" t="s">
        <v>24066</v>
      </c>
      <c r="F7709" t="s">
        <v>666</v>
      </c>
      <c r="G7709" t="s">
        <v>24057</v>
      </c>
      <c r="H7709" t="s">
        <v>667</v>
      </c>
      <c r="I7709" t="s">
        <v>29</v>
      </c>
      <c r="J7709">
        <v>1</v>
      </c>
      <c r="K7709">
        <f t="shared" si="61"/>
        <v>-10844</v>
      </c>
      <c r="L7709" t="s">
        <v>24067</v>
      </c>
      <c r="M7709" t="s">
        <v>24068</v>
      </c>
      <c r="N7709" t="s">
        <v>20913</v>
      </c>
      <c r="O7709" t="s">
        <v>134</v>
      </c>
      <c r="P7709" t="s">
        <v>29</v>
      </c>
      <c r="Q7709">
        <v>37</v>
      </c>
      <c r="R7709">
        <v>-99.999999000000003</v>
      </c>
    </row>
    <row r="7710" spans="1:18" x14ac:dyDescent="0.2">
      <c r="A7710" t="s">
        <v>663</v>
      </c>
      <c r="B7710" t="s">
        <v>664</v>
      </c>
      <c r="C7710">
        <v>1</v>
      </c>
      <c r="D7710" s="1">
        <v>44193.156388888892</v>
      </c>
      <c r="E7710" t="s">
        <v>24069</v>
      </c>
      <c r="F7710" t="s">
        <v>666</v>
      </c>
      <c r="G7710" t="s">
        <v>24057</v>
      </c>
      <c r="H7710" t="s">
        <v>667</v>
      </c>
      <c r="I7710" t="s">
        <v>29</v>
      </c>
      <c r="J7710">
        <v>1</v>
      </c>
      <c r="K7710">
        <f t="shared" si="61"/>
        <v>-10844</v>
      </c>
      <c r="L7710" t="s">
        <v>24070</v>
      </c>
      <c r="M7710" t="s">
        <v>24071</v>
      </c>
      <c r="N7710" t="s">
        <v>20913</v>
      </c>
      <c r="O7710" t="s">
        <v>134</v>
      </c>
      <c r="P7710" t="s">
        <v>29</v>
      </c>
      <c r="Q7710">
        <v>37</v>
      </c>
      <c r="R7710">
        <v>-99.999999000000003</v>
      </c>
    </row>
    <row r="7711" spans="1:18" x14ac:dyDescent="0.2">
      <c r="A7711" t="s">
        <v>663</v>
      </c>
      <c r="B7711" t="s">
        <v>664</v>
      </c>
      <c r="C7711">
        <v>1</v>
      </c>
      <c r="D7711" s="1">
        <v>44193.156342592592</v>
      </c>
      <c r="E7711" t="s">
        <v>24072</v>
      </c>
      <c r="F7711" t="s">
        <v>666</v>
      </c>
      <c r="G7711" t="s">
        <v>24057</v>
      </c>
      <c r="H7711" t="s">
        <v>667</v>
      </c>
      <c r="I7711" t="s">
        <v>29</v>
      </c>
      <c r="J7711">
        <v>1</v>
      </c>
      <c r="K7711">
        <f t="shared" si="61"/>
        <v>-10844</v>
      </c>
      <c r="L7711" t="s">
        <v>24073</v>
      </c>
      <c r="M7711" t="s">
        <v>24074</v>
      </c>
      <c r="N7711" t="s">
        <v>20913</v>
      </c>
      <c r="O7711" t="s">
        <v>134</v>
      </c>
      <c r="P7711" t="s">
        <v>29</v>
      </c>
      <c r="Q7711">
        <v>37</v>
      </c>
      <c r="R7711">
        <v>-99.999999000000003</v>
      </c>
    </row>
    <row r="7712" spans="1:18" x14ac:dyDescent="0.2">
      <c r="A7712" t="s">
        <v>663</v>
      </c>
      <c r="B7712" t="s">
        <v>664</v>
      </c>
      <c r="C7712">
        <v>1</v>
      </c>
      <c r="D7712" s="1">
        <v>44193.1562962963</v>
      </c>
      <c r="E7712" t="s">
        <v>24075</v>
      </c>
      <c r="F7712" t="s">
        <v>666</v>
      </c>
      <c r="G7712" t="s">
        <v>24057</v>
      </c>
      <c r="H7712" t="s">
        <v>667</v>
      </c>
      <c r="I7712" t="s">
        <v>29</v>
      </c>
      <c r="J7712">
        <v>1</v>
      </c>
      <c r="K7712">
        <f t="shared" si="61"/>
        <v>-10844</v>
      </c>
      <c r="L7712" t="s">
        <v>24076</v>
      </c>
      <c r="M7712" t="s">
        <v>24077</v>
      </c>
      <c r="N7712" t="s">
        <v>20913</v>
      </c>
      <c r="O7712" t="s">
        <v>134</v>
      </c>
      <c r="P7712" t="s">
        <v>29</v>
      </c>
      <c r="Q7712">
        <v>37</v>
      </c>
      <c r="R7712">
        <v>-99.999999000000003</v>
      </c>
    </row>
    <row r="7713" spans="1:18" x14ac:dyDescent="0.2">
      <c r="A7713" t="s">
        <v>663</v>
      </c>
      <c r="B7713" t="s">
        <v>664</v>
      </c>
      <c r="C7713">
        <v>1</v>
      </c>
      <c r="D7713" s="1">
        <v>44193.15625</v>
      </c>
      <c r="E7713" t="s">
        <v>24078</v>
      </c>
      <c r="F7713" t="s">
        <v>666</v>
      </c>
      <c r="G7713" t="s">
        <v>24057</v>
      </c>
      <c r="H7713" t="s">
        <v>667</v>
      </c>
      <c r="I7713" t="s">
        <v>29</v>
      </c>
      <c r="J7713">
        <v>1</v>
      </c>
      <c r="K7713">
        <f t="shared" si="61"/>
        <v>-10844</v>
      </c>
      <c r="L7713" t="s">
        <v>24079</v>
      </c>
      <c r="M7713" t="s">
        <v>24080</v>
      </c>
      <c r="N7713" t="s">
        <v>20913</v>
      </c>
      <c r="O7713" t="s">
        <v>134</v>
      </c>
      <c r="P7713" t="s">
        <v>29</v>
      </c>
      <c r="Q7713">
        <v>37</v>
      </c>
      <c r="R7713">
        <v>-99.999999000000003</v>
      </c>
    </row>
    <row r="7714" spans="1:18" x14ac:dyDescent="0.2">
      <c r="A7714" t="s">
        <v>663</v>
      </c>
      <c r="B7714" t="s">
        <v>664</v>
      </c>
      <c r="C7714">
        <v>1</v>
      </c>
      <c r="D7714" s="1">
        <v>44193.156180555554</v>
      </c>
      <c r="E7714" t="s">
        <v>24081</v>
      </c>
      <c r="F7714" t="s">
        <v>666</v>
      </c>
      <c r="G7714" t="s">
        <v>24057</v>
      </c>
      <c r="H7714" t="s">
        <v>667</v>
      </c>
      <c r="I7714" t="s">
        <v>29</v>
      </c>
      <c r="J7714">
        <v>1</v>
      </c>
      <c r="K7714">
        <f t="shared" si="61"/>
        <v>-10844</v>
      </c>
      <c r="L7714" t="s">
        <v>24082</v>
      </c>
      <c r="M7714" t="s">
        <v>24083</v>
      </c>
      <c r="N7714" t="s">
        <v>20913</v>
      </c>
      <c r="O7714" t="s">
        <v>134</v>
      </c>
      <c r="P7714" t="s">
        <v>29</v>
      </c>
      <c r="Q7714">
        <v>37</v>
      </c>
      <c r="R7714">
        <v>-99.999999000000003</v>
      </c>
    </row>
    <row r="7715" spans="1:18" x14ac:dyDescent="0.2">
      <c r="A7715" t="s">
        <v>663</v>
      </c>
      <c r="B7715" t="s">
        <v>664</v>
      </c>
      <c r="C7715">
        <v>1</v>
      </c>
      <c r="D7715" s="1">
        <v>44193.156122685185</v>
      </c>
      <c r="E7715" t="s">
        <v>24084</v>
      </c>
      <c r="F7715" t="s">
        <v>666</v>
      </c>
      <c r="G7715" t="s">
        <v>24057</v>
      </c>
      <c r="H7715" t="s">
        <v>667</v>
      </c>
      <c r="I7715" t="s">
        <v>29</v>
      </c>
      <c r="J7715">
        <v>1</v>
      </c>
      <c r="K7715">
        <f t="shared" si="61"/>
        <v>-10844</v>
      </c>
      <c r="L7715" t="s">
        <v>24085</v>
      </c>
      <c r="M7715" t="s">
        <v>24086</v>
      </c>
      <c r="N7715" t="s">
        <v>20913</v>
      </c>
      <c r="O7715" t="s">
        <v>134</v>
      </c>
      <c r="P7715" t="s">
        <v>29</v>
      </c>
      <c r="Q7715">
        <v>37</v>
      </c>
      <c r="R7715">
        <v>-99.999999000000003</v>
      </c>
    </row>
    <row r="7716" spans="1:18" x14ac:dyDescent="0.2">
      <c r="A7716" t="s">
        <v>663</v>
      </c>
      <c r="B7716" t="s">
        <v>664</v>
      </c>
      <c r="C7716">
        <v>1</v>
      </c>
      <c r="D7716" s="1">
        <v>44193.156064814815</v>
      </c>
      <c r="E7716" t="s">
        <v>24087</v>
      </c>
      <c r="F7716" t="s">
        <v>666</v>
      </c>
      <c r="G7716" t="s">
        <v>24057</v>
      </c>
      <c r="H7716" t="s">
        <v>667</v>
      </c>
      <c r="I7716" t="s">
        <v>29</v>
      </c>
      <c r="J7716">
        <v>1</v>
      </c>
      <c r="K7716">
        <f t="shared" si="61"/>
        <v>-10844</v>
      </c>
      <c r="L7716" t="s">
        <v>24088</v>
      </c>
      <c r="M7716" t="s">
        <v>24089</v>
      </c>
      <c r="N7716" t="s">
        <v>20913</v>
      </c>
      <c r="O7716" t="s">
        <v>134</v>
      </c>
      <c r="P7716" t="s">
        <v>29</v>
      </c>
      <c r="Q7716">
        <v>37</v>
      </c>
      <c r="R7716">
        <v>-99.999999000000003</v>
      </c>
    </row>
    <row r="7717" spans="1:18" x14ac:dyDescent="0.2">
      <c r="A7717" t="s">
        <v>663</v>
      </c>
      <c r="B7717" t="s">
        <v>664</v>
      </c>
      <c r="C7717">
        <v>1</v>
      </c>
      <c r="D7717" s="1">
        <v>44193.156041666669</v>
      </c>
      <c r="E7717" t="s">
        <v>24090</v>
      </c>
      <c r="F7717" t="s">
        <v>666</v>
      </c>
      <c r="G7717" t="s">
        <v>24057</v>
      </c>
      <c r="H7717" t="s">
        <v>667</v>
      </c>
      <c r="I7717" t="s">
        <v>29</v>
      </c>
      <c r="J7717">
        <v>1</v>
      </c>
      <c r="K7717">
        <f t="shared" si="61"/>
        <v>-10844</v>
      </c>
      <c r="L7717" t="s">
        <v>24091</v>
      </c>
      <c r="M7717" t="s">
        <v>24092</v>
      </c>
      <c r="N7717" t="s">
        <v>20913</v>
      </c>
      <c r="O7717" t="s">
        <v>134</v>
      </c>
      <c r="P7717" t="s">
        <v>29</v>
      </c>
      <c r="Q7717">
        <v>37</v>
      </c>
      <c r="R7717">
        <v>-99.999999000000003</v>
      </c>
    </row>
    <row r="7718" spans="1:18" x14ac:dyDescent="0.2">
      <c r="A7718" t="s">
        <v>663</v>
      </c>
      <c r="B7718" t="s">
        <v>664</v>
      </c>
      <c r="C7718">
        <v>1</v>
      </c>
      <c r="D7718" s="1">
        <v>44193.1559837963</v>
      </c>
      <c r="E7718" t="s">
        <v>24093</v>
      </c>
      <c r="F7718" t="s">
        <v>666</v>
      </c>
      <c r="G7718" t="s">
        <v>24057</v>
      </c>
      <c r="H7718" t="s">
        <v>667</v>
      </c>
      <c r="I7718" t="s">
        <v>29</v>
      </c>
      <c r="J7718">
        <v>1</v>
      </c>
      <c r="K7718">
        <f t="shared" si="61"/>
        <v>-10844</v>
      </c>
      <c r="L7718" t="s">
        <v>24094</v>
      </c>
      <c r="M7718" t="s">
        <v>24095</v>
      </c>
      <c r="N7718" t="s">
        <v>20913</v>
      </c>
      <c r="O7718" t="s">
        <v>134</v>
      </c>
      <c r="P7718" t="s">
        <v>29</v>
      </c>
      <c r="Q7718">
        <v>37</v>
      </c>
      <c r="R7718">
        <v>-99.999999000000003</v>
      </c>
    </row>
    <row r="7719" spans="1:18" x14ac:dyDescent="0.2">
      <c r="A7719" t="s">
        <v>663</v>
      </c>
      <c r="B7719" t="s">
        <v>664</v>
      </c>
      <c r="C7719">
        <v>1</v>
      </c>
      <c r="D7719" s="1">
        <v>44193.155925925923</v>
      </c>
      <c r="E7719" t="s">
        <v>24096</v>
      </c>
      <c r="F7719" t="s">
        <v>666</v>
      </c>
      <c r="G7719" t="s">
        <v>24057</v>
      </c>
      <c r="H7719" t="s">
        <v>667</v>
      </c>
      <c r="I7719" t="s">
        <v>29</v>
      </c>
      <c r="J7719">
        <v>1</v>
      </c>
      <c r="K7719">
        <f t="shared" si="61"/>
        <v>-10844</v>
      </c>
      <c r="L7719" t="s">
        <v>24097</v>
      </c>
      <c r="M7719" t="s">
        <v>24098</v>
      </c>
      <c r="N7719" t="s">
        <v>20913</v>
      </c>
      <c r="O7719" t="s">
        <v>134</v>
      </c>
      <c r="P7719" t="s">
        <v>29</v>
      </c>
      <c r="Q7719">
        <v>37</v>
      </c>
      <c r="R7719">
        <v>-99.999999000000003</v>
      </c>
    </row>
    <row r="7720" spans="1:18" x14ac:dyDescent="0.2">
      <c r="A7720" t="s">
        <v>663</v>
      </c>
      <c r="B7720" t="s">
        <v>664</v>
      </c>
      <c r="C7720">
        <v>1</v>
      </c>
      <c r="D7720" s="1">
        <v>44193.155856481484</v>
      </c>
      <c r="E7720" t="s">
        <v>24099</v>
      </c>
      <c r="F7720" t="s">
        <v>666</v>
      </c>
      <c r="G7720" t="s">
        <v>24057</v>
      </c>
      <c r="H7720" t="s">
        <v>667</v>
      </c>
      <c r="I7720" t="s">
        <v>29</v>
      </c>
      <c r="J7720">
        <v>1</v>
      </c>
      <c r="K7720">
        <f t="shared" si="61"/>
        <v>-10844</v>
      </c>
      <c r="L7720" t="s">
        <v>24100</v>
      </c>
      <c r="M7720" t="s">
        <v>24101</v>
      </c>
      <c r="N7720" t="s">
        <v>20913</v>
      </c>
      <c r="O7720" t="s">
        <v>134</v>
      </c>
      <c r="P7720" t="s">
        <v>29</v>
      </c>
      <c r="Q7720">
        <v>37</v>
      </c>
      <c r="R7720">
        <v>-99.999999000000003</v>
      </c>
    </row>
    <row r="7721" spans="1:18" x14ac:dyDescent="0.2">
      <c r="A7721" t="s">
        <v>663</v>
      </c>
      <c r="B7721" t="s">
        <v>664</v>
      </c>
      <c r="C7721">
        <v>1</v>
      </c>
      <c r="D7721" s="1">
        <v>44193.155821759261</v>
      </c>
      <c r="E7721" t="s">
        <v>24102</v>
      </c>
      <c r="F7721" t="s">
        <v>666</v>
      </c>
      <c r="G7721" t="s">
        <v>24057</v>
      </c>
      <c r="H7721" t="s">
        <v>667</v>
      </c>
      <c r="I7721" t="s">
        <v>29</v>
      </c>
      <c r="J7721">
        <v>1</v>
      </c>
      <c r="K7721">
        <f t="shared" si="61"/>
        <v>-10844</v>
      </c>
      <c r="L7721" t="s">
        <v>24103</v>
      </c>
      <c r="M7721" t="s">
        <v>24104</v>
      </c>
      <c r="N7721" t="s">
        <v>20913</v>
      </c>
      <c r="O7721" t="s">
        <v>134</v>
      </c>
      <c r="P7721" t="s">
        <v>29</v>
      </c>
      <c r="Q7721">
        <v>37</v>
      </c>
      <c r="R7721">
        <v>-99.999999000000003</v>
      </c>
    </row>
    <row r="7722" spans="1:18" x14ac:dyDescent="0.2">
      <c r="A7722" t="s">
        <v>663</v>
      </c>
      <c r="B7722" t="s">
        <v>664</v>
      </c>
      <c r="C7722">
        <v>1</v>
      </c>
      <c r="D7722" s="1">
        <v>44193.155775462961</v>
      </c>
      <c r="E7722" t="s">
        <v>24105</v>
      </c>
      <c r="F7722" t="s">
        <v>666</v>
      </c>
      <c r="G7722" t="s">
        <v>24057</v>
      </c>
      <c r="H7722" t="s">
        <v>667</v>
      </c>
      <c r="I7722" t="s">
        <v>29</v>
      </c>
      <c r="J7722">
        <v>1</v>
      </c>
      <c r="K7722">
        <f t="shared" si="61"/>
        <v>-10844</v>
      </c>
      <c r="L7722" t="s">
        <v>24106</v>
      </c>
      <c r="M7722" t="s">
        <v>24107</v>
      </c>
      <c r="N7722" t="s">
        <v>20913</v>
      </c>
      <c r="O7722" t="s">
        <v>134</v>
      </c>
      <c r="P7722" t="s">
        <v>29</v>
      </c>
      <c r="Q7722">
        <v>37</v>
      </c>
      <c r="R7722">
        <v>-99.999999000000003</v>
      </c>
    </row>
    <row r="7723" spans="1:18" x14ac:dyDescent="0.2">
      <c r="A7723" t="s">
        <v>663</v>
      </c>
      <c r="B7723" t="s">
        <v>664</v>
      </c>
      <c r="C7723">
        <v>1</v>
      </c>
      <c r="D7723" s="1">
        <v>44193.155682870369</v>
      </c>
      <c r="E7723" t="s">
        <v>24108</v>
      </c>
      <c r="F7723" t="s">
        <v>666</v>
      </c>
      <c r="G7723" t="s">
        <v>24057</v>
      </c>
      <c r="H7723" t="s">
        <v>667</v>
      </c>
      <c r="I7723" t="s">
        <v>29</v>
      </c>
      <c r="J7723">
        <v>1</v>
      </c>
      <c r="K7723">
        <f t="shared" si="61"/>
        <v>-10844</v>
      </c>
      <c r="L7723" t="s">
        <v>24109</v>
      </c>
      <c r="M7723" t="s">
        <v>24110</v>
      </c>
      <c r="N7723" t="s">
        <v>20913</v>
      </c>
      <c r="O7723" t="s">
        <v>134</v>
      </c>
      <c r="P7723" t="s">
        <v>29</v>
      </c>
      <c r="Q7723">
        <v>37</v>
      </c>
      <c r="R7723">
        <v>-99.999999000000003</v>
      </c>
    </row>
    <row r="7724" spans="1:18" x14ac:dyDescent="0.2">
      <c r="A7724" t="s">
        <v>663</v>
      </c>
      <c r="B7724" t="s">
        <v>664</v>
      </c>
      <c r="C7724">
        <v>1</v>
      </c>
      <c r="D7724" s="1">
        <v>44193.155578703707</v>
      </c>
      <c r="E7724" t="s">
        <v>24111</v>
      </c>
      <c r="F7724" t="s">
        <v>666</v>
      </c>
      <c r="G7724" t="s">
        <v>24057</v>
      </c>
      <c r="H7724" t="s">
        <v>667</v>
      </c>
      <c r="I7724" t="s">
        <v>29</v>
      </c>
      <c r="J7724">
        <v>1</v>
      </c>
      <c r="K7724">
        <f t="shared" si="61"/>
        <v>-10844</v>
      </c>
      <c r="L7724" t="s">
        <v>24112</v>
      </c>
      <c r="M7724" t="s">
        <v>24113</v>
      </c>
      <c r="N7724" t="s">
        <v>20913</v>
      </c>
      <c r="O7724" t="s">
        <v>134</v>
      </c>
      <c r="P7724" t="s">
        <v>29</v>
      </c>
      <c r="Q7724">
        <v>37</v>
      </c>
      <c r="R7724">
        <v>-99.999999000000003</v>
      </c>
    </row>
    <row r="7725" spans="1:18" x14ac:dyDescent="0.2">
      <c r="A7725" t="s">
        <v>663</v>
      </c>
      <c r="B7725" t="s">
        <v>664</v>
      </c>
      <c r="C7725">
        <v>1</v>
      </c>
      <c r="D7725" s="1">
        <v>44192.693402777775</v>
      </c>
      <c r="E7725" t="s">
        <v>24114</v>
      </c>
      <c r="F7725" t="s">
        <v>666</v>
      </c>
      <c r="G7725" t="s">
        <v>24057</v>
      </c>
      <c r="H7725" t="s">
        <v>667</v>
      </c>
      <c r="I7725" t="s">
        <v>29</v>
      </c>
      <c r="J7725">
        <v>1</v>
      </c>
      <c r="K7725">
        <f t="shared" si="61"/>
        <v>-10844</v>
      </c>
      <c r="L7725" t="s">
        <v>24115</v>
      </c>
      <c r="M7725" t="s">
        <v>24116</v>
      </c>
      <c r="N7725" t="s">
        <v>20913</v>
      </c>
      <c r="O7725" t="s">
        <v>134</v>
      </c>
      <c r="P7725" t="s">
        <v>29</v>
      </c>
      <c r="Q7725">
        <v>37</v>
      </c>
      <c r="R7725">
        <v>-99.999999000000003</v>
      </c>
    </row>
    <row r="7726" spans="1:18" x14ac:dyDescent="0.2">
      <c r="A7726" t="s">
        <v>663</v>
      </c>
      <c r="B7726" t="s">
        <v>664</v>
      </c>
      <c r="C7726">
        <v>1</v>
      </c>
      <c r="D7726" s="1">
        <v>44186.422303240739</v>
      </c>
      <c r="E7726" t="s">
        <v>24117</v>
      </c>
      <c r="F7726" t="s">
        <v>666</v>
      </c>
      <c r="G7726" t="s">
        <v>24057</v>
      </c>
      <c r="H7726" t="s">
        <v>667</v>
      </c>
      <c r="I7726" t="s">
        <v>29</v>
      </c>
      <c r="J7726">
        <v>1</v>
      </c>
      <c r="K7726">
        <f t="shared" ref="K7726:K7734" si="62">1-888-465-1198</f>
        <v>-2550</v>
      </c>
      <c r="L7726" t="s">
        <v>24118</v>
      </c>
      <c r="M7726" t="s">
        <v>24119</v>
      </c>
      <c r="N7726" t="s">
        <v>20913</v>
      </c>
      <c r="O7726" t="s">
        <v>134</v>
      </c>
      <c r="P7726" t="s">
        <v>29</v>
      </c>
      <c r="Q7726">
        <v>37</v>
      </c>
      <c r="R7726">
        <v>-99.999999000000003</v>
      </c>
    </row>
    <row r="7727" spans="1:18" x14ac:dyDescent="0.2">
      <c r="A7727" t="s">
        <v>663</v>
      </c>
      <c r="B7727" t="s">
        <v>664</v>
      </c>
      <c r="C7727">
        <v>1</v>
      </c>
      <c r="D7727" s="1">
        <v>44186.422303240739</v>
      </c>
      <c r="E7727" t="s">
        <v>24120</v>
      </c>
      <c r="F7727" t="s">
        <v>666</v>
      </c>
      <c r="G7727" t="s">
        <v>24057</v>
      </c>
      <c r="H7727" t="s">
        <v>667</v>
      </c>
      <c r="I7727" t="s">
        <v>29</v>
      </c>
      <c r="J7727">
        <v>1</v>
      </c>
      <c r="K7727">
        <f t="shared" si="62"/>
        <v>-2550</v>
      </c>
      <c r="L7727" t="s">
        <v>24121</v>
      </c>
      <c r="M7727" t="s">
        <v>24122</v>
      </c>
      <c r="N7727" t="s">
        <v>20913</v>
      </c>
      <c r="O7727" t="s">
        <v>134</v>
      </c>
      <c r="P7727" t="s">
        <v>29</v>
      </c>
      <c r="Q7727">
        <v>37</v>
      </c>
      <c r="R7727">
        <v>-99.999999000000003</v>
      </c>
    </row>
    <row r="7728" spans="1:18" x14ac:dyDescent="0.2">
      <c r="A7728" t="s">
        <v>663</v>
      </c>
      <c r="B7728" t="s">
        <v>664</v>
      </c>
      <c r="C7728">
        <v>1</v>
      </c>
      <c r="D7728" s="1">
        <v>44186.422060185185</v>
      </c>
      <c r="E7728" t="s">
        <v>24123</v>
      </c>
      <c r="F7728" t="s">
        <v>666</v>
      </c>
      <c r="G7728" t="s">
        <v>24057</v>
      </c>
      <c r="H7728" t="s">
        <v>667</v>
      </c>
      <c r="I7728" t="s">
        <v>29</v>
      </c>
      <c r="J7728">
        <v>1</v>
      </c>
      <c r="K7728">
        <f t="shared" si="62"/>
        <v>-2550</v>
      </c>
      <c r="L7728" t="s">
        <v>24124</v>
      </c>
      <c r="M7728" t="s">
        <v>24125</v>
      </c>
      <c r="N7728" t="s">
        <v>20913</v>
      </c>
      <c r="O7728" t="s">
        <v>134</v>
      </c>
      <c r="P7728" t="s">
        <v>29</v>
      </c>
      <c r="Q7728">
        <v>37</v>
      </c>
      <c r="R7728">
        <v>-99.999999000000003</v>
      </c>
    </row>
    <row r="7729" spans="1:18" x14ac:dyDescent="0.2">
      <c r="A7729" t="s">
        <v>663</v>
      </c>
      <c r="B7729" t="s">
        <v>664</v>
      </c>
      <c r="C7729">
        <v>1</v>
      </c>
      <c r="D7729" s="1">
        <v>44186.422060185185</v>
      </c>
      <c r="E7729" t="s">
        <v>24126</v>
      </c>
      <c r="F7729" t="s">
        <v>666</v>
      </c>
      <c r="G7729" t="s">
        <v>24057</v>
      </c>
      <c r="H7729" t="s">
        <v>667</v>
      </c>
      <c r="I7729" t="s">
        <v>29</v>
      </c>
      <c r="J7729">
        <v>1</v>
      </c>
      <c r="K7729">
        <f t="shared" si="62"/>
        <v>-2550</v>
      </c>
      <c r="L7729" t="s">
        <v>24127</v>
      </c>
      <c r="M7729" t="s">
        <v>24128</v>
      </c>
      <c r="N7729" t="s">
        <v>20913</v>
      </c>
      <c r="O7729" t="s">
        <v>134</v>
      </c>
      <c r="P7729" t="s">
        <v>29</v>
      </c>
      <c r="Q7729">
        <v>37</v>
      </c>
      <c r="R7729">
        <v>-99.999999000000003</v>
      </c>
    </row>
    <row r="7730" spans="1:18" x14ac:dyDescent="0.2">
      <c r="A7730" t="s">
        <v>663</v>
      </c>
      <c r="B7730" t="s">
        <v>664</v>
      </c>
      <c r="C7730">
        <v>1</v>
      </c>
      <c r="D7730" s="1">
        <v>44186.421840277777</v>
      </c>
      <c r="E7730" t="s">
        <v>24129</v>
      </c>
      <c r="F7730" t="s">
        <v>666</v>
      </c>
      <c r="G7730" t="s">
        <v>24057</v>
      </c>
      <c r="H7730" t="s">
        <v>667</v>
      </c>
      <c r="I7730" t="s">
        <v>29</v>
      </c>
      <c r="J7730">
        <v>1</v>
      </c>
      <c r="K7730">
        <f t="shared" si="62"/>
        <v>-2550</v>
      </c>
      <c r="L7730" t="s">
        <v>24130</v>
      </c>
      <c r="M7730" t="s">
        <v>24131</v>
      </c>
      <c r="N7730" t="s">
        <v>20913</v>
      </c>
      <c r="O7730" t="s">
        <v>134</v>
      </c>
      <c r="P7730" t="s">
        <v>29</v>
      </c>
      <c r="Q7730">
        <v>37</v>
      </c>
      <c r="R7730">
        <v>-99.999999000000003</v>
      </c>
    </row>
    <row r="7731" spans="1:18" x14ac:dyDescent="0.2">
      <c r="A7731" t="s">
        <v>663</v>
      </c>
      <c r="B7731" t="s">
        <v>664</v>
      </c>
      <c r="C7731">
        <v>1</v>
      </c>
      <c r="D7731" s="1">
        <v>44186.421678240738</v>
      </c>
      <c r="E7731" t="s">
        <v>24132</v>
      </c>
      <c r="F7731" t="s">
        <v>666</v>
      </c>
      <c r="G7731" t="s">
        <v>24057</v>
      </c>
      <c r="H7731" t="s">
        <v>667</v>
      </c>
      <c r="I7731" t="s">
        <v>29</v>
      </c>
      <c r="J7731">
        <v>1</v>
      </c>
      <c r="K7731">
        <f t="shared" si="62"/>
        <v>-2550</v>
      </c>
      <c r="L7731" t="s">
        <v>24133</v>
      </c>
      <c r="M7731" t="s">
        <v>24134</v>
      </c>
      <c r="N7731" t="s">
        <v>20913</v>
      </c>
      <c r="O7731" t="s">
        <v>134</v>
      </c>
      <c r="P7731" t="s">
        <v>29</v>
      </c>
      <c r="Q7731">
        <v>37</v>
      </c>
      <c r="R7731">
        <v>-99.999999000000003</v>
      </c>
    </row>
    <row r="7732" spans="1:18" x14ac:dyDescent="0.2">
      <c r="A7732" t="s">
        <v>663</v>
      </c>
      <c r="B7732" t="s">
        <v>664</v>
      </c>
      <c r="C7732">
        <v>1</v>
      </c>
      <c r="D7732" s="1">
        <v>44186.421574074076</v>
      </c>
      <c r="E7732" t="s">
        <v>24135</v>
      </c>
      <c r="F7732" t="s">
        <v>666</v>
      </c>
      <c r="G7732" t="s">
        <v>24057</v>
      </c>
      <c r="H7732" t="s">
        <v>667</v>
      </c>
      <c r="I7732" t="s">
        <v>29</v>
      </c>
      <c r="J7732">
        <v>1</v>
      </c>
      <c r="K7732">
        <f t="shared" si="62"/>
        <v>-2550</v>
      </c>
      <c r="L7732" t="s">
        <v>24136</v>
      </c>
      <c r="M7732" t="s">
        <v>24137</v>
      </c>
      <c r="N7732" t="s">
        <v>20913</v>
      </c>
      <c r="O7732" t="s">
        <v>134</v>
      </c>
      <c r="P7732" t="s">
        <v>29</v>
      </c>
      <c r="Q7732">
        <v>37</v>
      </c>
      <c r="R7732">
        <v>-99.999999000000003</v>
      </c>
    </row>
    <row r="7733" spans="1:18" x14ac:dyDescent="0.2">
      <c r="A7733" t="s">
        <v>663</v>
      </c>
      <c r="B7733" t="s">
        <v>664</v>
      </c>
      <c r="C7733">
        <v>1</v>
      </c>
      <c r="D7733" s="1">
        <v>44186.421446759261</v>
      </c>
      <c r="E7733" t="s">
        <v>24138</v>
      </c>
      <c r="F7733" t="s">
        <v>666</v>
      </c>
      <c r="G7733" t="s">
        <v>24057</v>
      </c>
      <c r="H7733" t="s">
        <v>667</v>
      </c>
      <c r="I7733" t="s">
        <v>29</v>
      </c>
      <c r="J7733">
        <v>1</v>
      </c>
      <c r="K7733">
        <f t="shared" si="62"/>
        <v>-2550</v>
      </c>
      <c r="L7733" t="s">
        <v>24139</v>
      </c>
      <c r="M7733" t="s">
        <v>24140</v>
      </c>
      <c r="N7733" t="s">
        <v>20913</v>
      </c>
      <c r="O7733" t="s">
        <v>134</v>
      </c>
      <c r="P7733" t="s">
        <v>29</v>
      </c>
      <c r="Q7733">
        <v>37</v>
      </c>
      <c r="R7733">
        <v>-99.999999000000003</v>
      </c>
    </row>
    <row r="7734" spans="1:18" x14ac:dyDescent="0.2">
      <c r="A7734" t="s">
        <v>663</v>
      </c>
      <c r="B7734" t="s">
        <v>664</v>
      </c>
      <c r="C7734">
        <v>1</v>
      </c>
      <c r="D7734" s="1">
        <v>44186.42114583333</v>
      </c>
      <c r="E7734" t="s">
        <v>24141</v>
      </c>
      <c r="F7734" t="s">
        <v>666</v>
      </c>
      <c r="G7734" t="s">
        <v>24057</v>
      </c>
      <c r="H7734" t="s">
        <v>667</v>
      </c>
      <c r="I7734" t="s">
        <v>29</v>
      </c>
      <c r="J7734">
        <v>1</v>
      </c>
      <c r="K7734">
        <f t="shared" si="62"/>
        <v>-2550</v>
      </c>
      <c r="L7734" t="s">
        <v>24142</v>
      </c>
      <c r="M7734" t="s">
        <v>24143</v>
      </c>
      <c r="N7734" t="s">
        <v>20913</v>
      </c>
      <c r="O7734" t="s">
        <v>134</v>
      </c>
      <c r="P7734" t="s">
        <v>29</v>
      </c>
      <c r="Q7734">
        <v>37</v>
      </c>
      <c r="R7734">
        <v>-99.999999000000003</v>
      </c>
    </row>
    <row r="7735" spans="1:18" x14ac:dyDescent="0.2">
      <c r="A7735" t="s">
        <v>663</v>
      </c>
      <c r="B7735" t="s">
        <v>664</v>
      </c>
      <c r="C7735">
        <v>1</v>
      </c>
      <c r="D7735" s="1">
        <v>44178.610914351855</v>
      </c>
      <c r="E7735" t="s">
        <v>24144</v>
      </c>
      <c r="F7735" t="s">
        <v>666</v>
      </c>
      <c r="G7735" t="s">
        <v>24057</v>
      </c>
      <c r="H7735" t="s">
        <v>667</v>
      </c>
      <c r="I7735" t="s">
        <v>29</v>
      </c>
      <c r="J7735">
        <v>1</v>
      </c>
      <c r="K7735">
        <f>1-888-984-7932</f>
        <v>-9803</v>
      </c>
      <c r="L7735" t="s">
        <v>24145</v>
      </c>
      <c r="M7735" t="s">
        <v>24146</v>
      </c>
      <c r="N7735" t="s">
        <v>20913</v>
      </c>
      <c r="O7735" t="s">
        <v>134</v>
      </c>
      <c r="P7735" t="s">
        <v>29</v>
      </c>
      <c r="Q7735">
        <v>37</v>
      </c>
      <c r="R7735">
        <v>-99.999999000000003</v>
      </c>
    </row>
    <row r="7736" spans="1:18" x14ac:dyDescent="0.2">
      <c r="A7736" t="s">
        <v>663</v>
      </c>
      <c r="B7736" t="s">
        <v>664</v>
      </c>
      <c r="C7736">
        <v>1</v>
      </c>
      <c r="D7736" s="1">
        <v>44174.466087962966</v>
      </c>
      <c r="E7736" t="s">
        <v>24147</v>
      </c>
      <c r="F7736" t="s">
        <v>666</v>
      </c>
      <c r="G7736" t="s">
        <v>24057</v>
      </c>
      <c r="H7736" t="s">
        <v>667</v>
      </c>
      <c r="I7736" t="s">
        <v>29</v>
      </c>
      <c r="J7736">
        <v>1</v>
      </c>
      <c r="K7736">
        <f>1-888-984-5439</f>
        <v>-7310</v>
      </c>
      <c r="L7736" t="s">
        <v>24148</v>
      </c>
      <c r="M7736" t="s">
        <v>24149</v>
      </c>
      <c r="N7736" t="s">
        <v>20913</v>
      </c>
      <c r="O7736" t="s">
        <v>134</v>
      </c>
      <c r="P7736" t="s">
        <v>29</v>
      </c>
      <c r="Q7736">
        <v>37</v>
      </c>
      <c r="R7736">
        <v>-99.999999000000003</v>
      </c>
    </row>
    <row r="7737" spans="1:18" x14ac:dyDescent="0.2">
      <c r="A7737" t="s">
        <v>663</v>
      </c>
      <c r="B7737" t="s">
        <v>664</v>
      </c>
      <c r="C7737">
        <v>1</v>
      </c>
      <c r="D7737" s="1">
        <v>44174.46601851852</v>
      </c>
      <c r="E7737" t="s">
        <v>24150</v>
      </c>
      <c r="F7737" t="s">
        <v>666</v>
      </c>
      <c r="G7737" t="s">
        <v>24057</v>
      </c>
      <c r="H7737" t="s">
        <v>667</v>
      </c>
      <c r="I7737" t="s">
        <v>29</v>
      </c>
      <c r="J7737">
        <v>1</v>
      </c>
      <c r="K7737">
        <f>1-888-984-5439</f>
        <v>-7310</v>
      </c>
      <c r="L7737" t="s">
        <v>24151</v>
      </c>
      <c r="M7737" t="s">
        <v>24152</v>
      </c>
      <c r="N7737" t="s">
        <v>20913</v>
      </c>
      <c r="O7737" t="s">
        <v>134</v>
      </c>
      <c r="P7737" t="s">
        <v>29</v>
      </c>
      <c r="Q7737">
        <v>37</v>
      </c>
      <c r="R7737">
        <v>-99.999999000000003</v>
      </c>
    </row>
    <row r="7738" spans="1:18" x14ac:dyDescent="0.2">
      <c r="A7738" t="s">
        <v>663</v>
      </c>
      <c r="B7738" t="s">
        <v>2493</v>
      </c>
      <c r="C7738">
        <v>1</v>
      </c>
      <c r="D7738" s="1">
        <v>44174.770694444444</v>
      </c>
      <c r="E7738" t="s">
        <v>24153</v>
      </c>
      <c r="F7738" t="s">
        <v>666</v>
      </c>
      <c r="G7738" t="s">
        <v>24153</v>
      </c>
      <c r="H7738" t="s">
        <v>667</v>
      </c>
      <c r="I7738" t="s">
        <v>29</v>
      </c>
      <c r="J7738">
        <v>1</v>
      </c>
      <c r="K7738">
        <f>1-844-313-3749</f>
        <v>-4905</v>
      </c>
      <c r="L7738" t="s">
        <v>24154</v>
      </c>
      <c r="M7738" t="s">
        <v>24155</v>
      </c>
      <c r="N7738">
        <v>209</v>
      </c>
      <c r="O7738" t="s">
        <v>134</v>
      </c>
      <c r="P7738" t="s">
        <v>29</v>
      </c>
      <c r="Q7738">
        <v>41</v>
      </c>
      <c r="R7738">
        <v>-74.024699999999996</v>
      </c>
    </row>
    <row r="7739" spans="1:18" x14ac:dyDescent="0.2">
      <c r="A7739" t="s">
        <v>663</v>
      </c>
      <c r="B7739" t="s">
        <v>2493</v>
      </c>
      <c r="C7739">
        <v>1</v>
      </c>
      <c r="D7739" s="1">
        <v>44174.771562499998</v>
      </c>
      <c r="E7739" t="s">
        <v>24156</v>
      </c>
      <c r="F7739" t="s">
        <v>666</v>
      </c>
      <c r="G7739" t="s">
        <v>24156</v>
      </c>
      <c r="H7739" t="s">
        <v>667</v>
      </c>
      <c r="I7739" t="s">
        <v>29</v>
      </c>
      <c r="J7739">
        <v>1</v>
      </c>
      <c r="K7739">
        <f>1-888-269-3088</f>
        <v>-4244</v>
      </c>
      <c r="L7739" t="s">
        <v>24157</v>
      </c>
      <c r="M7739" t="s">
        <v>24158</v>
      </c>
      <c r="N7739">
        <v>90</v>
      </c>
      <c r="O7739" t="s">
        <v>134</v>
      </c>
      <c r="P7739" t="s">
        <v>29</v>
      </c>
      <c r="Q7739">
        <v>41</v>
      </c>
      <c r="R7739">
        <v>-74.024699999999996</v>
      </c>
    </row>
    <row r="7740" spans="1:18" x14ac:dyDescent="0.2">
      <c r="A7740" t="s">
        <v>663</v>
      </c>
      <c r="B7740" t="s">
        <v>2493</v>
      </c>
      <c r="C7740">
        <v>1</v>
      </c>
      <c r="D7740" s="1">
        <v>44174.771284722221</v>
      </c>
      <c r="E7740" t="s">
        <v>24156</v>
      </c>
      <c r="F7740" t="s">
        <v>666</v>
      </c>
      <c r="G7740" t="s">
        <v>24156</v>
      </c>
      <c r="H7740" t="s">
        <v>667</v>
      </c>
      <c r="I7740" t="s">
        <v>29</v>
      </c>
      <c r="J7740">
        <v>1</v>
      </c>
      <c r="K7740">
        <f>1-888-226-915</f>
        <v>-2028</v>
      </c>
      <c r="L7740" t="s">
        <v>24159</v>
      </c>
      <c r="M7740" t="s">
        <v>24160</v>
      </c>
      <c r="N7740">
        <v>90</v>
      </c>
      <c r="O7740" t="s">
        <v>134</v>
      </c>
      <c r="P7740" t="s">
        <v>29</v>
      </c>
      <c r="Q7740">
        <v>41</v>
      </c>
      <c r="R7740">
        <v>-74.024699999999996</v>
      </c>
    </row>
    <row r="7741" spans="1:18" x14ac:dyDescent="0.2">
      <c r="A7741" t="s">
        <v>663</v>
      </c>
      <c r="B7741" t="s">
        <v>2493</v>
      </c>
      <c r="C7741">
        <v>61</v>
      </c>
      <c r="D7741" s="1">
        <v>44174.212233796294</v>
      </c>
      <c r="E7741" t="s">
        <v>24161</v>
      </c>
      <c r="F7741" t="s">
        <v>666</v>
      </c>
      <c r="G7741" t="s">
        <v>24161</v>
      </c>
      <c r="H7741" t="s">
        <v>667</v>
      </c>
      <c r="I7741" t="s">
        <v>782</v>
      </c>
      <c r="J7741">
        <v>61</v>
      </c>
      <c r="K7741">
        <f>61-1800-931-940</f>
        <v>-3610</v>
      </c>
      <c r="L7741" t="s">
        <v>24162</v>
      </c>
      <c r="M7741" t="s">
        <v>24163</v>
      </c>
      <c r="N7741">
        <v>205</v>
      </c>
      <c r="O7741" t="s">
        <v>134</v>
      </c>
      <c r="P7741" t="s">
        <v>29</v>
      </c>
      <c r="Q7741">
        <v>41</v>
      </c>
      <c r="R7741">
        <v>-74.024699999999996</v>
      </c>
    </row>
    <row r="7742" spans="1:18" x14ac:dyDescent="0.2">
      <c r="A7742" t="s">
        <v>2233</v>
      </c>
      <c r="B7742" t="s">
        <v>2234</v>
      </c>
      <c r="C7742">
        <v>1</v>
      </c>
      <c r="D7742" s="1">
        <v>44174.79246527778</v>
      </c>
      <c r="E7742" t="s">
        <v>24164</v>
      </c>
      <c r="F7742" t="s">
        <v>2236</v>
      </c>
      <c r="G7742" t="s">
        <v>24164</v>
      </c>
      <c r="H7742" t="s">
        <v>2237</v>
      </c>
      <c r="I7742" t="s">
        <v>29</v>
      </c>
      <c r="J7742">
        <v>1</v>
      </c>
      <c r="K7742">
        <f>1-844-480-248</f>
        <v>-1571</v>
      </c>
      <c r="L7742" t="s">
        <v>24165</v>
      </c>
      <c r="M7742" t="s">
        <v>24166</v>
      </c>
      <c r="N7742">
        <v>98</v>
      </c>
      <c r="O7742" t="s">
        <v>134</v>
      </c>
      <c r="P7742" t="s">
        <v>29</v>
      </c>
      <c r="Q7742">
        <v>40</v>
      </c>
      <c r="R7742">
        <v>-83.114099999999993</v>
      </c>
    </row>
    <row r="7743" spans="1:18" x14ac:dyDescent="0.2">
      <c r="A7743" t="s">
        <v>663</v>
      </c>
      <c r="B7743" t="s">
        <v>2493</v>
      </c>
      <c r="C7743">
        <v>1</v>
      </c>
      <c r="D7743" s="1">
        <v>44174.810856481483</v>
      </c>
      <c r="E7743" t="s">
        <v>24167</v>
      </c>
      <c r="F7743" t="s">
        <v>666</v>
      </c>
      <c r="G7743" t="s">
        <v>24167</v>
      </c>
      <c r="H7743" t="s">
        <v>667</v>
      </c>
      <c r="I7743" t="s">
        <v>29</v>
      </c>
      <c r="J7743">
        <v>1</v>
      </c>
      <c r="K7743">
        <f>1-888-216-9001</f>
        <v>-10104</v>
      </c>
      <c r="L7743" t="s">
        <v>24168</v>
      </c>
      <c r="M7743" t="s">
        <v>24169</v>
      </c>
      <c r="N7743">
        <v>29</v>
      </c>
      <c r="O7743" t="s">
        <v>134</v>
      </c>
      <c r="P7743" t="s">
        <v>29</v>
      </c>
      <c r="Q7743">
        <v>41</v>
      </c>
      <c r="R7743">
        <v>-74.024699999999996</v>
      </c>
    </row>
    <row r="7744" spans="1:18" x14ac:dyDescent="0.2">
      <c r="A7744" t="s">
        <v>663</v>
      </c>
      <c r="B7744" t="s">
        <v>2493</v>
      </c>
      <c r="C7744">
        <v>1</v>
      </c>
      <c r="D7744" s="1">
        <v>44174.810810185183</v>
      </c>
      <c r="E7744" t="s">
        <v>24167</v>
      </c>
      <c r="F7744" t="s">
        <v>666</v>
      </c>
      <c r="G7744" t="s">
        <v>24167</v>
      </c>
      <c r="H7744" t="s">
        <v>667</v>
      </c>
      <c r="I7744" t="s">
        <v>29</v>
      </c>
      <c r="J7744">
        <v>1</v>
      </c>
      <c r="K7744">
        <f>1-888-256-5497</f>
        <v>-6640</v>
      </c>
      <c r="L7744" t="s">
        <v>24170</v>
      </c>
      <c r="M7744" t="s">
        <v>24171</v>
      </c>
      <c r="N7744">
        <v>29</v>
      </c>
      <c r="O7744" t="s">
        <v>134</v>
      </c>
      <c r="P7744" t="s">
        <v>29</v>
      </c>
      <c r="Q7744">
        <v>41</v>
      </c>
      <c r="R7744">
        <v>-74.024699999999996</v>
      </c>
    </row>
    <row r="7745" spans="1:18" x14ac:dyDescent="0.2">
      <c r="A7745" t="s">
        <v>663</v>
      </c>
      <c r="B7745" t="s">
        <v>2493</v>
      </c>
      <c r="C7745">
        <v>1</v>
      </c>
      <c r="D7745" s="1">
        <v>44174.811898148146</v>
      </c>
      <c r="E7745" t="s">
        <v>24172</v>
      </c>
      <c r="F7745" t="s">
        <v>666</v>
      </c>
      <c r="G7745" t="s">
        <v>24172</v>
      </c>
      <c r="H7745" t="s">
        <v>667</v>
      </c>
      <c r="I7745" t="s">
        <v>29</v>
      </c>
      <c r="J7745">
        <v>1</v>
      </c>
      <c r="K7745">
        <f>1-844-309-2136</f>
        <v>-3288</v>
      </c>
      <c r="L7745" t="s">
        <v>24173</v>
      </c>
      <c r="M7745" t="s">
        <v>24174</v>
      </c>
      <c r="N7745">
        <v>51</v>
      </c>
      <c r="O7745" t="s">
        <v>134</v>
      </c>
      <c r="P7745" t="s">
        <v>29</v>
      </c>
      <c r="Q7745">
        <v>41</v>
      </c>
      <c r="R7745">
        <v>-74.024699999999996</v>
      </c>
    </row>
    <row r="7746" spans="1:18" x14ac:dyDescent="0.2">
      <c r="A7746" t="s">
        <v>439</v>
      </c>
      <c r="B7746" t="s">
        <v>4321</v>
      </c>
      <c r="C7746">
        <v>1</v>
      </c>
      <c r="D7746" s="1">
        <v>44174.812037037038</v>
      </c>
      <c r="E7746" t="s">
        <v>24175</v>
      </c>
      <c r="F7746" t="s">
        <v>442</v>
      </c>
      <c r="G7746" t="s">
        <v>24176</v>
      </c>
      <c r="H7746" t="s">
        <v>444</v>
      </c>
      <c r="I7746" t="s">
        <v>29</v>
      </c>
      <c r="J7746">
        <v>1</v>
      </c>
      <c r="K7746">
        <f>1-844-308-1406</f>
        <v>-2557</v>
      </c>
      <c r="L7746" t="s">
        <v>24177</v>
      </c>
      <c r="M7746" t="s">
        <v>24178</v>
      </c>
      <c r="N7746" t="s">
        <v>452</v>
      </c>
      <c r="O7746" t="s">
        <v>28</v>
      </c>
      <c r="P7746" t="s">
        <v>29</v>
      </c>
      <c r="Q7746">
        <v>42</v>
      </c>
      <c r="R7746">
        <v>-87.629800000000003</v>
      </c>
    </row>
    <row r="7747" spans="1:18" x14ac:dyDescent="0.2">
      <c r="A7747" t="s">
        <v>663</v>
      </c>
      <c r="B7747" t="s">
        <v>2493</v>
      </c>
      <c r="C7747">
        <v>1</v>
      </c>
      <c r="D7747" s="1">
        <v>44174.832743055558</v>
      </c>
      <c r="E7747" t="s">
        <v>24179</v>
      </c>
      <c r="F7747" t="s">
        <v>2495</v>
      </c>
      <c r="G7747" t="s">
        <v>24179</v>
      </c>
      <c r="H7747" t="s">
        <v>667</v>
      </c>
      <c r="I7747" t="s">
        <v>29</v>
      </c>
      <c r="J7747">
        <v>1</v>
      </c>
      <c r="K7747">
        <f>1-888-232-5934</f>
        <v>-7053</v>
      </c>
      <c r="L7747" t="s">
        <v>24180</v>
      </c>
      <c r="M7747" t="s">
        <v>24181</v>
      </c>
      <c r="N7747">
        <v>42</v>
      </c>
      <c r="O7747" t="s">
        <v>134</v>
      </c>
      <c r="P7747" t="s">
        <v>29</v>
      </c>
      <c r="Q7747">
        <v>41</v>
      </c>
      <c r="R7747">
        <v>-74.024699999999996</v>
      </c>
    </row>
    <row r="7748" spans="1:18" x14ac:dyDescent="0.2">
      <c r="A7748" t="s">
        <v>663</v>
      </c>
      <c r="B7748" t="s">
        <v>2493</v>
      </c>
      <c r="C7748">
        <v>1</v>
      </c>
      <c r="D7748" s="1">
        <v>44174.832696759258</v>
      </c>
      <c r="E7748" t="s">
        <v>24179</v>
      </c>
      <c r="F7748" t="s">
        <v>2495</v>
      </c>
      <c r="G7748" t="s">
        <v>24179</v>
      </c>
      <c r="H7748" t="s">
        <v>667</v>
      </c>
      <c r="I7748" t="s">
        <v>29</v>
      </c>
      <c r="J7748">
        <v>1</v>
      </c>
      <c r="K7748">
        <f>1-888-210-2459</f>
        <v>-3556</v>
      </c>
      <c r="L7748" t="s">
        <v>24182</v>
      </c>
      <c r="M7748" t="s">
        <v>24183</v>
      </c>
      <c r="N7748">
        <v>42</v>
      </c>
      <c r="O7748" t="s">
        <v>134</v>
      </c>
      <c r="P7748" t="s">
        <v>29</v>
      </c>
      <c r="Q7748">
        <v>41</v>
      </c>
      <c r="R7748">
        <v>-74.024699999999996</v>
      </c>
    </row>
    <row r="7749" spans="1:18" x14ac:dyDescent="0.2">
      <c r="A7749" t="s">
        <v>439</v>
      </c>
      <c r="B7749" t="s">
        <v>4321</v>
      </c>
      <c r="C7749">
        <v>1</v>
      </c>
      <c r="D7749" s="1">
        <v>44174.840914351851</v>
      </c>
      <c r="E7749" t="s">
        <v>24184</v>
      </c>
      <c r="F7749" t="s">
        <v>442</v>
      </c>
      <c r="G7749" t="s">
        <v>24185</v>
      </c>
      <c r="H7749" t="s">
        <v>444</v>
      </c>
      <c r="I7749" t="s">
        <v>29</v>
      </c>
      <c r="J7749">
        <v>1</v>
      </c>
      <c r="K7749">
        <f>1-888-585-4281</f>
        <v>-5753</v>
      </c>
      <c r="L7749" t="s">
        <v>24186</v>
      </c>
      <c r="M7749" t="s">
        <v>24187</v>
      </c>
      <c r="N7749" t="s">
        <v>452</v>
      </c>
      <c r="O7749" t="s">
        <v>28</v>
      </c>
      <c r="P7749" t="s">
        <v>29</v>
      </c>
      <c r="Q7749">
        <v>42</v>
      </c>
      <c r="R7749">
        <v>-87.629800000000003</v>
      </c>
    </row>
    <row r="7750" spans="1:18" x14ac:dyDescent="0.2">
      <c r="A7750" t="s">
        <v>663</v>
      </c>
      <c r="B7750" t="s">
        <v>2493</v>
      </c>
      <c r="C7750">
        <v>1</v>
      </c>
      <c r="D7750" s="1">
        <v>44174.841967592591</v>
      </c>
      <c r="E7750" t="s">
        <v>24188</v>
      </c>
      <c r="F7750" t="s">
        <v>666</v>
      </c>
      <c r="G7750" t="s">
        <v>24188</v>
      </c>
      <c r="H7750" t="s">
        <v>667</v>
      </c>
      <c r="I7750" t="s">
        <v>29</v>
      </c>
      <c r="J7750">
        <v>1</v>
      </c>
      <c r="K7750">
        <f>1-888-256-5497</f>
        <v>-6640</v>
      </c>
      <c r="L7750" t="s">
        <v>24189</v>
      </c>
      <c r="M7750" t="s">
        <v>24190</v>
      </c>
      <c r="N7750">
        <v>132</v>
      </c>
      <c r="O7750" t="s">
        <v>134</v>
      </c>
      <c r="P7750" t="s">
        <v>29</v>
      </c>
      <c r="Q7750">
        <v>41</v>
      </c>
      <c r="R7750">
        <v>-74.024699999999996</v>
      </c>
    </row>
    <row r="7751" spans="1:18" x14ac:dyDescent="0.2">
      <c r="A7751" t="s">
        <v>663</v>
      </c>
      <c r="B7751" t="s">
        <v>2493</v>
      </c>
      <c r="C7751">
        <v>1</v>
      </c>
      <c r="D7751" s="1">
        <v>44174.862037037034</v>
      </c>
      <c r="E7751" t="s">
        <v>24191</v>
      </c>
      <c r="F7751" t="s">
        <v>666</v>
      </c>
      <c r="G7751" t="s">
        <v>24191</v>
      </c>
      <c r="H7751" t="s">
        <v>667</v>
      </c>
      <c r="I7751" t="s">
        <v>29</v>
      </c>
      <c r="J7751">
        <v>1</v>
      </c>
      <c r="K7751">
        <f>1-888-206-3757</f>
        <v>-4850</v>
      </c>
      <c r="L7751" t="s">
        <v>24192</v>
      </c>
      <c r="M7751" t="s">
        <v>24193</v>
      </c>
      <c r="N7751">
        <v>145</v>
      </c>
      <c r="O7751" t="s">
        <v>134</v>
      </c>
      <c r="P7751" t="s">
        <v>29</v>
      </c>
      <c r="Q7751">
        <v>41</v>
      </c>
      <c r="R7751">
        <v>-74.024699999999996</v>
      </c>
    </row>
    <row r="7752" spans="1:18" x14ac:dyDescent="0.2">
      <c r="A7752" t="s">
        <v>439</v>
      </c>
      <c r="B7752" t="s">
        <v>4321</v>
      </c>
      <c r="C7752">
        <v>1</v>
      </c>
      <c r="D7752" s="1">
        <v>44174.864571759259</v>
      </c>
      <c r="E7752" t="s">
        <v>24194</v>
      </c>
      <c r="F7752" t="s">
        <v>442</v>
      </c>
      <c r="G7752" t="s">
        <v>24195</v>
      </c>
      <c r="H7752" t="s">
        <v>444</v>
      </c>
      <c r="I7752" t="s">
        <v>29</v>
      </c>
      <c r="J7752">
        <v>1</v>
      </c>
      <c r="K7752">
        <f>1-833-300-2712</f>
        <v>-3844</v>
      </c>
      <c r="L7752" t="s">
        <v>24196</v>
      </c>
      <c r="M7752" t="s">
        <v>24197</v>
      </c>
      <c r="N7752" t="s">
        <v>213</v>
      </c>
      <c r="O7752" t="s">
        <v>28</v>
      </c>
      <c r="P7752" t="s">
        <v>29</v>
      </c>
      <c r="Q7752">
        <v>42</v>
      </c>
      <c r="R7752">
        <v>-87.629800000000003</v>
      </c>
    </row>
    <row r="7753" spans="1:18" x14ac:dyDescent="0.2">
      <c r="A7753" t="s">
        <v>439</v>
      </c>
      <c r="B7753" t="s">
        <v>4321</v>
      </c>
      <c r="C7753">
        <v>81</v>
      </c>
      <c r="D7753" s="1">
        <v>44175.66988425926</v>
      </c>
      <c r="E7753" t="s">
        <v>24198</v>
      </c>
      <c r="F7753" t="s">
        <v>442</v>
      </c>
      <c r="G7753" t="s">
        <v>24199</v>
      </c>
      <c r="H7753" t="s">
        <v>444</v>
      </c>
      <c r="I7753" t="s">
        <v>53</v>
      </c>
      <c r="J7753">
        <v>81</v>
      </c>
      <c r="K7753">
        <f>81-50-5806-2722</f>
        <v>-8497</v>
      </c>
      <c r="L7753" t="s">
        <v>24200</v>
      </c>
      <c r="M7753" t="s">
        <v>24201</v>
      </c>
      <c r="N7753" t="s">
        <v>213</v>
      </c>
      <c r="O7753" t="s">
        <v>28</v>
      </c>
      <c r="P7753" t="s">
        <v>29</v>
      </c>
      <c r="Q7753">
        <v>42</v>
      </c>
      <c r="R7753">
        <v>-87.629800000000003</v>
      </c>
    </row>
    <row r="7754" spans="1:18" x14ac:dyDescent="0.2">
      <c r="A7754" t="s">
        <v>439</v>
      </c>
      <c r="B7754" t="s">
        <v>440</v>
      </c>
      <c r="C7754">
        <v>1</v>
      </c>
      <c r="D7754" s="1">
        <v>44383.851435185185</v>
      </c>
      <c r="E7754" t="s">
        <v>24202</v>
      </c>
      <c r="F7754" t="s">
        <v>442</v>
      </c>
      <c r="G7754" t="s">
        <v>24203</v>
      </c>
      <c r="H7754" t="s">
        <v>444</v>
      </c>
      <c r="I7754" t="s">
        <v>29</v>
      </c>
      <c r="J7754">
        <v>1</v>
      </c>
      <c r="K7754">
        <f>1-844-636-1391</f>
        <v>-2870</v>
      </c>
      <c r="L7754" t="s">
        <v>24204</v>
      </c>
      <c r="M7754" t="s">
        <v>24205</v>
      </c>
      <c r="N7754" t="s">
        <v>213</v>
      </c>
      <c r="O7754" t="s">
        <v>28</v>
      </c>
      <c r="P7754" t="s">
        <v>29</v>
      </c>
      <c r="Q7754">
        <v>39</v>
      </c>
      <c r="R7754">
        <v>-77.487399999999994</v>
      </c>
    </row>
    <row r="7755" spans="1:18" x14ac:dyDescent="0.2">
      <c r="A7755" t="s">
        <v>439</v>
      </c>
      <c r="B7755" t="s">
        <v>4321</v>
      </c>
      <c r="C7755">
        <v>81</v>
      </c>
      <c r="D7755" s="1">
        <v>44175.670555555553</v>
      </c>
      <c r="E7755" t="s">
        <v>24206</v>
      </c>
      <c r="F7755" t="s">
        <v>442</v>
      </c>
      <c r="G7755" t="s">
        <v>24203</v>
      </c>
      <c r="H7755" t="s">
        <v>444</v>
      </c>
      <c r="I7755" t="s">
        <v>53</v>
      </c>
      <c r="J7755">
        <v>81</v>
      </c>
      <c r="K7755">
        <f>81-50-5806-2722</f>
        <v>-8497</v>
      </c>
      <c r="L7755" t="s">
        <v>24207</v>
      </c>
      <c r="M7755" t="s">
        <v>24208</v>
      </c>
      <c r="N7755" t="s">
        <v>213</v>
      </c>
      <c r="O7755" t="s">
        <v>134</v>
      </c>
      <c r="P7755" t="s">
        <v>29</v>
      </c>
      <c r="Q7755">
        <v>42</v>
      </c>
      <c r="R7755">
        <v>-87.629800000000003</v>
      </c>
    </row>
    <row r="7756" spans="1:18" x14ac:dyDescent="0.2">
      <c r="A7756" t="s">
        <v>663</v>
      </c>
      <c r="B7756" t="s">
        <v>2493</v>
      </c>
      <c r="C7756">
        <v>1</v>
      </c>
      <c r="D7756" s="1">
        <v>44175.835659722223</v>
      </c>
      <c r="E7756" t="s">
        <v>24209</v>
      </c>
      <c r="F7756" t="s">
        <v>666</v>
      </c>
      <c r="G7756" t="s">
        <v>24209</v>
      </c>
      <c r="H7756" t="s">
        <v>667</v>
      </c>
      <c r="I7756" t="s">
        <v>29</v>
      </c>
      <c r="J7756">
        <v>1</v>
      </c>
      <c r="K7756">
        <f>1-888-312-1097</f>
        <v>-2296</v>
      </c>
      <c r="L7756" t="s">
        <v>24210</v>
      </c>
      <c r="M7756" t="s">
        <v>24211</v>
      </c>
      <c r="N7756">
        <v>54</v>
      </c>
      <c r="O7756" t="s">
        <v>134</v>
      </c>
      <c r="P7756" t="s">
        <v>29</v>
      </c>
      <c r="Q7756">
        <v>41</v>
      </c>
      <c r="R7756">
        <v>-74.024699999999996</v>
      </c>
    </row>
    <row r="7757" spans="1:18" x14ac:dyDescent="0.2">
      <c r="A7757" t="s">
        <v>663</v>
      </c>
      <c r="B7757" t="s">
        <v>2493</v>
      </c>
      <c r="C7757">
        <v>1</v>
      </c>
      <c r="D7757" s="1">
        <v>44175.883437500001</v>
      </c>
      <c r="E7757" t="s">
        <v>24212</v>
      </c>
      <c r="F7757" t="s">
        <v>666</v>
      </c>
      <c r="G7757" t="s">
        <v>24212</v>
      </c>
      <c r="H7757" t="s">
        <v>667</v>
      </c>
      <c r="I7757" t="s">
        <v>29</v>
      </c>
      <c r="J7757">
        <v>1</v>
      </c>
      <c r="K7757">
        <f>1-888-247-6754</f>
        <v>-7888</v>
      </c>
      <c r="L7757" t="s">
        <v>24213</v>
      </c>
      <c r="M7757" t="s">
        <v>24214</v>
      </c>
      <c r="N7757">
        <v>111</v>
      </c>
      <c r="O7757" t="s">
        <v>134</v>
      </c>
      <c r="P7757" t="s">
        <v>29</v>
      </c>
      <c r="Q7757">
        <v>41</v>
      </c>
      <c r="R7757">
        <v>-74.024699999999996</v>
      </c>
    </row>
    <row r="7758" spans="1:18" x14ac:dyDescent="0.2">
      <c r="A7758" t="s">
        <v>2233</v>
      </c>
      <c r="B7758" t="s">
        <v>440</v>
      </c>
      <c r="C7758">
        <v>1</v>
      </c>
      <c r="D7758" s="1">
        <v>44176.358472222222</v>
      </c>
      <c r="E7758" t="s">
        <v>24215</v>
      </c>
      <c r="F7758" t="s">
        <v>2236</v>
      </c>
      <c r="G7758" t="s">
        <v>24216</v>
      </c>
      <c r="H7758" t="s">
        <v>2237</v>
      </c>
      <c r="I7758" t="s">
        <v>29</v>
      </c>
      <c r="J7758">
        <v>1</v>
      </c>
      <c r="K7758">
        <f>1-833-857-2321</f>
        <v>-4010</v>
      </c>
      <c r="L7758" t="s">
        <v>24217</v>
      </c>
      <c r="M7758" t="s">
        <v>24218</v>
      </c>
      <c r="N7758" t="s">
        <v>5354</v>
      </c>
      <c r="O7758" t="s">
        <v>28</v>
      </c>
      <c r="P7758" t="s">
        <v>29</v>
      </c>
      <c r="Q7758">
        <v>39</v>
      </c>
      <c r="R7758">
        <v>-77.487399999999994</v>
      </c>
    </row>
    <row r="7759" spans="1:18" x14ac:dyDescent="0.2">
      <c r="A7759" t="s">
        <v>439</v>
      </c>
      <c r="B7759" t="s">
        <v>4321</v>
      </c>
      <c r="C7759">
        <v>1</v>
      </c>
      <c r="D7759" s="1">
        <v>44176.758043981485</v>
      </c>
      <c r="E7759" t="s">
        <v>24219</v>
      </c>
      <c r="F7759" t="s">
        <v>442</v>
      </c>
      <c r="G7759" t="s">
        <v>24220</v>
      </c>
      <c r="H7759" t="s">
        <v>444</v>
      </c>
      <c r="I7759" t="s">
        <v>29</v>
      </c>
      <c r="J7759">
        <v>1</v>
      </c>
      <c r="K7759">
        <f>1-844-309-1992</f>
        <v>-3144</v>
      </c>
      <c r="L7759" t="s">
        <v>24221</v>
      </c>
      <c r="M7759" t="s">
        <v>24222</v>
      </c>
      <c r="N7759" t="s">
        <v>4620</v>
      </c>
      <c r="O7759" t="s">
        <v>134</v>
      </c>
      <c r="P7759" t="s">
        <v>29</v>
      </c>
      <c r="Q7759">
        <v>42</v>
      </c>
      <c r="R7759">
        <v>-87.629800000000003</v>
      </c>
    </row>
    <row r="7760" spans="1:18" x14ac:dyDescent="0.2">
      <c r="A7760" t="s">
        <v>439</v>
      </c>
      <c r="B7760" t="s">
        <v>4321</v>
      </c>
      <c r="C7760">
        <v>1</v>
      </c>
      <c r="D7760" s="1">
        <v>44176.76158564815</v>
      </c>
      <c r="E7760" t="s">
        <v>24223</v>
      </c>
      <c r="F7760" t="s">
        <v>442</v>
      </c>
      <c r="G7760" t="s">
        <v>24224</v>
      </c>
      <c r="H7760" t="s">
        <v>444</v>
      </c>
      <c r="I7760" t="s">
        <v>29</v>
      </c>
      <c r="J7760">
        <v>1</v>
      </c>
      <c r="K7760">
        <f>1-888-633-483</f>
        <v>-2003</v>
      </c>
      <c r="L7760" t="s">
        <v>24225</v>
      </c>
      <c r="M7760" t="s">
        <v>24226</v>
      </c>
      <c r="N7760" t="s">
        <v>452</v>
      </c>
      <c r="O7760" t="s">
        <v>28</v>
      </c>
      <c r="P7760" t="s">
        <v>29</v>
      </c>
      <c r="Q7760">
        <v>42</v>
      </c>
      <c r="R7760">
        <v>-87.629800000000003</v>
      </c>
    </row>
    <row r="7761" spans="1:18" x14ac:dyDescent="0.2">
      <c r="A7761" t="s">
        <v>663</v>
      </c>
      <c r="B7761" t="s">
        <v>2493</v>
      </c>
      <c r="C7761">
        <v>1</v>
      </c>
      <c r="D7761" s="1">
        <v>44176.762557870374</v>
      </c>
      <c r="E7761" t="s">
        <v>24227</v>
      </c>
      <c r="F7761" t="s">
        <v>666</v>
      </c>
      <c r="G7761" t="s">
        <v>24227</v>
      </c>
      <c r="H7761" t="s">
        <v>667</v>
      </c>
      <c r="I7761" t="s">
        <v>29</v>
      </c>
      <c r="J7761">
        <v>1</v>
      </c>
      <c r="K7761">
        <f>1-888-210-6063</f>
        <v>-7160</v>
      </c>
      <c r="L7761" t="s">
        <v>24228</v>
      </c>
      <c r="M7761" t="s">
        <v>24229</v>
      </c>
      <c r="N7761">
        <v>78</v>
      </c>
      <c r="O7761" t="s">
        <v>134</v>
      </c>
      <c r="P7761" t="s">
        <v>29</v>
      </c>
      <c r="Q7761">
        <v>41</v>
      </c>
      <c r="R7761">
        <v>-74.024699999999996</v>
      </c>
    </row>
    <row r="7762" spans="1:18" x14ac:dyDescent="0.2">
      <c r="A7762" t="s">
        <v>663</v>
      </c>
      <c r="B7762" t="s">
        <v>2493</v>
      </c>
      <c r="C7762">
        <v>1</v>
      </c>
      <c r="D7762" s="1">
        <v>44176.762407407405</v>
      </c>
      <c r="E7762" t="s">
        <v>24227</v>
      </c>
      <c r="F7762" t="s">
        <v>666</v>
      </c>
      <c r="G7762" t="s">
        <v>24227</v>
      </c>
      <c r="H7762" t="s">
        <v>667</v>
      </c>
      <c r="I7762" t="s">
        <v>29</v>
      </c>
      <c r="J7762">
        <v>1</v>
      </c>
      <c r="K7762">
        <f>1-888-271-7933</f>
        <v>-9091</v>
      </c>
      <c r="L7762" t="s">
        <v>24230</v>
      </c>
      <c r="M7762" t="s">
        <v>24231</v>
      </c>
      <c r="N7762">
        <v>78</v>
      </c>
      <c r="O7762" t="s">
        <v>134</v>
      </c>
      <c r="P7762" t="s">
        <v>29</v>
      </c>
      <c r="Q7762">
        <v>41</v>
      </c>
      <c r="R7762">
        <v>-74.024699999999996</v>
      </c>
    </row>
    <row r="7763" spans="1:18" x14ac:dyDescent="0.2">
      <c r="A7763" t="s">
        <v>439</v>
      </c>
      <c r="B7763" t="s">
        <v>4321</v>
      </c>
      <c r="C7763">
        <v>81</v>
      </c>
      <c r="D7763" s="1">
        <v>44176.764849537038</v>
      </c>
      <c r="E7763" t="s">
        <v>24232</v>
      </c>
      <c r="F7763" t="s">
        <v>442</v>
      </c>
      <c r="G7763" t="s">
        <v>24233</v>
      </c>
      <c r="H7763" t="s">
        <v>444</v>
      </c>
      <c r="I7763" t="s">
        <v>53</v>
      </c>
      <c r="J7763">
        <v>81</v>
      </c>
      <c r="K7763">
        <f>81-50-5806-2722</f>
        <v>-8497</v>
      </c>
      <c r="L7763" t="s">
        <v>24234</v>
      </c>
      <c r="M7763" t="s">
        <v>24235</v>
      </c>
      <c r="N7763" t="s">
        <v>213</v>
      </c>
      <c r="O7763" t="s">
        <v>28</v>
      </c>
      <c r="P7763" t="s">
        <v>29</v>
      </c>
      <c r="Q7763">
        <v>42</v>
      </c>
      <c r="R7763">
        <v>-87.629800000000003</v>
      </c>
    </row>
    <row r="7764" spans="1:18" x14ac:dyDescent="0.2">
      <c r="A7764" t="s">
        <v>675</v>
      </c>
      <c r="B7764" t="s">
        <v>6390</v>
      </c>
      <c r="C7764">
        <v>1</v>
      </c>
      <c r="D7764" s="1">
        <v>44176.786527777775</v>
      </c>
      <c r="E7764" t="s">
        <v>24236</v>
      </c>
      <c r="F7764" t="s">
        <v>678</v>
      </c>
      <c r="G7764" t="s">
        <v>24237</v>
      </c>
      <c r="H7764" t="s">
        <v>680</v>
      </c>
      <c r="I7764" t="s">
        <v>29</v>
      </c>
      <c r="J7764">
        <v>1</v>
      </c>
      <c r="K7764">
        <f>1-800-339-9593</f>
        <v>-10731</v>
      </c>
      <c r="L7764" t="s">
        <v>24238</v>
      </c>
      <c r="M7764" t="s">
        <v>24239</v>
      </c>
      <c r="N7764" t="s">
        <v>2475</v>
      </c>
      <c r="O7764" t="s">
        <v>28</v>
      </c>
      <c r="P7764" t="s">
        <v>29</v>
      </c>
      <c r="Q7764">
        <v>37</v>
      </c>
      <c r="R7764">
        <v>-99.999999000000003</v>
      </c>
    </row>
    <row r="7765" spans="1:18" x14ac:dyDescent="0.2">
      <c r="A7765" t="s">
        <v>439</v>
      </c>
      <c r="B7765" t="s">
        <v>4321</v>
      </c>
      <c r="C7765">
        <v>1</v>
      </c>
      <c r="D7765" s="1">
        <v>44176.809965277775</v>
      </c>
      <c r="E7765" t="s">
        <v>24240</v>
      </c>
      <c r="F7765" t="s">
        <v>442</v>
      </c>
      <c r="G7765" t="s">
        <v>24241</v>
      </c>
      <c r="H7765" t="s">
        <v>444</v>
      </c>
      <c r="I7765" t="s">
        <v>29</v>
      </c>
      <c r="J7765">
        <v>1</v>
      </c>
      <c r="K7765">
        <f>1-888-381-8315</f>
        <v>-9583</v>
      </c>
      <c r="L7765" t="s">
        <v>24242</v>
      </c>
      <c r="M7765" t="s">
        <v>24243</v>
      </c>
      <c r="N7765" t="s">
        <v>452</v>
      </c>
      <c r="O7765" t="s">
        <v>28</v>
      </c>
      <c r="P7765" t="s">
        <v>29</v>
      </c>
      <c r="Q7765">
        <v>42</v>
      </c>
      <c r="R7765">
        <v>-87.629800000000003</v>
      </c>
    </row>
    <row r="7766" spans="1:18" x14ac:dyDescent="0.2">
      <c r="A7766" t="s">
        <v>439</v>
      </c>
      <c r="B7766" t="s">
        <v>4321</v>
      </c>
      <c r="C7766">
        <v>1</v>
      </c>
      <c r="D7766" s="1">
        <v>44176.854456018518</v>
      </c>
      <c r="E7766" t="s">
        <v>24244</v>
      </c>
      <c r="F7766" t="s">
        <v>442</v>
      </c>
      <c r="G7766" t="s">
        <v>24245</v>
      </c>
      <c r="H7766" t="s">
        <v>444</v>
      </c>
      <c r="I7766" t="s">
        <v>29</v>
      </c>
      <c r="J7766">
        <v>1</v>
      </c>
      <c r="K7766">
        <f>1-866-502-5079</f>
        <v>-6446</v>
      </c>
      <c r="L7766" t="s">
        <v>24246</v>
      </c>
      <c r="M7766" t="s">
        <v>24247</v>
      </c>
      <c r="N7766" t="s">
        <v>674</v>
      </c>
      <c r="O7766" t="s">
        <v>134</v>
      </c>
      <c r="P7766" t="s">
        <v>29</v>
      </c>
      <c r="Q7766">
        <v>42</v>
      </c>
      <c r="R7766">
        <v>-87.629800000000003</v>
      </c>
    </row>
    <row r="7767" spans="1:18" x14ac:dyDescent="0.2">
      <c r="A7767" t="s">
        <v>663</v>
      </c>
      <c r="B7767" t="s">
        <v>2493</v>
      </c>
      <c r="C7767">
        <v>1</v>
      </c>
      <c r="D7767" s="1">
        <v>44176.85633101852</v>
      </c>
      <c r="E7767" t="s">
        <v>24248</v>
      </c>
      <c r="F7767" t="s">
        <v>666</v>
      </c>
      <c r="G7767" t="s">
        <v>24248</v>
      </c>
      <c r="H7767" t="s">
        <v>667</v>
      </c>
      <c r="I7767" t="s">
        <v>29</v>
      </c>
      <c r="J7767">
        <v>1</v>
      </c>
      <c r="K7767">
        <f>1-888-210-6038</f>
        <v>-7135</v>
      </c>
      <c r="L7767" t="s">
        <v>24249</v>
      </c>
      <c r="M7767" t="s">
        <v>24250</v>
      </c>
      <c r="N7767">
        <v>248</v>
      </c>
      <c r="O7767" t="s">
        <v>134</v>
      </c>
      <c r="P7767" t="s">
        <v>29</v>
      </c>
      <c r="Q7767">
        <v>41</v>
      </c>
      <c r="R7767">
        <v>-74.024699999999996</v>
      </c>
    </row>
    <row r="7768" spans="1:18" x14ac:dyDescent="0.2">
      <c r="A7768" t="s">
        <v>439</v>
      </c>
      <c r="B7768" t="s">
        <v>4321</v>
      </c>
      <c r="C7768">
        <v>1</v>
      </c>
      <c r="D7768" s="1">
        <v>44176.858935185184</v>
      </c>
      <c r="E7768" t="s">
        <v>24251</v>
      </c>
      <c r="F7768" t="s">
        <v>442</v>
      </c>
      <c r="G7768" t="s">
        <v>24252</v>
      </c>
      <c r="H7768" t="s">
        <v>444</v>
      </c>
      <c r="I7768" t="s">
        <v>29</v>
      </c>
      <c r="J7768">
        <v>1</v>
      </c>
      <c r="K7768">
        <f>1-844-309-1992</f>
        <v>-3144</v>
      </c>
      <c r="L7768" t="s">
        <v>24253</v>
      </c>
      <c r="M7768" t="s">
        <v>24254</v>
      </c>
      <c r="N7768" t="s">
        <v>674</v>
      </c>
      <c r="O7768" t="s">
        <v>134</v>
      </c>
      <c r="P7768" t="s">
        <v>29</v>
      </c>
      <c r="Q7768">
        <v>42</v>
      </c>
      <c r="R7768">
        <v>-87.629800000000003</v>
      </c>
    </row>
    <row r="7769" spans="1:18" x14ac:dyDescent="0.2">
      <c r="A7769" t="s">
        <v>439</v>
      </c>
      <c r="B7769" t="s">
        <v>4321</v>
      </c>
      <c r="C7769">
        <v>1</v>
      </c>
      <c r="D7769" s="1">
        <v>44176.860439814816</v>
      </c>
      <c r="E7769" t="s">
        <v>24255</v>
      </c>
      <c r="F7769" t="s">
        <v>442</v>
      </c>
      <c r="G7769" t="s">
        <v>24256</v>
      </c>
      <c r="H7769" t="s">
        <v>444</v>
      </c>
      <c r="I7769" t="s">
        <v>29</v>
      </c>
      <c r="J7769">
        <v>1</v>
      </c>
      <c r="K7769">
        <f>1-866-502-5079</f>
        <v>-6446</v>
      </c>
      <c r="L7769" t="s">
        <v>24257</v>
      </c>
      <c r="M7769" t="s">
        <v>24258</v>
      </c>
      <c r="N7769" t="s">
        <v>674</v>
      </c>
      <c r="O7769" t="s">
        <v>134</v>
      </c>
      <c r="P7769" t="s">
        <v>29</v>
      </c>
      <c r="Q7769">
        <v>42</v>
      </c>
      <c r="R7769">
        <v>-87.629800000000003</v>
      </c>
    </row>
    <row r="7770" spans="1:18" x14ac:dyDescent="0.2">
      <c r="A7770" t="s">
        <v>675</v>
      </c>
      <c r="B7770" t="s">
        <v>6390</v>
      </c>
      <c r="C7770">
        <v>1</v>
      </c>
      <c r="D7770" s="1">
        <v>44176.89775462963</v>
      </c>
      <c r="E7770" t="s">
        <v>24259</v>
      </c>
      <c r="F7770" t="s">
        <v>678</v>
      </c>
      <c r="G7770" t="s">
        <v>24260</v>
      </c>
      <c r="H7770" t="s">
        <v>680</v>
      </c>
      <c r="I7770" t="s">
        <v>29</v>
      </c>
      <c r="J7770">
        <v>1</v>
      </c>
      <c r="K7770">
        <f>1-888-927-934</f>
        <v>-2748</v>
      </c>
      <c r="L7770" t="s">
        <v>24261</v>
      </c>
      <c r="M7770" t="s">
        <v>24262</v>
      </c>
      <c r="N7770" t="s">
        <v>5354</v>
      </c>
      <c r="O7770" t="s">
        <v>28</v>
      </c>
      <c r="P7770" t="s">
        <v>29</v>
      </c>
      <c r="Q7770">
        <v>37</v>
      </c>
      <c r="R7770">
        <v>-99.999999000000003</v>
      </c>
    </row>
    <row r="7771" spans="1:18" x14ac:dyDescent="0.2">
      <c r="A7771" t="s">
        <v>663</v>
      </c>
      <c r="B7771" t="s">
        <v>2493</v>
      </c>
      <c r="C7771">
        <v>1</v>
      </c>
      <c r="D7771" s="1">
        <v>44177.826493055552</v>
      </c>
      <c r="E7771" t="s">
        <v>24263</v>
      </c>
      <c r="F7771" t="s">
        <v>666</v>
      </c>
      <c r="G7771" t="s">
        <v>24264</v>
      </c>
      <c r="H7771" t="s">
        <v>667</v>
      </c>
      <c r="I7771" t="s">
        <v>29</v>
      </c>
      <c r="J7771">
        <v>1</v>
      </c>
      <c r="K7771">
        <f>1-866-502-5079</f>
        <v>-6446</v>
      </c>
      <c r="L7771" t="s">
        <v>24265</v>
      </c>
      <c r="M7771" t="s">
        <v>24266</v>
      </c>
      <c r="N7771" t="s">
        <v>674</v>
      </c>
      <c r="O7771" t="s">
        <v>134</v>
      </c>
      <c r="P7771" t="s">
        <v>29</v>
      </c>
      <c r="Q7771">
        <v>41</v>
      </c>
      <c r="R7771">
        <v>-74.024699999999996</v>
      </c>
    </row>
    <row r="7772" spans="1:18" x14ac:dyDescent="0.2">
      <c r="A7772" t="s">
        <v>663</v>
      </c>
      <c r="B7772" t="s">
        <v>2493</v>
      </c>
      <c r="C7772">
        <v>1</v>
      </c>
      <c r="D7772" s="1">
        <v>44177.82644675926</v>
      </c>
      <c r="E7772" t="s">
        <v>24267</v>
      </c>
      <c r="F7772" t="s">
        <v>666</v>
      </c>
      <c r="G7772" t="s">
        <v>24264</v>
      </c>
      <c r="H7772" t="s">
        <v>667</v>
      </c>
      <c r="I7772" t="s">
        <v>29</v>
      </c>
      <c r="J7772">
        <v>1</v>
      </c>
      <c r="K7772">
        <f>1-866-502-5079</f>
        <v>-6446</v>
      </c>
      <c r="L7772" t="s">
        <v>24268</v>
      </c>
      <c r="M7772" t="s">
        <v>24269</v>
      </c>
      <c r="N7772" t="s">
        <v>674</v>
      </c>
      <c r="O7772" t="s">
        <v>134</v>
      </c>
      <c r="P7772" t="s">
        <v>29</v>
      </c>
      <c r="Q7772">
        <v>41</v>
      </c>
      <c r="R7772">
        <v>-74.024699999999996</v>
      </c>
    </row>
    <row r="7773" spans="1:18" x14ac:dyDescent="0.2">
      <c r="A7773" t="s">
        <v>663</v>
      </c>
      <c r="B7773" t="s">
        <v>2493</v>
      </c>
      <c r="C7773">
        <v>1</v>
      </c>
      <c r="D7773" s="1">
        <v>44177.826388888891</v>
      </c>
      <c r="E7773" t="s">
        <v>24270</v>
      </c>
      <c r="F7773" t="s">
        <v>666</v>
      </c>
      <c r="G7773" t="s">
        <v>24264</v>
      </c>
      <c r="H7773" t="s">
        <v>667</v>
      </c>
      <c r="I7773" t="s">
        <v>29</v>
      </c>
      <c r="J7773">
        <v>1</v>
      </c>
      <c r="K7773">
        <f>1-866-502-5079</f>
        <v>-6446</v>
      </c>
      <c r="L7773" t="s">
        <v>24271</v>
      </c>
      <c r="M7773" t="s">
        <v>24272</v>
      </c>
      <c r="N7773" t="s">
        <v>674</v>
      </c>
      <c r="O7773" t="s">
        <v>134</v>
      </c>
      <c r="P7773" t="s">
        <v>29</v>
      </c>
      <c r="Q7773">
        <v>41</v>
      </c>
      <c r="R7773">
        <v>-74.024699999999996</v>
      </c>
    </row>
    <row r="7774" spans="1:18" x14ac:dyDescent="0.2">
      <c r="A7774" t="s">
        <v>663</v>
      </c>
      <c r="B7774" t="s">
        <v>2493</v>
      </c>
      <c r="C7774">
        <v>1</v>
      </c>
      <c r="D7774" s="1">
        <v>44177.820324074077</v>
      </c>
      <c r="E7774" t="s">
        <v>24273</v>
      </c>
      <c r="F7774" t="s">
        <v>666</v>
      </c>
      <c r="G7774" t="s">
        <v>24264</v>
      </c>
      <c r="H7774" t="s">
        <v>667</v>
      </c>
      <c r="I7774" t="s">
        <v>29</v>
      </c>
      <c r="J7774">
        <v>1</v>
      </c>
      <c r="K7774">
        <f>1-866-502-5079</f>
        <v>-6446</v>
      </c>
      <c r="L7774" t="s">
        <v>24274</v>
      </c>
      <c r="M7774" t="s">
        <v>24275</v>
      </c>
      <c r="N7774" t="s">
        <v>5986</v>
      </c>
      <c r="O7774" t="s">
        <v>134</v>
      </c>
      <c r="P7774" t="s">
        <v>29</v>
      </c>
      <c r="Q7774">
        <v>41</v>
      </c>
      <c r="R7774">
        <v>-74.024699999999996</v>
      </c>
    </row>
    <row r="7775" spans="1:18" x14ac:dyDescent="0.2">
      <c r="A7775" t="s">
        <v>663</v>
      </c>
      <c r="B7775" t="s">
        <v>2493</v>
      </c>
      <c r="C7775">
        <v>1</v>
      </c>
      <c r="D7775" s="1">
        <v>44177.584780092591</v>
      </c>
      <c r="E7775" t="s">
        <v>24264</v>
      </c>
      <c r="F7775" t="s">
        <v>666</v>
      </c>
      <c r="G7775" t="s">
        <v>24264</v>
      </c>
      <c r="H7775" t="s">
        <v>667</v>
      </c>
      <c r="I7775" t="s">
        <v>29</v>
      </c>
      <c r="J7775">
        <v>1</v>
      </c>
      <c r="K7775">
        <f>1-866-502-5079</f>
        <v>-6446</v>
      </c>
      <c r="L7775" t="s">
        <v>24276</v>
      </c>
      <c r="M7775" t="s">
        <v>24277</v>
      </c>
      <c r="N7775">
        <v>75</v>
      </c>
      <c r="O7775" t="s">
        <v>134</v>
      </c>
      <c r="P7775" t="s">
        <v>29</v>
      </c>
      <c r="Q7775">
        <v>41</v>
      </c>
      <c r="R7775">
        <v>-74.024699999999996</v>
      </c>
    </row>
    <row r="7776" spans="1:18" x14ac:dyDescent="0.2">
      <c r="A7776" t="s">
        <v>663</v>
      </c>
      <c r="B7776" t="s">
        <v>2493</v>
      </c>
      <c r="C7776">
        <v>1</v>
      </c>
      <c r="D7776" s="1">
        <v>44177.584745370368</v>
      </c>
      <c r="E7776" t="s">
        <v>24264</v>
      </c>
      <c r="F7776" t="s">
        <v>666</v>
      </c>
      <c r="G7776" t="s">
        <v>24264</v>
      </c>
      <c r="H7776" t="s">
        <v>667</v>
      </c>
      <c r="I7776" t="s">
        <v>29</v>
      </c>
      <c r="J7776">
        <v>1</v>
      </c>
      <c r="K7776">
        <f t="shared" ref="K7776:K7787" si="63">1-844-309-1992</f>
        <v>-3144</v>
      </c>
      <c r="L7776" t="s">
        <v>24278</v>
      </c>
      <c r="M7776" t="s">
        <v>24279</v>
      </c>
      <c r="N7776">
        <v>75</v>
      </c>
      <c r="O7776" t="s">
        <v>134</v>
      </c>
      <c r="P7776" t="s">
        <v>29</v>
      </c>
      <c r="Q7776">
        <v>41</v>
      </c>
      <c r="R7776">
        <v>-74.024699999999996</v>
      </c>
    </row>
    <row r="7777" spans="1:18" x14ac:dyDescent="0.2">
      <c r="A7777" t="s">
        <v>663</v>
      </c>
      <c r="B7777" t="s">
        <v>2493</v>
      </c>
      <c r="C7777">
        <v>1</v>
      </c>
      <c r="D7777" s="1">
        <v>44177.582881944443</v>
      </c>
      <c r="E7777" t="s">
        <v>24280</v>
      </c>
      <c r="F7777" t="s">
        <v>666</v>
      </c>
      <c r="G7777" t="s">
        <v>24264</v>
      </c>
      <c r="H7777" t="s">
        <v>667</v>
      </c>
      <c r="I7777" t="s">
        <v>29</v>
      </c>
      <c r="J7777">
        <v>1</v>
      </c>
      <c r="K7777">
        <f t="shared" si="63"/>
        <v>-3144</v>
      </c>
      <c r="L7777" t="s">
        <v>24281</v>
      </c>
      <c r="M7777" t="s">
        <v>24282</v>
      </c>
      <c r="N7777" t="s">
        <v>1645</v>
      </c>
      <c r="O7777" t="s">
        <v>134</v>
      </c>
      <c r="P7777" t="s">
        <v>29</v>
      </c>
      <c r="Q7777">
        <v>41</v>
      </c>
      <c r="R7777">
        <v>-74.024699999999996</v>
      </c>
    </row>
    <row r="7778" spans="1:18" x14ac:dyDescent="0.2">
      <c r="A7778" t="s">
        <v>663</v>
      </c>
      <c r="B7778" t="s">
        <v>2493</v>
      </c>
      <c r="C7778">
        <v>1</v>
      </c>
      <c r="D7778" s="1">
        <v>44177.582824074074</v>
      </c>
      <c r="E7778" t="s">
        <v>24283</v>
      </c>
      <c r="F7778" t="s">
        <v>666</v>
      </c>
      <c r="G7778" t="s">
        <v>24264</v>
      </c>
      <c r="H7778" t="s">
        <v>667</v>
      </c>
      <c r="I7778" t="s">
        <v>29</v>
      </c>
      <c r="J7778">
        <v>1</v>
      </c>
      <c r="K7778">
        <f t="shared" si="63"/>
        <v>-3144</v>
      </c>
      <c r="L7778" t="s">
        <v>24284</v>
      </c>
      <c r="M7778" t="s">
        <v>24285</v>
      </c>
      <c r="N7778" t="s">
        <v>683</v>
      </c>
      <c r="O7778" t="s">
        <v>134</v>
      </c>
      <c r="P7778" t="s">
        <v>29</v>
      </c>
      <c r="Q7778">
        <v>41</v>
      </c>
      <c r="R7778">
        <v>-74.024699999999996</v>
      </c>
    </row>
    <row r="7779" spans="1:18" x14ac:dyDescent="0.2">
      <c r="A7779" t="s">
        <v>663</v>
      </c>
      <c r="B7779" t="s">
        <v>2493</v>
      </c>
      <c r="C7779">
        <v>1</v>
      </c>
      <c r="D7779" s="1">
        <v>44177.582789351851</v>
      </c>
      <c r="E7779" t="s">
        <v>24286</v>
      </c>
      <c r="F7779" t="s">
        <v>666</v>
      </c>
      <c r="G7779" t="s">
        <v>24264</v>
      </c>
      <c r="H7779" t="s">
        <v>667</v>
      </c>
      <c r="I7779" t="s">
        <v>29</v>
      </c>
      <c r="J7779">
        <v>1</v>
      </c>
      <c r="K7779">
        <f t="shared" si="63"/>
        <v>-3144</v>
      </c>
      <c r="L7779" t="s">
        <v>24287</v>
      </c>
      <c r="M7779" t="s">
        <v>24288</v>
      </c>
      <c r="N7779" t="s">
        <v>4620</v>
      </c>
      <c r="O7779" t="s">
        <v>134</v>
      </c>
      <c r="P7779" t="s">
        <v>29</v>
      </c>
      <c r="Q7779">
        <v>41</v>
      </c>
      <c r="R7779">
        <v>-74.024699999999996</v>
      </c>
    </row>
    <row r="7780" spans="1:18" x14ac:dyDescent="0.2">
      <c r="A7780" t="s">
        <v>663</v>
      </c>
      <c r="B7780" t="s">
        <v>2493</v>
      </c>
      <c r="C7780">
        <v>1</v>
      </c>
      <c r="D7780" s="1">
        <v>44177.582754629628</v>
      </c>
      <c r="E7780" t="s">
        <v>24289</v>
      </c>
      <c r="F7780" t="s">
        <v>666</v>
      </c>
      <c r="G7780" t="s">
        <v>24264</v>
      </c>
      <c r="H7780" t="s">
        <v>667</v>
      </c>
      <c r="I7780" t="s">
        <v>29</v>
      </c>
      <c r="J7780">
        <v>1</v>
      </c>
      <c r="K7780">
        <f t="shared" si="63"/>
        <v>-3144</v>
      </c>
      <c r="L7780" t="s">
        <v>24290</v>
      </c>
      <c r="M7780" t="s">
        <v>24291</v>
      </c>
      <c r="N7780" t="s">
        <v>24292</v>
      </c>
      <c r="O7780" t="s">
        <v>134</v>
      </c>
      <c r="P7780" t="s">
        <v>29</v>
      </c>
      <c r="Q7780">
        <v>41</v>
      </c>
      <c r="R7780">
        <v>-74.024699999999996</v>
      </c>
    </row>
    <row r="7781" spans="1:18" x14ac:dyDescent="0.2">
      <c r="A7781" t="s">
        <v>663</v>
      </c>
      <c r="B7781" t="s">
        <v>2493</v>
      </c>
      <c r="C7781">
        <v>1</v>
      </c>
      <c r="D7781" s="1">
        <v>44177.582708333335</v>
      </c>
      <c r="E7781" t="s">
        <v>24293</v>
      </c>
      <c r="F7781" t="s">
        <v>666</v>
      </c>
      <c r="G7781" t="s">
        <v>24264</v>
      </c>
      <c r="H7781" t="s">
        <v>667</v>
      </c>
      <c r="I7781" t="s">
        <v>29</v>
      </c>
      <c r="J7781">
        <v>1</v>
      </c>
      <c r="K7781">
        <f t="shared" si="63"/>
        <v>-3144</v>
      </c>
      <c r="L7781" t="s">
        <v>24294</v>
      </c>
      <c r="M7781" t="s">
        <v>24295</v>
      </c>
      <c r="N7781" t="s">
        <v>24296</v>
      </c>
      <c r="O7781" t="s">
        <v>134</v>
      </c>
      <c r="P7781" t="s">
        <v>29</v>
      </c>
      <c r="Q7781">
        <v>41</v>
      </c>
      <c r="R7781">
        <v>-74.024699999999996</v>
      </c>
    </row>
    <row r="7782" spans="1:18" x14ac:dyDescent="0.2">
      <c r="A7782" t="s">
        <v>663</v>
      </c>
      <c r="B7782" t="s">
        <v>2493</v>
      </c>
      <c r="C7782">
        <v>1</v>
      </c>
      <c r="D7782" s="1">
        <v>44177.582673611112</v>
      </c>
      <c r="E7782" t="s">
        <v>24297</v>
      </c>
      <c r="F7782" t="s">
        <v>666</v>
      </c>
      <c r="G7782" t="s">
        <v>24264</v>
      </c>
      <c r="H7782" t="s">
        <v>667</v>
      </c>
      <c r="I7782" t="s">
        <v>29</v>
      </c>
      <c r="J7782">
        <v>1</v>
      </c>
      <c r="K7782">
        <f t="shared" si="63"/>
        <v>-3144</v>
      </c>
      <c r="L7782" t="s">
        <v>24298</v>
      </c>
      <c r="M7782" t="s">
        <v>24299</v>
      </c>
      <c r="N7782" t="s">
        <v>5745</v>
      </c>
      <c r="O7782" t="s">
        <v>134</v>
      </c>
      <c r="P7782" t="s">
        <v>29</v>
      </c>
      <c r="Q7782">
        <v>41</v>
      </c>
      <c r="R7782">
        <v>-74.024699999999996</v>
      </c>
    </row>
    <row r="7783" spans="1:18" x14ac:dyDescent="0.2">
      <c r="A7783" t="s">
        <v>663</v>
      </c>
      <c r="B7783" t="s">
        <v>2493</v>
      </c>
      <c r="C7783">
        <v>1</v>
      </c>
      <c r="D7783" s="1">
        <v>44177.582627314812</v>
      </c>
      <c r="E7783" t="s">
        <v>24263</v>
      </c>
      <c r="F7783" t="s">
        <v>666</v>
      </c>
      <c r="G7783" t="s">
        <v>24264</v>
      </c>
      <c r="H7783" t="s">
        <v>667</v>
      </c>
      <c r="I7783" t="s">
        <v>29</v>
      </c>
      <c r="J7783">
        <v>1</v>
      </c>
      <c r="K7783">
        <f t="shared" si="63"/>
        <v>-3144</v>
      </c>
      <c r="L7783" t="s">
        <v>24300</v>
      </c>
      <c r="M7783" t="s">
        <v>24301</v>
      </c>
      <c r="N7783" t="s">
        <v>674</v>
      </c>
      <c r="O7783" t="s">
        <v>134</v>
      </c>
      <c r="P7783" t="s">
        <v>29</v>
      </c>
      <c r="Q7783">
        <v>41</v>
      </c>
      <c r="R7783">
        <v>-74.024699999999996</v>
      </c>
    </row>
    <row r="7784" spans="1:18" x14ac:dyDescent="0.2">
      <c r="A7784" t="s">
        <v>663</v>
      </c>
      <c r="B7784" t="s">
        <v>2493</v>
      </c>
      <c r="C7784">
        <v>1</v>
      </c>
      <c r="D7784" s="1">
        <v>44177.582592592589</v>
      </c>
      <c r="E7784" t="s">
        <v>24302</v>
      </c>
      <c r="F7784" t="s">
        <v>666</v>
      </c>
      <c r="G7784" t="s">
        <v>24264</v>
      </c>
      <c r="H7784" t="s">
        <v>667</v>
      </c>
      <c r="I7784" t="s">
        <v>29</v>
      </c>
      <c r="J7784">
        <v>1</v>
      </c>
      <c r="K7784">
        <f t="shared" si="63"/>
        <v>-3144</v>
      </c>
      <c r="L7784" t="s">
        <v>24303</v>
      </c>
      <c r="M7784" t="s">
        <v>24304</v>
      </c>
      <c r="N7784" t="s">
        <v>4620</v>
      </c>
      <c r="O7784" t="s">
        <v>134</v>
      </c>
      <c r="P7784" t="s">
        <v>29</v>
      </c>
      <c r="Q7784">
        <v>41</v>
      </c>
      <c r="R7784">
        <v>-74.024699999999996</v>
      </c>
    </row>
    <row r="7785" spans="1:18" x14ac:dyDescent="0.2">
      <c r="A7785" t="s">
        <v>663</v>
      </c>
      <c r="B7785" t="s">
        <v>2493</v>
      </c>
      <c r="C7785">
        <v>1</v>
      </c>
      <c r="D7785" s="1">
        <v>44177.582546296297</v>
      </c>
      <c r="E7785" t="s">
        <v>24305</v>
      </c>
      <c r="F7785" t="s">
        <v>666</v>
      </c>
      <c r="G7785" t="s">
        <v>24264</v>
      </c>
      <c r="H7785" t="s">
        <v>667</v>
      </c>
      <c r="I7785" t="s">
        <v>29</v>
      </c>
      <c r="J7785">
        <v>1</v>
      </c>
      <c r="K7785">
        <f t="shared" si="63"/>
        <v>-3144</v>
      </c>
      <c r="L7785" t="s">
        <v>24306</v>
      </c>
      <c r="M7785" t="s">
        <v>24307</v>
      </c>
      <c r="N7785" t="s">
        <v>4620</v>
      </c>
      <c r="O7785" t="s">
        <v>134</v>
      </c>
      <c r="P7785" t="s">
        <v>29</v>
      </c>
      <c r="Q7785">
        <v>41</v>
      </c>
      <c r="R7785">
        <v>-74.024699999999996</v>
      </c>
    </row>
    <row r="7786" spans="1:18" x14ac:dyDescent="0.2">
      <c r="A7786" t="s">
        <v>663</v>
      </c>
      <c r="B7786" t="s">
        <v>2493</v>
      </c>
      <c r="C7786">
        <v>1</v>
      </c>
      <c r="D7786" s="1">
        <v>44177.579236111109</v>
      </c>
      <c r="E7786" t="s">
        <v>24308</v>
      </c>
      <c r="F7786" t="s">
        <v>666</v>
      </c>
      <c r="G7786" t="s">
        <v>24264</v>
      </c>
      <c r="H7786" t="s">
        <v>667</v>
      </c>
      <c r="I7786" t="s">
        <v>29</v>
      </c>
      <c r="J7786">
        <v>1</v>
      </c>
      <c r="K7786">
        <f t="shared" si="63"/>
        <v>-3144</v>
      </c>
      <c r="L7786" t="s">
        <v>24309</v>
      </c>
      <c r="M7786" t="s">
        <v>24310</v>
      </c>
      <c r="N7786" t="s">
        <v>24311</v>
      </c>
      <c r="O7786" t="s">
        <v>134</v>
      </c>
      <c r="P7786" t="s">
        <v>29</v>
      </c>
      <c r="Q7786">
        <v>41</v>
      </c>
      <c r="R7786">
        <v>-74.024699999999996</v>
      </c>
    </row>
    <row r="7787" spans="1:18" x14ac:dyDescent="0.2">
      <c r="A7787" t="s">
        <v>663</v>
      </c>
      <c r="B7787" t="s">
        <v>2493</v>
      </c>
      <c r="C7787">
        <v>1</v>
      </c>
      <c r="D7787" s="1">
        <v>44177.576851851853</v>
      </c>
      <c r="E7787" t="s">
        <v>24312</v>
      </c>
      <c r="F7787" t="s">
        <v>666</v>
      </c>
      <c r="G7787" t="s">
        <v>24264</v>
      </c>
      <c r="H7787" t="s">
        <v>667</v>
      </c>
      <c r="I7787" t="s">
        <v>29</v>
      </c>
      <c r="J7787">
        <v>1</v>
      </c>
      <c r="K7787">
        <f t="shared" si="63"/>
        <v>-3144</v>
      </c>
      <c r="L7787" t="s">
        <v>24313</v>
      </c>
      <c r="M7787" t="s">
        <v>24314</v>
      </c>
      <c r="N7787" t="s">
        <v>27</v>
      </c>
      <c r="O7787" t="s">
        <v>134</v>
      </c>
      <c r="P7787" t="s">
        <v>29</v>
      </c>
      <c r="Q7787">
        <v>41</v>
      </c>
      <c r="R7787">
        <v>-74.024699999999996</v>
      </c>
    </row>
    <row r="7788" spans="1:18" x14ac:dyDescent="0.2">
      <c r="A7788" t="s">
        <v>2349</v>
      </c>
      <c r="B7788" t="s">
        <v>6310</v>
      </c>
      <c r="C7788">
        <v>1</v>
      </c>
      <c r="D7788" s="1">
        <v>44177.592060185183</v>
      </c>
      <c r="E7788" t="s">
        <v>24315</v>
      </c>
      <c r="F7788" t="s">
        <v>2352</v>
      </c>
      <c r="G7788" t="s">
        <v>24315</v>
      </c>
      <c r="H7788" t="s">
        <v>2353</v>
      </c>
      <c r="I7788" t="s">
        <v>29</v>
      </c>
      <c r="J7788">
        <v>1</v>
      </c>
      <c r="K7788">
        <f>1-888-256-4910</f>
        <v>-6053</v>
      </c>
      <c r="L7788" t="s">
        <v>24316</v>
      </c>
      <c r="M7788" t="s">
        <v>24317</v>
      </c>
      <c r="N7788">
        <v>16</v>
      </c>
      <c r="O7788" t="s">
        <v>134</v>
      </c>
      <c r="P7788" t="s">
        <v>29</v>
      </c>
      <c r="Q7788">
        <v>34</v>
      </c>
      <c r="R7788">
        <v>-84.445499999999996</v>
      </c>
    </row>
    <row r="7789" spans="1:18" x14ac:dyDescent="0.2">
      <c r="A7789" t="s">
        <v>439</v>
      </c>
      <c r="B7789" t="s">
        <v>4321</v>
      </c>
      <c r="C7789">
        <v>81</v>
      </c>
      <c r="D7789" s="1">
        <v>44177.592256944445</v>
      </c>
      <c r="E7789" t="s">
        <v>24232</v>
      </c>
      <c r="F7789" t="s">
        <v>442</v>
      </c>
      <c r="G7789" t="s">
        <v>24318</v>
      </c>
      <c r="H7789" t="s">
        <v>444</v>
      </c>
      <c r="I7789" t="s">
        <v>53</v>
      </c>
      <c r="J7789">
        <v>81</v>
      </c>
      <c r="K7789">
        <f>81-50-5806-2722</f>
        <v>-8497</v>
      </c>
      <c r="L7789" t="s">
        <v>24319</v>
      </c>
      <c r="M7789" t="s">
        <v>24320</v>
      </c>
      <c r="N7789" t="s">
        <v>213</v>
      </c>
      <c r="O7789" t="s">
        <v>134</v>
      </c>
      <c r="P7789" t="s">
        <v>29</v>
      </c>
      <c r="Q7789">
        <v>42</v>
      </c>
      <c r="R7789">
        <v>-87.629800000000003</v>
      </c>
    </row>
    <row r="7790" spans="1:18" x14ac:dyDescent="0.2">
      <c r="A7790" t="s">
        <v>663</v>
      </c>
      <c r="B7790" t="s">
        <v>2493</v>
      </c>
      <c r="C7790">
        <v>1</v>
      </c>
      <c r="D7790" s="1">
        <v>44177.795451388891</v>
      </c>
      <c r="E7790" t="s">
        <v>24321</v>
      </c>
      <c r="F7790" t="s">
        <v>666</v>
      </c>
      <c r="G7790" t="s">
        <v>24321</v>
      </c>
      <c r="H7790" t="s">
        <v>667</v>
      </c>
      <c r="I7790" t="s">
        <v>29</v>
      </c>
      <c r="J7790">
        <v>1</v>
      </c>
      <c r="K7790">
        <f>1-888-298-9544</f>
        <v>-10729</v>
      </c>
      <c r="L7790" t="s">
        <v>24322</v>
      </c>
      <c r="M7790" t="s">
        <v>24323</v>
      </c>
      <c r="N7790">
        <v>139</v>
      </c>
      <c r="O7790" t="s">
        <v>134</v>
      </c>
      <c r="P7790" t="s">
        <v>29</v>
      </c>
      <c r="Q7790">
        <v>41</v>
      </c>
      <c r="R7790">
        <v>-74.024699999999996</v>
      </c>
    </row>
    <row r="7791" spans="1:18" x14ac:dyDescent="0.2">
      <c r="A7791" t="s">
        <v>439</v>
      </c>
      <c r="B7791" t="s">
        <v>4321</v>
      </c>
      <c r="C7791">
        <v>81</v>
      </c>
      <c r="D7791" s="1">
        <v>44177.806863425925</v>
      </c>
      <c r="E7791" t="s">
        <v>24324</v>
      </c>
      <c r="F7791" t="s">
        <v>442</v>
      </c>
      <c r="G7791" t="s">
        <v>24325</v>
      </c>
      <c r="H7791" t="s">
        <v>444</v>
      </c>
      <c r="I7791" t="s">
        <v>53</v>
      </c>
      <c r="J7791">
        <v>81</v>
      </c>
      <c r="K7791">
        <f>81-50-5532-8625</f>
        <v>-14126</v>
      </c>
      <c r="L7791" t="s">
        <v>24326</v>
      </c>
      <c r="M7791" t="s">
        <v>24327</v>
      </c>
      <c r="N7791" t="s">
        <v>213</v>
      </c>
      <c r="O7791" t="s">
        <v>134</v>
      </c>
      <c r="P7791" t="s">
        <v>29</v>
      </c>
      <c r="Q7791">
        <v>42</v>
      </c>
      <c r="R7791">
        <v>-87.629800000000003</v>
      </c>
    </row>
    <row r="7792" spans="1:18" x14ac:dyDescent="0.2">
      <c r="A7792" t="s">
        <v>439</v>
      </c>
      <c r="B7792" t="s">
        <v>4321</v>
      </c>
      <c r="C7792">
        <v>1</v>
      </c>
      <c r="D7792" s="1">
        <v>44177.820162037038</v>
      </c>
      <c r="E7792" t="s">
        <v>24328</v>
      </c>
      <c r="F7792" t="s">
        <v>442</v>
      </c>
      <c r="G7792" t="s">
        <v>24329</v>
      </c>
      <c r="H7792" t="s">
        <v>444</v>
      </c>
      <c r="I7792" t="s">
        <v>29</v>
      </c>
      <c r="J7792">
        <v>1</v>
      </c>
      <c r="K7792">
        <f>1-866-502-5079</f>
        <v>-6446</v>
      </c>
      <c r="L7792" t="s">
        <v>24330</v>
      </c>
      <c r="M7792" t="s">
        <v>24331</v>
      </c>
      <c r="N7792" t="s">
        <v>674</v>
      </c>
      <c r="O7792" t="s">
        <v>134</v>
      </c>
      <c r="P7792" t="s">
        <v>29</v>
      </c>
      <c r="Q7792">
        <v>42</v>
      </c>
      <c r="R7792">
        <v>-87.629800000000003</v>
      </c>
    </row>
    <row r="7793" spans="1:18" x14ac:dyDescent="0.2">
      <c r="A7793" t="s">
        <v>439</v>
      </c>
      <c r="B7793" t="s">
        <v>4321</v>
      </c>
      <c r="C7793">
        <v>1</v>
      </c>
      <c r="D7793" s="1">
        <v>44177.873124999998</v>
      </c>
      <c r="E7793" t="s">
        <v>24332</v>
      </c>
      <c r="F7793" t="s">
        <v>442</v>
      </c>
      <c r="G7793" t="s">
        <v>24333</v>
      </c>
      <c r="H7793" t="s">
        <v>444</v>
      </c>
      <c r="I7793" t="s">
        <v>29</v>
      </c>
      <c r="J7793">
        <v>1</v>
      </c>
      <c r="K7793">
        <f>1-866-675-121</f>
        <v>-1661</v>
      </c>
      <c r="L7793" t="s">
        <v>24334</v>
      </c>
      <c r="M7793" t="s">
        <v>24335</v>
      </c>
      <c r="N7793" t="s">
        <v>674</v>
      </c>
      <c r="O7793" t="s">
        <v>134</v>
      </c>
      <c r="P7793" t="s">
        <v>29</v>
      </c>
      <c r="Q7793">
        <v>42</v>
      </c>
      <c r="R7793">
        <v>-87.629800000000003</v>
      </c>
    </row>
    <row r="7794" spans="1:18" x14ac:dyDescent="0.2">
      <c r="A7794" t="s">
        <v>2233</v>
      </c>
      <c r="B7794" t="s">
        <v>440</v>
      </c>
      <c r="C7794">
        <v>1</v>
      </c>
      <c r="D7794" s="1">
        <v>44178.345775462964</v>
      </c>
      <c r="E7794" t="s">
        <v>24336</v>
      </c>
      <c r="F7794" t="s">
        <v>2236</v>
      </c>
      <c r="G7794" t="s">
        <v>24337</v>
      </c>
      <c r="H7794" t="s">
        <v>2237</v>
      </c>
      <c r="I7794" t="s">
        <v>29</v>
      </c>
      <c r="J7794">
        <v>1</v>
      </c>
      <c r="K7794">
        <f>1-844-868-8176</f>
        <v>-9887</v>
      </c>
      <c r="L7794" t="s">
        <v>24338</v>
      </c>
      <c r="M7794" t="s">
        <v>24339</v>
      </c>
      <c r="N7794" t="s">
        <v>5354</v>
      </c>
      <c r="O7794" t="s">
        <v>28</v>
      </c>
      <c r="P7794" t="s">
        <v>29</v>
      </c>
      <c r="Q7794">
        <v>39</v>
      </c>
      <c r="R7794">
        <v>-77.487399999999994</v>
      </c>
    </row>
    <row r="7795" spans="1:18" x14ac:dyDescent="0.2">
      <c r="A7795" t="s">
        <v>439</v>
      </c>
      <c r="B7795" t="s">
        <v>440</v>
      </c>
      <c r="C7795">
        <v>81</v>
      </c>
      <c r="D7795" s="1">
        <v>44178.610694444447</v>
      </c>
      <c r="E7795" t="s">
        <v>24340</v>
      </c>
      <c r="F7795" t="s">
        <v>442</v>
      </c>
      <c r="G7795" t="s">
        <v>24341</v>
      </c>
      <c r="H7795" t="s">
        <v>444</v>
      </c>
      <c r="I7795" t="s">
        <v>53</v>
      </c>
      <c r="J7795">
        <v>81</v>
      </c>
      <c r="K7795">
        <f>81-50-5532-8625</f>
        <v>-14126</v>
      </c>
      <c r="L7795" t="s">
        <v>24342</v>
      </c>
      <c r="M7795" t="s">
        <v>24343</v>
      </c>
      <c r="N7795" t="s">
        <v>213</v>
      </c>
      <c r="O7795" t="s">
        <v>28</v>
      </c>
      <c r="P7795" t="s">
        <v>29</v>
      </c>
      <c r="Q7795">
        <v>39</v>
      </c>
      <c r="R7795">
        <v>-77.487399999999994</v>
      </c>
    </row>
    <row r="7796" spans="1:18" x14ac:dyDescent="0.2">
      <c r="A7796" t="s">
        <v>439</v>
      </c>
      <c r="B7796" t="s">
        <v>4321</v>
      </c>
      <c r="C7796">
        <v>1</v>
      </c>
      <c r="D7796" s="1">
        <v>44178.637997685182</v>
      </c>
      <c r="E7796" t="s">
        <v>24344</v>
      </c>
      <c r="F7796" t="s">
        <v>442</v>
      </c>
      <c r="G7796" t="s">
        <v>24345</v>
      </c>
      <c r="H7796" t="s">
        <v>444</v>
      </c>
      <c r="I7796" t="s">
        <v>29</v>
      </c>
      <c r="J7796">
        <v>1</v>
      </c>
      <c r="K7796">
        <f>1-888-888-8888</f>
        <v>-10663</v>
      </c>
      <c r="L7796" t="s">
        <v>24346</v>
      </c>
      <c r="M7796" t="s">
        <v>24347</v>
      </c>
      <c r="N7796" t="s">
        <v>452</v>
      </c>
      <c r="O7796" t="s">
        <v>28</v>
      </c>
      <c r="P7796" t="s">
        <v>29</v>
      </c>
      <c r="Q7796">
        <v>42</v>
      </c>
      <c r="R7796">
        <v>-87.629800000000003</v>
      </c>
    </row>
    <row r="7797" spans="1:18" x14ac:dyDescent="0.2">
      <c r="A7797" t="s">
        <v>663</v>
      </c>
      <c r="B7797" t="s">
        <v>2493</v>
      </c>
      <c r="C7797">
        <v>1</v>
      </c>
      <c r="D7797" s="1">
        <v>44178.793414351851</v>
      </c>
      <c r="E7797" t="s">
        <v>24348</v>
      </c>
      <c r="F7797" t="s">
        <v>666</v>
      </c>
      <c r="G7797" t="s">
        <v>24348</v>
      </c>
      <c r="H7797" t="s">
        <v>667</v>
      </c>
      <c r="I7797" t="s">
        <v>29</v>
      </c>
      <c r="J7797">
        <v>1</v>
      </c>
      <c r="K7797">
        <f>1-888-353-3186</f>
        <v>-4426</v>
      </c>
      <c r="L7797" t="s">
        <v>24349</v>
      </c>
      <c r="M7797" t="s">
        <v>24350</v>
      </c>
      <c r="N7797">
        <v>230</v>
      </c>
      <c r="O7797" t="s">
        <v>134</v>
      </c>
      <c r="P7797" t="s">
        <v>29</v>
      </c>
      <c r="Q7797">
        <v>41</v>
      </c>
      <c r="R7797">
        <v>-74.024699999999996</v>
      </c>
    </row>
    <row r="7798" spans="1:18" x14ac:dyDescent="0.2">
      <c r="A7798" t="s">
        <v>663</v>
      </c>
      <c r="B7798" t="s">
        <v>2493</v>
      </c>
      <c r="C7798">
        <v>1</v>
      </c>
      <c r="D7798" s="1">
        <v>44179.014502314814</v>
      </c>
      <c r="E7798" t="s">
        <v>24351</v>
      </c>
      <c r="F7798" t="s">
        <v>666</v>
      </c>
      <c r="G7798" t="s">
        <v>24351</v>
      </c>
      <c r="H7798" t="s">
        <v>667</v>
      </c>
      <c r="I7798" t="s">
        <v>29</v>
      </c>
      <c r="J7798">
        <v>1</v>
      </c>
      <c r="K7798">
        <f>1-888-910-1363</f>
        <v>-3160</v>
      </c>
      <c r="L7798" t="s">
        <v>24352</v>
      </c>
      <c r="M7798" t="s">
        <v>24353</v>
      </c>
      <c r="N7798">
        <v>215</v>
      </c>
      <c r="O7798" t="s">
        <v>134</v>
      </c>
      <c r="P7798" t="s">
        <v>29</v>
      </c>
      <c r="Q7798">
        <v>41</v>
      </c>
      <c r="R7798">
        <v>-74.024699999999996</v>
      </c>
    </row>
    <row r="7799" spans="1:18" x14ac:dyDescent="0.2">
      <c r="A7799" t="s">
        <v>2233</v>
      </c>
      <c r="B7799" t="s">
        <v>4672</v>
      </c>
      <c r="C7799">
        <v>44</v>
      </c>
      <c r="D7799" s="1">
        <v>44179.565833333334</v>
      </c>
      <c r="E7799" t="s">
        <v>24354</v>
      </c>
      <c r="F7799" t="s">
        <v>2236</v>
      </c>
      <c r="G7799" t="s">
        <v>24355</v>
      </c>
      <c r="H7799" t="s">
        <v>2237</v>
      </c>
      <c r="I7799" t="s">
        <v>618</v>
      </c>
      <c r="J7799">
        <v>44</v>
      </c>
      <c r="K7799">
        <f>44-238-214-8025</f>
        <v>-8433</v>
      </c>
      <c r="L7799" t="s">
        <v>24356</v>
      </c>
      <c r="M7799" t="s">
        <v>24357</v>
      </c>
      <c r="N7799" t="s">
        <v>22454</v>
      </c>
      <c r="O7799" t="s">
        <v>134</v>
      </c>
      <c r="P7799" t="s">
        <v>782</v>
      </c>
      <c r="Q7799">
        <v>-34</v>
      </c>
      <c r="R7799">
        <v>99.999999000000003</v>
      </c>
    </row>
    <row r="7800" spans="1:18" x14ac:dyDescent="0.2">
      <c r="A7800" t="s">
        <v>2233</v>
      </c>
      <c r="B7800" t="s">
        <v>2234</v>
      </c>
      <c r="C7800">
        <v>32</v>
      </c>
      <c r="D7800" s="1">
        <v>44179.629513888889</v>
      </c>
      <c r="E7800" t="s">
        <v>24358</v>
      </c>
      <c r="F7800" t="s">
        <v>2236</v>
      </c>
      <c r="G7800" t="s">
        <v>24358</v>
      </c>
      <c r="H7800" t="s">
        <v>2237</v>
      </c>
      <c r="I7800" t="s">
        <v>4288</v>
      </c>
      <c r="J7800">
        <v>32</v>
      </c>
      <c r="K7800">
        <f>32-466-90-17-99</f>
        <v>-640</v>
      </c>
      <c r="L7800" t="s">
        <v>24359</v>
      </c>
      <c r="M7800" t="s">
        <v>24360</v>
      </c>
      <c r="N7800">
        <v>185</v>
      </c>
      <c r="O7800" t="s">
        <v>134</v>
      </c>
      <c r="P7800" t="s">
        <v>6188</v>
      </c>
      <c r="Q7800">
        <v>53</v>
      </c>
      <c r="R7800">
        <v>-6.2603099999999996</v>
      </c>
    </row>
    <row r="7801" spans="1:18" x14ac:dyDescent="0.2">
      <c r="A7801" t="s">
        <v>2233</v>
      </c>
      <c r="B7801" t="s">
        <v>2234</v>
      </c>
      <c r="C7801">
        <v>43</v>
      </c>
      <c r="D7801" s="1">
        <v>44179.623159722221</v>
      </c>
      <c r="E7801" t="s">
        <v>24358</v>
      </c>
      <c r="F7801" t="s">
        <v>2236</v>
      </c>
      <c r="G7801" t="s">
        <v>24358</v>
      </c>
      <c r="H7801" t="s">
        <v>2237</v>
      </c>
      <c r="I7801" t="s">
        <v>3432</v>
      </c>
      <c r="J7801">
        <v>43</v>
      </c>
      <c r="K7801">
        <f>43-670-3091029</f>
        <v>-3091656</v>
      </c>
      <c r="L7801" t="s">
        <v>24361</v>
      </c>
      <c r="M7801" t="s">
        <v>24362</v>
      </c>
      <c r="N7801">
        <v>185</v>
      </c>
      <c r="O7801" t="s">
        <v>134</v>
      </c>
      <c r="P7801" t="s">
        <v>6188</v>
      </c>
      <c r="Q7801">
        <v>53</v>
      </c>
      <c r="R7801">
        <v>-6.2603099999999996</v>
      </c>
    </row>
    <row r="7802" spans="1:18" x14ac:dyDescent="0.2">
      <c r="A7802" t="s">
        <v>2233</v>
      </c>
      <c r="B7802" t="s">
        <v>2234</v>
      </c>
      <c r="C7802">
        <v>41</v>
      </c>
      <c r="D7802" s="1">
        <v>44179.626597222225</v>
      </c>
      <c r="E7802" t="s">
        <v>24363</v>
      </c>
      <c r="F7802" t="s">
        <v>7023</v>
      </c>
      <c r="G7802" t="s">
        <v>24363</v>
      </c>
      <c r="H7802" t="s">
        <v>2237</v>
      </c>
      <c r="I7802" t="s">
        <v>204</v>
      </c>
      <c r="J7802">
        <v>41</v>
      </c>
      <c r="K7802">
        <f>41-44-586-78-58</f>
        <v>-725</v>
      </c>
      <c r="L7802" t="s">
        <v>24364</v>
      </c>
      <c r="M7802" t="s">
        <v>24365</v>
      </c>
      <c r="N7802">
        <v>89</v>
      </c>
      <c r="O7802" t="s">
        <v>134</v>
      </c>
      <c r="P7802" t="s">
        <v>6188</v>
      </c>
      <c r="Q7802">
        <v>53</v>
      </c>
      <c r="R7802">
        <v>-6.2603099999999996</v>
      </c>
    </row>
    <row r="7803" spans="1:18" x14ac:dyDescent="0.2">
      <c r="A7803" t="s">
        <v>439</v>
      </c>
      <c r="B7803" t="s">
        <v>4321</v>
      </c>
      <c r="C7803">
        <v>1</v>
      </c>
      <c r="D7803" s="1">
        <v>44179.716192129628</v>
      </c>
      <c r="E7803" t="s">
        <v>24366</v>
      </c>
      <c r="F7803" t="s">
        <v>442</v>
      </c>
      <c r="G7803" t="s">
        <v>24367</v>
      </c>
      <c r="H7803" t="s">
        <v>444</v>
      </c>
      <c r="I7803" t="s">
        <v>29</v>
      </c>
      <c r="J7803">
        <v>1</v>
      </c>
      <c r="K7803">
        <f>1-844-309-2518</f>
        <v>-3670</v>
      </c>
      <c r="L7803" t="s">
        <v>24368</v>
      </c>
      <c r="M7803" t="s">
        <v>24369</v>
      </c>
      <c r="N7803" t="s">
        <v>447</v>
      </c>
      <c r="O7803" t="s">
        <v>134</v>
      </c>
      <c r="P7803" t="s">
        <v>29</v>
      </c>
      <c r="Q7803">
        <v>42</v>
      </c>
      <c r="R7803">
        <v>-87.629800000000003</v>
      </c>
    </row>
    <row r="7804" spans="1:18" x14ac:dyDescent="0.2">
      <c r="A7804" t="s">
        <v>663</v>
      </c>
      <c r="B7804" t="s">
        <v>2493</v>
      </c>
      <c r="C7804">
        <v>1</v>
      </c>
      <c r="D7804" s="1">
        <v>44179.716238425928</v>
      </c>
      <c r="E7804" t="s">
        <v>24370</v>
      </c>
      <c r="F7804" t="s">
        <v>666</v>
      </c>
      <c r="G7804" t="s">
        <v>24370</v>
      </c>
      <c r="H7804" t="s">
        <v>667</v>
      </c>
      <c r="I7804" t="s">
        <v>29</v>
      </c>
      <c r="J7804">
        <v>1</v>
      </c>
      <c r="K7804">
        <f>1-877-595-1337</f>
        <v>-2808</v>
      </c>
      <c r="L7804" t="s">
        <v>24371</v>
      </c>
      <c r="M7804" t="s">
        <v>24372</v>
      </c>
      <c r="N7804">
        <v>237</v>
      </c>
      <c r="O7804" t="s">
        <v>134</v>
      </c>
      <c r="P7804" t="s">
        <v>29</v>
      </c>
      <c r="Q7804">
        <v>41</v>
      </c>
      <c r="R7804">
        <v>-74.024699999999996</v>
      </c>
    </row>
    <row r="7805" spans="1:18" x14ac:dyDescent="0.2">
      <c r="A7805" t="s">
        <v>2349</v>
      </c>
      <c r="B7805" t="s">
        <v>6310</v>
      </c>
      <c r="C7805">
        <v>1</v>
      </c>
      <c r="D7805" s="1">
        <v>44179.724340277775</v>
      </c>
      <c r="E7805" t="s">
        <v>24373</v>
      </c>
      <c r="F7805" t="s">
        <v>2352</v>
      </c>
      <c r="G7805" t="s">
        <v>24373</v>
      </c>
      <c r="H7805" t="s">
        <v>2353</v>
      </c>
      <c r="I7805" t="s">
        <v>29</v>
      </c>
      <c r="J7805">
        <v>1</v>
      </c>
      <c r="K7805">
        <f>1-888-256-4910</f>
        <v>-6053</v>
      </c>
      <c r="L7805" t="s">
        <v>24374</v>
      </c>
      <c r="M7805" t="s">
        <v>24375</v>
      </c>
      <c r="N7805">
        <v>176</v>
      </c>
      <c r="O7805" t="s">
        <v>134</v>
      </c>
      <c r="P7805" t="s">
        <v>29</v>
      </c>
      <c r="Q7805">
        <v>34</v>
      </c>
      <c r="R7805">
        <v>-84.445499999999996</v>
      </c>
    </row>
    <row r="7806" spans="1:18" x14ac:dyDescent="0.2">
      <c r="A7806" t="s">
        <v>663</v>
      </c>
      <c r="B7806" t="s">
        <v>2493</v>
      </c>
      <c r="C7806">
        <v>1</v>
      </c>
      <c r="D7806" s="1">
        <v>44179.724953703706</v>
      </c>
      <c r="E7806" t="s">
        <v>24376</v>
      </c>
      <c r="F7806" t="s">
        <v>666</v>
      </c>
      <c r="G7806" t="s">
        <v>24376</v>
      </c>
      <c r="H7806" t="s">
        <v>667</v>
      </c>
      <c r="I7806" t="s">
        <v>29</v>
      </c>
      <c r="J7806">
        <v>1</v>
      </c>
      <c r="K7806">
        <f>1-877-595-1337</f>
        <v>-2808</v>
      </c>
      <c r="L7806" t="s">
        <v>24377</v>
      </c>
      <c r="M7806" t="s">
        <v>24378</v>
      </c>
      <c r="N7806">
        <v>227</v>
      </c>
      <c r="O7806" t="s">
        <v>134</v>
      </c>
      <c r="P7806" t="s">
        <v>29</v>
      </c>
      <c r="Q7806">
        <v>41</v>
      </c>
      <c r="R7806">
        <v>-74.024699999999996</v>
      </c>
    </row>
    <row r="7807" spans="1:18" x14ac:dyDescent="0.2">
      <c r="A7807" t="s">
        <v>663</v>
      </c>
      <c r="B7807" t="s">
        <v>2493</v>
      </c>
      <c r="C7807">
        <v>1</v>
      </c>
      <c r="D7807" s="1">
        <v>44179.726111111115</v>
      </c>
      <c r="E7807" t="s">
        <v>24379</v>
      </c>
      <c r="F7807" t="s">
        <v>666</v>
      </c>
      <c r="G7807" t="s">
        <v>24379</v>
      </c>
      <c r="H7807" t="s">
        <v>667</v>
      </c>
      <c r="I7807" t="s">
        <v>29</v>
      </c>
      <c r="J7807">
        <v>1</v>
      </c>
      <c r="K7807">
        <f>1-888-246-428</f>
        <v>-1561</v>
      </c>
      <c r="L7807" t="s">
        <v>24380</v>
      </c>
      <c r="M7807" t="s">
        <v>24381</v>
      </c>
      <c r="N7807">
        <v>184</v>
      </c>
      <c r="O7807" t="s">
        <v>134</v>
      </c>
      <c r="P7807" t="s">
        <v>29</v>
      </c>
      <c r="Q7807">
        <v>41</v>
      </c>
      <c r="R7807">
        <v>-74.024699999999996</v>
      </c>
    </row>
    <row r="7808" spans="1:18" x14ac:dyDescent="0.2">
      <c r="A7808" t="s">
        <v>663</v>
      </c>
      <c r="B7808" t="s">
        <v>3245</v>
      </c>
      <c r="C7808">
        <v>1</v>
      </c>
      <c r="D7808" s="1">
        <v>44179.727812500001</v>
      </c>
      <c r="E7808" t="s">
        <v>24382</v>
      </c>
      <c r="F7808" t="s">
        <v>666</v>
      </c>
      <c r="G7808" t="s">
        <v>24383</v>
      </c>
      <c r="H7808" t="s">
        <v>667</v>
      </c>
      <c r="I7808" t="s">
        <v>29</v>
      </c>
      <c r="J7808">
        <v>1</v>
      </c>
      <c r="K7808">
        <f>1-888-308-5170</f>
        <v>-6365</v>
      </c>
      <c r="L7808" t="s">
        <v>24384</v>
      </c>
      <c r="M7808" t="s">
        <v>24385</v>
      </c>
      <c r="N7808" t="s">
        <v>1645</v>
      </c>
      <c r="O7808" t="s">
        <v>28</v>
      </c>
      <c r="P7808" t="s">
        <v>29</v>
      </c>
      <c r="Q7808">
        <v>41</v>
      </c>
      <c r="R7808">
        <v>-74.140299999999996</v>
      </c>
    </row>
    <row r="7809" spans="1:18" x14ac:dyDescent="0.2">
      <c r="A7809" t="s">
        <v>439</v>
      </c>
      <c r="B7809" t="s">
        <v>4321</v>
      </c>
      <c r="C7809">
        <v>1</v>
      </c>
      <c r="D7809" s="1">
        <v>44179.733368055553</v>
      </c>
      <c r="E7809" t="s">
        <v>24386</v>
      </c>
      <c r="F7809" t="s">
        <v>442</v>
      </c>
      <c r="G7809" t="s">
        <v>24387</v>
      </c>
      <c r="H7809" t="s">
        <v>444</v>
      </c>
      <c r="I7809" t="s">
        <v>29</v>
      </c>
      <c r="J7809">
        <v>1</v>
      </c>
      <c r="K7809">
        <f>1-805-978-9036</f>
        <v>-10818</v>
      </c>
      <c r="L7809" t="s">
        <v>24388</v>
      </c>
      <c r="M7809" t="s">
        <v>24389</v>
      </c>
      <c r="N7809" t="s">
        <v>36</v>
      </c>
      <c r="O7809" t="s">
        <v>28</v>
      </c>
      <c r="P7809" t="s">
        <v>29</v>
      </c>
      <c r="Q7809">
        <v>42</v>
      </c>
      <c r="R7809">
        <v>-87.629800000000003</v>
      </c>
    </row>
    <row r="7810" spans="1:18" x14ac:dyDescent="0.2">
      <c r="A7810" t="s">
        <v>18889</v>
      </c>
      <c r="B7810" t="s">
        <v>24390</v>
      </c>
      <c r="C7810">
        <v>1</v>
      </c>
      <c r="D7810" s="1">
        <v>44179.742083333331</v>
      </c>
      <c r="E7810" t="s">
        <v>24391</v>
      </c>
      <c r="F7810" t="s">
        <v>18891</v>
      </c>
      <c r="G7810" t="s">
        <v>24391</v>
      </c>
      <c r="H7810" t="s">
        <v>18892</v>
      </c>
      <c r="I7810" t="s">
        <v>29</v>
      </c>
      <c r="J7810">
        <v>1</v>
      </c>
      <c r="K7810">
        <f>1-844-222-262</f>
        <v>-1327</v>
      </c>
      <c r="L7810" t="s">
        <v>24392</v>
      </c>
      <c r="M7810" t="s">
        <v>24393</v>
      </c>
      <c r="N7810">
        <v>242</v>
      </c>
      <c r="O7810" t="s">
        <v>134</v>
      </c>
      <c r="P7810" t="s">
        <v>29</v>
      </c>
      <c r="Q7810">
        <v>41</v>
      </c>
      <c r="R7810">
        <v>-74.064899999999994</v>
      </c>
    </row>
    <row r="7811" spans="1:18" x14ac:dyDescent="0.2">
      <c r="A7811" t="s">
        <v>663</v>
      </c>
      <c r="B7811" t="s">
        <v>664</v>
      </c>
      <c r="C7811">
        <v>1</v>
      </c>
      <c r="D7811" s="1">
        <v>44179.749305555553</v>
      </c>
      <c r="E7811" t="s">
        <v>24394</v>
      </c>
      <c r="F7811" t="s">
        <v>666</v>
      </c>
      <c r="G7811" t="s">
        <v>24395</v>
      </c>
      <c r="H7811" t="s">
        <v>667</v>
      </c>
      <c r="I7811" t="s">
        <v>29</v>
      </c>
      <c r="J7811">
        <v>1</v>
      </c>
      <c r="K7811">
        <f>1-844-296-9957</f>
        <v>-11096</v>
      </c>
      <c r="L7811" t="s">
        <v>24396</v>
      </c>
      <c r="M7811" t="s">
        <v>24397</v>
      </c>
      <c r="N7811" t="s">
        <v>1645</v>
      </c>
      <c r="O7811" t="s">
        <v>28</v>
      </c>
      <c r="P7811" t="s">
        <v>29</v>
      </c>
      <c r="Q7811">
        <v>37</v>
      </c>
      <c r="R7811">
        <v>-99.999999000000003</v>
      </c>
    </row>
    <row r="7812" spans="1:18" x14ac:dyDescent="0.2">
      <c r="A7812" t="s">
        <v>663</v>
      </c>
      <c r="B7812" t="s">
        <v>664</v>
      </c>
      <c r="C7812">
        <v>1</v>
      </c>
      <c r="D7812" s="1">
        <v>44179.745787037034</v>
      </c>
      <c r="E7812" t="s">
        <v>24394</v>
      </c>
      <c r="F7812" t="s">
        <v>666</v>
      </c>
      <c r="G7812" t="s">
        <v>24395</v>
      </c>
      <c r="H7812" t="s">
        <v>667</v>
      </c>
      <c r="I7812" t="s">
        <v>29</v>
      </c>
      <c r="J7812">
        <v>1</v>
      </c>
      <c r="K7812">
        <f>1-844-296-9957</f>
        <v>-11096</v>
      </c>
      <c r="L7812" t="s">
        <v>24398</v>
      </c>
      <c r="M7812" t="s">
        <v>24399</v>
      </c>
      <c r="N7812" t="s">
        <v>1645</v>
      </c>
      <c r="O7812" t="s">
        <v>28</v>
      </c>
      <c r="P7812" t="s">
        <v>29</v>
      </c>
      <c r="Q7812">
        <v>37</v>
      </c>
      <c r="R7812">
        <v>-99.999999000000003</v>
      </c>
    </row>
    <row r="7813" spans="1:18" x14ac:dyDescent="0.2">
      <c r="A7813" t="s">
        <v>439</v>
      </c>
      <c r="B7813" t="s">
        <v>4321</v>
      </c>
      <c r="C7813">
        <v>1</v>
      </c>
      <c r="D7813" s="1">
        <v>44179.749421296299</v>
      </c>
      <c r="E7813" t="s">
        <v>24400</v>
      </c>
      <c r="F7813" t="s">
        <v>442</v>
      </c>
      <c r="G7813" t="s">
        <v>24401</v>
      </c>
      <c r="H7813" t="s">
        <v>444</v>
      </c>
      <c r="I7813" t="s">
        <v>29</v>
      </c>
      <c r="J7813">
        <v>1</v>
      </c>
      <c r="K7813">
        <f>1-888-381-8315</f>
        <v>-9583</v>
      </c>
      <c r="L7813" t="s">
        <v>24402</v>
      </c>
      <c r="M7813" t="s">
        <v>24403</v>
      </c>
      <c r="N7813" t="s">
        <v>452</v>
      </c>
      <c r="O7813" t="s">
        <v>134</v>
      </c>
      <c r="P7813" t="s">
        <v>29</v>
      </c>
      <c r="Q7813">
        <v>42</v>
      </c>
      <c r="R7813">
        <v>-87.629800000000003</v>
      </c>
    </row>
    <row r="7814" spans="1:18" x14ac:dyDescent="0.2">
      <c r="A7814" t="s">
        <v>439</v>
      </c>
      <c r="B7814" t="s">
        <v>4321</v>
      </c>
      <c r="C7814">
        <v>1</v>
      </c>
      <c r="D7814" s="1">
        <v>44179.7812037037</v>
      </c>
      <c r="E7814" t="s">
        <v>24404</v>
      </c>
      <c r="F7814" t="s">
        <v>442</v>
      </c>
      <c r="G7814" t="s">
        <v>24405</v>
      </c>
      <c r="H7814" t="s">
        <v>444</v>
      </c>
      <c r="I7814" t="s">
        <v>29</v>
      </c>
      <c r="J7814">
        <v>1</v>
      </c>
      <c r="K7814">
        <f>1-833-220-3018</f>
        <v>-4070</v>
      </c>
      <c r="L7814" t="s">
        <v>24406</v>
      </c>
      <c r="M7814" t="s">
        <v>24407</v>
      </c>
      <c r="N7814" t="s">
        <v>674</v>
      </c>
      <c r="O7814" t="s">
        <v>134</v>
      </c>
      <c r="P7814" t="s">
        <v>29</v>
      </c>
      <c r="Q7814">
        <v>42</v>
      </c>
      <c r="R7814">
        <v>-87.629800000000003</v>
      </c>
    </row>
    <row r="7815" spans="1:18" x14ac:dyDescent="0.2">
      <c r="A7815" t="s">
        <v>270</v>
      </c>
      <c r="B7815" t="s">
        <v>271</v>
      </c>
      <c r="C7815">
        <v>1</v>
      </c>
      <c r="D7815" s="1">
        <v>44371.743958333333</v>
      </c>
      <c r="E7815" t="s">
        <v>24408</v>
      </c>
      <c r="F7815" t="s">
        <v>273</v>
      </c>
      <c r="G7815" t="s">
        <v>24409</v>
      </c>
      <c r="H7815" t="s">
        <v>275</v>
      </c>
      <c r="I7815" t="s">
        <v>29</v>
      </c>
      <c r="J7815">
        <v>1</v>
      </c>
      <c r="K7815">
        <f>1-888-210-6038</f>
        <v>-7135</v>
      </c>
      <c r="L7815" t="s">
        <v>24410</v>
      </c>
      <c r="M7815" t="s">
        <v>24411</v>
      </c>
      <c r="N7815" t="s">
        <v>278</v>
      </c>
      <c r="O7815" t="s">
        <v>134</v>
      </c>
      <c r="P7815" t="s">
        <v>29</v>
      </c>
      <c r="Q7815">
        <v>42</v>
      </c>
      <c r="R7815">
        <v>-93.620800000000003</v>
      </c>
    </row>
    <row r="7816" spans="1:18" x14ac:dyDescent="0.2">
      <c r="A7816" t="s">
        <v>270</v>
      </c>
      <c r="B7816" t="s">
        <v>271</v>
      </c>
      <c r="C7816">
        <v>1</v>
      </c>
      <c r="D7816" s="1">
        <v>44371.74391203704</v>
      </c>
      <c r="E7816" t="s">
        <v>24408</v>
      </c>
      <c r="F7816" t="s">
        <v>273</v>
      </c>
      <c r="G7816" t="s">
        <v>24409</v>
      </c>
      <c r="H7816" t="s">
        <v>275</v>
      </c>
      <c r="I7816" t="s">
        <v>29</v>
      </c>
      <c r="J7816">
        <v>1</v>
      </c>
      <c r="K7816">
        <f>1-888-662-8165</f>
        <v>-9714</v>
      </c>
      <c r="L7816" t="s">
        <v>24412</v>
      </c>
      <c r="M7816" t="s">
        <v>24413</v>
      </c>
      <c r="N7816" t="s">
        <v>278</v>
      </c>
      <c r="O7816" t="s">
        <v>134</v>
      </c>
      <c r="P7816" t="s">
        <v>29</v>
      </c>
      <c r="Q7816">
        <v>42</v>
      </c>
      <c r="R7816">
        <v>-93.620800000000003</v>
      </c>
    </row>
    <row r="7817" spans="1:18" x14ac:dyDescent="0.2">
      <c r="A7817" t="s">
        <v>270</v>
      </c>
      <c r="B7817" t="s">
        <v>271</v>
      </c>
      <c r="C7817">
        <v>1</v>
      </c>
      <c r="D7817" s="1">
        <v>44371.74386574074</v>
      </c>
      <c r="E7817" t="s">
        <v>24408</v>
      </c>
      <c r="F7817" t="s">
        <v>273</v>
      </c>
      <c r="G7817" t="s">
        <v>24409</v>
      </c>
      <c r="H7817" t="s">
        <v>275</v>
      </c>
      <c r="I7817" t="s">
        <v>29</v>
      </c>
      <c r="J7817">
        <v>1</v>
      </c>
      <c r="K7817">
        <f>1-888-521-2456</f>
        <v>-3864</v>
      </c>
      <c r="L7817" t="s">
        <v>24414</v>
      </c>
      <c r="M7817" t="s">
        <v>24415</v>
      </c>
      <c r="N7817" t="s">
        <v>278</v>
      </c>
      <c r="O7817" t="s">
        <v>134</v>
      </c>
      <c r="P7817" t="s">
        <v>29</v>
      </c>
      <c r="Q7817">
        <v>42</v>
      </c>
      <c r="R7817">
        <v>-93.620800000000003</v>
      </c>
    </row>
    <row r="7818" spans="1:18" x14ac:dyDescent="0.2">
      <c r="A7818" t="s">
        <v>270</v>
      </c>
      <c r="B7818" t="s">
        <v>271</v>
      </c>
      <c r="C7818">
        <v>1</v>
      </c>
      <c r="D7818" s="1">
        <v>44371.743831018517</v>
      </c>
      <c r="E7818" t="s">
        <v>24408</v>
      </c>
      <c r="F7818" t="s">
        <v>273</v>
      </c>
      <c r="G7818" t="s">
        <v>24409</v>
      </c>
      <c r="H7818" t="s">
        <v>275</v>
      </c>
      <c r="I7818" t="s">
        <v>29</v>
      </c>
      <c r="J7818">
        <v>1</v>
      </c>
      <c r="K7818">
        <f>1-888-417-4020</f>
        <v>-5324</v>
      </c>
      <c r="L7818" t="s">
        <v>24416</v>
      </c>
      <c r="M7818" t="s">
        <v>24417</v>
      </c>
      <c r="N7818" t="s">
        <v>278</v>
      </c>
      <c r="O7818" t="s">
        <v>134</v>
      </c>
      <c r="P7818" t="s">
        <v>29</v>
      </c>
      <c r="Q7818">
        <v>42</v>
      </c>
      <c r="R7818">
        <v>-93.620800000000003</v>
      </c>
    </row>
    <row r="7819" spans="1:18" x14ac:dyDescent="0.2">
      <c r="A7819" t="s">
        <v>270</v>
      </c>
      <c r="B7819" t="s">
        <v>271</v>
      </c>
      <c r="C7819">
        <v>1</v>
      </c>
      <c r="D7819" s="1">
        <v>44371.743784722225</v>
      </c>
      <c r="E7819" t="s">
        <v>24408</v>
      </c>
      <c r="F7819" t="s">
        <v>273</v>
      </c>
      <c r="G7819" t="s">
        <v>24409</v>
      </c>
      <c r="H7819" t="s">
        <v>275</v>
      </c>
      <c r="I7819" t="s">
        <v>29</v>
      </c>
      <c r="J7819">
        <v>1</v>
      </c>
      <c r="K7819">
        <f>1-888-525-713</f>
        <v>-2125</v>
      </c>
      <c r="L7819" t="s">
        <v>24418</v>
      </c>
      <c r="M7819" t="s">
        <v>24419</v>
      </c>
      <c r="N7819" t="s">
        <v>278</v>
      </c>
      <c r="O7819" t="s">
        <v>134</v>
      </c>
      <c r="P7819" t="s">
        <v>29</v>
      </c>
      <c r="Q7819">
        <v>42</v>
      </c>
      <c r="R7819">
        <v>-93.620800000000003</v>
      </c>
    </row>
    <row r="7820" spans="1:18" x14ac:dyDescent="0.2">
      <c r="A7820" t="s">
        <v>270</v>
      </c>
      <c r="B7820" t="s">
        <v>271</v>
      </c>
      <c r="C7820">
        <v>1</v>
      </c>
      <c r="D7820" s="1">
        <v>44279.823194444441</v>
      </c>
      <c r="E7820" t="s">
        <v>24420</v>
      </c>
      <c r="F7820" t="s">
        <v>273</v>
      </c>
      <c r="G7820" t="s">
        <v>24409</v>
      </c>
      <c r="H7820" t="s">
        <v>275</v>
      </c>
      <c r="I7820" t="s">
        <v>29</v>
      </c>
      <c r="J7820">
        <v>1</v>
      </c>
      <c r="K7820">
        <f>1-844-394-4714</f>
        <v>-5951</v>
      </c>
      <c r="L7820" t="s">
        <v>24421</v>
      </c>
      <c r="M7820" t="s">
        <v>24422</v>
      </c>
      <c r="N7820" t="s">
        <v>278</v>
      </c>
      <c r="O7820" t="s">
        <v>28</v>
      </c>
      <c r="P7820" t="s">
        <v>29</v>
      </c>
      <c r="Q7820">
        <v>42</v>
      </c>
      <c r="R7820">
        <v>-93.620800000000003</v>
      </c>
    </row>
    <row r="7821" spans="1:18" x14ac:dyDescent="0.2">
      <c r="A7821" t="s">
        <v>270</v>
      </c>
      <c r="B7821" t="s">
        <v>271</v>
      </c>
      <c r="C7821">
        <v>1</v>
      </c>
      <c r="D7821" s="1">
        <v>44230.776805555557</v>
      </c>
      <c r="E7821" t="s">
        <v>24423</v>
      </c>
      <c r="F7821" t="s">
        <v>273</v>
      </c>
      <c r="G7821" t="s">
        <v>24409</v>
      </c>
      <c r="H7821" t="s">
        <v>275</v>
      </c>
      <c r="I7821" t="s">
        <v>29</v>
      </c>
      <c r="J7821">
        <v>1</v>
      </c>
      <c r="K7821">
        <f>1-888-350-5315</f>
        <v>-6552</v>
      </c>
      <c r="L7821" t="s">
        <v>24424</v>
      </c>
      <c r="M7821" t="s">
        <v>24425</v>
      </c>
      <c r="N7821" t="s">
        <v>278</v>
      </c>
      <c r="O7821" t="s">
        <v>28</v>
      </c>
      <c r="P7821" t="s">
        <v>29</v>
      </c>
      <c r="Q7821">
        <v>42</v>
      </c>
      <c r="R7821">
        <v>-93.620800000000003</v>
      </c>
    </row>
    <row r="7822" spans="1:18" x14ac:dyDescent="0.2">
      <c r="A7822" t="s">
        <v>270</v>
      </c>
      <c r="B7822" t="s">
        <v>271</v>
      </c>
      <c r="C7822">
        <v>1</v>
      </c>
      <c r="D7822" s="1">
        <v>44229.819502314815</v>
      </c>
      <c r="E7822" t="s">
        <v>24426</v>
      </c>
      <c r="F7822" t="s">
        <v>273</v>
      </c>
      <c r="G7822" t="s">
        <v>24409</v>
      </c>
      <c r="H7822" t="s">
        <v>275</v>
      </c>
      <c r="I7822" t="s">
        <v>29</v>
      </c>
      <c r="J7822">
        <v>1</v>
      </c>
      <c r="K7822">
        <f>1-888-346-291</f>
        <v>-1524</v>
      </c>
      <c r="L7822" t="s">
        <v>24427</v>
      </c>
      <c r="M7822" t="s">
        <v>24428</v>
      </c>
      <c r="N7822" t="s">
        <v>278</v>
      </c>
      <c r="O7822" t="s">
        <v>28</v>
      </c>
      <c r="P7822" t="s">
        <v>29</v>
      </c>
      <c r="Q7822">
        <v>42</v>
      </c>
      <c r="R7822">
        <v>-93.620800000000003</v>
      </c>
    </row>
    <row r="7823" spans="1:18" x14ac:dyDescent="0.2">
      <c r="A7823" t="s">
        <v>270</v>
      </c>
      <c r="B7823" t="s">
        <v>271</v>
      </c>
      <c r="C7823">
        <v>1</v>
      </c>
      <c r="D7823" s="1">
        <v>44229.806388888886</v>
      </c>
      <c r="E7823" t="s">
        <v>24429</v>
      </c>
      <c r="F7823" t="s">
        <v>273</v>
      </c>
      <c r="G7823" t="s">
        <v>24409</v>
      </c>
      <c r="H7823" t="s">
        <v>275</v>
      </c>
      <c r="I7823" t="s">
        <v>29</v>
      </c>
      <c r="J7823">
        <v>1</v>
      </c>
      <c r="K7823">
        <f>1-888-346-291</f>
        <v>-1524</v>
      </c>
      <c r="L7823" t="s">
        <v>24430</v>
      </c>
      <c r="M7823" t="s">
        <v>24431</v>
      </c>
      <c r="N7823" t="s">
        <v>278</v>
      </c>
      <c r="O7823" t="s">
        <v>28</v>
      </c>
      <c r="P7823" t="s">
        <v>29</v>
      </c>
      <c r="Q7823">
        <v>42</v>
      </c>
      <c r="R7823">
        <v>-93.620800000000003</v>
      </c>
    </row>
    <row r="7824" spans="1:18" x14ac:dyDescent="0.2">
      <c r="A7824" t="s">
        <v>270</v>
      </c>
      <c r="B7824" t="s">
        <v>271</v>
      </c>
      <c r="C7824">
        <v>1</v>
      </c>
      <c r="D7824" s="1">
        <v>44215.743645833332</v>
      </c>
      <c r="E7824" t="s">
        <v>24432</v>
      </c>
      <c r="F7824" t="s">
        <v>273</v>
      </c>
      <c r="G7824" t="s">
        <v>24409</v>
      </c>
      <c r="H7824" t="s">
        <v>275</v>
      </c>
      <c r="I7824" t="s">
        <v>29</v>
      </c>
      <c r="J7824">
        <v>1</v>
      </c>
      <c r="K7824">
        <f>1-888-332-3187</f>
        <v>-4406</v>
      </c>
      <c r="L7824" t="s">
        <v>24433</v>
      </c>
      <c r="M7824" t="s">
        <v>24434</v>
      </c>
      <c r="N7824" t="s">
        <v>278</v>
      </c>
      <c r="O7824" t="s">
        <v>28</v>
      </c>
      <c r="P7824" t="s">
        <v>29</v>
      </c>
      <c r="Q7824">
        <v>42</v>
      </c>
      <c r="R7824">
        <v>-93.620800000000003</v>
      </c>
    </row>
    <row r="7825" spans="1:18" x14ac:dyDescent="0.2">
      <c r="A7825" t="s">
        <v>270</v>
      </c>
      <c r="B7825" t="s">
        <v>271</v>
      </c>
      <c r="C7825">
        <v>1</v>
      </c>
      <c r="D7825" s="1">
        <v>44209.811782407407</v>
      </c>
      <c r="E7825" t="s">
        <v>24435</v>
      </c>
      <c r="F7825" t="s">
        <v>273</v>
      </c>
      <c r="G7825" t="s">
        <v>24409</v>
      </c>
      <c r="H7825" t="s">
        <v>275</v>
      </c>
      <c r="I7825" t="s">
        <v>29</v>
      </c>
      <c r="J7825">
        <v>1</v>
      </c>
      <c r="K7825">
        <f>1-888-339-8643</f>
        <v>-9869</v>
      </c>
      <c r="L7825" t="s">
        <v>24436</v>
      </c>
      <c r="M7825" t="s">
        <v>24437</v>
      </c>
      <c r="N7825" t="s">
        <v>278</v>
      </c>
      <c r="O7825" t="s">
        <v>28</v>
      </c>
      <c r="P7825" t="s">
        <v>29</v>
      </c>
      <c r="Q7825">
        <v>42</v>
      </c>
      <c r="R7825">
        <v>-93.620800000000003</v>
      </c>
    </row>
    <row r="7826" spans="1:18" x14ac:dyDescent="0.2">
      <c r="A7826" t="s">
        <v>270</v>
      </c>
      <c r="B7826" t="s">
        <v>271</v>
      </c>
      <c r="C7826">
        <v>1</v>
      </c>
      <c r="D7826" s="1">
        <v>44208.95113425926</v>
      </c>
      <c r="E7826" t="s">
        <v>24438</v>
      </c>
      <c r="F7826" t="s">
        <v>273</v>
      </c>
      <c r="G7826" t="s">
        <v>24409</v>
      </c>
      <c r="H7826" t="s">
        <v>275</v>
      </c>
      <c r="I7826" t="s">
        <v>29</v>
      </c>
      <c r="J7826">
        <v>1</v>
      </c>
      <c r="K7826">
        <f>1-844-312-244</f>
        <v>-1399</v>
      </c>
      <c r="L7826" t="s">
        <v>24439</v>
      </c>
      <c r="M7826" t="s">
        <v>24440</v>
      </c>
      <c r="N7826" t="s">
        <v>278</v>
      </c>
      <c r="O7826" t="s">
        <v>134</v>
      </c>
      <c r="P7826" t="s">
        <v>29</v>
      </c>
      <c r="Q7826">
        <v>42</v>
      </c>
      <c r="R7826">
        <v>-93.620800000000003</v>
      </c>
    </row>
    <row r="7827" spans="1:18" x14ac:dyDescent="0.2">
      <c r="A7827" t="s">
        <v>270</v>
      </c>
      <c r="B7827" t="s">
        <v>271</v>
      </c>
      <c r="C7827">
        <v>1</v>
      </c>
      <c r="D7827" s="1">
        <v>44208.900208333333</v>
      </c>
      <c r="E7827" t="s">
        <v>24441</v>
      </c>
      <c r="F7827" t="s">
        <v>273</v>
      </c>
      <c r="G7827" t="s">
        <v>24409</v>
      </c>
      <c r="H7827" t="s">
        <v>275</v>
      </c>
      <c r="I7827" t="s">
        <v>29</v>
      </c>
      <c r="J7827">
        <v>1</v>
      </c>
      <c r="K7827">
        <f>1-888-327-6493</f>
        <v>-7707</v>
      </c>
      <c r="L7827" t="s">
        <v>24442</v>
      </c>
      <c r="M7827" t="s">
        <v>24443</v>
      </c>
      <c r="N7827" t="s">
        <v>278</v>
      </c>
      <c r="O7827" t="s">
        <v>28</v>
      </c>
      <c r="P7827" t="s">
        <v>29</v>
      </c>
      <c r="Q7827">
        <v>42</v>
      </c>
      <c r="R7827">
        <v>-93.620800000000003</v>
      </c>
    </row>
    <row r="7828" spans="1:18" x14ac:dyDescent="0.2">
      <c r="A7828" t="s">
        <v>270</v>
      </c>
      <c r="B7828" t="s">
        <v>271</v>
      </c>
      <c r="C7828">
        <v>1</v>
      </c>
      <c r="D7828" s="1">
        <v>44208.807812500003</v>
      </c>
      <c r="E7828" t="s">
        <v>24444</v>
      </c>
      <c r="F7828" t="s">
        <v>273</v>
      </c>
      <c r="G7828" t="s">
        <v>24409</v>
      </c>
      <c r="H7828" t="s">
        <v>275</v>
      </c>
      <c r="I7828" t="s">
        <v>29</v>
      </c>
      <c r="J7828">
        <v>1</v>
      </c>
      <c r="K7828">
        <f>1-888-308-5987</f>
        <v>-7182</v>
      </c>
      <c r="L7828" t="s">
        <v>24445</v>
      </c>
      <c r="M7828" t="s">
        <v>24446</v>
      </c>
      <c r="N7828" t="s">
        <v>278</v>
      </c>
      <c r="O7828" t="s">
        <v>28</v>
      </c>
      <c r="P7828" t="s">
        <v>29</v>
      </c>
      <c r="Q7828">
        <v>42</v>
      </c>
      <c r="R7828">
        <v>-93.620800000000003</v>
      </c>
    </row>
    <row r="7829" spans="1:18" x14ac:dyDescent="0.2">
      <c r="A7829" t="s">
        <v>270</v>
      </c>
      <c r="B7829" t="s">
        <v>271</v>
      </c>
      <c r="C7829">
        <v>1</v>
      </c>
      <c r="D7829" s="1">
        <v>44208.740347222221</v>
      </c>
      <c r="E7829" t="s">
        <v>24447</v>
      </c>
      <c r="F7829" t="s">
        <v>273</v>
      </c>
      <c r="G7829" t="s">
        <v>24409</v>
      </c>
      <c r="H7829" t="s">
        <v>275</v>
      </c>
      <c r="I7829" t="s">
        <v>29</v>
      </c>
      <c r="J7829">
        <v>1</v>
      </c>
      <c r="K7829">
        <f>1-844-312-244</f>
        <v>-1399</v>
      </c>
      <c r="L7829" t="s">
        <v>24448</v>
      </c>
      <c r="M7829" t="s">
        <v>24449</v>
      </c>
      <c r="N7829" t="s">
        <v>278</v>
      </c>
      <c r="O7829" t="s">
        <v>28</v>
      </c>
      <c r="P7829" t="s">
        <v>29</v>
      </c>
      <c r="Q7829">
        <v>42</v>
      </c>
      <c r="R7829">
        <v>-93.620800000000003</v>
      </c>
    </row>
    <row r="7830" spans="1:18" x14ac:dyDescent="0.2">
      <c r="A7830" t="s">
        <v>270</v>
      </c>
      <c r="B7830" t="s">
        <v>271</v>
      </c>
      <c r="C7830">
        <v>1</v>
      </c>
      <c r="D7830" s="1">
        <v>44179.79787037037</v>
      </c>
      <c r="E7830" t="s">
        <v>24450</v>
      </c>
      <c r="F7830" t="s">
        <v>273</v>
      </c>
      <c r="G7830" t="s">
        <v>24409</v>
      </c>
      <c r="H7830" t="s">
        <v>275</v>
      </c>
      <c r="I7830" t="s">
        <v>29</v>
      </c>
      <c r="J7830">
        <v>1</v>
      </c>
      <c r="K7830">
        <f>1-888-210-2707</f>
        <v>-3804</v>
      </c>
      <c r="L7830" t="s">
        <v>24451</v>
      </c>
      <c r="M7830" t="s">
        <v>24452</v>
      </c>
      <c r="N7830" t="s">
        <v>278</v>
      </c>
      <c r="O7830" t="s">
        <v>134</v>
      </c>
      <c r="P7830" t="s">
        <v>29</v>
      </c>
      <c r="Q7830">
        <v>42</v>
      </c>
      <c r="R7830">
        <v>-93.620800000000003</v>
      </c>
    </row>
    <row r="7831" spans="1:18" x14ac:dyDescent="0.2">
      <c r="A7831" t="s">
        <v>663</v>
      </c>
      <c r="B7831" t="s">
        <v>2493</v>
      </c>
      <c r="C7831">
        <v>1</v>
      </c>
      <c r="D7831" s="1">
        <v>44179.801388888889</v>
      </c>
      <c r="E7831" t="s">
        <v>24453</v>
      </c>
      <c r="F7831" t="s">
        <v>666</v>
      </c>
      <c r="G7831" t="s">
        <v>24453</v>
      </c>
      <c r="H7831" t="s">
        <v>667</v>
      </c>
      <c r="I7831" t="s">
        <v>29</v>
      </c>
      <c r="J7831">
        <v>1</v>
      </c>
      <c r="K7831">
        <f>1-888-345-4612</f>
        <v>-5844</v>
      </c>
      <c r="L7831" t="s">
        <v>24454</v>
      </c>
      <c r="M7831" t="s">
        <v>24455</v>
      </c>
      <c r="N7831">
        <v>56</v>
      </c>
      <c r="O7831" t="s">
        <v>134</v>
      </c>
      <c r="P7831" t="s">
        <v>29</v>
      </c>
      <c r="Q7831">
        <v>41</v>
      </c>
      <c r="R7831">
        <v>-74.024699999999996</v>
      </c>
    </row>
    <row r="7832" spans="1:18" x14ac:dyDescent="0.2">
      <c r="A7832" t="s">
        <v>663</v>
      </c>
      <c r="B7832" t="s">
        <v>2493</v>
      </c>
      <c r="C7832">
        <v>1</v>
      </c>
      <c r="D7832" s="1">
        <v>44179.801238425927</v>
      </c>
      <c r="E7832" t="s">
        <v>24453</v>
      </c>
      <c r="F7832" t="s">
        <v>666</v>
      </c>
      <c r="G7832" t="s">
        <v>24453</v>
      </c>
      <c r="H7832" t="s">
        <v>667</v>
      </c>
      <c r="I7832" t="s">
        <v>29</v>
      </c>
      <c r="J7832">
        <v>1</v>
      </c>
      <c r="K7832">
        <f>1-888-335-7469</f>
        <v>-8691</v>
      </c>
      <c r="L7832" t="s">
        <v>24456</v>
      </c>
      <c r="M7832" t="s">
        <v>24457</v>
      </c>
      <c r="N7832">
        <v>56</v>
      </c>
      <c r="O7832" t="s">
        <v>134</v>
      </c>
      <c r="P7832" t="s">
        <v>29</v>
      </c>
      <c r="Q7832">
        <v>41</v>
      </c>
      <c r="R7832">
        <v>-74.024699999999996</v>
      </c>
    </row>
    <row r="7833" spans="1:18" x14ac:dyDescent="0.2">
      <c r="A7833" t="s">
        <v>663</v>
      </c>
      <c r="B7833" t="s">
        <v>2493</v>
      </c>
      <c r="C7833">
        <v>1</v>
      </c>
      <c r="D7833" s="1">
        <v>44179.813611111109</v>
      </c>
      <c r="E7833" t="s">
        <v>24458</v>
      </c>
      <c r="F7833" t="s">
        <v>666</v>
      </c>
      <c r="G7833" t="s">
        <v>24458</v>
      </c>
      <c r="H7833" t="s">
        <v>667</v>
      </c>
      <c r="I7833" t="s">
        <v>29</v>
      </c>
      <c r="J7833">
        <v>1</v>
      </c>
      <c r="K7833">
        <f>1-888-380-8759</f>
        <v>-10026</v>
      </c>
      <c r="L7833" t="s">
        <v>24459</v>
      </c>
      <c r="M7833" t="s">
        <v>24460</v>
      </c>
      <c r="N7833">
        <v>69</v>
      </c>
      <c r="O7833" t="s">
        <v>134</v>
      </c>
      <c r="P7833" t="s">
        <v>29</v>
      </c>
      <c r="Q7833">
        <v>41</v>
      </c>
      <c r="R7833">
        <v>-74.024699999999996</v>
      </c>
    </row>
    <row r="7834" spans="1:18" x14ac:dyDescent="0.2">
      <c r="A7834" t="s">
        <v>663</v>
      </c>
      <c r="B7834" t="s">
        <v>2493</v>
      </c>
      <c r="C7834">
        <v>1</v>
      </c>
      <c r="D7834" s="1">
        <v>44179.846342592595</v>
      </c>
      <c r="E7834" t="s">
        <v>24461</v>
      </c>
      <c r="F7834" t="s">
        <v>666</v>
      </c>
      <c r="G7834" t="s">
        <v>24461</v>
      </c>
      <c r="H7834" t="s">
        <v>667</v>
      </c>
      <c r="I7834" t="s">
        <v>29</v>
      </c>
      <c r="J7834">
        <v>1</v>
      </c>
      <c r="K7834">
        <f>1-888-528-198</f>
        <v>-1613</v>
      </c>
      <c r="L7834" t="s">
        <v>24462</v>
      </c>
      <c r="M7834" t="s">
        <v>24463</v>
      </c>
      <c r="N7834">
        <v>105</v>
      </c>
      <c r="O7834" t="s">
        <v>134</v>
      </c>
      <c r="P7834" t="s">
        <v>29</v>
      </c>
      <c r="Q7834">
        <v>41</v>
      </c>
      <c r="R7834">
        <v>-74.024699999999996</v>
      </c>
    </row>
    <row r="7835" spans="1:18" x14ac:dyDescent="0.2">
      <c r="A7835" t="s">
        <v>663</v>
      </c>
      <c r="B7835" t="s">
        <v>3245</v>
      </c>
      <c r="C7835">
        <v>1</v>
      </c>
      <c r="D7835" s="1">
        <v>44180.866064814814</v>
      </c>
      <c r="E7835" t="s">
        <v>24464</v>
      </c>
      <c r="F7835" t="s">
        <v>666</v>
      </c>
      <c r="G7835" t="s">
        <v>24464</v>
      </c>
      <c r="H7835" t="s">
        <v>667</v>
      </c>
      <c r="I7835" t="s">
        <v>29</v>
      </c>
      <c r="J7835">
        <v>1</v>
      </c>
      <c r="K7835">
        <f>1-888-309-7893</f>
        <v>-9089</v>
      </c>
      <c r="L7835" t="s">
        <v>24465</v>
      </c>
      <c r="M7835" t="s">
        <v>24466</v>
      </c>
      <c r="N7835">
        <v>113</v>
      </c>
      <c r="O7835" t="s">
        <v>134</v>
      </c>
      <c r="P7835" t="s">
        <v>29</v>
      </c>
      <c r="Q7835">
        <v>41</v>
      </c>
      <c r="R7835">
        <v>-74.140299999999996</v>
      </c>
    </row>
    <row r="7836" spans="1:18" x14ac:dyDescent="0.2">
      <c r="A7836" t="s">
        <v>439</v>
      </c>
      <c r="B7836" t="s">
        <v>4321</v>
      </c>
      <c r="C7836">
        <v>1</v>
      </c>
      <c r="D7836" s="1">
        <v>44180.882696759261</v>
      </c>
      <c r="E7836" t="s">
        <v>24467</v>
      </c>
      <c r="F7836" t="s">
        <v>442</v>
      </c>
      <c r="G7836" t="s">
        <v>24468</v>
      </c>
      <c r="H7836" t="s">
        <v>444</v>
      </c>
      <c r="I7836" t="s">
        <v>29</v>
      </c>
      <c r="J7836">
        <v>1</v>
      </c>
      <c r="K7836">
        <f>1-833-220-3574</f>
        <v>-4626</v>
      </c>
      <c r="L7836" t="s">
        <v>24469</v>
      </c>
      <c r="M7836" t="s">
        <v>24470</v>
      </c>
      <c r="N7836" t="s">
        <v>674</v>
      </c>
      <c r="O7836" t="s">
        <v>28</v>
      </c>
      <c r="P7836" t="s">
        <v>29</v>
      </c>
      <c r="Q7836">
        <v>42</v>
      </c>
      <c r="R7836">
        <v>-87.629800000000003</v>
      </c>
    </row>
    <row r="7837" spans="1:18" x14ac:dyDescent="0.2">
      <c r="A7837" t="s">
        <v>663</v>
      </c>
      <c r="B7837" t="s">
        <v>2493</v>
      </c>
      <c r="C7837">
        <v>1</v>
      </c>
      <c r="D7837" s="1">
        <v>44179.907847222225</v>
      </c>
      <c r="E7837" t="s">
        <v>24471</v>
      </c>
      <c r="F7837" t="s">
        <v>666</v>
      </c>
      <c r="G7837" t="s">
        <v>24471</v>
      </c>
      <c r="H7837" t="s">
        <v>667</v>
      </c>
      <c r="I7837" t="s">
        <v>29</v>
      </c>
      <c r="J7837">
        <v>1</v>
      </c>
      <c r="K7837">
        <f>1-888-414-9476</f>
        <v>-10777</v>
      </c>
      <c r="L7837" t="s">
        <v>24472</v>
      </c>
      <c r="M7837" t="s">
        <v>24473</v>
      </c>
      <c r="N7837">
        <v>102</v>
      </c>
      <c r="O7837" t="s">
        <v>134</v>
      </c>
      <c r="P7837" t="s">
        <v>29</v>
      </c>
      <c r="Q7837">
        <v>41</v>
      </c>
      <c r="R7837">
        <v>-74.024699999999996</v>
      </c>
    </row>
    <row r="7838" spans="1:18" x14ac:dyDescent="0.2">
      <c r="A7838" t="s">
        <v>663</v>
      </c>
      <c r="B7838" t="s">
        <v>664</v>
      </c>
      <c r="C7838">
        <v>1</v>
      </c>
      <c r="D7838" s="1">
        <v>44180.349270833336</v>
      </c>
      <c r="E7838" t="s">
        <v>24474</v>
      </c>
      <c r="F7838" t="s">
        <v>2495</v>
      </c>
      <c r="G7838" t="s">
        <v>24474</v>
      </c>
      <c r="H7838" t="s">
        <v>667</v>
      </c>
      <c r="I7838" t="s">
        <v>29</v>
      </c>
      <c r="J7838">
        <v>1</v>
      </c>
      <c r="K7838">
        <f>1-888-382-7455</f>
        <v>-8724</v>
      </c>
      <c r="L7838" t="s">
        <v>24475</v>
      </c>
      <c r="M7838" t="s">
        <v>24476</v>
      </c>
      <c r="N7838">
        <v>6</v>
      </c>
      <c r="O7838" t="s">
        <v>134</v>
      </c>
      <c r="P7838" t="s">
        <v>29</v>
      </c>
      <c r="Q7838">
        <v>37</v>
      </c>
      <c r="R7838">
        <v>-99.999999000000003</v>
      </c>
    </row>
    <row r="7839" spans="1:18" x14ac:dyDescent="0.2">
      <c r="A7839" t="s">
        <v>5349</v>
      </c>
      <c r="B7839" t="s">
        <v>440</v>
      </c>
      <c r="C7839">
        <v>81</v>
      </c>
      <c r="D7839" s="1">
        <v>44180.537986111114</v>
      </c>
      <c r="E7839" t="s">
        <v>24477</v>
      </c>
      <c r="F7839" t="s">
        <v>7023</v>
      </c>
      <c r="G7839" t="s">
        <v>24477</v>
      </c>
      <c r="H7839" t="s">
        <v>2237</v>
      </c>
      <c r="I7839" t="s">
        <v>53</v>
      </c>
      <c r="J7839">
        <v>81</v>
      </c>
      <c r="K7839">
        <f>81-50-5534-9743</f>
        <v>-15246</v>
      </c>
      <c r="L7839" t="s">
        <v>24478</v>
      </c>
      <c r="M7839" t="s">
        <v>24479</v>
      </c>
      <c r="N7839">
        <v>225</v>
      </c>
      <c r="O7839" t="s">
        <v>134</v>
      </c>
      <c r="P7839" t="s">
        <v>29</v>
      </c>
      <c r="Q7839">
        <v>39</v>
      </c>
      <c r="R7839">
        <v>-77.487399999999994</v>
      </c>
    </row>
    <row r="7840" spans="1:18" x14ac:dyDescent="0.2">
      <c r="A7840" t="s">
        <v>439</v>
      </c>
      <c r="B7840" t="s">
        <v>4321</v>
      </c>
      <c r="C7840">
        <v>1</v>
      </c>
      <c r="D7840" s="1">
        <v>44180.823275462964</v>
      </c>
      <c r="E7840" t="s">
        <v>24480</v>
      </c>
      <c r="F7840" t="s">
        <v>442</v>
      </c>
      <c r="G7840" t="s">
        <v>24481</v>
      </c>
      <c r="H7840" t="s">
        <v>444</v>
      </c>
      <c r="I7840" t="s">
        <v>29</v>
      </c>
      <c r="J7840">
        <v>1</v>
      </c>
      <c r="K7840">
        <f>1-888-248-6411</f>
        <v>-7546</v>
      </c>
      <c r="L7840" t="s">
        <v>24482</v>
      </c>
      <c r="M7840" t="s">
        <v>24483</v>
      </c>
      <c r="N7840" t="s">
        <v>447</v>
      </c>
      <c r="O7840" t="s">
        <v>28</v>
      </c>
      <c r="P7840" t="s">
        <v>29</v>
      </c>
      <c r="Q7840">
        <v>42</v>
      </c>
      <c r="R7840">
        <v>-87.629800000000003</v>
      </c>
    </row>
    <row r="7841" spans="1:18" x14ac:dyDescent="0.2">
      <c r="A7841" t="s">
        <v>663</v>
      </c>
      <c r="B7841" t="s">
        <v>2493</v>
      </c>
      <c r="C7841">
        <v>1</v>
      </c>
      <c r="D7841" s="1">
        <v>44181.712071759262</v>
      </c>
      <c r="E7841" t="s">
        <v>24484</v>
      </c>
      <c r="F7841" t="s">
        <v>666</v>
      </c>
      <c r="G7841" t="s">
        <v>24484</v>
      </c>
      <c r="H7841" t="s">
        <v>667</v>
      </c>
      <c r="I7841" t="s">
        <v>29</v>
      </c>
      <c r="J7841">
        <v>1</v>
      </c>
      <c r="K7841">
        <f>1-888-308-5980</f>
        <v>-7175</v>
      </c>
      <c r="L7841" t="s">
        <v>24485</v>
      </c>
      <c r="M7841" t="s">
        <v>24486</v>
      </c>
      <c r="N7841">
        <v>130</v>
      </c>
      <c r="O7841" t="s">
        <v>134</v>
      </c>
      <c r="P7841" t="s">
        <v>29</v>
      </c>
      <c r="Q7841">
        <v>41</v>
      </c>
      <c r="R7841">
        <v>-74.024699999999996</v>
      </c>
    </row>
    <row r="7842" spans="1:18" x14ac:dyDescent="0.2">
      <c r="A7842" t="s">
        <v>663</v>
      </c>
      <c r="B7842" t="s">
        <v>2493</v>
      </c>
      <c r="C7842">
        <v>1</v>
      </c>
      <c r="D7842" s="1">
        <v>44181.711805555555</v>
      </c>
      <c r="E7842" t="s">
        <v>24484</v>
      </c>
      <c r="F7842" t="s">
        <v>666</v>
      </c>
      <c r="G7842" t="s">
        <v>24484</v>
      </c>
      <c r="H7842" t="s">
        <v>667</v>
      </c>
      <c r="I7842" t="s">
        <v>29</v>
      </c>
      <c r="J7842">
        <v>1</v>
      </c>
      <c r="K7842">
        <f>1-888-248-6337</f>
        <v>-7472</v>
      </c>
      <c r="L7842" t="s">
        <v>24487</v>
      </c>
      <c r="M7842" t="s">
        <v>24488</v>
      </c>
      <c r="N7842">
        <v>130</v>
      </c>
      <c r="O7842" t="s">
        <v>134</v>
      </c>
      <c r="P7842" t="s">
        <v>29</v>
      </c>
      <c r="Q7842">
        <v>41</v>
      </c>
      <c r="R7842">
        <v>-74.024699999999996</v>
      </c>
    </row>
    <row r="7843" spans="1:18" x14ac:dyDescent="0.2">
      <c r="A7843" t="s">
        <v>663</v>
      </c>
      <c r="B7843" t="s">
        <v>3245</v>
      </c>
      <c r="C7843">
        <v>1</v>
      </c>
      <c r="D7843" s="1">
        <v>44181.017685185187</v>
      </c>
      <c r="E7843" t="s">
        <v>24489</v>
      </c>
      <c r="F7843" t="s">
        <v>666</v>
      </c>
      <c r="G7843" t="s">
        <v>24489</v>
      </c>
      <c r="H7843" t="s">
        <v>667</v>
      </c>
      <c r="I7843" t="s">
        <v>29</v>
      </c>
      <c r="J7843">
        <v>1</v>
      </c>
      <c r="K7843">
        <f>1-888-339-2864</f>
        <v>-4090</v>
      </c>
      <c r="L7843" t="s">
        <v>24490</v>
      </c>
      <c r="M7843" t="s">
        <v>24491</v>
      </c>
      <c r="N7843">
        <v>124</v>
      </c>
      <c r="O7843" t="s">
        <v>134</v>
      </c>
      <c r="P7843" t="s">
        <v>29</v>
      </c>
      <c r="Q7843">
        <v>41</v>
      </c>
      <c r="R7843">
        <v>-74.140299999999996</v>
      </c>
    </row>
    <row r="7844" spans="1:18" x14ac:dyDescent="0.2">
      <c r="A7844" t="s">
        <v>663</v>
      </c>
      <c r="B7844" t="s">
        <v>2493</v>
      </c>
      <c r="C7844">
        <v>1</v>
      </c>
      <c r="D7844" s="1">
        <v>44181.69903935185</v>
      </c>
      <c r="E7844" t="s">
        <v>24492</v>
      </c>
      <c r="F7844" t="s">
        <v>666</v>
      </c>
      <c r="G7844" t="s">
        <v>24493</v>
      </c>
      <c r="H7844" t="s">
        <v>667</v>
      </c>
      <c r="I7844" t="s">
        <v>29</v>
      </c>
      <c r="J7844">
        <v>1</v>
      </c>
      <c r="K7844">
        <f>1-800-916-4210</f>
        <v>-5925</v>
      </c>
      <c r="L7844" t="s">
        <v>24494</v>
      </c>
      <c r="M7844" t="s">
        <v>24495</v>
      </c>
      <c r="N7844" t="s">
        <v>5354</v>
      </c>
      <c r="O7844" t="s">
        <v>134</v>
      </c>
      <c r="P7844" t="s">
        <v>29</v>
      </c>
      <c r="Q7844">
        <v>41</v>
      </c>
      <c r="R7844">
        <v>-74.024699999999996</v>
      </c>
    </row>
    <row r="7845" spans="1:18" x14ac:dyDescent="0.2">
      <c r="A7845" t="s">
        <v>439</v>
      </c>
      <c r="B7845" t="s">
        <v>440</v>
      </c>
      <c r="C7845">
        <v>1</v>
      </c>
      <c r="D7845" s="1">
        <v>44181.707638888889</v>
      </c>
      <c r="E7845" t="s">
        <v>24496</v>
      </c>
      <c r="F7845" t="s">
        <v>442</v>
      </c>
      <c r="G7845" t="s">
        <v>24497</v>
      </c>
      <c r="H7845" t="s">
        <v>444</v>
      </c>
      <c r="I7845" t="s">
        <v>29</v>
      </c>
      <c r="J7845">
        <v>1</v>
      </c>
      <c r="K7845">
        <f>1-833-220-3216</f>
        <v>-4268</v>
      </c>
      <c r="L7845" t="s">
        <v>24498</v>
      </c>
      <c r="M7845" t="s">
        <v>24499</v>
      </c>
      <c r="N7845" t="s">
        <v>213</v>
      </c>
      <c r="O7845" t="s">
        <v>134</v>
      </c>
      <c r="P7845" t="s">
        <v>29</v>
      </c>
      <c r="Q7845">
        <v>39</v>
      </c>
      <c r="R7845">
        <v>-77.487399999999994</v>
      </c>
    </row>
    <row r="7846" spans="1:18" x14ac:dyDescent="0.2">
      <c r="A7846" t="s">
        <v>663</v>
      </c>
      <c r="B7846" t="s">
        <v>2493</v>
      </c>
      <c r="C7846">
        <v>1</v>
      </c>
      <c r="D7846" s="1">
        <v>44181.766180555554</v>
      </c>
      <c r="E7846" t="s">
        <v>24500</v>
      </c>
      <c r="F7846" t="s">
        <v>666</v>
      </c>
      <c r="G7846" t="s">
        <v>24500</v>
      </c>
      <c r="H7846" t="s">
        <v>667</v>
      </c>
      <c r="I7846" t="s">
        <v>29</v>
      </c>
      <c r="J7846">
        <v>1</v>
      </c>
      <c r="K7846">
        <f>1-888-332-8393</f>
        <v>-9612</v>
      </c>
      <c r="L7846" t="s">
        <v>24501</v>
      </c>
      <c r="M7846" t="s">
        <v>24502</v>
      </c>
      <c r="N7846">
        <v>250</v>
      </c>
      <c r="O7846" t="s">
        <v>134</v>
      </c>
      <c r="P7846" t="s">
        <v>29</v>
      </c>
      <c r="Q7846">
        <v>41</v>
      </c>
      <c r="R7846">
        <v>-74.024699999999996</v>
      </c>
    </row>
    <row r="7847" spans="1:18" x14ac:dyDescent="0.2">
      <c r="A7847" t="s">
        <v>663</v>
      </c>
      <c r="B7847" t="s">
        <v>3245</v>
      </c>
      <c r="C7847">
        <v>1</v>
      </c>
      <c r="D7847" s="1">
        <v>44181.849560185183</v>
      </c>
      <c r="E7847" t="s">
        <v>24503</v>
      </c>
      <c r="F7847" t="s">
        <v>666</v>
      </c>
      <c r="G7847" t="s">
        <v>24503</v>
      </c>
      <c r="H7847" t="s">
        <v>667</v>
      </c>
      <c r="I7847" t="s">
        <v>29</v>
      </c>
      <c r="J7847">
        <v>1</v>
      </c>
      <c r="K7847">
        <f>1-888-268-6250</f>
        <v>-7405</v>
      </c>
      <c r="L7847" t="s">
        <v>24504</v>
      </c>
      <c r="M7847" t="s">
        <v>24505</v>
      </c>
      <c r="N7847">
        <v>190</v>
      </c>
      <c r="O7847" t="s">
        <v>134</v>
      </c>
      <c r="P7847" t="s">
        <v>29</v>
      </c>
      <c r="Q7847">
        <v>41</v>
      </c>
      <c r="R7847">
        <v>-74.140299999999996</v>
      </c>
    </row>
    <row r="7848" spans="1:18" x14ac:dyDescent="0.2">
      <c r="A7848" t="s">
        <v>663</v>
      </c>
      <c r="B7848" t="s">
        <v>3245</v>
      </c>
      <c r="C7848">
        <v>1</v>
      </c>
      <c r="D7848" s="1">
        <v>44182.102488425924</v>
      </c>
      <c r="E7848" t="s">
        <v>24506</v>
      </c>
      <c r="F7848" t="s">
        <v>2495</v>
      </c>
      <c r="G7848" t="s">
        <v>24506</v>
      </c>
      <c r="H7848" t="s">
        <v>667</v>
      </c>
      <c r="I7848" t="s">
        <v>29</v>
      </c>
      <c r="J7848">
        <v>1</v>
      </c>
      <c r="K7848">
        <f>1-888-358-248</f>
        <v>-1493</v>
      </c>
      <c r="L7848" t="s">
        <v>24507</v>
      </c>
      <c r="M7848" t="s">
        <v>24508</v>
      </c>
      <c r="N7848">
        <v>152</v>
      </c>
      <c r="O7848" t="s">
        <v>134</v>
      </c>
      <c r="P7848" t="s">
        <v>29</v>
      </c>
      <c r="Q7848">
        <v>41</v>
      </c>
      <c r="R7848">
        <v>-74.140299999999996</v>
      </c>
    </row>
    <row r="7849" spans="1:18" x14ac:dyDescent="0.2">
      <c r="A7849" t="s">
        <v>663</v>
      </c>
      <c r="B7849" t="s">
        <v>3245</v>
      </c>
      <c r="C7849">
        <v>1</v>
      </c>
      <c r="D7849" s="1">
        <v>44182.101689814815</v>
      </c>
      <c r="E7849" t="s">
        <v>24506</v>
      </c>
      <c r="F7849" t="s">
        <v>2495</v>
      </c>
      <c r="G7849" t="s">
        <v>24506</v>
      </c>
      <c r="H7849" t="s">
        <v>667</v>
      </c>
      <c r="I7849" t="s">
        <v>29</v>
      </c>
      <c r="J7849">
        <v>1</v>
      </c>
      <c r="K7849">
        <f>1-888-224-3015</f>
        <v>-4126</v>
      </c>
      <c r="L7849" t="s">
        <v>24509</v>
      </c>
      <c r="M7849" t="s">
        <v>24510</v>
      </c>
      <c r="N7849">
        <v>152</v>
      </c>
      <c r="O7849" t="s">
        <v>134</v>
      </c>
      <c r="P7849" t="s">
        <v>29</v>
      </c>
      <c r="Q7849">
        <v>41</v>
      </c>
      <c r="R7849">
        <v>-74.140299999999996</v>
      </c>
    </row>
    <row r="7850" spans="1:18" x14ac:dyDescent="0.2">
      <c r="A7850" t="s">
        <v>663</v>
      </c>
      <c r="B7850" t="s">
        <v>2493</v>
      </c>
      <c r="C7850">
        <v>1</v>
      </c>
      <c r="D7850" s="1">
        <v>44182.735937500001</v>
      </c>
      <c r="E7850" t="s">
        <v>24511</v>
      </c>
      <c r="F7850" t="s">
        <v>666</v>
      </c>
      <c r="G7850" t="s">
        <v>24511</v>
      </c>
      <c r="H7850" t="s">
        <v>667</v>
      </c>
      <c r="I7850" t="s">
        <v>29</v>
      </c>
      <c r="J7850">
        <v>1</v>
      </c>
      <c r="K7850">
        <f>1-888-308-5727</f>
        <v>-6922</v>
      </c>
      <c r="L7850" t="s">
        <v>24512</v>
      </c>
      <c r="M7850" t="s">
        <v>24513</v>
      </c>
      <c r="N7850">
        <v>22</v>
      </c>
      <c r="O7850" t="s">
        <v>134</v>
      </c>
      <c r="P7850" t="s">
        <v>29</v>
      </c>
      <c r="Q7850">
        <v>41</v>
      </c>
      <c r="R7850">
        <v>-74.024699999999996</v>
      </c>
    </row>
    <row r="7851" spans="1:18" x14ac:dyDescent="0.2">
      <c r="A7851" t="s">
        <v>663</v>
      </c>
      <c r="B7851" t="s">
        <v>3245</v>
      </c>
      <c r="C7851">
        <v>1</v>
      </c>
      <c r="D7851" s="1">
        <v>44182.735972222225</v>
      </c>
      <c r="E7851" t="s">
        <v>24514</v>
      </c>
      <c r="F7851" t="s">
        <v>666</v>
      </c>
      <c r="G7851" t="s">
        <v>24514</v>
      </c>
      <c r="H7851" t="s">
        <v>667</v>
      </c>
      <c r="I7851" t="s">
        <v>29</v>
      </c>
      <c r="J7851">
        <v>1</v>
      </c>
      <c r="K7851">
        <f>1-833-220-3908</f>
        <v>-4960</v>
      </c>
      <c r="L7851" t="s">
        <v>24515</v>
      </c>
      <c r="M7851" t="s">
        <v>24516</v>
      </c>
      <c r="N7851">
        <v>209</v>
      </c>
      <c r="O7851" t="s">
        <v>134</v>
      </c>
      <c r="P7851" t="s">
        <v>29</v>
      </c>
      <c r="Q7851">
        <v>41</v>
      </c>
      <c r="R7851">
        <v>-74.140299999999996</v>
      </c>
    </row>
    <row r="7852" spans="1:18" x14ac:dyDescent="0.2">
      <c r="A7852" t="s">
        <v>663</v>
      </c>
      <c r="B7852" t="s">
        <v>2493</v>
      </c>
      <c r="C7852">
        <v>1</v>
      </c>
      <c r="D7852" s="1">
        <v>44182.781666666669</v>
      </c>
      <c r="E7852" t="s">
        <v>24517</v>
      </c>
      <c r="F7852" t="s">
        <v>666</v>
      </c>
      <c r="G7852" t="s">
        <v>24517</v>
      </c>
      <c r="H7852" t="s">
        <v>667</v>
      </c>
      <c r="I7852" t="s">
        <v>29</v>
      </c>
      <c r="J7852">
        <v>1</v>
      </c>
      <c r="K7852">
        <f>1-888-370-584</f>
        <v>-1841</v>
      </c>
      <c r="L7852" t="s">
        <v>24518</v>
      </c>
      <c r="M7852" t="s">
        <v>24519</v>
      </c>
      <c r="N7852">
        <v>228</v>
      </c>
      <c r="O7852" t="s">
        <v>134</v>
      </c>
      <c r="P7852" t="s">
        <v>29</v>
      </c>
      <c r="Q7852">
        <v>41</v>
      </c>
      <c r="R7852">
        <v>-74.024699999999996</v>
      </c>
    </row>
    <row r="7853" spans="1:18" x14ac:dyDescent="0.2">
      <c r="A7853" t="s">
        <v>439</v>
      </c>
      <c r="B7853" t="s">
        <v>4321</v>
      </c>
      <c r="C7853">
        <v>1</v>
      </c>
      <c r="D7853" s="1">
        <v>44182.790520833332</v>
      </c>
      <c r="E7853" t="s">
        <v>24520</v>
      </c>
      <c r="F7853" t="s">
        <v>442</v>
      </c>
      <c r="G7853" t="s">
        <v>24521</v>
      </c>
      <c r="H7853" t="s">
        <v>444</v>
      </c>
      <c r="I7853" t="s">
        <v>29</v>
      </c>
      <c r="J7853">
        <v>1</v>
      </c>
      <c r="K7853">
        <f>1-888-218-8191</f>
        <v>-9296</v>
      </c>
      <c r="L7853" t="s">
        <v>24522</v>
      </c>
      <c r="M7853" t="s">
        <v>24523</v>
      </c>
      <c r="N7853" t="s">
        <v>36</v>
      </c>
      <c r="O7853" t="s">
        <v>134</v>
      </c>
      <c r="P7853" t="s">
        <v>29</v>
      </c>
      <c r="Q7853">
        <v>42</v>
      </c>
      <c r="R7853">
        <v>-87.629800000000003</v>
      </c>
    </row>
    <row r="7854" spans="1:18" x14ac:dyDescent="0.2">
      <c r="A7854" t="s">
        <v>663</v>
      </c>
      <c r="B7854" t="s">
        <v>2493</v>
      </c>
      <c r="C7854">
        <v>1</v>
      </c>
      <c r="D7854" s="1">
        <v>44182.814837962964</v>
      </c>
      <c r="E7854" t="s">
        <v>24524</v>
      </c>
      <c r="F7854" t="s">
        <v>666</v>
      </c>
      <c r="G7854" t="s">
        <v>24524</v>
      </c>
      <c r="H7854" t="s">
        <v>667</v>
      </c>
      <c r="I7854" t="s">
        <v>29</v>
      </c>
      <c r="J7854">
        <v>1</v>
      </c>
      <c r="K7854">
        <f>1-888-284-3003</f>
        <v>-4174</v>
      </c>
      <c r="L7854" t="s">
        <v>24525</v>
      </c>
      <c r="M7854" t="s">
        <v>24526</v>
      </c>
      <c r="N7854">
        <v>187</v>
      </c>
      <c r="O7854" t="s">
        <v>134</v>
      </c>
      <c r="P7854" t="s">
        <v>29</v>
      </c>
      <c r="Q7854">
        <v>41</v>
      </c>
      <c r="R7854">
        <v>-74.024699999999996</v>
      </c>
    </row>
    <row r="7855" spans="1:18" x14ac:dyDescent="0.2">
      <c r="A7855" t="s">
        <v>663</v>
      </c>
      <c r="B7855" t="s">
        <v>2493</v>
      </c>
      <c r="C7855">
        <v>1</v>
      </c>
      <c r="D7855" s="1">
        <v>44183.735173611109</v>
      </c>
      <c r="E7855" t="s">
        <v>24527</v>
      </c>
      <c r="F7855" t="s">
        <v>666</v>
      </c>
      <c r="G7855" t="s">
        <v>24527</v>
      </c>
      <c r="H7855" t="s">
        <v>667</v>
      </c>
      <c r="I7855" t="s">
        <v>29</v>
      </c>
      <c r="J7855">
        <v>1</v>
      </c>
      <c r="K7855">
        <f>1-888-248-3312</f>
        <v>-4447</v>
      </c>
      <c r="L7855" t="s">
        <v>24528</v>
      </c>
      <c r="M7855" t="s">
        <v>24529</v>
      </c>
      <c r="N7855">
        <v>165</v>
      </c>
      <c r="O7855" t="s">
        <v>134</v>
      </c>
      <c r="P7855" t="s">
        <v>29</v>
      </c>
      <c r="Q7855">
        <v>41</v>
      </c>
      <c r="R7855">
        <v>-74.024699999999996</v>
      </c>
    </row>
    <row r="7856" spans="1:18" x14ac:dyDescent="0.2">
      <c r="A7856" t="s">
        <v>663</v>
      </c>
      <c r="B7856" t="s">
        <v>2493</v>
      </c>
      <c r="C7856">
        <v>1</v>
      </c>
      <c r="D7856" s="1">
        <v>44183.769675925927</v>
      </c>
      <c r="E7856" t="s">
        <v>24530</v>
      </c>
      <c r="F7856" t="s">
        <v>666</v>
      </c>
      <c r="G7856" t="s">
        <v>24530</v>
      </c>
      <c r="H7856" t="s">
        <v>667</v>
      </c>
      <c r="I7856" t="s">
        <v>29</v>
      </c>
      <c r="J7856">
        <v>1</v>
      </c>
      <c r="K7856">
        <f>1-888-605-6516</f>
        <v>-8008</v>
      </c>
      <c r="L7856" t="s">
        <v>24531</v>
      </c>
      <c r="M7856" t="s">
        <v>24532</v>
      </c>
      <c r="N7856">
        <v>60</v>
      </c>
      <c r="O7856" t="s">
        <v>134</v>
      </c>
      <c r="P7856" t="s">
        <v>29</v>
      </c>
      <c r="Q7856">
        <v>41</v>
      </c>
      <c r="R7856">
        <v>-74.024699999999996</v>
      </c>
    </row>
    <row r="7857" spans="1:18" x14ac:dyDescent="0.2">
      <c r="A7857" t="s">
        <v>663</v>
      </c>
      <c r="B7857" t="s">
        <v>2493</v>
      </c>
      <c r="C7857">
        <v>1</v>
      </c>
      <c r="D7857" s="1">
        <v>44182.910138888888</v>
      </c>
      <c r="E7857" t="s">
        <v>24533</v>
      </c>
      <c r="F7857" t="s">
        <v>666</v>
      </c>
      <c r="G7857" t="s">
        <v>24533</v>
      </c>
      <c r="H7857" t="s">
        <v>667</v>
      </c>
      <c r="I7857" t="s">
        <v>29</v>
      </c>
      <c r="J7857">
        <v>1</v>
      </c>
      <c r="K7857">
        <f>1-888-307-4032</f>
        <v>-5226</v>
      </c>
      <c r="L7857" t="s">
        <v>24534</v>
      </c>
      <c r="M7857" t="s">
        <v>24535</v>
      </c>
      <c r="N7857">
        <v>34</v>
      </c>
      <c r="O7857" t="s">
        <v>134</v>
      </c>
      <c r="P7857" t="s">
        <v>29</v>
      </c>
      <c r="Q7857">
        <v>41</v>
      </c>
      <c r="R7857">
        <v>-74.024699999999996</v>
      </c>
    </row>
    <row r="7858" spans="1:18" x14ac:dyDescent="0.2">
      <c r="A7858" t="s">
        <v>663</v>
      </c>
      <c r="B7858" t="s">
        <v>2493</v>
      </c>
      <c r="C7858">
        <v>1</v>
      </c>
      <c r="D7858" s="1">
        <v>44182.915648148148</v>
      </c>
      <c r="E7858" t="s">
        <v>24536</v>
      </c>
      <c r="F7858" t="s">
        <v>666</v>
      </c>
      <c r="G7858" t="s">
        <v>24536</v>
      </c>
      <c r="H7858" t="s">
        <v>667</v>
      </c>
      <c r="I7858" t="s">
        <v>29</v>
      </c>
      <c r="J7858">
        <v>1</v>
      </c>
      <c r="K7858">
        <f>1-888-291-2858</f>
        <v>-4036</v>
      </c>
      <c r="L7858" t="s">
        <v>24537</v>
      </c>
      <c r="M7858" t="s">
        <v>24538</v>
      </c>
      <c r="N7858">
        <v>199</v>
      </c>
      <c r="O7858" t="s">
        <v>134</v>
      </c>
      <c r="P7858" t="s">
        <v>29</v>
      </c>
      <c r="Q7858">
        <v>41</v>
      </c>
      <c r="R7858">
        <v>-74.024699999999996</v>
      </c>
    </row>
    <row r="7859" spans="1:18" x14ac:dyDescent="0.2">
      <c r="A7859" t="s">
        <v>439</v>
      </c>
      <c r="B7859" t="s">
        <v>4321</v>
      </c>
      <c r="C7859">
        <v>81</v>
      </c>
      <c r="D7859" s="1">
        <v>44182.919444444444</v>
      </c>
      <c r="E7859" t="s">
        <v>24539</v>
      </c>
      <c r="F7859" t="s">
        <v>442</v>
      </c>
      <c r="G7859" t="s">
        <v>24540</v>
      </c>
      <c r="H7859" t="s">
        <v>444</v>
      </c>
      <c r="I7859" t="s">
        <v>53</v>
      </c>
      <c r="J7859">
        <v>81</v>
      </c>
      <c r="K7859">
        <f>81-50-3136-6495</f>
        <v>-9600</v>
      </c>
      <c r="L7859" t="s">
        <v>24541</v>
      </c>
      <c r="M7859" t="s">
        <v>24542</v>
      </c>
      <c r="N7859" t="s">
        <v>447</v>
      </c>
      <c r="O7859" t="s">
        <v>28</v>
      </c>
      <c r="P7859" t="s">
        <v>29</v>
      </c>
      <c r="Q7859">
        <v>42</v>
      </c>
      <c r="R7859">
        <v>-87.629800000000003</v>
      </c>
    </row>
    <row r="7860" spans="1:18" x14ac:dyDescent="0.2">
      <c r="A7860" t="s">
        <v>663</v>
      </c>
      <c r="B7860" t="s">
        <v>2493</v>
      </c>
      <c r="C7860">
        <v>1</v>
      </c>
      <c r="D7860" s="1">
        <v>44182.935046296298</v>
      </c>
      <c r="E7860" t="s">
        <v>24543</v>
      </c>
      <c r="F7860" t="s">
        <v>666</v>
      </c>
      <c r="G7860" t="s">
        <v>24543</v>
      </c>
      <c r="H7860" t="s">
        <v>667</v>
      </c>
      <c r="I7860" t="s">
        <v>29</v>
      </c>
      <c r="J7860">
        <v>1</v>
      </c>
      <c r="K7860">
        <f>1-888-350-5301</f>
        <v>-6538</v>
      </c>
      <c r="L7860" t="s">
        <v>24544</v>
      </c>
      <c r="M7860" t="s">
        <v>24545</v>
      </c>
      <c r="N7860">
        <v>60</v>
      </c>
      <c r="O7860" t="s">
        <v>134</v>
      </c>
      <c r="P7860" t="s">
        <v>29</v>
      </c>
      <c r="Q7860">
        <v>41</v>
      </c>
      <c r="R7860">
        <v>-74.024699999999996</v>
      </c>
    </row>
    <row r="7861" spans="1:18" x14ac:dyDescent="0.2">
      <c r="A7861" t="s">
        <v>663</v>
      </c>
      <c r="B7861" t="s">
        <v>2493</v>
      </c>
      <c r="C7861">
        <v>1</v>
      </c>
      <c r="D7861" s="1">
        <v>44182.932835648149</v>
      </c>
      <c r="E7861" t="s">
        <v>24543</v>
      </c>
      <c r="F7861" t="s">
        <v>666</v>
      </c>
      <c r="G7861" t="s">
        <v>24543</v>
      </c>
      <c r="H7861" t="s">
        <v>667</v>
      </c>
      <c r="I7861" t="s">
        <v>29</v>
      </c>
      <c r="J7861">
        <v>1</v>
      </c>
      <c r="K7861">
        <f>1-888-307-3986</f>
        <v>-5180</v>
      </c>
      <c r="L7861" t="s">
        <v>24546</v>
      </c>
      <c r="M7861" t="s">
        <v>24547</v>
      </c>
      <c r="N7861">
        <v>60</v>
      </c>
      <c r="O7861" t="s">
        <v>134</v>
      </c>
      <c r="P7861" t="s">
        <v>29</v>
      </c>
      <c r="Q7861">
        <v>41</v>
      </c>
      <c r="R7861">
        <v>-74.024699999999996</v>
      </c>
    </row>
    <row r="7862" spans="1:18" x14ac:dyDescent="0.2">
      <c r="A7862" t="s">
        <v>2233</v>
      </c>
      <c r="B7862" t="s">
        <v>2234</v>
      </c>
      <c r="C7862">
        <v>1</v>
      </c>
      <c r="D7862" s="1">
        <v>44342.748171296298</v>
      </c>
      <c r="E7862" t="s">
        <v>24548</v>
      </c>
      <c r="F7862" t="s">
        <v>2236</v>
      </c>
      <c r="G7862" t="s">
        <v>24549</v>
      </c>
      <c r="H7862" t="s">
        <v>2237</v>
      </c>
      <c r="I7862" t="s">
        <v>29</v>
      </c>
      <c r="J7862">
        <v>1</v>
      </c>
      <c r="K7862">
        <f>1-833-251-9233</f>
        <v>-10316</v>
      </c>
      <c r="L7862" t="s">
        <v>24550</v>
      </c>
      <c r="M7862" t="s">
        <v>24551</v>
      </c>
      <c r="N7862" t="s">
        <v>5354</v>
      </c>
      <c r="O7862" t="s">
        <v>28</v>
      </c>
      <c r="P7862" t="s">
        <v>29</v>
      </c>
      <c r="Q7862">
        <v>40</v>
      </c>
      <c r="R7862">
        <v>-83.114099999999993</v>
      </c>
    </row>
    <row r="7863" spans="1:18" x14ac:dyDescent="0.2">
      <c r="A7863" t="s">
        <v>2233</v>
      </c>
      <c r="B7863" t="s">
        <v>2234</v>
      </c>
      <c r="C7863">
        <v>1</v>
      </c>
      <c r="D7863" s="1">
        <v>44183.791076388887</v>
      </c>
      <c r="E7863" t="s">
        <v>24552</v>
      </c>
      <c r="F7863" t="s">
        <v>2236</v>
      </c>
      <c r="G7863" t="s">
        <v>24549</v>
      </c>
      <c r="H7863" t="s">
        <v>2237</v>
      </c>
      <c r="I7863" t="s">
        <v>29</v>
      </c>
      <c r="J7863">
        <v>1</v>
      </c>
      <c r="K7863">
        <f>1-833-220-3046</f>
        <v>-4098</v>
      </c>
      <c r="L7863" t="s">
        <v>24553</v>
      </c>
      <c r="M7863" t="s">
        <v>24554</v>
      </c>
      <c r="N7863" t="s">
        <v>5354</v>
      </c>
      <c r="O7863" t="s">
        <v>28</v>
      </c>
      <c r="P7863" t="s">
        <v>29</v>
      </c>
      <c r="Q7863">
        <v>40</v>
      </c>
      <c r="R7863">
        <v>-83.114099999999993</v>
      </c>
    </row>
    <row r="7864" spans="1:18" x14ac:dyDescent="0.2">
      <c r="A7864" t="s">
        <v>663</v>
      </c>
      <c r="B7864" t="s">
        <v>2493</v>
      </c>
      <c r="C7864">
        <v>1</v>
      </c>
      <c r="D7864" s="1">
        <v>44183.797627314816</v>
      </c>
      <c r="E7864" t="s">
        <v>24555</v>
      </c>
      <c r="F7864" t="s">
        <v>666</v>
      </c>
      <c r="G7864" t="s">
        <v>24555</v>
      </c>
      <c r="H7864" t="s">
        <v>667</v>
      </c>
      <c r="I7864" t="s">
        <v>29</v>
      </c>
      <c r="J7864">
        <v>1</v>
      </c>
      <c r="K7864">
        <f>1-888-312-1402</f>
        <v>-2601</v>
      </c>
      <c r="L7864" t="s">
        <v>24556</v>
      </c>
      <c r="M7864" t="s">
        <v>24557</v>
      </c>
      <c r="N7864">
        <v>179</v>
      </c>
      <c r="O7864" t="s">
        <v>134</v>
      </c>
      <c r="P7864" t="s">
        <v>29</v>
      </c>
      <c r="Q7864">
        <v>41</v>
      </c>
      <c r="R7864">
        <v>-74.024699999999996</v>
      </c>
    </row>
    <row r="7865" spans="1:18" x14ac:dyDescent="0.2">
      <c r="A7865" t="s">
        <v>2233</v>
      </c>
      <c r="B7865" t="s">
        <v>2234</v>
      </c>
      <c r="C7865">
        <v>1</v>
      </c>
      <c r="D7865" s="1">
        <v>44183.818344907406</v>
      </c>
      <c r="E7865" t="s">
        <v>24558</v>
      </c>
      <c r="F7865" t="s">
        <v>2236</v>
      </c>
      <c r="G7865" t="s">
        <v>24559</v>
      </c>
      <c r="H7865" t="s">
        <v>2237</v>
      </c>
      <c r="I7865" t="s">
        <v>29</v>
      </c>
      <c r="J7865">
        <v>1</v>
      </c>
      <c r="K7865">
        <f>1-833-220-3981</f>
        <v>-5033</v>
      </c>
      <c r="L7865" t="s">
        <v>24560</v>
      </c>
      <c r="M7865" t="s">
        <v>24561</v>
      </c>
      <c r="N7865" t="s">
        <v>5354</v>
      </c>
      <c r="O7865" t="s">
        <v>28</v>
      </c>
      <c r="P7865" t="s">
        <v>29</v>
      </c>
      <c r="Q7865">
        <v>40</v>
      </c>
      <c r="R7865">
        <v>-83.114099999999993</v>
      </c>
    </row>
    <row r="7866" spans="1:18" x14ac:dyDescent="0.2">
      <c r="A7866" t="s">
        <v>663</v>
      </c>
      <c r="B7866" t="s">
        <v>2493</v>
      </c>
      <c r="C7866">
        <v>1</v>
      </c>
      <c r="D7866" s="1">
        <v>44183.820613425924</v>
      </c>
      <c r="E7866" t="s">
        <v>24562</v>
      </c>
      <c r="F7866" t="s">
        <v>666</v>
      </c>
      <c r="G7866" t="s">
        <v>24562</v>
      </c>
      <c r="H7866" t="s">
        <v>667</v>
      </c>
      <c r="I7866" t="s">
        <v>29</v>
      </c>
      <c r="J7866">
        <v>1</v>
      </c>
      <c r="K7866">
        <f>1-888-527-4108</f>
        <v>-5522</v>
      </c>
      <c r="L7866" t="s">
        <v>24563</v>
      </c>
      <c r="M7866" t="s">
        <v>24564</v>
      </c>
      <c r="N7866">
        <v>162</v>
      </c>
      <c r="O7866" t="s">
        <v>134</v>
      </c>
      <c r="P7866" t="s">
        <v>29</v>
      </c>
      <c r="Q7866">
        <v>41</v>
      </c>
      <c r="R7866">
        <v>-74.024699999999996</v>
      </c>
    </row>
    <row r="7867" spans="1:18" x14ac:dyDescent="0.2">
      <c r="A7867" t="s">
        <v>2233</v>
      </c>
      <c r="B7867" t="s">
        <v>2234</v>
      </c>
      <c r="C7867">
        <v>1</v>
      </c>
      <c r="D7867" s="1">
        <v>44183.83488425926</v>
      </c>
      <c r="E7867" t="s">
        <v>24565</v>
      </c>
      <c r="F7867" t="s">
        <v>2236</v>
      </c>
      <c r="G7867" t="s">
        <v>24566</v>
      </c>
      <c r="H7867" t="s">
        <v>2237</v>
      </c>
      <c r="I7867" t="s">
        <v>29</v>
      </c>
      <c r="J7867">
        <v>1</v>
      </c>
      <c r="K7867">
        <f>1-844-295-7496</f>
        <v>-8634</v>
      </c>
      <c r="L7867" t="s">
        <v>24567</v>
      </c>
      <c r="M7867" t="s">
        <v>24568</v>
      </c>
      <c r="N7867" t="s">
        <v>5354</v>
      </c>
      <c r="O7867" t="s">
        <v>28</v>
      </c>
      <c r="P7867" t="s">
        <v>29</v>
      </c>
      <c r="Q7867">
        <v>40</v>
      </c>
      <c r="R7867">
        <v>-83.114099999999993</v>
      </c>
    </row>
    <row r="7868" spans="1:18" x14ac:dyDescent="0.2">
      <c r="A7868" t="s">
        <v>2233</v>
      </c>
      <c r="B7868" t="s">
        <v>440</v>
      </c>
      <c r="C7868">
        <v>1</v>
      </c>
      <c r="D7868" s="1">
        <v>44186.11309027778</v>
      </c>
      <c r="E7868" t="s">
        <v>24569</v>
      </c>
      <c r="F7868" t="s">
        <v>2236</v>
      </c>
      <c r="G7868" t="s">
        <v>24570</v>
      </c>
      <c r="H7868" t="s">
        <v>2237</v>
      </c>
      <c r="I7868" t="s">
        <v>29</v>
      </c>
      <c r="J7868">
        <v>1</v>
      </c>
      <c r="K7868">
        <f>1-877-565-3016</f>
        <v>-4457</v>
      </c>
      <c r="L7868" t="s">
        <v>24571</v>
      </c>
      <c r="M7868" t="s">
        <v>24572</v>
      </c>
      <c r="N7868" t="s">
        <v>5354</v>
      </c>
      <c r="O7868" t="s">
        <v>28</v>
      </c>
      <c r="P7868" t="s">
        <v>29</v>
      </c>
      <c r="Q7868">
        <v>39</v>
      </c>
      <c r="R7868">
        <v>-77.487399999999994</v>
      </c>
    </row>
    <row r="7869" spans="1:18" x14ac:dyDescent="0.2">
      <c r="A7869" t="s">
        <v>675</v>
      </c>
      <c r="B7869" t="s">
        <v>6310</v>
      </c>
      <c r="C7869">
        <v>1</v>
      </c>
      <c r="D7869" s="1">
        <v>44186.125243055554</v>
      </c>
      <c r="E7869" t="s">
        <v>24573</v>
      </c>
      <c r="F7869" t="s">
        <v>2987</v>
      </c>
      <c r="G7869" t="s">
        <v>24574</v>
      </c>
      <c r="H7869" t="s">
        <v>680</v>
      </c>
      <c r="I7869" t="s">
        <v>29</v>
      </c>
      <c r="J7869">
        <v>1</v>
      </c>
      <c r="K7869">
        <f>1-877-204-3850</f>
        <v>-4930</v>
      </c>
      <c r="L7869" t="s">
        <v>24575</v>
      </c>
      <c r="M7869" t="s">
        <v>24576</v>
      </c>
      <c r="N7869" t="s">
        <v>452</v>
      </c>
      <c r="O7869" t="s">
        <v>134</v>
      </c>
      <c r="P7869" t="s">
        <v>29</v>
      </c>
      <c r="Q7869">
        <v>34</v>
      </c>
      <c r="R7869">
        <v>-84.425700000000006</v>
      </c>
    </row>
    <row r="7870" spans="1:18" x14ac:dyDescent="0.2">
      <c r="A7870" t="s">
        <v>439</v>
      </c>
      <c r="B7870" t="s">
        <v>4321</v>
      </c>
      <c r="C7870">
        <v>1</v>
      </c>
      <c r="D7870" s="1">
        <v>44184.861238425925</v>
      </c>
      <c r="E7870" t="s">
        <v>24577</v>
      </c>
      <c r="F7870" t="s">
        <v>442</v>
      </c>
      <c r="G7870" t="s">
        <v>24578</v>
      </c>
      <c r="H7870" t="s">
        <v>444</v>
      </c>
      <c r="I7870" t="s">
        <v>29</v>
      </c>
      <c r="J7870">
        <v>1</v>
      </c>
      <c r="K7870">
        <f>1-888-474-951</f>
        <v>-2312</v>
      </c>
      <c r="L7870" t="s">
        <v>24579</v>
      </c>
      <c r="M7870" t="s">
        <v>24580</v>
      </c>
      <c r="N7870" t="s">
        <v>20913</v>
      </c>
      <c r="O7870" t="s">
        <v>28</v>
      </c>
      <c r="P7870" t="s">
        <v>29</v>
      </c>
      <c r="Q7870">
        <v>42</v>
      </c>
      <c r="R7870">
        <v>-87.629800000000003</v>
      </c>
    </row>
    <row r="7871" spans="1:18" x14ac:dyDescent="0.2">
      <c r="A7871" t="s">
        <v>2233</v>
      </c>
      <c r="B7871" t="s">
        <v>440</v>
      </c>
      <c r="C7871">
        <v>1</v>
      </c>
      <c r="D7871" s="1">
        <v>44187.224363425928</v>
      </c>
      <c r="E7871" t="s">
        <v>24581</v>
      </c>
      <c r="F7871" t="s">
        <v>2236</v>
      </c>
      <c r="G7871" t="s">
        <v>24582</v>
      </c>
      <c r="H7871" t="s">
        <v>2237</v>
      </c>
      <c r="I7871" t="s">
        <v>29</v>
      </c>
      <c r="J7871">
        <v>1</v>
      </c>
      <c r="K7871">
        <f>1-888-379-1269</f>
        <v>-2535</v>
      </c>
      <c r="L7871" t="s">
        <v>24583</v>
      </c>
      <c r="M7871" t="s">
        <v>24584</v>
      </c>
      <c r="N7871" t="s">
        <v>5354</v>
      </c>
      <c r="O7871" t="s">
        <v>28</v>
      </c>
      <c r="P7871" t="s">
        <v>29</v>
      </c>
      <c r="Q7871">
        <v>39</v>
      </c>
      <c r="R7871">
        <v>-77.487399999999994</v>
      </c>
    </row>
    <row r="7872" spans="1:18" x14ac:dyDescent="0.2">
      <c r="A7872" t="s">
        <v>675</v>
      </c>
      <c r="B7872" t="s">
        <v>676</v>
      </c>
      <c r="C7872">
        <v>1</v>
      </c>
      <c r="D7872" s="1">
        <v>44185.538124999999</v>
      </c>
      <c r="E7872" t="s">
        <v>24585</v>
      </c>
      <c r="F7872" t="s">
        <v>678</v>
      </c>
      <c r="G7872" t="s">
        <v>24586</v>
      </c>
      <c r="H7872" t="s">
        <v>680</v>
      </c>
      <c r="I7872" t="s">
        <v>29</v>
      </c>
      <c r="J7872">
        <v>1</v>
      </c>
      <c r="K7872">
        <f>1-888-988-598</f>
        <v>-2473</v>
      </c>
      <c r="L7872" t="s">
        <v>24587</v>
      </c>
      <c r="M7872" t="s">
        <v>24588</v>
      </c>
      <c r="N7872" t="s">
        <v>5354</v>
      </c>
      <c r="O7872" t="s">
        <v>28</v>
      </c>
      <c r="P7872" t="s">
        <v>29</v>
      </c>
      <c r="Q7872">
        <v>33</v>
      </c>
      <c r="R7872">
        <v>-99.999999000000003</v>
      </c>
    </row>
    <row r="7873" spans="1:18" x14ac:dyDescent="0.2">
      <c r="A7873" t="s">
        <v>439</v>
      </c>
      <c r="B7873" t="s">
        <v>4321</v>
      </c>
      <c r="C7873">
        <v>1</v>
      </c>
      <c r="D7873" s="1">
        <v>44185.915995370371</v>
      </c>
      <c r="E7873" t="s">
        <v>24589</v>
      </c>
      <c r="F7873" t="s">
        <v>442</v>
      </c>
      <c r="G7873" t="s">
        <v>24590</v>
      </c>
      <c r="H7873" t="s">
        <v>444</v>
      </c>
      <c r="I7873" t="s">
        <v>29</v>
      </c>
      <c r="J7873">
        <v>1</v>
      </c>
      <c r="K7873">
        <f>1-888-465-1198</f>
        <v>-2550</v>
      </c>
      <c r="L7873" t="s">
        <v>24591</v>
      </c>
      <c r="M7873" t="s">
        <v>24592</v>
      </c>
      <c r="N7873" t="s">
        <v>20913</v>
      </c>
      <c r="O7873" t="s">
        <v>28</v>
      </c>
      <c r="P7873" t="s">
        <v>29</v>
      </c>
      <c r="Q7873">
        <v>42</v>
      </c>
      <c r="R7873">
        <v>-87.629800000000003</v>
      </c>
    </row>
    <row r="7874" spans="1:18" x14ac:dyDescent="0.2">
      <c r="A7874" t="s">
        <v>6586</v>
      </c>
      <c r="B7874" t="s">
        <v>24593</v>
      </c>
      <c r="C7874">
        <v>1</v>
      </c>
      <c r="D7874" s="1">
        <v>44188.889027777775</v>
      </c>
      <c r="E7874" t="s">
        <v>24594</v>
      </c>
      <c r="F7874" t="s">
        <v>6588</v>
      </c>
      <c r="G7874" t="s">
        <v>24595</v>
      </c>
      <c r="H7874" t="s">
        <v>6590</v>
      </c>
      <c r="I7874" t="s">
        <v>29</v>
      </c>
      <c r="J7874">
        <v>1</v>
      </c>
      <c r="K7874">
        <f>1-844-304-887</f>
        <v>-2034</v>
      </c>
      <c r="L7874" t="s">
        <v>24596</v>
      </c>
      <c r="M7874" t="s">
        <v>24597</v>
      </c>
      <c r="N7874" t="s">
        <v>674</v>
      </c>
      <c r="O7874" t="s">
        <v>28</v>
      </c>
      <c r="P7874" t="s">
        <v>29</v>
      </c>
      <c r="Q7874">
        <v>41</v>
      </c>
      <c r="R7874">
        <v>-74.459199999999996</v>
      </c>
    </row>
    <row r="7875" spans="1:18" x14ac:dyDescent="0.2">
      <c r="A7875" t="s">
        <v>6586</v>
      </c>
      <c r="B7875" t="s">
        <v>24593</v>
      </c>
      <c r="C7875">
        <v>1</v>
      </c>
      <c r="D7875" s="1">
        <v>44188.885509259257</v>
      </c>
      <c r="E7875" t="s">
        <v>24598</v>
      </c>
      <c r="F7875" t="s">
        <v>6588</v>
      </c>
      <c r="G7875" t="s">
        <v>24595</v>
      </c>
      <c r="H7875" t="s">
        <v>6590</v>
      </c>
      <c r="I7875" t="s">
        <v>29</v>
      </c>
      <c r="J7875">
        <v>1</v>
      </c>
      <c r="K7875">
        <f>1-844-304-887</f>
        <v>-2034</v>
      </c>
      <c r="L7875" t="s">
        <v>24599</v>
      </c>
      <c r="M7875" t="s">
        <v>24600</v>
      </c>
      <c r="N7875" t="s">
        <v>674</v>
      </c>
      <c r="O7875" t="s">
        <v>28</v>
      </c>
      <c r="P7875" t="s">
        <v>29</v>
      </c>
      <c r="Q7875">
        <v>41</v>
      </c>
      <c r="R7875">
        <v>-74.459199999999996</v>
      </c>
    </row>
    <row r="7876" spans="1:18" x14ac:dyDescent="0.2">
      <c r="A7876" t="s">
        <v>6586</v>
      </c>
      <c r="B7876" t="s">
        <v>24593</v>
      </c>
      <c r="C7876">
        <v>1</v>
      </c>
      <c r="D7876" s="1">
        <v>44188.879803240743</v>
      </c>
      <c r="E7876" t="s">
        <v>24601</v>
      </c>
      <c r="F7876" t="s">
        <v>6588</v>
      </c>
      <c r="G7876" t="s">
        <v>24595</v>
      </c>
      <c r="H7876" t="s">
        <v>6590</v>
      </c>
      <c r="I7876" t="s">
        <v>29</v>
      </c>
      <c r="J7876">
        <v>1</v>
      </c>
      <c r="K7876">
        <f>1-844-304-887</f>
        <v>-2034</v>
      </c>
      <c r="L7876" t="s">
        <v>24602</v>
      </c>
      <c r="M7876" t="s">
        <v>24603</v>
      </c>
      <c r="N7876" t="s">
        <v>674</v>
      </c>
      <c r="O7876" t="s">
        <v>28</v>
      </c>
      <c r="P7876" t="s">
        <v>29</v>
      </c>
      <c r="Q7876">
        <v>41</v>
      </c>
      <c r="R7876">
        <v>-74.459199999999996</v>
      </c>
    </row>
    <row r="7877" spans="1:18" x14ac:dyDescent="0.2">
      <c r="A7877" t="s">
        <v>6586</v>
      </c>
      <c r="B7877" t="s">
        <v>24593</v>
      </c>
      <c r="C7877">
        <v>1</v>
      </c>
      <c r="D7877" s="1">
        <v>44188.868449074071</v>
      </c>
      <c r="E7877" t="s">
        <v>24604</v>
      </c>
      <c r="F7877" t="s">
        <v>6588</v>
      </c>
      <c r="G7877" t="s">
        <v>24595</v>
      </c>
      <c r="H7877" t="s">
        <v>6590</v>
      </c>
      <c r="I7877" t="s">
        <v>29</v>
      </c>
      <c r="J7877">
        <v>1</v>
      </c>
      <c r="K7877">
        <f>1-888-653-7381</f>
        <v>-8921</v>
      </c>
      <c r="L7877" t="s">
        <v>24605</v>
      </c>
      <c r="M7877" t="s">
        <v>24606</v>
      </c>
      <c r="N7877" t="s">
        <v>674</v>
      </c>
      <c r="O7877" t="s">
        <v>28</v>
      </c>
      <c r="P7877" t="s">
        <v>29</v>
      </c>
      <c r="Q7877">
        <v>41</v>
      </c>
      <c r="R7877">
        <v>-74.459199999999996</v>
      </c>
    </row>
    <row r="7878" spans="1:18" x14ac:dyDescent="0.2">
      <c r="A7878" t="s">
        <v>439</v>
      </c>
      <c r="B7878" t="s">
        <v>4321</v>
      </c>
      <c r="C7878">
        <v>1</v>
      </c>
      <c r="D7878" s="1">
        <v>44187.87159722222</v>
      </c>
      <c r="E7878" t="s">
        <v>24607</v>
      </c>
      <c r="F7878" t="s">
        <v>442</v>
      </c>
      <c r="G7878" t="s">
        <v>24608</v>
      </c>
      <c r="H7878" t="s">
        <v>444</v>
      </c>
      <c r="I7878" t="s">
        <v>29</v>
      </c>
      <c r="J7878">
        <v>1</v>
      </c>
      <c r="K7878">
        <f>1-888-210-3619</f>
        <v>-4716</v>
      </c>
      <c r="L7878" t="s">
        <v>24609</v>
      </c>
      <c r="M7878" t="s">
        <v>24610</v>
      </c>
      <c r="N7878" t="s">
        <v>5354</v>
      </c>
      <c r="O7878" t="s">
        <v>28</v>
      </c>
      <c r="P7878" t="s">
        <v>29</v>
      </c>
      <c r="Q7878">
        <v>42</v>
      </c>
      <c r="R7878">
        <v>-87.629800000000003</v>
      </c>
    </row>
    <row r="7879" spans="1:18" x14ac:dyDescent="0.2">
      <c r="A7879" t="s">
        <v>663</v>
      </c>
      <c r="B7879" t="s">
        <v>3245</v>
      </c>
      <c r="C7879">
        <v>1</v>
      </c>
      <c r="D7879" s="1">
        <v>44187.874108796299</v>
      </c>
      <c r="E7879" t="s">
        <v>24611</v>
      </c>
      <c r="F7879" t="s">
        <v>666</v>
      </c>
      <c r="G7879" t="s">
        <v>24611</v>
      </c>
      <c r="H7879" t="s">
        <v>667</v>
      </c>
      <c r="I7879" t="s">
        <v>29</v>
      </c>
      <c r="J7879">
        <v>1</v>
      </c>
      <c r="K7879">
        <f>1-888-365-97</f>
        <v>-1349</v>
      </c>
      <c r="L7879" t="s">
        <v>24612</v>
      </c>
      <c r="M7879" t="s">
        <v>24613</v>
      </c>
      <c r="N7879">
        <v>147</v>
      </c>
      <c r="O7879" t="s">
        <v>134</v>
      </c>
      <c r="P7879" t="s">
        <v>29</v>
      </c>
      <c r="Q7879">
        <v>41</v>
      </c>
      <c r="R7879">
        <v>-74.140299999999996</v>
      </c>
    </row>
    <row r="7880" spans="1:18" x14ac:dyDescent="0.2">
      <c r="A7880" t="s">
        <v>663</v>
      </c>
      <c r="B7880" t="s">
        <v>2500</v>
      </c>
      <c r="C7880">
        <v>1</v>
      </c>
      <c r="D7880" s="1">
        <v>44188.329016203701</v>
      </c>
      <c r="E7880" t="s">
        <v>24614</v>
      </c>
      <c r="F7880" t="s">
        <v>666</v>
      </c>
      <c r="G7880" t="s">
        <v>24614</v>
      </c>
      <c r="H7880" t="s">
        <v>667</v>
      </c>
      <c r="I7880" t="s">
        <v>29</v>
      </c>
      <c r="J7880">
        <v>1</v>
      </c>
      <c r="K7880">
        <f>1-844-339-7952</f>
        <v>-9134</v>
      </c>
      <c r="L7880" t="s">
        <v>24615</v>
      </c>
      <c r="M7880" t="s">
        <v>24616</v>
      </c>
      <c r="N7880">
        <v>102</v>
      </c>
      <c r="O7880" t="s">
        <v>134</v>
      </c>
      <c r="P7880" t="s">
        <v>2500</v>
      </c>
      <c r="Q7880">
        <v>1</v>
      </c>
      <c r="R7880">
        <v>99.999999000000003</v>
      </c>
    </row>
    <row r="7881" spans="1:18" x14ac:dyDescent="0.2">
      <c r="A7881" t="s">
        <v>439</v>
      </c>
      <c r="B7881" t="s">
        <v>4321</v>
      </c>
      <c r="C7881">
        <v>1</v>
      </c>
      <c r="D7881" s="1">
        <v>44188.788113425922</v>
      </c>
      <c r="E7881" t="s">
        <v>24617</v>
      </c>
      <c r="F7881" t="s">
        <v>442</v>
      </c>
      <c r="G7881" t="s">
        <v>24618</v>
      </c>
      <c r="H7881" t="s">
        <v>444</v>
      </c>
      <c r="I7881" t="s">
        <v>29</v>
      </c>
      <c r="J7881">
        <v>1</v>
      </c>
      <c r="K7881">
        <f>1-866-620-5112</f>
        <v>-6597</v>
      </c>
      <c r="L7881" t="s">
        <v>24619</v>
      </c>
      <c r="M7881" t="s">
        <v>24620</v>
      </c>
      <c r="N7881" t="s">
        <v>674</v>
      </c>
      <c r="O7881" t="s">
        <v>28</v>
      </c>
      <c r="P7881" t="s">
        <v>29</v>
      </c>
      <c r="Q7881">
        <v>42</v>
      </c>
      <c r="R7881">
        <v>-87.629800000000003</v>
      </c>
    </row>
    <row r="7882" spans="1:18" x14ac:dyDescent="0.2">
      <c r="A7882" t="s">
        <v>663</v>
      </c>
      <c r="B7882" t="s">
        <v>3245</v>
      </c>
      <c r="C7882">
        <v>1</v>
      </c>
      <c r="D7882" s="1">
        <v>44188.79010416667</v>
      </c>
      <c r="E7882" t="s">
        <v>24621</v>
      </c>
      <c r="F7882" t="s">
        <v>666</v>
      </c>
      <c r="G7882" t="s">
        <v>24621</v>
      </c>
      <c r="H7882" t="s">
        <v>667</v>
      </c>
      <c r="I7882" t="s">
        <v>29</v>
      </c>
      <c r="J7882">
        <v>1</v>
      </c>
      <c r="K7882">
        <f>1-888-307-4671</f>
        <v>-5865</v>
      </c>
      <c r="L7882" t="s">
        <v>24622</v>
      </c>
      <c r="M7882" t="s">
        <v>24623</v>
      </c>
      <c r="N7882">
        <v>208</v>
      </c>
      <c r="O7882" t="s">
        <v>134</v>
      </c>
      <c r="P7882" t="s">
        <v>29</v>
      </c>
      <c r="Q7882">
        <v>41</v>
      </c>
      <c r="R7882">
        <v>-74.140299999999996</v>
      </c>
    </row>
    <row r="7883" spans="1:18" x14ac:dyDescent="0.2">
      <c r="A7883" t="s">
        <v>663</v>
      </c>
      <c r="B7883" t="s">
        <v>5784</v>
      </c>
      <c r="C7883">
        <v>1</v>
      </c>
      <c r="D7883" s="1">
        <v>44188.883136574077</v>
      </c>
      <c r="E7883" t="s">
        <v>24624</v>
      </c>
      <c r="F7883" t="s">
        <v>666</v>
      </c>
      <c r="G7883" t="s">
        <v>24625</v>
      </c>
      <c r="H7883" t="s">
        <v>667</v>
      </c>
      <c r="I7883" t="s">
        <v>29</v>
      </c>
      <c r="J7883">
        <v>1</v>
      </c>
      <c r="K7883">
        <f>1-888-436-4720</f>
        <v>-6043</v>
      </c>
      <c r="L7883" t="s">
        <v>24626</v>
      </c>
      <c r="M7883" t="s">
        <v>24627</v>
      </c>
      <c r="N7883" t="s">
        <v>452</v>
      </c>
      <c r="O7883" t="s">
        <v>28</v>
      </c>
      <c r="P7883" t="s">
        <v>5789</v>
      </c>
      <c r="Q7883">
        <v>13</v>
      </c>
      <c r="R7883">
        <v>77.593699999999998</v>
      </c>
    </row>
    <row r="7884" spans="1:18" x14ac:dyDescent="0.2">
      <c r="A7884" t="s">
        <v>663</v>
      </c>
      <c r="B7884" t="s">
        <v>5784</v>
      </c>
      <c r="C7884">
        <v>1</v>
      </c>
      <c r="D7884" s="1">
        <v>44188.882581018515</v>
      </c>
      <c r="E7884" t="s">
        <v>24624</v>
      </c>
      <c r="F7884" t="s">
        <v>666</v>
      </c>
      <c r="G7884" t="s">
        <v>24625</v>
      </c>
      <c r="H7884" t="s">
        <v>667</v>
      </c>
      <c r="I7884" t="s">
        <v>29</v>
      </c>
      <c r="J7884">
        <v>1</v>
      </c>
      <c r="K7884">
        <f>1-888-517-8593</f>
        <v>-9997</v>
      </c>
      <c r="L7884" t="s">
        <v>24628</v>
      </c>
      <c r="M7884" t="s">
        <v>24629</v>
      </c>
      <c r="N7884" t="s">
        <v>452</v>
      </c>
      <c r="O7884" t="s">
        <v>28</v>
      </c>
      <c r="P7884" t="s">
        <v>5789</v>
      </c>
      <c r="Q7884">
        <v>13</v>
      </c>
      <c r="R7884">
        <v>77.593699999999998</v>
      </c>
    </row>
    <row r="7885" spans="1:18" x14ac:dyDescent="0.2">
      <c r="A7885" t="s">
        <v>663</v>
      </c>
      <c r="B7885" t="s">
        <v>5784</v>
      </c>
      <c r="C7885">
        <v>1</v>
      </c>
      <c r="D7885" s="1">
        <v>44188.881226851852</v>
      </c>
      <c r="E7885" t="s">
        <v>24624</v>
      </c>
      <c r="F7885" t="s">
        <v>666</v>
      </c>
      <c r="G7885" t="s">
        <v>24625</v>
      </c>
      <c r="H7885" t="s">
        <v>667</v>
      </c>
      <c r="I7885" t="s">
        <v>29</v>
      </c>
      <c r="J7885">
        <v>1</v>
      </c>
      <c r="K7885">
        <f>1-888-610-5017</f>
        <v>-6514</v>
      </c>
      <c r="L7885" t="s">
        <v>24630</v>
      </c>
      <c r="M7885" t="s">
        <v>24631</v>
      </c>
      <c r="N7885" t="s">
        <v>452</v>
      </c>
      <c r="O7885" t="s">
        <v>28</v>
      </c>
      <c r="P7885" t="s">
        <v>5789</v>
      </c>
      <c r="Q7885">
        <v>13</v>
      </c>
      <c r="R7885">
        <v>77.593699999999998</v>
      </c>
    </row>
    <row r="7886" spans="1:18" x14ac:dyDescent="0.2">
      <c r="A7886" t="s">
        <v>663</v>
      </c>
      <c r="B7886" t="s">
        <v>3245</v>
      </c>
      <c r="C7886">
        <v>1</v>
      </c>
      <c r="D7886" s="1">
        <v>44188.990949074076</v>
      </c>
      <c r="E7886" t="s">
        <v>24632</v>
      </c>
      <c r="F7886" t="s">
        <v>666</v>
      </c>
      <c r="G7886" t="s">
        <v>24632</v>
      </c>
      <c r="H7886" t="s">
        <v>667</v>
      </c>
      <c r="I7886" t="s">
        <v>29</v>
      </c>
      <c r="J7886">
        <v>1</v>
      </c>
      <c r="K7886">
        <f>1-888-339-2754</f>
        <v>-3980</v>
      </c>
      <c r="L7886" t="s">
        <v>24633</v>
      </c>
      <c r="M7886" t="s">
        <v>24634</v>
      </c>
      <c r="N7886">
        <v>152</v>
      </c>
      <c r="O7886" t="s">
        <v>134</v>
      </c>
      <c r="P7886" t="s">
        <v>29</v>
      </c>
      <c r="Q7886">
        <v>41</v>
      </c>
      <c r="R7886">
        <v>-74.140299999999996</v>
      </c>
    </row>
    <row r="7887" spans="1:18" x14ac:dyDescent="0.2">
      <c r="A7887" t="s">
        <v>663</v>
      </c>
      <c r="B7887" t="s">
        <v>3245</v>
      </c>
      <c r="C7887">
        <v>1</v>
      </c>
      <c r="D7887" s="1">
        <v>44188.990590277775</v>
      </c>
      <c r="E7887" t="s">
        <v>24632</v>
      </c>
      <c r="F7887" t="s">
        <v>666</v>
      </c>
      <c r="G7887" t="s">
        <v>24632</v>
      </c>
      <c r="H7887" t="s">
        <v>667</v>
      </c>
      <c r="I7887" t="s">
        <v>29</v>
      </c>
      <c r="J7887">
        <v>1</v>
      </c>
      <c r="K7887">
        <f>1-888-308-4329</f>
        <v>-5524</v>
      </c>
      <c r="L7887" t="s">
        <v>24635</v>
      </c>
      <c r="M7887" t="s">
        <v>24636</v>
      </c>
      <c r="N7887">
        <v>152</v>
      </c>
      <c r="O7887" t="s">
        <v>134</v>
      </c>
      <c r="P7887" t="s">
        <v>29</v>
      </c>
      <c r="Q7887">
        <v>41</v>
      </c>
      <c r="R7887">
        <v>-74.140299999999996</v>
      </c>
    </row>
    <row r="7888" spans="1:18" x14ac:dyDescent="0.2">
      <c r="A7888" t="s">
        <v>663</v>
      </c>
      <c r="B7888" t="s">
        <v>2500</v>
      </c>
      <c r="C7888">
        <v>1</v>
      </c>
      <c r="D7888" s="1">
        <v>44189.764699074076</v>
      </c>
      <c r="E7888" t="s">
        <v>24637</v>
      </c>
      <c r="F7888" t="s">
        <v>666</v>
      </c>
      <c r="G7888" t="s">
        <v>24637</v>
      </c>
      <c r="H7888" t="s">
        <v>667</v>
      </c>
      <c r="I7888" t="s">
        <v>29</v>
      </c>
      <c r="J7888">
        <v>1</v>
      </c>
      <c r="K7888">
        <f>1-833-220-3113</f>
        <v>-4165</v>
      </c>
      <c r="L7888" t="s">
        <v>24638</v>
      </c>
      <c r="M7888" t="s">
        <v>24639</v>
      </c>
      <c r="N7888">
        <v>188</v>
      </c>
      <c r="O7888" t="s">
        <v>134</v>
      </c>
      <c r="P7888" t="s">
        <v>2500</v>
      </c>
      <c r="Q7888">
        <v>1</v>
      </c>
      <c r="R7888">
        <v>99.999999000000003</v>
      </c>
    </row>
    <row r="7889" spans="1:18" x14ac:dyDescent="0.2">
      <c r="A7889" t="s">
        <v>663</v>
      </c>
      <c r="B7889" t="s">
        <v>3245</v>
      </c>
      <c r="C7889">
        <v>1</v>
      </c>
      <c r="D7889" s="1">
        <v>44189.003750000003</v>
      </c>
      <c r="E7889" t="s">
        <v>24640</v>
      </c>
      <c r="F7889" t="s">
        <v>666</v>
      </c>
      <c r="G7889" t="s">
        <v>24640</v>
      </c>
      <c r="H7889" t="s">
        <v>667</v>
      </c>
      <c r="I7889" t="s">
        <v>29</v>
      </c>
      <c r="J7889">
        <v>1</v>
      </c>
      <c r="K7889">
        <f>1-888-319-6408</f>
        <v>-7614</v>
      </c>
      <c r="L7889" t="s">
        <v>24641</v>
      </c>
      <c r="M7889" t="s">
        <v>24642</v>
      </c>
      <c r="N7889">
        <v>247</v>
      </c>
      <c r="O7889" t="s">
        <v>134</v>
      </c>
      <c r="P7889" t="s">
        <v>29</v>
      </c>
      <c r="Q7889">
        <v>41</v>
      </c>
      <c r="R7889">
        <v>-74.140299999999996</v>
      </c>
    </row>
    <row r="7890" spans="1:18" x14ac:dyDescent="0.2">
      <c r="A7890" t="s">
        <v>663</v>
      </c>
      <c r="B7890" t="s">
        <v>3245</v>
      </c>
      <c r="C7890">
        <v>1</v>
      </c>
      <c r="D7890" s="1">
        <v>44188.922488425924</v>
      </c>
      <c r="E7890" t="s">
        <v>24640</v>
      </c>
      <c r="F7890" t="s">
        <v>666</v>
      </c>
      <c r="G7890" t="s">
        <v>24640</v>
      </c>
      <c r="H7890" t="s">
        <v>667</v>
      </c>
      <c r="I7890" t="s">
        <v>29</v>
      </c>
      <c r="J7890">
        <v>1</v>
      </c>
      <c r="K7890">
        <f>1-888-309-5547</f>
        <v>-6743</v>
      </c>
      <c r="L7890" t="s">
        <v>24643</v>
      </c>
      <c r="M7890" t="s">
        <v>24644</v>
      </c>
      <c r="N7890">
        <v>247</v>
      </c>
      <c r="O7890" t="s">
        <v>134</v>
      </c>
      <c r="P7890" t="s">
        <v>29</v>
      </c>
      <c r="Q7890">
        <v>41</v>
      </c>
      <c r="R7890">
        <v>-74.140299999999996</v>
      </c>
    </row>
    <row r="7891" spans="1:18" x14ac:dyDescent="0.2">
      <c r="A7891" t="s">
        <v>663</v>
      </c>
      <c r="B7891" t="s">
        <v>3245</v>
      </c>
      <c r="C7891">
        <v>1</v>
      </c>
      <c r="D7891" s="1">
        <v>44188.945787037039</v>
      </c>
      <c r="E7891" t="s">
        <v>24645</v>
      </c>
      <c r="F7891" t="s">
        <v>666</v>
      </c>
      <c r="G7891" t="s">
        <v>24645</v>
      </c>
      <c r="H7891" t="s">
        <v>667</v>
      </c>
      <c r="I7891" t="s">
        <v>29</v>
      </c>
      <c r="J7891">
        <v>1</v>
      </c>
      <c r="K7891">
        <f>1-888-351-2161</f>
        <v>-3399</v>
      </c>
      <c r="L7891" t="s">
        <v>24646</v>
      </c>
      <c r="M7891" t="s">
        <v>24647</v>
      </c>
      <c r="N7891">
        <v>143</v>
      </c>
      <c r="O7891" t="s">
        <v>134</v>
      </c>
      <c r="P7891" t="s">
        <v>29</v>
      </c>
      <c r="Q7891">
        <v>41</v>
      </c>
      <c r="R7891">
        <v>-74.140299999999996</v>
      </c>
    </row>
    <row r="7892" spans="1:18" x14ac:dyDescent="0.2">
      <c r="A7892" t="s">
        <v>675</v>
      </c>
      <c r="B7892" t="s">
        <v>1412</v>
      </c>
      <c r="C7892">
        <v>1</v>
      </c>
      <c r="D7892" s="1">
        <v>44239.162476851852</v>
      </c>
      <c r="E7892" t="s">
        <v>24648</v>
      </c>
      <c r="F7892" t="s">
        <v>678</v>
      </c>
      <c r="G7892" t="s">
        <v>24649</v>
      </c>
      <c r="H7892" t="s">
        <v>680</v>
      </c>
      <c r="I7892" t="s">
        <v>29</v>
      </c>
      <c r="J7892">
        <v>1</v>
      </c>
      <c r="K7892">
        <f>1-844-304-7275</f>
        <v>-8422</v>
      </c>
      <c r="L7892" t="s">
        <v>24650</v>
      </c>
      <c r="M7892" t="s">
        <v>24651</v>
      </c>
      <c r="N7892" t="s">
        <v>213</v>
      </c>
      <c r="O7892" t="s">
        <v>28</v>
      </c>
      <c r="P7892" t="s">
        <v>29</v>
      </c>
      <c r="Q7892">
        <v>41</v>
      </c>
      <c r="R7892">
        <v>-74.172399999999996</v>
      </c>
    </row>
    <row r="7893" spans="1:18" x14ac:dyDescent="0.2">
      <c r="A7893" t="s">
        <v>675</v>
      </c>
      <c r="B7893" t="s">
        <v>1412</v>
      </c>
      <c r="C7893">
        <v>1</v>
      </c>
      <c r="D7893" s="1">
        <v>44233.14466435185</v>
      </c>
      <c r="E7893" t="s">
        <v>24652</v>
      </c>
      <c r="F7893" t="s">
        <v>678</v>
      </c>
      <c r="G7893" t="s">
        <v>24649</v>
      </c>
      <c r="H7893" t="s">
        <v>680</v>
      </c>
      <c r="I7893" t="s">
        <v>29</v>
      </c>
      <c r="J7893">
        <v>1</v>
      </c>
      <c r="K7893">
        <f>1-844-304-2384</f>
        <v>-3531</v>
      </c>
      <c r="L7893" t="s">
        <v>24653</v>
      </c>
      <c r="M7893" t="s">
        <v>24654</v>
      </c>
      <c r="N7893" t="s">
        <v>3454</v>
      </c>
      <c r="O7893" t="s">
        <v>28</v>
      </c>
      <c r="P7893" t="s">
        <v>29</v>
      </c>
      <c r="Q7893">
        <v>41</v>
      </c>
      <c r="R7893">
        <v>-74.172399999999996</v>
      </c>
    </row>
    <row r="7894" spans="1:18" x14ac:dyDescent="0.2">
      <c r="A7894" t="s">
        <v>675</v>
      </c>
      <c r="B7894" t="s">
        <v>1412</v>
      </c>
      <c r="C7894">
        <v>1</v>
      </c>
      <c r="D7894" s="1">
        <v>44208.134363425925</v>
      </c>
      <c r="E7894" t="s">
        <v>24655</v>
      </c>
      <c r="F7894" t="s">
        <v>678</v>
      </c>
      <c r="G7894" t="s">
        <v>24649</v>
      </c>
      <c r="H7894" t="s">
        <v>680</v>
      </c>
      <c r="I7894" t="s">
        <v>29</v>
      </c>
      <c r="J7894">
        <v>1</v>
      </c>
      <c r="K7894">
        <f>1-833-220-3626</f>
        <v>-4678</v>
      </c>
      <c r="L7894" t="s">
        <v>24656</v>
      </c>
      <c r="M7894" t="s">
        <v>24657</v>
      </c>
      <c r="N7894" t="s">
        <v>674</v>
      </c>
      <c r="O7894" t="s">
        <v>28</v>
      </c>
      <c r="P7894" t="s">
        <v>29</v>
      </c>
      <c r="Q7894">
        <v>41</v>
      </c>
      <c r="R7894">
        <v>-74.172399999999996</v>
      </c>
    </row>
    <row r="7895" spans="1:18" x14ac:dyDescent="0.2">
      <c r="A7895" t="s">
        <v>675</v>
      </c>
      <c r="B7895" t="s">
        <v>1412</v>
      </c>
      <c r="C7895">
        <v>1</v>
      </c>
      <c r="D7895" s="1">
        <v>44189.151226851849</v>
      </c>
      <c r="E7895" t="s">
        <v>24658</v>
      </c>
      <c r="F7895" t="s">
        <v>678</v>
      </c>
      <c r="G7895" t="s">
        <v>24649</v>
      </c>
      <c r="H7895" t="s">
        <v>680</v>
      </c>
      <c r="I7895" t="s">
        <v>29</v>
      </c>
      <c r="J7895">
        <v>1</v>
      </c>
      <c r="K7895">
        <f>1-833-220-3747</f>
        <v>-4799</v>
      </c>
      <c r="L7895" t="s">
        <v>24659</v>
      </c>
      <c r="M7895" t="s">
        <v>24660</v>
      </c>
      <c r="N7895" t="s">
        <v>213</v>
      </c>
      <c r="O7895" t="s">
        <v>28</v>
      </c>
      <c r="P7895" t="s">
        <v>29</v>
      </c>
      <c r="Q7895">
        <v>41</v>
      </c>
      <c r="R7895">
        <v>-74.172399999999996</v>
      </c>
    </row>
    <row r="7896" spans="1:18" x14ac:dyDescent="0.2">
      <c r="A7896" t="s">
        <v>439</v>
      </c>
      <c r="B7896" t="s">
        <v>4321</v>
      </c>
      <c r="C7896">
        <v>1</v>
      </c>
      <c r="D7896" s="1">
        <v>44190.834282407406</v>
      </c>
      <c r="E7896" t="s">
        <v>24105</v>
      </c>
      <c r="F7896" t="s">
        <v>442</v>
      </c>
      <c r="G7896" t="s">
        <v>24661</v>
      </c>
      <c r="H7896" t="s">
        <v>444</v>
      </c>
      <c r="I7896" t="s">
        <v>29</v>
      </c>
      <c r="J7896">
        <v>1</v>
      </c>
      <c r="K7896">
        <f>1-888-334-915</f>
        <v>-2136</v>
      </c>
      <c r="L7896" t="s">
        <v>24662</v>
      </c>
      <c r="M7896" t="s">
        <v>24663</v>
      </c>
      <c r="N7896" t="s">
        <v>20913</v>
      </c>
      <c r="O7896" t="s">
        <v>28</v>
      </c>
      <c r="P7896" t="s">
        <v>29</v>
      </c>
      <c r="Q7896">
        <v>42</v>
      </c>
      <c r="R7896">
        <v>-87.629800000000003</v>
      </c>
    </row>
    <row r="7897" spans="1:18" x14ac:dyDescent="0.2">
      <c r="A7897" t="s">
        <v>439</v>
      </c>
      <c r="B7897" t="s">
        <v>4321</v>
      </c>
      <c r="C7897">
        <v>1</v>
      </c>
      <c r="D7897" s="1">
        <v>44189.989594907405</v>
      </c>
      <c r="E7897" t="s">
        <v>24664</v>
      </c>
      <c r="F7897" t="s">
        <v>442</v>
      </c>
      <c r="G7897" t="s">
        <v>24665</v>
      </c>
      <c r="H7897" t="s">
        <v>444</v>
      </c>
      <c r="I7897" t="s">
        <v>29</v>
      </c>
      <c r="J7897">
        <v>1</v>
      </c>
      <c r="K7897">
        <f>1-888-369-4881</f>
        <v>-6137</v>
      </c>
      <c r="L7897" t="s">
        <v>24666</v>
      </c>
      <c r="M7897" t="s">
        <v>24667</v>
      </c>
      <c r="N7897" t="s">
        <v>36</v>
      </c>
      <c r="O7897" t="s">
        <v>134</v>
      </c>
      <c r="P7897" t="s">
        <v>29</v>
      </c>
      <c r="Q7897">
        <v>42</v>
      </c>
      <c r="R7897">
        <v>-87.629800000000003</v>
      </c>
    </row>
    <row r="7898" spans="1:18" x14ac:dyDescent="0.2">
      <c r="A7898" t="s">
        <v>439</v>
      </c>
      <c r="B7898" t="s">
        <v>4321</v>
      </c>
      <c r="C7898">
        <v>81</v>
      </c>
      <c r="D7898" s="1">
        <v>44347.42931712963</v>
      </c>
      <c r="E7898" t="s">
        <v>24668</v>
      </c>
      <c r="F7898" t="s">
        <v>442</v>
      </c>
      <c r="G7898" t="s">
        <v>24669</v>
      </c>
      <c r="H7898" t="s">
        <v>444</v>
      </c>
      <c r="I7898" t="s">
        <v>53</v>
      </c>
      <c r="J7898">
        <v>81</v>
      </c>
      <c r="K7898">
        <f>81-50-5532-9031</f>
        <v>-14532</v>
      </c>
      <c r="L7898" t="s">
        <v>24670</v>
      </c>
      <c r="M7898" t="s">
        <v>24671</v>
      </c>
      <c r="N7898" t="s">
        <v>447</v>
      </c>
      <c r="O7898" t="s">
        <v>134</v>
      </c>
      <c r="P7898" t="s">
        <v>29</v>
      </c>
      <c r="Q7898">
        <v>42</v>
      </c>
      <c r="R7898">
        <v>-87.629800000000003</v>
      </c>
    </row>
    <row r="7899" spans="1:18" x14ac:dyDescent="0.2">
      <c r="A7899" t="s">
        <v>439</v>
      </c>
      <c r="B7899" t="s">
        <v>4321</v>
      </c>
      <c r="C7899">
        <v>1</v>
      </c>
      <c r="D7899" s="1">
        <v>44191.024131944447</v>
      </c>
      <c r="E7899" t="s">
        <v>24672</v>
      </c>
      <c r="F7899" t="s">
        <v>442</v>
      </c>
      <c r="G7899" t="s">
        <v>24669</v>
      </c>
      <c r="H7899" t="s">
        <v>444</v>
      </c>
      <c r="I7899" t="s">
        <v>29</v>
      </c>
      <c r="J7899">
        <v>1</v>
      </c>
      <c r="K7899">
        <f>1-833-220-3691</f>
        <v>-4743</v>
      </c>
      <c r="L7899" t="s">
        <v>24673</v>
      </c>
      <c r="M7899" t="s">
        <v>24674</v>
      </c>
      <c r="N7899" t="s">
        <v>213</v>
      </c>
      <c r="O7899" t="s">
        <v>28</v>
      </c>
      <c r="P7899" t="s">
        <v>29</v>
      </c>
      <c r="Q7899">
        <v>42</v>
      </c>
      <c r="R7899">
        <v>-87.629800000000003</v>
      </c>
    </row>
    <row r="7900" spans="1:18" x14ac:dyDescent="0.2">
      <c r="A7900" t="s">
        <v>663</v>
      </c>
      <c r="B7900" t="s">
        <v>2263</v>
      </c>
      <c r="C7900">
        <v>81</v>
      </c>
      <c r="D7900" s="1">
        <v>44191.418726851851</v>
      </c>
      <c r="E7900" t="s">
        <v>24675</v>
      </c>
      <c r="F7900" t="s">
        <v>666</v>
      </c>
      <c r="G7900" t="s">
        <v>24676</v>
      </c>
      <c r="H7900" t="s">
        <v>667</v>
      </c>
      <c r="I7900" t="s">
        <v>53</v>
      </c>
      <c r="J7900">
        <v>81</v>
      </c>
      <c r="K7900">
        <f>81-50-5532-7250</f>
        <v>-12751</v>
      </c>
      <c r="L7900" t="s">
        <v>24677</v>
      </c>
      <c r="M7900" t="s">
        <v>24678</v>
      </c>
      <c r="N7900" t="s">
        <v>2475</v>
      </c>
      <c r="O7900" t="s">
        <v>28</v>
      </c>
      <c r="P7900" t="s">
        <v>2268</v>
      </c>
      <c r="Q7900">
        <v>44</v>
      </c>
      <c r="R7900">
        <v>-79.362300000000005</v>
      </c>
    </row>
    <row r="7901" spans="1:18" x14ac:dyDescent="0.2">
      <c r="A7901" t="s">
        <v>675</v>
      </c>
      <c r="B7901" t="s">
        <v>1412</v>
      </c>
      <c r="C7901">
        <v>81</v>
      </c>
      <c r="D7901" s="1">
        <v>44191.41883101852</v>
      </c>
      <c r="E7901" t="s">
        <v>24679</v>
      </c>
      <c r="F7901" t="s">
        <v>678</v>
      </c>
      <c r="G7901" t="s">
        <v>24680</v>
      </c>
      <c r="H7901" t="s">
        <v>680</v>
      </c>
      <c r="I7901" t="s">
        <v>53</v>
      </c>
      <c r="J7901">
        <v>81</v>
      </c>
      <c r="K7901">
        <f>81-50-5539-7732</f>
        <v>-13240</v>
      </c>
      <c r="L7901" t="s">
        <v>24681</v>
      </c>
      <c r="M7901" t="s">
        <v>24682</v>
      </c>
      <c r="N7901" t="s">
        <v>2475</v>
      </c>
      <c r="O7901" t="s">
        <v>28</v>
      </c>
      <c r="P7901" t="s">
        <v>29</v>
      </c>
      <c r="Q7901">
        <v>41</v>
      </c>
      <c r="R7901">
        <v>-74.172399999999996</v>
      </c>
    </row>
    <row r="7902" spans="1:18" x14ac:dyDescent="0.2">
      <c r="A7902" t="s">
        <v>439</v>
      </c>
      <c r="B7902" t="s">
        <v>4321</v>
      </c>
      <c r="C7902">
        <v>1</v>
      </c>
      <c r="D7902" s="1">
        <v>44192.866875</v>
      </c>
      <c r="E7902" t="s">
        <v>24683</v>
      </c>
      <c r="F7902" t="s">
        <v>442</v>
      </c>
      <c r="G7902" t="s">
        <v>24684</v>
      </c>
      <c r="H7902" t="s">
        <v>444</v>
      </c>
      <c r="I7902" t="s">
        <v>29</v>
      </c>
      <c r="J7902">
        <v>1</v>
      </c>
      <c r="K7902">
        <f>1-888-985-7349</f>
        <v>-9221</v>
      </c>
      <c r="L7902" t="s">
        <v>24685</v>
      </c>
      <c r="M7902" t="s">
        <v>24686</v>
      </c>
      <c r="N7902" t="s">
        <v>20913</v>
      </c>
      <c r="O7902" t="s">
        <v>28</v>
      </c>
      <c r="P7902" t="s">
        <v>29</v>
      </c>
      <c r="Q7902">
        <v>42</v>
      </c>
      <c r="R7902">
        <v>-87.629800000000003</v>
      </c>
    </row>
    <row r="7903" spans="1:18" x14ac:dyDescent="0.2">
      <c r="A7903" t="s">
        <v>2233</v>
      </c>
      <c r="B7903" t="s">
        <v>440</v>
      </c>
      <c r="C7903">
        <v>1</v>
      </c>
      <c r="D7903" s="1">
        <v>44192.355856481481</v>
      </c>
      <c r="E7903" t="s">
        <v>24687</v>
      </c>
      <c r="F7903" t="s">
        <v>2236</v>
      </c>
      <c r="G7903" t="s">
        <v>24688</v>
      </c>
      <c r="H7903" t="s">
        <v>2237</v>
      </c>
      <c r="I7903" t="s">
        <v>29</v>
      </c>
      <c r="J7903">
        <v>1</v>
      </c>
      <c r="K7903">
        <f>1-888-379-1269</f>
        <v>-2535</v>
      </c>
      <c r="L7903" t="s">
        <v>24689</v>
      </c>
      <c r="M7903" t="s">
        <v>24690</v>
      </c>
      <c r="N7903" t="s">
        <v>5354</v>
      </c>
      <c r="O7903" t="s">
        <v>28</v>
      </c>
      <c r="P7903" t="s">
        <v>29</v>
      </c>
      <c r="Q7903">
        <v>39</v>
      </c>
      <c r="R7903">
        <v>-77.487399999999994</v>
      </c>
    </row>
    <row r="7904" spans="1:18" x14ac:dyDescent="0.2">
      <c r="A7904" t="s">
        <v>663</v>
      </c>
      <c r="B7904" t="s">
        <v>3245</v>
      </c>
      <c r="C7904">
        <v>1</v>
      </c>
      <c r="D7904" s="1">
        <v>44193.14298611111</v>
      </c>
      <c r="E7904" t="s">
        <v>24691</v>
      </c>
      <c r="F7904" t="s">
        <v>666</v>
      </c>
      <c r="G7904" t="s">
        <v>24692</v>
      </c>
      <c r="H7904" t="s">
        <v>667</v>
      </c>
      <c r="I7904" t="s">
        <v>29</v>
      </c>
      <c r="J7904">
        <v>1</v>
      </c>
      <c r="K7904">
        <f t="shared" ref="K7904:K7911" si="64">1-833-220-3972</f>
        <v>-5024</v>
      </c>
      <c r="L7904" t="s">
        <v>24693</v>
      </c>
      <c r="M7904" t="s">
        <v>24694</v>
      </c>
      <c r="N7904" t="s">
        <v>674</v>
      </c>
      <c r="O7904" t="s">
        <v>134</v>
      </c>
      <c r="P7904" t="s">
        <v>29</v>
      </c>
      <c r="Q7904">
        <v>41</v>
      </c>
      <c r="R7904">
        <v>-74.140299999999996</v>
      </c>
    </row>
    <row r="7905" spans="1:18" x14ac:dyDescent="0.2">
      <c r="A7905" t="s">
        <v>663</v>
      </c>
      <c r="B7905" t="s">
        <v>3245</v>
      </c>
      <c r="C7905">
        <v>1</v>
      </c>
      <c r="D7905" s="1">
        <v>44193.142939814818</v>
      </c>
      <c r="E7905" t="s">
        <v>24695</v>
      </c>
      <c r="F7905" t="s">
        <v>666</v>
      </c>
      <c r="G7905" t="s">
        <v>24692</v>
      </c>
      <c r="H7905" t="s">
        <v>667</v>
      </c>
      <c r="I7905" t="s">
        <v>29</v>
      </c>
      <c r="J7905">
        <v>1</v>
      </c>
      <c r="K7905">
        <f t="shared" si="64"/>
        <v>-5024</v>
      </c>
      <c r="L7905" t="s">
        <v>24696</v>
      </c>
      <c r="M7905" t="s">
        <v>24697</v>
      </c>
      <c r="N7905" t="s">
        <v>674</v>
      </c>
      <c r="O7905" t="s">
        <v>134</v>
      </c>
      <c r="P7905" t="s">
        <v>29</v>
      </c>
      <c r="Q7905">
        <v>41</v>
      </c>
      <c r="R7905">
        <v>-74.140299999999996</v>
      </c>
    </row>
    <row r="7906" spans="1:18" x14ac:dyDescent="0.2">
      <c r="A7906" t="s">
        <v>663</v>
      </c>
      <c r="B7906" t="s">
        <v>3245</v>
      </c>
      <c r="C7906">
        <v>1</v>
      </c>
      <c r="D7906" s="1">
        <v>44193.14271990741</v>
      </c>
      <c r="E7906" t="s">
        <v>24698</v>
      </c>
      <c r="F7906" t="s">
        <v>666</v>
      </c>
      <c r="G7906" t="s">
        <v>24692</v>
      </c>
      <c r="H7906" t="s">
        <v>667</v>
      </c>
      <c r="I7906" t="s">
        <v>29</v>
      </c>
      <c r="J7906">
        <v>1</v>
      </c>
      <c r="K7906">
        <f t="shared" si="64"/>
        <v>-5024</v>
      </c>
      <c r="L7906" t="s">
        <v>24699</v>
      </c>
      <c r="M7906" t="s">
        <v>24700</v>
      </c>
      <c r="N7906" t="s">
        <v>674</v>
      </c>
      <c r="O7906" t="s">
        <v>134</v>
      </c>
      <c r="P7906" t="s">
        <v>29</v>
      </c>
      <c r="Q7906">
        <v>41</v>
      </c>
      <c r="R7906">
        <v>-74.140299999999996</v>
      </c>
    </row>
    <row r="7907" spans="1:18" x14ac:dyDescent="0.2">
      <c r="A7907" t="s">
        <v>663</v>
      </c>
      <c r="B7907" t="s">
        <v>3245</v>
      </c>
      <c r="C7907">
        <v>1</v>
      </c>
      <c r="D7907" s="1">
        <v>44193.142638888887</v>
      </c>
      <c r="E7907" t="s">
        <v>24701</v>
      </c>
      <c r="F7907" t="s">
        <v>666</v>
      </c>
      <c r="G7907" t="s">
        <v>24692</v>
      </c>
      <c r="H7907" t="s">
        <v>667</v>
      </c>
      <c r="I7907" t="s">
        <v>29</v>
      </c>
      <c r="J7907">
        <v>1</v>
      </c>
      <c r="K7907">
        <f t="shared" si="64"/>
        <v>-5024</v>
      </c>
      <c r="L7907" t="s">
        <v>24702</v>
      </c>
      <c r="M7907" t="s">
        <v>24703</v>
      </c>
      <c r="N7907" t="s">
        <v>674</v>
      </c>
      <c r="O7907" t="s">
        <v>134</v>
      </c>
      <c r="P7907" t="s">
        <v>29</v>
      </c>
      <c r="Q7907">
        <v>41</v>
      </c>
      <c r="R7907">
        <v>-74.140299999999996</v>
      </c>
    </row>
    <row r="7908" spans="1:18" x14ac:dyDescent="0.2">
      <c r="A7908" t="s">
        <v>663</v>
      </c>
      <c r="B7908" t="s">
        <v>3245</v>
      </c>
      <c r="C7908">
        <v>1</v>
      </c>
      <c r="D7908" s="1">
        <v>44193.142523148148</v>
      </c>
      <c r="E7908" t="s">
        <v>24704</v>
      </c>
      <c r="F7908" t="s">
        <v>666</v>
      </c>
      <c r="G7908" t="s">
        <v>24692</v>
      </c>
      <c r="H7908" t="s">
        <v>667</v>
      </c>
      <c r="I7908" t="s">
        <v>29</v>
      </c>
      <c r="J7908">
        <v>1</v>
      </c>
      <c r="K7908">
        <f t="shared" si="64"/>
        <v>-5024</v>
      </c>
      <c r="L7908" t="s">
        <v>24705</v>
      </c>
      <c r="M7908" t="s">
        <v>24706</v>
      </c>
      <c r="N7908" t="s">
        <v>674</v>
      </c>
      <c r="O7908" t="s">
        <v>134</v>
      </c>
      <c r="P7908" t="s">
        <v>29</v>
      </c>
      <c r="Q7908">
        <v>41</v>
      </c>
      <c r="R7908">
        <v>-74.140299999999996</v>
      </c>
    </row>
    <row r="7909" spans="1:18" x14ac:dyDescent="0.2">
      <c r="A7909" t="s">
        <v>663</v>
      </c>
      <c r="B7909" t="s">
        <v>3245</v>
      </c>
      <c r="C7909">
        <v>1</v>
      </c>
      <c r="D7909" s="1">
        <v>44193.14167824074</v>
      </c>
      <c r="E7909" t="s">
        <v>24707</v>
      </c>
      <c r="F7909" t="s">
        <v>666</v>
      </c>
      <c r="G7909" t="s">
        <v>24692</v>
      </c>
      <c r="H7909" t="s">
        <v>667</v>
      </c>
      <c r="I7909" t="s">
        <v>29</v>
      </c>
      <c r="J7909">
        <v>1</v>
      </c>
      <c r="K7909">
        <f t="shared" si="64"/>
        <v>-5024</v>
      </c>
      <c r="L7909" t="s">
        <v>24708</v>
      </c>
      <c r="M7909" t="s">
        <v>24709</v>
      </c>
      <c r="N7909" t="s">
        <v>213</v>
      </c>
      <c r="O7909" t="s">
        <v>134</v>
      </c>
      <c r="P7909" t="s">
        <v>29</v>
      </c>
      <c r="Q7909">
        <v>41</v>
      </c>
      <c r="R7909">
        <v>-74.140299999999996</v>
      </c>
    </row>
    <row r="7910" spans="1:18" x14ac:dyDescent="0.2">
      <c r="A7910" t="s">
        <v>663</v>
      </c>
      <c r="B7910" t="s">
        <v>3245</v>
      </c>
      <c r="C7910">
        <v>1</v>
      </c>
      <c r="D7910" s="1">
        <v>44193.142372685186</v>
      </c>
      <c r="E7910" t="s">
        <v>24710</v>
      </c>
      <c r="F7910" t="s">
        <v>666</v>
      </c>
      <c r="G7910" t="s">
        <v>24692</v>
      </c>
      <c r="H7910" t="s">
        <v>667</v>
      </c>
      <c r="I7910" t="s">
        <v>29</v>
      </c>
      <c r="J7910">
        <v>1</v>
      </c>
      <c r="K7910">
        <f t="shared" si="64"/>
        <v>-5024</v>
      </c>
      <c r="L7910" t="s">
        <v>24711</v>
      </c>
      <c r="M7910" t="s">
        <v>24712</v>
      </c>
      <c r="N7910" t="s">
        <v>674</v>
      </c>
      <c r="O7910" t="s">
        <v>134</v>
      </c>
      <c r="P7910" t="s">
        <v>29</v>
      </c>
      <c r="Q7910">
        <v>41</v>
      </c>
      <c r="R7910">
        <v>-74.140299999999996</v>
      </c>
    </row>
    <row r="7911" spans="1:18" x14ac:dyDescent="0.2">
      <c r="A7911" t="s">
        <v>663</v>
      </c>
      <c r="B7911" t="s">
        <v>3245</v>
      </c>
      <c r="C7911">
        <v>1</v>
      </c>
      <c r="D7911" s="1">
        <v>44192.69390046296</v>
      </c>
      <c r="E7911" t="s">
        <v>24713</v>
      </c>
      <c r="F7911" t="s">
        <v>666</v>
      </c>
      <c r="G7911" t="s">
        <v>24692</v>
      </c>
      <c r="H7911" t="s">
        <v>667</v>
      </c>
      <c r="I7911" t="s">
        <v>29</v>
      </c>
      <c r="J7911">
        <v>1</v>
      </c>
      <c r="K7911">
        <f t="shared" si="64"/>
        <v>-5024</v>
      </c>
      <c r="L7911" t="s">
        <v>24714</v>
      </c>
      <c r="M7911" t="s">
        <v>24715</v>
      </c>
      <c r="N7911" t="s">
        <v>213</v>
      </c>
      <c r="O7911" t="s">
        <v>134</v>
      </c>
      <c r="P7911" t="s">
        <v>29</v>
      </c>
      <c r="Q7911">
        <v>41</v>
      </c>
      <c r="R7911">
        <v>-74.140299999999996</v>
      </c>
    </row>
    <row r="7912" spans="1:18" x14ac:dyDescent="0.2">
      <c r="A7912" t="s">
        <v>663</v>
      </c>
      <c r="B7912" t="s">
        <v>3245</v>
      </c>
      <c r="C7912">
        <v>1</v>
      </c>
      <c r="D7912" s="1">
        <v>44192.772314814814</v>
      </c>
      <c r="E7912" t="s">
        <v>24716</v>
      </c>
      <c r="F7912" t="s">
        <v>666</v>
      </c>
      <c r="G7912" t="s">
        <v>24716</v>
      </c>
      <c r="H7912" t="s">
        <v>667</v>
      </c>
      <c r="I7912" t="s">
        <v>29</v>
      </c>
      <c r="J7912">
        <v>1</v>
      </c>
      <c r="K7912">
        <f>1-888-984-5389</f>
        <v>-7260</v>
      </c>
      <c r="L7912" t="s">
        <v>24717</v>
      </c>
      <c r="M7912" t="s">
        <v>24718</v>
      </c>
      <c r="N7912">
        <v>17</v>
      </c>
      <c r="O7912" t="s">
        <v>134</v>
      </c>
      <c r="P7912" t="s">
        <v>29</v>
      </c>
      <c r="Q7912">
        <v>41</v>
      </c>
      <c r="R7912">
        <v>-74.140299999999996</v>
      </c>
    </row>
    <row r="7913" spans="1:18" x14ac:dyDescent="0.2">
      <c r="A7913" t="s">
        <v>439</v>
      </c>
      <c r="B7913" t="s">
        <v>440</v>
      </c>
      <c r="C7913">
        <v>1</v>
      </c>
      <c r="D7913" s="1">
        <v>44192.945474537039</v>
      </c>
      <c r="E7913" t="s">
        <v>24719</v>
      </c>
      <c r="F7913" t="s">
        <v>442</v>
      </c>
      <c r="G7913" t="s">
        <v>24720</v>
      </c>
      <c r="H7913" t="s">
        <v>444</v>
      </c>
      <c r="I7913" t="s">
        <v>29</v>
      </c>
      <c r="J7913">
        <v>1</v>
      </c>
      <c r="K7913">
        <f>1-833-220-3683</f>
        <v>-4735</v>
      </c>
      <c r="L7913" t="s">
        <v>24721</v>
      </c>
      <c r="M7913" t="s">
        <v>24722</v>
      </c>
      <c r="N7913" t="s">
        <v>674</v>
      </c>
      <c r="O7913" t="s">
        <v>28</v>
      </c>
      <c r="P7913" t="s">
        <v>29</v>
      </c>
      <c r="Q7913">
        <v>39</v>
      </c>
      <c r="R7913">
        <v>-77.487399999999994</v>
      </c>
    </row>
    <row r="7914" spans="1:18" x14ac:dyDescent="0.2">
      <c r="A7914" t="s">
        <v>1637</v>
      </c>
      <c r="B7914" t="s">
        <v>5740</v>
      </c>
      <c r="C7914">
        <v>1</v>
      </c>
      <c r="D7914" s="1">
        <v>44259.83388888889</v>
      </c>
      <c r="E7914" t="s">
        <v>24723</v>
      </c>
      <c r="F7914" t="s">
        <v>5753</v>
      </c>
      <c r="G7914" t="s">
        <v>24724</v>
      </c>
      <c r="H7914" t="s">
        <v>1642</v>
      </c>
      <c r="I7914" t="s">
        <v>29</v>
      </c>
      <c r="J7914">
        <v>1</v>
      </c>
      <c r="K7914">
        <f>1-888-489-4626</f>
        <v>-6002</v>
      </c>
      <c r="L7914" t="s">
        <v>24725</v>
      </c>
      <c r="M7914" t="s">
        <v>24726</v>
      </c>
      <c r="N7914" t="s">
        <v>452</v>
      </c>
      <c r="O7914" t="s">
        <v>134</v>
      </c>
      <c r="P7914" t="s">
        <v>292</v>
      </c>
      <c r="Q7914">
        <v>49</v>
      </c>
      <c r="R7914">
        <v>2.3985099999999999</v>
      </c>
    </row>
    <row r="7915" spans="1:18" x14ac:dyDescent="0.2">
      <c r="A7915" t="s">
        <v>1637</v>
      </c>
      <c r="B7915" t="s">
        <v>5740</v>
      </c>
      <c r="C7915">
        <v>1</v>
      </c>
      <c r="D7915" s="1">
        <v>44245.035671296297</v>
      </c>
      <c r="E7915" t="s">
        <v>24727</v>
      </c>
      <c r="F7915" t="s">
        <v>5753</v>
      </c>
      <c r="G7915" t="s">
        <v>24724</v>
      </c>
      <c r="H7915" t="s">
        <v>1642</v>
      </c>
      <c r="I7915" t="s">
        <v>29</v>
      </c>
      <c r="J7915">
        <v>1</v>
      </c>
      <c r="K7915">
        <f>1-888-479-7646</f>
        <v>-9012</v>
      </c>
      <c r="L7915" t="s">
        <v>24728</v>
      </c>
      <c r="M7915" t="s">
        <v>24729</v>
      </c>
      <c r="N7915" t="s">
        <v>452</v>
      </c>
      <c r="O7915" t="s">
        <v>134</v>
      </c>
      <c r="P7915" t="s">
        <v>292</v>
      </c>
      <c r="Q7915">
        <v>49</v>
      </c>
      <c r="R7915">
        <v>2.3985099999999999</v>
      </c>
    </row>
    <row r="7916" spans="1:18" x14ac:dyDescent="0.2">
      <c r="A7916" t="s">
        <v>1637</v>
      </c>
      <c r="B7916" t="s">
        <v>5740</v>
      </c>
      <c r="C7916">
        <v>1</v>
      </c>
      <c r="D7916" s="1">
        <v>44245.035636574074</v>
      </c>
      <c r="E7916" t="s">
        <v>24730</v>
      </c>
      <c r="F7916" t="s">
        <v>5753</v>
      </c>
      <c r="G7916" t="s">
        <v>24724</v>
      </c>
      <c r="H7916" t="s">
        <v>1642</v>
      </c>
      <c r="I7916" t="s">
        <v>29</v>
      </c>
      <c r="J7916">
        <v>1</v>
      </c>
      <c r="K7916">
        <f>1-888-479-991</f>
        <v>-2357</v>
      </c>
      <c r="L7916" t="s">
        <v>24731</v>
      </c>
      <c r="M7916" t="s">
        <v>24732</v>
      </c>
      <c r="N7916" t="s">
        <v>452</v>
      </c>
      <c r="O7916" t="s">
        <v>134</v>
      </c>
      <c r="P7916" t="s">
        <v>292</v>
      </c>
      <c r="Q7916">
        <v>49</v>
      </c>
      <c r="R7916">
        <v>2.3985099999999999</v>
      </c>
    </row>
    <row r="7917" spans="1:18" x14ac:dyDescent="0.2">
      <c r="A7917" t="s">
        <v>1637</v>
      </c>
      <c r="B7917" t="s">
        <v>5740</v>
      </c>
      <c r="C7917">
        <v>1</v>
      </c>
      <c r="D7917" s="1">
        <v>44245.035590277781</v>
      </c>
      <c r="E7917" t="s">
        <v>24733</v>
      </c>
      <c r="F7917" t="s">
        <v>5753</v>
      </c>
      <c r="G7917" t="s">
        <v>24724</v>
      </c>
      <c r="H7917" t="s">
        <v>1642</v>
      </c>
      <c r="I7917" t="s">
        <v>29</v>
      </c>
      <c r="J7917">
        <v>1</v>
      </c>
      <c r="K7917">
        <f>1-888-481-5552</f>
        <v>-6920</v>
      </c>
      <c r="L7917" t="s">
        <v>24734</v>
      </c>
      <c r="M7917" t="s">
        <v>24735</v>
      </c>
      <c r="N7917" t="s">
        <v>452</v>
      </c>
      <c r="O7917" t="s">
        <v>134</v>
      </c>
      <c r="P7917" t="s">
        <v>292</v>
      </c>
      <c r="Q7917">
        <v>49</v>
      </c>
      <c r="R7917">
        <v>2.3985099999999999</v>
      </c>
    </row>
    <row r="7918" spans="1:18" x14ac:dyDescent="0.2">
      <c r="A7918" t="s">
        <v>1637</v>
      </c>
      <c r="B7918" t="s">
        <v>5740</v>
      </c>
      <c r="C7918">
        <v>1</v>
      </c>
      <c r="D7918" s="1">
        <v>44245.035543981481</v>
      </c>
      <c r="E7918" t="s">
        <v>24736</v>
      </c>
      <c r="F7918" t="s">
        <v>5753</v>
      </c>
      <c r="G7918" t="s">
        <v>24724</v>
      </c>
      <c r="H7918" t="s">
        <v>1642</v>
      </c>
      <c r="I7918" t="s">
        <v>29</v>
      </c>
      <c r="J7918">
        <v>1</v>
      </c>
      <c r="K7918">
        <f>1-888-481-5552</f>
        <v>-6920</v>
      </c>
      <c r="L7918" t="s">
        <v>24737</v>
      </c>
      <c r="M7918" t="s">
        <v>24738</v>
      </c>
      <c r="N7918" t="s">
        <v>452</v>
      </c>
      <c r="O7918" t="s">
        <v>134</v>
      </c>
      <c r="P7918" t="s">
        <v>292</v>
      </c>
      <c r="Q7918">
        <v>49</v>
      </c>
      <c r="R7918">
        <v>2.3985099999999999</v>
      </c>
    </row>
    <row r="7919" spans="1:18" x14ac:dyDescent="0.2">
      <c r="A7919" t="s">
        <v>1637</v>
      </c>
      <c r="B7919" t="s">
        <v>5740</v>
      </c>
      <c r="C7919">
        <v>1</v>
      </c>
      <c r="D7919" s="1">
        <v>44245.035509259258</v>
      </c>
      <c r="E7919" t="s">
        <v>24739</v>
      </c>
      <c r="F7919" t="s">
        <v>5753</v>
      </c>
      <c r="G7919" t="s">
        <v>24724</v>
      </c>
      <c r="H7919" t="s">
        <v>1642</v>
      </c>
      <c r="I7919" t="s">
        <v>29</v>
      </c>
      <c r="J7919">
        <v>1</v>
      </c>
      <c r="K7919">
        <f>1-888-474-6681</f>
        <v>-8042</v>
      </c>
      <c r="L7919" t="s">
        <v>24740</v>
      </c>
      <c r="M7919" t="s">
        <v>24741</v>
      </c>
      <c r="N7919" t="s">
        <v>452</v>
      </c>
      <c r="O7919" t="s">
        <v>134</v>
      </c>
      <c r="P7919" t="s">
        <v>292</v>
      </c>
      <c r="Q7919">
        <v>49</v>
      </c>
      <c r="R7919">
        <v>2.3985099999999999</v>
      </c>
    </row>
    <row r="7920" spans="1:18" x14ac:dyDescent="0.2">
      <c r="A7920" t="s">
        <v>1637</v>
      </c>
      <c r="B7920" t="s">
        <v>5740</v>
      </c>
      <c r="C7920">
        <v>1</v>
      </c>
      <c r="D7920" s="1">
        <v>44245.035474537035</v>
      </c>
      <c r="E7920" t="s">
        <v>24742</v>
      </c>
      <c r="F7920" t="s">
        <v>5753</v>
      </c>
      <c r="G7920" t="s">
        <v>24724</v>
      </c>
      <c r="H7920" t="s">
        <v>1642</v>
      </c>
      <c r="I7920" t="s">
        <v>29</v>
      </c>
      <c r="J7920">
        <v>1</v>
      </c>
      <c r="K7920">
        <f>1-800-948-2350</f>
        <v>-4097</v>
      </c>
      <c r="L7920" t="s">
        <v>24743</v>
      </c>
      <c r="M7920" t="s">
        <v>24744</v>
      </c>
      <c r="N7920" t="s">
        <v>3295</v>
      </c>
      <c r="O7920" t="s">
        <v>134</v>
      </c>
      <c r="P7920" t="s">
        <v>292</v>
      </c>
      <c r="Q7920">
        <v>49</v>
      </c>
      <c r="R7920">
        <v>2.3985099999999999</v>
      </c>
    </row>
    <row r="7921" spans="1:18" x14ac:dyDescent="0.2">
      <c r="A7921" t="s">
        <v>1637</v>
      </c>
      <c r="B7921" t="s">
        <v>5740</v>
      </c>
      <c r="C7921">
        <v>1</v>
      </c>
      <c r="D7921" s="1">
        <v>44245.035439814812</v>
      </c>
      <c r="E7921" t="s">
        <v>24745</v>
      </c>
      <c r="F7921" t="s">
        <v>5753</v>
      </c>
      <c r="G7921" t="s">
        <v>24724</v>
      </c>
      <c r="H7921" t="s">
        <v>1642</v>
      </c>
      <c r="I7921" t="s">
        <v>29</v>
      </c>
      <c r="J7921">
        <v>1</v>
      </c>
      <c r="K7921">
        <f>1-888-478-6822</f>
        <v>-8187</v>
      </c>
      <c r="L7921" t="s">
        <v>24746</v>
      </c>
      <c r="M7921" t="s">
        <v>24747</v>
      </c>
      <c r="N7921" t="s">
        <v>3305</v>
      </c>
      <c r="O7921" t="s">
        <v>134</v>
      </c>
      <c r="P7921" t="s">
        <v>292</v>
      </c>
      <c r="Q7921">
        <v>49</v>
      </c>
      <c r="R7921">
        <v>2.3985099999999999</v>
      </c>
    </row>
    <row r="7922" spans="1:18" x14ac:dyDescent="0.2">
      <c r="A7922" t="s">
        <v>1637</v>
      </c>
      <c r="B7922" t="s">
        <v>5740</v>
      </c>
      <c r="C7922">
        <v>1</v>
      </c>
      <c r="D7922" s="1">
        <v>44245.035393518519</v>
      </c>
      <c r="E7922" t="s">
        <v>24748</v>
      </c>
      <c r="F7922" t="s">
        <v>5753</v>
      </c>
      <c r="G7922" t="s">
        <v>24724</v>
      </c>
      <c r="H7922" t="s">
        <v>1642</v>
      </c>
      <c r="I7922" t="s">
        <v>29</v>
      </c>
      <c r="J7922">
        <v>1</v>
      </c>
      <c r="K7922">
        <f>1-888-481-5552</f>
        <v>-6920</v>
      </c>
      <c r="L7922" t="s">
        <v>24749</v>
      </c>
      <c r="M7922" t="s">
        <v>24750</v>
      </c>
      <c r="N7922" t="s">
        <v>3305</v>
      </c>
      <c r="O7922" t="s">
        <v>134</v>
      </c>
      <c r="P7922" t="s">
        <v>292</v>
      </c>
      <c r="Q7922">
        <v>49</v>
      </c>
      <c r="R7922">
        <v>2.3985099999999999</v>
      </c>
    </row>
    <row r="7923" spans="1:18" x14ac:dyDescent="0.2">
      <c r="A7923" t="s">
        <v>1637</v>
      </c>
      <c r="B7923" t="s">
        <v>5740</v>
      </c>
      <c r="C7923">
        <v>1</v>
      </c>
      <c r="D7923" s="1">
        <v>44244.979108796295</v>
      </c>
      <c r="E7923" t="s">
        <v>24751</v>
      </c>
      <c r="F7923" t="s">
        <v>5753</v>
      </c>
      <c r="G7923" t="s">
        <v>24724</v>
      </c>
      <c r="H7923" t="s">
        <v>1642</v>
      </c>
      <c r="I7923" t="s">
        <v>29</v>
      </c>
      <c r="J7923">
        <v>1</v>
      </c>
      <c r="K7923">
        <f>1-888-479-7427</f>
        <v>-8793</v>
      </c>
      <c r="L7923" t="s">
        <v>24752</v>
      </c>
      <c r="M7923" t="s">
        <v>24753</v>
      </c>
      <c r="N7923" t="s">
        <v>452</v>
      </c>
      <c r="O7923" t="s">
        <v>134</v>
      </c>
      <c r="P7923" t="s">
        <v>292</v>
      </c>
      <c r="Q7923">
        <v>49</v>
      </c>
      <c r="R7923">
        <v>2.3985099999999999</v>
      </c>
    </row>
    <row r="7924" spans="1:18" x14ac:dyDescent="0.2">
      <c r="A7924" t="s">
        <v>1637</v>
      </c>
      <c r="B7924" t="s">
        <v>5740</v>
      </c>
      <c r="C7924">
        <v>1</v>
      </c>
      <c r="D7924" s="1">
        <v>44244.939641203702</v>
      </c>
      <c r="E7924" t="s">
        <v>24754</v>
      </c>
      <c r="F7924" t="s">
        <v>5753</v>
      </c>
      <c r="G7924" t="s">
        <v>24724</v>
      </c>
      <c r="H7924" t="s">
        <v>1642</v>
      </c>
      <c r="I7924" t="s">
        <v>29</v>
      </c>
      <c r="J7924">
        <v>1</v>
      </c>
      <c r="K7924">
        <f>1-888-481-5552</f>
        <v>-6920</v>
      </c>
      <c r="L7924" t="s">
        <v>24755</v>
      </c>
      <c r="M7924" t="s">
        <v>24756</v>
      </c>
      <c r="N7924" t="s">
        <v>3295</v>
      </c>
      <c r="O7924" t="s">
        <v>134</v>
      </c>
      <c r="P7924" t="s">
        <v>292</v>
      </c>
      <c r="Q7924">
        <v>49</v>
      </c>
      <c r="R7924">
        <v>2.3985099999999999</v>
      </c>
    </row>
    <row r="7925" spans="1:18" x14ac:dyDescent="0.2">
      <c r="A7925" t="s">
        <v>1637</v>
      </c>
      <c r="B7925" t="s">
        <v>5740</v>
      </c>
      <c r="C7925">
        <v>1</v>
      </c>
      <c r="D7925" s="1">
        <v>44193.616585648146</v>
      </c>
      <c r="E7925" t="s">
        <v>24757</v>
      </c>
      <c r="F7925" t="s">
        <v>5753</v>
      </c>
      <c r="G7925" t="s">
        <v>24724</v>
      </c>
      <c r="H7925" t="s">
        <v>1642</v>
      </c>
      <c r="I7925" t="s">
        <v>29</v>
      </c>
      <c r="J7925">
        <v>1</v>
      </c>
      <c r="K7925">
        <f>1-888-452-9974</f>
        <v>-11313</v>
      </c>
      <c r="L7925" t="s">
        <v>24758</v>
      </c>
      <c r="M7925" t="s">
        <v>24759</v>
      </c>
      <c r="N7925" t="s">
        <v>36</v>
      </c>
      <c r="O7925" t="s">
        <v>134</v>
      </c>
      <c r="P7925" t="s">
        <v>292</v>
      </c>
      <c r="Q7925">
        <v>49</v>
      </c>
      <c r="R7925">
        <v>2.3985099999999999</v>
      </c>
    </row>
    <row r="7926" spans="1:18" x14ac:dyDescent="0.2">
      <c r="A7926" t="s">
        <v>1637</v>
      </c>
      <c r="B7926" t="s">
        <v>5740</v>
      </c>
      <c r="C7926">
        <v>1</v>
      </c>
      <c r="D7926" s="1">
        <v>44193.61650462963</v>
      </c>
      <c r="E7926" t="s">
        <v>24760</v>
      </c>
      <c r="F7926" t="s">
        <v>5753</v>
      </c>
      <c r="G7926" t="s">
        <v>24724</v>
      </c>
      <c r="H7926" t="s">
        <v>1642</v>
      </c>
      <c r="I7926" t="s">
        <v>29</v>
      </c>
      <c r="J7926">
        <v>1</v>
      </c>
      <c r="K7926">
        <f>1-888-452-9974</f>
        <v>-11313</v>
      </c>
      <c r="L7926" t="s">
        <v>24761</v>
      </c>
      <c r="M7926" t="s">
        <v>24762</v>
      </c>
      <c r="N7926" t="s">
        <v>36</v>
      </c>
      <c r="O7926" t="s">
        <v>134</v>
      </c>
      <c r="P7926" t="s">
        <v>292</v>
      </c>
      <c r="Q7926">
        <v>49</v>
      </c>
      <c r="R7926">
        <v>2.3985099999999999</v>
      </c>
    </row>
    <row r="7927" spans="1:18" x14ac:dyDescent="0.2">
      <c r="A7927" t="s">
        <v>1637</v>
      </c>
      <c r="B7927" t="s">
        <v>5740</v>
      </c>
      <c r="C7927">
        <v>1</v>
      </c>
      <c r="D7927" s="1">
        <v>44193.616423611114</v>
      </c>
      <c r="E7927" t="s">
        <v>24763</v>
      </c>
      <c r="F7927" t="s">
        <v>5753</v>
      </c>
      <c r="G7927" t="s">
        <v>24724</v>
      </c>
      <c r="H7927" t="s">
        <v>1642</v>
      </c>
      <c r="I7927" t="s">
        <v>29</v>
      </c>
      <c r="J7927">
        <v>1</v>
      </c>
      <c r="K7927">
        <f>1-888-452-9974</f>
        <v>-11313</v>
      </c>
      <c r="L7927" t="s">
        <v>24764</v>
      </c>
      <c r="M7927" t="s">
        <v>24765</v>
      </c>
      <c r="N7927" t="s">
        <v>452</v>
      </c>
      <c r="O7927" t="s">
        <v>134</v>
      </c>
      <c r="P7927" t="s">
        <v>292</v>
      </c>
      <c r="Q7927">
        <v>49</v>
      </c>
      <c r="R7927">
        <v>2.3985099999999999</v>
      </c>
    </row>
    <row r="7928" spans="1:18" x14ac:dyDescent="0.2">
      <c r="A7928" t="s">
        <v>1637</v>
      </c>
      <c r="B7928" t="s">
        <v>5740</v>
      </c>
      <c r="C7928">
        <v>1</v>
      </c>
      <c r="D7928" s="1">
        <v>44193.616365740738</v>
      </c>
      <c r="E7928" t="s">
        <v>24766</v>
      </c>
      <c r="F7928" t="s">
        <v>5753</v>
      </c>
      <c r="G7928" t="s">
        <v>24724</v>
      </c>
      <c r="H7928" t="s">
        <v>1642</v>
      </c>
      <c r="I7928" t="s">
        <v>29</v>
      </c>
      <c r="J7928">
        <v>1</v>
      </c>
      <c r="K7928">
        <f>1-888-452-9974</f>
        <v>-11313</v>
      </c>
      <c r="L7928" t="s">
        <v>24767</v>
      </c>
      <c r="M7928" t="s">
        <v>24768</v>
      </c>
      <c r="N7928" t="s">
        <v>452</v>
      </c>
      <c r="O7928" t="s">
        <v>134</v>
      </c>
      <c r="P7928" t="s">
        <v>292</v>
      </c>
      <c r="Q7928">
        <v>49</v>
      </c>
      <c r="R7928">
        <v>2.3985099999999999</v>
      </c>
    </row>
    <row r="7929" spans="1:18" x14ac:dyDescent="0.2">
      <c r="A7929" t="s">
        <v>1637</v>
      </c>
      <c r="B7929" t="s">
        <v>5740</v>
      </c>
      <c r="C7929">
        <v>1</v>
      </c>
      <c r="D7929" s="1">
        <v>44193.616307870368</v>
      </c>
      <c r="E7929" t="s">
        <v>24769</v>
      </c>
      <c r="F7929" t="s">
        <v>5753</v>
      </c>
      <c r="G7929" t="s">
        <v>24724</v>
      </c>
      <c r="H7929" t="s">
        <v>1642</v>
      </c>
      <c r="I7929" t="s">
        <v>29</v>
      </c>
      <c r="J7929">
        <v>1</v>
      </c>
      <c r="K7929">
        <f>1-888-452-9974</f>
        <v>-11313</v>
      </c>
      <c r="L7929" t="s">
        <v>24770</v>
      </c>
      <c r="M7929" t="s">
        <v>24771</v>
      </c>
      <c r="N7929" t="s">
        <v>36</v>
      </c>
      <c r="O7929" t="s">
        <v>134</v>
      </c>
      <c r="P7929" t="s">
        <v>292</v>
      </c>
      <c r="Q7929">
        <v>49</v>
      </c>
      <c r="R7929">
        <v>2.3985099999999999</v>
      </c>
    </row>
    <row r="7930" spans="1:18" x14ac:dyDescent="0.2">
      <c r="A7930" t="s">
        <v>675</v>
      </c>
      <c r="B7930" t="s">
        <v>1412</v>
      </c>
      <c r="C7930">
        <v>1</v>
      </c>
      <c r="D7930" s="1">
        <v>44193.620763888888</v>
      </c>
      <c r="E7930" t="s">
        <v>24772</v>
      </c>
      <c r="F7930" t="s">
        <v>678</v>
      </c>
      <c r="G7930" t="s">
        <v>24773</v>
      </c>
      <c r="H7930" t="s">
        <v>680</v>
      </c>
      <c r="I7930" t="s">
        <v>29</v>
      </c>
      <c r="J7930">
        <v>1</v>
      </c>
      <c r="K7930">
        <f>1-870-853-3706</f>
        <v>-5428</v>
      </c>
      <c r="L7930" t="s">
        <v>24774</v>
      </c>
      <c r="M7930" t="s">
        <v>24775</v>
      </c>
      <c r="N7930" t="s">
        <v>452</v>
      </c>
      <c r="O7930" t="s">
        <v>28</v>
      </c>
      <c r="P7930" t="s">
        <v>29</v>
      </c>
      <c r="Q7930">
        <v>41</v>
      </c>
      <c r="R7930">
        <v>-74.172399999999996</v>
      </c>
    </row>
    <row r="7931" spans="1:18" x14ac:dyDescent="0.2">
      <c r="A7931" t="s">
        <v>675</v>
      </c>
      <c r="B7931" t="s">
        <v>1412</v>
      </c>
      <c r="C7931">
        <v>1</v>
      </c>
      <c r="D7931" s="1">
        <v>44193.620439814818</v>
      </c>
      <c r="E7931" t="s">
        <v>24772</v>
      </c>
      <c r="F7931" t="s">
        <v>678</v>
      </c>
      <c r="G7931" t="s">
        <v>24773</v>
      </c>
      <c r="H7931" t="s">
        <v>680</v>
      </c>
      <c r="I7931" t="s">
        <v>29</v>
      </c>
      <c r="J7931">
        <v>1</v>
      </c>
      <c r="K7931">
        <f>1-870-853-3706</f>
        <v>-5428</v>
      </c>
      <c r="L7931" t="s">
        <v>24776</v>
      </c>
      <c r="M7931" t="s">
        <v>24777</v>
      </c>
      <c r="N7931" t="s">
        <v>452</v>
      </c>
      <c r="O7931" t="s">
        <v>28</v>
      </c>
      <c r="P7931" t="s">
        <v>29</v>
      </c>
      <c r="Q7931">
        <v>41</v>
      </c>
      <c r="R7931">
        <v>-74.172399999999996</v>
      </c>
    </row>
    <row r="7932" spans="1:18" x14ac:dyDescent="0.2">
      <c r="A7932" t="s">
        <v>2233</v>
      </c>
      <c r="B7932" t="s">
        <v>2234</v>
      </c>
      <c r="C7932">
        <v>32</v>
      </c>
      <c r="D7932" s="1">
        <v>44193.632488425923</v>
      </c>
      <c r="E7932" t="s">
        <v>24778</v>
      </c>
      <c r="F7932" t="s">
        <v>7023</v>
      </c>
      <c r="G7932" t="s">
        <v>24778</v>
      </c>
      <c r="H7932" t="s">
        <v>2237</v>
      </c>
      <c r="I7932" t="s">
        <v>4288</v>
      </c>
      <c r="J7932">
        <v>32</v>
      </c>
      <c r="K7932">
        <f>32-2-808-5-71</f>
        <v>-854</v>
      </c>
      <c r="L7932" t="s">
        <v>24779</v>
      </c>
      <c r="M7932" t="s">
        <v>24780</v>
      </c>
      <c r="N7932">
        <v>204</v>
      </c>
      <c r="O7932" t="s">
        <v>134</v>
      </c>
      <c r="P7932" t="s">
        <v>6188</v>
      </c>
      <c r="Q7932">
        <v>53</v>
      </c>
      <c r="R7932">
        <v>-6.2603099999999996</v>
      </c>
    </row>
    <row r="7933" spans="1:18" x14ac:dyDescent="0.2">
      <c r="A7933" t="s">
        <v>2233</v>
      </c>
      <c r="B7933" t="s">
        <v>2234</v>
      </c>
      <c r="C7933">
        <v>43</v>
      </c>
      <c r="D7933" s="1">
        <v>44193.629340277781</v>
      </c>
      <c r="E7933" t="s">
        <v>24778</v>
      </c>
      <c r="F7933" t="s">
        <v>7023</v>
      </c>
      <c r="G7933" t="s">
        <v>24778</v>
      </c>
      <c r="H7933" t="s">
        <v>2237</v>
      </c>
      <c r="I7933" t="s">
        <v>3432</v>
      </c>
      <c r="J7933">
        <v>43</v>
      </c>
      <c r="K7933">
        <f>43-670-3091029</f>
        <v>-3091656</v>
      </c>
      <c r="L7933" t="s">
        <v>24781</v>
      </c>
      <c r="M7933" t="s">
        <v>24782</v>
      </c>
      <c r="N7933">
        <v>204</v>
      </c>
      <c r="O7933" t="s">
        <v>134</v>
      </c>
      <c r="P7933" t="s">
        <v>6188</v>
      </c>
      <c r="Q7933">
        <v>53</v>
      </c>
      <c r="R7933">
        <v>-6.2603099999999996</v>
      </c>
    </row>
    <row r="7934" spans="1:18" x14ac:dyDescent="0.2">
      <c r="A7934" t="s">
        <v>663</v>
      </c>
      <c r="B7934" t="s">
        <v>3245</v>
      </c>
      <c r="C7934">
        <v>1</v>
      </c>
      <c r="D7934" s="1">
        <v>44193.702569444446</v>
      </c>
      <c r="E7934" t="s">
        <v>24783</v>
      </c>
      <c r="F7934" t="s">
        <v>666</v>
      </c>
      <c r="G7934" t="s">
        <v>24783</v>
      </c>
      <c r="H7934" t="s">
        <v>667</v>
      </c>
      <c r="I7934" t="s">
        <v>29</v>
      </c>
      <c r="J7934">
        <v>1</v>
      </c>
      <c r="K7934">
        <f>1-888-620-5750</f>
        <v>-7257</v>
      </c>
      <c r="L7934" t="s">
        <v>24784</v>
      </c>
      <c r="M7934" t="s">
        <v>24785</v>
      </c>
      <c r="N7934">
        <v>116</v>
      </c>
      <c r="O7934" t="s">
        <v>134</v>
      </c>
      <c r="P7934" t="s">
        <v>29</v>
      </c>
      <c r="Q7934">
        <v>41</v>
      </c>
      <c r="R7934">
        <v>-74.140299999999996</v>
      </c>
    </row>
    <row r="7935" spans="1:18" x14ac:dyDescent="0.2">
      <c r="A7935" t="s">
        <v>663</v>
      </c>
      <c r="B7935" t="s">
        <v>3245</v>
      </c>
      <c r="C7935">
        <v>1</v>
      </c>
      <c r="D7935" s="1">
        <v>44193.696006944447</v>
      </c>
      <c r="E7935" t="s">
        <v>24783</v>
      </c>
      <c r="F7935" t="s">
        <v>666</v>
      </c>
      <c r="G7935" t="s">
        <v>24783</v>
      </c>
      <c r="H7935" t="s">
        <v>667</v>
      </c>
      <c r="I7935" t="s">
        <v>29</v>
      </c>
      <c r="J7935">
        <v>1</v>
      </c>
      <c r="K7935">
        <f>1-888-349-1092</f>
        <v>-2328</v>
      </c>
      <c r="L7935" t="s">
        <v>24786</v>
      </c>
      <c r="M7935" t="s">
        <v>24787</v>
      </c>
      <c r="N7935">
        <v>116</v>
      </c>
      <c r="O7935" t="s">
        <v>134</v>
      </c>
      <c r="P7935" t="s">
        <v>29</v>
      </c>
      <c r="Q7935">
        <v>41</v>
      </c>
      <c r="R7935">
        <v>-74.140299999999996</v>
      </c>
    </row>
    <row r="7936" spans="1:18" x14ac:dyDescent="0.2">
      <c r="A7936" t="s">
        <v>1637</v>
      </c>
      <c r="B7936" t="s">
        <v>5740</v>
      </c>
      <c r="C7936">
        <v>1</v>
      </c>
      <c r="D7936" s="1">
        <v>44193.710196759261</v>
      </c>
      <c r="E7936" t="s">
        <v>24788</v>
      </c>
      <c r="F7936" t="s">
        <v>5753</v>
      </c>
      <c r="G7936" t="s">
        <v>24789</v>
      </c>
      <c r="H7936" t="s">
        <v>1642</v>
      </c>
      <c r="I7936" t="s">
        <v>29</v>
      </c>
      <c r="J7936">
        <v>1</v>
      </c>
      <c r="K7936">
        <f>1-844-286-8369</f>
        <v>-9498</v>
      </c>
      <c r="L7936" t="s">
        <v>24790</v>
      </c>
      <c r="M7936" t="s">
        <v>24791</v>
      </c>
      <c r="N7936" t="s">
        <v>5354</v>
      </c>
      <c r="O7936" t="s">
        <v>134</v>
      </c>
      <c r="P7936" t="s">
        <v>292</v>
      </c>
      <c r="Q7936">
        <v>49</v>
      </c>
      <c r="R7936">
        <v>2.3985099999999999</v>
      </c>
    </row>
    <row r="7937" spans="1:18" x14ac:dyDescent="0.2">
      <c r="A7937" t="s">
        <v>2233</v>
      </c>
      <c r="B7937" t="s">
        <v>440</v>
      </c>
      <c r="C7937">
        <v>1</v>
      </c>
      <c r="D7937" s="1">
        <v>44193.711226851854</v>
      </c>
      <c r="E7937" t="s">
        <v>24792</v>
      </c>
      <c r="F7937" t="s">
        <v>2236</v>
      </c>
      <c r="G7937" t="s">
        <v>24793</v>
      </c>
      <c r="H7937" t="s">
        <v>2237</v>
      </c>
      <c r="I7937" t="s">
        <v>29</v>
      </c>
      <c r="J7937">
        <v>1</v>
      </c>
      <c r="K7937">
        <f>1-855-966-1215</f>
        <v>-3035</v>
      </c>
      <c r="L7937" t="s">
        <v>24794</v>
      </c>
      <c r="M7937" t="s">
        <v>24795</v>
      </c>
      <c r="N7937" t="s">
        <v>5354</v>
      </c>
      <c r="O7937" t="s">
        <v>28</v>
      </c>
      <c r="P7937" t="s">
        <v>29</v>
      </c>
      <c r="Q7937">
        <v>39</v>
      </c>
      <c r="R7937">
        <v>-77.487399999999994</v>
      </c>
    </row>
    <row r="7938" spans="1:18" x14ac:dyDescent="0.2">
      <c r="A7938" t="s">
        <v>2233</v>
      </c>
      <c r="B7938" t="s">
        <v>440</v>
      </c>
      <c r="C7938">
        <v>1</v>
      </c>
      <c r="D7938" s="1">
        <v>44193.712824074071</v>
      </c>
      <c r="E7938" t="s">
        <v>24792</v>
      </c>
      <c r="F7938" t="s">
        <v>2236</v>
      </c>
      <c r="G7938" t="s">
        <v>24796</v>
      </c>
      <c r="H7938" t="s">
        <v>2237</v>
      </c>
      <c r="I7938" t="s">
        <v>29</v>
      </c>
      <c r="J7938">
        <v>1</v>
      </c>
      <c r="K7938">
        <f>1-844-461-963</f>
        <v>-2267</v>
      </c>
      <c r="L7938" t="s">
        <v>24797</v>
      </c>
      <c r="M7938" t="s">
        <v>24798</v>
      </c>
      <c r="N7938" t="s">
        <v>5354</v>
      </c>
      <c r="O7938" t="s">
        <v>28</v>
      </c>
      <c r="P7938" t="s">
        <v>29</v>
      </c>
      <c r="Q7938">
        <v>39</v>
      </c>
      <c r="R7938">
        <v>-77.487399999999994</v>
      </c>
    </row>
    <row r="7939" spans="1:18" x14ac:dyDescent="0.2">
      <c r="A7939" t="s">
        <v>2233</v>
      </c>
      <c r="B7939" t="s">
        <v>440</v>
      </c>
      <c r="C7939">
        <v>1</v>
      </c>
      <c r="D7939" s="1">
        <v>44193.712719907409</v>
      </c>
      <c r="E7939" t="s">
        <v>24792</v>
      </c>
      <c r="F7939" t="s">
        <v>2236</v>
      </c>
      <c r="G7939" t="s">
        <v>24796</v>
      </c>
      <c r="H7939" t="s">
        <v>2237</v>
      </c>
      <c r="I7939" t="s">
        <v>29</v>
      </c>
      <c r="J7939">
        <v>1</v>
      </c>
      <c r="K7939">
        <f>1-855-674-102</f>
        <v>-1630</v>
      </c>
      <c r="L7939" t="s">
        <v>24799</v>
      </c>
      <c r="M7939" t="s">
        <v>24800</v>
      </c>
      <c r="N7939" t="s">
        <v>5354</v>
      </c>
      <c r="O7939" t="s">
        <v>28</v>
      </c>
      <c r="P7939" t="s">
        <v>29</v>
      </c>
      <c r="Q7939">
        <v>39</v>
      </c>
      <c r="R7939">
        <v>-77.487399999999994</v>
      </c>
    </row>
    <row r="7940" spans="1:18" x14ac:dyDescent="0.2">
      <c r="A7940" t="s">
        <v>663</v>
      </c>
      <c r="B7940" t="s">
        <v>3245</v>
      </c>
      <c r="C7940">
        <v>1</v>
      </c>
      <c r="D7940" s="1">
        <v>44193.717673611114</v>
      </c>
      <c r="E7940" t="s">
        <v>24801</v>
      </c>
      <c r="F7940" t="s">
        <v>666</v>
      </c>
      <c r="G7940" t="s">
        <v>24801</v>
      </c>
      <c r="H7940" t="s">
        <v>667</v>
      </c>
      <c r="I7940" t="s">
        <v>29</v>
      </c>
      <c r="J7940">
        <v>1</v>
      </c>
      <c r="K7940">
        <f>1-888-373-5259</f>
        <v>-6519</v>
      </c>
      <c r="L7940" t="s">
        <v>24802</v>
      </c>
      <c r="M7940" t="s">
        <v>24803</v>
      </c>
      <c r="N7940">
        <v>146</v>
      </c>
      <c r="O7940" t="s">
        <v>134</v>
      </c>
      <c r="P7940" t="s">
        <v>29</v>
      </c>
      <c r="Q7940">
        <v>41</v>
      </c>
      <c r="R7940">
        <v>-74.140299999999996</v>
      </c>
    </row>
    <row r="7941" spans="1:18" x14ac:dyDescent="0.2">
      <c r="A7941" t="s">
        <v>2349</v>
      </c>
      <c r="B7941" t="s">
        <v>4281</v>
      </c>
      <c r="C7941">
        <v>1</v>
      </c>
      <c r="D7941" s="1">
        <v>44193.878182870372</v>
      </c>
      <c r="E7941" t="s">
        <v>24804</v>
      </c>
      <c r="F7941" t="s">
        <v>2352</v>
      </c>
      <c r="G7941" t="s">
        <v>24805</v>
      </c>
      <c r="H7941" t="s">
        <v>2353</v>
      </c>
      <c r="I7941" t="s">
        <v>29</v>
      </c>
      <c r="J7941">
        <v>1</v>
      </c>
      <c r="K7941">
        <f>1-800-580-8781</f>
        <v>-10160</v>
      </c>
      <c r="L7941" t="s">
        <v>24806</v>
      </c>
      <c r="M7941" t="s">
        <v>24807</v>
      </c>
      <c r="N7941" t="s">
        <v>213</v>
      </c>
      <c r="O7941" t="s">
        <v>28</v>
      </c>
      <c r="P7941" t="s">
        <v>24</v>
      </c>
      <c r="Q7941">
        <v>50</v>
      </c>
      <c r="R7941">
        <v>8.7147000000000006</v>
      </c>
    </row>
    <row r="7942" spans="1:18" x14ac:dyDescent="0.2">
      <c r="A7942" t="s">
        <v>663</v>
      </c>
      <c r="B7942" t="s">
        <v>3245</v>
      </c>
      <c r="C7942">
        <v>1</v>
      </c>
      <c r="D7942" s="1">
        <v>44194.798981481479</v>
      </c>
      <c r="E7942" t="s">
        <v>24808</v>
      </c>
      <c r="F7942" t="s">
        <v>666</v>
      </c>
      <c r="G7942" t="s">
        <v>24808</v>
      </c>
      <c r="H7942" t="s">
        <v>667</v>
      </c>
      <c r="I7942" t="s">
        <v>29</v>
      </c>
      <c r="J7942">
        <v>1</v>
      </c>
      <c r="K7942">
        <f>1-888-346-323</f>
        <v>-1556</v>
      </c>
      <c r="L7942" t="s">
        <v>24809</v>
      </c>
      <c r="M7942" t="s">
        <v>24810</v>
      </c>
      <c r="N7942">
        <v>106</v>
      </c>
      <c r="O7942" t="s">
        <v>134</v>
      </c>
      <c r="P7942" t="s">
        <v>29</v>
      </c>
      <c r="Q7942">
        <v>41</v>
      </c>
      <c r="R7942">
        <v>-74.140299999999996</v>
      </c>
    </row>
    <row r="7943" spans="1:18" x14ac:dyDescent="0.2">
      <c r="A7943" t="s">
        <v>663</v>
      </c>
      <c r="B7943" t="s">
        <v>3245</v>
      </c>
      <c r="C7943">
        <v>1</v>
      </c>
      <c r="D7943" s="1">
        <v>44194.790775462963</v>
      </c>
      <c r="E7943" t="s">
        <v>24808</v>
      </c>
      <c r="F7943" t="s">
        <v>666</v>
      </c>
      <c r="G7943" t="s">
        <v>24808</v>
      </c>
      <c r="H7943" t="s">
        <v>667</v>
      </c>
      <c r="I7943" t="s">
        <v>29</v>
      </c>
      <c r="J7943">
        <v>1</v>
      </c>
      <c r="K7943">
        <f>1-888-304-9499</f>
        <v>-10690</v>
      </c>
      <c r="L7943" t="s">
        <v>24811</v>
      </c>
      <c r="M7943" t="s">
        <v>24812</v>
      </c>
      <c r="N7943">
        <v>106</v>
      </c>
      <c r="O7943" t="s">
        <v>134</v>
      </c>
      <c r="P7943" t="s">
        <v>29</v>
      </c>
      <c r="Q7943">
        <v>41</v>
      </c>
      <c r="R7943">
        <v>-74.140299999999996</v>
      </c>
    </row>
    <row r="7944" spans="1:18" x14ac:dyDescent="0.2">
      <c r="A7944" t="s">
        <v>663</v>
      </c>
      <c r="B7944" t="s">
        <v>3245</v>
      </c>
      <c r="C7944">
        <v>1</v>
      </c>
      <c r="D7944" s="1">
        <v>44194.793171296296</v>
      </c>
      <c r="E7944" t="s">
        <v>24808</v>
      </c>
      <c r="F7944" t="s">
        <v>666</v>
      </c>
      <c r="G7944" t="s">
        <v>24808</v>
      </c>
      <c r="H7944" t="s">
        <v>667</v>
      </c>
      <c r="I7944" t="s">
        <v>29</v>
      </c>
      <c r="J7944">
        <v>1</v>
      </c>
      <c r="K7944">
        <f>1-888-383-186</f>
        <v>-1456</v>
      </c>
      <c r="L7944" t="s">
        <v>24813</v>
      </c>
      <c r="M7944" t="s">
        <v>24814</v>
      </c>
      <c r="N7944">
        <v>106</v>
      </c>
      <c r="O7944" t="s">
        <v>134</v>
      </c>
      <c r="P7944" t="s">
        <v>29</v>
      </c>
      <c r="Q7944">
        <v>41</v>
      </c>
      <c r="R7944">
        <v>-74.140299999999996</v>
      </c>
    </row>
    <row r="7945" spans="1:18" x14ac:dyDescent="0.2">
      <c r="A7945" t="s">
        <v>439</v>
      </c>
      <c r="B7945" t="s">
        <v>4321</v>
      </c>
      <c r="C7945">
        <v>81</v>
      </c>
      <c r="D7945" s="1">
        <v>44194.426932870374</v>
      </c>
      <c r="E7945" t="s">
        <v>24815</v>
      </c>
      <c r="F7945" t="s">
        <v>442</v>
      </c>
      <c r="G7945" t="s">
        <v>24816</v>
      </c>
      <c r="H7945" t="s">
        <v>444</v>
      </c>
      <c r="I7945" t="s">
        <v>53</v>
      </c>
      <c r="J7945">
        <v>81</v>
      </c>
      <c r="K7945">
        <f>81-50-3204-1162</f>
        <v>-4335</v>
      </c>
      <c r="L7945" t="s">
        <v>24817</v>
      </c>
      <c r="M7945" t="s">
        <v>24818</v>
      </c>
      <c r="N7945" t="s">
        <v>674</v>
      </c>
      <c r="O7945" t="s">
        <v>28</v>
      </c>
      <c r="P7945" t="s">
        <v>29</v>
      </c>
      <c r="Q7945">
        <v>42</v>
      </c>
      <c r="R7945">
        <v>-87.629800000000003</v>
      </c>
    </row>
    <row r="7946" spans="1:18" x14ac:dyDescent="0.2">
      <c r="A7946" t="s">
        <v>439</v>
      </c>
      <c r="B7946" t="s">
        <v>4321</v>
      </c>
      <c r="C7946">
        <v>1</v>
      </c>
      <c r="D7946" s="1">
        <v>44194.751458333332</v>
      </c>
      <c r="E7946" t="s">
        <v>24819</v>
      </c>
      <c r="F7946" t="s">
        <v>442</v>
      </c>
      <c r="G7946" t="s">
        <v>24820</v>
      </c>
      <c r="H7946" t="s">
        <v>444</v>
      </c>
      <c r="I7946" t="s">
        <v>29</v>
      </c>
      <c r="J7946">
        <v>1</v>
      </c>
      <c r="K7946">
        <f>1-833-220-3743</f>
        <v>-4795</v>
      </c>
      <c r="L7946" t="s">
        <v>24821</v>
      </c>
      <c r="M7946" t="s">
        <v>24822</v>
      </c>
      <c r="N7946" t="s">
        <v>674</v>
      </c>
      <c r="O7946" t="s">
        <v>28</v>
      </c>
      <c r="P7946" t="s">
        <v>29</v>
      </c>
      <c r="Q7946">
        <v>42</v>
      </c>
      <c r="R7946">
        <v>-87.629800000000003</v>
      </c>
    </row>
    <row r="7947" spans="1:18" x14ac:dyDescent="0.2">
      <c r="A7947" t="s">
        <v>439</v>
      </c>
      <c r="B7947" t="s">
        <v>4321</v>
      </c>
      <c r="C7947">
        <v>1</v>
      </c>
      <c r="D7947" s="1">
        <v>44194.782708333332</v>
      </c>
      <c r="E7947" t="s">
        <v>24823</v>
      </c>
      <c r="F7947" t="s">
        <v>442</v>
      </c>
      <c r="G7947" t="s">
        <v>24824</v>
      </c>
      <c r="H7947" t="s">
        <v>444</v>
      </c>
      <c r="I7947" t="s">
        <v>29</v>
      </c>
      <c r="J7947">
        <v>1</v>
      </c>
      <c r="K7947">
        <f>1-833-220-2973</f>
        <v>-4025</v>
      </c>
      <c r="L7947" t="s">
        <v>24825</v>
      </c>
      <c r="M7947" t="s">
        <v>24826</v>
      </c>
      <c r="N7947" t="s">
        <v>213</v>
      </c>
      <c r="O7947" t="s">
        <v>28</v>
      </c>
      <c r="P7947" t="s">
        <v>29</v>
      </c>
      <c r="Q7947">
        <v>42</v>
      </c>
      <c r="R7947">
        <v>-87.629800000000003</v>
      </c>
    </row>
    <row r="7948" spans="1:18" x14ac:dyDescent="0.2">
      <c r="A7948" t="s">
        <v>2233</v>
      </c>
      <c r="B7948" t="s">
        <v>4672</v>
      </c>
      <c r="C7948">
        <v>44</v>
      </c>
      <c r="D7948" s="1">
        <v>44194.788576388892</v>
      </c>
      <c r="E7948" t="s">
        <v>24827</v>
      </c>
      <c r="F7948" t="s">
        <v>2236</v>
      </c>
      <c r="G7948" t="s">
        <v>24828</v>
      </c>
      <c r="H7948" t="s">
        <v>2237</v>
      </c>
      <c r="I7948" t="s">
        <v>618</v>
      </c>
      <c r="J7948">
        <v>44</v>
      </c>
      <c r="K7948">
        <f>44-203-949-6350</f>
        <v>-7458</v>
      </c>
      <c r="L7948" t="s">
        <v>24829</v>
      </c>
      <c r="M7948" t="s">
        <v>24830</v>
      </c>
      <c r="N7948" t="s">
        <v>22454</v>
      </c>
      <c r="O7948" t="s">
        <v>134</v>
      </c>
      <c r="P7948" t="s">
        <v>782</v>
      </c>
      <c r="Q7948">
        <v>-34</v>
      </c>
      <c r="R7948">
        <v>99.999999000000003</v>
      </c>
    </row>
    <row r="7949" spans="1:18" x14ac:dyDescent="0.2">
      <c r="A7949" t="s">
        <v>2233</v>
      </c>
      <c r="B7949" t="s">
        <v>17027</v>
      </c>
      <c r="C7949">
        <v>1</v>
      </c>
      <c r="D7949" s="1">
        <v>44194.794108796297</v>
      </c>
      <c r="E7949" t="s">
        <v>24831</v>
      </c>
      <c r="F7949" t="s">
        <v>2236</v>
      </c>
      <c r="G7949" t="s">
        <v>24832</v>
      </c>
      <c r="H7949" t="s">
        <v>2237</v>
      </c>
      <c r="I7949" t="s">
        <v>29</v>
      </c>
      <c r="J7949">
        <v>1</v>
      </c>
      <c r="K7949">
        <f>1-844-309-2064</f>
        <v>-3216</v>
      </c>
      <c r="L7949" t="s">
        <v>24833</v>
      </c>
      <c r="M7949" t="s">
        <v>24834</v>
      </c>
      <c r="N7949" t="s">
        <v>5354</v>
      </c>
      <c r="O7949" t="s">
        <v>28</v>
      </c>
      <c r="P7949" t="s">
        <v>5789</v>
      </c>
      <c r="Q7949">
        <v>19</v>
      </c>
      <c r="R7949">
        <v>72.877700000000004</v>
      </c>
    </row>
    <row r="7950" spans="1:18" x14ac:dyDescent="0.2">
      <c r="A7950" t="s">
        <v>439</v>
      </c>
      <c r="B7950" t="s">
        <v>4321</v>
      </c>
      <c r="C7950">
        <v>1</v>
      </c>
      <c r="D7950" s="1">
        <v>44194.797685185185</v>
      </c>
      <c r="E7950" t="s">
        <v>24835</v>
      </c>
      <c r="F7950" t="s">
        <v>442</v>
      </c>
      <c r="G7950" t="s">
        <v>24836</v>
      </c>
      <c r="H7950" t="s">
        <v>444</v>
      </c>
      <c r="I7950" t="s">
        <v>29</v>
      </c>
      <c r="J7950">
        <v>1</v>
      </c>
      <c r="K7950">
        <f>1-888-984-4535</f>
        <v>-6406</v>
      </c>
      <c r="L7950" t="s">
        <v>24837</v>
      </c>
      <c r="M7950" t="s">
        <v>24838</v>
      </c>
      <c r="N7950" t="s">
        <v>20913</v>
      </c>
      <c r="O7950" t="s">
        <v>28</v>
      </c>
      <c r="P7950" t="s">
        <v>29</v>
      </c>
      <c r="Q7950">
        <v>42</v>
      </c>
      <c r="R7950">
        <v>-87.629800000000003</v>
      </c>
    </row>
    <row r="7951" spans="1:18" x14ac:dyDescent="0.2">
      <c r="A7951" t="s">
        <v>439</v>
      </c>
      <c r="B7951" t="s">
        <v>4321</v>
      </c>
      <c r="C7951">
        <v>81</v>
      </c>
      <c r="D7951" s="1">
        <v>44195.35260416667</v>
      </c>
      <c r="E7951" t="s">
        <v>24839</v>
      </c>
      <c r="F7951" t="s">
        <v>442</v>
      </c>
      <c r="G7951" t="s">
        <v>24840</v>
      </c>
      <c r="H7951" t="s">
        <v>444</v>
      </c>
      <c r="I7951" t="s">
        <v>53</v>
      </c>
      <c r="J7951">
        <v>81</v>
      </c>
      <c r="K7951">
        <f>81-50-3136-562</f>
        <v>-3667</v>
      </c>
      <c r="L7951" t="s">
        <v>24841</v>
      </c>
      <c r="M7951" t="s">
        <v>24842</v>
      </c>
      <c r="N7951" t="s">
        <v>213</v>
      </c>
      <c r="O7951" t="s">
        <v>28</v>
      </c>
      <c r="P7951" t="s">
        <v>29</v>
      </c>
      <c r="Q7951">
        <v>42</v>
      </c>
      <c r="R7951">
        <v>-87.629800000000003</v>
      </c>
    </row>
    <row r="7952" spans="1:18" x14ac:dyDescent="0.2">
      <c r="A7952" t="s">
        <v>5349</v>
      </c>
      <c r="B7952" t="s">
        <v>440</v>
      </c>
      <c r="C7952">
        <v>81</v>
      </c>
      <c r="D7952" s="1">
        <v>44195.360532407409</v>
      </c>
      <c r="E7952" t="s">
        <v>24843</v>
      </c>
      <c r="F7952" t="s">
        <v>2236</v>
      </c>
      <c r="G7952" t="s">
        <v>24843</v>
      </c>
      <c r="H7952" t="s">
        <v>2237</v>
      </c>
      <c r="I7952" t="s">
        <v>53</v>
      </c>
      <c r="J7952">
        <v>81</v>
      </c>
      <c r="K7952">
        <f>81-50-5539-436</f>
        <v>-5944</v>
      </c>
      <c r="L7952" t="s">
        <v>24844</v>
      </c>
      <c r="M7952" t="s">
        <v>24845</v>
      </c>
      <c r="N7952">
        <v>90</v>
      </c>
      <c r="O7952" t="s">
        <v>134</v>
      </c>
      <c r="P7952" t="s">
        <v>29</v>
      </c>
      <c r="Q7952">
        <v>39</v>
      </c>
      <c r="R7952">
        <v>-77.487399999999994</v>
      </c>
    </row>
    <row r="7953" spans="1:18" x14ac:dyDescent="0.2">
      <c r="A7953" t="s">
        <v>5349</v>
      </c>
      <c r="B7953" t="s">
        <v>440</v>
      </c>
      <c r="C7953">
        <v>81</v>
      </c>
      <c r="D7953" s="1">
        <v>44195.360497685186</v>
      </c>
      <c r="E7953" t="s">
        <v>24843</v>
      </c>
      <c r="F7953" t="s">
        <v>2236</v>
      </c>
      <c r="G7953" t="s">
        <v>24843</v>
      </c>
      <c r="H7953" t="s">
        <v>2237</v>
      </c>
      <c r="I7953" t="s">
        <v>53</v>
      </c>
      <c r="J7953">
        <v>81</v>
      </c>
      <c r="K7953">
        <f>81-50-3136-39</f>
        <v>-3144</v>
      </c>
      <c r="L7953" t="s">
        <v>24846</v>
      </c>
      <c r="M7953" t="s">
        <v>24847</v>
      </c>
      <c r="N7953">
        <v>90</v>
      </c>
      <c r="O7953" t="s">
        <v>134</v>
      </c>
      <c r="P7953" t="s">
        <v>29</v>
      </c>
      <c r="Q7953">
        <v>39</v>
      </c>
      <c r="R7953">
        <v>-77.487399999999994</v>
      </c>
    </row>
    <row r="7954" spans="1:18" x14ac:dyDescent="0.2">
      <c r="A7954" t="s">
        <v>5349</v>
      </c>
      <c r="B7954" t="s">
        <v>440</v>
      </c>
      <c r="C7954">
        <v>81</v>
      </c>
      <c r="D7954" s="1">
        <v>44195.359120370369</v>
      </c>
      <c r="E7954" t="s">
        <v>24843</v>
      </c>
      <c r="F7954" t="s">
        <v>2236</v>
      </c>
      <c r="G7954" t="s">
        <v>24843</v>
      </c>
      <c r="H7954" t="s">
        <v>2237</v>
      </c>
      <c r="I7954" t="s">
        <v>53</v>
      </c>
      <c r="J7954">
        <v>81</v>
      </c>
      <c r="K7954">
        <f>81-50-5534-974</f>
        <v>-6477</v>
      </c>
      <c r="L7954" t="s">
        <v>24848</v>
      </c>
      <c r="M7954" t="s">
        <v>24849</v>
      </c>
      <c r="N7954">
        <v>90</v>
      </c>
      <c r="O7954" t="s">
        <v>134</v>
      </c>
      <c r="P7954" t="s">
        <v>29</v>
      </c>
      <c r="Q7954">
        <v>39</v>
      </c>
      <c r="R7954">
        <v>-77.487399999999994</v>
      </c>
    </row>
    <row r="7955" spans="1:18" x14ac:dyDescent="0.2">
      <c r="A7955" t="s">
        <v>5349</v>
      </c>
      <c r="B7955" t="s">
        <v>440</v>
      </c>
      <c r="C7955">
        <v>81</v>
      </c>
      <c r="D7955" s="1">
        <v>44195.352731481478</v>
      </c>
      <c r="E7955" t="s">
        <v>24843</v>
      </c>
      <c r="F7955" t="s">
        <v>2236</v>
      </c>
      <c r="G7955" t="s">
        <v>24843</v>
      </c>
      <c r="H7955" t="s">
        <v>2237</v>
      </c>
      <c r="I7955" t="s">
        <v>53</v>
      </c>
      <c r="J7955">
        <v>81</v>
      </c>
      <c r="K7955">
        <f>81-50-5539-763</f>
        <v>-6271</v>
      </c>
      <c r="L7955" t="s">
        <v>24850</v>
      </c>
      <c r="M7955" t="s">
        <v>24851</v>
      </c>
      <c r="N7955">
        <v>90</v>
      </c>
      <c r="O7955" t="s">
        <v>134</v>
      </c>
      <c r="P7955" t="s">
        <v>29</v>
      </c>
      <c r="Q7955">
        <v>39</v>
      </c>
      <c r="R7955">
        <v>-77.487399999999994</v>
      </c>
    </row>
    <row r="7956" spans="1:18" x14ac:dyDescent="0.2">
      <c r="A7956" t="s">
        <v>663</v>
      </c>
      <c r="B7956" t="s">
        <v>3245</v>
      </c>
      <c r="C7956">
        <v>1</v>
      </c>
      <c r="D7956" s="1">
        <v>44195.790347222224</v>
      </c>
      <c r="E7956" t="s">
        <v>24852</v>
      </c>
      <c r="F7956" t="s">
        <v>666</v>
      </c>
      <c r="G7956" t="s">
        <v>24852</v>
      </c>
      <c r="H7956" t="s">
        <v>667</v>
      </c>
      <c r="I7956" t="s">
        <v>29</v>
      </c>
      <c r="J7956">
        <v>1</v>
      </c>
      <c r="K7956">
        <f>1-888-308-5162</f>
        <v>-6357</v>
      </c>
      <c r="L7956" t="s">
        <v>24853</v>
      </c>
      <c r="M7956" t="s">
        <v>24854</v>
      </c>
      <c r="N7956">
        <v>217</v>
      </c>
      <c r="O7956" t="s">
        <v>134</v>
      </c>
      <c r="P7956" t="s">
        <v>29</v>
      </c>
      <c r="Q7956">
        <v>41</v>
      </c>
      <c r="R7956">
        <v>-74.140299999999996</v>
      </c>
    </row>
    <row r="7957" spans="1:18" x14ac:dyDescent="0.2">
      <c r="A7957" t="s">
        <v>439</v>
      </c>
      <c r="B7957" t="s">
        <v>4321</v>
      </c>
      <c r="C7957">
        <v>1</v>
      </c>
      <c r="D7957" s="1">
        <v>44195.831932870373</v>
      </c>
      <c r="E7957" t="s">
        <v>24855</v>
      </c>
      <c r="F7957" t="s">
        <v>442</v>
      </c>
      <c r="G7957" t="s">
        <v>24856</v>
      </c>
      <c r="H7957" t="s">
        <v>444</v>
      </c>
      <c r="I7957" t="s">
        <v>29</v>
      </c>
      <c r="J7957">
        <v>1</v>
      </c>
      <c r="K7957">
        <f>1-833-220-3742</f>
        <v>-4794</v>
      </c>
      <c r="L7957" t="s">
        <v>24857</v>
      </c>
      <c r="M7957" t="s">
        <v>24858</v>
      </c>
      <c r="N7957" t="s">
        <v>213</v>
      </c>
      <c r="O7957" t="s">
        <v>28</v>
      </c>
      <c r="P7957" t="s">
        <v>29</v>
      </c>
      <c r="Q7957">
        <v>42</v>
      </c>
      <c r="R7957">
        <v>-87.629800000000003</v>
      </c>
    </row>
    <row r="7958" spans="1:18" x14ac:dyDescent="0.2">
      <c r="A7958" t="s">
        <v>663</v>
      </c>
      <c r="B7958" t="s">
        <v>3245</v>
      </c>
      <c r="C7958">
        <v>81</v>
      </c>
      <c r="D7958" s="1">
        <v>44201.326319444444</v>
      </c>
      <c r="E7958" t="s">
        <v>24859</v>
      </c>
      <c r="F7958" t="s">
        <v>666</v>
      </c>
      <c r="G7958" t="s">
        <v>24860</v>
      </c>
      <c r="H7958" t="s">
        <v>667</v>
      </c>
      <c r="I7958" t="s">
        <v>53</v>
      </c>
      <c r="J7958">
        <v>81</v>
      </c>
      <c r="K7958">
        <f>81-50-5532-7250</f>
        <v>-12751</v>
      </c>
      <c r="L7958" t="s">
        <v>24861</v>
      </c>
      <c r="M7958" t="s">
        <v>24862</v>
      </c>
      <c r="N7958" t="s">
        <v>2475</v>
      </c>
      <c r="O7958" t="s">
        <v>28</v>
      </c>
      <c r="P7958" t="s">
        <v>29</v>
      </c>
      <c r="Q7958">
        <v>41</v>
      </c>
      <c r="R7958">
        <v>-74.140299999999996</v>
      </c>
    </row>
    <row r="7959" spans="1:18" x14ac:dyDescent="0.2">
      <c r="A7959" t="s">
        <v>663</v>
      </c>
      <c r="B7959" t="s">
        <v>3245</v>
      </c>
      <c r="C7959">
        <v>81</v>
      </c>
      <c r="D7959" s="1">
        <v>44196.310370370367</v>
      </c>
      <c r="E7959" t="s">
        <v>24863</v>
      </c>
      <c r="F7959" t="s">
        <v>666</v>
      </c>
      <c r="G7959" t="s">
        <v>24860</v>
      </c>
      <c r="H7959" t="s">
        <v>667</v>
      </c>
      <c r="I7959" t="s">
        <v>53</v>
      </c>
      <c r="J7959">
        <v>81</v>
      </c>
      <c r="K7959">
        <f>81-50-5532-5541</f>
        <v>-11042</v>
      </c>
      <c r="L7959" t="s">
        <v>24864</v>
      </c>
      <c r="M7959" t="s">
        <v>24865</v>
      </c>
      <c r="N7959" t="s">
        <v>2475</v>
      </c>
      <c r="O7959" t="s">
        <v>28</v>
      </c>
      <c r="P7959" t="s">
        <v>29</v>
      </c>
      <c r="Q7959">
        <v>41</v>
      </c>
      <c r="R7959">
        <v>-74.140299999999996</v>
      </c>
    </row>
    <row r="7960" spans="1:18" x14ac:dyDescent="0.2">
      <c r="A7960" t="s">
        <v>439</v>
      </c>
      <c r="B7960" t="s">
        <v>4321</v>
      </c>
      <c r="C7960">
        <v>81</v>
      </c>
      <c r="D7960" s="1">
        <v>44196.358807870369</v>
      </c>
      <c r="E7960" t="s">
        <v>24866</v>
      </c>
      <c r="F7960" t="s">
        <v>442</v>
      </c>
      <c r="G7960" t="s">
        <v>24867</v>
      </c>
      <c r="H7960" t="s">
        <v>444</v>
      </c>
      <c r="I7960" t="s">
        <v>53</v>
      </c>
      <c r="J7960">
        <v>81</v>
      </c>
      <c r="K7960">
        <f>81-50-3204-1162</f>
        <v>-4335</v>
      </c>
      <c r="L7960" t="s">
        <v>24868</v>
      </c>
      <c r="M7960" t="s">
        <v>24869</v>
      </c>
      <c r="N7960" t="s">
        <v>674</v>
      </c>
      <c r="O7960" t="s">
        <v>28</v>
      </c>
      <c r="P7960" t="s">
        <v>29</v>
      </c>
      <c r="Q7960">
        <v>42</v>
      </c>
      <c r="R7960">
        <v>-87.629800000000003</v>
      </c>
    </row>
    <row r="7961" spans="1:18" x14ac:dyDescent="0.2">
      <c r="A7961" t="s">
        <v>2233</v>
      </c>
      <c r="B7961" t="s">
        <v>440</v>
      </c>
      <c r="C7961">
        <v>1</v>
      </c>
      <c r="D7961" s="1">
        <v>44196.399236111109</v>
      </c>
      <c r="E7961" t="s">
        <v>24870</v>
      </c>
      <c r="F7961" t="s">
        <v>2236</v>
      </c>
      <c r="G7961" t="s">
        <v>24871</v>
      </c>
      <c r="H7961" t="s">
        <v>2237</v>
      </c>
      <c r="I7961" t="s">
        <v>29</v>
      </c>
      <c r="J7961">
        <v>1</v>
      </c>
      <c r="K7961">
        <f>1-877-386-7531</f>
        <v>-8793</v>
      </c>
      <c r="L7961" t="s">
        <v>24872</v>
      </c>
      <c r="M7961" t="s">
        <v>24873</v>
      </c>
      <c r="N7961" t="s">
        <v>5354</v>
      </c>
      <c r="O7961" t="s">
        <v>28</v>
      </c>
      <c r="P7961" t="s">
        <v>29</v>
      </c>
      <c r="Q7961">
        <v>39</v>
      </c>
      <c r="R7961">
        <v>-77.487399999999994</v>
      </c>
    </row>
    <row r="7962" spans="1:18" x14ac:dyDescent="0.2">
      <c r="A7962" t="s">
        <v>439</v>
      </c>
      <c r="B7962" t="s">
        <v>4321</v>
      </c>
      <c r="C7962">
        <v>81</v>
      </c>
      <c r="D7962" s="1">
        <v>44197.40693287037</v>
      </c>
      <c r="E7962" t="s">
        <v>24874</v>
      </c>
      <c r="F7962" t="s">
        <v>442</v>
      </c>
      <c r="G7962" t="s">
        <v>24875</v>
      </c>
      <c r="H7962" t="s">
        <v>444</v>
      </c>
      <c r="I7962" t="s">
        <v>53</v>
      </c>
      <c r="J7962">
        <v>81</v>
      </c>
      <c r="K7962">
        <f>81-50-3204-1162</f>
        <v>-4335</v>
      </c>
      <c r="L7962" t="s">
        <v>24876</v>
      </c>
      <c r="M7962" t="s">
        <v>24877</v>
      </c>
      <c r="N7962" t="s">
        <v>674</v>
      </c>
      <c r="O7962" t="s">
        <v>28</v>
      </c>
      <c r="P7962" t="s">
        <v>29</v>
      </c>
      <c r="Q7962">
        <v>42</v>
      </c>
      <c r="R7962">
        <v>-87.629800000000003</v>
      </c>
    </row>
    <row r="7963" spans="1:18" x14ac:dyDescent="0.2">
      <c r="A7963" t="s">
        <v>663</v>
      </c>
      <c r="B7963" t="s">
        <v>3245</v>
      </c>
      <c r="C7963">
        <v>1</v>
      </c>
      <c r="D7963" s="1">
        <v>44197.787511574075</v>
      </c>
      <c r="E7963" t="s">
        <v>24878</v>
      </c>
      <c r="F7963" t="s">
        <v>666</v>
      </c>
      <c r="G7963" t="s">
        <v>24878</v>
      </c>
      <c r="H7963" t="s">
        <v>667</v>
      </c>
      <c r="I7963" t="s">
        <v>29</v>
      </c>
      <c r="J7963">
        <v>1</v>
      </c>
      <c r="K7963">
        <f>1-888-357-8966</f>
        <v>-10210</v>
      </c>
      <c r="L7963" t="s">
        <v>24879</v>
      </c>
      <c r="M7963" t="s">
        <v>24880</v>
      </c>
      <c r="N7963">
        <v>190</v>
      </c>
      <c r="O7963" t="s">
        <v>134</v>
      </c>
      <c r="P7963" t="s">
        <v>29</v>
      </c>
      <c r="Q7963">
        <v>41</v>
      </c>
      <c r="R7963">
        <v>-74.140299999999996</v>
      </c>
    </row>
    <row r="7964" spans="1:18" x14ac:dyDescent="0.2">
      <c r="A7964" t="s">
        <v>663</v>
      </c>
      <c r="B7964" t="s">
        <v>3245</v>
      </c>
      <c r="C7964">
        <v>1</v>
      </c>
      <c r="D7964" s="1">
        <v>44197.804942129631</v>
      </c>
      <c r="E7964" t="s">
        <v>24881</v>
      </c>
      <c r="F7964" t="s">
        <v>666</v>
      </c>
      <c r="G7964" t="s">
        <v>24881</v>
      </c>
      <c r="H7964" t="s">
        <v>667</v>
      </c>
      <c r="I7964" t="s">
        <v>29</v>
      </c>
      <c r="J7964">
        <v>1</v>
      </c>
      <c r="K7964">
        <f>1-888-373-4705</f>
        <v>-5965</v>
      </c>
      <c r="L7964" t="s">
        <v>24882</v>
      </c>
      <c r="M7964" t="s">
        <v>24883</v>
      </c>
      <c r="N7964">
        <v>25</v>
      </c>
      <c r="O7964" t="s">
        <v>134</v>
      </c>
      <c r="P7964" t="s">
        <v>29</v>
      </c>
      <c r="Q7964">
        <v>41</v>
      </c>
      <c r="R7964">
        <v>-74.140299999999996</v>
      </c>
    </row>
    <row r="7965" spans="1:18" x14ac:dyDescent="0.2">
      <c r="A7965" t="s">
        <v>2233</v>
      </c>
      <c r="B7965" t="s">
        <v>440</v>
      </c>
      <c r="C7965">
        <v>1</v>
      </c>
      <c r="D7965" s="1">
        <v>44199.357881944445</v>
      </c>
      <c r="E7965" t="s">
        <v>24884</v>
      </c>
      <c r="F7965" t="s">
        <v>2236</v>
      </c>
      <c r="G7965" t="s">
        <v>24885</v>
      </c>
      <c r="H7965" t="s">
        <v>2237</v>
      </c>
      <c r="I7965" t="s">
        <v>29</v>
      </c>
      <c r="J7965">
        <v>1</v>
      </c>
      <c r="K7965">
        <f>1-833-918-2858</f>
        <v>-4608</v>
      </c>
      <c r="L7965" t="s">
        <v>24886</v>
      </c>
      <c r="M7965" t="s">
        <v>24887</v>
      </c>
      <c r="N7965" t="s">
        <v>5354</v>
      </c>
      <c r="O7965" t="s">
        <v>28</v>
      </c>
      <c r="P7965" t="s">
        <v>29</v>
      </c>
      <c r="Q7965">
        <v>39</v>
      </c>
      <c r="R7965">
        <v>-77.487399999999994</v>
      </c>
    </row>
    <row r="7966" spans="1:18" x14ac:dyDescent="0.2">
      <c r="A7966" t="s">
        <v>2233</v>
      </c>
      <c r="B7966" t="s">
        <v>440</v>
      </c>
      <c r="C7966">
        <v>1</v>
      </c>
      <c r="D7966" s="1">
        <v>44198.183333333334</v>
      </c>
      <c r="E7966" t="s">
        <v>24888</v>
      </c>
      <c r="F7966" t="s">
        <v>2236</v>
      </c>
      <c r="G7966" t="s">
        <v>24889</v>
      </c>
      <c r="H7966" t="s">
        <v>2237</v>
      </c>
      <c r="I7966" t="s">
        <v>29</v>
      </c>
      <c r="J7966">
        <v>1</v>
      </c>
      <c r="K7966">
        <f>1-866-422-5898</f>
        <v>-7185</v>
      </c>
      <c r="L7966" t="s">
        <v>24890</v>
      </c>
      <c r="M7966" t="s">
        <v>24891</v>
      </c>
      <c r="N7966" t="s">
        <v>5354</v>
      </c>
      <c r="O7966" t="s">
        <v>28</v>
      </c>
      <c r="P7966" t="s">
        <v>29</v>
      </c>
      <c r="Q7966">
        <v>39</v>
      </c>
      <c r="R7966">
        <v>-77.487399999999994</v>
      </c>
    </row>
    <row r="7967" spans="1:18" x14ac:dyDescent="0.2">
      <c r="A7967" t="s">
        <v>439</v>
      </c>
      <c r="B7967" t="s">
        <v>4321</v>
      </c>
      <c r="C7967">
        <v>81</v>
      </c>
      <c r="D7967" s="1">
        <v>44198.639351851853</v>
      </c>
      <c r="E7967" t="s">
        <v>24892</v>
      </c>
      <c r="F7967" t="s">
        <v>442</v>
      </c>
      <c r="G7967" t="s">
        <v>24893</v>
      </c>
      <c r="H7967" t="s">
        <v>444</v>
      </c>
      <c r="I7967" t="s">
        <v>53</v>
      </c>
      <c r="J7967">
        <v>81</v>
      </c>
      <c r="K7967">
        <f>81-50-3204-1162</f>
        <v>-4335</v>
      </c>
      <c r="L7967" t="s">
        <v>24894</v>
      </c>
      <c r="M7967" t="s">
        <v>24895</v>
      </c>
      <c r="N7967" t="s">
        <v>674</v>
      </c>
      <c r="O7967" t="s">
        <v>28</v>
      </c>
      <c r="P7967" t="s">
        <v>29</v>
      </c>
      <c r="Q7967">
        <v>42</v>
      </c>
      <c r="R7967">
        <v>-87.629800000000003</v>
      </c>
    </row>
    <row r="7968" spans="1:18" x14ac:dyDescent="0.2">
      <c r="A7968" t="s">
        <v>439</v>
      </c>
      <c r="B7968" t="s">
        <v>4321</v>
      </c>
      <c r="C7968">
        <v>81</v>
      </c>
      <c r="D7968" s="1">
        <v>44199.834594907406</v>
      </c>
      <c r="E7968" t="s">
        <v>24896</v>
      </c>
      <c r="F7968" t="s">
        <v>442</v>
      </c>
      <c r="G7968" t="s">
        <v>24897</v>
      </c>
      <c r="H7968" t="s">
        <v>444</v>
      </c>
      <c r="I7968" t="s">
        <v>53</v>
      </c>
      <c r="J7968">
        <v>81</v>
      </c>
      <c r="K7968">
        <f>81-50-3204-1162</f>
        <v>-4335</v>
      </c>
      <c r="L7968" t="s">
        <v>24898</v>
      </c>
      <c r="M7968" t="s">
        <v>24899</v>
      </c>
      <c r="N7968" t="s">
        <v>213</v>
      </c>
      <c r="O7968" t="s">
        <v>134</v>
      </c>
      <c r="P7968" t="s">
        <v>29</v>
      </c>
      <c r="Q7968">
        <v>42</v>
      </c>
      <c r="R7968">
        <v>-87.629800000000003</v>
      </c>
    </row>
    <row r="7969" spans="1:18" x14ac:dyDescent="0.2">
      <c r="A7969" t="s">
        <v>675</v>
      </c>
      <c r="B7969" t="s">
        <v>1412</v>
      </c>
      <c r="C7969">
        <v>1</v>
      </c>
      <c r="D7969" s="1">
        <v>44199.834652777776</v>
      </c>
      <c r="E7969" t="s">
        <v>24900</v>
      </c>
      <c r="F7969" t="s">
        <v>678</v>
      </c>
      <c r="G7969" t="s">
        <v>24901</v>
      </c>
      <c r="H7969" t="s">
        <v>680</v>
      </c>
      <c r="I7969" t="s">
        <v>29</v>
      </c>
      <c r="J7969">
        <v>1</v>
      </c>
      <c r="K7969">
        <f>1-888-500-3080</f>
        <v>-4467</v>
      </c>
      <c r="L7969" t="s">
        <v>24902</v>
      </c>
      <c r="M7969" t="s">
        <v>24903</v>
      </c>
      <c r="N7969" t="s">
        <v>452</v>
      </c>
      <c r="O7969" t="s">
        <v>134</v>
      </c>
      <c r="P7969" t="s">
        <v>29</v>
      </c>
      <c r="Q7969">
        <v>41</v>
      </c>
      <c r="R7969">
        <v>-74.172399999999996</v>
      </c>
    </row>
    <row r="7970" spans="1:18" x14ac:dyDescent="0.2">
      <c r="A7970" t="s">
        <v>439</v>
      </c>
      <c r="B7970" t="s">
        <v>4321</v>
      </c>
      <c r="C7970">
        <v>81</v>
      </c>
      <c r="D7970" s="1">
        <v>44199.834710648145</v>
      </c>
      <c r="E7970" t="s">
        <v>24892</v>
      </c>
      <c r="F7970" t="s">
        <v>442</v>
      </c>
      <c r="G7970" t="s">
        <v>24904</v>
      </c>
      <c r="H7970" t="s">
        <v>444</v>
      </c>
      <c r="I7970" t="s">
        <v>53</v>
      </c>
      <c r="J7970">
        <v>81</v>
      </c>
      <c r="K7970">
        <f>81-50-3204-1162</f>
        <v>-4335</v>
      </c>
      <c r="L7970" t="s">
        <v>24905</v>
      </c>
      <c r="M7970" t="s">
        <v>24906</v>
      </c>
      <c r="N7970" t="s">
        <v>674</v>
      </c>
      <c r="O7970" t="s">
        <v>134</v>
      </c>
      <c r="P7970" t="s">
        <v>29</v>
      </c>
      <c r="Q7970">
        <v>42</v>
      </c>
      <c r="R7970">
        <v>-87.629800000000003</v>
      </c>
    </row>
    <row r="7971" spans="1:18" x14ac:dyDescent="0.2">
      <c r="A7971" t="s">
        <v>663</v>
      </c>
      <c r="B7971" t="s">
        <v>3245</v>
      </c>
      <c r="C7971">
        <v>1</v>
      </c>
      <c r="D7971" s="1">
        <v>44200.771851851852</v>
      </c>
      <c r="E7971" t="s">
        <v>24907</v>
      </c>
      <c r="F7971" t="s">
        <v>666</v>
      </c>
      <c r="G7971" t="s">
        <v>24907</v>
      </c>
      <c r="H7971" t="s">
        <v>667</v>
      </c>
      <c r="I7971" t="s">
        <v>29</v>
      </c>
      <c r="J7971">
        <v>1</v>
      </c>
      <c r="K7971">
        <f>1-888-335-3694</f>
        <v>-4916</v>
      </c>
      <c r="L7971" t="s">
        <v>24908</v>
      </c>
      <c r="M7971" t="s">
        <v>24909</v>
      </c>
      <c r="N7971">
        <v>140</v>
      </c>
      <c r="O7971" t="s">
        <v>134</v>
      </c>
      <c r="P7971" t="s">
        <v>29</v>
      </c>
      <c r="Q7971">
        <v>41</v>
      </c>
      <c r="R7971">
        <v>-74.140299999999996</v>
      </c>
    </row>
    <row r="7972" spans="1:18" x14ac:dyDescent="0.2">
      <c r="A7972" t="s">
        <v>663</v>
      </c>
      <c r="B7972" t="s">
        <v>3245</v>
      </c>
      <c r="C7972">
        <v>1</v>
      </c>
      <c r="D7972" s="1">
        <v>44200.771574074075</v>
      </c>
      <c r="E7972" t="s">
        <v>24907</v>
      </c>
      <c r="F7972" t="s">
        <v>666</v>
      </c>
      <c r="G7972" t="s">
        <v>24907</v>
      </c>
      <c r="H7972" t="s">
        <v>667</v>
      </c>
      <c r="I7972" t="s">
        <v>29</v>
      </c>
      <c r="J7972">
        <v>1</v>
      </c>
      <c r="K7972">
        <f>1-888-414-6549</f>
        <v>-7850</v>
      </c>
      <c r="L7972" t="s">
        <v>24910</v>
      </c>
      <c r="M7972" t="s">
        <v>24911</v>
      </c>
      <c r="N7972">
        <v>140</v>
      </c>
      <c r="O7972" t="s">
        <v>134</v>
      </c>
      <c r="P7972" t="s">
        <v>29</v>
      </c>
      <c r="Q7972">
        <v>41</v>
      </c>
      <c r="R7972">
        <v>-74.140299999999996</v>
      </c>
    </row>
    <row r="7973" spans="1:18" x14ac:dyDescent="0.2">
      <c r="A7973" t="s">
        <v>2349</v>
      </c>
      <c r="B7973" t="s">
        <v>6310</v>
      </c>
      <c r="C7973">
        <v>1</v>
      </c>
      <c r="D7973" s="1">
        <v>44200.775138888886</v>
      </c>
      <c r="E7973" t="s">
        <v>24912</v>
      </c>
      <c r="F7973" t="s">
        <v>2352</v>
      </c>
      <c r="G7973" t="s">
        <v>24913</v>
      </c>
      <c r="H7973" t="s">
        <v>2353</v>
      </c>
      <c r="I7973" t="s">
        <v>29</v>
      </c>
      <c r="J7973">
        <v>1</v>
      </c>
      <c r="K7973">
        <f>1-800-756-1068</f>
        <v>-2623</v>
      </c>
      <c r="L7973" t="s">
        <v>24914</v>
      </c>
      <c r="M7973" t="s">
        <v>24915</v>
      </c>
      <c r="N7973" t="s">
        <v>3454</v>
      </c>
      <c r="O7973" t="s">
        <v>28</v>
      </c>
      <c r="P7973" t="s">
        <v>29</v>
      </c>
      <c r="Q7973">
        <v>34</v>
      </c>
      <c r="R7973">
        <v>-84.445499999999996</v>
      </c>
    </row>
    <row r="7974" spans="1:18" x14ac:dyDescent="0.2">
      <c r="A7974" t="s">
        <v>663</v>
      </c>
      <c r="B7974" t="s">
        <v>3245</v>
      </c>
      <c r="C7974">
        <v>1</v>
      </c>
      <c r="D7974" s="1">
        <v>44200.78696759259</v>
      </c>
      <c r="E7974" t="s">
        <v>24916</v>
      </c>
      <c r="F7974" t="s">
        <v>666</v>
      </c>
      <c r="G7974" t="s">
        <v>24916</v>
      </c>
      <c r="H7974" t="s">
        <v>667</v>
      </c>
      <c r="I7974" t="s">
        <v>29</v>
      </c>
      <c r="J7974">
        <v>1</v>
      </c>
      <c r="K7974">
        <f>1-888-427-2960</f>
        <v>-4274</v>
      </c>
      <c r="L7974" t="s">
        <v>24917</v>
      </c>
      <c r="M7974" t="s">
        <v>24918</v>
      </c>
      <c r="N7974">
        <v>94</v>
      </c>
      <c r="O7974" t="s">
        <v>134</v>
      </c>
      <c r="P7974" t="s">
        <v>29</v>
      </c>
      <c r="Q7974">
        <v>41</v>
      </c>
      <c r="R7974">
        <v>-74.140299999999996</v>
      </c>
    </row>
    <row r="7975" spans="1:18" x14ac:dyDescent="0.2">
      <c r="A7975" t="s">
        <v>663</v>
      </c>
      <c r="B7975" t="s">
        <v>2493</v>
      </c>
      <c r="C7975">
        <v>1</v>
      </c>
      <c r="D7975" s="1">
        <v>44200.788078703707</v>
      </c>
      <c r="E7975" t="s">
        <v>24919</v>
      </c>
      <c r="F7975" t="s">
        <v>666</v>
      </c>
      <c r="G7975" t="s">
        <v>24920</v>
      </c>
      <c r="H7975" t="s">
        <v>667</v>
      </c>
      <c r="I7975" t="s">
        <v>29</v>
      </c>
      <c r="J7975">
        <v>1</v>
      </c>
      <c r="K7975">
        <f>1-888-605-5293</f>
        <v>-6785</v>
      </c>
      <c r="L7975" t="s">
        <v>24921</v>
      </c>
      <c r="M7975" t="s">
        <v>24922</v>
      </c>
      <c r="N7975" t="s">
        <v>3441</v>
      </c>
      <c r="O7975" t="s">
        <v>134</v>
      </c>
      <c r="P7975" t="s">
        <v>29</v>
      </c>
      <c r="Q7975">
        <v>41</v>
      </c>
      <c r="R7975">
        <v>-74.024699999999996</v>
      </c>
    </row>
    <row r="7976" spans="1:18" x14ac:dyDescent="0.2">
      <c r="A7976" t="s">
        <v>439</v>
      </c>
      <c r="B7976" t="s">
        <v>4321</v>
      </c>
      <c r="C7976">
        <v>1</v>
      </c>
      <c r="D7976" s="1">
        <v>44200.790543981479</v>
      </c>
      <c r="E7976" t="s">
        <v>24923</v>
      </c>
      <c r="F7976" t="s">
        <v>442</v>
      </c>
      <c r="G7976" t="s">
        <v>24924</v>
      </c>
      <c r="H7976" t="s">
        <v>444</v>
      </c>
      <c r="I7976" t="s">
        <v>29</v>
      </c>
      <c r="J7976">
        <v>1</v>
      </c>
      <c r="K7976">
        <f>1-833-220-3903</f>
        <v>-4955</v>
      </c>
      <c r="L7976" t="s">
        <v>24925</v>
      </c>
      <c r="M7976" t="s">
        <v>24926</v>
      </c>
      <c r="N7976" t="s">
        <v>447</v>
      </c>
      <c r="O7976" t="s">
        <v>28</v>
      </c>
      <c r="P7976" t="s">
        <v>29</v>
      </c>
      <c r="Q7976">
        <v>42</v>
      </c>
      <c r="R7976">
        <v>-87.629800000000003</v>
      </c>
    </row>
    <row r="7977" spans="1:18" x14ac:dyDescent="0.2">
      <c r="A7977" t="s">
        <v>439</v>
      </c>
      <c r="B7977" t="s">
        <v>4321</v>
      </c>
      <c r="C7977">
        <v>1</v>
      </c>
      <c r="D7977" s="1">
        <v>44200.801712962966</v>
      </c>
      <c r="E7977" t="s">
        <v>24927</v>
      </c>
      <c r="F7977" t="s">
        <v>442</v>
      </c>
      <c r="G7977" t="s">
        <v>24928</v>
      </c>
      <c r="H7977" t="s">
        <v>444</v>
      </c>
      <c r="I7977" t="s">
        <v>29</v>
      </c>
      <c r="J7977">
        <v>1</v>
      </c>
      <c r="K7977">
        <f>1-833-491-339</f>
        <v>-1662</v>
      </c>
      <c r="L7977" t="s">
        <v>24929</v>
      </c>
      <c r="M7977" t="s">
        <v>24930</v>
      </c>
      <c r="N7977" t="s">
        <v>447</v>
      </c>
      <c r="O7977" t="s">
        <v>28</v>
      </c>
      <c r="P7977" t="s">
        <v>29</v>
      </c>
      <c r="Q7977">
        <v>42</v>
      </c>
      <c r="R7977">
        <v>-87.629800000000003</v>
      </c>
    </row>
    <row r="7978" spans="1:18" x14ac:dyDescent="0.2">
      <c r="A7978" t="s">
        <v>663</v>
      </c>
      <c r="B7978" t="s">
        <v>3245</v>
      </c>
      <c r="C7978">
        <v>1</v>
      </c>
      <c r="D7978" s="1">
        <v>44200.793414351851</v>
      </c>
      <c r="E7978" t="s">
        <v>24931</v>
      </c>
      <c r="F7978" t="s">
        <v>666</v>
      </c>
      <c r="G7978" t="s">
        <v>24931</v>
      </c>
      <c r="H7978" t="s">
        <v>667</v>
      </c>
      <c r="I7978" t="s">
        <v>29</v>
      </c>
      <c r="J7978">
        <v>1</v>
      </c>
      <c r="K7978">
        <f>1-888-434-9680</f>
        <v>-11001</v>
      </c>
      <c r="L7978" t="s">
        <v>24932</v>
      </c>
      <c r="M7978" t="s">
        <v>24933</v>
      </c>
      <c r="N7978">
        <v>101</v>
      </c>
      <c r="O7978" t="s">
        <v>134</v>
      </c>
      <c r="P7978" t="s">
        <v>29</v>
      </c>
      <c r="Q7978">
        <v>41</v>
      </c>
      <c r="R7978">
        <v>-74.140299999999996</v>
      </c>
    </row>
    <row r="7979" spans="1:18" x14ac:dyDescent="0.2">
      <c r="A7979" t="s">
        <v>663</v>
      </c>
      <c r="B7979" t="s">
        <v>3245</v>
      </c>
      <c r="C7979">
        <v>1</v>
      </c>
      <c r="D7979" s="1">
        <v>44200.91982638889</v>
      </c>
      <c r="E7979" t="s">
        <v>24934</v>
      </c>
      <c r="F7979" t="s">
        <v>666</v>
      </c>
      <c r="G7979" t="s">
        <v>24934</v>
      </c>
      <c r="H7979" t="s">
        <v>667</v>
      </c>
      <c r="I7979" t="s">
        <v>29</v>
      </c>
      <c r="J7979">
        <v>1</v>
      </c>
      <c r="K7979">
        <f>1-888-308-2707</f>
        <v>-3902</v>
      </c>
      <c r="L7979" t="s">
        <v>24935</v>
      </c>
      <c r="M7979" t="s">
        <v>24936</v>
      </c>
      <c r="N7979">
        <v>180</v>
      </c>
      <c r="O7979" t="s">
        <v>134</v>
      </c>
      <c r="P7979" t="s">
        <v>29</v>
      </c>
      <c r="Q7979">
        <v>41</v>
      </c>
      <c r="R7979">
        <v>-74.140299999999996</v>
      </c>
    </row>
    <row r="7980" spans="1:18" x14ac:dyDescent="0.2">
      <c r="A7980" t="s">
        <v>663</v>
      </c>
      <c r="B7980" t="s">
        <v>664</v>
      </c>
      <c r="C7980">
        <v>1</v>
      </c>
      <c r="D7980" s="1">
        <v>44200.906238425923</v>
      </c>
      <c r="E7980" t="s">
        <v>24937</v>
      </c>
      <c r="F7980" t="s">
        <v>2495</v>
      </c>
      <c r="G7980" t="s">
        <v>24937</v>
      </c>
      <c r="H7980" t="s">
        <v>667</v>
      </c>
      <c r="I7980" t="s">
        <v>29</v>
      </c>
      <c r="J7980">
        <v>1</v>
      </c>
      <c r="K7980">
        <f>1-844-296-5572</f>
        <v>-6711</v>
      </c>
      <c r="L7980" t="s">
        <v>24938</v>
      </c>
      <c r="M7980" t="s">
        <v>24939</v>
      </c>
      <c r="N7980">
        <v>93</v>
      </c>
      <c r="O7980" t="s">
        <v>134</v>
      </c>
      <c r="P7980" t="s">
        <v>29</v>
      </c>
      <c r="Q7980">
        <v>37</v>
      </c>
      <c r="R7980">
        <v>-99.999999000000003</v>
      </c>
    </row>
    <row r="7981" spans="1:18" x14ac:dyDescent="0.2">
      <c r="A7981" t="s">
        <v>663</v>
      </c>
      <c r="B7981" t="s">
        <v>3245</v>
      </c>
      <c r="C7981">
        <v>1</v>
      </c>
      <c r="D7981" s="1">
        <v>44200.912372685183</v>
      </c>
      <c r="E7981" t="s">
        <v>24940</v>
      </c>
      <c r="F7981" t="s">
        <v>666</v>
      </c>
      <c r="G7981" t="s">
        <v>24940</v>
      </c>
      <c r="H7981" t="s">
        <v>667</v>
      </c>
      <c r="I7981" t="s">
        <v>29</v>
      </c>
      <c r="J7981">
        <v>1</v>
      </c>
      <c r="K7981">
        <f>1-888-375-3455</f>
        <v>-4717</v>
      </c>
      <c r="L7981" t="s">
        <v>24941</v>
      </c>
      <c r="M7981" t="s">
        <v>24942</v>
      </c>
      <c r="N7981">
        <v>236</v>
      </c>
      <c r="O7981" t="s">
        <v>134</v>
      </c>
      <c r="P7981" t="s">
        <v>29</v>
      </c>
      <c r="Q7981">
        <v>41</v>
      </c>
      <c r="R7981">
        <v>-74.140299999999996</v>
      </c>
    </row>
    <row r="7982" spans="1:18" x14ac:dyDescent="0.2">
      <c r="A7982" t="s">
        <v>439</v>
      </c>
      <c r="B7982" t="s">
        <v>4321</v>
      </c>
      <c r="C7982">
        <v>1</v>
      </c>
      <c r="D7982" s="1">
        <v>44200.965949074074</v>
      </c>
      <c r="E7982" t="s">
        <v>24943</v>
      </c>
      <c r="F7982" t="s">
        <v>442</v>
      </c>
      <c r="G7982" t="s">
        <v>24944</v>
      </c>
      <c r="H7982" t="s">
        <v>444</v>
      </c>
      <c r="I7982" t="s">
        <v>29</v>
      </c>
      <c r="J7982">
        <v>1</v>
      </c>
      <c r="K7982">
        <f>1-833-220-2949</f>
        <v>-4001</v>
      </c>
      <c r="L7982" t="s">
        <v>24945</v>
      </c>
      <c r="M7982" t="s">
        <v>24946</v>
      </c>
      <c r="N7982" t="s">
        <v>213</v>
      </c>
      <c r="O7982" t="s">
        <v>28</v>
      </c>
      <c r="P7982" t="s">
        <v>29</v>
      </c>
      <c r="Q7982">
        <v>42</v>
      </c>
      <c r="R7982">
        <v>-87.629800000000003</v>
      </c>
    </row>
    <row r="7983" spans="1:18" x14ac:dyDescent="0.2">
      <c r="A7983" t="s">
        <v>663</v>
      </c>
      <c r="B7983" t="s">
        <v>3245</v>
      </c>
      <c r="C7983">
        <v>1</v>
      </c>
      <c r="D7983" s="1">
        <v>44200.99486111111</v>
      </c>
      <c r="E7983" t="s">
        <v>24947</v>
      </c>
      <c r="F7983" t="s">
        <v>666</v>
      </c>
      <c r="G7983" t="s">
        <v>24947</v>
      </c>
      <c r="H7983" t="s">
        <v>667</v>
      </c>
      <c r="I7983" t="s">
        <v>29</v>
      </c>
      <c r="J7983">
        <v>1</v>
      </c>
      <c r="K7983">
        <f>1-888-341-456</f>
        <v>-1684</v>
      </c>
      <c r="L7983" t="s">
        <v>24948</v>
      </c>
      <c r="M7983" t="s">
        <v>24949</v>
      </c>
      <c r="N7983">
        <v>56</v>
      </c>
      <c r="O7983" t="s">
        <v>134</v>
      </c>
      <c r="P7983" t="s">
        <v>29</v>
      </c>
      <c r="Q7983">
        <v>41</v>
      </c>
      <c r="R7983">
        <v>-74.140299999999996</v>
      </c>
    </row>
    <row r="7984" spans="1:18" x14ac:dyDescent="0.2">
      <c r="A7984" t="s">
        <v>2233</v>
      </c>
      <c r="B7984" t="s">
        <v>2234</v>
      </c>
      <c r="C7984">
        <v>41</v>
      </c>
      <c r="D7984" s="1">
        <v>44201.483657407407</v>
      </c>
      <c r="E7984" t="s">
        <v>24950</v>
      </c>
      <c r="F7984" t="s">
        <v>7023</v>
      </c>
      <c r="G7984" t="s">
        <v>24950</v>
      </c>
      <c r="H7984" t="s">
        <v>2237</v>
      </c>
      <c r="I7984" t="s">
        <v>204</v>
      </c>
      <c r="J7984">
        <v>41</v>
      </c>
      <c r="K7984">
        <f>41-44-586-76-58</f>
        <v>-723</v>
      </c>
      <c r="L7984" t="s">
        <v>24951</v>
      </c>
      <c r="M7984" t="s">
        <v>24952</v>
      </c>
      <c r="N7984">
        <v>35</v>
      </c>
      <c r="O7984" t="s">
        <v>134</v>
      </c>
      <c r="P7984" t="s">
        <v>6188</v>
      </c>
      <c r="Q7984">
        <v>53</v>
      </c>
      <c r="R7984">
        <v>-6.2603099999999996</v>
      </c>
    </row>
    <row r="7985" spans="1:18" x14ac:dyDescent="0.2">
      <c r="A7985" t="s">
        <v>2233</v>
      </c>
      <c r="B7985" t="s">
        <v>2234</v>
      </c>
      <c r="C7985">
        <v>32</v>
      </c>
      <c r="D7985" s="1">
        <v>44201.481215277781</v>
      </c>
      <c r="E7985" t="s">
        <v>24950</v>
      </c>
      <c r="F7985" t="s">
        <v>7023</v>
      </c>
      <c r="G7985" t="s">
        <v>24950</v>
      </c>
      <c r="H7985" t="s">
        <v>2237</v>
      </c>
      <c r="I7985" t="s">
        <v>4288</v>
      </c>
      <c r="J7985">
        <v>32</v>
      </c>
      <c r="K7985">
        <f>32-2-808-5-71</f>
        <v>-854</v>
      </c>
      <c r="L7985" t="s">
        <v>24953</v>
      </c>
      <c r="M7985" t="s">
        <v>24954</v>
      </c>
      <c r="N7985">
        <v>35</v>
      </c>
      <c r="O7985" t="s">
        <v>134</v>
      </c>
      <c r="P7985" t="s">
        <v>6188</v>
      </c>
      <c r="Q7985">
        <v>53</v>
      </c>
      <c r="R7985">
        <v>-6.2603099999999996</v>
      </c>
    </row>
    <row r="7986" spans="1:18" x14ac:dyDescent="0.2">
      <c r="A7986" t="s">
        <v>2233</v>
      </c>
      <c r="B7986" t="s">
        <v>2234</v>
      </c>
      <c r="C7986">
        <v>43</v>
      </c>
      <c r="D7986" s="1">
        <v>44201.47861111111</v>
      </c>
      <c r="E7986" t="s">
        <v>24950</v>
      </c>
      <c r="F7986" t="s">
        <v>7023</v>
      </c>
      <c r="G7986" t="s">
        <v>24950</v>
      </c>
      <c r="H7986" t="s">
        <v>2237</v>
      </c>
      <c r="I7986" t="s">
        <v>3432</v>
      </c>
      <c r="J7986">
        <v>43</v>
      </c>
      <c r="K7986">
        <f>43-670-3091029</f>
        <v>-3091656</v>
      </c>
      <c r="L7986" t="s">
        <v>24955</v>
      </c>
      <c r="M7986" t="s">
        <v>24956</v>
      </c>
      <c r="N7986">
        <v>35</v>
      </c>
      <c r="O7986" t="s">
        <v>134</v>
      </c>
      <c r="P7986" t="s">
        <v>6188</v>
      </c>
      <c r="Q7986">
        <v>53</v>
      </c>
      <c r="R7986">
        <v>-6.2603099999999996</v>
      </c>
    </row>
    <row r="7987" spans="1:18" x14ac:dyDescent="0.2">
      <c r="A7987" t="s">
        <v>2233</v>
      </c>
      <c r="B7987" t="s">
        <v>2234</v>
      </c>
      <c r="C7987">
        <v>47</v>
      </c>
      <c r="D7987" s="1">
        <v>44201.498773148145</v>
      </c>
      <c r="E7987" t="s">
        <v>24957</v>
      </c>
      <c r="F7987" t="s">
        <v>2236</v>
      </c>
      <c r="G7987" t="s">
        <v>24957</v>
      </c>
      <c r="H7987" t="s">
        <v>2237</v>
      </c>
      <c r="I7987" t="s">
        <v>6185</v>
      </c>
      <c r="J7987">
        <v>47</v>
      </c>
      <c r="K7987">
        <f>47-23-96-38-45</f>
        <v>-155</v>
      </c>
      <c r="L7987" t="s">
        <v>24958</v>
      </c>
      <c r="M7987" t="s">
        <v>24959</v>
      </c>
      <c r="N7987">
        <v>103</v>
      </c>
      <c r="O7987" t="s">
        <v>134</v>
      </c>
      <c r="P7987" t="s">
        <v>6188</v>
      </c>
      <c r="Q7987">
        <v>53</v>
      </c>
      <c r="R7987">
        <v>-6.2603099999999996</v>
      </c>
    </row>
    <row r="7988" spans="1:18" x14ac:dyDescent="0.2">
      <c r="A7988" t="s">
        <v>2233</v>
      </c>
      <c r="B7988" t="s">
        <v>2234</v>
      </c>
      <c r="C7988">
        <v>46</v>
      </c>
      <c r="D7988" s="1">
        <v>44201.494212962964</v>
      </c>
      <c r="E7988" t="s">
        <v>24957</v>
      </c>
      <c r="F7988" t="s">
        <v>2236</v>
      </c>
      <c r="G7988" t="s">
        <v>24957</v>
      </c>
      <c r="H7988" t="s">
        <v>2237</v>
      </c>
      <c r="I7988" t="s">
        <v>7680</v>
      </c>
      <c r="J7988">
        <v>46</v>
      </c>
      <c r="K7988">
        <f>46-51-42-912</f>
        <v>-959</v>
      </c>
      <c r="L7988" t="s">
        <v>24960</v>
      </c>
      <c r="M7988" t="s">
        <v>24961</v>
      </c>
      <c r="N7988">
        <v>103</v>
      </c>
      <c r="O7988" t="s">
        <v>134</v>
      </c>
      <c r="P7988" t="s">
        <v>6188</v>
      </c>
      <c r="Q7988">
        <v>53</v>
      </c>
      <c r="R7988">
        <v>-6.2603099999999996</v>
      </c>
    </row>
    <row r="7989" spans="1:18" x14ac:dyDescent="0.2">
      <c r="A7989" t="s">
        <v>2233</v>
      </c>
      <c r="B7989" t="s">
        <v>17027</v>
      </c>
      <c r="C7989">
        <v>1</v>
      </c>
      <c r="D7989" s="1">
        <v>44201.788344907407</v>
      </c>
      <c r="E7989" t="s">
        <v>24962</v>
      </c>
      <c r="F7989" t="s">
        <v>2236</v>
      </c>
      <c r="G7989" t="s">
        <v>24963</v>
      </c>
      <c r="H7989" t="s">
        <v>2237</v>
      </c>
      <c r="I7989" t="s">
        <v>29</v>
      </c>
      <c r="J7989">
        <v>1</v>
      </c>
      <c r="K7989">
        <f>1-833-220-3558</f>
        <v>-4610</v>
      </c>
      <c r="L7989" t="s">
        <v>24964</v>
      </c>
      <c r="M7989" t="s">
        <v>24965</v>
      </c>
      <c r="N7989" t="s">
        <v>5354</v>
      </c>
      <c r="O7989" t="s">
        <v>28</v>
      </c>
      <c r="P7989" t="s">
        <v>5789</v>
      </c>
      <c r="Q7989">
        <v>19</v>
      </c>
      <c r="R7989">
        <v>72.877700000000004</v>
      </c>
    </row>
    <row r="7990" spans="1:18" x14ac:dyDescent="0.2">
      <c r="A7990" t="s">
        <v>663</v>
      </c>
      <c r="B7990" t="s">
        <v>3245</v>
      </c>
      <c r="C7990">
        <v>1</v>
      </c>
      <c r="D7990" s="1">
        <v>44201.731111111112</v>
      </c>
      <c r="E7990" t="s">
        <v>24966</v>
      </c>
      <c r="F7990" t="s">
        <v>666</v>
      </c>
      <c r="G7990" t="s">
        <v>24966</v>
      </c>
      <c r="H7990" t="s">
        <v>667</v>
      </c>
      <c r="I7990" t="s">
        <v>29</v>
      </c>
      <c r="J7990">
        <v>1</v>
      </c>
      <c r="K7990">
        <f>1-888-371-4186</f>
        <v>-5444</v>
      </c>
      <c r="L7990" t="s">
        <v>24967</v>
      </c>
      <c r="M7990" t="s">
        <v>24968</v>
      </c>
      <c r="N7990">
        <v>78</v>
      </c>
      <c r="O7990" t="s">
        <v>134</v>
      </c>
      <c r="P7990" t="s">
        <v>29</v>
      </c>
      <c r="Q7990">
        <v>41</v>
      </c>
      <c r="R7990">
        <v>-74.140299999999996</v>
      </c>
    </row>
    <row r="7991" spans="1:18" x14ac:dyDescent="0.2">
      <c r="A7991" t="s">
        <v>663</v>
      </c>
      <c r="B7991" t="s">
        <v>3245</v>
      </c>
      <c r="C7991">
        <v>1</v>
      </c>
      <c r="D7991" s="1">
        <v>44201.728842592594</v>
      </c>
      <c r="E7991" t="s">
        <v>24966</v>
      </c>
      <c r="F7991" t="s">
        <v>666</v>
      </c>
      <c r="G7991" t="s">
        <v>24966</v>
      </c>
      <c r="H7991" t="s">
        <v>667</v>
      </c>
      <c r="I7991" t="s">
        <v>29</v>
      </c>
      <c r="J7991">
        <v>1</v>
      </c>
      <c r="K7991">
        <f>1-888-385-5198</f>
        <v>-6470</v>
      </c>
      <c r="L7991" t="s">
        <v>24969</v>
      </c>
      <c r="M7991" t="s">
        <v>24970</v>
      </c>
      <c r="N7991">
        <v>78</v>
      </c>
      <c r="O7991" t="s">
        <v>134</v>
      </c>
      <c r="P7991" t="s">
        <v>29</v>
      </c>
      <c r="Q7991">
        <v>41</v>
      </c>
      <c r="R7991">
        <v>-74.140299999999996</v>
      </c>
    </row>
    <row r="7992" spans="1:18" x14ac:dyDescent="0.2">
      <c r="A7992" t="s">
        <v>663</v>
      </c>
      <c r="B7992" t="s">
        <v>3245</v>
      </c>
      <c r="C7992">
        <v>1</v>
      </c>
      <c r="D7992" s="1">
        <v>44201.728402777779</v>
      </c>
      <c r="E7992" t="s">
        <v>24966</v>
      </c>
      <c r="F7992" t="s">
        <v>666</v>
      </c>
      <c r="G7992" t="s">
        <v>24966</v>
      </c>
      <c r="H7992" t="s">
        <v>667</v>
      </c>
      <c r="I7992" t="s">
        <v>29</v>
      </c>
      <c r="J7992">
        <v>1</v>
      </c>
      <c r="K7992">
        <f>1-888-401-989</f>
        <v>-2277</v>
      </c>
      <c r="L7992" t="s">
        <v>24971</v>
      </c>
      <c r="M7992" t="s">
        <v>24972</v>
      </c>
      <c r="N7992">
        <v>78</v>
      </c>
      <c r="O7992" t="s">
        <v>134</v>
      </c>
      <c r="P7992" t="s">
        <v>29</v>
      </c>
      <c r="Q7992">
        <v>41</v>
      </c>
      <c r="R7992">
        <v>-74.140299999999996</v>
      </c>
    </row>
    <row r="7993" spans="1:18" x14ac:dyDescent="0.2">
      <c r="A7993" t="s">
        <v>663</v>
      </c>
      <c r="B7993" t="s">
        <v>3245</v>
      </c>
      <c r="C7993">
        <v>1</v>
      </c>
      <c r="D7993" s="1">
        <v>44201.725358796299</v>
      </c>
      <c r="E7993" t="s">
        <v>24966</v>
      </c>
      <c r="F7993" t="s">
        <v>666</v>
      </c>
      <c r="G7993" t="s">
        <v>24966</v>
      </c>
      <c r="H7993" t="s">
        <v>667</v>
      </c>
      <c r="I7993" t="s">
        <v>29</v>
      </c>
      <c r="J7993">
        <v>1</v>
      </c>
      <c r="K7993">
        <f>1-888-381-1982</f>
        <v>-3250</v>
      </c>
      <c r="L7993" t="s">
        <v>24973</v>
      </c>
      <c r="M7993" t="s">
        <v>24974</v>
      </c>
      <c r="N7993">
        <v>78</v>
      </c>
      <c r="O7993" t="s">
        <v>134</v>
      </c>
      <c r="P7993" t="s">
        <v>29</v>
      </c>
      <c r="Q7993">
        <v>41</v>
      </c>
      <c r="R7993">
        <v>-74.140299999999996</v>
      </c>
    </row>
    <row r="7994" spans="1:18" x14ac:dyDescent="0.2">
      <c r="A7994" t="s">
        <v>663</v>
      </c>
      <c r="B7994" t="s">
        <v>3245</v>
      </c>
      <c r="C7994">
        <v>1</v>
      </c>
      <c r="D7994" s="1">
        <v>44201.724872685183</v>
      </c>
      <c r="E7994" t="s">
        <v>24966</v>
      </c>
      <c r="F7994" t="s">
        <v>666</v>
      </c>
      <c r="G7994" t="s">
        <v>24966</v>
      </c>
      <c r="H7994" t="s">
        <v>667</v>
      </c>
      <c r="I7994" t="s">
        <v>29</v>
      </c>
      <c r="J7994">
        <v>1</v>
      </c>
      <c r="K7994">
        <f>1-888-374-1898</f>
        <v>-3159</v>
      </c>
      <c r="L7994" t="s">
        <v>24975</v>
      </c>
      <c r="M7994" t="s">
        <v>24976</v>
      </c>
      <c r="N7994">
        <v>78</v>
      </c>
      <c r="O7994" t="s">
        <v>134</v>
      </c>
      <c r="P7994" t="s">
        <v>29</v>
      </c>
      <c r="Q7994">
        <v>41</v>
      </c>
      <c r="R7994">
        <v>-74.140299999999996</v>
      </c>
    </row>
    <row r="7995" spans="1:18" x14ac:dyDescent="0.2">
      <c r="A7995" t="s">
        <v>439</v>
      </c>
      <c r="B7995" t="s">
        <v>4321</v>
      </c>
      <c r="C7995">
        <v>1</v>
      </c>
      <c r="D7995" s="1">
        <v>44201.727303240739</v>
      </c>
      <c r="E7995" t="s">
        <v>24977</v>
      </c>
      <c r="F7995" t="s">
        <v>442</v>
      </c>
      <c r="G7995" t="s">
        <v>24978</v>
      </c>
      <c r="H7995" t="s">
        <v>444</v>
      </c>
      <c r="I7995" t="s">
        <v>29</v>
      </c>
      <c r="J7995">
        <v>1</v>
      </c>
      <c r="K7995">
        <f>1-844-310-4770</f>
        <v>-5923</v>
      </c>
      <c r="L7995" t="s">
        <v>24979</v>
      </c>
      <c r="M7995" t="s">
        <v>24980</v>
      </c>
      <c r="N7995" t="s">
        <v>447</v>
      </c>
      <c r="O7995" t="s">
        <v>28</v>
      </c>
      <c r="P7995" t="s">
        <v>29</v>
      </c>
      <c r="Q7995">
        <v>42</v>
      </c>
      <c r="R7995">
        <v>-87.629800000000003</v>
      </c>
    </row>
    <row r="7996" spans="1:18" x14ac:dyDescent="0.2">
      <c r="A7996" t="s">
        <v>663</v>
      </c>
      <c r="B7996" t="s">
        <v>3245</v>
      </c>
      <c r="C7996">
        <v>1</v>
      </c>
      <c r="D7996" s="1">
        <v>44201.73542824074</v>
      </c>
      <c r="E7996" t="s">
        <v>24981</v>
      </c>
      <c r="F7996" t="s">
        <v>666</v>
      </c>
      <c r="G7996" t="s">
        <v>24981</v>
      </c>
      <c r="H7996" t="s">
        <v>667</v>
      </c>
      <c r="I7996" t="s">
        <v>29</v>
      </c>
      <c r="J7996">
        <v>1</v>
      </c>
      <c r="K7996">
        <f>1-888-416-5589</f>
        <v>-6892</v>
      </c>
      <c r="L7996" t="s">
        <v>24982</v>
      </c>
      <c r="M7996" t="s">
        <v>24983</v>
      </c>
      <c r="N7996">
        <v>131</v>
      </c>
      <c r="O7996" t="s">
        <v>134</v>
      </c>
      <c r="P7996" t="s">
        <v>29</v>
      </c>
      <c r="Q7996">
        <v>41</v>
      </c>
      <c r="R7996">
        <v>-74.140299999999996</v>
      </c>
    </row>
    <row r="7997" spans="1:18" x14ac:dyDescent="0.2">
      <c r="A7997" t="s">
        <v>663</v>
      </c>
      <c r="B7997" t="s">
        <v>3245</v>
      </c>
      <c r="C7997">
        <v>1</v>
      </c>
      <c r="D7997" s="1">
        <v>44201.800486111111</v>
      </c>
      <c r="E7997" t="s">
        <v>24984</v>
      </c>
      <c r="F7997" t="s">
        <v>666</v>
      </c>
      <c r="G7997" t="s">
        <v>24984</v>
      </c>
      <c r="H7997" t="s">
        <v>667</v>
      </c>
      <c r="I7997" t="s">
        <v>29</v>
      </c>
      <c r="J7997">
        <v>1</v>
      </c>
      <c r="K7997">
        <f>1-888-437-4138</f>
        <v>-5462</v>
      </c>
      <c r="L7997" t="s">
        <v>24985</v>
      </c>
      <c r="M7997" t="s">
        <v>24986</v>
      </c>
      <c r="N7997">
        <v>104</v>
      </c>
      <c r="O7997" t="s">
        <v>134</v>
      </c>
      <c r="P7997" t="s">
        <v>29</v>
      </c>
      <c r="Q7997">
        <v>41</v>
      </c>
      <c r="R7997">
        <v>-74.140299999999996</v>
      </c>
    </row>
    <row r="7998" spans="1:18" x14ac:dyDescent="0.2">
      <c r="A7998" t="s">
        <v>663</v>
      </c>
      <c r="B7998" t="s">
        <v>3245</v>
      </c>
      <c r="C7998">
        <v>1</v>
      </c>
      <c r="D7998" s="1">
        <v>44201.899826388886</v>
      </c>
      <c r="E7998" t="s">
        <v>24987</v>
      </c>
      <c r="F7998" t="s">
        <v>666</v>
      </c>
      <c r="G7998" t="s">
        <v>24987</v>
      </c>
      <c r="H7998" t="s">
        <v>667</v>
      </c>
      <c r="I7998" t="s">
        <v>29</v>
      </c>
      <c r="J7998">
        <v>1</v>
      </c>
      <c r="K7998">
        <f>1-888-403-7826</f>
        <v>-9116</v>
      </c>
      <c r="L7998" t="s">
        <v>24988</v>
      </c>
      <c r="M7998" t="s">
        <v>24989</v>
      </c>
      <c r="N7998">
        <v>9</v>
      </c>
      <c r="O7998" t="s">
        <v>134</v>
      </c>
      <c r="P7998" t="s">
        <v>29</v>
      </c>
      <c r="Q7998">
        <v>41</v>
      </c>
      <c r="R7998">
        <v>-74.140299999999996</v>
      </c>
    </row>
    <row r="7999" spans="1:18" x14ac:dyDescent="0.2">
      <c r="A7999" t="s">
        <v>663</v>
      </c>
      <c r="B7999" t="s">
        <v>3245</v>
      </c>
      <c r="C7999">
        <v>1</v>
      </c>
      <c r="D7999" s="1">
        <v>44201.896516203706</v>
      </c>
      <c r="E7999" t="s">
        <v>24987</v>
      </c>
      <c r="F7999" t="s">
        <v>666</v>
      </c>
      <c r="G7999" t="s">
        <v>24987</v>
      </c>
      <c r="H7999" t="s">
        <v>667</v>
      </c>
      <c r="I7999" t="s">
        <v>29</v>
      </c>
      <c r="J7999">
        <v>1</v>
      </c>
      <c r="K7999">
        <f>1-888-513-9839</f>
        <v>-11239</v>
      </c>
      <c r="L7999" t="s">
        <v>24990</v>
      </c>
      <c r="M7999" t="s">
        <v>24991</v>
      </c>
      <c r="N7999">
        <v>9</v>
      </c>
      <c r="O7999" t="s">
        <v>134</v>
      </c>
      <c r="P7999" t="s">
        <v>29</v>
      </c>
      <c r="Q7999">
        <v>41</v>
      </c>
      <c r="R7999">
        <v>-74.140299999999996</v>
      </c>
    </row>
    <row r="8000" spans="1:18" x14ac:dyDescent="0.2">
      <c r="A8000" t="s">
        <v>663</v>
      </c>
      <c r="B8000" t="s">
        <v>3245</v>
      </c>
      <c r="C8000">
        <v>1</v>
      </c>
      <c r="D8000" s="1">
        <v>44201.893078703702</v>
      </c>
      <c r="E8000" t="s">
        <v>24987</v>
      </c>
      <c r="F8000" t="s">
        <v>666</v>
      </c>
      <c r="G8000" t="s">
        <v>24987</v>
      </c>
      <c r="H8000" t="s">
        <v>667</v>
      </c>
      <c r="I8000" t="s">
        <v>29</v>
      </c>
      <c r="J8000">
        <v>1</v>
      </c>
      <c r="K8000">
        <f>1-888-521-213</f>
        <v>-1621</v>
      </c>
      <c r="L8000" t="s">
        <v>24992</v>
      </c>
      <c r="M8000" t="s">
        <v>24993</v>
      </c>
      <c r="N8000">
        <v>9</v>
      </c>
      <c r="O8000" t="s">
        <v>134</v>
      </c>
      <c r="P8000" t="s">
        <v>29</v>
      </c>
      <c r="Q8000">
        <v>41</v>
      </c>
      <c r="R8000">
        <v>-74.140299999999996</v>
      </c>
    </row>
    <row r="8001" spans="1:18" x14ac:dyDescent="0.2">
      <c r="A8001" t="s">
        <v>663</v>
      </c>
      <c r="B8001" t="s">
        <v>3245</v>
      </c>
      <c r="C8001">
        <v>1</v>
      </c>
      <c r="D8001" s="1">
        <v>44201.886099537034</v>
      </c>
      <c r="E8001" t="s">
        <v>24994</v>
      </c>
      <c r="F8001" t="s">
        <v>666</v>
      </c>
      <c r="G8001" t="s">
        <v>24994</v>
      </c>
      <c r="H8001" t="s">
        <v>667</v>
      </c>
      <c r="I8001" t="s">
        <v>29</v>
      </c>
      <c r="J8001">
        <v>1</v>
      </c>
      <c r="K8001">
        <f>1-888-518-2565</f>
        <v>-3970</v>
      </c>
      <c r="L8001" t="s">
        <v>24995</v>
      </c>
      <c r="M8001" t="s">
        <v>24996</v>
      </c>
      <c r="N8001">
        <v>237</v>
      </c>
      <c r="O8001" t="s">
        <v>134</v>
      </c>
      <c r="P8001" t="s">
        <v>29</v>
      </c>
      <c r="Q8001">
        <v>41</v>
      </c>
      <c r="R8001">
        <v>-74.140299999999996</v>
      </c>
    </row>
    <row r="8002" spans="1:18" x14ac:dyDescent="0.2">
      <c r="A8002" t="s">
        <v>663</v>
      </c>
      <c r="B8002" t="s">
        <v>3245</v>
      </c>
      <c r="C8002">
        <v>1</v>
      </c>
      <c r="D8002" s="1">
        <v>44201.883194444446</v>
      </c>
      <c r="E8002" t="s">
        <v>24994</v>
      </c>
      <c r="F8002" t="s">
        <v>666</v>
      </c>
      <c r="G8002" t="s">
        <v>24994</v>
      </c>
      <c r="H8002" t="s">
        <v>667</v>
      </c>
      <c r="I8002" t="s">
        <v>29</v>
      </c>
      <c r="J8002">
        <v>1</v>
      </c>
      <c r="K8002">
        <f>1-888-506-1892</f>
        <v>-3285</v>
      </c>
      <c r="L8002" t="s">
        <v>24997</v>
      </c>
      <c r="M8002" t="s">
        <v>24998</v>
      </c>
      <c r="N8002">
        <v>237</v>
      </c>
      <c r="O8002" t="s">
        <v>134</v>
      </c>
      <c r="P8002" t="s">
        <v>29</v>
      </c>
      <c r="Q8002">
        <v>41</v>
      </c>
      <c r="R8002">
        <v>-74.140299999999996</v>
      </c>
    </row>
    <row r="8003" spans="1:18" x14ac:dyDescent="0.2">
      <c r="A8003" t="s">
        <v>663</v>
      </c>
      <c r="B8003" t="s">
        <v>3245</v>
      </c>
      <c r="C8003">
        <v>1</v>
      </c>
      <c r="D8003" s="1">
        <v>44201.850555555553</v>
      </c>
      <c r="E8003" t="s">
        <v>24999</v>
      </c>
      <c r="F8003" t="s">
        <v>666</v>
      </c>
      <c r="G8003" t="s">
        <v>24999</v>
      </c>
      <c r="H8003" t="s">
        <v>667</v>
      </c>
      <c r="I8003" t="s">
        <v>29</v>
      </c>
      <c r="J8003">
        <v>1</v>
      </c>
      <c r="K8003">
        <f>1-888-481-1802</f>
        <v>-3170</v>
      </c>
      <c r="L8003" t="s">
        <v>25000</v>
      </c>
      <c r="M8003" t="s">
        <v>25001</v>
      </c>
      <c r="N8003">
        <v>37</v>
      </c>
      <c r="O8003" t="s">
        <v>134</v>
      </c>
      <c r="P8003" t="s">
        <v>29</v>
      </c>
      <c r="Q8003">
        <v>41</v>
      </c>
      <c r="R8003">
        <v>-74.140299999999996</v>
      </c>
    </row>
    <row r="8004" spans="1:18" x14ac:dyDescent="0.2">
      <c r="A8004" t="s">
        <v>663</v>
      </c>
      <c r="B8004" t="s">
        <v>3245</v>
      </c>
      <c r="C8004">
        <v>1</v>
      </c>
      <c r="D8004" s="1">
        <v>44201.821886574071</v>
      </c>
      <c r="E8004" t="s">
        <v>25002</v>
      </c>
      <c r="F8004" t="s">
        <v>666</v>
      </c>
      <c r="G8004" t="s">
        <v>25002</v>
      </c>
      <c r="H8004" t="s">
        <v>667</v>
      </c>
      <c r="I8004" t="s">
        <v>29</v>
      </c>
      <c r="J8004">
        <v>1</v>
      </c>
      <c r="K8004">
        <f>1-888-446-5075</f>
        <v>-6408</v>
      </c>
      <c r="L8004" t="s">
        <v>25003</v>
      </c>
      <c r="M8004" t="s">
        <v>25004</v>
      </c>
      <c r="N8004">
        <v>31</v>
      </c>
      <c r="O8004" t="s">
        <v>134</v>
      </c>
      <c r="P8004" t="s">
        <v>29</v>
      </c>
      <c r="Q8004">
        <v>41</v>
      </c>
      <c r="R8004">
        <v>-74.140299999999996</v>
      </c>
    </row>
    <row r="8005" spans="1:18" x14ac:dyDescent="0.2">
      <c r="A8005" t="s">
        <v>2233</v>
      </c>
      <c r="B8005" t="s">
        <v>4672</v>
      </c>
      <c r="C8005">
        <v>1</v>
      </c>
      <c r="D8005" s="1">
        <v>44201.844884259262</v>
      </c>
      <c r="E8005" t="s">
        <v>25005</v>
      </c>
      <c r="F8005" t="s">
        <v>2236</v>
      </c>
      <c r="G8005" t="s">
        <v>25006</v>
      </c>
      <c r="H8005" t="s">
        <v>2237</v>
      </c>
      <c r="I8005" t="s">
        <v>29</v>
      </c>
      <c r="J8005">
        <v>1</v>
      </c>
      <c r="K8005">
        <f>1-844-477-6474</f>
        <v>-7794</v>
      </c>
      <c r="L8005" t="s">
        <v>25007</v>
      </c>
      <c r="M8005" t="s">
        <v>25008</v>
      </c>
      <c r="N8005" t="s">
        <v>22454</v>
      </c>
      <c r="O8005" t="s">
        <v>134</v>
      </c>
      <c r="P8005" t="s">
        <v>782</v>
      </c>
      <c r="Q8005">
        <v>-34</v>
      </c>
      <c r="R8005">
        <v>99.999999000000003</v>
      </c>
    </row>
    <row r="8006" spans="1:18" x14ac:dyDescent="0.2">
      <c r="A8006" t="s">
        <v>439</v>
      </c>
      <c r="B8006" t="s">
        <v>4321</v>
      </c>
      <c r="C8006">
        <v>1</v>
      </c>
      <c r="D8006" s="1">
        <v>44201.915011574078</v>
      </c>
      <c r="E8006" t="s">
        <v>25009</v>
      </c>
      <c r="F8006" t="s">
        <v>442</v>
      </c>
      <c r="G8006" t="s">
        <v>25010</v>
      </c>
      <c r="H8006" t="s">
        <v>444</v>
      </c>
      <c r="I8006" t="s">
        <v>29</v>
      </c>
      <c r="J8006">
        <v>1</v>
      </c>
      <c r="K8006">
        <f>1-844-304-4115</f>
        <v>-5262</v>
      </c>
      <c r="L8006" t="s">
        <v>25011</v>
      </c>
      <c r="M8006" t="s">
        <v>25012</v>
      </c>
      <c r="N8006" t="s">
        <v>36</v>
      </c>
      <c r="O8006" t="s">
        <v>28</v>
      </c>
      <c r="P8006" t="s">
        <v>29</v>
      </c>
      <c r="Q8006">
        <v>42</v>
      </c>
      <c r="R8006">
        <v>-87.629800000000003</v>
      </c>
    </row>
    <row r="8007" spans="1:18" x14ac:dyDescent="0.2">
      <c r="A8007" t="s">
        <v>663</v>
      </c>
      <c r="B8007" t="s">
        <v>3245</v>
      </c>
      <c r="C8007">
        <v>1</v>
      </c>
      <c r="D8007" s="1">
        <v>44201.929745370369</v>
      </c>
      <c r="E8007" t="s">
        <v>25013</v>
      </c>
      <c r="F8007" t="s">
        <v>666</v>
      </c>
      <c r="G8007" t="s">
        <v>25013</v>
      </c>
      <c r="H8007" t="s">
        <v>667</v>
      </c>
      <c r="I8007" t="s">
        <v>29</v>
      </c>
      <c r="J8007">
        <v>1</v>
      </c>
      <c r="K8007">
        <f>1-888-403-1767</f>
        <v>-3057</v>
      </c>
      <c r="L8007" t="s">
        <v>25014</v>
      </c>
      <c r="M8007" t="s">
        <v>25015</v>
      </c>
      <c r="N8007">
        <v>188</v>
      </c>
      <c r="O8007" t="s">
        <v>134</v>
      </c>
      <c r="P8007" t="s">
        <v>29</v>
      </c>
      <c r="Q8007">
        <v>41</v>
      </c>
      <c r="R8007">
        <v>-74.140299999999996</v>
      </c>
    </row>
    <row r="8008" spans="1:18" x14ac:dyDescent="0.2">
      <c r="A8008" t="s">
        <v>663</v>
      </c>
      <c r="B8008" t="s">
        <v>3245</v>
      </c>
      <c r="C8008">
        <v>1</v>
      </c>
      <c r="D8008" s="1">
        <v>44201.922268518516</v>
      </c>
      <c r="E8008" t="s">
        <v>25013</v>
      </c>
      <c r="F8008" t="s">
        <v>666</v>
      </c>
      <c r="G8008" t="s">
        <v>25013</v>
      </c>
      <c r="H8008" t="s">
        <v>667</v>
      </c>
      <c r="I8008" t="s">
        <v>29</v>
      </c>
      <c r="J8008">
        <v>1</v>
      </c>
      <c r="K8008">
        <f>1-888-404-9313</f>
        <v>-10604</v>
      </c>
      <c r="L8008" t="s">
        <v>25016</v>
      </c>
      <c r="M8008" t="s">
        <v>25017</v>
      </c>
      <c r="N8008">
        <v>188</v>
      </c>
      <c r="O8008" t="s">
        <v>134</v>
      </c>
      <c r="P8008" t="s">
        <v>29</v>
      </c>
      <c r="Q8008">
        <v>41</v>
      </c>
      <c r="R8008">
        <v>-74.140299999999996</v>
      </c>
    </row>
    <row r="8009" spans="1:18" x14ac:dyDescent="0.2">
      <c r="A8009" t="s">
        <v>663</v>
      </c>
      <c r="B8009" t="s">
        <v>3245</v>
      </c>
      <c r="C8009">
        <v>1</v>
      </c>
      <c r="D8009" s="1">
        <v>44201.922037037039</v>
      </c>
      <c r="E8009" t="s">
        <v>25013</v>
      </c>
      <c r="F8009" t="s">
        <v>666</v>
      </c>
      <c r="G8009" t="s">
        <v>25013</v>
      </c>
      <c r="H8009" t="s">
        <v>667</v>
      </c>
      <c r="I8009" t="s">
        <v>29</v>
      </c>
      <c r="J8009">
        <v>1</v>
      </c>
      <c r="K8009">
        <f>1-888-414-8016</f>
        <v>-9317</v>
      </c>
      <c r="L8009" t="s">
        <v>25018</v>
      </c>
      <c r="M8009" t="s">
        <v>25019</v>
      </c>
      <c r="N8009">
        <v>188</v>
      </c>
      <c r="O8009" t="s">
        <v>134</v>
      </c>
      <c r="P8009" t="s">
        <v>29</v>
      </c>
      <c r="Q8009">
        <v>41</v>
      </c>
      <c r="R8009">
        <v>-74.140299999999996</v>
      </c>
    </row>
    <row r="8010" spans="1:18" x14ac:dyDescent="0.2">
      <c r="A8010" t="s">
        <v>6586</v>
      </c>
      <c r="B8010" t="s">
        <v>20854</v>
      </c>
      <c r="C8010">
        <v>1</v>
      </c>
      <c r="D8010" s="1">
        <v>44201.939976851849</v>
      </c>
      <c r="E8010" t="s">
        <v>25020</v>
      </c>
      <c r="F8010" t="s">
        <v>6588</v>
      </c>
      <c r="G8010" t="s">
        <v>25021</v>
      </c>
      <c r="H8010" t="s">
        <v>6590</v>
      </c>
      <c r="I8010" t="s">
        <v>29</v>
      </c>
      <c r="J8010">
        <v>1</v>
      </c>
      <c r="K8010">
        <f>1-844-467-9446</f>
        <v>-10756</v>
      </c>
      <c r="L8010" t="s">
        <v>25022</v>
      </c>
      <c r="M8010" t="s">
        <v>25023</v>
      </c>
      <c r="N8010" t="s">
        <v>674</v>
      </c>
      <c r="O8010" t="s">
        <v>28</v>
      </c>
      <c r="P8010" t="s">
        <v>29</v>
      </c>
      <c r="Q8010">
        <v>38</v>
      </c>
      <c r="R8010">
        <v>-99.999999000000003</v>
      </c>
    </row>
    <row r="8011" spans="1:18" x14ac:dyDescent="0.2">
      <c r="A8011" t="s">
        <v>6586</v>
      </c>
      <c r="B8011" t="s">
        <v>20854</v>
      </c>
      <c r="C8011">
        <v>1</v>
      </c>
      <c r="D8011" s="1">
        <v>44201.93240740741</v>
      </c>
      <c r="E8011" t="s">
        <v>25024</v>
      </c>
      <c r="F8011" t="s">
        <v>6588</v>
      </c>
      <c r="G8011" t="s">
        <v>25021</v>
      </c>
      <c r="H8011" t="s">
        <v>6590</v>
      </c>
      <c r="I8011" t="s">
        <v>29</v>
      </c>
      <c r="J8011">
        <v>1</v>
      </c>
      <c r="K8011">
        <f>1-833-220-3923</f>
        <v>-4975</v>
      </c>
      <c r="L8011" t="s">
        <v>25025</v>
      </c>
      <c r="M8011" t="s">
        <v>25026</v>
      </c>
      <c r="N8011" t="s">
        <v>674</v>
      </c>
      <c r="O8011" t="s">
        <v>28</v>
      </c>
      <c r="P8011" t="s">
        <v>29</v>
      </c>
      <c r="Q8011">
        <v>38</v>
      </c>
      <c r="R8011">
        <v>-99.999999000000003</v>
      </c>
    </row>
    <row r="8012" spans="1:18" x14ac:dyDescent="0.2">
      <c r="A8012" t="s">
        <v>6586</v>
      </c>
      <c r="B8012" t="s">
        <v>20854</v>
      </c>
      <c r="C8012">
        <v>1</v>
      </c>
      <c r="D8012" s="1">
        <v>44201.924722222226</v>
      </c>
      <c r="E8012" t="s">
        <v>25027</v>
      </c>
      <c r="F8012" t="s">
        <v>6588</v>
      </c>
      <c r="G8012" t="s">
        <v>25021</v>
      </c>
      <c r="H8012" t="s">
        <v>6590</v>
      </c>
      <c r="I8012" t="s">
        <v>29</v>
      </c>
      <c r="J8012">
        <v>1</v>
      </c>
      <c r="K8012">
        <f>1-844-292-9816</f>
        <v>-10951</v>
      </c>
      <c r="L8012" t="s">
        <v>25028</v>
      </c>
      <c r="M8012" t="s">
        <v>25029</v>
      </c>
      <c r="N8012" t="s">
        <v>674</v>
      </c>
      <c r="O8012" t="s">
        <v>28</v>
      </c>
      <c r="P8012" t="s">
        <v>29</v>
      </c>
      <c r="Q8012">
        <v>38</v>
      </c>
      <c r="R8012">
        <v>-99.999999000000003</v>
      </c>
    </row>
    <row r="8013" spans="1:18" x14ac:dyDescent="0.2">
      <c r="A8013" t="s">
        <v>6586</v>
      </c>
      <c r="B8013" t="s">
        <v>20854</v>
      </c>
      <c r="C8013">
        <v>1</v>
      </c>
      <c r="D8013" s="1">
        <v>44201.923078703701</v>
      </c>
      <c r="E8013" t="s">
        <v>25027</v>
      </c>
      <c r="F8013" t="s">
        <v>6588</v>
      </c>
      <c r="G8013" t="s">
        <v>25021</v>
      </c>
      <c r="H8013" t="s">
        <v>6590</v>
      </c>
      <c r="I8013" t="s">
        <v>29</v>
      </c>
      <c r="J8013">
        <v>1</v>
      </c>
      <c r="K8013">
        <f>1-844-309-2132</f>
        <v>-3284</v>
      </c>
      <c r="L8013" t="s">
        <v>25030</v>
      </c>
      <c r="M8013" t="s">
        <v>25031</v>
      </c>
      <c r="N8013" t="s">
        <v>674</v>
      </c>
      <c r="O8013" t="s">
        <v>28</v>
      </c>
      <c r="P8013" t="s">
        <v>29</v>
      </c>
      <c r="Q8013">
        <v>38</v>
      </c>
      <c r="R8013">
        <v>-99.999999000000003</v>
      </c>
    </row>
    <row r="8014" spans="1:18" x14ac:dyDescent="0.2">
      <c r="A8014" t="s">
        <v>439</v>
      </c>
      <c r="B8014" t="s">
        <v>4321</v>
      </c>
      <c r="C8014">
        <v>1</v>
      </c>
      <c r="D8014" s="1">
        <v>44201.926620370374</v>
      </c>
      <c r="E8014" t="s">
        <v>25032</v>
      </c>
      <c r="F8014" t="s">
        <v>442</v>
      </c>
      <c r="G8014" t="s">
        <v>25033</v>
      </c>
      <c r="H8014" t="s">
        <v>444</v>
      </c>
      <c r="I8014" t="s">
        <v>29</v>
      </c>
      <c r="J8014">
        <v>1</v>
      </c>
      <c r="K8014">
        <f>1-844-470-7582</f>
        <v>-8895</v>
      </c>
      <c r="L8014" t="s">
        <v>25034</v>
      </c>
      <c r="M8014" t="s">
        <v>25035</v>
      </c>
      <c r="N8014" t="s">
        <v>447</v>
      </c>
      <c r="O8014" t="s">
        <v>28</v>
      </c>
      <c r="P8014" t="s">
        <v>29</v>
      </c>
      <c r="Q8014">
        <v>42</v>
      </c>
      <c r="R8014">
        <v>-87.629800000000003</v>
      </c>
    </row>
    <row r="8015" spans="1:18" x14ac:dyDescent="0.2">
      <c r="A8015" t="s">
        <v>663</v>
      </c>
      <c r="B8015" t="s">
        <v>3245</v>
      </c>
      <c r="C8015">
        <v>1</v>
      </c>
      <c r="D8015" s="1">
        <v>44201.936840277776</v>
      </c>
      <c r="E8015" t="s">
        <v>25036</v>
      </c>
      <c r="F8015" t="s">
        <v>666</v>
      </c>
      <c r="G8015" t="s">
        <v>25036</v>
      </c>
      <c r="H8015" t="s">
        <v>667</v>
      </c>
      <c r="I8015" t="s">
        <v>29</v>
      </c>
      <c r="J8015">
        <v>1</v>
      </c>
      <c r="K8015">
        <f>1-888-443-7013</f>
        <v>-8343</v>
      </c>
      <c r="L8015" t="s">
        <v>25037</v>
      </c>
      <c r="M8015" t="s">
        <v>25038</v>
      </c>
      <c r="N8015">
        <v>18</v>
      </c>
      <c r="O8015" t="s">
        <v>134</v>
      </c>
      <c r="P8015" t="s">
        <v>29</v>
      </c>
      <c r="Q8015">
        <v>41</v>
      </c>
      <c r="R8015">
        <v>-74.140299999999996</v>
      </c>
    </row>
    <row r="8016" spans="1:18" x14ac:dyDescent="0.2">
      <c r="A8016" t="s">
        <v>663</v>
      </c>
      <c r="B8016" t="s">
        <v>3245</v>
      </c>
      <c r="C8016">
        <v>1</v>
      </c>
      <c r="D8016" s="1">
        <v>44201.929571759261</v>
      </c>
      <c r="E8016" t="s">
        <v>25036</v>
      </c>
      <c r="F8016" t="s">
        <v>666</v>
      </c>
      <c r="G8016" t="s">
        <v>25036</v>
      </c>
      <c r="H8016" t="s">
        <v>667</v>
      </c>
      <c r="I8016" t="s">
        <v>29</v>
      </c>
      <c r="J8016">
        <v>1</v>
      </c>
      <c r="K8016">
        <f>1-888-414-8016</f>
        <v>-9317</v>
      </c>
      <c r="L8016" t="s">
        <v>25039</v>
      </c>
      <c r="M8016" t="s">
        <v>25040</v>
      </c>
      <c r="N8016">
        <v>18</v>
      </c>
      <c r="O8016" t="s">
        <v>134</v>
      </c>
      <c r="P8016" t="s">
        <v>29</v>
      </c>
      <c r="Q8016">
        <v>41</v>
      </c>
      <c r="R8016">
        <v>-74.140299999999996</v>
      </c>
    </row>
    <row r="8017" spans="1:18" x14ac:dyDescent="0.2">
      <c r="A8017" t="s">
        <v>663</v>
      </c>
      <c r="B8017" t="s">
        <v>3245</v>
      </c>
      <c r="C8017">
        <v>1</v>
      </c>
      <c r="D8017" s="1">
        <v>44201.929490740738</v>
      </c>
      <c r="E8017" t="s">
        <v>25036</v>
      </c>
      <c r="F8017" t="s">
        <v>666</v>
      </c>
      <c r="G8017" t="s">
        <v>25036</v>
      </c>
      <c r="H8017" t="s">
        <v>667</v>
      </c>
      <c r="I8017" t="s">
        <v>29</v>
      </c>
      <c r="J8017">
        <v>1</v>
      </c>
      <c r="K8017">
        <f>1-888-404-9313</f>
        <v>-10604</v>
      </c>
      <c r="L8017" t="s">
        <v>25041</v>
      </c>
      <c r="M8017" t="s">
        <v>25042</v>
      </c>
      <c r="N8017">
        <v>18</v>
      </c>
      <c r="O8017" t="s">
        <v>134</v>
      </c>
      <c r="P8017" t="s">
        <v>29</v>
      </c>
      <c r="Q8017">
        <v>41</v>
      </c>
      <c r="R8017">
        <v>-74.140299999999996</v>
      </c>
    </row>
    <row r="8018" spans="1:18" x14ac:dyDescent="0.2">
      <c r="A8018" t="s">
        <v>663</v>
      </c>
      <c r="B8018" t="s">
        <v>3245</v>
      </c>
      <c r="C8018">
        <v>1</v>
      </c>
      <c r="D8018" s="1">
        <v>44201.928020833337</v>
      </c>
      <c r="E8018" t="s">
        <v>25036</v>
      </c>
      <c r="F8018" t="s">
        <v>666</v>
      </c>
      <c r="G8018" t="s">
        <v>25036</v>
      </c>
      <c r="H8018" t="s">
        <v>667</v>
      </c>
      <c r="I8018" t="s">
        <v>29</v>
      </c>
      <c r="J8018">
        <v>1</v>
      </c>
      <c r="K8018">
        <f>1-888-392-5925</f>
        <v>-7204</v>
      </c>
      <c r="L8018" t="s">
        <v>25043</v>
      </c>
      <c r="M8018" t="s">
        <v>25044</v>
      </c>
      <c r="N8018">
        <v>18</v>
      </c>
      <c r="O8018" t="s">
        <v>134</v>
      </c>
      <c r="P8018" t="s">
        <v>29</v>
      </c>
      <c r="Q8018">
        <v>41</v>
      </c>
      <c r="R8018">
        <v>-74.140299999999996</v>
      </c>
    </row>
    <row r="8019" spans="1:18" x14ac:dyDescent="0.2">
      <c r="A8019" t="s">
        <v>663</v>
      </c>
      <c r="B8019" t="s">
        <v>3245</v>
      </c>
      <c r="C8019">
        <v>1</v>
      </c>
      <c r="D8019" s="1">
        <v>44201.969386574077</v>
      </c>
      <c r="E8019" t="s">
        <v>25045</v>
      </c>
      <c r="F8019" t="s">
        <v>666</v>
      </c>
      <c r="G8019" t="s">
        <v>25045</v>
      </c>
      <c r="H8019" t="s">
        <v>667</v>
      </c>
      <c r="I8019" t="s">
        <v>29</v>
      </c>
      <c r="J8019">
        <v>1</v>
      </c>
      <c r="K8019">
        <f>1-888-516-4258</f>
        <v>-5661</v>
      </c>
      <c r="L8019" t="s">
        <v>25046</v>
      </c>
      <c r="M8019" t="s">
        <v>25047</v>
      </c>
      <c r="N8019">
        <v>13</v>
      </c>
      <c r="O8019" t="s">
        <v>134</v>
      </c>
      <c r="P8019" t="s">
        <v>29</v>
      </c>
      <c r="Q8019">
        <v>41</v>
      </c>
      <c r="R8019">
        <v>-74.140299999999996</v>
      </c>
    </row>
    <row r="8020" spans="1:18" x14ac:dyDescent="0.2">
      <c r="A8020" t="s">
        <v>663</v>
      </c>
      <c r="B8020" t="s">
        <v>3245</v>
      </c>
      <c r="C8020">
        <v>1</v>
      </c>
      <c r="D8020" s="1">
        <v>44201.969224537039</v>
      </c>
      <c r="E8020" t="s">
        <v>25045</v>
      </c>
      <c r="F8020" t="s">
        <v>666</v>
      </c>
      <c r="G8020" t="s">
        <v>25045</v>
      </c>
      <c r="H8020" t="s">
        <v>667</v>
      </c>
      <c r="I8020" t="s">
        <v>29</v>
      </c>
      <c r="J8020">
        <v>1</v>
      </c>
      <c r="K8020">
        <f>1-888-502-8302</f>
        <v>-9691</v>
      </c>
      <c r="L8020" t="s">
        <v>25048</v>
      </c>
      <c r="M8020" t="s">
        <v>25049</v>
      </c>
      <c r="N8020">
        <v>13</v>
      </c>
      <c r="O8020" t="s">
        <v>134</v>
      </c>
      <c r="P8020" t="s">
        <v>29</v>
      </c>
      <c r="Q8020">
        <v>41</v>
      </c>
      <c r="R8020">
        <v>-74.140299999999996</v>
      </c>
    </row>
    <row r="8021" spans="1:18" x14ac:dyDescent="0.2">
      <c r="A8021" t="s">
        <v>663</v>
      </c>
      <c r="B8021" t="s">
        <v>3245</v>
      </c>
      <c r="C8021">
        <v>1</v>
      </c>
      <c r="D8021" s="1">
        <v>44201.971238425926</v>
      </c>
      <c r="E8021" t="s">
        <v>25050</v>
      </c>
      <c r="F8021" t="s">
        <v>666</v>
      </c>
      <c r="G8021" t="s">
        <v>25050</v>
      </c>
      <c r="H8021" t="s">
        <v>667</v>
      </c>
      <c r="I8021" t="s">
        <v>29</v>
      </c>
      <c r="J8021">
        <v>1</v>
      </c>
      <c r="K8021">
        <f>1-888-523-669</f>
        <v>-2079</v>
      </c>
      <c r="L8021" t="s">
        <v>25051</v>
      </c>
      <c r="M8021" t="s">
        <v>25052</v>
      </c>
      <c r="N8021">
        <v>16</v>
      </c>
      <c r="O8021" t="s">
        <v>134</v>
      </c>
      <c r="P8021" t="s">
        <v>29</v>
      </c>
      <c r="Q8021">
        <v>41</v>
      </c>
      <c r="R8021">
        <v>-74.140299999999996</v>
      </c>
    </row>
    <row r="8022" spans="1:18" x14ac:dyDescent="0.2">
      <c r="A8022" t="s">
        <v>663</v>
      </c>
      <c r="B8022" t="s">
        <v>3245</v>
      </c>
      <c r="C8022">
        <v>61</v>
      </c>
      <c r="D8022" s="1">
        <v>44202.066469907404</v>
      </c>
      <c r="E8022" t="s">
        <v>25053</v>
      </c>
      <c r="F8022" t="s">
        <v>666</v>
      </c>
      <c r="G8022" t="s">
        <v>25053</v>
      </c>
      <c r="H8022" t="s">
        <v>667</v>
      </c>
      <c r="I8022" t="s">
        <v>782</v>
      </c>
      <c r="J8022">
        <v>61</v>
      </c>
      <c r="K8022">
        <f>61-1800-950-477</f>
        <v>-3166</v>
      </c>
      <c r="L8022" t="s">
        <v>25054</v>
      </c>
      <c r="M8022" t="s">
        <v>25055</v>
      </c>
      <c r="N8022">
        <v>143</v>
      </c>
      <c r="O8022" t="s">
        <v>134</v>
      </c>
      <c r="P8022" t="s">
        <v>29</v>
      </c>
      <c r="Q8022">
        <v>41</v>
      </c>
      <c r="R8022">
        <v>-74.140299999999996</v>
      </c>
    </row>
    <row r="8023" spans="1:18" x14ac:dyDescent="0.2">
      <c r="A8023" t="s">
        <v>663</v>
      </c>
      <c r="B8023" t="s">
        <v>3245</v>
      </c>
      <c r="C8023">
        <v>1</v>
      </c>
      <c r="D8023" s="1">
        <v>44202.815370370372</v>
      </c>
      <c r="E8023" t="s">
        <v>25056</v>
      </c>
      <c r="F8023" t="s">
        <v>666</v>
      </c>
      <c r="G8023" t="s">
        <v>25056</v>
      </c>
      <c r="H8023" t="s">
        <v>667</v>
      </c>
      <c r="I8023" t="s">
        <v>29</v>
      </c>
      <c r="J8023">
        <v>1</v>
      </c>
      <c r="K8023">
        <f>1-888-373-980</f>
        <v>-2240</v>
      </c>
      <c r="L8023" t="s">
        <v>25057</v>
      </c>
      <c r="M8023" t="s">
        <v>25058</v>
      </c>
      <c r="N8023">
        <v>114</v>
      </c>
      <c r="O8023" t="s">
        <v>134</v>
      </c>
      <c r="P8023" t="s">
        <v>29</v>
      </c>
      <c r="Q8023">
        <v>41</v>
      </c>
      <c r="R8023">
        <v>-74.140299999999996</v>
      </c>
    </row>
    <row r="8024" spans="1:18" x14ac:dyDescent="0.2">
      <c r="A8024" t="s">
        <v>663</v>
      </c>
      <c r="B8024" t="s">
        <v>3245</v>
      </c>
      <c r="C8024">
        <v>1</v>
      </c>
      <c r="D8024" s="1">
        <v>44203.976701388892</v>
      </c>
      <c r="E8024" t="s">
        <v>25059</v>
      </c>
      <c r="F8024" t="s">
        <v>666</v>
      </c>
      <c r="G8024" t="s">
        <v>25059</v>
      </c>
      <c r="H8024" t="s">
        <v>667</v>
      </c>
      <c r="I8024" t="s">
        <v>29</v>
      </c>
      <c r="J8024">
        <v>1</v>
      </c>
      <c r="K8024">
        <f>1-844-304-6281</f>
        <v>-7428</v>
      </c>
      <c r="L8024" t="s">
        <v>25060</v>
      </c>
      <c r="M8024" t="s">
        <v>25061</v>
      </c>
      <c r="N8024">
        <v>73</v>
      </c>
      <c r="O8024" t="s">
        <v>134</v>
      </c>
      <c r="P8024" t="s">
        <v>29</v>
      </c>
      <c r="Q8024">
        <v>41</v>
      </c>
      <c r="R8024">
        <v>-74.140299999999996</v>
      </c>
    </row>
    <row r="8025" spans="1:18" x14ac:dyDescent="0.2">
      <c r="A8025" t="s">
        <v>663</v>
      </c>
      <c r="B8025" t="s">
        <v>2493</v>
      </c>
      <c r="C8025">
        <v>1</v>
      </c>
      <c r="D8025" s="1">
        <v>44203.997743055559</v>
      </c>
      <c r="E8025" t="s">
        <v>25062</v>
      </c>
      <c r="F8025" t="s">
        <v>666</v>
      </c>
      <c r="G8025" t="s">
        <v>25062</v>
      </c>
      <c r="H8025" t="s">
        <v>667</v>
      </c>
      <c r="I8025" t="s">
        <v>29</v>
      </c>
      <c r="J8025">
        <v>1</v>
      </c>
      <c r="K8025">
        <f>1-888-308-5286</f>
        <v>-6481</v>
      </c>
      <c r="L8025" t="s">
        <v>25063</v>
      </c>
      <c r="M8025" t="s">
        <v>25064</v>
      </c>
      <c r="N8025">
        <v>80</v>
      </c>
      <c r="O8025" t="s">
        <v>134</v>
      </c>
      <c r="P8025" t="s">
        <v>29</v>
      </c>
      <c r="Q8025">
        <v>41</v>
      </c>
      <c r="R8025">
        <v>-74.024699999999996</v>
      </c>
    </row>
    <row r="8026" spans="1:18" x14ac:dyDescent="0.2">
      <c r="A8026" t="s">
        <v>663</v>
      </c>
      <c r="B8026" t="s">
        <v>2493</v>
      </c>
      <c r="C8026">
        <v>1</v>
      </c>
      <c r="D8026" s="1">
        <v>44203.991388888891</v>
      </c>
      <c r="E8026" t="s">
        <v>25062</v>
      </c>
      <c r="F8026" t="s">
        <v>666</v>
      </c>
      <c r="G8026" t="s">
        <v>25062</v>
      </c>
      <c r="H8026" t="s">
        <v>667</v>
      </c>
      <c r="I8026" t="s">
        <v>29</v>
      </c>
      <c r="J8026">
        <v>1</v>
      </c>
      <c r="K8026">
        <f>1-888-308-5284</f>
        <v>-6479</v>
      </c>
      <c r="L8026" t="s">
        <v>25065</v>
      </c>
      <c r="M8026" t="s">
        <v>25066</v>
      </c>
      <c r="N8026">
        <v>80</v>
      </c>
      <c r="O8026" t="s">
        <v>134</v>
      </c>
      <c r="P8026" t="s">
        <v>29</v>
      </c>
      <c r="Q8026">
        <v>41</v>
      </c>
      <c r="R8026">
        <v>-74.024699999999996</v>
      </c>
    </row>
    <row r="8027" spans="1:18" x14ac:dyDescent="0.2">
      <c r="A8027" t="s">
        <v>2233</v>
      </c>
      <c r="B8027" t="s">
        <v>17027</v>
      </c>
      <c r="C8027">
        <v>1</v>
      </c>
      <c r="D8027" s="1">
        <v>44204.838703703703</v>
      </c>
      <c r="E8027" t="s">
        <v>25067</v>
      </c>
      <c r="F8027" t="s">
        <v>2236</v>
      </c>
      <c r="G8027" t="s">
        <v>25068</v>
      </c>
      <c r="H8027" t="s">
        <v>2237</v>
      </c>
      <c r="I8027" t="s">
        <v>29</v>
      </c>
      <c r="J8027">
        <v>1</v>
      </c>
      <c r="K8027">
        <f>1-855-742-1491</f>
        <v>-3087</v>
      </c>
      <c r="L8027" t="s">
        <v>25069</v>
      </c>
      <c r="M8027" t="s">
        <v>25070</v>
      </c>
      <c r="N8027" t="s">
        <v>5354</v>
      </c>
      <c r="O8027" t="s">
        <v>28</v>
      </c>
      <c r="P8027" t="s">
        <v>5789</v>
      </c>
      <c r="Q8027">
        <v>19</v>
      </c>
      <c r="R8027">
        <v>72.877700000000004</v>
      </c>
    </row>
    <row r="8028" spans="1:18" x14ac:dyDescent="0.2">
      <c r="A8028" t="s">
        <v>663</v>
      </c>
      <c r="B8028" t="s">
        <v>2493</v>
      </c>
      <c r="C8028">
        <v>1</v>
      </c>
      <c r="D8028" s="1">
        <v>44204.73233796296</v>
      </c>
      <c r="E8028" t="s">
        <v>25071</v>
      </c>
      <c r="F8028" t="s">
        <v>666</v>
      </c>
      <c r="G8028" t="s">
        <v>25071</v>
      </c>
      <c r="H8028" t="s">
        <v>667</v>
      </c>
      <c r="I8028" t="s">
        <v>29</v>
      </c>
      <c r="J8028">
        <v>1</v>
      </c>
      <c r="K8028">
        <f>1-888-353-4349</f>
        <v>-5589</v>
      </c>
      <c r="L8028" t="s">
        <v>25072</v>
      </c>
      <c r="M8028" t="s">
        <v>25073</v>
      </c>
      <c r="N8028">
        <v>177</v>
      </c>
      <c r="O8028" t="s">
        <v>134</v>
      </c>
      <c r="P8028" t="s">
        <v>29</v>
      </c>
      <c r="Q8028">
        <v>41</v>
      </c>
      <c r="R8028">
        <v>-74.024699999999996</v>
      </c>
    </row>
    <row r="8029" spans="1:18" x14ac:dyDescent="0.2">
      <c r="A8029" t="s">
        <v>663</v>
      </c>
      <c r="B8029" t="s">
        <v>2493</v>
      </c>
      <c r="C8029">
        <v>1</v>
      </c>
      <c r="D8029" s="1">
        <v>44202.955451388887</v>
      </c>
      <c r="E8029" t="s">
        <v>25074</v>
      </c>
      <c r="F8029" t="s">
        <v>666</v>
      </c>
      <c r="G8029" t="s">
        <v>25074</v>
      </c>
      <c r="H8029" t="s">
        <v>667</v>
      </c>
      <c r="I8029" t="s">
        <v>29</v>
      </c>
      <c r="J8029">
        <v>1</v>
      </c>
      <c r="K8029">
        <f>1-888-527-5414</f>
        <v>-6828</v>
      </c>
      <c r="L8029" t="s">
        <v>25075</v>
      </c>
      <c r="M8029" t="s">
        <v>25076</v>
      </c>
      <c r="N8029">
        <v>157</v>
      </c>
      <c r="O8029" t="s">
        <v>134</v>
      </c>
      <c r="P8029" t="s">
        <v>29</v>
      </c>
      <c r="Q8029">
        <v>41</v>
      </c>
      <c r="R8029">
        <v>-74.024699999999996</v>
      </c>
    </row>
    <row r="8030" spans="1:18" x14ac:dyDescent="0.2">
      <c r="A8030" t="s">
        <v>663</v>
      </c>
      <c r="B8030" t="s">
        <v>2493</v>
      </c>
      <c r="C8030">
        <v>1</v>
      </c>
      <c r="D8030" s="1">
        <v>44202.956423611111</v>
      </c>
      <c r="E8030" t="s">
        <v>25077</v>
      </c>
      <c r="F8030" t="s">
        <v>666</v>
      </c>
      <c r="G8030" t="s">
        <v>25077</v>
      </c>
      <c r="H8030" t="s">
        <v>667</v>
      </c>
      <c r="I8030" t="s">
        <v>29</v>
      </c>
      <c r="J8030">
        <v>1</v>
      </c>
      <c r="K8030">
        <f>1-888-308-4859</f>
        <v>-6054</v>
      </c>
      <c r="L8030" t="s">
        <v>25078</v>
      </c>
      <c r="M8030" t="s">
        <v>25079</v>
      </c>
      <c r="N8030">
        <v>31</v>
      </c>
      <c r="O8030" t="s">
        <v>134</v>
      </c>
      <c r="P8030" t="s">
        <v>29</v>
      </c>
      <c r="Q8030">
        <v>41</v>
      </c>
      <c r="R8030">
        <v>-74.024699999999996</v>
      </c>
    </row>
    <row r="8031" spans="1:18" x14ac:dyDescent="0.2">
      <c r="A8031" t="s">
        <v>663</v>
      </c>
      <c r="B8031" t="s">
        <v>2493</v>
      </c>
      <c r="C8031">
        <v>1</v>
      </c>
      <c r="D8031" s="1">
        <v>44202.97146990741</v>
      </c>
      <c r="E8031" t="s">
        <v>25080</v>
      </c>
      <c r="F8031" t="s">
        <v>666</v>
      </c>
      <c r="G8031" t="s">
        <v>25080</v>
      </c>
      <c r="H8031" t="s">
        <v>667</v>
      </c>
      <c r="I8031" t="s">
        <v>29</v>
      </c>
      <c r="J8031">
        <v>1</v>
      </c>
      <c r="K8031">
        <f>1-888-312-1433</f>
        <v>-2632</v>
      </c>
      <c r="L8031" t="s">
        <v>25081</v>
      </c>
      <c r="M8031" t="s">
        <v>25082</v>
      </c>
      <c r="N8031">
        <v>9</v>
      </c>
      <c r="O8031" t="s">
        <v>134</v>
      </c>
      <c r="P8031" t="s">
        <v>29</v>
      </c>
      <c r="Q8031">
        <v>41</v>
      </c>
      <c r="R8031">
        <v>-74.024699999999996</v>
      </c>
    </row>
    <row r="8032" spans="1:18" x14ac:dyDescent="0.2">
      <c r="A8032" t="s">
        <v>2233</v>
      </c>
      <c r="B8032" t="s">
        <v>440</v>
      </c>
      <c r="C8032">
        <v>1</v>
      </c>
      <c r="D8032" s="1">
        <v>44203.184224537035</v>
      </c>
      <c r="E8032" t="s">
        <v>25083</v>
      </c>
      <c r="F8032" t="s">
        <v>2236</v>
      </c>
      <c r="G8032" t="s">
        <v>25084</v>
      </c>
      <c r="H8032" t="s">
        <v>2237</v>
      </c>
      <c r="I8032" t="s">
        <v>29</v>
      </c>
      <c r="J8032">
        <v>1</v>
      </c>
      <c r="K8032">
        <f>1-844-345-3382</f>
        <v>-4570</v>
      </c>
      <c r="L8032" t="s">
        <v>25085</v>
      </c>
      <c r="M8032" t="s">
        <v>25086</v>
      </c>
      <c r="N8032" t="s">
        <v>5354</v>
      </c>
      <c r="O8032" t="s">
        <v>28</v>
      </c>
      <c r="P8032" t="s">
        <v>29</v>
      </c>
      <c r="Q8032">
        <v>39</v>
      </c>
      <c r="R8032">
        <v>-77.487399999999994</v>
      </c>
    </row>
    <row r="8033" spans="1:18" x14ac:dyDescent="0.2">
      <c r="A8033" t="s">
        <v>663</v>
      </c>
      <c r="B8033" t="s">
        <v>2493</v>
      </c>
      <c r="C8033">
        <v>1</v>
      </c>
      <c r="D8033" s="1">
        <v>44204.745671296296</v>
      </c>
      <c r="E8033" t="s">
        <v>25087</v>
      </c>
      <c r="F8033" t="s">
        <v>666</v>
      </c>
      <c r="G8033" t="s">
        <v>25087</v>
      </c>
      <c r="H8033" t="s">
        <v>667</v>
      </c>
      <c r="I8033" t="s">
        <v>29</v>
      </c>
      <c r="J8033">
        <v>1</v>
      </c>
      <c r="K8033">
        <f>1-888-596-9553</f>
        <v>-11036</v>
      </c>
      <c r="L8033" t="s">
        <v>25088</v>
      </c>
      <c r="M8033" t="s">
        <v>25089</v>
      </c>
      <c r="N8033">
        <v>122</v>
      </c>
      <c r="O8033" t="s">
        <v>134</v>
      </c>
      <c r="P8033" t="s">
        <v>29</v>
      </c>
      <c r="Q8033">
        <v>41</v>
      </c>
      <c r="R8033">
        <v>-74.024699999999996</v>
      </c>
    </row>
    <row r="8034" spans="1:18" x14ac:dyDescent="0.2">
      <c r="A8034" t="s">
        <v>663</v>
      </c>
      <c r="B8034" t="s">
        <v>2493</v>
      </c>
      <c r="C8034">
        <v>1</v>
      </c>
      <c r="D8034" s="1">
        <v>44203.96775462963</v>
      </c>
      <c r="E8034" t="s">
        <v>25090</v>
      </c>
      <c r="F8034" t="s">
        <v>666</v>
      </c>
      <c r="G8034" t="s">
        <v>25090</v>
      </c>
      <c r="H8034" t="s">
        <v>667</v>
      </c>
      <c r="I8034" t="s">
        <v>29</v>
      </c>
      <c r="J8034">
        <v>1</v>
      </c>
      <c r="K8034">
        <f>1-888-308-1185</f>
        <v>-2380</v>
      </c>
      <c r="L8034" t="s">
        <v>25091</v>
      </c>
      <c r="M8034" t="s">
        <v>25092</v>
      </c>
      <c r="N8034">
        <v>27</v>
      </c>
      <c r="O8034" t="s">
        <v>134</v>
      </c>
      <c r="P8034" t="s">
        <v>29</v>
      </c>
      <c r="Q8034">
        <v>41</v>
      </c>
      <c r="R8034">
        <v>-74.024699999999996</v>
      </c>
    </row>
    <row r="8035" spans="1:18" x14ac:dyDescent="0.2">
      <c r="A8035" t="s">
        <v>663</v>
      </c>
      <c r="B8035" t="s">
        <v>3245</v>
      </c>
      <c r="C8035">
        <v>1</v>
      </c>
      <c r="D8035" s="1">
        <v>44203.810254629629</v>
      </c>
      <c r="E8035" t="s">
        <v>25093</v>
      </c>
      <c r="F8035" t="s">
        <v>666</v>
      </c>
      <c r="G8035" t="s">
        <v>25093</v>
      </c>
      <c r="H8035" t="s">
        <v>667</v>
      </c>
      <c r="I8035" t="s">
        <v>29</v>
      </c>
      <c r="J8035">
        <v>1</v>
      </c>
      <c r="K8035">
        <f>1-888-712-794</f>
        <v>-2393</v>
      </c>
      <c r="L8035" t="s">
        <v>25094</v>
      </c>
      <c r="M8035" t="s">
        <v>25095</v>
      </c>
      <c r="N8035">
        <v>72</v>
      </c>
      <c r="O8035" t="s">
        <v>134</v>
      </c>
      <c r="P8035" t="s">
        <v>29</v>
      </c>
      <c r="Q8035">
        <v>41</v>
      </c>
      <c r="R8035">
        <v>-74.140299999999996</v>
      </c>
    </row>
    <row r="8036" spans="1:18" x14ac:dyDescent="0.2">
      <c r="A8036" t="s">
        <v>663</v>
      </c>
      <c r="B8036" t="s">
        <v>2493</v>
      </c>
      <c r="C8036">
        <v>1</v>
      </c>
      <c r="D8036" s="1">
        <v>44203.846238425926</v>
      </c>
      <c r="E8036" t="s">
        <v>25096</v>
      </c>
      <c r="F8036" t="s">
        <v>2495</v>
      </c>
      <c r="G8036" t="s">
        <v>25096</v>
      </c>
      <c r="H8036" t="s">
        <v>667</v>
      </c>
      <c r="I8036" t="s">
        <v>29</v>
      </c>
      <c r="J8036">
        <v>1</v>
      </c>
      <c r="K8036">
        <f>1-888-382-1253</f>
        <v>-2522</v>
      </c>
      <c r="L8036" t="s">
        <v>25097</v>
      </c>
      <c r="M8036" t="s">
        <v>25098</v>
      </c>
      <c r="N8036">
        <v>100</v>
      </c>
      <c r="O8036" t="s">
        <v>134</v>
      </c>
      <c r="P8036" t="s">
        <v>29</v>
      </c>
      <c r="Q8036">
        <v>41</v>
      </c>
      <c r="R8036">
        <v>-74.024699999999996</v>
      </c>
    </row>
    <row r="8037" spans="1:18" x14ac:dyDescent="0.2">
      <c r="A8037" t="s">
        <v>439</v>
      </c>
      <c r="B8037" t="s">
        <v>4321</v>
      </c>
      <c r="C8037">
        <v>1</v>
      </c>
      <c r="D8037" s="1">
        <v>44203.923773148148</v>
      </c>
      <c r="E8037" t="s">
        <v>25099</v>
      </c>
      <c r="F8037" t="s">
        <v>442</v>
      </c>
      <c r="G8037" t="s">
        <v>25100</v>
      </c>
      <c r="H8037" t="s">
        <v>444</v>
      </c>
      <c r="I8037" t="s">
        <v>29</v>
      </c>
      <c r="J8037">
        <v>1</v>
      </c>
      <c r="K8037">
        <f>1-888-308-2725</f>
        <v>-3920</v>
      </c>
      <c r="L8037" t="s">
        <v>25101</v>
      </c>
      <c r="M8037" t="s">
        <v>25102</v>
      </c>
      <c r="N8037" t="s">
        <v>213</v>
      </c>
      <c r="O8037" t="s">
        <v>28</v>
      </c>
      <c r="P8037" t="s">
        <v>29</v>
      </c>
      <c r="Q8037">
        <v>42</v>
      </c>
      <c r="R8037">
        <v>-87.629800000000003</v>
      </c>
    </row>
    <row r="8038" spans="1:18" x14ac:dyDescent="0.2">
      <c r="A8038" t="s">
        <v>663</v>
      </c>
      <c r="B8038" t="s">
        <v>2493</v>
      </c>
      <c r="C8038">
        <v>1</v>
      </c>
      <c r="D8038" s="1">
        <v>44203.821655092594</v>
      </c>
      <c r="E8038" t="s">
        <v>25103</v>
      </c>
      <c r="F8038" t="s">
        <v>666</v>
      </c>
      <c r="G8038" t="s">
        <v>25103</v>
      </c>
      <c r="H8038" t="s">
        <v>667</v>
      </c>
      <c r="I8038" t="s">
        <v>29</v>
      </c>
      <c r="J8038">
        <v>1</v>
      </c>
      <c r="K8038">
        <f>1-888-372-9370</f>
        <v>-10629</v>
      </c>
      <c r="L8038" t="s">
        <v>25104</v>
      </c>
      <c r="M8038" t="s">
        <v>25105</v>
      </c>
      <c r="N8038">
        <v>248</v>
      </c>
      <c r="O8038" t="s">
        <v>134</v>
      </c>
      <c r="P8038" t="s">
        <v>29</v>
      </c>
      <c r="Q8038">
        <v>41</v>
      </c>
      <c r="R8038">
        <v>-74.024699999999996</v>
      </c>
    </row>
    <row r="8039" spans="1:18" x14ac:dyDescent="0.2">
      <c r="A8039" t="s">
        <v>663</v>
      </c>
      <c r="B8039" t="s">
        <v>2493</v>
      </c>
      <c r="C8039">
        <v>1</v>
      </c>
      <c r="D8039" s="1">
        <v>44203.8200462963</v>
      </c>
      <c r="E8039" t="s">
        <v>25103</v>
      </c>
      <c r="F8039" t="s">
        <v>666</v>
      </c>
      <c r="G8039" t="s">
        <v>25103</v>
      </c>
      <c r="H8039" t="s">
        <v>667</v>
      </c>
      <c r="I8039" t="s">
        <v>29</v>
      </c>
      <c r="J8039">
        <v>1</v>
      </c>
      <c r="K8039">
        <f>1-888-353-7667</f>
        <v>-8907</v>
      </c>
      <c r="L8039" t="s">
        <v>25106</v>
      </c>
      <c r="M8039" t="s">
        <v>25107</v>
      </c>
      <c r="N8039">
        <v>248</v>
      </c>
      <c r="O8039" t="s">
        <v>134</v>
      </c>
      <c r="P8039" t="s">
        <v>29</v>
      </c>
      <c r="Q8039">
        <v>41</v>
      </c>
      <c r="R8039">
        <v>-74.024699999999996</v>
      </c>
    </row>
    <row r="8040" spans="1:18" x14ac:dyDescent="0.2">
      <c r="A8040" t="s">
        <v>663</v>
      </c>
      <c r="B8040" t="s">
        <v>2493</v>
      </c>
      <c r="C8040">
        <v>1</v>
      </c>
      <c r="D8040" s="1">
        <v>44203.837488425925</v>
      </c>
      <c r="E8040" t="s">
        <v>25108</v>
      </c>
      <c r="F8040" t="s">
        <v>2495</v>
      </c>
      <c r="G8040" t="s">
        <v>25108</v>
      </c>
      <c r="H8040" t="s">
        <v>667</v>
      </c>
      <c r="I8040" t="s">
        <v>29</v>
      </c>
      <c r="J8040">
        <v>1</v>
      </c>
      <c r="K8040">
        <f>1-888-206-668</f>
        <v>-1761</v>
      </c>
      <c r="L8040" t="s">
        <v>25109</v>
      </c>
      <c r="M8040" t="s">
        <v>25110</v>
      </c>
      <c r="N8040">
        <v>11</v>
      </c>
      <c r="O8040" t="s">
        <v>134</v>
      </c>
      <c r="P8040" t="s">
        <v>29</v>
      </c>
      <c r="Q8040">
        <v>41</v>
      </c>
      <c r="R8040">
        <v>-74.024699999999996</v>
      </c>
    </row>
    <row r="8041" spans="1:18" x14ac:dyDescent="0.2">
      <c r="A8041" t="s">
        <v>270</v>
      </c>
      <c r="B8041" t="s">
        <v>10394</v>
      </c>
      <c r="C8041">
        <v>1</v>
      </c>
      <c r="D8041" s="1">
        <v>44203.762719907405</v>
      </c>
      <c r="E8041" t="s">
        <v>25111</v>
      </c>
      <c r="F8041" t="s">
        <v>273</v>
      </c>
      <c r="G8041" t="s">
        <v>25112</v>
      </c>
      <c r="H8041" t="s">
        <v>275</v>
      </c>
      <c r="I8041" t="s">
        <v>29</v>
      </c>
      <c r="J8041">
        <v>1</v>
      </c>
      <c r="K8041">
        <f>1-888-348-5542</f>
        <v>-6777</v>
      </c>
      <c r="L8041" t="s">
        <v>25113</v>
      </c>
      <c r="M8041" t="s">
        <v>25114</v>
      </c>
      <c r="N8041" t="s">
        <v>278</v>
      </c>
      <c r="O8041" t="s">
        <v>28</v>
      </c>
      <c r="P8041" t="s">
        <v>29</v>
      </c>
      <c r="Q8041">
        <v>29</v>
      </c>
      <c r="R8041">
        <v>-98.5</v>
      </c>
    </row>
    <row r="8042" spans="1:18" x14ac:dyDescent="0.2">
      <c r="A8042" t="s">
        <v>270</v>
      </c>
      <c r="B8042" t="s">
        <v>10394</v>
      </c>
      <c r="C8042">
        <v>1</v>
      </c>
      <c r="D8042" s="1">
        <v>44203.761377314811</v>
      </c>
      <c r="E8042" t="s">
        <v>25115</v>
      </c>
      <c r="F8042" t="s">
        <v>273</v>
      </c>
      <c r="G8042" t="s">
        <v>25112</v>
      </c>
      <c r="H8042" t="s">
        <v>275</v>
      </c>
      <c r="I8042" t="s">
        <v>29</v>
      </c>
      <c r="J8042">
        <v>1</v>
      </c>
      <c r="K8042">
        <f>1-888-344-1995</f>
        <v>-3226</v>
      </c>
      <c r="L8042" t="s">
        <v>25116</v>
      </c>
      <c r="M8042" t="s">
        <v>25117</v>
      </c>
      <c r="N8042" t="s">
        <v>278</v>
      </c>
      <c r="O8042" t="s">
        <v>28</v>
      </c>
      <c r="P8042" t="s">
        <v>29</v>
      </c>
      <c r="Q8042">
        <v>29</v>
      </c>
      <c r="R8042">
        <v>-98.5</v>
      </c>
    </row>
    <row r="8043" spans="1:18" x14ac:dyDescent="0.2">
      <c r="A8043" t="s">
        <v>663</v>
      </c>
      <c r="B8043" t="s">
        <v>2493</v>
      </c>
      <c r="C8043">
        <v>1</v>
      </c>
      <c r="D8043" s="1">
        <v>44204.002129629633</v>
      </c>
      <c r="E8043" t="s">
        <v>25118</v>
      </c>
      <c r="F8043" t="s">
        <v>666</v>
      </c>
      <c r="G8043" t="s">
        <v>25118</v>
      </c>
      <c r="H8043" t="s">
        <v>667</v>
      </c>
      <c r="I8043" t="s">
        <v>29</v>
      </c>
      <c r="J8043">
        <v>1</v>
      </c>
      <c r="K8043">
        <f>1-888-343-5136</f>
        <v>-6366</v>
      </c>
      <c r="L8043" t="s">
        <v>25119</v>
      </c>
      <c r="M8043" t="s">
        <v>25120</v>
      </c>
      <c r="N8043">
        <v>100</v>
      </c>
      <c r="O8043" t="s">
        <v>134</v>
      </c>
      <c r="P8043" t="s">
        <v>29</v>
      </c>
      <c r="Q8043">
        <v>41</v>
      </c>
      <c r="R8043">
        <v>-74.024699999999996</v>
      </c>
    </row>
    <row r="8044" spans="1:18" x14ac:dyDescent="0.2">
      <c r="A8044" t="s">
        <v>663</v>
      </c>
      <c r="B8044" t="s">
        <v>2493</v>
      </c>
      <c r="C8044">
        <v>1</v>
      </c>
      <c r="D8044" s="1">
        <v>44204.871516203704</v>
      </c>
      <c r="E8044" t="s">
        <v>25121</v>
      </c>
      <c r="F8044" t="s">
        <v>2495</v>
      </c>
      <c r="G8044" t="s">
        <v>25121</v>
      </c>
      <c r="H8044" t="s">
        <v>667</v>
      </c>
      <c r="I8044" t="s">
        <v>29</v>
      </c>
      <c r="J8044">
        <v>1</v>
      </c>
      <c r="K8044">
        <f>1-888-323-9617</f>
        <v>-10827</v>
      </c>
      <c r="L8044" t="s">
        <v>25122</v>
      </c>
      <c r="M8044" t="s">
        <v>25123</v>
      </c>
      <c r="N8044">
        <v>181</v>
      </c>
      <c r="O8044" t="s">
        <v>134</v>
      </c>
      <c r="P8044" t="s">
        <v>29</v>
      </c>
      <c r="Q8044">
        <v>41</v>
      </c>
      <c r="R8044">
        <v>-74.024699999999996</v>
      </c>
    </row>
    <row r="8045" spans="1:18" x14ac:dyDescent="0.2">
      <c r="A8045" t="s">
        <v>663</v>
      </c>
      <c r="B8045" t="s">
        <v>2493</v>
      </c>
      <c r="C8045">
        <v>1</v>
      </c>
      <c r="D8045" s="1">
        <v>44204.884571759256</v>
      </c>
      <c r="E8045" t="s">
        <v>25124</v>
      </c>
      <c r="F8045" t="s">
        <v>666</v>
      </c>
      <c r="G8045" t="s">
        <v>25124</v>
      </c>
      <c r="H8045" t="s">
        <v>667</v>
      </c>
      <c r="I8045" t="s">
        <v>29</v>
      </c>
      <c r="J8045">
        <v>1</v>
      </c>
      <c r="K8045">
        <f>1-888-334-1290</f>
        <v>-2511</v>
      </c>
      <c r="L8045" t="s">
        <v>25125</v>
      </c>
      <c r="M8045" t="s">
        <v>25126</v>
      </c>
      <c r="N8045">
        <v>134</v>
      </c>
      <c r="O8045" t="s">
        <v>134</v>
      </c>
      <c r="P8045" t="s">
        <v>29</v>
      </c>
      <c r="Q8045">
        <v>41</v>
      </c>
      <c r="R8045">
        <v>-74.024699999999996</v>
      </c>
    </row>
    <row r="8046" spans="1:18" x14ac:dyDescent="0.2">
      <c r="A8046" t="s">
        <v>663</v>
      </c>
      <c r="B8046" t="s">
        <v>2493</v>
      </c>
      <c r="C8046">
        <v>1</v>
      </c>
      <c r="D8046" s="1">
        <v>44204.878506944442</v>
      </c>
      <c r="E8046" t="s">
        <v>25124</v>
      </c>
      <c r="F8046" t="s">
        <v>666</v>
      </c>
      <c r="G8046" t="s">
        <v>25124</v>
      </c>
      <c r="H8046" t="s">
        <v>667</v>
      </c>
      <c r="I8046" t="s">
        <v>29</v>
      </c>
      <c r="J8046">
        <v>1</v>
      </c>
      <c r="K8046">
        <f>1-888-335-4399</f>
        <v>-5621</v>
      </c>
      <c r="L8046" t="s">
        <v>25127</v>
      </c>
      <c r="M8046" t="s">
        <v>25128</v>
      </c>
      <c r="N8046">
        <v>134</v>
      </c>
      <c r="O8046" t="s">
        <v>134</v>
      </c>
      <c r="P8046" t="s">
        <v>29</v>
      </c>
      <c r="Q8046">
        <v>41</v>
      </c>
      <c r="R8046">
        <v>-74.024699999999996</v>
      </c>
    </row>
    <row r="8047" spans="1:18" x14ac:dyDescent="0.2">
      <c r="A8047" t="s">
        <v>663</v>
      </c>
      <c r="B8047" t="s">
        <v>2493</v>
      </c>
      <c r="C8047">
        <v>1</v>
      </c>
      <c r="D8047" s="1">
        <v>44204.878379629627</v>
      </c>
      <c r="E8047" t="s">
        <v>25124</v>
      </c>
      <c r="F8047" t="s">
        <v>666</v>
      </c>
      <c r="G8047" t="s">
        <v>25124</v>
      </c>
      <c r="H8047" t="s">
        <v>667</v>
      </c>
      <c r="I8047" t="s">
        <v>29</v>
      </c>
      <c r="J8047">
        <v>1</v>
      </c>
      <c r="K8047">
        <f>1-888-381-8852</f>
        <v>-10120</v>
      </c>
      <c r="L8047" t="s">
        <v>25129</v>
      </c>
      <c r="M8047" t="s">
        <v>25130</v>
      </c>
      <c r="N8047">
        <v>134</v>
      </c>
      <c r="O8047" t="s">
        <v>134</v>
      </c>
      <c r="P8047" t="s">
        <v>29</v>
      </c>
      <c r="Q8047">
        <v>41</v>
      </c>
      <c r="R8047">
        <v>-74.024699999999996</v>
      </c>
    </row>
    <row r="8048" spans="1:18" x14ac:dyDescent="0.2">
      <c r="A8048" t="s">
        <v>663</v>
      </c>
      <c r="B8048" t="s">
        <v>2493</v>
      </c>
      <c r="C8048">
        <v>1</v>
      </c>
      <c r="D8048" s="1">
        <v>44204.90519675926</v>
      </c>
      <c r="E8048" t="s">
        <v>25131</v>
      </c>
      <c r="F8048" t="s">
        <v>2495</v>
      </c>
      <c r="G8048" t="s">
        <v>25131</v>
      </c>
      <c r="H8048" t="s">
        <v>667</v>
      </c>
      <c r="I8048" t="s">
        <v>29</v>
      </c>
      <c r="J8048">
        <v>1</v>
      </c>
      <c r="K8048">
        <f>1-888-381-8852</f>
        <v>-10120</v>
      </c>
      <c r="L8048" t="s">
        <v>25132</v>
      </c>
      <c r="M8048" t="s">
        <v>25133</v>
      </c>
      <c r="N8048">
        <v>201</v>
      </c>
      <c r="O8048" t="s">
        <v>134</v>
      </c>
      <c r="P8048" t="s">
        <v>29</v>
      </c>
      <c r="Q8048">
        <v>41</v>
      </c>
      <c r="R8048">
        <v>-74.024699999999996</v>
      </c>
    </row>
    <row r="8049" spans="1:18" x14ac:dyDescent="0.2">
      <c r="A8049" t="s">
        <v>663</v>
      </c>
      <c r="B8049" t="s">
        <v>2493</v>
      </c>
      <c r="C8049">
        <v>1</v>
      </c>
      <c r="D8049" s="1">
        <v>44204.905266203707</v>
      </c>
      <c r="E8049" t="s">
        <v>25134</v>
      </c>
      <c r="F8049" t="s">
        <v>666</v>
      </c>
      <c r="G8049" t="s">
        <v>25134</v>
      </c>
      <c r="H8049" t="s">
        <v>667</v>
      </c>
      <c r="I8049" t="s">
        <v>29</v>
      </c>
      <c r="J8049">
        <v>1</v>
      </c>
      <c r="K8049">
        <f>1-888-321-3453</f>
        <v>-4661</v>
      </c>
      <c r="L8049" t="s">
        <v>25135</v>
      </c>
      <c r="M8049" t="s">
        <v>25136</v>
      </c>
      <c r="N8049">
        <v>150</v>
      </c>
      <c r="O8049" t="s">
        <v>134</v>
      </c>
      <c r="P8049" t="s">
        <v>29</v>
      </c>
      <c r="Q8049">
        <v>41</v>
      </c>
      <c r="R8049">
        <v>-74.024699999999996</v>
      </c>
    </row>
    <row r="8050" spans="1:18" x14ac:dyDescent="0.2">
      <c r="A8050" t="s">
        <v>663</v>
      </c>
      <c r="B8050" t="s">
        <v>2493</v>
      </c>
      <c r="C8050">
        <v>1</v>
      </c>
      <c r="D8050" s="1">
        <v>44204.934166666666</v>
      </c>
      <c r="E8050" t="s">
        <v>25137</v>
      </c>
      <c r="F8050" t="s">
        <v>666</v>
      </c>
      <c r="G8050" t="s">
        <v>25137</v>
      </c>
      <c r="H8050" t="s">
        <v>667</v>
      </c>
      <c r="I8050" t="s">
        <v>29</v>
      </c>
      <c r="J8050">
        <v>1</v>
      </c>
      <c r="K8050">
        <f>1-888-334-1270</f>
        <v>-2491</v>
      </c>
      <c r="L8050" t="s">
        <v>25138</v>
      </c>
      <c r="M8050" t="s">
        <v>25139</v>
      </c>
      <c r="N8050">
        <v>196</v>
      </c>
      <c r="O8050" t="s">
        <v>134</v>
      </c>
      <c r="P8050" t="s">
        <v>29</v>
      </c>
      <c r="Q8050">
        <v>41</v>
      </c>
      <c r="R8050">
        <v>-74.024699999999996</v>
      </c>
    </row>
    <row r="8051" spans="1:18" x14ac:dyDescent="0.2">
      <c r="A8051" t="s">
        <v>439</v>
      </c>
      <c r="B8051" t="s">
        <v>4321</v>
      </c>
      <c r="C8051">
        <v>1</v>
      </c>
      <c r="D8051" s="1">
        <v>44205.754386574074</v>
      </c>
      <c r="E8051" t="s">
        <v>25140</v>
      </c>
      <c r="F8051" t="s">
        <v>442</v>
      </c>
      <c r="G8051" t="s">
        <v>25141</v>
      </c>
      <c r="H8051" t="s">
        <v>444</v>
      </c>
      <c r="I8051" t="s">
        <v>29</v>
      </c>
      <c r="J8051">
        <v>1</v>
      </c>
      <c r="K8051">
        <f>1-888-585-4399</f>
        <v>-5871</v>
      </c>
      <c r="L8051" t="s">
        <v>25142</v>
      </c>
      <c r="M8051" t="s">
        <v>25143</v>
      </c>
      <c r="N8051" t="s">
        <v>2475</v>
      </c>
      <c r="O8051" t="s">
        <v>28</v>
      </c>
      <c r="P8051" t="s">
        <v>29</v>
      </c>
      <c r="Q8051">
        <v>42</v>
      </c>
      <c r="R8051">
        <v>-87.629800000000003</v>
      </c>
    </row>
    <row r="8052" spans="1:18" x14ac:dyDescent="0.2">
      <c r="A8052" t="s">
        <v>439</v>
      </c>
      <c r="B8052" t="s">
        <v>4321</v>
      </c>
      <c r="C8052">
        <v>1</v>
      </c>
      <c r="D8052" s="1">
        <v>44205.750532407408</v>
      </c>
      <c r="E8052" t="s">
        <v>25140</v>
      </c>
      <c r="F8052" t="s">
        <v>442</v>
      </c>
      <c r="G8052" t="s">
        <v>25141</v>
      </c>
      <c r="H8052" t="s">
        <v>444</v>
      </c>
      <c r="I8052" t="s">
        <v>29</v>
      </c>
      <c r="J8052">
        <v>1</v>
      </c>
      <c r="K8052">
        <f>1-888-308-5203</f>
        <v>-6398</v>
      </c>
      <c r="L8052" t="s">
        <v>25144</v>
      </c>
      <c r="M8052" t="s">
        <v>25145</v>
      </c>
      <c r="N8052" t="s">
        <v>2475</v>
      </c>
      <c r="O8052" t="s">
        <v>28</v>
      </c>
      <c r="P8052" t="s">
        <v>29</v>
      </c>
      <c r="Q8052">
        <v>42</v>
      </c>
      <c r="R8052">
        <v>-87.629800000000003</v>
      </c>
    </row>
    <row r="8053" spans="1:18" x14ac:dyDescent="0.2">
      <c r="A8053" t="s">
        <v>439</v>
      </c>
      <c r="B8053" t="s">
        <v>4321</v>
      </c>
      <c r="C8053">
        <v>1</v>
      </c>
      <c r="D8053" s="1">
        <v>44205.755462962959</v>
      </c>
      <c r="E8053" t="s">
        <v>25140</v>
      </c>
      <c r="F8053" t="s">
        <v>442</v>
      </c>
      <c r="G8053" t="s">
        <v>25146</v>
      </c>
      <c r="H8053" t="s">
        <v>444</v>
      </c>
      <c r="I8053" t="s">
        <v>29</v>
      </c>
      <c r="J8053">
        <v>1</v>
      </c>
      <c r="K8053">
        <f>1-888-373-4351</f>
        <v>-5611</v>
      </c>
      <c r="L8053" t="s">
        <v>25147</v>
      </c>
      <c r="M8053" t="s">
        <v>25148</v>
      </c>
      <c r="N8053" t="s">
        <v>2475</v>
      </c>
      <c r="O8053" t="s">
        <v>28</v>
      </c>
      <c r="P8053" t="s">
        <v>29</v>
      </c>
      <c r="Q8053">
        <v>42</v>
      </c>
      <c r="R8053">
        <v>-87.629800000000003</v>
      </c>
    </row>
    <row r="8054" spans="1:18" x14ac:dyDescent="0.2">
      <c r="A8054" t="s">
        <v>439</v>
      </c>
      <c r="B8054" t="s">
        <v>4321</v>
      </c>
      <c r="C8054">
        <v>1</v>
      </c>
      <c r="D8054" s="1">
        <v>44205.754236111112</v>
      </c>
      <c r="E8054" t="s">
        <v>25140</v>
      </c>
      <c r="F8054" t="s">
        <v>442</v>
      </c>
      <c r="G8054" t="s">
        <v>25146</v>
      </c>
      <c r="H8054" t="s">
        <v>444</v>
      </c>
      <c r="I8054" t="s">
        <v>29</v>
      </c>
      <c r="J8054">
        <v>1</v>
      </c>
      <c r="K8054">
        <f>1-888-595-7583</f>
        <v>-9065</v>
      </c>
      <c r="L8054" t="s">
        <v>25149</v>
      </c>
      <c r="M8054" t="s">
        <v>25150</v>
      </c>
      <c r="N8054" t="s">
        <v>2475</v>
      </c>
      <c r="O8054" t="s">
        <v>28</v>
      </c>
      <c r="P8054" t="s">
        <v>29</v>
      </c>
      <c r="Q8054">
        <v>42</v>
      </c>
      <c r="R8054">
        <v>-87.629800000000003</v>
      </c>
    </row>
    <row r="8055" spans="1:18" x14ac:dyDescent="0.2">
      <c r="A8055" t="s">
        <v>663</v>
      </c>
      <c r="B8055" t="s">
        <v>664</v>
      </c>
      <c r="C8055">
        <v>1</v>
      </c>
      <c r="D8055" s="1">
        <v>44205.765393518515</v>
      </c>
      <c r="E8055" t="s">
        <v>25151</v>
      </c>
      <c r="F8055" t="s">
        <v>2495</v>
      </c>
      <c r="G8055" t="s">
        <v>25152</v>
      </c>
      <c r="H8055" t="s">
        <v>667</v>
      </c>
      <c r="I8055" t="s">
        <v>29</v>
      </c>
      <c r="J8055">
        <v>1</v>
      </c>
      <c r="K8055">
        <f>1-800-518-4671</f>
        <v>-5988</v>
      </c>
      <c r="L8055" t="s">
        <v>25153</v>
      </c>
      <c r="M8055" t="s">
        <v>25154</v>
      </c>
      <c r="N8055" t="s">
        <v>3454</v>
      </c>
      <c r="O8055" t="s">
        <v>28</v>
      </c>
      <c r="P8055" t="s">
        <v>29</v>
      </c>
      <c r="Q8055">
        <v>37</v>
      </c>
      <c r="R8055">
        <v>-99.999999000000003</v>
      </c>
    </row>
    <row r="8056" spans="1:18" x14ac:dyDescent="0.2">
      <c r="A8056" t="s">
        <v>663</v>
      </c>
      <c r="B8056" t="s">
        <v>2493</v>
      </c>
      <c r="C8056">
        <v>1</v>
      </c>
      <c r="D8056" s="1">
        <v>44205.767372685186</v>
      </c>
      <c r="E8056" t="s">
        <v>25155</v>
      </c>
      <c r="F8056" t="s">
        <v>666</v>
      </c>
      <c r="G8056" t="s">
        <v>25155</v>
      </c>
      <c r="H8056" t="s">
        <v>667</v>
      </c>
      <c r="I8056" t="s">
        <v>29</v>
      </c>
      <c r="J8056">
        <v>1</v>
      </c>
      <c r="K8056">
        <f>1-888-372-4709</f>
        <v>-5968</v>
      </c>
      <c r="L8056" t="s">
        <v>25156</v>
      </c>
      <c r="M8056" t="s">
        <v>25157</v>
      </c>
      <c r="N8056">
        <v>205</v>
      </c>
      <c r="O8056" t="s">
        <v>134</v>
      </c>
      <c r="P8056" t="s">
        <v>29</v>
      </c>
      <c r="Q8056">
        <v>41</v>
      </c>
      <c r="R8056">
        <v>-74.024699999999996</v>
      </c>
    </row>
    <row r="8057" spans="1:18" x14ac:dyDescent="0.2">
      <c r="A8057" t="s">
        <v>439</v>
      </c>
      <c r="B8057" t="s">
        <v>4321</v>
      </c>
      <c r="C8057">
        <v>1</v>
      </c>
      <c r="D8057" s="1">
        <v>44205.81554398148</v>
      </c>
      <c r="E8057" t="s">
        <v>25158</v>
      </c>
      <c r="F8057" t="s">
        <v>442</v>
      </c>
      <c r="G8057" t="s">
        <v>25159</v>
      </c>
      <c r="H8057" t="s">
        <v>444</v>
      </c>
      <c r="I8057" t="s">
        <v>29</v>
      </c>
      <c r="J8057">
        <v>1</v>
      </c>
      <c r="K8057">
        <f>1-888-357-5053</f>
        <v>-6297</v>
      </c>
      <c r="L8057" t="s">
        <v>25160</v>
      </c>
      <c r="M8057" t="s">
        <v>25161</v>
      </c>
      <c r="N8057" t="s">
        <v>2475</v>
      </c>
      <c r="O8057" t="s">
        <v>28</v>
      </c>
      <c r="P8057" t="s">
        <v>29</v>
      </c>
      <c r="Q8057">
        <v>42</v>
      </c>
      <c r="R8057">
        <v>-87.629800000000003</v>
      </c>
    </row>
    <row r="8058" spans="1:18" x14ac:dyDescent="0.2">
      <c r="A8058" t="s">
        <v>439</v>
      </c>
      <c r="B8058" t="s">
        <v>4321</v>
      </c>
      <c r="C8058">
        <v>1</v>
      </c>
      <c r="D8058" s="1">
        <v>44205.823923611111</v>
      </c>
      <c r="E8058" t="s">
        <v>25158</v>
      </c>
      <c r="F8058" t="s">
        <v>442</v>
      </c>
      <c r="G8058" t="s">
        <v>25162</v>
      </c>
      <c r="H8058" t="s">
        <v>444</v>
      </c>
      <c r="I8058" t="s">
        <v>29</v>
      </c>
      <c r="J8058">
        <v>1</v>
      </c>
      <c r="K8058">
        <f>1-888-308-5141</f>
        <v>-6336</v>
      </c>
      <c r="L8058" t="s">
        <v>25163</v>
      </c>
      <c r="M8058" t="s">
        <v>25164</v>
      </c>
      <c r="N8058" t="s">
        <v>2475</v>
      </c>
      <c r="O8058" t="s">
        <v>28</v>
      </c>
      <c r="P8058" t="s">
        <v>29</v>
      </c>
      <c r="Q8058">
        <v>42</v>
      </c>
      <c r="R8058">
        <v>-87.629800000000003</v>
      </c>
    </row>
    <row r="8059" spans="1:18" x14ac:dyDescent="0.2">
      <c r="A8059" t="s">
        <v>439</v>
      </c>
      <c r="B8059" t="s">
        <v>4321</v>
      </c>
      <c r="C8059">
        <v>1</v>
      </c>
      <c r="D8059" s="1">
        <v>44206.128379629627</v>
      </c>
      <c r="E8059" t="s">
        <v>25165</v>
      </c>
      <c r="F8059" t="s">
        <v>442</v>
      </c>
      <c r="G8059" t="s">
        <v>25166</v>
      </c>
      <c r="H8059" t="s">
        <v>444</v>
      </c>
      <c r="I8059" t="s">
        <v>29</v>
      </c>
      <c r="J8059">
        <v>1</v>
      </c>
      <c r="K8059">
        <f>1-888-308-5141</f>
        <v>-6336</v>
      </c>
      <c r="L8059" t="s">
        <v>25167</v>
      </c>
      <c r="M8059" t="s">
        <v>25168</v>
      </c>
      <c r="N8059" t="s">
        <v>1645</v>
      </c>
      <c r="O8059" t="s">
        <v>28</v>
      </c>
      <c r="P8059" t="s">
        <v>29</v>
      </c>
      <c r="Q8059">
        <v>42</v>
      </c>
      <c r="R8059">
        <v>-87.629800000000003</v>
      </c>
    </row>
    <row r="8060" spans="1:18" x14ac:dyDescent="0.2">
      <c r="A8060" t="s">
        <v>439</v>
      </c>
      <c r="B8060" t="s">
        <v>4321</v>
      </c>
      <c r="C8060">
        <v>1</v>
      </c>
      <c r="D8060" s="1">
        <v>44205.847407407404</v>
      </c>
      <c r="E8060" t="s">
        <v>25165</v>
      </c>
      <c r="F8060" t="s">
        <v>442</v>
      </c>
      <c r="G8060" t="s">
        <v>25166</v>
      </c>
      <c r="H8060" t="s">
        <v>444</v>
      </c>
      <c r="I8060" t="s">
        <v>29</v>
      </c>
      <c r="J8060">
        <v>1</v>
      </c>
      <c r="K8060">
        <f>1-888-357-5053</f>
        <v>-6297</v>
      </c>
      <c r="L8060" t="s">
        <v>25169</v>
      </c>
      <c r="M8060" t="s">
        <v>25170</v>
      </c>
      <c r="N8060" t="s">
        <v>1645</v>
      </c>
      <c r="O8060" t="s">
        <v>28</v>
      </c>
      <c r="P8060" t="s">
        <v>29</v>
      </c>
      <c r="Q8060">
        <v>42</v>
      </c>
      <c r="R8060">
        <v>-87.629800000000003</v>
      </c>
    </row>
    <row r="8061" spans="1:18" x14ac:dyDescent="0.2">
      <c r="A8061" t="s">
        <v>439</v>
      </c>
      <c r="B8061" t="s">
        <v>4321</v>
      </c>
      <c r="C8061">
        <v>1</v>
      </c>
      <c r="D8061" s="1">
        <v>44205.858599537038</v>
      </c>
      <c r="E8061" t="s">
        <v>25165</v>
      </c>
      <c r="F8061" t="s">
        <v>442</v>
      </c>
      <c r="G8061" t="s">
        <v>25171</v>
      </c>
      <c r="H8061" t="s">
        <v>444</v>
      </c>
      <c r="I8061" t="s">
        <v>29</v>
      </c>
      <c r="J8061">
        <v>1</v>
      </c>
      <c r="K8061">
        <f>1-888-308-5906</f>
        <v>-7101</v>
      </c>
      <c r="L8061" t="s">
        <v>25172</v>
      </c>
      <c r="M8061" t="s">
        <v>25173</v>
      </c>
      <c r="N8061" t="s">
        <v>1645</v>
      </c>
      <c r="O8061" t="s">
        <v>28</v>
      </c>
      <c r="P8061" t="s">
        <v>29</v>
      </c>
      <c r="Q8061">
        <v>42</v>
      </c>
      <c r="R8061">
        <v>-87.629800000000003</v>
      </c>
    </row>
    <row r="8062" spans="1:18" x14ac:dyDescent="0.2">
      <c r="A8062" t="s">
        <v>663</v>
      </c>
      <c r="B8062" t="s">
        <v>2493</v>
      </c>
      <c r="C8062">
        <v>1</v>
      </c>
      <c r="D8062" s="1">
        <v>44205.859236111108</v>
      </c>
      <c r="E8062" t="s">
        <v>25174</v>
      </c>
      <c r="F8062" t="s">
        <v>666</v>
      </c>
      <c r="G8062" t="s">
        <v>25174</v>
      </c>
      <c r="H8062" t="s">
        <v>667</v>
      </c>
      <c r="I8062" t="s">
        <v>29</v>
      </c>
      <c r="J8062">
        <v>1</v>
      </c>
      <c r="K8062">
        <f>1-888-371-8672</f>
        <v>-9930</v>
      </c>
      <c r="L8062" t="s">
        <v>25175</v>
      </c>
      <c r="M8062" t="s">
        <v>25176</v>
      </c>
      <c r="N8062">
        <v>227</v>
      </c>
      <c r="O8062" t="s">
        <v>134</v>
      </c>
      <c r="P8062" t="s">
        <v>29</v>
      </c>
      <c r="Q8062">
        <v>41</v>
      </c>
      <c r="R8062">
        <v>-74.024699999999996</v>
      </c>
    </row>
    <row r="8063" spans="1:18" x14ac:dyDescent="0.2">
      <c r="A8063" t="s">
        <v>2233</v>
      </c>
      <c r="B8063" t="s">
        <v>2234</v>
      </c>
      <c r="C8063">
        <v>1</v>
      </c>
      <c r="D8063" s="1">
        <v>44205.911782407406</v>
      </c>
      <c r="E8063" t="s">
        <v>25177</v>
      </c>
      <c r="F8063" t="s">
        <v>2236</v>
      </c>
      <c r="G8063" t="s">
        <v>25178</v>
      </c>
      <c r="H8063" t="s">
        <v>2237</v>
      </c>
      <c r="I8063" t="s">
        <v>29</v>
      </c>
      <c r="J8063">
        <v>1</v>
      </c>
      <c r="K8063">
        <f>1-844-291-1011</f>
        <v>-2145</v>
      </c>
      <c r="L8063" t="s">
        <v>25179</v>
      </c>
      <c r="M8063" t="s">
        <v>25180</v>
      </c>
      <c r="N8063" t="s">
        <v>5354</v>
      </c>
      <c r="O8063" t="s">
        <v>28</v>
      </c>
      <c r="P8063" t="s">
        <v>29</v>
      </c>
      <c r="Q8063">
        <v>40</v>
      </c>
      <c r="R8063">
        <v>-83.114099999999993</v>
      </c>
    </row>
    <row r="8064" spans="1:18" x14ac:dyDescent="0.2">
      <c r="A8064" t="s">
        <v>663</v>
      </c>
      <c r="B8064" t="s">
        <v>664</v>
      </c>
      <c r="C8064">
        <v>1</v>
      </c>
      <c r="D8064" s="1">
        <v>44205.914872685185</v>
      </c>
      <c r="E8064" t="s">
        <v>25181</v>
      </c>
      <c r="F8064" t="s">
        <v>666</v>
      </c>
      <c r="G8064" t="s">
        <v>25181</v>
      </c>
      <c r="H8064" t="s">
        <v>667</v>
      </c>
      <c r="I8064" t="s">
        <v>29</v>
      </c>
      <c r="J8064">
        <v>1</v>
      </c>
      <c r="K8064">
        <f>1-844-303-3799</f>
        <v>-4945</v>
      </c>
      <c r="L8064" t="s">
        <v>25182</v>
      </c>
      <c r="M8064" t="s">
        <v>25183</v>
      </c>
      <c r="N8064">
        <v>90</v>
      </c>
      <c r="O8064" t="s">
        <v>134</v>
      </c>
      <c r="P8064" t="s">
        <v>29</v>
      </c>
      <c r="Q8064">
        <v>37</v>
      </c>
      <c r="R8064">
        <v>-99.999999000000003</v>
      </c>
    </row>
    <row r="8065" spans="1:18" x14ac:dyDescent="0.2">
      <c r="A8065" t="s">
        <v>663</v>
      </c>
      <c r="B8065" t="s">
        <v>2493</v>
      </c>
      <c r="C8065">
        <v>1</v>
      </c>
      <c r="D8065" s="1">
        <v>44206.781585648147</v>
      </c>
      <c r="E8065" t="s">
        <v>25184</v>
      </c>
      <c r="F8065" t="s">
        <v>2495</v>
      </c>
      <c r="G8065" t="s">
        <v>25184</v>
      </c>
      <c r="H8065" t="s">
        <v>667</v>
      </c>
      <c r="I8065" t="s">
        <v>29</v>
      </c>
      <c r="J8065">
        <v>1</v>
      </c>
      <c r="K8065">
        <f>1-888-320-813</f>
        <v>-2020</v>
      </c>
      <c r="L8065" t="s">
        <v>25185</v>
      </c>
      <c r="M8065" t="s">
        <v>25186</v>
      </c>
      <c r="N8065">
        <v>47</v>
      </c>
      <c r="O8065" t="s">
        <v>134</v>
      </c>
      <c r="P8065" t="s">
        <v>29</v>
      </c>
      <c r="Q8065">
        <v>41</v>
      </c>
      <c r="R8065">
        <v>-74.024699999999996</v>
      </c>
    </row>
    <row r="8066" spans="1:18" x14ac:dyDescent="0.2">
      <c r="A8066" t="s">
        <v>663</v>
      </c>
      <c r="B8066" t="s">
        <v>2493</v>
      </c>
      <c r="C8066">
        <v>1</v>
      </c>
      <c r="D8066" s="1">
        <v>44206.775092592594</v>
      </c>
      <c r="E8066" t="s">
        <v>25184</v>
      </c>
      <c r="F8066" t="s">
        <v>2495</v>
      </c>
      <c r="G8066" t="s">
        <v>25184</v>
      </c>
      <c r="H8066" t="s">
        <v>667</v>
      </c>
      <c r="I8066" t="s">
        <v>29</v>
      </c>
      <c r="J8066">
        <v>1</v>
      </c>
      <c r="K8066">
        <f>1-888-340-3989</f>
        <v>-5216</v>
      </c>
      <c r="L8066" t="s">
        <v>25187</v>
      </c>
      <c r="M8066" t="s">
        <v>25188</v>
      </c>
      <c r="N8066">
        <v>47</v>
      </c>
      <c r="O8066" t="s">
        <v>134</v>
      </c>
      <c r="P8066" t="s">
        <v>29</v>
      </c>
      <c r="Q8066">
        <v>41</v>
      </c>
      <c r="R8066">
        <v>-74.024699999999996</v>
      </c>
    </row>
    <row r="8067" spans="1:18" x14ac:dyDescent="0.2">
      <c r="A8067" t="s">
        <v>663</v>
      </c>
      <c r="B8067" t="s">
        <v>2493</v>
      </c>
      <c r="C8067">
        <v>1</v>
      </c>
      <c r="D8067" s="1">
        <v>44206.773356481484</v>
      </c>
      <c r="E8067" t="s">
        <v>25184</v>
      </c>
      <c r="F8067" t="s">
        <v>2495</v>
      </c>
      <c r="G8067" t="s">
        <v>25184</v>
      </c>
      <c r="H8067" t="s">
        <v>667</v>
      </c>
      <c r="I8067" t="s">
        <v>29</v>
      </c>
      <c r="J8067">
        <v>1</v>
      </c>
      <c r="K8067">
        <f>1-888-340-9967</f>
        <v>-11194</v>
      </c>
      <c r="L8067" t="s">
        <v>25189</v>
      </c>
      <c r="M8067" t="s">
        <v>25190</v>
      </c>
      <c r="N8067">
        <v>47</v>
      </c>
      <c r="O8067" t="s">
        <v>134</v>
      </c>
      <c r="P8067" t="s">
        <v>29</v>
      </c>
      <c r="Q8067">
        <v>41</v>
      </c>
      <c r="R8067">
        <v>-74.024699999999996</v>
      </c>
    </row>
    <row r="8068" spans="1:18" x14ac:dyDescent="0.2">
      <c r="A8068" t="s">
        <v>439</v>
      </c>
      <c r="B8068" t="s">
        <v>4321</v>
      </c>
      <c r="C8068">
        <v>1</v>
      </c>
      <c r="D8068" s="1">
        <v>44206.936643518522</v>
      </c>
      <c r="E8068" t="s">
        <v>25191</v>
      </c>
      <c r="F8068" t="s">
        <v>442</v>
      </c>
      <c r="G8068" t="s">
        <v>25192</v>
      </c>
      <c r="H8068" t="s">
        <v>444</v>
      </c>
      <c r="I8068" t="s">
        <v>29</v>
      </c>
      <c r="J8068">
        <v>1</v>
      </c>
      <c r="K8068">
        <f>1-888-465-3419</f>
        <v>-4771</v>
      </c>
      <c r="L8068" t="s">
        <v>25193</v>
      </c>
      <c r="M8068" t="s">
        <v>25194</v>
      </c>
      <c r="N8068" t="s">
        <v>25195</v>
      </c>
      <c r="O8068" t="s">
        <v>28</v>
      </c>
      <c r="P8068" t="s">
        <v>29</v>
      </c>
      <c r="Q8068">
        <v>42</v>
      </c>
      <c r="R8068">
        <v>-87.629800000000003</v>
      </c>
    </row>
    <row r="8069" spans="1:18" x14ac:dyDescent="0.2">
      <c r="A8069" t="s">
        <v>2233</v>
      </c>
      <c r="B8069" t="s">
        <v>440</v>
      </c>
      <c r="C8069">
        <v>1</v>
      </c>
      <c r="D8069" s="1">
        <v>44207.106909722221</v>
      </c>
      <c r="E8069" t="s">
        <v>25196</v>
      </c>
      <c r="F8069" t="s">
        <v>2236</v>
      </c>
      <c r="G8069" t="s">
        <v>25197</v>
      </c>
      <c r="H8069" t="s">
        <v>2237</v>
      </c>
      <c r="I8069" t="s">
        <v>29</v>
      </c>
      <c r="J8069">
        <v>1</v>
      </c>
      <c r="K8069">
        <f>1-855-742-1491</f>
        <v>-3087</v>
      </c>
      <c r="L8069" t="s">
        <v>25198</v>
      </c>
      <c r="M8069" t="s">
        <v>25199</v>
      </c>
      <c r="N8069" t="s">
        <v>5354</v>
      </c>
      <c r="O8069" t="s">
        <v>28</v>
      </c>
      <c r="P8069" t="s">
        <v>29</v>
      </c>
      <c r="Q8069">
        <v>39</v>
      </c>
      <c r="R8069">
        <v>-77.487399999999994</v>
      </c>
    </row>
    <row r="8070" spans="1:18" x14ac:dyDescent="0.2">
      <c r="A8070" t="s">
        <v>439</v>
      </c>
      <c r="B8070" t="s">
        <v>4321</v>
      </c>
      <c r="C8070">
        <v>1</v>
      </c>
      <c r="D8070" s="1">
        <v>44207.170266203706</v>
      </c>
      <c r="E8070" t="s">
        <v>25200</v>
      </c>
      <c r="F8070" t="s">
        <v>442</v>
      </c>
      <c r="G8070" t="s">
        <v>25201</v>
      </c>
      <c r="H8070" t="s">
        <v>444</v>
      </c>
      <c r="I8070" t="s">
        <v>29</v>
      </c>
      <c r="J8070">
        <v>1</v>
      </c>
      <c r="K8070">
        <f>1-888-359-9230</f>
        <v>-10476</v>
      </c>
      <c r="L8070" t="s">
        <v>25202</v>
      </c>
      <c r="M8070" t="s">
        <v>25203</v>
      </c>
      <c r="N8070" t="s">
        <v>213</v>
      </c>
      <c r="O8070" t="s">
        <v>28</v>
      </c>
      <c r="P8070" t="s">
        <v>29</v>
      </c>
      <c r="Q8070">
        <v>42</v>
      </c>
      <c r="R8070">
        <v>-87.629800000000003</v>
      </c>
    </row>
    <row r="8071" spans="1:18" x14ac:dyDescent="0.2">
      <c r="A8071" t="s">
        <v>439</v>
      </c>
      <c r="B8071" t="s">
        <v>4321</v>
      </c>
      <c r="C8071">
        <v>1</v>
      </c>
      <c r="D8071" s="1">
        <v>44207.678298611114</v>
      </c>
      <c r="E8071" t="s">
        <v>25204</v>
      </c>
      <c r="F8071" t="s">
        <v>442</v>
      </c>
      <c r="G8071" t="s">
        <v>25205</v>
      </c>
      <c r="H8071" t="s">
        <v>444</v>
      </c>
      <c r="I8071" t="s">
        <v>29</v>
      </c>
      <c r="J8071">
        <v>1</v>
      </c>
      <c r="K8071">
        <f>1-888-984-8122</f>
        <v>-9993</v>
      </c>
      <c r="L8071" t="s">
        <v>25206</v>
      </c>
      <c r="M8071" t="s">
        <v>25207</v>
      </c>
      <c r="N8071" t="s">
        <v>25195</v>
      </c>
      <c r="O8071" t="s">
        <v>28</v>
      </c>
      <c r="P8071" t="s">
        <v>29</v>
      </c>
      <c r="Q8071">
        <v>42</v>
      </c>
      <c r="R8071">
        <v>-87.629800000000003</v>
      </c>
    </row>
    <row r="8072" spans="1:18" x14ac:dyDescent="0.2">
      <c r="A8072" t="s">
        <v>663</v>
      </c>
      <c r="B8072" t="s">
        <v>2493</v>
      </c>
      <c r="C8072">
        <v>1</v>
      </c>
      <c r="D8072" s="1">
        <v>44207.715300925927</v>
      </c>
      <c r="E8072" t="s">
        <v>25208</v>
      </c>
      <c r="F8072" t="s">
        <v>666</v>
      </c>
      <c r="G8072" t="s">
        <v>25208</v>
      </c>
      <c r="H8072" t="s">
        <v>667</v>
      </c>
      <c r="I8072" t="s">
        <v>29</v>
      </c>
      <c r="J8072">
        <v>1</v>
      </c>
      <c r="K8072">
        <f>1-888-308-4898</f>
        <v>-6093</v>
      </c>
      <c r="L8072" t="s">
        <v>25209</v>
      </c>
      <c r="M8072" t="s">
        <v>25210</v>
      </c>
      <c r="N8072">
        <v>30</v>
      </c>
      <c r="O8072" t="s">
        <v>134</v>
      </c>
      <c r="P8072" t="s">
        <v>29</v>
      </c>
      <c r="Q8072">
        <v>41</v>
      </c>
      <c r="R8072">
        <v>-74.024699999999996</v>
      </c>
    </row>
    <row r="8073" spans="1:18" x14ac:dyDescent="0.2">
      <c r="A8073" t="s">
        <v>663</v>
      </c>
      <c r="B8073" t="s">
        <v>2493</v>
      </c>
      <c r="C8073">
        <v>1</v>
      </c>
      <c r="D8073" s="1">
        <v>44207.737824074073</v>
      </c>
      <c r="E8073" t="s">
        <v>25211</v>
      </c>
      <c r="F8073" t="s">
        <v>666</v>
      </c>
      <c r="G8073" t="s">
        <v>25211</v>
      </c>
      <c r="H8073" t="s">
        <v>667</v>
      </c>
      <c r="I8073" t="s">
        <v>29</v>
      </c>
      <c r="J8073">
        <v>1</v>
      </c>
      <c r="K8073">
        <f>1-888-341-6246</f>
        <v>-7474</v>
      </c>
      <c r="L8073" t="s">
        <v>25212</v>
      </c>
      <c r="M8073" t="s">
        <v>25213</v>
      </c>
      <c r="N8073">
        <v>2</v>
      </c>
      <c r="O8073" t="s">
        <v>134</v>
      </c>
      <c r="P8073" t="s">
        <v>29</v>
      </c>
      <c r="Q8073">
        <v>41</v>
      </c>
      <c r="R8073">
        <v>-74.024699999999996</v>
      </c>
    </row>
    <row r="8074" spans="1:18" x14ac:dyDescent="0.2">
      <c r="A8074" t="s">
        <v>3420</v>
      </c>
      <c r="B8074" t="s">
        <v>6921</v>
      </c>
      <c r="C8074">
        <v>1</v>
      </c>
      <c r="D8074" s="1">
        <v>44207.789664351854</v>
      </c>
      <c r="E8074" t="s">
        <v>25214</v>
      </c>
      <c r="F8074" t="s">
        <v>3422</v>
      </c>
      <c r="G8074" t="s">
        <v>25215</v>
      </c>
      <c r="H8074" t="s">
        <v>3423</v>
      </c>
      <c r="I8074" t="s">
        <v>29</v>
      </c>
      <c r="J8074">
        <v>1</v>
      </c>
      <c r="K8074">
        <f>1-844-583-4382</f>
        <v>-5808</v>
      </c>
      <c r="L8074" t="s">
        <v>25216</v>
      </c>
      <c r="M8074" t="s">
        <v>25217</v>
      </c>
      <c r="N8074" t="s">
        <v>447</v>
      </c>
      <c r="O8074" t="s">
        <v>28</v>
      </c>
      <c r="P8074" t="s">
        <v>29</v>
      </c>
      <c r="Q8074">
        <v>41</v>
      </c>
      <c r="R8074">
        <v>-95.860799999999998</v>
      </c>
    </row>
    <row r="8075" spans="1:18" x14ac:dyDescent="0.2">
      <c r="A8075" t="s">
        <v>663</v>
      </c>
      <c r="B8075" t="s">
        <v>3245</v>
      </c>
      <c r="C8075">
        <v>1</v>
      </c>
      <c r="D8075" s="1">
        <v>44207.789710648147</v>
      </c>
      <c r="E8075" t="s">
        <v>25218</v>
      </c>
      <c r="F8075" t="s">
        <v>666</v>
      </c>
      <c r="G8075" t="s">
        <v>25218</v>
      </c>
      <c r="H8075" t="s">
        <v>667</v>
      </c>
      <c r="I8075" t="s">
        <v>29</v>
      </c>
      <c r="J8075">
        <v>1</v>
      </c>
      <c r="K8075">
        <f>1-866-463-1034</f>
        <v>-2362</v>
      </c>
      <c r="L8075" t="s">
        <v>25219</v>
      </c>
      <c r="M8075" t="s">
        <v>25220</v>
      </c>
      <c r="N8075">
        <v>19</v>
      </c>
      <c r="O8075" t="s">
        <v>134</v>
      </c>
      <c r="P8075" t="s">
        <v>29</v>
      </c>
      <c r="Q8075">
        <v>41</v>
      </c>
      <c r="R8075">
        <v>-74.140299999999996</v>
      </c>
    </row>
    <row r="8076" spans="1:18" x14ac:dyDescent="0.2">
      <c r="A8076" t="s">
        <v>439</v>
      </c>
      <c r="B8076" t="s">
        <v>4321</v>
      </c>
      <c r="C8076">
        <v>1</v>
      </c>
      <c r="D8076" s="1">
        <v>44207.789768518516</v>
      </c>
      <c r="E8076" t="s">
        <v>25221</v>
      </c>
      <c r="F8076" t="s">
        <v>442</v>
      </c>
      <c r="G8076" t="s">
        <v>25222</v>
      </c>
      <c r="H8076" t="s">
        <v>444</v>
      </c>
      <c r="I8076" t="s">
        <v>29</v>
      </c>
      <c r="J8076">
        <v>1</v>
      </c>
      <c r="K8076">
        <f>1-888-371-6295</f>
        <v>-7553</v>
      </c>
      <c r="L8076" t="s">
        <v>25223</v>
      </c>
      <c r="M8076" t="s">
        <v>25224</v>
      </c>
      <c r="N8076" t="s">
        <v>1645</v>
      </c>
      <c r="O8076" t="s">
        <v>28</v>
      </c>
      <c r="P8076" t="s">
        <v>29</v>
      </c>
      <c r="Q8076">
        <v>42</v>
      </c>
      <c r="R8076">
        <v>-87.629800000000003</v>
      </c>
    </row>
    <row r="8077" spans="1:18" x14ac:dyDescent="0.2">
      <c r="A8077" t="s">
        <v>663</v>
      </c>
      <c r="B8077" t="s">
        <v>2493</v>
      </c>
      <c r="C8077">
        <v>1</v>
      </c>
      <c r="D8077" s="1">
        <v>44207.807060185187</v>
      </c>
      <c r="E8077" t="s">
        <v>25225</v>
      </c>
      <c r="F8077" t="s">
        <v>666</v>
      </c>
      <c r="G8077" t="s">
        <v>25225</v>
      </c>
      <c r="H8077" t="s">
        <v>667</v>
      </c>
      <c r="I8077" t="s">
        <v>29</v>
      </c>
      <c r="J8077">
        <v>1</v>
      </c>
      <c r="K8077">
        <f>1-888-303-3501</f>
        <v>-4691</v>
      </c>
      <c r="L8077" t="s">
        <v>25226</v>
      </c>
      <c r="M8077" t="s">
        <v>25227</v>
      </c>
      <c r="N8077">
        <v>153</v>
      </c>
      <c r="O8077" t="s">
        <v>134</v>
      </c>
      <c r="P8077" t="s">
        <v>29</v>
      </c>
      <c r="Q8077">
        <v>41</v>
      </c>
      <c r="R8077">
        <v>-74.024699999999996</v>
      </c>
    </row>
    <row r="8078" spans="1:18" x14ac:dyDescent="0.2">
      <c r="A8078" t="s">
        <v>663</v>
      </c>
      <c r="B8078" t="s">
        <v>2493</v>
      </c>
      <c r="C8078">
        <v>1</v>
      </c>
      <c r="D8078" s="1">
        <v>44207.789930555555</v>
      </c>
      <c r="E8078" t="s">
        <v>25225</v>
      </c>
      <c r="F8078" t="s">
        <v>666</v>
      </c>
      <c r="G8078" t="s">
        <v>25225</v>
      </c>
      <c r="H8078" t="s">
        <v>667</v>
      </c>
      <c r="I8078" t="s">
        <v>29</v>
      </c>
      <c r="J8078">
        <v>1</v>
      </c>
      <c r="K8078">
        <f>1-888-346-845</f>
        <v>-2078</v>
      </c>
      <c r="L8078" t="s">
        <v>25228</v>
      </c>
      <c r="M8078" t="s">
        <v>25229</v>
      </c>
      <c r="N8078">
        <v>153</v>
      </c>
      <c r="O8078" t="s">
        <v>134</v>
      </c>
      <c r="P8078" t="s">
        <v>29</v>
      </c>
      <c r="Q8078">
        <v>41</v>
      </c>
      <c r="R8078">
        <v>-74.024699999999996</v>
      </c>
    </row>
    <row r="8079" spans="1:18" x14ac:dyDescent="0.2">
      <c r="A8079" t="s">
        <v>663</v>
      </c>
      <c r="B8079" t="s">
        <v>2493</v>
      </c>
      <c r="C8079">
        <v>1</v>
      </c>
      <c r="D8079" s="1">
        <v>44207.813726851855</v>
      </c>
      <c r="E8079" t="s">
        <v>25230</v>
      </c>
      <c r="F8079" t="s">
        <v>666</v>
      </c>
      <c r="G8079" t="s">
        <v>25230</v>
      </c>
      <c r="H8079" t="s">
        <v>667</v>
      </c>
      <c r="I8079" t="s">
        <v>29</v>
      </c>
      <c r="J8079">
        <v>1</v>
      </c>
      <c r="K8079">
        <f>1-888-324-6685</f>
        <v>-7896</v>
      </c>
      <c r="L8079" t="s">
        <v>25231</v>
      </c>
      <c r="M8079" t="s">
        <v>25232</v>
      </c>
      <c r="N8079">
        <v>201</v>
      </c>
      <c r="O8079" t="s">
        <v>134</v>
      </c>
      <c r="P8079" t="s">
        <v>29</v>
      </c>
      <c r="Q8079">
        <v>41</v>
      </c>
      <c r="R8079">
        <v>-74.024699999999996</v>
      </c>
    </row>
    <row r="8080" spans="1:18" x14ac:dyDescent="0.2">
      <c r="A8080" t="s">
        <v>663</v>
      </c>
      <c r="B8080" t="s">
        <v>2493</v>
      </c>
      <c r="C8080">
        <v>1</v>
      </c>
      <c r="D8080" s="1">
        <v>44207.810520833336</v>
      </c>
      <c r="E8080" t="s">
        <v>25230</v>
      </c>
      <c r="F8080" t="s">
        <v>666</v>
      </c>
      <c r="G8080" t="s">
        <v>25230</v>
      </c>
      <c r="H8080" t="s">
        <v>667</v>
      </c>
      <c r="I8080" t="s">
        <v>29</v>
      </c>
      <c r="J8080">
        <v>1</v>
      </c>
      <c r="K8080">
        <f>1-888-312-1468</f>
        <v>-2667</v>
      </c>
      <c r="L8080" t="s">
        <v>25233</v>
      </c>
      <c r="M8080" t="s">
        <v>25234</v>
      </c>
      <c r="N8080">
        <v>201</v>
      </c>
      <c r="O8080" t="s">
        <v>134</v>
      </c>
      <c r="P8080" t="s">
        <v>29</v>
      </c>
      <c r="Q8080">
        <v>41</v>
      </c>
      <c r="R8080">
        <v>-74.024699999999996</v>
      </c>
    </row>
    <row r="8081" spans="1:18" x14ac:dyDescent="0.2">
      <c r="A8081" t="s">
        <v>663</v>
      </c>
      <c r="B8081" t="s">
        <v>2493</v>
      </c>
      <c r="C8081">
        <v>1</v>
      </c>
      <c r="D8081" s="1">
        <v>44207.808900462966</v>
      </c>
      <c r="E8081" t="s">
        <v>25230</v>
      </c>
      <c r="F8081" t="s">
        <v>666</v>
      </c>
      <c r="G8081" t="s">
        <v>25230</v>
      </c>
      <c r="H8081" t="s">
        <v>667</v>
      </c>
      <c r="I8081" t="s">
        <v>29</v>
      </c>
      <c r="J8081">
        <v>1</v>
      </c>
      <c r="K8081">
        <f>1-888-308-1181</f>
        <v>-2376</v>
      </c>
      <c r="L8081" t="s">
        <v>25235</v>
      </c>
      <c r="M8081" t="s">
        <v>25236</v>
      </c>
      <c r="N8081">
        <v>201</v>
      </c>
      <c r="O8081" t="s">
        <v>134</v>
      </c>
      <c r="P8081" t="s">
        <v>29</v>
      </c>
      <c r="Q8081">
        <v>41</v>
      </c>
      <c r="R8081">
        <v>-74.024699999999996</v>
      </c>
    </row>
    <row r="8082" spans="1:18" x14ac:dyDescent="0.2">
      <c r="A8082" t="s">
        <v>663</v>
      </c>
      <c r="B8082" t="s">
        <v>3245</v>
      </c>
      <c r="C8082">
        <v>1</v>
      </c>
      <c r="D8082" s="1">
        <v>44207.833043981482</v>
      </c>
      <c r="E8082" t="s">
        <v>25237</v>
      </c>
      <c r="F8082" t="s">
        <v>666</v>
      </c>
      <c r="G8082" t="s">
        <v>25237</v>
      </c>
      <c r="H8082" t="s">
        <v>667</v>
      </c>
      <c r="I8082" t="s">
        <v>29</v>
      </c>
      <c r="J8082">
        <v>1</v>
      </c>
      <c r="K8082">
        <f>1-844-304-8954</f>
        <v>-10101</v>
      </c>
      <c r="L8082" t="s">
        <v>25238</v>
      </c>
      <c r="M8082" t="s">
        <v>25239</v>
      </c>
      <c r="N8082">
        <v>63</v>
      </c>
      <c r="O8082" t="s">
        <v>134</v>
      </c>
      <c r="P8082" t="s">
        <v>29</v>
      </c>
      <c r="Q8082">
        <v>41</v>
      </c>
      <c r="R8082">
        <v>-74.140299999999996</v>
      </c>
    </row>
    <row r="8083" spans="1:18" x14ac:dyDescent="0.2">
      <c r="A8083" t="s">
        <v>663</v>
      </c>
      <c r="B8083" t="s">
        <v>2493</v>
      </c>
      <c r="C8083">
        <v>1</v>
      </c>
      <c r="D8083" s="1">
        <v>44207.90184027778</v>
      </c>
      <c r="E8083" t="s">
        <v>25240</v>
      </c>
      <c r="F8083" t="s">
        <v>666</v>
      </c>
      <c r="G8083" t="s">
        <v>25240</v>
      </c>
      <c r="H8083" t="s">
        <v>667</v>
      </c>
      <c r="I8083" t="s">
        <v>29</v>
      </c>
      <c r="J8083">
        <v>1</v>
      </c>
      <c r="K8083">
        <f>1-888-332-2477</f>
        <v>-3696</v>
      </c>
      <c r="L8083" t="s">
        <v>25241</v>
      </c>
      <c r="M8083" t="s">
        <v>25242</v>
      </c>
      <c r="N8083">
        <v>59</v>
      </c>
      <c r="O8083" t="s">
        <v>134</v>
      </c>
      <c r="P8083" t="s">
        <v>29</v>
      </c>
      <c r="Q8083">
        <v>41</v>
      </c>
      <c r="R8083">
        <v>-74.024699999999996</v>
      </c>
    </row>
    <row r="8084" spans="1:18" x14ac:dyDescent="0.2">
      <c r="A8084" t="s">
        <v>663</v>
      </c>
      <c r="B8084" t="s">
        <v>2493</v>
      </c>
      <c r="C8084">
        <v>1</v>
      </c>
      <c r="D8084" s="1">
        <v>44207.94734953704</v>
      </c>
      <c r="E8084" t="s">
        <v>25243</v>
      </c>
      <c r="F8084" t="s">
        <v>666</v>
      </c>
      <c r="G8084" t="s">
        <v>25243</v>
      </c>
      <c r="H8084" t="s">
        <v>667</v>
      </c>
      <c r="I8084" t="s">
        <v>29</v>
      </c>
      <c r="J8084">
        <v>1</v>
      </c>
      <c r="K8084">
        <f>1-888-325-4031</f>
        <v>-5243</v>
      </c>
      <c r="L8084" t="s">
        <v>25244</v>
      </c>
      <c r="M8084" t="s">
        <v>25245</v>
      </c>
      <c r="N8084">
        <v>87</v>
      </c>
      <c r="O8084" t="s">
        <v>134</v>
      </c>
      <c r="P8084" t="s">
        <v>29</v>
      </c>
      <c r="Q8084">
        <v>41</v>
      </c>
      <c r="R8084">
        <v>-74.024699999999996</v>
      </c>
    </row>
    <row r="8085" spans="1:18" x14ac:dyDescent="0.2">
      <c r="A8085" t="s">
        <v>663</v>
      </c>
      <c r="B8085" t="s">
        <v>2493</v>
      </c>
      <c r="C8085">
        <v>1</v>
      </c>
      <c r="D8085" s="1">
        <v>44207.944652777776</v>
      </c>
      <c r="E8085" t="s">
        <v>25243</v>
      </c>
      <c r="F8085" t="s">
        <v>666</v>
      </c>
      <c r="G8085" t="s">
        <v>25243</v>
      </c>
      <c r="H8085" t="s">
        <v>667</v>
      </c>
      <c r="I8085" t="s">
        <v>29</v>
      </c>
      <c r="J8085">
        <v>1</v>
      </c>
      <c r="K8085">
        <f>1-888-323-5158</f>
        <v>-6368</v>
      </c>
      <c r="L8085" t="s">
        <v>25246</v>
      </c>
      <c r="M8085" t="s">
        <v>25247</v>
      </c>
      <c r="N8085">
        <v>87</v>
      </c>
      <c r="O8085" t="s">
        <v>134</v>
      </c>
      <c r="P8085" t="s">
        <v>29</v>
      </c>
      <c r="Q8085">
        <v>41</v>
      </c>
      <c r="R8085">
        <v>-74.024699999999996</v>
      </c>
    </row>
    <row r="8086" spans="1:18" x14ac:dyDescent="0.2">
      <c r="A8086" t="s">
        <v>663</v>
      </c>
      <c r="B8086" t="s">
        <v>2493</v>
      </c>
      <c r="C8086">
        <v>61</v>
      </c>
      <c r="D8086" s="1">
        <v>44208.078958333332</v>
      </c>
      <c r="E8086" t="s">
        <v>25248</v>
      </c>
      <c r="F8086" t="s">
        <v>666</v>
      </c>
      <c r="G8086" t="s">
        <v>25248</v>
      </c>
      <c r="H8086" t="s">
        <v>667</v>
      </c>
      <c r="I8086" t="s">
        <v>782</v>
      </c>
      <c r="J8086">
        <v>61</v>
      </c>
      <c r="K8086">
        <f>61-1800-950-477</f>
        <v>-3166</v>
      </c>
      <c r="L8086" t="s">
        <v>25249</v>
      </c>
      <c r="M8086" t="s">
        <v>25250</v>
      </c>
      <c r="N8086">
        <v>223</v>
      </c>
      <c r="O8086" t="s">
        <v>134</v>
      </c>
      <c r="P8086" t="s">
        <v>29</v>
      </c>
      <c r="Q8086">
        <v>41</v>
      </c>
      <c r="R8086">
        <v>-74.024699999999996</v>
      </c>
    </row>
    <row r="8087" spans="1:18" x14ac:dyDescent="0.2">
      <c r="A8087" t="s">
        <v>439</v>
      </c>
      <c r="B8087" t="s">
        <v>4321</v>
      </c>
      <c r="C8087">
        <v>1</v>
      </c>
      <c r="D8087" s="1">
        <v>44208.634155092594</v>
      </c>
      <c r="E8087" t="s">
        <v>25251</v>
      </c>
      <c r="F8087" t="s">
        <v>442</v>
      </c>
      <c r="G8087" t="s">
        <v>25252</v>
      </c>
      <c r="H8087" t="s">
        <v>444</v>
      </c>
      <c r="I8087" t="s">
        <v>29</v>
      </c>
      <c r="J8087">
        <v>1</v>
      </c>
      <c r="K8087">
        <f>1-888-348-8441</f>
        <v>-9676</v>
      </c>
      <c r="L8087" t="s">
        <v>25253</v>
      </c>
      <c r="M8087" t="s">
        <v>25254</v>
      </c>
      <c r="N8087" t="s">
        <v>2475</v>
      </c>
      <c r="O8087" t="s">
        <v>28</v>
      </c>
      <c r="P8087" t="s">
        <v>29</v>
      </c>
      <c r="Q8087">
        <v>42</v>
      </c>
      <c r="R8087">
        <v>-87.629800000000003</v>
      </c>
    </row>
    <row r="8088" spans="1:18" x14ac:dyDescent="0.2">
      <c r="A8088" t="s">
        <v>439</v>
      </c>
      <c r="B8088" t="s">
        <v>4321</v>
      </c>
      <c r="C8088">
        <v>1</v>
      </c>
      <c r="D8088" s="1">
        <v>44208.676006944443</v>
      </c>
      <c r="E8088" t="s">
        <v>25255</v>
      </c>
      <c r="F8088" t="s">
        <v>442</v>
      </c>
      <c r="G8088" t="s">
        <v>25256</v>
      </c>
      <c r="H8088" t="s">
        <v>444</v>
      </c>
      <c r="I8088" t="s">
        <v>29</v>
      </c>
      <c r="J8088">
        <v>1</v>
      </c>
      <c r="K8088">
        <f>1-888-348-8441</f>
        <v>-9676</v>
      </c>
      <c r="L8088" t="s">
        <v>25257</v>
      </c>
      <c r="M8088" t="s">
        <v>25258</v>
      </c>
      <c r="N8088" t="s">
        <v>1645</v>
      </c>
      <c r="O8088" t="s">
        <v>28</v>
      </c>
      <c r="P8088" t="s">
        <v>29</v>
      </c>
      <c r="Q8088">
        <v>42</v>
      </c>
      <c r="R8088">
        <v>-87.629800000000003</v>
      </c>
    </row>
    <row r="8089" spans="1:18" x14ac:dyDescent="0.2">
      <c r="A8089" t="s">
        <v>2349</v>
      </c>
      <c r="B8089" t="s">
        <v>6962</v>
      </c>
      <c r="C8089">
        <v>1</v>
      </c>
      <c r="D8089" s="1">
        <v>44208.677604166667</v>
      </c>
      <c r="E8089" t="s">
        <v>25259</v>
      </c>
      <c r="F8089" t="s">
        <v>2352</v>
      </c>
      <c r="G8089" t="s">
        <v>25260</v>
      </c>
      <c r="H8089" t="s">
        <v>2353</v>
      </c>
      <c r="I8089" t="s">
        <v>29</v>
      </c>
      <c r="J8089">
        <v>1</v>
      </c>
      <c r="K8089">
        <f>1-844-305-9107</f>
        <v>-10255</v>
      </c>
      <c r="L8089" t="s">
        <v>25261</v>
      </c>
      <c r="M8089" t="s">
        <v>25262</v>
      </c>
      <c r="N8089" t="s">
        <v>25263</v>
      </c>
      <c r="O8089" t="s">
        <v>28</v>
      </c>
      <c r="P8089" t="s">
        <v>29</v>
      </c>
      <c r="Q8089">
        <v>42</v>
      </c>
      <c r="R8089">
        <v>-87.962000000000003</v>
      </c>
    </row>
    <row r="8090" spans="1:18" x14ac:dyDescent="0.2">
      <c r="A8090" t="s">
        <v>663</v>
      </c>
      <c r="B8090" t="s">
        <v>2263</v>
      </c>
      <c r="C8090">
        <v>1</v>
      </c>
      <c r="D8090" s="1">
        <v>44208.74013888889</v>
      </c>
      <c r="E8090" t="s">
        <v>25264</v>
      </c>
      <c r="F8090" t="s">
        <v>666</v>
      </c>
      <c r="G8090" t="s">
        <v>25264</v>
      </c>
      <c r="H8090" t="s">
        <v>667</v>
      </c>
      <c r="I8090" t="s">
        <v>29</v>
      </c>
      <c r="J8090">
        <v>1</v>
      </c>
      <c r="K8090">
        <f>1-844-309-2136</f>
        <v>-3288</v>
      </c>
      <c r="L8090" t="s">
        <v>25265</v>
      </c>
      <c r="M8090" t="s">
        <v>25266</v>
      </c>
      <c r="N8090">
        <v>57</v>
      </c>
      <c r="O8090" t="s">
        <v>134</v>
      </c>
      <c r="P8090" t="s">
        <v>2268</v>
      </c>
      <c r="Q8090">
        <v>44</v>
      </c>
      <c r="R8090">
        <v>-79.362300000000005</v>
      </c>
    </row>
    <row r="8091" spans="1:18" x14ac:dyDescent="0.2">
      <c r="A8091" t="s">
        <v>663</v>
      </c>
      <c r="B8091" t="s">
        <v>2500</v>
      </c>
      <c r="C8091">
        <v>1</v>
      </c>
      <c r="D8091" s="1">
        <v>44208.753078703703</v>
      </c>
      <c r="E8091" t="s">
        <v>25267</v>
      </c>
      <c r="F8091" t="s">
        <v>666</v>
      </c>
      <c r="G8091" t="s">
        <v>25267</v>
      </c>
      <c r="H8091" t="s">
        <v>667</v>
      </c>
      <c r="I8091" t="s">
        <v>29</v>
      </c>
      <c r="J8091">
        <v>1</v>
      </c>
      <c r="K8091">
        <f>1-844-285-800</f>
        <v>-1928</v>
      </c>
      <c r="L8091" t="s">
        <v>25268</v>
      </c>
      <c r="M8091" t="s">
        <v>25269</v>
      </c>
      <c r="N8091">
        <v>182</v>
      </c>
      <c r="O8091" t="s">
        <v>134</v>
      </c>
      <c r="P8091" t="s">
        <v>2500</v>
      </c>
      <c r="Q8091">
        <v>1</v>
      </c>
      <c r="R8091">
        <v>99.999999000000003</v>
      </c>
    </row>
    <row r="8092" spans="1:18" x14ac:dyDescent="0.2">
      <c r="A8092" t="s">
        <v>2233</v>
      </c>
      <c r="B8092" t="s">
        <v>4672</v>
      </c>
      <c r="C8092">
        <v>1</v>
      </c>
      <c r="D8092" s="1">
        <v>44208.775868055556</v>
      </c>
      <c r="E8092" t="s">
        <v>25270</v>
      </c>
      <c r="F8092" t="s">
        <v>2236</v>
      </c>
      <c r="G8092" t="s">
        <v>25271</v>
      </c>
      <c r="H8092" t="s">
        <v>2237</v>
      </c>
      <c r="I8092" t="s">
        <v>29</v>
      </c>
      <c r="J8092">
        <v>1</v>
      </c>
      <c r="K8092">
        <f>1-888-658-5288</f>
        <v>-6833</v>
      </c>
      <c r="L8092" t="s">
        <v>25272</v>
      </c>
      <c r="M8092" t="s">
        <v>25273</v>
      </c>
      <c r="N8092" t="s">
        <v>22454</v>
      </c>
      <c r="O8092" t="s">
        <v>134</v>
      </c>
      <c r="P8092" t="s">
        <v>782</v>
      </c>
      <c r="Q8092">
        <v>-34</v>
      </c>
      <c r="R8092">
        <v>99.999999000000003</v>
      </c>
    </row>
    <row r="8093" spans="1:18" x14ac:dyDescent="0.2">
      <c r="A8093" t="s">
        <v>663</v>
      </c>
      <c r="B8093" t="s">
        <v>2493</v>
      </c>
      <c r="C8093">
        <v>1</v>
      </c>
      <c r="D8093" s="1">
        <v>44208.795416666668</v>
      </c>
      <c r="E8093" t="s">
        <v>25274</v>
      </c>
      <c r="F8093" t="s">
        <v>666</v>
      </c>
      <c r="G8093" t="s">
        <v>25274</v>
      </c>
      <c r="H8093" t="s">
        <v>667</v>
      </c>
      <c r="I8093" t="s">
        <v>29</v>
      </c>
      <c r="J8093">
        <v>1</v>
      </c>
      <c r="K8093">
        <f>1-888-342-8068</f>
        <v>-9297</v>
      </c>
      <c r="L8093" t="s">
        <v>25275</v>
      </c>
      <c r="M8093" t="s">
        <v>25276</v>
      </c>
      <c r="N8093">
        <v>78</v>
      </c>
      <c r="O8093" t="s">
        <v>134</v>
      </c>
      <c r="P8093" t="s">
        <v>29</v>
      </c>
      <c r="Q8093">
        <v>41</v>
      </c>
      <c r="R8093">
        <v>-74.024699999999996</v>
      </c>
    </row>
    <row r="8094" spans="1:18" x14ac:dyDescent="0.2">
      <c r="A8094" t="s">
        <v>663</v>
      </c>
      <c r="B8094" t="s">
        <v>2493</v>
      </c>
      <c r="C8094">
        <v>1</v>
      </c>
      <c r="D8094" s="1">
        <v>44208.793506944443</v>
      </c>
      <c r="E8094" t="s">
        <v>25274</v>
      </c>
      <c r="F8094" t="s">
        <v>666</v>
      </c>
      <c r="G8094" t="s">
        <v>25274</v>
      </c>
      <c r="H8094" t="s">
        <v>667</v>
      </c>
      <c r="I8094" t="s">
        <v>29</v>
      </c>
      <c r="J8094">
        <v>1</v>
      </c>
      <c r="K8094">
        <f>1-888-347-2707</f>
        <v>-3941</v>
      </c>
      <c r="L8094" t="s">
        <v>25277</v>
      </c>
      <c r="M8094" t="s">
        <v>25278</v>
      </c>
      <c r="N8094">
        <v>78</v>
      </c>
      <c r="O8094" t="s">
        <v>134</v>
      </c>
      <c r="P8094" t="s">
        <v>29</v>
      </c>
      <c r="Q8094">
        <v>41</v>
      </c>
      <c r="R8094">
        <v>-74.024699999999996</v>
      </c>
    </row>
    <row r="8095" spans="1:18" x14ac:dyDescent="0.2">
      <c r="A8095" t="s">
        <v>663</v>
      </c>
      <c r="B8095" t="s">
        <v>2493</v>
      </c>
      <c r="C8095">
        <v>1</v>
      </c>
      <c r="D8095" s="1">
        <v>44208.788576388892</v>
      </c>
      <c r="E8095" t="s">
        <v>25274</v>
      </c>
      <c r="F8095" t="s">
        <v>666</v>
      </c>
      <c r="G8095" t="s">
        <v>25274</v>
      </c>
      <c r="H8095" t="s">
        <v>667</v>
      </c>
      <c r="I8095" t="s">
        <v>29</v>
      </c>
      <c r="J8095">
        <v>1</v>
      </c>
      <c r="K8095">
        <f>1-888-354-462</f>
        <v>-1703</v>
      </c>
      <c r="L8095" t="s">
        <v>25279</v>
      </c>
      <c r="M8095" t="s">
        <v>25280</v>
      </c>
      <c r="N8095">
        <v>78</v>
      </c>
      <c r="O8095" t="s">
        <v>134</v>
      </c>
      <c r="P8095" t="s">
        <v>29</v>
      </c>
      <c r="Q8095">
        <v>41</v>
      </c>
      <c r="R8095">
        <v>-74.024699999999996</v>
      </c>
    </row>
    <row r="8096" spans="1:18" x14ac:dyDescent="0.2">
      <c r="A8096" t="s">
        <v>663</v>
      </c>
      <c r="B8096" t="s">
        <v>3245</v>
      </c>
      <c r="C8096">
        <v>1</v>
      </c>
      <c r="D8096" s="1">
        <v>44208.796712962961</v>
      </c>
      <c r="E8096" t="s">
        <v>25281</v>
      </c>
      <c r="F8096" t="s">
        <v>666</v>
      </c>
      <c r="G8096" t="s">
        <v>25282</v>
      </c>
      <c r="H8096" t="s">
        <v>667</v>
      </c>
      <c r="I8096" t="s">
        <v>29</v>
      </c>
      <c r="J8096">
        <v>1</v>
      </c>
      <c r="K8096">
        <f>1-855-908-5198</f>
        <v>-6960</v>
      </c>
      <c r="L8096" t="s">
        <v>25283</v>
      </c>
      <c r="M8096" t="s">
        <v>25284</v>
      </c>
      <c r="N8096" t="s">
        <v>5986</v>
      </c>
      <c r="O8096" t="s">
        <v>28</v>
      </c>
      <c r="P8096" t="s">
        <v>29</v>
      </c>
      <c r="Q8096">
        <v>41</v>
      </c>
      <c r="R8096">
        <v>-74.140299999999996</v>
      </c>
    </row>
    <row r="8097" spans="1:18" x14ac:dyDescent="0.2">
      <c r="A8097" t="s">
        <v>663</v>
      </c>
      <c r="B8097" t="s">
        <v>2493</v>
      </c>
      <c r="C8097">
        <v>1</v>
      </c>
      <c r="D8097" s="1">
        <v>44208.804189814815</v>
      </c>
      <c r="E8097" t="s">
        <v>25285</v>
      </c>
      <c r="F8097" t="s">
        <v>666</v>
      </c>
      <c r="G8097" t="s">
        <v>25285</v>
      </c>
      <c r="H8097" t="s">
        <v>667</v>
      </c>
      <c r="I8097" t="s">
        <v>29</v>
      </c>
      <c r="J8097">
        <v>1</v>
      </c>
      <c r="K8097">
        <f>1-888-350-3049</f>
        <v>-4286</v>
      </c>
      <c r="L8097" t="s">
        <v>25286</v>
      </c>
      <c r="M8097" t="s">
        <v>25287</v>
      </c>
      <c r="N8097">
        <v>239</v>
      </c>
      <c r="O8097" t="s">
        <v>134</v>
      </c>
      <c r="P8097" t="s">
        <v>29</v>
      </c>
      <c r="Q8097">
        <v>41</v>
      </c>
      <c r="R8097">
        <v>-74.024699999999996</v>
      </c>
    </row>
    <row r="8098" spans="1:18" x14ac:dyDescent="0.2">
      <c r="A8098" t="s">
        <v>663</v>
      </c>
      <c r="B8098" t="s">
        <v>2493</v>
      </c>
      <c r="C8098">
        <v>1</v>
      </c>
      <c r="D8098" s="1">
        <v>44208.799259259256</v>
      </c>
      <c r="E8098" t="s">
        <v>25285</v>
      </c>
      <c r="F8098" t="s">
        <v>666</v>
      </c>
      <c r="G8098" t="s">
        <v>25285</v>
      </c>
      <c r="H8098" t="s">
        <v>667</v>
      </c>
      <c r="I8098" t="s">
        <v>29</v>
      </c>
      <c r="J8098">
        <v>1</v>
      </c>
      <c r="K8098">
        <f>1-888-308-5819</f>
        <v>-7014</v>
      </c>
      <c r="L8098" t="s">
        <v>25288</v>
      </c>
      <c r="M8098" t="s">
        <v>25289</v>
      </c>
      <c r="N8098">
        <v>239</v>
      </c>
      <c r="O8098" t="s">
        <v>134</v>
      </c>
      <c r="P8098" t="s">
        <v>29</v>
      </c>
      <c r="Q8098">
        <v>41</v>
      </c>
      <c r="R8098">
        <v>-74.024699999999996</v>
      </c>
    </row>
    <row r="8099" spans="1:18" x14ac:dyDescent="0.2">
      <c r="A8099" t="s">
        <v>439</v>
      </c>
      <c r="B8099" t="s">
        <v>4321</v>
      </c>
      <c r="C8099">
        <v>1</v>
      </c>
      <c r="D8099" s="1">
        <v>44208.807905092595</v>
      </c>
      <c r="E8099" t="s">
        <v>25290</v>
      </c>
      <c r="F8099" t="s">
        <v>442</v>
      </c>
      <c r="G8099" t="s">
        <v>25291</v>
      </c>
      <c r="H8099" t="s">
        <v>444</v>
      </c>
      <c r="I8099" t="s">
        <v>29</v>
      </c>
      <c r="J8099">
        <v>1</v>
      </c>
      <c r="K8099">
        <f>1-844-310-4770</f>
        <v>-5923</v>
      </c>
      <c r="L8099" t="s">
        <v>25292</v>
      </c>
      <c r="M8099" t="s">
        <v>25293</v>
      </c>
      <c r="N8099" t="s">
        <v>3441</v>
      </c>
      <c r="O8099" t="s">
        <v>28</v>
      </c>
      <c r="P8099" t="s">
        <v>29</v>
      </c>
      <c r="Q8099">
        <v>42</v>
      </c>
      <c r="R8099">
        <v>-87.629800000000003</v>
      </c>
    </row>
    <row r="8100" spans="1:18" x14ac:dyDescent="0.2">
      <c r="A8100" t="s">
        <v>663</v>
      </c>
      <c r="B8100" t="s">
        <v>2493</v>
      </c>
      <c r="C8100">
        <v>1</v>
      </c>
      <c r="D8100" s="1">
        <v>44208.813321759262</v>
      </c>
      <c r="E8100" t="s">
        <v>25294</v>
      </c>
      <c r="F8100" t="s">
        <v>2495</v>
      </c>
      <c r="G8100" t="s">
        <v>25294</v>
      </c>
      <c r="H8100" t="s">
        <v>667</v>
      </c>
      <c r="I8100" t="s">
        <v>29</v>
      </c>
      <c r="J8100">
        <v>1</v>
      </c>
      <c r="K8100">
        <f>1-888-332-7271</f>
        <v>-8490</v>
      </c>
      <c r="L8100" t="s">
        <v>25295</v>
      </c>
      <c r="M8100" t="s">
        <v>25296</v>
      </c>
      <c r="N8100">
        <v>175</v>
      </c>
      <c r="O8100" t="s">
        <v>134</v>
      </c>
      <c r="P8100" t="s">
        <v>29</v>
      </c>
      <c r="Q8100">
        <v>41</v>
      </c>
      <c r="R8100">
        <v>-74.024699999999996</v>
      </c>
    </row>
    <row r="8101" spans="1:18" x14ac:dyDescent="0.2">
      <c r="A8101" t="s">
        <v>663</v>
      </c>
      <c r="B8101" t="s">
        <v>2493</v>
      </c>
      <c r="C8101">
        <v>1</v>
      </c>
      <c r="D8101" s="1">
        <v>44208.811284722222</v>
      </c>
      <c r="E8101" t="s">
        <v>25294</v>
      </c>
      <c r="F8101" t="s">
        <v>2495</v>
      </c>
      <c r="G8101" t="s">
        <v>25294</v>
      </c>
      <c r="H8101" t="s">
        <v>667</v>
      </c>
      <c r="I8101" t="s">
        <v>29</v>
      </c>
      <c r="J8101">
        <v>1</v>
      </c>
      <c r="K8101">
        <f>1-888-348-3705</f>
        <v>-4940</v>
      </c>
      <c r="L8101" t="s">
        <v>25297</v>
      </c>
      <c r="M8101" t="s">
        <v>25298</v>
      </c>
      <c r="N8101">
        <v>175</v>
      </c>
      <c r="O8101" t="s">
        <v>134</v>
      </c>
      <c r="P8101" t="s">
        <v>29</v>
      </c>
      <c r="Q8101">
        <v>41</v>
      </c>
      <c r="R8101">
        <v>-74.024699999999996</v>
      </c>
    </row>
    <row r="8102" spans="1:18" x14ac:dyDescent="0.2">
      <c r="A8102" t="s">
        <v>439</v>
      </c>
      <c r="B8102" t="s">
        <v>4321</v>
      </c>
      <c r="C8102">
        <v>1</v>
      </c>
      <c r="D8102" s="1">
        <v>44208.815752314818</v>
      </c>
      <c r="E8102" t="s">
        <v>25299</v>
      </c>
      <c r="F8102" t="s">
        <v>442</v>
      </c>
      <c r="G8102" t="s">
        <v>25300</v>
      </c>
      <c r="H8102" t="s">
        <v>444</v>
      </c>
      <c r="I8102" t="s">
        <v>29</v>
      </c>
      <c r="J8102">
        <v>1</v>
      </c>
      <c r="K8102">
        <f>1-888-351-2531</f>
        <v>-3769</v>
      </c>
      <c r="L8102" t="s">
        <v>25301</v>
      </c>
      <c r="M8102" t="s">
        <v>25302</v>
      </c>
      <c r="N8102" t="s">
        <v>3441</v>
      </c>
      <c r="O8102" t="s">
        <v>28</v>
      </c>
      <c r="P8102" t="s">
        <v>29</v>
      </c>
      <c r="Q8102">
        <v>42</v>
      </c>
      <c r="R8102">
        <v>-87.629800000000003</v>
      </c>
    </row>
    <row r="8103" spans="1:18" x14ac:dyDescent="0.2">
      <c r="A8103" t="s">
        <v>663</v>
      </c>
      <c r="B8103" t="s">
        <v>2493</v>
      </c>
      <c r="C8103">
        <v>1</v>
      </c>
      <c r="D8103" s="1">
        <v>44208.833460648151</v>
      </c>
      <c r="E8103" t="s">
        <v>25303</v>
      </c>
      <c r="F8103" t="s">
        <v>666</v>
      </c>
      <c r="G8103" t="s">
        <v>25303</v>
      </c>
      <c r="H8103" t="s">
        <v>667</v>
      </c>
      <c r="I8103" t="s">
        <v>29</v>
      </c>
      <c r="J8103">
        <v>1</v>
      </c>
      <c r="K8103">
        <f>1-888-350-3124</f>
        <v>-4361</v>
      </c>
      <c r="L8103" t="s">
        <v>25304</v>
      </c>
      <c r="M8103" t="s">
        <v>25305</v>
      </c>
      <c r="N8103">
        <v>174</v>
      </c>
      <c r="O8103" t="s">
        <v>134</v>
      </c>
      <c r="P8103" t="s">
        <v>29</v>
      </c>
      <c r="Q8103">
        <v>41</v>
      </c>
      <c r="R8103">
        <v>-74.024699999999996</v>
      </c>
    </row>
    <row r="8104" spans="1:18" x14ac:dyDescent="0.2">
      <c r="A8104" t="s">
        <v>439</v>
      </c>
      <c r="B8104" t="s">
        <v>4321</v>
      </c>
      <c r="C8104">
        <v>1</v>
      </c>
      <c r="D8104" s="1">
        <v>44208.841898148145</v>
      </c>
      <c r="E8104" t="s">
        <v>25306</v>
      </c>
      <c r="F8104" t="s">
        <v>442</v>
      </c>
      <c r="G8104" t="s">
        <v>25307</v>
      </c>
      <c r="H8104" t="s">
        <v>444</v>
      </c>
      <c r="I8104" t="s">
        <v>29</v>
      </c>
      <c r="J8104">
        <v>1</v>
      </c>
      <c r="K8104">
        <f>1-888-984-5452</f>
        <v>-7323</v>
      </c>
      <c r="L8104" t="s">
        <v>25308</v>
      </c>
      <c r="M8104" t="s">
        <v>25309</v>
      </c>
      <c r="N8104" t="s">
        <v>25195</v>
      </c>
      <c r="O8104" t="s">
        <v>28</v>
      </c>
      <c r="P8104" t="s">
        <v>29</v>
      </c>
      <c r="Q8104">
        <v>42</v>
      </c>
      <c r="R8104">
        <v>-87.629800000000003</v>
      </c>
    </row>
    <row r="8105" spans="1:18" x14ac:dyDescent="0.2">
      <c r="A8105" t="s">
        <v>663</v>
      </c>
      <c r="B8105" t="s">
        <v>2493</v>
      </c>
      <c r="C8105">
        <v>1</v>
      </c>
      <c r="D8105" s="1">
        <v>44208.854641203703</v>
      </c>
      <c r="E8105" t="s">
        <v>25310</v>
      </c>
      <c r="F8105" t="s">
        <v>666</v>
      </c>
      <c r="G8105" t="s">
        <v>25310</v>
      </c>
      <c r="H8105" t="s">
        <v>667</v>
      </c>
      <c r="I8105" t="s">
        <v>29</v>
      </c>
      <c r="J8105">
        <v>1</v>
      </c>
      <c r="K8105">
        <f>1-888-336-407</f>
        <v>-1630</v>
      </c>
      <c r="L8105" t="s">
        <v>25311</v>
      </c>
      <c r="M8105" t="s">
        <v>25312</v>
      </c>
      <c r="N8105">
        <v>186</v>
      </c>
      <c r="O8105" t="s">
        <v>134</v>
      </c>
      <c r="P8105" t="s">
        <v>29</v>
      </c>
      <c r="Q8105">
        <v>41</v>
      </c>
      <c r="R8105">
        <v>-74.024699999999996</v>
      </c>
    </row>
    <row r="8106" spans="1:18" x14ac:dyDescent="0.2">
      <c r="A8106" t="s">
        <v>663</v>
      </c>
      <c r="B8106" t="s">
        <v>2493</v>
      </c>
      <c r="C8106">
        <v>1</v>
      </c>
      <c r="D8106" s="1">
        <v>44208.896701388891</v>
      </c>
      <c r="E8106" t="s">
        <v>25313</v>
      </c>
      <c r="F8106" t="s">
        <v>666</v>
      </c>
      <c r="G8106" t="s">
        <v>25313</v>
      </c>
      <c r="H8106" t="s">
        <v>667</v>
      </c>
      <c r="I8106" t="s">
        <v>29</v>
      </c>
      <c r="J8106">
        <v>1</v>
      </c>
      <c r="K8106">
        <f>1-888-354-514</f>
        <v>-1755</v>
      </c>
      <c r="L8106" t="s">
        <v>25314</v>
      </c>
      <c r="M8106" t="s">
        <v>25315</v>
      </c>
      <c r="N8106">
        <v>130</v>
      </c>
      <c r="O8106" t="s">
        <v>134</v>
      </c>
      <c r="P8106" t="s">
        <v>29</v>
      </c>
      <c r="Q8106">
        <v>41</v>
      </c>
      <c r="R8106">
        <v>-74.024699999999996</v>
      </c>
    </row>
    <row r="8107" spans="1:18" x14ac:dyDescent="0.2">
      <c r="A8107" t="s">
        <v>2233</v>
      </c>
      <c r="B8107" t="s">
        <v>4672</v>
      </c>
      <c r="C8107">
        <v>1</v>
      </c>
      <c r="D8107" s="1">
        <v>44208.900601851848</v>
      </c>
      <c r="E8107" t="s">
        <v>25316</v>
      </c>
      <c r="F8107" t="s">
        <v>2236</v>
      </c>
      <c r="G8107" t="s">
        <v>25317</v>
      </c>
      <c r="H8107" t="s">
        <v>2237</v>
      </c>
      <c r="I8107" t="s">
        <v>29</v>
      </c>
      <c r="J8107">
        <v>1</v>
      </c>
      <c r="K8107">
        <f>1-888-343-4024</f>
        <v>-5254</v>
      </c>
      <c r="L8107" t="s">
        <v>25318</v>
      </c>
      <c r="M8107" t="s">
        <v>25319</v>
      </c>
      <c r="N8107" t="s">
        <v>22454</v>
      </c>
      <c r="O8107" t="s">
        <v>134</v>
      </c>
      <c r="P8107" t="s">
        <v>782</v>
      </c>
      <c r="Q8107">
        <v>-34</v>
      </c>
      <c r="R8107">
        <v>99.999999000000003</v>
      </c>
    </row>
    <row r="8108" spans="1:18" x14ac:dyDescent="0.2">
      <c r="A8108" t="s">
        <v>663</v>
      </c>
      <c r="B8108" t="s">
        <v>3245</v>
      </c>
      <c r="C8108">
        <v>81</v>
      </c>
      <c r="D8108" s="1">
        <v>44217.311307870368</v>
      </c>
      <c r="E8108" t="s">
        <v>25320</v>
      </c>
      <c r="F8108" t="s">
        <v>666</v>
      </c>
      <c r="G8108" t="s">
        <v>25321</v>
      </c>
      <c r="H8108" t="s">
        <v>667</v>
      </c>
      <c r="I8108" t="s">
        <v>53</v>
      </c>
      <c r="J8108">
        <v>81</v>
      </c>
      <c r="K8108">
        <f>81-50-5532-7250</f>
        <v>-12751</v>
      </c>
      <c r="L8108" t="s">
        <v>25322</v>
      </c>
      <c r="M8108" t="s">
        <v>25323</v>
      </c>
      <c r="N8108" t="s">
        <v>452</v>
      </c>
      <c r="O8108" t="s">
        <v>28</v>
      </c>
      <c r="P8108" t="s">
        <v>29</v>
      </c>
      <c r="Q8108">
        <v>41</v>
      </c>
      <c r="R8108">
        <v>-74.140299999999996</v>
      </c>
    </row>
    <row r="8109" spans="1:18" x14ac:dyDescent="0.2">
      <c r="A8109" t="s">
        <v>663</v>
      </c>
      <c r="B8109" t="s">
        <v>3245</v>
      </c>
      <c r="C8109">
        <v>81</v>
      </c>
      <c r="D8109" s="1">
        <v>44216.199814814812</v>
      </c>
      <c r="E8109" t="s">
        <v>25324</v>
      </c>
      <c r="F8109" t="s">
        <v>666</v>
      </c>
      <c r="G8109" t="s">
        <v>25321</v>
      </c>
      <c r="H8109" t="s">
        <v>667</v>
      </c>
      <c r="I8109" t="s">
        <v>53</v>
      </c>
      <c r="J8109">
        <v>81</v>
      </c>
      <c r="K8109">
        <f>81-50-5532-5430</f>
        <v>-10931</v>
      </c>
      <c r="L8109" t="s">
        <v>25325</v>
      </c>
      <c r="M8109" t="s">
        <v>25326</v>
      </c>
      <c r="N8109" t="s">
        <v>452</v>
      </c>
      <c r="O8109" t="s">
        <v>28</v>
      </c>
      <c r="P8109" t="s">
        <v>29</v>
      </c>
      <c r="Q8109">
        <v>41</v>
      </c>
      <c r="R8109">
        <v>-74.140299999999996</v>
      </c>
    </row>
    <row r="8110" spans="1:18" x14ac:dyDescent="0.2">
      <c r="A8110" t="s">
        <v>663</v>
      </c>
      <c r="B8110" t="s">
        <v>3245</v>
      </c>
      <c r="C8110">
        <v>81</v>
      </c>
      <c r="D8110" s="1">
        <v>44216.196655092594</v>
      </c>
      <c r="E8110" t="s">
        <v>25324</v>
      </c>
      <c r="F8110" t="s">
        <v>666</v>
      </c>
      <c r="G8110" t="s">
        <v>25321</v>
      </c>
      <c r="H8110" t="s">
        <v>667</v>
      </c>
      <c r="I8110" t="s">
        <v>53</v>
      </c>
      <c r="J8110">
        <v>81</v>
      </c>
      <c r="K8110">
        <f>81-50-5534-1956</f>
        <v>-7459</v>
      </c>
      <c r="L8110" t="s">
        <v>25327</v>
      </c>
      <c r="M8110" t="s">
        <v>25328</v>
      </c>
      <c r="N8110" t="s">
        <v>452</v>
      </c>
      <c r="O8110" t="s">
        <v>28</v>
      </c>
      <c r="P8110" t="s">
        <v>29</v>
      </c>
      <c r="Q8110">
        <v>41</v>
      </c>
      <c r="R8110">
        <v>-74.140299999999996</v>
      </c>
    </row>
    <row r="8111" spans="1:18" x14ac:dyDescent="0.2">
      <c r="A8111" t="s">
        <v>663</v>
      </c>
      <c r="B8111" t="s">
        <v>3245</v>
      </c>
      <c r="C8111">
        <v>81</v>
      </c>
      <c r="D8111" s="1">
        <v>44216.079479166663</v>
      </c>
      <c r="E8111" t="s">
        <v>25329</v>
      </c>
      <c r="F8111" t="s">
        <v>666</v>
      </c>
      <c r="G8111" t="s">
        <v>25321</v>
      </c>
      <c r="H8111" t="s">
        <v>667</v>
      </c>
      <c r="I8111" t="s">
        <v>53</v>
      </c>
      <c r="J8111">
        <v>81</v>
      </c>
      <c r="K8111">
        <f>81-50-5532-5430</f>
        <v>-10931</v>
      </c>
      <c r="L8111" t="s">
        <v>25330</v>
      </c>
      <c r="M8111" t="s">
        <v>25331</v>
      </c>
      <c r="N8111" t="s">
        <v>452</v>
      </c>
      <c r="O8111" t="s">
        <v>28</v>
      </c>
      <c r="P8111" t="s">
        <v>29</v>
      </c>
      <c r="Q8111">
        <v>41</v>
      </c>
      <c r="R8111">
        <v>-74.140299999999996</v>
      </c>
    </row>
    <row r="8112" spans="1:18" x14ac:dyDescent="0.2">
      <c r="A8112" t="s">
        <v>663</v>
      </c>
      <c r="B8112" t="s">
        <v>3245</v>
      </c>
      <c r="C8112">
        <v>81</v>
      </c>
      <c r="D8112" s="1">
        <v>44216.070069444446</v>
      </c>
      <c r="E8112" t="s">
        <v>25329</v>
      </c>
      <c r="F8112" t="s">
        <v>666</v>
      </c>
      <c r="G8112" t="s">
        <v>25321</v>
      </c>
      <c r="H8112" t="s">
        <v>667</v>
      </c>
      <c r="I8112" t="s">
        <v>53</v>
      </c>
      <c r="J8112">
        <v>81</v>
      </c>
      <c r="K8112">
        <f>81-50-5534-1956</f>
        <v>-7459</v>
      </c>
      <c r="L8112" t="s">
        <v>25332</v>
      </c>
      <c r="M8112" t="s">
        <v>25333</v>
      </c>
      <c r="N8112" t="s">
        <v>452</v>
      </c>
      <c r="O8112" t="s">
        <v>28</v>
      </c>
      <c r="P8112" t="s">
        <v>29</v>
      </c>
      <c r="Q8112">
        <v>41</v>
      </c>
      <c r="R8112">
        <v>-74.140299999999996</v>
      </c>
    </row>
    <row r="8113" spans="1:18" x14ac:dyDescent="0.2">
      <c r="A8113" t="s">
        <v>663</v>
      </c>
      <c r="B8113" t="s">
        <v>3245</v>
      </c>
      <c r="C8113">
        <v>81</v>
      </c>
      <c r="D8113" s="1">
        <v>44208.939236111109</v>
      </c>
      <c r="E8113" t="s">
        <v>25334</v>
      </c>
      <c r="F8113" t="s">
        <v>666</v>
      </c>
      <c r="G8113" t="s">
        <v>25321</v>
      </c>
      <c r="H8113" t="s">
        <v>667</v>
      </c>
      <c r="I8113" t="s">
        <v>53</v>
      </c>
      <c r="J8113">
        <v>81</v>
      </c>
      <c r="K8113">
        <f>81-50-5532-7250</f>
        <v>-12751</v>
      </c>
      <c r="L8113" t="s">
        <v>25335</v>
      </c>
      <c r="M8113" t="s">
        <v>25336</v>
      </c>
      <c r="N8113" t="s">
        <v>452</v>
      </c>
      <c r="O8113" t="s">
        <v>28</v>
      </c>
      <c r="P8113" t="s">
        <v>29</v>
      </c>
      <c r="Q8113">
        <v>41</v>
      </c>
      <c r="R8113">
        <v>-74.140299999999996</v>
      </c>
    </row>
    <row r="8114" spans="1:18" x14ac:dyDescent="0.2">
      <c r="A8114" t="s">
        <v>663</v>
      </c>
      <c r="B8114" t="s">
        <v>3245</v>
      </c>
      <c r="C8114">
        <v>81</v>
      </c>
      <c r="D8114" s="1">
        <v>44208.938668981478</v>
      </c>
      <c r="E8114" t="s">
        <v>25334</v>
      </c>
      <c r="F8114" t="s">
        <v>666</v>
      </c>
      <c r="G8114" t="s">
        <v>25321</v>
      </c>
      <c r="H8114" t="s">
        <v>667</v>
      </c>
      <c r="I8114" t="s">
        <v>53</v>
      </c>
      <c r="J8114">
        <v>81</v>
      </c>
      <c r="K8114">
        <f>81-50-5532-5430</f>
        <v>-10931</v>
      </c>
      <c r="L8114" t="s">
        <v>25337</v>
      </c>
      <c r="M8114" t="s">
        <v>25338</v>
      </c>
      <c r="N8114" t="s">
        <v>452</v>
      </c>
      <c r="O8114" t="s">
        <v>28</v>
      </c>
      <c r="P8114" t="s">
        <v>29</v>
      </c>
      <c r="Q8114">
        <v>41</v>
      </c>
      <c r="R8114">
        <v>-74.140299999999996</v>
      </c>
    </row>
    <row r="8115" spans="1:18" x14ac:dyDescent="0.2">
      <c r="A8115" t="s">
        <v>663</v>
      </c>
      <c r="B8115" t="s">
        <v>3245</v>
      </c>
      <c r="C8115">
        <v>81</v>
      </c>
      <c r="D8115" s="1">
        <v>44208.911365740743</v>
      </c>
      <c r="E8115" t="s">
        <v>25339</v>
      </c>
      <c r="F8115" t="s">
        <v>666</v>
      </c>
      <c r="G8115" t="s">
        <v>25321</v>
      </c>
      <c r="H8115" t="s">
        <v>667</v>
      </c>
      <c r="I8115" t="s">
        <v>53</v>
      </c>
      <c r="J8115">
        <v>81</v>
      </c>
      <c r="K8115">
        <f>81-50-5532-5430</f>
        <v>-10931</v>
      </c>
      <c r="L8115" t="s">
        <v>25340</v>
      </c>
      <c r="M8115" t="s">
        <v>25341</v>
      </c>
      <c r="N8115" t="s">
        <v>452</v>
      </c>
      <c r="O8115" t="s">
        <v>28</v>
      </c>
      <c r="P8115" t="s">
        <v>29</v>
      </c>
      <c r="Q8115">
        <v>41</v>
      </c>
      <c r="R8115">
        <v>-74.140299999999996</v>
      </c>
    </row>
    <row r="8116" spans="1:18" x14ac:dyDescent="0.2">
      <c r="A8116" t="s">
        <v>663</v>
      </c>
      <c r="B8116" t="s">
        <v>3245</v>
      </c>
      <c r="C8116">
        <v>81</v>
      </c>
      <c r="D8116" s="1">
        <v>44208.901608796295</v>
      </c>
      <c r="E8116" t="s">
        <v>25339</v>
      </c>
      <c r="F8116" t="s">
        <v>666</v>
      </c>
      <c r="G8116" t="s">
        <v>25321</v>
      </c>
      <c r="H8116" t="s">
        <v>667</v>
      </c>
      <c r="I8116" t="s">
        <v>53</v>
      </c>
      <c r="J8116">
        <v>81</v>
      </c>
      <c r="K8116">
        <f>81-50-5532-5430</f>
        <v>-10931</v>
      </c>
      <c r="L8116" t="s">
        <v>25342</v>
      </c>
      <c r="M8116" t="s">
        <v>25343</v>
      </c>
      <c r="N8116" t="s">
        <v>452</v>
      </c>
      <c r="O8116" t="s">
        <v>28</v>
      </c>
      <c r="P8116" t="s">
        <v>29</v>
      </c>
      <c r="Q8116">
        <v>41</v>
      </c>
      <c r="R8116">
        <v>-74.140299999999996</v>
      </c>
    </row>
    <row r="8117" spans="1:18" x14ac:dyDescent="0.2">
      <c r="A8117" t="s">
        <v>439</v>
      </c>
      <c r="B8117" t="s">
        <v>4321</v>
      </c>
      <c r="C8117">
        <v>81</v>
      </c>
      <c r="D8117" s="1">
        <v>44208.907233796293</v>
      </c>
      <c r="E8117" t="s">
        <v>25344</v>
      </c>
      <c r="F8117" t="s">
        <v>442</v>
      </c>
      <c r="G8117" t="s">
        <v>25345</v>
      </c>
      <c r="H8117" t="s">
        <v>444</v>
      </c>
      <c r="I8117" t="s">
        <v>53</v>
      </c>
      <c r="J8117">
        <v>81</v>
      </c>
      <c r="K8117">
        <f>81-50-3204-1162</f>
        <v>-4335</v>
      </c>
      <c r="L8117" t="s">
        <v>25346</v>
      </c>
      <c r="M8117" t="s">
        <v>25347</v>
      </c>
      <c r="N8117" t="s">
        <v>447</v>
      </c>
      <c r="O8117" t="s">
        <v>28</v>
      </c>
      <c r="P8117" t="s">
        <v>29</v>
      </c>
      <c r="Q8117">
        <v>42</v>
      </c>
      <c r="R8117">
        <v>-87.629800000000003</v>
      </c>
    </row>
    <row r="8118" spans="1:18" x14ac:dyDescent="0.2">
      <c r="A8118" t="s">
        <v>663</v>
      </c>
      <c r="B8118" t="s">
        <v>664</v>
      </c>
      <c r="C8118">
        <v>1</v>
      </c>
      <c r="D8118" s="1">
        <v>44208.922164351854</v>
      </c>
      <c r="E8118" t="s">
        <v>25348</v>
      </c>
      <c r="F8118" t="s">
        <v>666</v>
      </c>
      <c r="G8118" t="s">
        <v>25349</v>
      </c>
      <c r="H8118" t="s">
        <v>667</v>
      </c>
      <c r="I8118" t="s">
        <v>29</v>
      </c>
      <c r="J8118">
        <v>1</v>
      </c>
      <c r="K8118">
        <f>1-888-335-3316</f>
        <v>-4538</v>
      </c>
      <c r="L8118" t="s">
        <v>25350</v>
      </c>
      <c r="M8118" t="s">
        <v>25351</v>
      </c>
      <c r="N8118" t="s">
        <v>1645</v>
      </c>
      <c r="O8118" t="s">
        <v>28</v>
      </c>
      <c r="P8118" t="s">
        <v>29</v>
      </c>
      <c r="Q8118">
        <v>37</v>
      </c>
      <c r="R8118">
        <v>-99.999999000000003</v>
      </c>
    </row>
    <row r="8119" spans="1:18" x14ac:dyDescent="0.2">
      <c r="A8119" t="s">
        <v>25352</v>
      </c>
      <c r="B8119" t="s">
        <v>25353</v>
      </c>
      <c r="C8119">
        <v>1</v>
      </c>
      <c r="D8119" s="1">
        <v>44208.941435185188</v>
      </c>
      <c r="E8119" t="s">
        <v>25354</v>
      </c>
      <c r="F8119" t="s">
        <v>25355</v>
      </c>
      <c r="G8119" t="s">
        <v>25356</v>
      </c>
      <c r="H8119" t="s">
        <v>458</v>
      </c>
      <c r="I8119" t="s">
        <v>29</v>
      </c>
      <c r="J8119">
        <v>1</v>
      </c>
      <c r="K8119">
        <f>1-888-561-6857</f>
        <v>-8305</v>
      </c>
      <c r="L8119" t="s">
        <v>25357</v>
      </c>
      <c r="M8119" t="s">
        <v>25358</v>
      </c>
      <c r="N8119" t="s">
        <v>452</v>
      </c>
      <c r="O8119" t="s">
        <v>28</v>
      </c>
      <c r="P8119" t="s">
        <v>292</v>
      </c>
      <c r="Q8119">
        <v>49</v>
      </c>
      <c r="R8119">
        <v>7.7843999999999998</v>
      </c>
    </row>
    <row r="8120" spans="1:18" x14ac:dyDescent="0.2">
      <c r="A8120" t="s">
        <v>663</v>
      </c>
      <c r="B8120" t="s">
        <v>2500</v>
      </c>
      <c r="C8120">
        <v>1</v>
      </c>
      <c r="D8120" s="1">
        <v>44208.981666666667</v>
      </c>
      <c r="E8120" t="s">
        <v>25359</v>
      </c>
      <c r="F8120" t="s">
        <v>666</v>
      </c>
      <c r="G8120" t="s">
        <v>25359</v>
      </c>
      <c r="H8120" t="s">
        <v>667</v>
      </c>
      <c r="I8120" t="s">
        <v>29</v>
      </c>
      <c r="J8120">
        <v>1</v>
      </c>
      <c r="K8120">
        <f>1-833-462-7718</f>
        <v>-9012</v>
      </c>
      <c r="L8120" t="s">
        <v>25360</v>
      </c>
      <c r="M8120" t="s">
        <v>25361</v>
      </c>
      <c r="N8120">
        <v>144</v>
      </c>
      <c r="O8120" t="s">
        <v>134</v>
      </c>
      <c r="P8120" t="s">
        <v>2500</v>
      </c>
      <c r="Q8120">
        <v>1</v>
      </c>
      <c r="R8120">
        <v>99.999999000000003</v>
      </c>
    </row>
    <row r="8121" spans="1:18" x14ac:dyDescent="0.2">
      <c r="A8121" t="s">
        <v>2233</v>
      </c>
      <c r="B8121" t="s">
        <v>4672</v>
      </c>
      <c r="C8121">
        <v>1</v>
      </c>
      <c r="D8121" s="1">
        <v>44209.139236111114</v>
      </c>
      <c r="E8121" t="s">
        <v>25362</v>
      </c>
      <c r="F8121" t="s">
        <v>2236</v>
      </c>
      <c r="G8121" t="s">
        <v>25363</v>
      </c>
      <c r="H8121" t="s">
        <v>2237</v>
      </c>
      <c r="I8121" t="s">
        <v>29</v>
      </c>
      <c r="J8121">
        <v>1</v>
      </c>
      <c r="K8121">
        <f>1-833-220-3644</f>
        <v>-4696</v>
      </c>
      <c r="L8121" t="s">
        <v>25364</v>
      </c>
      <c r="M8121" t="s">
        <v>25365</v>
      </c>
      <c r="N8121" t="s">
        <v>22454</v>
      </c>
      <c r="O8121" t="s">
        <v>134</v>
      </c>
      <c r="P8121" t="s">
        <v>782</v>
      </c>
      <c r="Q8121">
        <v>-34</v>
      </c>
      <c r="R8121">
        <v>99.999999000000003</v>
      </c>
    </row>
    <row r="8122" spans="1:18" x14ac:dyDescent="0.2">
      <c r="A8122" t="s">
        <v>2233</v>
      </c>
      <c r="B8122" t="s">
        <v>440</v>
      </c>
      <c r="C8122">
        <v>1</v>
      </c>
      <c r="D8122" s="1">
        <v>44209.157488425924</v>
      </c>
      <c r="E8122" t="s">
        <v>25366</v>
      </c>
      <c r="F8122" t="s">
        <v>2236</v>
      </c>
      <c r="G8122" t="s">
        <v>25367</v>
      </c>
      <c r="H8122" t="s">
        <v>2237</v>
      </c>
      <c r="I8122" t="s">
        <v>29</v>
      </c>
      <c r="J8122">
        <v>1</v>
      </c>
      <c r="K8122">
        <f>1-866-422-5898</f>
        <v>-7185</v>
      </c>
      <c r="L8122" t="s">
        <v>25368</v>
      </c>
      <c r="M8122" t="s">
        <v>25369</v>
      </c>
      <c r="N8122" t="s">
        <v>5354</v>
      </c>
      <c r="O8122" t="s">
        <v>28</v>
      </c>
      <c r="P8122" t="s">
        <v>29</v>
      </c>
      <c r="Q8122">
        <v>39</v>
      </c>
      <c r="R8122">
        <v>-77.487399999999994</v>
      </c>
    </row>
    <row r="8123" spans="1:18" x14ac:dyDescent="0.2">
      <c r="A8123" t="s">
        <v>2349</v>
      </c>
      <c r="B8123" t="s">
        <v>6834</v>
      </c>
      <c r="C8123">
        <v>1</v>
      </c>
      <c r="D8123" s="1">
        <v>44209.664687500001</v>
      </c>
      <c r="E8123" t="s">
        <v>25370</v>
      </c>
      <c r="F8123" t="s">
        <v>2352</v>
      </c>
      <c r="G8123" t="s">
        <v>25371</v>
      </c>
      <c r="H8123" t="s">
        <v>2353</v>
      </c>
      <c r="I8123" t="s">
        <v>29</v>
      </c>
      <c r="J8123">
        <v>1</v>
      </c>
      <c r="K8123">
        <f>1-888-297-1156</f>
        <v>-2340</v>
      </c>
      <c r="L8123" t="s">
        <v>25372</v>
      </c>
      <c r="M8123" t="s">
        <v>25373</v>
      </c>
      <c r="N8123" t="s">
        <v>25263</v>
      </c>
      <c r="O8123" t="s">
        <v>28</v>
      </c>
      <c r="P8123" t="s">
        <v>29</v>
      </c>
      <c r="Q8123">
        <v>34</v>
      </c>
      <c r="R8123">
        <v>-99.999999000000003</v>
      </c>
    </row>
    <row r="8124" spans="1:18" x14ac:dyDescent="0.2">
      <c r="A8124" t="s">
        <v>663</v>
      </c>
      <c r="B8124" t="s">
        <v>2493</v>
      </c>
      <c r="C8124">
        <v>1</v>
      </c>
      <c r="D8124" s="1">
        <v>44209.761979166666</v>
      </c>
      <c r="E8124" t="s">
        <v>25374</v>
      </c>
      <c r="F8124" t="s">
        <v>666</v>
      </c>
      <c r="G8124" t="s">
        <v>25374</v>
      </c>
      <c r="H8124" t="s">
        <v>667</v>
      </c>
      <c r="I8124" t="s">
        <v>29</v>
      </c>
      <c r="J8124">
        <v>1</v>
      </c>
      <c r="K8124">
        <f>1-888-357-7761</f>
        <v>-9005</v>
      </c>
      <c r="L8124" t="s">
        <v>25375</v>
      </c>
      <c r="M8124" t="s">
        <v>25376</v>
      </c>
      <c r="N8124">
        <v>177</v>
      </c>
      <c r="O8124" t="s">
        <v>134</v>
      </c>
      <c r="P8124" t="s">
        <v>29</v>
      </c>
      <c r="Q8124">
        <v>41</v>
      </c>
      <c r="R8124">
        <v>-74.024699999999996</v>
      </c>
    </row>
    <row r="8125" spans="1:18" x14ac:dyDescent="0.2">
      <c r="A8125" t="s">
        <v>2233</v>
      </c>
      <c r="B8125" t="s">
        <v>4672</v>
      </c>
      <c r="C8125">
        <v>1</v>
      </c>
      <c r="D8125" s="1">
        <v>44209.805763888886</v>
      </c>
      <c r="E8125" t="s">
        <v>25377</v>
      </c>
      <c r="F8125" t="s">
        <v>2236</v>
      </c>
      <c r="G8125" t="s">
        <v>25378</v>
      </c>
      <c r="H8125" t="s">
        <v>2237</v>
      </c>
      <c r="I8125" t="s">
        <v>29</v>
      </c>
      <c r="J8125">
        <v>1</v>
      </c>
      <c r="K8125">
        <f>1-888-380-8804</f>
        <v>-10071</v>
      </c>
      <c r="L8125" t="s">
        <v>25379</v>
      </c>
      <c r="M8125" t="s">
        <v>25380</v>
      </c>
      <c r="N8125" t="s">
        <v>22454</v>
      </c>
      <c r="O8125" t="s">
        <v>134</v>
      </c>
      <c r="P8125" t="s">
        <v>782</v>
      </c>
      <c r="Q8125">
        <v>-34</v>
      </c>
      <c r="R8125">
        <v>99.999999000000003</v>
      </c>
    </row>
    <row r="8126" spans="1:18" x14ac:dyDescent="0.2">
      <c r="A8126" t="s">
        <v>663</v>
      </c>
      <c r="B8126" t="s">
        <v>2263</v>
      </c>
      <c r="C8126">
        <v>1</v>
      </c>
      <c r="D8126" s="1">
        <v>44209.832175925927</v>
      </c>
      <c r="E8126" t="s">
        <v>25381</v>
      </c>
      <c r="F8126" t="s">
        <v>666</v>
      </c>
      <c r="G8126" t="s">
        <v>25381</v>
      </c>
      <c r="H8126" t="s">
        <v>667</v>
      </c>
      <c r="I8126" t="s">
        <v>29</v>
      </c>
      <c r="J8126">
        <v>1</v>
      </c>
      <c r="K8126">
        <f>1-844-292-4957</f>
        <v>-6092</v>
      </c>
      <c r="L8126" t="s">
        <v>25382</v>
      </c>
      <c r="M8126" t="s">
        <v>25383</v>
      </c>
      <c r="N8126">
        <v>168</v>
      </c>
      <c r="O8126" t="s">
        <v>134</v>
      </c>
      <c r="P8126" t="s">
        <v>2268</v>
      </c>
      <c r="Q8126">
        <v>44</v>
      </c>
      <c r="R8126">
        <v>-79.362300000000005</v>
      </c>
    </row>
    <row r="8127" spans="1:18" x14ac:dyDescent="0.2">
      <c r="A8127" t="s">
        <v>2233</v>
      </c>
      <c r="B8127" t="s">
        <v>4672</v>
      </c>
      <c r="C8127">
        <v>1</v>
      </c>
      <c r="D8127" s="1">
        <v>44209.853437500002</v>
      </c>
      <c r="E8127" t="s">
        <v>25384</v>
      </c>
      <c r="F8127" t="s">
        <v>2236</v>
      </c>
      <c r="G8127" t="s">
        <v>25385</v>
      </c>
      <c r="H8127" t="s">
        <v>2237</v>
      </c>
      <c r="I8127" t="s">
        <v>29</v>
      </c>
      <c r="J8127">
        <v>1</v>
      </c>
      <c r="K8127">
        <f>1-833-220-3644</f>
        <v>-4696</v>
      </c>
      <c r="L8127" t="s">
        <v>25386</v>
      </c>
      <c r="M8127" t="s">
        <v>25387</v>
      </c>
      <c r="N8127" t="s">
        <v>22454</v>
      </c>
      <c r="O8127" t="s">
        <v>134</v>
      </c>
      <c r="P8127" t="s">
        <v>782</v>
      </c>
      <c r="Q8127">
        <v>-34</v>
      </c>
      <c r="R8127">
        <v>99.999999000000003</v>
      </c>
    </row>
    <row r="8128" spans="1:18" x14ac:dyDescent="0.2">
      <c r="A8128" t="s">
        <v>439</v>
      </c>
      <c r="B8128" t="s">
        <v>4321</v>
      </c>
      <c r="C8128">
        <v>1</v>
      </c>
      <c r="D8128" s="1">
        <v>44209.871747685182</v>
      </c>
      <c r="E8128" t="s">
        <v>25388</v>
      </c>
      <c r="F8128" t="s">
        <v>442</v>
      </c>
      <c r="G8128" t="s">
        <v>25389</v>
      </c>
      <c r="H8128" t="s">
        <v>444</v>
      </c>
      <c r="I8128" t="s">
        <v>29</v>
      </c>
      <c r="J8128">
        <v>1</v>
      </c>
      <c r="K8128">
        <f>1-213-357-5996</f>
        <v>-6565</v>
      </c>
      <c r="L8128" t="s">
        <v>25390</v>
      </c>
      <c r="M8128" t="s">
        <v>25391</v>
      </c>
      <c r="N8128" t="s">
        <v>3441</v>
      </c>
      <c r="O8128" t="s">
        <v>28</v>
      </c>
      <c r="P8128" t="s">
        <v>29</v>
      </c>
      <c r="Q8128">
        <v>42</v>
      </c>
      <c r="R8128">
        <v>-87.629800000000003</v>
      </c>
    </row>
    <row r="8129" spans="1:18" x14ac:dyDescent="0.2">
      <c r="A8129" t="s">
        <v>663</v>
      </c>
      <c r="B8129" t="s">
        <v>2263</v>
      </c>
      <c r="C8129">
        <v>1</v>
      </c>
      <c r="D8129" s="1">
        <v>44209.874016203707</v>
      </c>
      <c r="E8129" t="s">
        <v>25392</v>
      </c>
      <c r="F8129" t="s">
        <v>666</v>
      </c>
      <c r="G8129" t="s">
        <v>25392</v>
      </c>
      <c r="H8129" t="s">
        <v>667</v>
      </c>
      <c r="I8129" t="s">
        <v>29</v>
      </c>
      <c r="J8129">
        <v>1</v>
      </c>
      <c r="K8129">
        <f>1-213-357-5996</f>
        <v>-6565</v>
      </c>
      <c r="L8129" t="s">
        <v>25393</v>
      </c>
      <c r="M8129" t="s">
        <v>25394</v>
      </c>
      <c r="N8129">
        <v>33</v>
      </c>
      <c r="O8129" t="s">
        <v>134</v>
      </c>
      <c r="P8129" t="s">
        <v>2268</v>
      </c>
      <c r="Q8129">
        <v>44</v>
      </c>
      <c r="R8129">
        <v>-79.362300000000005</v>
      </c>
    </row>
    <row r="8130" spans="1:18" x14ac:dyDescent="0.2">
      <c r="A8130" t="s">
        <v>439</v>
      </c>
      <c r="B8130" t="s">
        <v>4321</v>
      </c>
      <c r="C8130">
        <v>1</v>
      </c>
      <c r="D8130" s="1">
        <v>44209.890798611108</v>
      </c>
      <c r="E8130" t="s">
        <v>25395</v>
      </c>
      <c r="F8130" t="s">
        <v>442</v>
      </c>
      <c r="G8130" t="s">
        <v>25396</v>
      </c>
      <c r="H8130" t="s">
        <v>444</v>
      </c>
      <c r="I8130" t="s">
        <v>29</v>
      </c>
      <c r="J8130">
        <v>1</v>
      </c>
      <c r="K8130">
        <f>1-888-690-1002</f>
        <v>-2579</v>
      </c>
      <c r="L8130" t="s">
        <v>25397</v>
      </c>
      <c r="M8130" t="s">
        <v>25398</v>
      </c>
      <c r="N8130" t="s">
        <v>674</v>
      </c>
      <c r="O8130" t="s">
        <v>28</v>
      </c>
      <c r="P8130" t="s">
        <v>29</v>
      </c>
      <c r="Q8130">
        <v>42</v>
      </c>
      <c r="R8130">
        <v>-87.629800000000003</v>
      </c>
    </row>
    <row r="8131" spans="1:18" x14ac:dyDescent="0.2">
      <c r="A8131" t="s">
        <v>663</v>
      </c>
      <c r="B8131" t="s">
        <v>2263</v>
      </c>
      <c r="C8131">
        <v>1</v>
      </c>
      <c r="D8131" s="1">
        <v>44209.878032407411</v>
      </c>
      <c r="E8131" t="s">
        <v>25399</v>
      </c>
      <c r="F8131" t="s">
        <v>666</v>
      </c>
      <c r="G8131" t="s">
        <v>25399</v>
      </c>
      <c r="H8131" t="s">
        <v>667</v>
      </c>
      <c r="I8131" t="s">
        <v>29</v>
      </c>
      <c r="J8131">
        <v>1</v>
      </c>
      <c r="K8131">
        <f>1-213-357-5996</f>
        <v>-6565</v>
      </c>
      <c r="L8131" t="s">
        <v>25400</v>
      </c>
      <c r="M8131" t="s">
        <v>25401</v>
      </c>
      <c r="N8131">
        <v>59</v>
      </c>
      <c r="O8131" t="s">
        <v>134</v>
      </c>
      <c r="P8131" t="s">
        <v>2268</v>
      </c>
      <c r="Q8131">
        <v>44</v>
      </c>
      <c r="R8131">
        <v>-79.362300000000005</v>
      </c>
    </row>
    <row r="8132" spans="1:18" x14ac:dyDescent="0.2">
      <c r="A8132" t="s">
        <v>2233</v>
      </c>
      <c r="B8132" t="s">
        <v>2234</v>
      </c>
      <c r="C8132">
        <v>1</v>
      </c>
      <c r="D8132" s="1">
        <v>44210.881273148145</v>
      </c>
      <c r="E8132" t="s">
        <v>25177</v>
      </c>
      <c r="F8132" t="s">
        <v>2236</v>
      </c>
      <c r="G8132" t="s">
        <v>25402</v>
      </c>
      <c r="H8132" t="s">
        <v>2237</v>
      </c>
      <c r="I8132" t="s">
        <v>29</v>
      </c>
      <c r="J8132">
        <v>1</v>
      </c>
      <c r="K8132">
        <f>1-888-325-1772</f>
        <v>-2984</v>
      </c>
      <c r="L8132" t="s">
        <v>25403</v>
      </c>
      <c r="M8132" t="s">
        <v>25404</v>
      </c>
      <c r="N8132" t="s">
        <v>5354</v>
      </c>
      <c r="O8132" t="s">
        <v>28</v>
      </c>
      <c r="P8132" t="s">
        <v>29</v>
      </c>
      <c r="Q8132">
        <v>40</v>
      </c>
      <c r="R8132">
        <v>-83.114099999999993</v>
      </c>
    </row>
    <row r="8133" spans="1:18" x14ac:dyDescent="0.2">
      <c r="A8133" t="s">
        <v>1637</v>
      </c>
      <c r="B8133" t="s">
        <v>5740</v>
      </c>
      <c r="C8133">
        <v>1</v>
      </c>
      <c r="D8133" s="1">
        <v>44268.950636574074</v>
      </c>
      <c r="E8133" t="s">
        <v>25405</v>
      </c>
      <c r="F8133" t="s">
        <v>5753</v>
      </c>
      <c r="G8133" t="s">
        <v>25406</v>
      </c>
      <c r="H8133" t="s">
        <v>1642</v>
      </c>
      <c r="I8133" t="s">
        <v>29</v>
      </c>
      <c r="J8133">
        <v>1</v>
      </c>
      <c r="K8133">
        <f>1-888-475-6116</f>
        <v>-7478</v>
      </c>
      <c r="L8133" t="s">
        <v>25407</v>
      </c>
      <c r="M8133" t="s">
        <v>25408</v>
      </c>
      <c r="N8133" t="s">
        <v>5745</v>
      </c>
      <c r="O8133" t="s">
        <v>134</v>
      </c>
      <c r="P8133" t="s">
        <v>292</v>
      </c>
      <c r="Q8133">
        <v>49</v>
      </c>
      <c r="R8133">
        <v>2.3985099999999999</v>
      </c>
    </row>
    <row r="8134" spans="1:18" x14ac:dyDescent="0.2">
      <c r="A8134" t="s">
        <v>1637</v>
      </c>
      <c r="B8134" t="s">
        <v>1638</v>
      </c>
      <c r="C8134">
        <v>1</v>
      </c>
      <c r="D8134" s="1">
        <v>44217.101643518516</v>
      </c>
      <c r="E8134" t="s">
        <v>25409</v>
      </c>
      <c r="F8134" t="s">
        <v>5753</v>
      </c>
      <c r="G8134" t="s">
        <v>25406</v>
      </c>
      <c r="H8134" t="s">
        <v>1642</v>
      </c>
      <c r="I8134" t="s">
        <v>29</v>
      </c>
      <c r="J8134">
        <v>1</v>
      </c>
      <c r="K8134">
        <f>1-844-244-9380</f>
        <v>-10467</v>
      </c>
      <c r="L8134" t="s">
        <v>25410</v>
      </c>
      <c r="M8134" t="s">
        <v>25411</v>
      </c>
      <c r="N8134" t="s">
        <v>452</v>
      </c>
      <c r="O8134" t="s">
        <v>134</v>
      </c>
      <c r="P8134" t="s">
        <v>292</v>
      </c>
      <c r="Q8134">
        <v>49</v>
      </c>
      <c r="R8134">
        <v>2.32131</v>
      </c>
    </row>
    <row r="8135" spans="1:18" x14ac:dyDescent="0.2">
      <c r="A8135" t="s">
        <v>1637</v>
      </c>
      <c r="B8135" t="s">
        <v>1638</v>
      </c>
      <c r="C8135">
        <v>1</v>
      </c>
      <c r="D8135" s="1">
        <v>44216.784282407411</v>
      </c>
      <c r="E8135" t="s">
        <v>25412</v>
      </c>
      <c r="F8135" t="s">
        <v>5753</v>
      </c>
      <c r="G8135" t="s">
        <v>25406</v>
      </c>
      <c r="H8135" t="s">
        <v>1642</v>
      </c>
      <c r="I8135" t="s">
        <v>29</v>
      </c>
      <c r="J8135">
        <v>1</v>
      </c>
      <c r="K8135">
        <f>1-800-932-917</f>
        <v>-2648</v>
      </c>
      <c r="L8135" t="s">
        <v>25413</v>
      </c>
      <c r="M8135" t="s">
        <v>25414</v>
      </c>
      <c r="N8135" t="s">
        <v>452</v>
      </c>
      <c r="O8135" t="s">
        <v>134</v>
      </c>
      <c r="P8135" t="s">
        <v>292</v>
      </c>
      <c r="Q8135">
        <v>49</v>
      </c>
      <c r="R8135">
        <v>2.32131</v>
      </c>
    </row>
    <row r="8136" spans="1:18" x14ac:dyDescent="0.2">
      <c r="A8136" t="s">
        <v>1637</v>
      </c>
      <c r="B8136" t="s">
        <v>1638</v>
      </c>
      <c r="C8136">
        <v>1</v>
      </c>
      <c r="D8136" s="1">
        <v>44209.989930555559</v>
      </c>
      <c r="E8136" t="s">
        <v>25415</v>
      </c>
      <c r="F8136" t="s">
        <v>5753</v>
      </c>
      <c r="G8136" t="s">
        <v>25406</v>
      </c>
      <c r="H8136" t="s">
        <v>1642</v>
      </c>
      <c r="I8136" t="s">
        <v>29</v>
      </c>
      <c r="J8136">
        <v>1</v>
      </c>
      <c r="K8136">
        <f>1-833-308-1641</f>
        <v>-2781</v>
      </c>
      <c r="L8136" t="s">
        <v>25416</v>
      </c>
      <c r="M8136" t="s">
        <v>25417</v>
      </c>
      <c r="N8136" t="s">
        <v>2475</v>
      </c>
      <c r="O8136" t="s">
        <v>134</v>
      </c>
      <c r="P8136" t="s">
        <v>292</v>
      </c>
      <c r="Q8136">
        <v>49</v>
      </c>
      <c r="R8136">
        <v>2.32131</v>
      </c>
    </row>
    <row r="8137" spans="1:18" x14ac:dyDescent="0.2">
      <c r="A8137" t="s">
        <v>663</v>
      </c>
      <c r="B8137" t="s">
        <v>664</v>
      </c>
      <c r="C8137">
        <v>1</v>
      </c>
      <c r="D8137" s="1">
        <v>44210.257175925923</v>
      </c>
      <c r="E8137" t="s">
        <v>25418</v>
      </c>
      <c r="F8137" t="s">
        <v>2495</v>
      </c>
      <c r="G8137" t="s">
        <v>25418</v>
      </c>
      <c r="H8137" t="s">
        <v>667</v>
      </c>
      <c r="I8137" t="s">
        <v>29</v>
      </c>
      <c r="J8137">
        <v>1</v>
      </c>
      <c r="K8137">
        <f>1-888-308-5057</f>
        <v>-6252</v>
      </c>
      <c r="L8137" t="s">
        <v>25419</v>
      </c>
      <c r="M8137" t="s">
        <v>25420</v>
      </c>
      <c r="N8137">
        <v>209</v>
      </c>
      <c r="O8137" t="s">
        <v>134</v>
      </c>
      <c r="P8137" t="s">
        <v>29</v>
      </c>
      <c r="Q8137">
        <v>37</v>
      </c>
      <c r="R8137">
        <v>-99.999999000000003</v>
      </c>
    </row>
    <row r="8138" spans="1:18" x14ac:dyDescent="0.2">
      <c r="A8138" t="s">
        <v>6887</v>
      </c>
      <c r="B8138" t="s">
        <v>4321</v>
      </c>
      <c r="C8138">
        <v>1</v>
      </c>
      <c r="D8138" s="1">
        <v>44210.810162037036</v>
      </c>
      <c r="E8138" t="s">
        <v>25421</v>
      </c>
      <c r="F8138" t="s">
        <v>25422</v>
      </c>
      <c r="G8138" t="s">
        <v>25423</v>
      </c>
      <c r="H8138" t="s">
        <v>6892</v>
      </c>
      <c r="I8138" t="s">
        <v>29</v>
      </c>
      <c r="J8138">
        <v>1</v>
      </c>
      <c r="K8138">
        <f>1-888-346-29-39</f>
        <v>-1301</v>
      </c>
      <c r="L8138" t="s">
        <v>25424</v>
      </c>
      <c r="M8138" t="s">
        <v>25425</v>
      </c>
      <c r="N8138" t="s">
        <v>452</v>
      </c>
      <c r="O8138" t="s">
        <v>28</v>
      </c>
      <c r="P8138" t="s">
        <v>29</v>
      </c>
      <c r="Q8138">
        <v>42</v>
      </c>
      <c r="R8138">
        <v>-87.629800000000003</v>
      </c>
    </row>
    <row r="8139" spans="1:18" x14ac:dyDescent="0.2">
      <c r="A8139" t="s">
        <v>1637</v>
      </c>
      <c r="B8139" t="s">
        <v>454</v>
      </c>
      <c r="C8139">
        <v>1</v>
      </c>
      <c r="D8139" s="1">
        <v>44378.972337962965</v>
      </c>
      <c r="E8139" t="s">
        <v>25426</v>
      </c>
      <c r="F8139" t="s">
        <v>1640</v>
      </c>
      <c r="G8139" t="s">
        <v>25427</v>
      </c>
      <c r="H8139" t="s">
        <v>1642</v>
      </c>
      <c r="I8139" t="s">
        <v>29</v>
      </c>
      <c r="J8139">
        <v>1</v>
      </c>
      <c r="K8139">
        <f>1-888-510-4465</f>
        <v>-5862</v>
      </c>
      <c r="L8139" t="s">
        <v>25428</v>
      </c>
      <c r="M8139" t="s">
        <v>25429</v>
      </c>
      <c r="N8139" t="s">
        <v>452</v>
      </c>
      <c r="O8139" t="s">
        <v>134</v>
      </c>
      <c r="P8139" t="s">
        <v>461</v>
      </c>
      <c r="Q8139">
        <v>52</v>
      </c>
      <c r="R8139">
        <v>4.8975</v>
      </c>
    </row>
    <row r="8140" spans="1:18" x14ac:dyDescent="0.2">
      <c r="A8140" t="s">
        <v>1637</v>
      </c>
      <c r="B8140" t="s">
        <v>454</v>
      </c>
      <c r="C8140">
        <v>1</v>
      </c>
      <c r="D8140" s="1">
        <v>44378.780671296299</v>
      </c>
      <c r="E8140" t="s">
        <v>25430</v>
      </c>
      <c r="F8140" t="s">
        <v>1640</v>
      </c>
      <c r="G8140" t="s">
        <v>25427</v>
      </c>
      <c r="H8140" t="s">
        <v>1642</v>
      </c>
      <c r="I8140" t="s">
        <v>29</v>
      </c>
      <c r="J8140">
        <v>1</v>
      </c>
      <c r="K8140">
        <f>1-888-509-7453</f>
        <v>-8849</v>
      </c>
      <c r="L8140" t="s">
        <v>25431</v>
      </c>
      <c r="M8140" t="s">
        <v>25432</v>
      </c>
      <c r="N8140" t="s">
        <v>5745</v>
      </c>
      <c r="O8140" t="s">
        <v>134</v>
      </c>
      <c r="P8140" t="s">
        <v>461</v>
      </c>
      <c r="Q8140">
        <v>52</v>
      </c>
      <c r="R8140">
        <v>4.8975</v>
      </c>
    </row>
    <row r="8141" spans="1:18" x14ac:dyDescent="0.2">
      <c r="A8141" t="s">
        <v>1637</v>
      </c>
      <c r="B8141" t="s">
        <v>454</v>
      </c>
      <c r="C8141">
        <v>1</v>
      </c>
      <c r="D8141" s="1">
        <v>44356.981053240743</v>
      </c>
      <c r="E8141" t="s">
        <v>25433</v>
      </c>
      <c r="F8141" t="s">
        <v>1640</v>
      </c>
      <c r="G8141" t="s">
        <v>25427</v>
      </c>
      <c r="H8141" t="s">
        <v>1642</v>
      </c>
      <c r="I8141" t="s">
        <v>29</v>
      </c>
      <c r="J8141">
        <v>1</v>
      </c>
      <c r="K8141">
        <f>1-888-498-2847</f>
        <v>-4232</v>
      </c>
      <c r="L8141" t="s">
        <v>25434</v>
      </c>
      <c r="M8141" t="s">
        <v>25435</v>
      </c>
      <c r="N8141" t="s">
        <v>452</v>
      </c>
      <c r="O8141" t="s">
        <v>134</v>
      </c>
      <c r="P8141" t="s">
        <v>461</v>
      </c>
      <c r="Q8141">
        <v>52</v>
      </c>
      <c r="R8141">
        <v>4.8975</v>
      </c>
    </row>
    <row r="8142" spans="1:18" x14ac:dyDescent="0.2">
      <c r="A8142" t="s">
        <v>1637</v>
      </c>
      <c r="B8142" t="s">
        <v>454</v>
      </c>
      <c r="C8142">
        <v>1</v>
      </c>
      <c r="D8142" s="1">
        <v>44356.852997685186</v>
      </c>
      <c r="E8142" t="s">
        <v>25436</v>
      </c>
      <c r="F8142" t="s">
        <v>1640</v>
      </c>
      <c r="G8142" t="s">
        <v>25427</v>
      </c>
      <c r="H8142" t="s">
        <v>1642</v>
      </c>
      <c r="I8142" t="s">
        <v>29</v>
      </c>
      <c r="J8142">
        <v>1</v>
      </c>
      <c r="K8142">
        <f>1-888-451-9607</f>
        <v>-10945</v>
      </c>
      <c r="L8142" t="s">
        <v>25437</v>
      </c>
      <c r="M8142" t="s">
        <v>25438</v>
      </c>
      <c r="N8142" t="s">
        <v>5745</v>
      </c>
      <c r="O8142" t="s">
        <v>134</v>
      </c>
      <c r="P8142" t="s">
        <v>461</v>
      </c>
      <c r="Q8142">
        <v>52</v>
      </c>
      <c r="R8142">
        <v>4.8975</v>
      </c>
    </row>
    <row r="8143" spans="1:18" x14ac:dyDescent="0.2">
      <c r="A8143" t="s">
        <v>1637</v>
      </c>
      <c r="B8143" t="s">
        <v>454</v>
      </c>
      <c r="C8143">
        <v>1</v>
      </c>
      <c r="D8143" s="1">
        <v>44357.856516203705</v>
      </c>
      <c r="E8143" t="s">
        <v>25439</v>
      </c>
      <c r="F8143" t="s">
        <v>1640</v>
      </c>
      <c r="G8143" t="s">
        <v>25427</v>
      </c>
      <c r="H8143" t="s">
        <v>1642</v>
      </c>
      <c r="I8143" t="s">
        <v>29</v>
      </c>
      <c r="J8143">
        <v>1</v>
      </c>
      <c r="K8143">
        <f>1-888-498-2847</f>
        <v>-4232</v>
      </c>
      <c r="L8143" t="s">
        <v>25440</v>
      </c>
      <c r="M8143" t="s">
        <v>25441</v>
      </c>
      <c r="N8143" t="s">
        <v>5745</v>
      </c>
      <c r="O8143" t="s">
        <v>134</v>
      </c>
      <c r="P8143" t="s">
        <v>461</v>
      </c>
      <c r="Q8143">
        <v>52</v>
      </c>
      <c r="R8143">
        <v>4.8975</v>
      </c>
    </row>
    <row r="8144" spans="1:18" x14ac:dyDescent="0.2">
      <c r="A8144" t="s">
        <v>1637</v>
      </c>
      <c r="B8144" t="s">
        <v>454</v>
      </c>
      <c r="C8144">
        <v>1</v>
      </c>
      <c r="D8144" s="1">
        <v>44230.847951388889</v>
      </c>
      <c r="E8144" t="s">
        <v>25442</v>
      </c>
      <c r="F8144" t="s">
        <v>1640</v>
      </c>
      <c r="G8144" t="s">
        <v>25427</v>
      </c>
      <c r="H8144" t="s">
        <v>1642</v>
      </c>
      <c r="I8144" t="s">
        <v>29</v>
      </c>
      <c r="J8144">
        <v>1</v>
      </c>
      <c r="K8144">
        <f>1-888-473-9581</f>
        <v>-10941</v>
      </c>
      <c r="L8144" t="s">
        <v>25443</v>
      </c>
      <c r="M8144" t="s">
        <v>25444</v>
      </c>
      <c r="N8144" t="s">
        <v>452</v>
      </c>
      <c r="O8144" t="s">
        <v>134</v>
      </c>
      <c r="P8144" t="s">
        <v>461</v>
      </c>
      <c r="Q8144">
        <v>52</v>
      </c>
      <c r="R8144">
        <v>4.8975</v>
      </c>
    </row>
    <row r="8145" spans="1:18" x14ac:dyDescent="0.2">
      <c r="A8145" t="s">
        <v>1637</v>
      </c>
      <c r="B8145" t="s">
        <v>454</v>
      </c>
      <c r="C8145">
        <v>1</v>
      </c>
      <c r="D8145" s="1">
        <v>44210.832766203705</v>
      </c>
      <c r="E8145" t="s">
        <v>25445</v>
      </c>
      <c r="F8145" t="s">
        <v>1640</v>
      </c>
      <c r="G8145" t="s">
        <v>25427</v>
      </c>
      <c r="H8145" t="s">
        <v>1642</v>
      </c>
      <c r="I8145" t="s">
        <v>29</v>
      </c>
      <c r="J8145">
        <v>1</v>
      </c>
      <c r="K8145">
        <f>1-800-929-5387</f>
        <v>-7115</v>
      </c>
      <c r="L8145" s="2" t="s">
        <v>25446</v>
      </c>
      <c r="M8145" t="s">
        <v>25447</v>
      </c>
      <c r="N8145" t="s">
        <v>36</v>
      </c>
      <c r="O8145" t="s">
        <v>134</v>
      </c>
      <c r="P8145" t="s">
        <v>461</v>
      </c>
      <c r="Q8145">
        <v>52</v>
      </c>
      <c r="R8145">
        <v>4.8975</v>
      </c>
    </row>
    <row r="8146" spans="1:18" x14ac:dyDescent="0.2">
      <c r="A8146" t="s">
        <v>663</v>
      </c>
      <c r="B8146" t="s">
        <v>3245</v>
      </c>
      <c r="C8146">
        <v>1</v>
      </c>
      <c r="D8146" s="1">
        <v>44210.843298611115</v>
      </c>
      <c r="E8146" t="s">
        <v>25448</v>
      </c>
      <c r="F8146" t="s">
        <v>666</v>
      </c>
      <c r="G8146" t="s">
        <v>25448</v>
      </c>
      <c r="H8146" t="s">
        <v>667</v>
      </c>
      <c r="I8146" t="s">
        <v>29</v>
      </c>
      <c r="J8146">
        <v>1</v>
      </c>
      <c r="K8146">
        <f>1-866-463-1034</f>
        <v>-2362</v>
      </c>
      <c r="L8146" t="s">
        <v>25449</v>
      </c>
      <c r="M8146" t="s">
        <v>25450</v>
      </c>
      <c r="N8146">
        <v>234</v>
      </c>
      <c r="O8146" t="s">
        <v>134</v>
      </c>
      <c r="P8146" t="s">
        <v>29</v>
      </c>
      <c r="Q8146">
        <v>41</v>
      </c>
      <c r="R8146">
        <v>-74.140299999999996</v>
      </c>
    </row>
    <row r="8147" spans="1:18" x14ac:dyDescent="0.2">
      <c r="A8147" t="s">
        <v>663</v>
      </c>
      <c r="B8147" t="s">
        <v>2493</v>
      </c>
      <c r="C8147">
        <v>1</v>
      </c>
      <c r="D8147" s="1">
        <v>44210.924699074072</v>
      </c>
      <c r="E8147" t="s">
        <v>25451</v>
      </c>
      <c r="F8147" t="s">
        <v>666</v>
      </c>
      <c r="G8147" t="s">
        <v>25451</v>
      </c>
      <c r="H8147" t="s">
        <v>667</v>
      </c>
      <c r="I8147" t="s">
        <v>29</v>
      </c>
      <c r="J8147">
        <v>1</v>
      </c>
      <c r="K8147">
        <f>1-888-355-4958</f>
        <v>-6200</v>
      </c>
      <c r="L8147" t="s">
        <v>25452</v>
      </c>
      <c r="M8147" t="s">
        <v>25453</v>
      </c>
      <c r="N8147">
        <v>143</v>
      </c>
      <c r="O8147" t="s">
        <v>134</v>
      </c>
      <c r="P8147" t="s">
        <v>29</v>
      </c>
      <c r="Q8147">
        <v>41</v>
      </c>
      <c r="R8147">
        <v>-74.024699999999996</v>
      </c>
    </row>
    <row r="8148" spans="1:18" x14ac:dyDescent="0.2">
      <c r="A8148" t="s">
        <v>663</v>
      </c>
      <c r="B8148" t="s">
        <v>2493</v>
      </c>
      <c r="C8148">
        <v>1</v>
      </c>
      <c r="D8148" s="1">
        <v>44210.915277777778</v>
      </c>
      <c r="E8148" t="s">
        <v>25454</v>
      </c>
      <c r="F8148" t="s">
        <v>666</v>
      </c>
      <c r="G8148" t="s">
        <v>25454</v>
      </c>
      <c r="H8148" t="s">
        <v>667</v>
      </c>
      <c r="I8148" t="s">
        <v>29</v>
      </c>
      <c r="J8148">
        <v>1</v>
      </c>
      <c r="K8148">
        <f>1-888-339-7850</f>
        <v>-9076</v>
      </c>
      <c r="L8148" t="s">
        <v>25455</v>
      </c>
      <c r="M8148" t="s">
        <v>25456</v>
      </c>
      <c r="N8148">
        <v>140</v>
      </c>
      <c r="O8148" t="s">
        <v>134</v>
      </c>
      <c r="P8148" t="s">
        <v>29</v>
      </c>
      <c r="Q8148">
        <v>41</v>
      </c>
      <c r="R8148">
        <v>-74.024699999999996</v>
      </c>
    </row>
    <row r="8149" spans="1:18" x14ac:dyDescent="0.2">
      <c r="A8149" t="s">
        <v>439</v>
      </c>
      <c r="B8149" t="s">
        <v>4321</v>
      </c>
      <c r="C8149">
        <v>1</v>
      </c>
      <c r="D8149" s="1">
        <v>44210.915601851855</v>
      </c>
      <c r="E8149" t="s">
        <v>25457</v>
      </c>
      <c r="F8149" t="s">
        <v>442</v>
      </c>
      <c r="G8149" t="s">
        <v>25458</v>
      </c>
      <c r="H8149" t="s">
        <v>444</v>
      </c>
      <c r="I8149" t="s">
        <v>29</v>
      </c>
      <c r="J8149">
        <v>1</v>
      </c>
      <c r="K8149">
        <f>1-888-803-765</f>
        <v>-2455</v>
      </c>
      <c r="L8149" t="s">
        <v>25459</v>
      </c>
      <c r="M8149" t="s">
        <v>25460</v>
      </c>
      <c r="N8149" t="s">
        <v>3441</v>
      </c>
      <c r="O8149" t="s">
        <v>28</v>
      </c>
      <c r="P8149" t="s">
        <v>29</v>
      </c>
      <c r="Q8149">
        <v>42</v>
      </c>
      <c r="R8149">
        <v>-87.629800000000003</v>
      </c>
    </row>
    <row r="8150" spans="1:18" x14ac:dyDescent="0.2">
      <c r="A8150" t="s">
        <v>663</v>
      </c>
      <c r="B8150" t="s">
        <v>2493</v>
      </c>
      <c r="C8150">
        <v>1</v>
      </c>
      <c r="D8150" s="1">
        <v>44211.769953703704</v>
      </c>
      <c r="E8150" t="s">
        <v>25461</v>
      </c>
      <c r="F8150" t="s">
        <v>666</v>
      </c>
      <c r="G8150" t="s">
        <v>25461</v>
      </c>
      <c r="H8150" t="s">
        <v>667</v>
      </c>
      <c r="I8150" t="s">
        <v>29</v>
      </c>
      <c r="J8150">
        <v>1</v>
      </c>
      <c r="K8150">
        <f>1-888-356-943</f>
        <v>-2186</v>
      </c>
      <c r="L8150" t="s">
        <v>25462</v>
      </c>
      <c r="M8150" t="s">
        <v>25463</v>
      </c>
      <c r="N8150">
        <v>223</v>
      </c>
      <c r="O8150" t="s">
        <v>134</v>
      </c>
      <c r="P8150" t="s">
        <v>29</v>
      </c>
      <c r="Q8150">
        <v>41</v>
      </c>
      <c r="R8150">
        <v>-74.024699999999996</v>
      </c>
    </row>
    <row r="8151" spans="1:18" x14ac:dyDescent="0.2">
      <c r="A8151" t="s">
        <v>663</v>
      </c>
      <c r="B8151" t="s">
        <v>2493</v>
      </c>
      <c r="C8151">
        <v>1</v>
      </c>
      <c r="D8151" s="1">
        <v>44211.795069444444</v>
      </c>
      <c r="E8151" t="s">
        <v>25464</v>
      </c>
      <c r="F8151" t="s">
        <v>666</v>
      </c>
      <c r="G8151" t="s">
        <v>25464</v>
      </c>
      <c r="H8151" t="s">
        <v>667</v>
      </c>
      <c r="I8151" t="s">
        <v>29</v>
      </c>
      <c r="J8151">
        <v>1</v>
      </c>
      <c r="K8151">
        <f>1-888-347-207</f>
        <v>-1441</v>
      </c>
      <c r="L8151" t="s">
        <v>25465</v>
      </c>
      <c r="M8151" t="s">
        <v>25466</v>
      </c>
      <c r="N8151">
        <v>124</v>
      </c>
      <c r="O8151" t="s">
        <v>134</v>
      </c>
      <c r="P8151" t="s">
        <v>29</v>
      </c>
      <c r="Q8151">
        <v>41</v>
      </c>
      <c r="R8151">
        <v>-74.024699999999996</v>
      </c>
    </row>
    <row r="8152" spans="1:18" x14ac:dyDescent="0.2">
      <c r="A8152" t="s">
        <v>663</v>
      </c>
      <c r="B8152" t="s">
        <v>2493</v>
      </c>
      <c r="C8152">
        <v>1</v>
      </c>
      <c r="D8152" s="1">
        <v>44211.792025462964</v>
      </c>
      <c r="E8152" t="s">
        <v>25464</v>
      </c>
      <c r="F8152" t="s">
        <v>666</v>
      </c>
      <c r="G8152" t="s">
        <v>25464</v>
      </c>
      <c r="H8152" t="s">
        <v>667</v>
      </c>
      <c r="I8152" t="s">
        <v>29</v>
      </c>
      <c r="J8152">
        <v>1</v>
      </c>
      <c r="K8152">
        <f>1-888-353-6904</f>
        <v>-8144</v>
      </c>
      <c r="L8152" t="s">
        <v>25467</v>
      </c>
      <c r="M8152" t="s">
        <v>25468</v>
      </c>
      <c r="N8152">
        <v>124</v>
      </c>
      <c r="O8152" t="s">
        <v>134</v>
      </c>
      <c r="P8152" t="s">
        <v>29</v>
      </c>
      <c r="Q8152">
        <v>41</v>
      </c>
      <c r="R8152">
        <v>-74.024699999999996</v>
      </c>
    </row>
    <row r="8153" spans="1:18" x14ac:dyDescent="0.2">
      <c r="A8153" t="s">
        <v>675</v>
      </c>
      <c r="B8153" t="s">
        <v>1412</v>
      </c>
      <c r="C8153">
        <v>1</v>
      </c>
      <c r="D8153" s="1">
        <v>44235.864571759259</v>
      </c>
      <c r="E8153" t="s">
        <v>25469</v>
      </c>
      <c r="F8153" t="s">
        <v>678</v>
      </c>
      <c r="G8153" t="s">
        <v>25470</v>
      </c>
      <c r="H8153" t="s">
        <v>680</v>
      </c>
      <c r="I8153" t="s">
        <v>29</v>
      </c>
      <c r="J8153">
        <v>1</v>
      </c>
      <c r="K8153">
        <f>1-800-90-3854</f>
        <v>-4743</v>
      </c>
      <c r="L8153" t="s">
        <v>25471</v>
      </c>
      <c r="M8153" t="s">
        <v>25472</v>
      </c>
      <c r="N8153" t="s">
        <v>2475</v>
      </c>
      <c r="O8153" t="s">
        <v>28</v>
      </c>
      <c r="P8153" t="s">
        <v>29</v>
      </c>
      <c r="Q8153">
        <v>41</v>
      </c>
      <c r="R8153">
        <v>-74.172399999999996</v>
      </c>
    </row>
    <row r="8154" spans="1:18" x14ac:dyDescent="0.2">
      <c r="A8154" t="s">
        <v>675</v>
      </c>
      <c r="B8154" t="s">
        <v>1412</v>
      </c>
      <c r="C8154">
        <v>81</v>
      </c>
      <c r="D8154" s="1">
        <v>44212.04277777778</v>
      </c>
      <c r="E8154" t="s">
        <v>25473</v>
      </c>
      <c r="F8154" t="s">
        <v>678</v>
      </c>
      <c r="G8154" t="s">
        <v>25470</v>
      </c>
      <c r="H8154" t="s">
        <v>680</v>
      </c>
      <c r="I8154" t="s">
        <v>53</v>
      </c>
      <c r="J8154">
        <v>81</v>
      </c>
      <c r="K8154">
        <f>81-50-5806-373</f>
        <v>-6148</v>
      </c>
      <c r="L8154" t="s">
        <v>25474</v>
      </c>
      <c r="M8154" t="s">
        <v>25475</v>
      </c>
      <c r="N8154" t="s">
        <v>2475</v>
      </c>
      <c r="O8154" t="s">
        <v>28</v>
      </c>
      <c r="P8154" t="s">
        <v>29</v>
      </c>
      <c r="Q8154">
        <v>41</v>
      </c>
      <c r="R8154">
        <v>-74.172399999999996</v>
      </c>
    </row>
    <row r="8155" spans="1:18" x14ac:dyDescent="0.2">
      <c r="A8155" t="s">
        <v>439</v>
      </c>
      <c r="B8155" t="s">
        <v>440</v>
      </c>
      <c r="C8155">
        <v>1</v>
      </c>
      <c r="D8155" s="1">
        <v>44287.731736111113</v>
      </c>
      <c r="E8155" t="s">
        <v>25476</v>
      </c>
      <c r="F8155" t="s">
        <v>442</v>
      </c>
      <c r="G8155" t="s">
        <v>25477</v>
      </c>
      <c r="H8155" t="s">
        <v>444</v>
      </c>
      <c r="I8155" t="s">
        <v>29</v>
      </c>
      <c r="J8155">
        <v>1</v>
      </c>
      <c r="K8155">
        <f>1-888-521-674</f>
        <v>-2082</v>
      </c>
      <c r="L8155" t="s">
        <v>25478</v>
      </c>
      <c r="M8155" t="s">
        <v>25479</v>
      </c>
      <c r="N8155" t="s">
        <v>25195</v>
      </c>
      <c r="O8155" t="s">
        <v>28</v>
      </c>
      <c r="P8155" t="s">
        <v>29</v>
      </c>
      <c r="Q8155">
        <v>39</v>
      </c>
      <c r="R8155">
        <v>-77.487399999999994</v>
      </c>
    </row>
    <row r="8156" spans="1:18" x14ac:dyDescent="0.2">
      <c r="A8156" t="s">
        <v>439</v>
      </c>
      <c r="B8156" t="s">
        <v>4321</v>
      </c>
      <c r="C8156">
        <v>1</v>
      </c>
      <c r="D8156" s="1">
        <v>44215.715439814812</v>
      </c>
      <c r="E8156" t="s">
        <v>25480</v>
      </c>
      <c r="F8156" t="s">
        <v>442</v>
      </c>
      <c r="G8156" t="s">
        <v>25477</v>
      </c>
      <c r="H8156" t="s">
        <v>444</v>
      </c>
      <c r="I8156" t="s">
        <v>29</v>
      </c>
      <c r="J8156">
        <v>1</v>
      </c>
      <c r="K8156">
        <f>1-888-337-3119</f>
        <v>-4343</v>
      </c>
      <c r="L8156" t="s">
        <v>25481</v>
      </c>
      <c r="M8156" t="s">
        <v>25482</v>
      </c>
      <c r="N8156" t="s">
        <v>2475</v>
      </c>
      <c r="O8156" t="s">
        <v>28</v>
      </c>
      <c r="P8156" t="s">
        <v>29</v>
      </c>
      <c r="Q8156">
        <v>42</v>
      </c>
      <c r="R8156">
        <v>-87.629800000000003</v>
      </c>
    </row>
    <row r="8157" spans="1:18" x14ac:dyDescent="0.2">
      <c r="A8157" t="s">
        <v>439</v>
      </c>
      <c r="B8157" t="s">
        <v>4321</v>
      </c>
      <c r="C8157">
        <v>1</v>
      </c>
      <c r="D8157" s="1">
        <v>44215.714189814818</v>
      </c>
      <c r="E8157" t="s">
        <v>25480</v>
      </c>
      <c r="F8157" t="s">
        <v>442</v>
      </c>
      <c r="G8157" t="s">
        <v>25477</v>
      </c>
      <c r="H8157" t="s">
        <v>444</v>
      </c>
      <c r="I8157" t="s">
        <v>29</v>
      </c>
      <c r="J8157">
        <v>1</v>
      </c>
      <c r="K8157">
        <f>1-888-348-8441</f>
        <v>-9676</v>
      </c>
      <c r="L8157" t="s">
        <v>25483</v>
      </c>
      <c r="M8157" t="s">
        <v>25484</v>
      </c>
      <c r="N8157" t="s">
        <v>2475</v>
      </c>
      <c r="O8157" t="s">
        <v>28</v>
      </c>
      <c r="P8157" t="s">
        <v>29</v>
      </c>
      <c r="Q8157">
        <v>42</v>
      </c>
      <c r="R8157">
        <v>-87.629800000000003</v>
      </c>
    </row>
    <row r="8158" spans="1:18" x14ac:dyDescent="0.2">
      <c r="A8158" t="s">
        <v>439</v>
      </c>
      <c r="B8158" t="s">
        <v>4321</v>
      </c>
      <c r="C8158">
        <v>1</v>
      </c>
      <c r="D8158" s="1">
        <v>44215.713703703703</v>
      </c>
      <c r="E8158" t="s">
        <v>25480</v>
      </c>
      <c r="F8158" t="s">
        <v>442</v>
      </c>
      <c r="G8158" t="s">
        <v>25477</v>
      </c>
      <c r="H8158" t="s">
        <v>444</v>
      </c>
      <c r="I8158" t="s">
        <v>29</v>
      </c>
      <c r="J8158">
        <v>1</v>
      </c>
      <c r="K8158">
        <f>1-888-308-5771</f>
        <v>-6966</v>
      </c>
      <c r="L8158" t="s">
        <v>25485</v>
      </c>
      <c r="M8158" t="s">
        <v>25486</v>
      </c>
      <c r="N8158" t="s">
        <v>2475</v>
      </c>
      <c r="O8158" t="s">
        <v>28</v>
      </c>
      <c r="P8158" t="s">
        <v>29</v>
      </c>
      <c r="Q8158">
        <v>42</v>
      </c>
      <c r="R8158">
        <v>-87.629800000000003</v>
      </c>
    </row>
    <row r="8159" spans="1:18" x14ac:dyDescent="0.2">
      <c r="A8159" t="s">
        <v>439</v>
      </c>
      <c r="B8159" t="s">
        <v>4321</v>
      </c>
      <c r="C8159">
        <v>1</v>
      </c>
      <c r="D8159" s="1">
        <v>44215.713125000002</v>
      </c>
      <c r="E8159" t="s">
        <v>25480</v>
      </c>
      <c r="F8159" t="s">
        <v>442</v>
      </c>
      <c r="G8159" t="s">
        <v>25477</v>
      </c>
      <c r="H8159" t="s">
        <v>444</v>
      </c>
      <c r="I8159" t="s">
        <v>29</v>
      </c>
      <c r="J8159">
        <v>1</v>
      </c>
      <c r="K8159">
        <f>1-888-308-5719</f>
        <v>-6914</v>
      </c>
      <c r="L8159" t="s">
        <v>25487</v>
      </c>
      <c r="M8159" t="s">
        <v>25488</v>
      </c>
      <c r="N8159" t="s">
        <v>2475</v>
      </c>
      <c r="O8159" t="s">
        <v>28</v>
      </c>
      <c r="P8159" t="s">
        <v>29</v>
      </c>
      <c r="Q8159">
        <v>42</v>
      </c>
      <c r="R8159">
        <v>-87.629800000000003</v>
      </c>
    </row>
    <row r="8160" spans="1:18" x14ac:dyDescent="0.2">
      <c r="A8160" t="s">
        <v>439</v>
      </c>
      <c r="B8160" t="s">
        <v>4321</v>
      </c>
      <c r="C8160">
        <v>1</v>
      </c>
      <c r="D8160" s="1">
        <v>44215.703831018516</v>
      </c>
      <c r="E8160" t="s">
        <v>25489</v>
      </c>
      <c r="F8160" t="s">
        <v>442</v>
      </c>
      <c r="G8160" t="s">
        <v>25490</v>
      </c>
      <c r="H8160" t="s">
        <v>444</v>
      </c>
      <c r="I8160" t="s">
        <v>29</v>
      </c>
      <c r="J8160">
        <v>1</v>
      </c>
      <c r="K8160">
        <f>1-833-220-3908</f>
        <v>-4960</v>
      </c>
      <c r="L8160" t="s">
        <v>25491</v>
      </c>
      <c r="M8160" t="s">
        <v>25492</v>
      </c>
      <c r="N8160" t="s">
        <v>3441</v>
      </c>
      <c r="O8160" t="s">
        <v>28</v>
      </c>
      <c r="P8160" t="s">
        <v>29</v>
      </c>
      <c r="Q8160">
        <v>42</v>
      </c>
      <c r="R8160">
        <v>-87.629800000000003</v>
      </c>
    </row>
    <row r="8161" spans="1:18" x14ac:dyDescent="0.2">
      <c r="A8161" t="s">
        <v>439</v>
      </c>
      <c r="B8161" t="s">
        <v>4321</v>
      </c>
      <c r="C8161">
        <v>1</v>
      </c>
      <c r="D8161" s="1">
        <v>44215.705312500002</v>
      </c>
      <c r="E8161" t="s">
        <v>25493</v>
      </c>
      <c r="F8161" t="s">
        <v>442</v>
      </c>
      <c r="G8161" t="s">
        <v>25494</v>
      </c>
      <c r="H8161" t="s">
        <v>444</v>
      </c>
      <c r="I8161" t="s">
        <v>29</v>
      </c>
      <c r="J8161">
        <v>1</v>
      </c>
      <c r="K8161">
        <f>1-866-463-1034</f>
        <v>-2362</v>
      </c>
      <c r="L8161" t="s">
        <v>25495</v>
      </c>
      <c r="M8161" t="s">
        <v>25496</v>
      </c>
      <c r="N8161" t="s">
        <v>3441</v>
      </c>
      <c r="O8161" t="s">
        <v>28</v>
      </c>
      <c r="P8161" t="s">
        <v>29</v>
      </c>
      <c r="Q8161">
        <v>42</v>
      </c>
      <c r="R8161">
        <v>-87.629800000000003</v>
      </c>
    </row>
    <row r="8162" spans="1:18" x14ac:dyDescent="0.2">
      <c r="A8162" t="s">
        <v>270</v>
      </c>
      <c r="B8162" t="s">
        <v>440</v>
      </c>
      <c r="C8162">
        <v>1</v>
      </c>
      <c r="D8162" s="1">
        <v>44223.752766203703</v>
      </c>
      <c r="E8162" t="s">
        <v>25497</v>
      </c>
      <c r="F8162" t="s">
        <v>273</v>
      </c>
      <c r="G8162" t="s">
        <v>25498</v>
      </c>
      <c r="H8162" t="s">
        <v>275</v>
      </c>
      <c r="I8162" t="s">
        <v>29</v>
      </c>
      <c r="J8162">
        <v>1</v>
      </c>
      <c r="K8162">
        <f>1-888-327-6119</f>
        <v>-7333</v>
      </c>
      <c r="L8162" t="s">
        <v>25499</v>
      </c>
      <c r="M8162" t="s">
        <v>25500</v>
      </c>
      <c r="N8162" t="s">
        <v>278</v>
      </c>
      <c r="O8162" t="s">
        <v>28</v>
      </c>
      <c r="P8162" t="s">
        <v>29</v>
      </c>
      <c r="Q8162">
        <v>39</v>
      </c>
      <c r="R8162">
        <v>-77.487399999999994</v>
      </c>
    </row>
    <row r="8163" spans="1:18" x14ac:dyDescent="0.2">
      <c r="A8163" t="s">
        <v>270</v>
      </c>
      <c r="B8163" t="s">
        <v>440</v>
      </c>
      <c r="C8163">
        <v>1</v>
      </c>
      <c r="D8163" s="1">
        <v>44214.872048611112</v>
      </c>
      <c r="E8163" t="s">
        <v>25501</v>
      </c>
      <c r="F8163" t="s">
        <v>273</v>
      </c>
      <c r="G8163" t="s">
        <v>25498</v>
      </c>
      <c r="H8163" t="s">
        <v>275</v>
      </c>
      <c r="I8163" t="s">
        <v>29</v>
      </c>
      <c r="J8163">
        <v>1</v>
      </c>
      <c r="K8163">
        <f>1-888-285-3528</f>
        <v>-4700</v>
      </c>
      <c r="L8163" t="s">
        <v>25502</v>
      </c>
      <c r="M8163" t="s">
        <v>25503</v>
      </c>
      <c r="N8163" t="s">
        <v>278</v>
      </c>
      <c r="O8163" t="s">
        <v>28</v>
      </c>
      <c r="P8163" t="s">
        <v>29</v>
      </c>
      <c r="Q8163">
        <v>39</v>
      </c>
      <c r="R8163">
        <v>-77.487399999999994</v>
      </c>
    </row>
    <row r="8164" spans="1:18" x14ac:dyDescent="0.2">
      <c r="A8164" t="s">
        <v>663</v>
      </c>
      <c r="B8164" t="s">
        <v>3245</v>
      </c>
      <c r="C8164">
        <v>1</v>
      </c>
      <c r="D8164" s="1">
        <v>44215.442604166667</v>
      </c>
      <c r="E8164" t="s">
        <v>25504</v>
      </c>
      <c r="F8164" t="s">
        <v>666</v>
      </c>
      <c r="G8164" t="s">
        <v>25504</v>
      </c>
      <c r="H8164" t="s">
        <v>667</v>
      </c>
      <c r="I8164" t="s">
        <v>29</v>
      </c>
      <c r="J8164">
        <v>1</v>
      </c>
      <c r="K8164">
        <f>1-888-523-6758</f>
        <v>-8168</v>
      </c>
      <c r="L8164" t="s">
        <v>25505</v>
      </c>
      <c r="M8164" t="s">
        <v>25506</v>
      </c>
      <c r="N8164">
        <v>93</v>
      </c>
      <c r="O8164" t="s">
        <v>134</v>
      </c>
      <c r="P8164" t="s">
        <v>29</v>
      </c>
      <c r="Q8164">
        <v>41</v>
      </c>
      <c r="R8164">
        <v>-74.140299999999996</v>
      </c>
    </row>
    <row r="8165" spans="1:18" x14ac:dyDescent="0.2">
      <c r="A8165" t="s">
        <v>663</v>
      </c>
      <c r="B8165" t="s">
        <v>3245</v>
      </c>
      <c r="C8165">
        <v>1</v>
      </c>
      <c r="D8165" s="1">
        <v>44214.89508101852</v>
      </c>
      <c r="E8165" t="s">
        <v>25504</v>
      </c>
      <c r="F8165" t="s">
        <v>666</v>
      </c>
      <c r="G8165" t="s">
        <v>25504</v>
      </c>
      <c r="H8165" t="s">
        <v>667</v>
      </c>
      <c r="I8165" t="s">
        <v>29</v>
      </c>
      <c r="J8165">
        <v>1</v>
      </c>
      <c r="K8165">
        <f>1-888-537-1672</f>
        <v>-3096</v>
      </c>
      <c r="L8165" t="s">
        <v>25507</v>
      </c>
      <c r="M8165" t="s">
        <v>25508</v>
      </c>
      <c r="N8165">
        <v>93</v>
      </c>
      <c r="O8165" t="s">
        <v>134</v>
      </c>
      <c r="P8165" t="s">
        <v>29</v>
      </c>
      <c r="Q8165">
        <v>41</v>
      </c>
      <c r="R8165">
        <v>-74.140299999999996</v>
      </c>
    </row>
    <row r="8166" spans="1:18" x14ac:dyDescent="0.2">
      <c r="A8166" t="s">
        <v>439</v>
      </c>
      <c r="B8166" t="s">
        <v>4321</v>
      </c>
      <c r="C8166">
        <v>1</v>
      </c>
      <c r="D8166" s="1">
        <v>44215.719351851854</v>
      </c>
      <c r="E8166" t="s">
        <v>25509</v>
      </c>
      <c r="F8166" t="s">
        <v>442</v>
      </c>
      <c r="G8166" t="s">
        <v>25510</v>
      </c>
      <c r="H8166" t="s">
        <v>444</v>
      </c>
      <c r="I8166" t="s">
        <v>29</v>
      </c>
      <c r="J8166">
        <v>1</v>
      </c>
      <c r="K8166">
        <f>1-844-303-6507</f>
        <v>-7653</v>
      </c>
      <c r="L8166" t="s">
        <v>25511</v>
      </c>
      <c r="M8166" t="s">
        <v>25512</v>
      </c>
      <c r="N8166" t="s">
        <v>447</v>
      </c>
      <c r="O8166" t="s">
        <v>28</v>
      </c>
      <c r="P8166" t="s">
        <v>29</v>
      </c>
      <c r="Q8166">
        <v>42</v>
      </c>
      <c r="R8166">
        <v>-87.629800000000003</v>
      </c>
    </row>
    <row r="8167" spans="1:18" x14ac:dyDescent="0.2">
      <c r="A8167" t="s">
        <v>439</v>
      </c>
      <c r="B8167" t="s">
        <v>4321</v>
      </c>
      <c r="C8167">
        <v>1</v>
      </c>
      <c r="D8167" s="1">
        <v>44215.729560185187</v>
      </c>
      <c r="E8167" t="s">
        <v>25513</v>
      </c>
      <c r="F8167" t="s">
        <v>442</v>
      </c>
      <c r="G8167" t="s">
        <v>25514</v>
      </c>
      <c r="H8167" t="s">
        <v>444</v>
      </c>
      <c r="I8167" t="s">
        <v>29</v>
      </c>
      <c r="J8167">
        <v>1</v>
      </c>
      <c r="K8167">
        <f>1-888-349-497</f>
        <v>-1733</v>
      </c>
      <c r="L8167" t="s">
        <v>25515</v>
      </c>
      <c r="M8167" t="s">
        <v>25516</v>
      </c>
      <c r="N8167" t="s">
        <v>1645</v>
      </c>
      <c r="O8167" t="s">
        <v>28</v>
      </c>
      <c r="P8167" t="s">
        <v>29</v>
      </c>
      <c r="Q8167">
        <v>42</v>
      </c>
      <c r="R8167">
        <v>-87.629800000000003</v>
      </c>
    </row>
    <row r="8168" spans="1:18" x14ac:dyDescent="0.2">
      <c r="A8168" t="s">
        <v>439</v>
      </c>
      <c r="B8168" t="s">
        <v>4321</v>
      </c>
      <c r="C8168">
        <v>1</v>
      </c>
      <c r="D8168" s="1">
        <v>44215.729490740741</v>
      </c>
      <c r="E8168" t="s">
        <v>25513</v>
      </c>
      <c r="F8168" t="s">
        <v>442</v>
      </c>
      <c r="G8168" t="s">
        <v>25514</v>
      </c>
      <c r="H8168" t="s">
        <v>444</v>
      </c>
      <c r="I8168" t="s">
        <v>29</v>
      </c>
      <c r="J8168">
        <v>1</v>
      </c>
      <c r="K8168">
        <f>1-888-270-1086</f>
        <v>-2243</v>
      </c>
      <c r="L8168" t="s">
        <v>25517</v>
      </c>
      <c r="M8168" t="s">
        <v>25518</v>
      </c>
      <c r="N8168" t="s">
        <v>1645</v>
      </c>
      <c r="O8168" t="s">
        <v>28</v>
      </c>
      <c r="P8168" t="s">
        <v>29</v>
      </c>
      <c r="Q8168">
        <v>42</v>
      </c>
      <c r="R8168">
        <v>-87.629800000000003</v>
      </c>
    </row>
    <row r="8169" spans="1:18" x14ac:dyDescent="0.2">
      <c r="A8169" t="s">
        <v>439</v>
      </c>
      <c r="B8169" t="s">
        <v>4321</v>
      </c>
      <c r="C8169">
        <v>1</v>
      </c>
      <c r="D8169" s="1">
        <v>44215.727442129632</v>
      </c>
      <c r="E8169" t="s">
        <v>25513</v>
      </c>
      <c r="F8169" t="s">
        <v>442</v>
      </c>
      <c r="G8169" t="s">
        <v>25514</v>
      </c>
      <c r="H8169" t="s">
        <v>444</v>
      </c>
      <c r="I8169" t="s">
        <v>29</v>
      </c>
      <c r="J8169">
        <v>1</v>
      </c>
      <c r="K8169">
        <f>1-888-372-9485</f>
        <v>-10744</v>
      </c>
      <c r="L8169" t="s">
        <v>25519</v>
      </c>
      <c r="M8169" t="s">
        <v>25520</v>
      </c>
      <c r="N8169" t="s">
        <v>1645</v>
      </c>
      <c r="O8169" t="s">
        <v>28</v>
      </c>
      <c r="P8169" t="s">
        <v>29</v>
      </c>
      <c r="Q8169">
        <v>42</v>
      </c>
      <c r="R8169">
        <v>-87.629800000000003</v>
      </c>
    </row>
    <row r="8170" spans="1:18" x14ac:dyDescent="0.2">
      <c r="A8170" t="s">
        <v>439</v>
      </c>
      <c r="B8170" t="s">
        <v>4321</v>
      </c>
      <c r="C8170">
        <v>1</v>
      </c>
      <c r="D8170" s="1">
        <v>44215.729710648149</v>
      </c>
      <c r="E8170" t="s">
        <v>25513</v>
      </c>
      <c r="F8170" t="s">
        <v>442</v>
      </c>
      <c r="G8170" t="s">
        <v>25521</v>
      </c>
      <c r="H8170" t="s">
        <v>444</v>
      </c>
      <c r="I8170" t="s">
        <v>29</v>
      </c>
      <c r="J8170">
        <v>1</v>
      </c>
      <c r="K8170">
        <f>1-888-337-3119</f>
        <v>-4343</v>
      </c>
      <c r="L8170" t="s">
        <v>25522</v>
      </c>
      <c r="M8170" t="s">
        <v>25523</v>
      </c>
      <c r="N8170" t="s">
        <v>1645</v>
      </c>
      <c r="O8170" t="s">
        <v>28</v>
      </c>
      <c r="P8170" t="s">
        <v>29</v>
      </c>
      <c r="Q8170">
        <v>42</v>
      </c>
      <c r="R8170">
        <v>-87.629800000000003</v>
      </c>
    </row>
    <row r="8171" spans="1:18" x14ac:dyDescent="0.2">
      <c r="A8171" t="s">
        <v>439</v>
      </c>
      <c r="B8171" t="s">
        <v>4321</v>
      </c>
      <c r="C8171">
        <v>1</v>
      </c>
      <c r="D8171" s="1">
        <v>44215.729641203703</v>
      </c>
      <c r="E8171" t="s">
        <v>25513</v>
      </c>
      <c r="F8171" t="s">
        <v>442</v>
      </c>
      <c r="G8171" t="s">
        <v>25521</v>
      </c>
      <c r="H8171" t="s">
        <v>444</v>
      </c>
      <c r="I8171" t="s">
        <v>29</v>
      </c>
      <c r="J8171">
        <v>1</v>
      </c>
      <c r="K8171">
        <f>1-888-364-458</f>
        <v>-1709</v>
      </c>
      <c r="L8171" s="2" t="s">
        <v>25524</v>
      </c>
      <c r="M8171" t="s">
        <v>25525</v>
      </c>
      <c r="N8171" t="s">
        <v>1645</v>
      </c>
      <c r="O8171" t="s">
        <v>28</v>
      </c>
      <c r="P8171" t="s">
        <v>29</v>
      </c>
      <c r="Q8171">
        <v>42</v>
      </c>
      <c r="R8171">
        <v>-87.629800000000003</v>
      </c>
    </row>
    <row r="8172" spans="1:18" x14ac:dyDescent="0.2">
      <c r="A8172" t="s">
        <v>663</v>
      </c>
      <c r="B8172" t="s">
        <v>2493</v>
      </c>
      <c r="C8172">
        <v>1</v>
      </c>
      <c r="D8172" s="1">
        <v>44215.745462962965</v>
      </c>
      <c r="E8172" t="s">
        <v>25526</v>
      </c>
      <c r="F8172" t="s">
        <v>666</v>
      </c>
      <c r="G8172" t="s">
        <v>25526</v>
      </c>
      <c r="H8172" t="s">
        <v>667</v>
      </c>
      <c r="I8172" t="s">
        <v>29</v>
      </c>
      <c r="J8172">
        <v>1</v>
      </c>
      <c r="K8172">
        <f>1-888-340-4341</f>
        <v>-5568</v>
      </c>
      <c r="L8172" s="2" t="s">
        <v>25527</v>
      </c>
      <c r="M8172" t="s">
        <v>25528</v>
      </c>
      <c r="N8172">
        <v>185</v>
      </c>
      <c r="O8172" t="s">
        <v>134</v>
      </c>
      <c r="P8172" t="s">
        <v>29</v>
      </c>
      <c r="Q8172">
        <v>41</v>
      </c>
      <c r="R8172">
        <v>-74.024699999999996</v>
      </c>
    </row>
    <row r="8173" spans="1:18" x14ac:dyDescent="0.2">
      <c r="A8173" t="s">
        <v>663</v>
      </c>
      <c r="B8173" t="s">
        <v>2493</v>
      </c>
      <c r="C8173">
        <v>1</v>
      </c>
      <c r="D8173" s="1">
        <v>44215.74255787037</v>
      </c>
      <c r="E8173" t="s">
        <v>25526</v>
      </c>
      <c r="F8173" t="s">
        <v>666</v>
      </c>
      <c r="G8173" t="s">
        <v>25526</v>
      </c>
      <c r="H8173" t="s">
        <v>667</v>
      </c>
      <c r="I8173" t="s">
        <v>29</v>
      </c>
      <c r="J8173">
        <v>1</v>
      </c>
      <c r="K8173">
        <f>1-888-349-7564</f>
        <v>-8800</v>
      </c>
      <c r="L8173" t="s">
        <v>25529</v>
      </c>
      <c r="M8173" t="s">
        <v>25530</v>
      </c>
      <c r="N8173">
        <v>185</v>
      </c>
      <c r="O8173" t="s">
        <v>134</v>
      </c>
      <c r="P8173" t="s">
        <v>29</v>
      </c>
      <c r="Q8173">
        <v>41</v>
      </c>
      <c r="R8173">
        <v>-74.024699999999996</v>
      </c>
    </row>
    <row r="8174" spans="1:18" x14ac:dyDescent="0.2">
      <c r="A8174" t="s">
        <v>663</v>
      </c>
      <c r="B8174" t="s">
        <v>2493</v>
      </c>
      <c r="C8174">
        <v>1</v>
      </c>
      <c r="D8174" s="1">
        <v>44215.738692129627</v>
      </c>
      <c r="E8174" t="s">
        <v>25526</v>
      </c>
      <c r="F8174" t="s">
        <v>666</v>
      </c>
      <c r="G8174" t="s">
        <v>25526</v>
      </c>
      <c r="H8174" t="s">
        <v>667</v>
      </c>
      <c r="I8174" t="s">
        <v>29</v>
      </c>
      <c r="J8174">
        <v>1</v>
      </c>
      <c r="K8174">
        <f>1-888-320-6762</f>
        <v>-7969</v>
      </c>
      <c r="L8174" t="s">
        <v>25531</v>
      </c>
      <c r="M8174" t="s">
        <v>25532</v>
      </c>
      <c r="N8174">
        <v>185</v>
      </c>
      <c r="O8174" t="s">
        <v>134</v>
      </c>
      <c r="P8174" t="s">
        <v>29</v>
      </c>
      <c r="Q8174">
        <v>41</v>
      </c>
      <c r="R8174">
        <v>-74.024699999999996</v>
      </c>
    </row>
    <row r="8175" spans="1:18" x14ac:dyDescent="0.2">
      <c r="A8175" t="s">
        <v>5349</v>
      </c>
      <c r="B8175" t="s">
        <v>440</v>
      </c>
      <c r="C8175">
        <v>1</v>
      </c>
      <c r="D8175" s="1">
        <v>44215.740335648145</v>
      </c>
      <c r="E8175" t="s">
        <v>25533</v>
      </c>
      <c r="F8175" t="s">
        <v>2236</v>
      </c>
      <c r="G8175" t="s">
        <v>25533</v>
      </c>
      <c r="H8175" t="s">
        <v>2237</v>
      </c>
      <c r="I8175" t="s">
        <v>29</v>
      </c>
      <c r="J8175">
        <v>1</v>
      </c>
      <c r="K8175">
        <f>1-888-372-1325</f>
        <v>-2584</v>
      </c>
      <c r="L8175" t="s">
        <v>25534</v>
      </c>
      <c r="M8175" t="s">
        <v>25535</v>
      </c>
      <c r="N8175">
        <v>16</v>
      </c>
      <c r="O8175" t="s">
        <v>134</v>
      </c>
      <c r="P8175" t="s">
        <v>29</v>
      </c>
      <c r="Q8175">
        <v>39</v>
      </c>
      <c r="R8175">
        <v>-77.487399999999994</v>
      </c>
    </row>
    <row r="8176" spans="1:18" x14ac:dyDescent="0.2">
      <c r="A8176" t="s">
        <v>2349</v>
      </c>
      <c r="B8176" t="s">
        <v>6310</v>
      </c>
      <c r="C8176">
        <v>1</v>
      </c>
      <c r="D8176" s="1">
        <v>44215.746747685182</v>
      </c>
      <c r="E8176" t="s">
        <v>25536</v>
      </c>
      <c r="F8176" t="s">
        <v>2352</v>
      </c>
      <c r="G8176" t="s">
        <v>25537</v>
      </c>
      <c r="H8176" t="s">
        <v>2353</v>
      </c>
      <c r="I8176" t="s">
        <v>29</v>
      </c>
      <c r="J8176">
        <v>1</v>
      </c>
      <c r="K8176">
        <f>1-844-292-3643</f>
        <v>-4778</v>
      </c>
      <c r="L8176" t="s">
        <v>25538</v>
      </c>
      <c r="M8176" t="s">
        <v>25539</v>
      </c>
      <c r="N8176" t="s">
        <v>25263</v>
      </c>
      <c r="O8176" t="s">
        <v>28</v>
      </c>
      <c r="P8176" t="s">
        <v>29</v>
      </c>
      <c r="Q8176">
        <v>34</v>
      </c>
      <c r="R8176">
        <v>-84.387100000000004</v>
      </c>
    </row>
    <row r="8177" spans="1:18" x14ac:dyDescent="0.2">
      <c r="A8177" t="s">
        <v>439</v>
      </c>
      <c r="B8177" t="s">
        <v>4321</v>
      </c>
      <c r="C8177">
        <v>40</v>
      </c>
      <c r="D8177" s="1">
        <v>44215.752905092595</v>
      </c>
      <c r="E8177" t="s">
        <v>25540</v>
      </c>
      <c r="F8177" t="s">
        <v>442</v>
      </c>
      <c r="G8177" t="s">
        <v>25541</v>
      </c>
      <c r="H8177" t="s">
        <v>444</v>
      </c>
      <c r="I8177" t="s">
        <v>25542</v>
      </c>
      <c r="J8177">
        <v>40</v>
      </c>
      <c r="K8177">
        <f>40-202101192</f>
        <v>-202101152</v>
      </c>
      <c r="L8177" t="s">
        <v>25543</v>
      </c>
      <c r="M8177" t="s">
        <v>25544</v>
      </c>
      <c r="N8177" t="s">
        <v>3454</v>
      </c>
      <c r="O8177" t="s">
        <v>28</v>
      </c>
      <c r="P8177" t="s">
        <v>29</v>
      </c>
      <c r="Q8177">
        <v>42</v>
      </c>
      <c r="R8177">
        <v>-87.629800000000003</v>
      </c>
    </row>
    <row r="8178" spans="1:18" x14ac:dyDescent="0.2">
      <c r="A8178" t="s">
        <v>439</v>
      </c>
      <c r="B8178" t="s">
        <v>4321</v>
      </c>
      <c r="C8178">
        <v>1</v>
      </c>
      <c r="D8178" s="1">
        <v>44215.766886574071</v>
      </c>
      <c r="E8178" t="s">
        <v>25545</v>
      </c>
      <c r="F8178" t="s">
        <v>442</v>
      </c>
      <c r="G8178" t="s">
        <v>25546</v>
      </c>
      <c r="H8178" t="s">
        <v>444</v>
      </c>
      <c r="I8178" t="s">
        <v>29</v>
      </c>
      <c r="J8178">
        <v>1</v>
      </c>
      <c r="K8178">
        <f>1-888-337-3119</f>
        <v>-4343</v>
      </c>
      <c r="L8178" t="s">
        <v>25547</v>
      </c>
      <c r="M8178" t="s">
        <v>25548</v>
      </c>
      <c r="N8178" t="s">
        <v>1645</v>
      </c>
      <c r="O8178" t="s">
        <v>28</v>
      </c>
      <c r="P8178" t="s">
        <v>29</v>
      </c>
      <c r="Q8178">
        <v>42</v>
      </c>
      <c r="R8178">
        <v>-87.629800000000003</v>
      </c>
    </row>
    <row r="8179" spans="1:18" x14ac:dyDescent="0.2">
      <c r="A8179" t="s">
        <v>439</v>
      </c>
      <c r="B8179" t="s">
        <v>4321</v>
      </c>
      <c r="C8179">
        <v>1</v>
      </c>
      <c r="D8179" s="1">
        <v>44215.766805555555</v>
      </c>
      <c r="E8179" t="s">
        <v>25545</v>
      </c>
      <c r="F8179" t="s">
        <v>442</v>
      </c>
      <c r="G8179" t="s">
        <v>25546</v>
      </c>
      <c r="H8179" t="s">
        <v>444</v>
      </c>
      <c r="I8179" t="s">
        <v>29</v>
      </c>
      <c r="J8179">
        <v>1</v>
      </c>
      <c r="K8179">
        <f>1-888-364-458</f>
        <v>-1709</v>
      </c>
      <c r="L8179" t="s">
        <v>25549</v>
      </c>
      <c r="M8179" t="s">
        <v>25550</v>
      </c>
      <c r="N8179" t="s">
        <v>1645</v>
      </c>
      <c r="O8179" t="s">
        <v>28</v>
      </c>
      <c r="P8179" t="s">
        <v>29</v>
      </c>
      <c r="Q8179">
        <v>42</v>
      </c>
      <c r="R8179">
        <v>-87.629800000000003</v>
      </c>
    </row>
    <row r="8180" spans="1:18" x14ac:dyDescent="0.2">
      <c r="A8180" t="s">
        <v>439</v>
      </c>
      <c r="B8180" t="s">
        <v>4321</v>
      </c>
      <c r="C8180">
        <v>1</v>
      </c>
      <c r="D8180" s="1">
        <v>44215.765138888892</v>
      </c>
      <c r="E8180" t="s">
        <v>25545</v>
      </c>
      <c r="F8180" t="s">
        <v>442</v>
      </c>
      <c r="G8180" t="s">
        <v>25546</v>
      </c>
      <c r="H8180" t="s">
        <v>444</v>
      </c>
      <c r="I8180" t="s">
        <v>29</v>
      </c>
      <c r="J8180">
        <v>1</v>
      </c>
      <c r="K8180">
        <f>1-888-372-9485</f>
        <v>-10744</v>
      </c>
      <c r="L8180" t="s">
        <v>25551</v>
      </c>
      <c r="M8180" t="s">
        <v>25552</v>
      </c>
      <c r="N8180" t="s">
        <v>1645</v>
      </c>
      <c r="O8180" t="s">
        <v>28</v>
      </c>
      <c r="P8180" t="s">
        <v>29</v>
      </c>
      <c r="Q8180">
        <v>42</v>
      </c>
      <c r="R8180">
        <v>-87.629800000000003</v>
      </c>
    </row>
    <row r="8181" spans="1:18" x14ac:dyDescent="0.2">
      <c r="A8181" t="s">
        <v>439</v>
      </c>
      <c r="B8181" t="s">
        <v>4321</v>
      </c>
      <c r="C8181">
        <v>1</v>
      </c>
      <c r="D8181" s="1">
        <v>44215.766736111109</v>
      </c>
      <c r="E8181" t="s">
        <v>25545</v>
      </c>
      <c r="F8181" t="s">
        <v>442</v>
      </c>
      <c r="G8181" t="s">
        <v>25553</v>
      </c>
      <c r="H8181" t="s">
        <v>444</v>
      </c>
      <c r="I8181" t="s">
        <v>29</v>
      </c>
      <c r="J8181">
        <v>1</v>
      </c>
      <c r="K8181">
        <f>1-888-368-8926</f>
        <v>-10181</v>
      </c>
      <c r="L8181" t="s">
        <v>25554</v>
      </c>
      <c r="M8181" t="s">
        <v>25555</v>
      </c>
      <c r="N8181" t="s">
        <v>1645</v>
      </c>
      <c r="O8181" t="s">
        <v>28</v>
      </c>
      <c r="P8181" t="s">
        <v>29</v>
      </c>
      <c r="Q8181">
        <v>42</v>
      </c>
      <c r="R8181">
        <v>-87.629800000000003</v>
      </c>
    </row>
    <row r="8182" spans="1:18" x14ac:dyDescent="0.2">
      <c r="A8182" t="s">
        <v>675</v>
      </c>
      <c r="B8182" t="s">
        <v>1412</v>
      </c>
      <c r="C8182">
        <v>1</v>
      </c>
      <c r="D8182" s="1">
        <v>44244.007569444446</v>
      </c>
      <c r="E8182" t="s">
        <v>25556</v>
      </c>
      <c r="F8182" t="s">
        <v>678</v>
      </c>
      <c r="G8182" t="s">
        <v>25557</v>
      </c>
      <c r="H8182" t="s">
        <v>680</v>
      </c>
      <c r="I8182" t="s">
        <v>29</v>
      </c>
      <c r="J8182">
        <v>1</v>
      </c>
      <c r="K8182">
        <f>1-888-606-8847</f>
        <v>-10340</v>
      </c>
      <c r="L8182" t="s">
        <v>25558</v>
      </c>
      <c r="M8182" t="s">
        <v>25559</v>
      </c>
      <c r="N8182" t="s">
        <v>452</v>
      </c>
      <c r="O8182" t="s">
        <v>134</v>
      </c>
      <c r="P8182" t="s">
        <v>29</v>
      </c>
      <c r="Q8182">
        <v>41</v>
      </c>
      <c r="R8182">
        <v>-74.172399999999996</v>
      </c>
    </row>
    <row r="8183" spans="1:18" x14ac:dyDescent="0.2">
      <c r="A8183" t="s">
        <v>675</v>
      </c>
      <c r="B8183" t="s">
        <v>1412</v>
      </c>
      <c r="C8183">
        <v>1</v>
      </c>
      <c r="D8183" s="1">
        <v>44237.85560185185</v>
      </c>
      <c r="E8183" t="s">
        <v>25560</v>
      </c>
      <c r="F8183" t="s">
        <v>678</v>
      </c>
      <c r="G8183" t="s">
        <v>25557</v>
      </c>
      <c r="H8183" t="s">
        <v>680</v>
      </c>
      <c r="I8183" t="s">
        <v>29</v>
      </c>
      <c r="J8183">
        <v>1</v>
      </c>
      <c r="K8183">
        <f>1-888-611-665</f>
        <v>-2163</v>
      </c>
      <c r="L8183" t="s">
        <v>25561</v>
      </c>
      <c r="M8183" t="s">
        <v>25562</v>
      </c>
      <c r="N8183" t="s">
        <v>452</v>
      </c>
      <c r="O8183" t="s">
        <v>134</v>
      </c>
      <c r="P8183" t="s">
        <v>29</v>
      </c>
      <c r="Q8183">
        <v>41</v>
      </c>
      <c r="R8183">
        <v>-74.172399999999996</v>
      </c>
    </row>
    <row r="8184" spans="1:18" x14ac:dyDescent="0.2">
      <c r="A8184" t="s">
        <v>675</v>
      </c>
      <c r="B8184" t="s">
        <v>1412</v>
      </c>
      <c r="C8184">
        <v>1</v>
      </c>
      <c r="D8184" s="1">
        <v>44237.0155787037</v>
      </c>
      <c r="E8184" t="s">
        <v>25563</v>
      </c>
      <c r="F8184" t="s">
        <v>678</v>
      </c>
      <c r="G8184" t="s">
        <v>25557</v>
      </c>
      <c r="H8184" t="s">
        <v>680</v>
      </c>
      <c r="I8184" t="s">
        <v>29</v>
      </c>
      <c r="J8184">
        <v>1</v>
      </c>
      <c r="K8184">
        <f>1-888-596-193</f>
        <v>-1676</v>
      </c>
      <c r="L8184" t="s">
        <v>25564</v>
      </c>
      <c r="M8184" t="s">
        <v>25565</v>
      </c>
      <c r="N8184" t="s">
        <v>452</v>
      </c>
      <c r="O8184" t="s">
        <v>134</v>
      </c>
      <c r="P8184" t="s">
        <v>29</v>
      </c>
      <c r="Q8184">
        <v>41</v>
      </c>
      <c r="R8184">
        <v>-74.172399999999996</v>
      </c>
    </row>
    <row r="8185" spans="1:18" x14ac:dyDescent="0.2">
      <c r="A8185" t="s">
        <v>675</v>
      </c>
      <c r="B8185" t="s">
        <v>1412</v>
      </c>
      <c r="C8185">
        <v>1</v>
      </c>
      <c r="D8185" s="1">
        <v>44238.015682870369</v>
      </c>
      <c r="E8185" t="s">
        <v>25566</v>
      </c>
      <c r="F8185" t="s">
        <v>678</v>
      </c>
      <c r="G8185" t="s">
        <v>25557</v>
      </c>
      <c r="H8185" t="s">
        <v>680</v>
      </c>
      <c r="I8185" t="s">
        <v>29</v>
      </c>
      <c r="J8185">
        <v>1</v>
      </c>
      <c r="K8185">
        <f>1-888-611-3613</f>
        <v>-5111</v>
      </c>
      <c r="L8185" t="s">
        <v>25567</v>
      </c>
      <c r="M8185" t="s">
        <v>25568</v>
      </c>
      <c r="N8185" t="s">
        <v>452</v>
      </c>
      <c r="O8185" t="s">
        <v>134</v>
      </c>
      <c r="P8185" t="s">
        <v>29</v>
      </c>
      <c r="Q8185">
        <v>41</v>
      </c>
      <c r="R8185">
        <v>-74.172399999999996</v>
      </c>
    </row>
    <row r="8186" spans="1:18" x14ac:dyDescent="0.2">
      <c r="A8186" t="s">
        <v>675</v>
      </c>
      <c r="B8186" t="s">
        <v>1412</v>
      </c>
      <c r="C8186">
        <v>1</v>
      </c>
      <c r="D8186" s="1">
        <v>44236.757094907407</v>
      </c>
      <c r="E8186" t="s">
        <v>25569</v>
      </c>
      <c r="F8186" t="s">
        <v>678</v>
      </c>
      <c r="G8186" t="s">
        <v>25557</v>
      </c>
      <c r="H8186" t="s">
        <v>680</v>
      </c>
      <c r="I8186" t="s">
        <v>29</v>
      </c>
      <c r="J8186">
        <v>1</v>
      </c>
      <c r="K8186">
        <f>1-888-596-191</f>
        <v>-1674</v>
      </c>
      <c r="L8186" t="s">
        <v>25570</v>
      </c>
      <c r="M8186" t="s">
        <v>25571</v>
      </c>
      <c r="N8186" t="s">
        <v>452</v>
      </c>
      <c r="O8186" t="s">
        <v>134</v>
      </c>
      <c r="P8186" t="s">
        <v>29</v>
      </c>
      <c r="Q8186">
        <v>41</v>
      </c>
      <c r="R8186">
        <v>-74.172399999999996</v>
      </c>
    </row>
    <row r="8187" spans="1:18" x14ac:dyDescent="0.2">
      <c r="A8187" t="s">
        <v>675</v>
      </c>
      <c r="B8187" t="s">
        <v>1412</v>
      </c>
      <c r="C8187">
        <v>1</v>
      </c>
      <c r="D8187" s="1">
        <v>44215.799259259256</v>
      </c>
      <c r="E8187" t="s">
        <v>25572</v>
      </c>
      <c r="F8187" t="s">
        <v>678</v>
      </c>
      <c r="G8187" t="s">
        <v>25557</v>
      </c>
      <c r="H8187" t="s">
        <v>680</v>
      </c>
      <c r="I8187" t="s">
        <v>29</v>
      </c>
      <c r="J8187">
        <v>1</v>
      </c>
      <c r="K8187">
        <f>1-888-335-9721</f>
        <v>-10943</v>
      </c>
      <c r="L8187" t="s">
        <v>25573</v>
      </c>
      <c r="M8187" t="s">
        <v>25574</v>
      </c>
      <c r="N8187" t="s">
        <v>5354</v>
      </c>
      <c r="O8187" t="s">
        <v>134</v>
      </c>
      <c r="P8187" t="s">
        <v>29</v>
      </c>
      <c r="Q8187">
        <v>41</v>
      </c>
      <c r="R8187">
        <v>-74.172399999999996</v>
      </c>
    </row>
    <row r="8188" spans="1:18" x14ac:dyDescent="0.2">
      <c r="A8188" t="s">
        <v>663</v>
      </c>
      <c r="B8188" t="s">
        <v>2493</v>
      </c>
      <c r="C8188">
        <v>1</v>
      </c>
      <c r="D8188" s="1">
        <v>44215.793657407405</v>
      </c>
      <c r="E8188" t="s">
        <v>25575</v>
      </c>
      <c r="F8188" t="s">
        <v>666</v>
      </c>
      <c r="G8188" t="s">
        <v>25575</v>
      </c>
      <c r="H8188" t="s">
        <v>667</v>
      </c>
      <c r="I8188" t="s">
        <v>29</v>
      </c>
      <c r="J8188">
        <v>1</v>
      </c>
      <c r="K8188">
        <f>1-888-381-7103</f>
        <v>-8371</v>
      </c>
      <c r="L8188" t="s">
        <v>25576</v>
      </c>
      <c r="M8188" t="s">
        <v>25577</v>
      </c>
      <c r="N8188">
        <v>252</v>
      </c>
      <c r="O8188" t="s">
        <v>134</v>
      </c>
      <c r="P8188" t="s">
        <v>29</v>
      </c>
      <c r="Q8188">
        <v>41</v>
      </c>
      <c r="R8188">
        <v>-74.024699999999996</v>
      </c>
    </row>
    <row r="8189" spans="1:18" x14ac:dyDescent="0.2">
      <c r="A8189" t="s">
        <v>439</v>
      </c>
      <c r="B8189" t="s">
        <v>4321</v>
      </c>
      <c r="C8189">
        <v>1</v>
      </c>
      <c r="D8189" s="1">
        <v>44215.796458333331</v>
      </c>
      <c r="E8189" t="s">
        <v>25578</v>
      </c>
      <c r="F8189" t="s">
        <v>442</v>
      </c>
      <c r="G8189" t="s">
        <v>25579</v>
      </c>
      <c r="H8189" t="s">
        <v>444</v>
      </c>
      <c r="I8189" t="s">
        <v>29</v>
      </c>
      <c r="J8189">
        <v>1</v>
      </c>
      <c r="K8189">
        <f>1-888-465-4134</f>
        <v>-5486</v>
      </c>
      <c r="L8189" t="s">
        <v>25580</v>
      </c>
      <c r="M8189" t="s">
        <v>25581</v>
      </c>
      <c r="N8189" t="s">
        <v>25195</v>
      </c>
      <c r="O8189" t="s">
        <v>28</v>
      </c>
      <c r="P8189" t="s">
        <v>29</v>
      </c>
      <c r="Q8189">
        <v>42</v>
      </c>
      <c r="R8189">
        <v>-87.629800000000003</v>
      </c>
    </row>
    <row r="8190" spans="1:18" x14ac:dyDescent="0.2">
      <c r="A8190" t="s">
        <v>663</v>
      </c>
      <c r="B8190" t="s">
        <v>2493</v>
      </c>
      <c r="C8190">
        <v>1</v>
      </c>
      <c r="D8190" s="1">
        <v>44215.817939814813</v>
      </c>
      <c r="E8190" t="s">
        <v>25582</v>
      </c>
      <c r="F8190" t="s">
        <v>2495</v>
      </c>
      <c r="G8190" t="s">
        <v>25582</v>
      </c>
      <c r="H8190" t="s">
        <v>667</v>
      </c>
      <c r="I8190" t="s">
        <v>29</v>
      </c>
      <c r="J8190">
        <v>1</v>
      </c>
      <c r="K8190">
        <f>1-888-306-6558</f>
        <v>-7751</v>
      </c>
      <c r="L8190" t="s">
        <v>25583</v>
      </c>
      <c r="M8190" t="s">
        <v>25584</v>
      </c>
      <c r="N8190">
        <v>14</v>
      </c>
      <c r="O8190" t="s">
        <v>134</v>
      </c>
      <c r="P8190" t="s">
        <v>29</v>
      </c>
      <c r="Q8190">
        <v>41</v>
      </c>
      <c r="R8190">
        <v>-74.024699999999996</v>
      </c>
    </row>
    <row r="8191" spans="1:18" x14ac:dyDescent="0.2">
      <c r="A8191" t="s">
        <v>663</v>
      </c>
      <c r="B8191" t="s">
        <v>2493</v>
      </c>
      <c r="C8191">
        <v>1</v>
      </c>
      <c r="D8191" s="1">
        <v>44215.818715277775</v>
      </c>
      <c r="E8191" t="s">
        <v>25585</v>
      </c>
      <c r="F8191" t="s">
        <v>2495</v>
      </c>
      <c r="G8191" t="s">
        <v>25585</v>
      </c>
      <c r="H8191" t="s">
        <v>667</v>
      </c>
      <c r="I8191" t="s">
        <v>29</v>
      </c>
      <c r="J8191">
        <v>1</v>
      </c>
      <c r="K8191">
        <f>1-888-297-568</f>
        <v>-1752</v>
      </c>
      <c r="L8191" t="s">
        <v>25586</v>
      </c>
      <c r="M8191" t="s">
        <v>25587</v>
      </c>
      <c r="N8191">
        <v>158</v>
      </c>
      <c r="O8191" t="s">
        <v>134</v>
      </c>
      <c r="P8191" t="s">
        <v>29</v>
      </c>
      <c r="Q8191">
        <v>41</v>
      </c>
      <c r="R8191">
        <v>-74.024699999999996</v>
      </c>
    </row>
    <row r="8192" spans="1:18" x14ac:dyDescent="0.2">
      <c r="A8192" t="s">
        <v>663</v>
      </c>
      <c r="B8192" t="s">
        <v>2493</v>
      </c>
      <c r="C8192">
        <v>1</v>
      </c>
      <c r="D8192" s="1">
        <v>44215.865289351852</v>
      </c>
      <c r="E8192" t="s">
        <v>25588</v>
      </c>
      <c r="F8192" t="s">
        <v>666</v>
      </c>
      <c r="G8192" t="s">
        <v>25588</v>
      </c>
      <c r="H8192" t="s">
        <v>667</v>
      </c>
      <c r="I8192" t="s">
        <v>29</v>
      </c>
      <c r="J8192">
        <v>1</v>
      </c>
      <c r="K8192">
        <f>1-888-399-8195</f>
        <v>-9481</v>
      </c>
      <c r="L8192" t="s">
        <v>25589</v>
      </c>
      <c r="M8192" t="s">
        <v>25590</v>
      </c>
      <c r="N8192">
        <v>170</v>
      </c>
      <c r="O8192" t="s">
        <v>134</v>
      </c>
      <c r="P8192" t="s">
        <v>29</v>
      </c>
      <c r="Q8192">
        <v>41</v>
      </c>
      <c r="R8192">
        <v>-74.024699999999996</v>
      </c>
    </row>
    <row r="8193" spans="1:18" x14ac:dyDescent="0.2">
      <c r="A8193" t="s">
        <v>663</v>
      </c>
      <c r="B8193" t="s">
        <v>2493</v>
      </c>
      <c r="C8193">
        <v>1</v>
      </c>
      <c r="D8193" s="1">
        <v>44215.860381944447</v>
      </c>
      <c r="E8193" t="s">
        <v>25588</v>
      </c>
      <c r="F8193" t="s">
        <v>666</v>
      </c>
      <c r="G8193" t="s">
        <v>25588</v>
      </c>
      <c r="H8193" t="s">
        <v>667</v>
      </c>
      <c r="I8193" t="s">
        <v>29</v>
      </c>
      <c r="J8193">
        <v>1</v>
      </c>
      <c r="K8193">
        <f>1-888-288-6775</f>
        <v>-7950</v>
      </c>
      <c r="L8193" t="s">
        <v>25591</v>
      </c>
      <c r="M8193" t="s">
        <v>25592</v>
      </c>
      <c r="N8193">
        <v>170</v>
      </c>
      <c r="O8193" t="s">
        <v>134</v>
      </c>
      <c r="P8193" t="s">
        <v>29</v>
      </c>
      <c r="Q8193">
        <v>41</v>
      </c>
      <c r="R8193">
        <v>-74.024699999999996</v>
      </c>
    </row>
    <row r="8194" spans="1:18" x14ac:dyDescent="0.2">
      <c r="A8194" t="s">
        <v>675</v>
      </c>
      <c r="B8194" t="s">
        <v>6310</v>
      </c>
      <c r="C8194">
        <v>81</v>
      </c>
      <c r="D8194" s="1">
        <v>44217.311238425929</v>
      </c>
      <c r="E8194" t="s">
        <v>25593</v>
      </c>
      <c r="F8194" t="s">
        <v>3107</v>
      </c>
      <c r="G8194" t="s">
        <v>25594</v>
      </c>
      <c r="H8194" t="s">
        <v>680</v>
      </c>
      <c r="I8194" t="s">
        <v>53</v>
      </c>
      <c r="J8194">
        <v>81</v>
      </c>
      <c r="K8194">
        <f>81-50-3136-5848</f>
        <v>-8953</v>
      </c>
      <c r="L8194" t="s">
        <v>25595</v>
      </c>
      <c r="M8194" t="s">
        <v>25596</v>
      </c>
      <c r="N8194" t="s">
        <v>2475</v>
      </c>
      <c r="O8194" t="s">
        <v>28</v>
      </c>
      <c r="P8194" t="s">
        <v>29</v>
      </c>
      <c r="Q8194">
        <v>34</v>
      </c>
      <c r="R8194">
        <v>-84.425700000000006</v>
      </c>
    </row>
    <row r="8195" spans="1:18" x14ac:dyDescent="0.2">
      <c r="A8195" t="s">
        <v>439</v>
      </c>
      <c r="B8195" t="s">
        <v>4321</v>
      </c>
      <c r="C8195">
        <v>1</v>
      </c>
      <c r="D8195" s="1">
        <v>44216.736712962964</v>
      </c>
      <c r="E8195" t="s">
        <v>25597</v>
      </c>
      <c r="F8195" t="s">
        <v>442</v>
      </c>
      <c r="G8195" t="s">
        <v>25598</v>
      </c>
      <c r="H8195" t="s">
        <v>444</v>
      </c>
      <c r="I8195" t="s">
        <v>29</v>
      </c>
      <c r="J8195">
        <v>1</v>
      </c>
      <c r="K8195">
        <f>1-844-303-8388</f>
        <v>-9534</v>
      </c>
      <c r="L8195" t="s">
        <v>25599</v>
      </c>
      <c r="M8195" t="s">
        <v>25600</v>
      </c>
      <c r="N8195" t="s">
        <v>447</v>
      </c>
      <c r="O8195" t="s">
        <v>28</v>
      </c>
      <c r="P8195" t="s">
        <v>29</v>
      </c>
      <c r="Q8195">
        <v>42</v>
      </c>
      <c r="R8195">
        <v>-87.629800000000003</v>
      </c>
    </row>
    <row r="8196" spans="1:18" x14ac:dyDescent="0.2">
      <c r="A8196" t="s">
        <v>663</v>
      </c>
      <c r="B8196" t="s">
        <v>3245</v>
      </c>
      <c r="C8196">
        <v>1</v>
      </c>
      <c r="D8196" s="1">
        <v>44215.914351851854</v>
      </c>
      <c r="E8196" t="s">
        <v>25601</v>
      </c>
      <c r="F8196" t="s">
        <v>666</v>
      </c>
      <c r="G8196" t="s">
        <v>25601</v>
      </c>
      <c r="H8196" t="s">
        <v>667</v>
      </c>
      <c r="I8196" t="s">
        <v>29</v>
      </c>
      <c r="J8196">
        <v>1</v>
      </c>
      <c r="K8196">
        <f>1-888-523-6758</f>
        <v>-8168</v>
      </c>
      <c r="L8196">
        <v>6007478669357</v>
      </c>
      <c r="M8196" t="s">
        <v>25602</v>
      </c>
      <c r="N8196">
        <v>116</v>
      </c>
      <c r="O8196" t="s">
        <v>134</v>
      </c>
      <c r="P8196" t="s">
        <v>29</v>
      </c>
      <c r="Q8196">
        <v>41</v>
      </c>
      <c r="R8196">
        <v>-74.140299999999996</v>
      </c>
    </row>
    <row r="8197" spans="1:18" x14ac:dyDescent="0.2">
      <c r="A8197" t="s">
        <v>663</v>
      </c>
      <c r="B8197" t="s">
        <v>2493</v>
      </c>
      <c r="C8197">
        <v>1</v>
      </c>
      <c r="D8197" s="1">
        <v>44215.86991898148</v>
      </c>
      <c r="E8197" t="s">
        <v>25603</v>
      </c>
      <c r="F8197" t="s">
        <v>666</v>
      </c>
      <c r="G8197" t="s">
        <v>25603</v>
      </c>
      <c r="H8197" t="s">
        <v>667</v>
      </c>
      <c r="I8197" t="s">
        <v>29</v>
      </c>
      <c r="J8197">
        <v>1</v>
      </c>
      <c r="K8197">
        <f>1-888-345-3033</f>
        <v>-4265</v>
      </c>
      <c r="L8197" t="s">
        <v>25604</v>
      </c>
      <c r="M8197" t="s">
        <v>25605</v>
      </c>
      <c r="N8197">
        <v>100</v>
      </c>
      <c r="O8197" t="s">
        <v>134</v>
      </c>
      <c r="P8197" t="s">
        <v>29</v>
      </c>
      <c r="Q8197">
        <v>41</v>
      </c>
      <c r="R8197">
        <v>-74.024699999999996</v>
      </c>
    </row>
    <row r="8198" spans="1:18" x14ac:dyDescent="0.2">
      <c r="A8198" t="s">
        <v>1650</v>
      </c>
      <c r="B8198" t="s">
        <v>1651</v>
      </c>
      <c r="C8198">
        <v>1</v>
      </c>
      <c r="D8198" s="1">
        <v>44217.223310185182</v>
      </c>
      <c r="E8198" t="s">
        <v>25606</v>
      </c>
      <c r="F8198" t="s">
        <v>1653</v>
      </c>
      <c r="G8198" t="s">
        <v>25607</v>
      </c>
      <c r="H8198" t="s">
        <v>1655</v>
      </c>
      <c r="I8198" t="s">
        <v>29</v>
      </c>
      <c r="J8198">
        <v>1</v>
      </c>
      <c r="K8198">
        <f>1-888-335-3641</f>
        <v>-4863</v>
      </c>
      <c r="L8198" t="s">
        <v>25608</v>
      </c>
      <c r="M8198" t="s">
        <v>25609</v>
      </c>
      <c r="N8198" t="s">
        <v>452</v>
      </c>
      <c r="O8198" t="s">
        <v>28</v>
      </c>
      <c r="P8198" t="s">
        <v>29</v>
      </c>
      <c r="Q8198">
        <v>47</v>
      </c>
      <c r="R8198">
        <v>-99.999999000000003</v>
      </c>
    </row>
    <row r="8199" spans="1:18" x14ac:dyDescent="0.2">
      <c r="A8199" t="s">
        <v>439</v>
      </c>
      <c r="B8199" t="s">
        <v>4321</v>
      </c>
      <c r="C8199">
        <v>81</v>
      </c>
      <c r="D8199" s="1">
        <v>44216.060844907406</v>
      </c>
      <c r="E8199" t="s">
        <v>25610</v>
      </c>
      <c r="F8199" t="s">
        <v>442</v>
      </c>
      <c r="G8199" t="s">
        <v>25611</v>
      </c>
      <c r="H8199" t="s">
        <v>444</v>
      </c>
      <c r="I8199" t="s">
        <v>53</v>
      </c>
      <c r="J8199">
        <v>81</v>
      </c>
      <c r="K8199">
        <f>81-50-3196-4485</f>
        <v>-7650</v>
      </c>
      <c r="L8199" t="s">
        <v>25612</v>
      </c>
      <c r="M8199" t="s">
        <v>25613</v>
      </c>
      <c r="N8199" t="s">
        <v>447</v>
      </c>
      <c r="O8199" t="s">
        <v>28</v>
      </c>
      <c r="P8199" t="s">
        <v>29</v>
      </c>
      <c r="Q8199">
        <v>42</v>
      </c>
      <c r="R8199">
        <v>-87.629800000000003</v>
      </c>
    </row>
    <row r="8200" spans="1:18" x14ac:dyDescent="0.2">
      <c r="A8200" t="s">
        <v>439</v>
      </c>
      <c r="B8200" t="s">
        <v>4321</v>
      </c>
      <c r="C8200">
        <v>81</v>
      </c>
      <c r="D8200" s="1">
        <v>44216.058113425926</v>
      </c>
      <c r="E8200" t="s">
        <v>25610</v>
      </c>
      <c r="F8200" t="s">
        <v>442</v>
      </c>
      <c r="G8200" t="s">
        <v>25611</v>
      </c>
      <c r="H8200" t="s">
        <v>444</v>
      </c>
      <c r="I8200" t="s">
        <v>53</v>
      </c>
      <c r="J8200">
        <v>81</v>
      </c>
      <c r="K8200">
        <f>81-50-3196-4485</f>
        <v>-7650</v>
      </c>
      <c r="L8200" t="s">
        <v>25614</v>
      </c>
      <c r="M8200" t="s">
        <v>25615</v>
      </c>
      <c r="N8200" t="s">
        <v>447</v>
      </c>
      <c r="O8200" t="s">
        <v>28</v>
      </c>
      <c r="P8200" t="s">
        <v>29</v>
      </c>
      <c r="Q8200">
        <v>42</v>
      </c>
      <c r="R8200">
        <v>-87.629800000000003</v>
      </c>
    </row>
    <row r="8201" spans="1:18" x14ac:dyDescent="0.2">
      <c r="A8201" t="s">
        <v>439</v>
      </c>
      <c r="B8201" t="s">
        <v>4321</v>
      </c>
      <c r="C8201">
        <v>1</v>
      </c>
      <c r="D8201" s="1">
        <v>44216.816284722219</v>
      </c>
      <c r="E8201" t="s">
        <v>25616</v>
      </c>
      <c r="F8201" t="s">
        <v>442</v>
      </c>
      <c r="G8201" t="s">
        <v>25617</v>
      </c>
      <c r="H8201" t="s">
        <v>444</v>
      </c>
      <c r="I8201" t="s">
        <v>29</v>
      </c>
      <c r="J8201">
        <v>1</v>
      </c>
      <c r="K8201">
        <f>1-888-392-4821</f>
        <v>-6100</v>
      </c>
      <c r="L8201" t="s">
        <v>25618</v>
      </c>
      <c r="M8201" t="s">
        <v>25619</v>
      </c>
      <c r="N8201" t="s">
        <v>447</v>
      </c>
      <c r="O8201" t="s">
        <v>28</v>
      </c>
      <c r="P8201" t="s">
        <v>29</v>
      </c>
      <c r="Q8201">
        <v>42</v>
      </c>
      <c r="R8201">
        <v>-87.629800000000003</v>
      </c>
    </row>
    <row r="8202" spans="1:18" x14ac:dyDescent="0.2">
      <c r="A8202" t="s">
        <v>663</v>
      </c>
      <c r="B8202" t="s">
        <v>2500</v>
      </c>
      <c r="C8202">
        <v>1</v>
      </c>
      <c r="D8202" s="1">
        <v>44217.03334490741</v>
      </c>
      <c r="E8202" t="s">
        <v>25620</v>
      </c>
      <c r="F8202" t="s">
        <v>666</v>
      </c>
      <c r="G8202" t="s">
        <v>25620</v>
      </c>
      <c r="H8202" t="s">
        <v>667</v>
      </c>
      <c r="I8202" t="s">
        <v>29</v>
      </c>
      <c r="J8202">
        <v>1</v>
      </c>
      <c r="K8202">
        <f>1-888-348-5746</f>
        <v>-6981</v>
      </c>
      <c r="L8202" t="s">
        <v>25621</v>
      </c>
      <c r="M8202" t="s">
        <v>25622</v>
      </c>
      <c r="N8202">
        <v>3</v>
      </c>
      <c r="O8202" t="s">
        <v>134</v>
      </c>
      <c r="P8202" t="s">
        <v>2500</v>
      </c>
      <c r="Q8202">
        <v>1</v>
      </c>
      <c r="R8202">
        <v>99.999999000000003</v>
      </c>
    </row>
    <row r="8203" spans="1:18" x14ac:dyDescent="0.2">
      <c r="A8203" t="s">
        <v>663</v>
      </c>
      <c r="B8203" t="s">
        <v>2500</v>
      </c>
      <c r="C8203">
        <v>1</v>
      </c>
      <c r="D8203" s="1">
        <v>44217.026747685188</v>
      </c>
      <c r="E8203" t="s">
        <v>25620</v>
      </c>
      <c r="F8203" t="s">
        <v>666</v>
      </c>
      <c r="G8203" t="s">
        <v>25620</v>
      </c>
      <c r="H8203" t="s">
        <v>667</v>
      </c>
      <c r="I8203" t="s">
        <v>29</v>
      </c>
      <c r="J8203">
        <v>1</v>
      </c>
      <c r="K8203">
        <f>1-833-398-2536</f>
        <v>-3766</v>
      </c>
      <c r="L8203" t="s">
        <v>25623</v>
      </c>
      <c r="M8203" t="s">
        <v>25624</v>
      </c>
      <c r="N8203">
        <v>3</v>
      </c>
      <c r="O8203" t="s">
        <v>134</v>
      </c>
      <c r="P8203" t="s">
        <v>2500</v>
      </c>
      <c r="Q8203">
        <v>1</v>
      </c>
      <c r="R8203">
        <v>99.999999000000003</v>
      </c>
    </row>
    <row r="8204" spans="1:18" x14ac:dyDescent="0.2">
      <c r="A8204" t="s">
        <v>439</v>
      </c>
      <c r="B8204" t="s">
        <v>4321</v>
      </c>
      <c r="C8204">
        <v>1</v>
      </c>
      <c r="D8204" s="1">
        <v>44216.819849537038</v>
      </c>
      <c r="E8204" t="s">
        <v>25625</v>
      </c>
      <c r="F8204" t="s">
        <v>442</v>
      </c>
      <c r="G8204" t="s">
        <v>25626</v>
      </c>
      <c r="H8204" t="s">
        <v>444</v>
      </c>
      <c r="I8204" t="s">
        <v>29</v>
      </c>
      <c r="J8204">
        <v>1</v>
      </c>
      <c r="K8204">
        <f>1-844-304-4475</f>
        <v>-5622</v>
      </c>
      <c r="L8204" t="s">
        <v>25627</v>
      </c>
      <c r="M8204" t="s">
        <v>25628</v>
      </c>
      <c r="N8204" t="s">
        <v>36</v>
      </c>
      <c r="O8204" t="s">
        <v>28</v>
      </c>
      <c r="P8204" t="s">
        <v>29</v>
      </c>
      <c r="Q8204">
        <v>42</v>
      </c>
      <c r="R8204">
        <v>-87.629800000000003</v>
      </c>
    </row>
    <row r="8205" spans="1:18" x14ac:dyDescent="0.2">
      <c r="A8205" t="s">
        <v>439</v>
      </c>
      <c r="B8205" t="s">
        <v>4321</v>
      </c>
      <c r="C8205">
        <v>1</v>
      </c>
      <c r="D8205" s="1">
        <v>44216.820821759262</v>
      </c>
      <c r="E8205" t="s">
        <v>25629</v>
      </c>
      <c r="F8205" t="s">
        <v>442</v>
      </c>
      <c r="G8205" t="s">
        <v>25630</v>
      </c>
      <c r="H8205" t="s">
        <v>444</v>
      </c>
      <c r="I8205" t="s">
        <v>29</v>
      </c>
      <c r="J8205">
        <v>1</v>
      </c>
      <c r="K8205">
        <f>1-888-392-4821</f>
        <v>-6100</v>
      </c>
      <c r="L8205" t="s">
        <v>25631</v>
      </c>
      <c r="M8205" t="s">
        <v>25632</v>
      </c>
      <c r="N8205" t="s">
        <v>3441</v>
      </c>
      <c r="O8205" t="s">
        <v>28</v>
      </c>
      <c r="P8205" t="s">
        <v>29</v>
      </c>
      <c r="Q8205">
        <v>42</v>
      </c>
      <c r="R8205">
        <v>-87.629800000000003</v>
      </c>
    </row>
    <row r="8206" spans="1:18" x14ac:dyDescent="0.2">
      <c r="A8206" t="s">
        <v>663</v>
      </c>
      <c r="B8206" t="s">
        <v>2493</v>
      </c>
      <c r="C8206">
        <v>1</v>
      </c>
      <c r="D8206" s="1">
        <v>44216.826620370368</v>
      </c>
      <c r="E8206" t="s">
        <v>25633</v>
      </c>
      <c r="F8206" t="s">
        <v>666</v>
      </c>
      <c r="G8206" t="s">
        <v>25633</v>
      </c>
      <c r="H8206" t="s">
        <v>667</v>
      </c>
      <c r="I8206" t="s">
        <v>29</v>
      </c>
      <c r="J8206">
        <v>1</v>
      </c>
      <c r="K8206">
        <f>1-888-397-9525</f>
        <v>-10809</v>
      </c>
      <c r="L8206" t="s">
        <v>25634</v>
      </c>
      <c r="M8206" t="s">
        <v>25635</v>
      </c>
      <c r="N8206">
        <v>197</v>
      </c>
      <c r="O8206" t="s">
        <v>134</v>
      </c>
      <c r="P8206" t="s">
        <v>29</v>
      </c>
      <c r="Q8206">
        <v>41</v>
      </c>
      <c r="R8206">
        <v>-74.024699999999996</v>
      </c>
    </row>
    <row r="8207" spans="1:18" x14ac:dyDescent="0.2">
      <c r="A8207" t="s">
        <v>663</v>
      </c>
      <c r="B8207" t="s">
        <v>2500</v>
      </c>
      <c r="C8207">
        <v>1</v>
      </c>
      <c r="D8207" s="1">
        <v>44216.829432870371</v>
      </c>
      <c r="E8207" t="s">
        <v>25636</v>
      </c>
      <c r="F8207" t="s">
        <v>666</v>
      </c>
      <c r="G8207" t="s">
        <v>25636</v>
      </c>
      <c r="H8207" t="s">
        <v>667</v>
      </c>
      <c r="I8207" t="s">
        <v>29</v>
      </c>
      <c r="J8207">
        <v>1</v>
      </c>
      <c r="K8207">
        <f>1-888-348-8964</f>
        <v>-10199</v>
      </c>
      <c r="L8207" t="s">
        <v>25637</v>
      </c>
      <c r="M8207" t="s">
        <v>25638</v>
      </c>
      <c r="N8207">
        <v>52</v>
      </c>
      <c r="O8207" t="s">
        <v>134</v>
      </c>
      <c r="P8207" t="s">
        <v>2500</v>
      </c>
      <c r="Q8207">
        <v>1</v>
      </c>
      <c r="R8207">
        <v>99.999999000000003</v>
      </c>
    </row>
    <row r="8208" spans="1:18" x14ac:dyDescent="0.2">
      <c r="A8208" t="s">
        <v>663</v>
      </c>
      <c r="B8208" t="s">
        <v>2493</v>
      </c>
      <c r="C8208">
        <v>1</v>
      </c>
      <c r="D8208" s="1">
        <v>44216.833993055552</v>
      </c>
      <c r="E8208" t="s">
        <v>25639</v>
      </c>
      <c r="F8208" t="s">
        <v>666</v>
      </c>
      <c r="G8208" t="s">
        <v>25639</v>
      </c>
      <c r="H8208" t="s">
        <v>667</v>
      </c>
      <c r="I8208" t="s">
        <v>29</v>
      </c>
      <c r="J8208">
        <v>1</v>
      </c>
      <c r="K8208">
        <f>1-888-366-2990</f>
        <v>-4243</v>
      </c>
      <c r="L8208" t="s">
        <v>25640</v>
      </c>
      <c r="M8208" t="s">
        <v>25641</v>
      </c>
      <c r="N8208">
        <v>125</v>
      </c>
      <c r="O8208" t="s">
        <v>134</v>
      </c>
      <c r="P8208" t="s">
        <v>29</v>
      </c>
      <c r="Q8208">
        <v>41</v>
      </c>
      <c r="R8208">
        <v>-74.024699999999996</v>
      </c>
    </row>
    <row r="8209" spans="1:18" x14ac:dyDescent="0.2">
      <c r="A8209" t="s">
        <v>663</v>
      </c>
      <c r="B8209" t="s">
        <v>2493</v>
      </c>
      <c r="C8209">
        <v>1</v>
      </c>
      <c r="D8209" s="1">
        <v>44216.846238425926</v>
      </c>
      <c r="E8209" t="s">
        <v>25642</v>
      </c>
      <c r="F8209" t="s">
        <v>666</v>
      </c>
      <c r="G8209" t="s">
        <v>25642</v>
      </c>
      <c r="H8209" t="s">
        <v>667</v>
      </c>
      <c r="I8209" t="s">
        <v>29</v>
      </c>
      <c r="J8209">
        <v>1</v>
      </c>
      <c r="K8209">
        <f>1-888-399-4823</f>
        <v>-6109</v>
      </c>
      <c r="L8209" t="s">
        <v>25643</v>
      </c>
      <c r="M8209" t="s">
        <v>25644</v>
      </c>
      <c r="N8209">
        <v>120</v>
      </c>
      <c r="O8209" t="s">
        <v>134</v>
      </c>
      <c r="P8209" t="s">
        <v>29</v>
      </c>
      <c r="Q8209">
        <v>41</v>
      </c>
      <c r="R8209">
        <v>-74.024699999999996</v>
      </c>
    </row>
    <row r="8210" spans="1:18" x14ac:dyDescent="0.2">
      <c r="A8210" t="s">
        <v>439</v>
      </c>
      <c r="B8210" t="s">
        <v>4321</v>
      </c>
      <c r="C8210">
        <v>1</v>
      </c>
      <c r="D8210" s="1">
        <v>44217.036643518521</v>
      </c>
      <c r="E8210" t="s">
        <v>25645</v>
      </c>
      <c r="F8210" t="s">
        <v>442</v>
      </c>
      <c r="G8210" t="s">
        <v>25646</v>
      </c>
      <c r="H8210" t="s">
        <v>444</v>
      </c>
      <c r="I8210" t="s">
        <v>29</v>
      </c>
      <c r="J8210">
        <v>1</v>
      </c>
      <c r="K8210">
        <f>1-888-984-4535</f>
        <v>-6406</v>
      </c>
      <c r="L8210" t="s">
        <v>25647</v>
      </c>
      <c r="M8210" t="s">
        <v>25648</v>
      </c>
      <c r="N8210" t="s">
        <v>25195</v>
      </c>
      <c r="O8210" t="s">
        <v>28</v>
      </c>
      <c r="P8210" t="s">
        <v>29</v>
      </c>
      <c r="Q8210">
        <v>42</v>
      </c>
      <c r="R8210">
        <v>-87.629800000000003</v>
      </c>
    </row>
    <row r="8211" spans="1:18" x14ac:dyDescent="0.2">
      <c r="A8211" t="s">
        <v>439</v>
      </c>
      <c r="B8211" t="s">
        <v>4321</v>
      </c>
      <c r="C8211">
        <v>1</v>
      </c>
      <c r="D8211" s="1">
        <v>44216.891701388886</v>
      </c>
      <c r="E8211" t="s">
        <v>25649</v>
      </c>
      <c r="F8211" t="s">
        <v>442</v>
      </c>
      <c r="G8211" t="s">
        <v>25650</v>
      </c>
      <c r="H8211" t="s">
        <v>444</v>
      </c>
      <c r="I8211" t="s">
        <v>29</v>
      </c>
      <c r="J8211">
        <v>1</v>
      </c>
      <c r="K8211">
        <f>1-844-304-23</f>
        <v>-1170</v>
      </c>
      <c r="L8211" t="s">
        <v>25651</v>
      </c>
      <c r="M8211" t="s">
        <v>25652</v>
      </c>
      <c r="N8211" t="s">
        <v>447</v>
      </c>
      <c r="O8211" t="s">
        <v>28</v>
      </c>
      <c r="P8211" t="s">
        <v>29</v>
      </c>
      <c r="Q8211">
        <v>42</v>
      </c>
      <c r="R8211">
        <v>-87.629800000000003</v>
      </c>
    </row>
    <row r="8212" spans="1:18" x14ac:dyDescent="0.2">
      <c r="A8212" t="s">
        <v>663</v>
      </c>
      <c r="B8212" t="s">
        <v>2500</v>
      </c>
      <c r="C8212">
        <v>1</v>
      </c>
      <c r="D8212" s="1">
        <v>44216.97315972222</v>
      </c>
      <c r="E8212" t="s">
        <v>25653</v>
      </c>
      <c r="F8212" t="s">
        <v>666</v>
      </c>
      <c r="G8212" t="s">
        <v>25653</v>
      </c>
      <c r="H8212" t="s">
        <v>667</v>
      </c>
      <c r="I8212" t="s">
        <v>29</v>
      </c>
      <c r="J8212">
        <v>1</v>
      </c>
      <c r="K8212">
        <f>1-888-312-7422</f>
        <v>-8621</v>
      </c>
      <c r="L8212" t="s">
        <v>25654</v>
      </c>
      <c r="M8212" t="s">
        <v>25655</v>
      </c>
      <c r="N8212">
        <v>4</v>
      </c>
      <c r="O8212" t="s">
        <v>134</v>
      </c>
      <c r="P8212" t="s">
        <v>2500</v>
      </c>
      <c r="Q8212">
        <v>1</v>
      </c>
      <c r="R8212">
        <v>99.999999000000003</v>
      </c>
    </row>
    <row r="8213" spans="1:18" x14ac:dyDescent="0.2">
      <c r="A8213" t="s">
        <v>439</v>
      </c>
      <c r="B8213" t="s">
        <v>4321</v>
      </c>
      <c r="C8213">
        <v>1</v>
      </c>
      <c r="D8213" s="1">
        <v>44216.979120370372</v>
      </c>
      <c r="E8213" t="s">
        <v>25656</v>
      </c>
      <c r="F8213" t="s">
        <v>442</v>
      </c>
      <c r="G8213" t="s">
        <v>25657</v>
      </c>
      <c r="H8213" t="s">
        <v>444</v>
      </c>
      <c r="I8213" t="s">
        <v>29</v>
      </c>
      <c r="J8213">
        <v>1</v>
      </c>
      <c r="K8213">
        <f>1-844-295-7499</f>
        <v>-8637</v>
      </c>
      <c r="L8213" t="s">
        <v>25658</v>
      </c>
      <c r="M8213" t="s">
        <v>25659</v>
      </c>
      <c r="N8213" t="s">
        <v>447</v>
      </c>
      <c r="O8213" t="s">
        <v>28</v>
      </c>
      <c r="P8213" t="s">
        <v>29</v>
      </c>
      <c r="Q8213">
        <v>42</v>
      </c>
      <c r="R8213">
        <v>-87.629800000000003</v>
      </c>
    </row>
    <row r="8214" spans="1:18" x14ac:dyDescent="0.2">
      <c r="A8214" t="s">
        <v>2233</v>
      </c>
      <c r="B8214" t="s">
        <v>2234</v>
      </c>
      <c r="C8214">
        <v>32</v>
      </c>
      <c r="D8214" s="1">
        <v>44217.475972222222</v>
      </c>
      <c r="E8214" t="s">
        <v>25660</v>
      </c>
      <c r="F8214" t="s">
        <v>7023</v>
      </c>
      <c r="G8214" t="s">
        <v>25660</v>
      </c>
      <c r="H8214" t="s">
        <v>2237</v>
      </c>
      <c r="I8214" t="s">
        <v>4288</v>
      </c>
      <c r="J8214">
        <v>32</v>
      </c>
      <c r="K8214">
        <f>32-2-808-5-71</f>
        <v>-854</v>
      </c>
      <c r="L8214" s="2" t="s">
        <v>25661</v>
      </c>
      <c r="M8214" t="s">
        <v>25662</v>
      </c>
      <c r="N8214">
        <v>222</v>
      </c>
      <c r="O8214" t="s">
        <v>134</v>
      </c>
      <c r="P8214" t="s">
        <v>6188</v>
      </c>
      <c r="Q8214">
        <v>53</v>
      </c>
      <c r="R8214">
        <v>-6.2603099999999996</v>
      </c>
    </row>
    <row r="8215" spans="1:18" x14ac:dyDescent="0.2">
      <c r="A8215" t="s">
        <v>2233</v>
      </c>
      <c r="B8215" t="s">
        <v>2234</v>
      </c>
      <c r="C8215">
        <v>43</v>
      </c>
      <c r="D8215" s="1">
        <v>44217.474212962959</v>
      </c>
      <c r="E8215" t="s">
        <v>25660</v>
      </c>
      <c r="F8215" t="s">
        <v>7023</v>
      </c>
      <c r="G8215" t="s">
        <v>25660</v>
      </c>
      <c r="H8215" t="s">
        <v>2237</v>
      </c>
      <c r="I8215" t="s">
        <v>3432</v>
      </c>
      <c r="J8215">
        <v>43</v>
      </c>
      <c r="K8215">
        <f>43-670-3091029</f>
        <v>-3091656</v>
      </c>
      <c r="L8215" t="s">
        <v>25663</v>
      </c>
      <c r="M8215" t="s">
        <v>25664</v>
      </c>
      <c r="N8215">
        <v>222</v>
      </c>
      <c r="O8215" t="s">
        <v>134</v>
      </c>
      <c r="P8215" t="s">
        <v>6188</v>
      </c>
      <c r="Q8215">
        <v>53</v>
      </c>
      <c r="R8215">
        <v>-6.2603099999999996</v>
      </c>
    </row>
    <row r="8216" spans="1:18" x14ac:dyDescent="0.2">
      <c r="A8216" t="s">
        <v>439</v>
      </c>
      <c r="B8216" t="s">
        <v>4321</v>
      </c>
      <c r="C8216">
        <v>1</v>
      </c>
      <c r="D8216" s="1">
        <v>44217.716678240744</v>
      </c>
      <c r="E8216" t="s">
        <v>25665</v>
      </c>
      <c r="F8216" t="s">
        <v>442</v>
      </c>
      <c r="G8216" t="s">
        <v>25666</v>
      </c>
      <c r="H8216" t="s">
        <v>444</v>
      </c>
      <c r="I8216" t="s">
        <v>29</v>
      </c>
      <c r="J8216">
        <v>1</v>
      </c>
      <c r="K8216">
        <f>1-877-257-5169</f>
        <v>-6302</v>
      </c>
      <c r="L8216" t="s">
        <v>25667</v>
      </c>
      <c r="M8216" t="s">
        <v>25668</v>
      </c>
      <c r="N8216" t="s">
        <v>447</v>
      </c>
      <c r="O8216" t="s">
        <v>28</v>
      </c>
      <c r="P8216" t="s">
        <v>29</v>
      </c>
      <c r="Q8216">
        <v>42</v>
      </c>
      <c r="R8216">
        <v>-87.629800000000003</v>
      </c>
    </row>
    <row r="8217" spans="1:18" x14ac:dyDescent="0.2">
      <c r="A8217" t="s">
        <v>439</v>
      </c>
      <c r="B8217" t="s">
        <v>4321</v>
      </c>
      <c r="C8217">
        <v>1</v>
      </c>
      <c r="D8217" s="1">
        <v>44217.723993055559</v>
      </c>
      <c r="E8217" t="s">
        <v>25669</v>
      </c>
      <c r="F8217" t="s">
        <v>442</v>
      </c>
      <c r="G8217" t="s">
        <v>25670</v>
      </c>
      <c r="H8217" t="s">
        <v>444</v>
      </c>
      <c r="I8217" t="s">
        <v>29</v>
      </c>
      <c r="J8217">
        <v>1</v>
      </c>
      <c r="K8217">
        <f>1-844-292-4957</f>
        <v>-6092</v>
      </c>
      <c r="L8217" t="s">
        <v>25671</v>
      </c>
      <c r="M8217" t="s">
        <v>25672</v>
      </c>
      <c r="N8217" t="s">
        <v>447</v>
      </c>
      <c r="O8217" t="s">
        <v>28</v>
      </c>
      <c r="P8217" t="s">
        <v>29</v>
      </c>
      <c r="Q8217">
        <v>42</v>
      </c>
      <c r="R8217">
        <v>-87.629800000000003</v>
      </c>
    </row>
    <row r="8218" spans="1:18" x14ac:dyDescent="0.2">
      <c r="A8218" t="s">
        <v>439</v>
      </c>
      <c r="B8218" t="s">
        <v>4321</v>
      </c>
      <c r="C8218">
        <v>1</v>
      </c>
      <c r="D8218" s="1">
        <v>44218.652048611111</v>
      </c>
      <c r="E8218" t="s">
        <v>25673</v>
      </c>
      <c r="F8218" t="s">
        <v>442</v>
      </c>
      <c r="G8218" t="s">
        <v>25674</v>
      </c>
      <c r="H8218" t="s">
        <v>444</v>
      </c>
      <c r="I8218" t="s">
        <v>29</v>
      </c>
      <c r="J8218">
        <v>1</v>
      </c>
      <c r="K8218">
        <f>1-888-260-5254</f>
        <v>-6401</v>
      </c>
      <c r="L8218" t="s">
        <v>25675</v>
      </c>
      <c r="M8218" t="s">
        <v>25676</v>
      </c>
      <c r="N8218" t="s">
        <v>1645</v>
      </c>
      <c r="O8218" t="s">
        <v>28</v>
      </c>
      <c r="P8218" t="s">
        <v>29</v>
      </c>
      <c r="Q8218">
        <v>42</v>
      </c>
      <c r="R8218">
        <v>-87.629800000000003</v>
      </c>
    </row>
    <row r="8219" spans="1:18" x14ac:dyDescent="0.2">
      <c r="A8219" t="s">
        <v>439</v>
      </c>
      <c r="B8219" t="s">
        <v>4321</v>
      </c>
      <c r="C8219">
        <v>1</v>
      </c>
      <c r="D8219" s="1">
        <v>44218.666562500002</v>
      </c>
      <c r="E8219" t="s">
        <v>25677</v>
      </c>
      <c r="F8219" t="s">
        <v>442</v>
      </c>
      <c r="G8219" t="s">
        <v>25678</v>
      </c>
      <c r="H8219" t="s">
        <v>444</v>
      </c>
      <c r="I8219" t="s">
        <v>29</v>
      </c>
      <c r="J8219">
        <v>1</v>
      </c>
      <c r="K8219">
        <f>1-888-306-3395</f>
        <v>-4588</v>
      </c>
      <c r="L8219" t="s">
        <v>25679</v>
      </c>
      <c r="M8219" t="s">
        <v>25680</v>
      </c>
      <c r="N8219" t="s">
        <v>1645</v>
      </c>
      <c r="O8219" t="s">
        <v>28</v>
      </c>
      <c r="P8219" t="s">
        <v>29</v>
      </c>
      <c r="Q8219">
        <v>42</v>
      </c>
      <c r="R8219">
        <v>-87.629800000000003</v>
      </c>
    </row>
    <row r="8220" spans="1:18" x14ac:dyDescent="0.2">
      <c r="A8220" t="s">
        <v>439</v>
      </c>
      <c r="B8220" t="s">
        <v>4321</v>
      </c>
      <c r="C8220">
        <v>1</v>
      </c>
      <c r="D8220" s="1">
        <v>44218.666203703702</v>
      </c>
      <c r="E8220" t="s">
        <v>25677</v>
      </c>
      <c r="F8220" t="s">
        <v>442</v>
      </c>
      <c r="G8220" t="s">
        <v>25678</v>
      </c>
      <c r="H8220" t="s">
        <v>444</v>
      </c>
      <c r="I8220" t="s">
        <v>29</v>
      </c>
      <c r="J8220">
        <v>1</v>
      </c>
      <c r="K8220">
        <f>1-888-371-6854</f>
        <v>-8112</v>
      </c>
      <c r="L8220" t="s">
        <v>25681</v>
      </c>
      <c r="M8220" t="s">
        <v>25682</v>
      </c>
      <c r="N8220" t="s">
        <v>1645</v>
      </c>
      <c r="O8220" t="s">
        <v>28</v>
      </c>
      <c r="P8220" t="s">
        <v>29</v>
      </c>
      <c r="Q8220">
        <v>42</v>
      </c>
      <c r="R8220">
        <v>-87.629800000000003</v>
      </c>
    </row>
    <row r="8221" spans="1:18" x14ac:dyDescent="0.2">
      <c r="A8221" t="s">
        <v>439</v>
      </c>
      <c r="B8221" t="s">
        <v>4321</v>
      </c>
      <c r="C8221">
        <v>1</v>
      </c>
      <c r="D8221" s="1">
        <v>44218.664317129631</v>
      </c>
      <c r="E8221" t="s">
        <v>25677</v>
      </c>
      <c r="F8221" t="s">
        <v>442</v>
      </c>
      <c r="G8221" t="s">
        <v>25678</v>
      </c>
      <c r="H8221" t="s">
        <v>444</v>
      </c>
      <c r="I8221" t="s">
        <v>29</v>
      </c>
      <c r="J8221">
        <v>1</v>
      </c>
      <c r="K8221">
        <f>1-888-326-8802</f>
        <v>-10015</v>
      </c>
      <c r="L8221" t="s">
        <v>25683</v>
      </c>
      <c r="M8221" t="s">
        <v>25684</v>
      </c>
      <c r="N8221" t="s">
        <v>1645</v>
      </c>
      <c r="O8221" t="s">
        <v>28</v>
      </c>
      <c r="P8221" t="s">
        <v>29</v>
      </c>
      <c r="Q8221">
        <v>42</v>
      </c>
      <c r="R8221">
        <v>-87.629800000000003</v>
      </c>
    </row>
    <row r="8222" spans="1:18" x14ac:dyDescent="0.2">
      <c r="A8222" t="s">
        <v>439</v>
      </c>
      <c r="B8222" t="s">
        <v>4321</v>
      </c>
      <c r="C8222">
        <v>1</v>
      </c>
      <c r="D8222" s="1">
        <v>44218.65152777778</v>
      </c>
      <c r="E8222" t="s">
        <v>25673</v>
      </c>
      <c r="F8222" t="s">
        <v>442</v>
      </c>
      <c r="G8222" t="s">
        <v>25685</v>
      </c>
      <c r="H8222" t="s">
        <v>444</v>
      </c>
      <c r="I8222" t="s">
        <v>29</v>
      </c>
      <c r="J8222">
        <v>1</v>
      </c>
      <c r="K8222">
        <f>1-888-371-6854</f>
        <v>-8112</v>
      </c>
      <c r="L8222" t="s">
        <v>25686</v>
      </c>
      <c r="M8222" t="s">
        <v>25687</v>
      </c>
      <c r="N8222" t="s">
        <v>1645</v>
      </c>
      <c r="O8222" t="s">
        <v>28</v>
      </c>
      <c r="P8222" t="s">
        <v>29</v>
      </c>
      <c r="Q8222">
        <v>42</v>
      </c>
      <c r="R8222">
        <v>-87.629800000000003</v>
      </c>
    </row>
    <row r="8223" spans="1:18" x14ac:dyDescent="0.2">
      <c r="A8223" t="s">
        <v>439</v>
      </c>
      <c r="B8223" t="s">
        <v>4321</v>
      </c>
      <c r="C8223">
        <v>1</v>
      </c>
      <c r="D8223" s="1">
        <v>44218.651261574072</v>
      </c>
      <c r="E8223" t="s">
        <v>25673</v>
      </c>
      <c r="F8223" t="s">
        <v>442</v>
      </c>
      <c r="G8223" t="s">
        <v>25685</v>
      </c>
      <c r="H8223" t="s">
        <v>444</v>
      </c>
      <c r="I8223" t="s">
        <v>29</v>
      </c>
      <c r="J8223">
        <v>1</v>
      </c>
      <c r="K8223">
        <f>1-888-393-9379</f>
        <v>-10659</v>
      </c>
      <c r="L8223" t="s">
        <v>25688</v>
      </c>
      <c r="M8223" t="s">
        <v>25689</v>
      </c>
      <c r="N8223" t="s">
        <v>1645</v>
      </c>
      <c r="O8223" t="s">
        <v>28</v>
      </c>
      <c r="P8223" t="s">
        <v>29</v>
      </c>
      <c r="Q8223">
        <v>42</v>
      </c>
      <c r="R8223">
        <v>-87.629800000000003</v>
      </c>
    </row>
    <row r="8224" spans="1:18" x14ac:dyDescent="0.2">
      <c r="A8224" t="s">
        <v>439</v>
      </c>
      <c r="B8224" t="s">
        <v>4321</v>
      </c>
      <c r="C8224">
        <v>1</v>
      </c>
      <c r="D8224" s="1">
        <v>44218.650787037041</v>
      </c>
      <c r="E8224" t="s">
        <v>25673</v>
      </c>
      <c r="F8224" t="s">
        <v>442</v>
      </c>
      <c r="G8224" t="s">
        <v>25685</v>
      </c>
      <c r="H8224" t="s">
        <v>444</v>
      </c>
      <c r="I8224" t="s">
        <v>29</v>
      </c>
      <c r="J8224">
        <v>1</v>
      </c>
      <c r="K8224">
        <f>1-888-326-8802</f>
        <v>-10015</v>
      </c>
      <c r="L8224" t="s">
        <v>25690</v>
      </c>
      <c r="M8224" t="s">
        <v>25691</v>
      </c>
      <c r="N8224" t="s">
        <v>1645</v>
      </c>
      <c r="O8224" t="s">
        <v>28</v>
      </c>
      <c r="P8224" t="s">
        <v>29</v>
      </c>
      <c r="Q8224">
        <v>42</v>
      </c>
      <c r="R8224">
        <v>-87.629800000000003</v>
      </c>
    </row>
    <row r="8225" spans="1:18" x14ac:dyDescent="0.2">
      <c r="A8225" t="s">
        <v>439</v>
      </c>
      <c r="B8225" t="s">
        <v>4321</v>
      </c>
      <c r="C8225">
        <v>1</v>
      </c>
      <c r="D8225" s="1">
        <v>44218.651701388888</v>
      </c>
      <c r="E8225" t="s">
        <v>25673</v>
      </c>
      <c r="F8225" t="s">
        <v>442</v>
      </c>
      <c r="G8225" t="s">
        <v>25685</v>
      </c>
      <c r="H8225" t="s">
        <v>444</v>
      </c>
      <c r="I8225" t="s">
        <v>29</v>
      </c>
      <c r="J8225">
        <v>1</v>
      </c>
      <c r="K8225">
        <f>1-888-392-7285</f>
        <v>-8564</v>
      </c>
      <c r="L8225" t="s">
        <v>25692</v>
      </c>
      <c r="M8225" t="s">
        <v>25693</v>
      </c>
      <c r="N8225" t="s">
        <v>1645</v>
      </c>
      <c r="O8225" t="s">
        <v>28</v>
      </c>
      <c r="P8225" t="s">
        <v>29</v>
      </c>
      <c r="Q8225">
        <v>42</v>
      </c>
      <c r="R8225">
        <v>-87.629800000000003</v>
      </c>
    </row>
    <row r="8226" spans="1:18" x14ac:dyDescent="0.2">
      <c r="A8226" t="s">
        <v>663</v>
      </c>
      <c r="B8226" t="s">
        <v>2500</v>
      </c>
      <c r="C8226">
        <v>1</v>
      </c>
      <c r="D8226" s="1">
        <v>44217.733993055554</v>
      </c>
      <c r="E8226" t="s">
        <v>25694</v>
      </c>
      <c r="F8226" t="s">
        <v>666</v>
      </c>
      <c r="G8226" t="s">
        <v>25694</v>
      </c>
      <c r="H8226" t="s">
        <v>667</v>
      </c>
      <c r="I8226" t="s">
        <v>29</v>
      </c>
      <c r="J8226">
        <v>1</v>
      </c>
      <c r="K8226">
        <f>1-888-312-8669</f>
        <v>-9868</v>
      </c>
      <c r="L8226" t="s">
        <v>25695</v>
      </c>
      <c r="M8226" t="s">
        <v>25696</v>
      </c>
      <c r="N8226">
        <v>47</v>
      </c>
      <c r="O8226" t="s">
        <v>134</v>
      </c>
      <c r="P8226" t="s">
        <v>2500</v>
      </c>
      <c r="Q8226">
        <v>1</v>
      </c>
      <c r="R8226">
        <v>99.999999000000003</v>
      </c>
    </row>
    <row r="8227" spans="1:18" x14ac:dyDescent="0.2">
      <c r="A8227" t="s">
        <v>663</v>
      </c>
      <c r="B8227" t="s">
        <v>2493</v>
      </c>
      <c r="C8227">
        <v>1</v>
      </c>
      <c r="D8227" s="1">
        <v>44217.919270833336</v>
      </c>
      <c r="E8227" t="s">
        <v>25697</v>
      </c>
      <c r="F8227" t="s">
        <v>666</v>
      </c>
      <c r="G8227" t="s">
        <v>25697</v>
      </c>
      <c r="H8227" t="s">
        <v>667</v>
      </c>
      <c r="I8227" t="s">
        <v>29</v>
      </c>
      <c r="J8227">
        <v>1</v>
      </c>
      <c r="K8227">
        <f>1-888-384-2295</f>
        <v>-3566</v>
      </c>
      <c r="L8227" t="s">
        <v>25698</v>
      </c>
      <c r="M8227" t="s">
        <v>25699</v>
      </c>
      <c r="N8227">
        <v>220</v>
      </c>
      <c r="O8227" t="s">
        <v>134</v>
      </c>
      <c r="P8227" t="s">
        <v>29</v>
      </c>
      <c r="Q8227">
        <v>41</v>
      </c>
      <c r="R8227">
        <v>-74.024699999999996</v>
      </c>
    </row>
    <row r="8228" spans="1:18" x14ac:dyDescent="0.2">
      <c r="A8228" t="s">
        <v>439</v>
      </c>
      <c r="B8228" t="s">
        <v>4321</v>
      </c>
      <c r="C8228">
        <v>1</v>
      </c>
      <c r="D8228" s="1">
        <v>44218.66642361111</v>
      </c>
      <c r="E8228" t="s">
        <v>25677</v>
      </c>
      <c r="F8228" t="s">
        <v>442</v>
      </c>
      <c r="G8228" t="s">
        <v>25700</v>
      </c>
      <c r="H8228" t="s">
        <v>444</v>
      </c>
      <c r="I8228" t="s">
        <v>29</v>
      </c>
      <c r="J8228">
        <v>1</v>
      </c>
      <c r="K8228">
        <f>1-888-392-7285</f>
        <v>-8564</v>
      </c>
      <c r="L8228" t="s">
        <v>25701</v>
      </c>
      <c r="M8228" t="s">
        <v>25702</v>
      </c>
      <c r="N8228" t="s">
        <v>1645</v>
      </c>
      <c r="O8228" t="s">
        <v>28</v>
      </c>
      <c r="P8228" t="s">
        <v>29</v>
      </c>
      <c r="Q8228">
        <v>42</v>
      </c>
      <c r="R8228">
        <v>-87.629800000000003</v>
      </c>
    </row>
    <row r="8229" spans="1:18" x14ac:dyDescent="0.2">
      <c r="A8229" t="s">
        <v>439</v>
      </c>
      <c r="B8229" t="s">
        <v>4321</v>
      </c>
      <c r="C8229">
        <v>1</v>
      </c>
      <c r="D8229" s="1">
        <v>44218.665821759256</v>
      </c>
      <c r="E8229" t="s">
        <v>25677</v>
      </c>
      <c r="F8229" t="s">
        <v>442</v>
      </c>
      <c r="G8229" t="s">
        <v>25700</v>
      </c>
      <c r="H8229" t="s">
        <v>444</v>
      </c>
      <c r="I8229" t="s">
        <v>29</v>
      </c>
      <c r="J8229">
        <v>1</v>
      </c>
      <c r="K8229">
        <f>1-888-393-9379</f>
        <v>-10659</v>
      </c>
      <c r="L8229" t="s">
        <v>25703</v>
      </c>
      <c r="M8229" t="s">
        <v>25704</v>
      </c>
      <c r="N8229" t="s">
        <v>1645</v>
      </c>
      <c r="O8229" t="s">
        <v>28</v>
      </c>
      <c r="P8229" t="s">
        <v>29</v>
      </c>
      <c r="Q8229">
        <v>42</v>
      </c>
      <c r="R8229">
        <v>-87.629800000000003</v>
      </c>
    </row>
    <row r="8230" spans="1:18" x14ac:dyDescent="0.2">
      <c r="A8230" t="s">
        <v>663</v>
      </c>
      <c r="B8230" t="s">
        <v>2500</v>
      </c>
      <c r="C8230">
        <v>1</v>
      </c>
      <c r="D8230" s="1">
        <v>44217.858715277776</v>
      </c>
      <c r="E8230" t="s">
        <v>25705</v>
      </c>
      <c r="F8230" t="s">
        <v>666</v>
      </c>
      <c r="G8230" t="s">
        <v>25705</v>
      </c>
      <c r="H8230" t="s">
        <v>667</v>
      </c>
      <c r="I8230" t="s">
        <v>29</v>
      </c>
      <c r="J8230">
        <v>1</v>
      </c>
      <c r="K8230">
        <f>1-888-392-1673</f>
        <v>-2952</v>
      </c>
      <c r="L8230" t="s">
        <v>25706</v>
      </c>
      <c r="M8230" t="s">
        <v>25707</v>
      </c>
      <c r="N8230">
        <v>163</v>
      </c>
      <c r="O8230" t="s">
        <v>134</v>
      </c>
      <c r="P8230" t="s">
        <v>2500</v>
      </c>
      <c r="Q8230">
        <v>1</v>
      </c>
      <c r="R8230">
        <v>99.999999000000003</v>
      </c>
    </row>
    <row r="8231" spans="1:18" x14ac:dyDescent="0.2">
      <c r="A8231" t="s">
        <v>663</v>
      </c>
      <c r="B8231" t="s">
        <v>664</v>
      </c>
      <c r="C8231">
        <v>1</v>
      </c>
      <c r="D8231" s="1">
        <v>44217.882245370369</v>
      </c>
      <c r="E8231" t="s">
        <v>25708</v>
      </c>
      <c r="F8231" t="s">
        <v>666</v>
      </c>
      <c r="G8231" t="s">
        <v>25708</v>
      </c>
      <c r="H8231" t="s">
        <v>667</v>
      </c>
      <c r="I8231" t="s">
        <v>29</v>
      </c>
      <c r="J8231">
        <v>1</v>
      </c>
      <c r="K8231">
        <f>1-888-530-1954</f>
        <v>-3371</v>
      </c>
      <c r="L8231" t="s">
        <v>25709</v>
      </c>
      <c r="M8231" t="s">
        <v>25710</v>
      </c>
      <c r="N8231">
        <v>49</v>
      </c>
      <c r="O8231" t="s">
        <v>134</v>
      </c>
      <c r="P8231" t="s">
        <v>29</v>
      </c>
      <c r="Q8231">
        <v>37</v>
      </c>
      <c r="R8231">
        <v>-99.999999000000003</v>
      </c>
    </row>
    <row r="8232" spans="1:18" x14ac:dyDescent="0.2">
      <c r="A8232" t="s">
        <v>439</v>
      </c>
      <c r="B8232" t="s">
        <v>4321</v>
      </c>
      <c r="C8232">
        <v>1</v>
      </c>
      <c r="D8232" s="1">
        <v>44223.887384259258</v>
      </c>
      <c r="E8232" t="s">
        <v>25711</v>
      </c>
      <c r="F8232" t="s">
        <v>442</v>
      </c>
      <c r="G8232" t="s">
        <v>25712</v>
      </c>
      <c r="H8232" t="s">
        <v>444</v>
      </c>
      <c r="I8232" t="s">
        <v>29</v>
      </c>
      <c r="J8232">
        <v>1</v>
      </c>
      <c r="K8232">
        <f>1-888-397-845</f>
        <v>-2129</v>
      </c>
      <c r="L8232" t="s">
        <v>25713</v>
      </c>
      <c r="M8232" t="s">
        <v>25714</v>
      </c>
      <c r="N8232" t="s">
        <v>674</v>
      </c>
      <c r="O8232" t="s">
        <v>28</v>
      </c>
      <c r="P8232" t="s">
        <v>29</v>
      </c>
      <c r="Q8232">
        <v>42</v>
      </c>
      <c r="R8232">
        <v>-87.629800000000003</v>
      </c>
    </row>
    <row r="8233" spans="1:18" x14ac:dyDescent="0.2">
      <c r="A8233" t="s">
        <v>439</v>
      </c>
      <c r="B8233" t="s">
        <v>4321</v>
      </c>
      <c r="C8233">
        <v>1</v>
      </c>
      <c r="D8233" s="1">
        <v>44217.901909722219</v>
      </c>
      <c r="E8233" t="s">
        <v>25715</v>
      </c>
      <c r="F8233" t="s">
        <v>442</v>
      </c>
      <c r="G8233" t="s">
        <v>25712</v>
      </c>
      <c r="H8233" t="s">
        <v>444</v>
      </c>
      <c r="I8233" t="s">
        <v>29</v>
      </c>
      <c r="J8233">
        <v>1</v>
      </c>
      <c r="K8233">
        <f>1-888-385-4813</f>
        <v>-6085</v>
      </c>
      <c r="L8233" s="2" t="s">
        <v>25716</v>
      </c>
      <c r="M8233" t="s">
        <v>25717</v>
      </c>
      <c r="N8233" t="s">
        <v>3441</v>
      </c>
      <c r="O8233" t="s">
        <v>28</v>
      </c>
      <c r="P8233" t="s">
        <v>29</v>
      </c>
      <c r="Q8233">
        <v>42</v>
      </c>
      <c r="R8233">
        <v>-87.629800000000003</v>
      </c>
    </row>
    <row r="8234" spans="1:18" x14ac:dyDescent="0.2">
      <c r="A8234" t="s">
        <v>2233</v>
      </c>
      <c r="B8234" t="s">
        <v>440</v>
      </c>
      <c r="C8234">
        <v>1</v>
      </c>
      <c r="D8234" s="1">
        <v>44217.903333333335</v>
      </c>
      <c r="E8234" t="s">
        <v>25718</v>
      </c>
      <c r="F8234" t="s">
        <v>2236</v>
      </c>
      <c r="G8234" t="s">
        <v>25719</v>
      </c>
      <c r="H8234" t="s">
        <v>2237</v>
      </c>
      <c r="I8234" t="s">
        <v>29</v>
      </c>
      <c r="J8234">
        <v>1</v>
      </c>
      <c r="K8234">
        <f>1-844-345-3382</f>
        <v>-4570</v>
      </c>
      <c r="L8234" t="s">
        <v>25720</v>
      </c>
      <c r="M8234" t="s">
        <v>25721</v>
      </c>
      <c r="N8234" t="s">
        <v>5354</v>
      </c>
      <c r="O8234" t="s">
        <v>28</v>
      </c>
      <c r="P8234" t="s">
        <v>29</v>
      </c>
      <c r="Q8234">
        <v>39</v>
      </c>
      <c r="R8234">
        <v>-77.487399999999994</v>
      </c>
    </row>
    <row r="8235" spans="1:18" x14ac:dyDescent="0.2">
      <c r="A8235" t="s">
        <v>439</v>
      </c>
      <c r="B8235" t="s">
        <v>4321</v>
      </c>
      <c r="C8235">
        <v>1</v>
      </c>
      <c r="D8235" s="1">
        <v>44218.704131944447</v>
      </c>
      <c r="E8235" t="s">
        <v>25722</v>
      </c>
      <c r="F8235" t="s">
        <v>442</v>
      </c>
      <c r="G8235" t="s">
        <v>25723</v>
      </c>
      <c r="H8235" t="s">
        <v>444</v>
      </c>
      <c r="I8235" t="s">
        <v>29</v>
      </c>
      <c r="J8235">
        <v>1</v>
      </c>
      <c r="K8235">
        <f>1-888-392-7285</f>
        <v>-8564</v>
      </c>
      <c r="L8235" t="s">
        <v>25724</v>
      </c>
      <c r="M8235" t="s">
        <v>25725</v>
      </c>
      <c r="N8235" t="s">
        <v>2475</v>
      </c>
      <c r="O8235" t="s">
        <v>28</v>
      </c>
      <c r="P8235" t="s">
        <v>29</v>
      </c>
      <c r="Q8235">
        <v>42</v>
      </c>
      <c r="R8235">
        <v>-87.629800000000003</v>
      </c>
    </row>
    <row r="8236" spans="1:18" x14ac:dyDescent="0.2">
      <c r="A8236" t="s">
        <v>439</v>
      </c>
      <c r="B8236" t="s">
        <v>4321</v>
      </c>
      <c r="C8236">
        <v>1</v>
      </c>
      <c r="D8236" s="1">
        <v>44218.704050925924</v>
      </c>
      <c r="E8236" t="s">
        <v>25722</v>
      </c>
      <c r="F8236" t="s">
        <v>442</v>
      </c>
      <c r="G8236" t="s">
        <v>25723</v>
      </c>
      <c r="H8236" t="s">
        <v>444</v>
      </c>
      <c r="I8236" t="s">
        <v>29</v>
      </c>
      <c r="J8236">
        <v>1</v>
      </c>
      <c r="K8236">
        <f>1-888-393-9379</f>
        <v>-10659</v>
      </c>
      <c r="L8236" t="s">
        <v>25726</v>
      </c>
      <c r="M8236" t="s">
        <v>25727</v>
      </c>
      <c r="N8236" t="s">
        <v>2475</v>
      </c>
      <c r="O8236" t="s">
        <v>28</v>
      </c>
      <c r="P8236" t="s">
        <v>29</v>
      </c>
      <c r="Q8236">
        <v>42</v>
      </c>
      <c r="R8236">
        <v>-87.629800000000003</v>
      </c>
    </row>
    <row r="8237" spans="1:18" x14ac:dyDescent="0.2">
      <c r="A8237" t="s">
        <v>439</v>
      </c>
      <c r="B8237" t="s">
        <v>4321</v>
      </c>
      <c r="C8237">
        <v>1</v>
      </c>
      <c r="D8237" s="1">
        <v>44218.703819444447</v>
      </c>
      <c r="E8237" t="s">
        <v>25722</v>
      </c>
      <c r="F8237" t="s">
        <v>442</v>
      </c>
      <c r="G8237" t="s">
        <v>25723</v>
      </c>
      <c r="H8237" t="s">
        <v>444</v>
      </c>
      <c r="I8237" t="s">
        <v>29</v>
      </c>
      <c r="J8237">
        <v>1</v>
      </c>
      <c r="K8237">
        <f>1-888-335-9208</f>
        <v>-10430</v>
      </c>
      <c r="L8237" t="s">
        <v>25728</v>
      </c>
      <c r="M8237" t="s">
        <v>25729</v>
      </c>
      <c r="N8237" t="s">
        <v>2475</v>
      </c>
      <c r="O8237" t="s">
        <v>28</v>
      </c>
      <c r="P8237" t="s">
        <v>29</v>
      </c>
      <c r="Q8237">
        <v>42</v>
      </c>
      <c r="R8237">
        <v>-87.629800000000003</v>
      </c>
    </row>
    <row r="8238" spans="1:18" x14ac:dyDescent="0.2">
      <c r="A8238" t="s">
        <v>439</v>
      </c>
      <c r="B8238" t="s">
        <v>4321</v>
      </c>
      <c r="C8238">
        <v>1</v>
      </c>
      <c r="D8238" s="1">
        <v>44218.704212962963</v>
      </c>
      <c r="E8238" t="s">
        <v>25722</v>
      </c>
      <c r="F8238" t="s">
        <v>442</v>
      </c>
      <c r="G8238" t="s">
        <v>25730</v>
      </c>
      <c r="H8238" t="s">
        <v>444</v>
      </c>
      <c r="I8238" t="s">
        <v>29</v>
      </c>
      <c r="J8238">
        <v>1</v>
      </c>
      <c r="K8238">
        <f>1-888-306-3395</f>
        <v>-4588</v>
      </c>
      <c r="L8238" t="s">
        <v>25731</v>
      </c>
      <c r="M8238" t="s">
        <v>25732</v>
      </c>
      <c r="N8238" t="s">
        <v>2475</v>
      </c>
      <c r="O8238" t="s">
        <v>28</v>
      </c>
      <c r="P8238" t="s">
        <v>29</v>
      </c>
      <c r="Q8238">
        <v>42</v>
      </c>
      <c r="R8238">
        <v>-87.629800000000003</v>
      </c>
    </row>
    <row r="8239" spans="1:18" x14ac:dyDescent="0.2">
      <c r="A8239" t="s">
        <v>439</v>
      </c>
      <c r="B8239" t="s">
        <v>4321</v>
      </c>
      <c r="C8239">
        <v>1</v>
      </c>
      <c r="D8239" s="1">
        <v>44218.704074074078</v>
      </c>
      <c r="E8239" t="s">
        <v>25722</v>
      </c>
      <c r="F8239" t="s">
        <v>442</v>
      </c>
      <c r="G8239" t="s">
        <v>25730</v>
      </c>
      <c r="H8239" t="s">
        <v>444</v>
      </c>
      <c r="I8239" t="s">
        <v>29</v>
      </c>
      <c r="J8239">
        <v>1</v>
      </c>
      <c r="K8239">
        <f>1-888-371-6854</f>
        <v>-8112</v>
      </c>
      <c r="L8239" t="s">
        <v>25733</v>
      </c>
      <c r="M8239" t="s">
        <v>25734</v>
      </c>
      <c r="N8239" t="s">
        <v>2475</v>
      </c>
      <c r="O8239" t="s">
        <v>28</v>
      </c>
      <c r="P8239" t="s">
        <v>29</v>
      </c>
      <c r="Q8239">
        <v>42</v>
      </c>
      <c r="R8239">
        <v>-87.629800000000003</v>
      </c>
    </row>
    <row r="8240" spans="1:18" x14ac:dyDescent="0.2">
      <c r="A8240" t="s">
        <v>663</v>
      </c>
      <c r="B8240" t="s">
        <v>2500</v>
      </c>
      <c r="C8240">
        <v>1</v>
      </c>
      <c r="D8240" s="1">
        <v>44218.710196759261</v>
      </c>
      <c r="E8240" t="s">
        <v>25735</v>
      </c>
      <c r="F8240" t="s">
        <v>666</v>
      </c>
      <c r="G8240" t="s">
        <v>25735</v>
      </c>
      <c r="H8240" t="s">
        <v>667</v>
      </c>
      <c r="I8240" t="s">
        <v>29</v>
      </c>
      <c r="J8240">
        <v>1</v>
      </c>
      <c r="K8240">
        <f>1-888-302-529</f>
        <v>-1718</v>
      </c>
      <c r="L8240" t="s">
        <v>25736</v>
      </c>
      <c r="M8240" t="s">
        <v>25737</v>
      </c>
      <c r="N8240">
        <v>134</v>
      </c>
      <c r="O8240" t="s">
        <v>134</v>
      </c>
      <c r="P8240" t="s">
        <v>2500</v>
      </c>
      <c r="Q8240">
        <v>1</v>
      </c>
      <c r="R8240">
        <v>99.999999000000003</v>
      </c>
    </row>
    <row r="8241" spans="1:18" x14ac:dyDescent="0.2">
      <c r="A8241" t="s">
        <v>663</v>
      </c>
      <c r="B8241" t="s">
        <v>2500</v>
      </c>
      <c r="C8241">
        <v>1</v>
      </c>
      <c r="D8241" s="1">
        <v>44218.709131944444</v>
      </c>
      <c r="E8241" t="s">
        <v>25735</v>
      </c>
      <c r="F8241" t="s">
        <v>666</v>
      </c>
      <c r="G8241" t="s">
        <v>25735</v>
      </c>
      <c r="H8241" t="s">
        <v>667</v>
      </c>
      <c r="I8241" t="s">
        <v>29</v>
      </c>
      <c r="J8241">
        <v>1</v>
      </c>
      <c r="K8241">
        <f>1-844-385-2773</f>
        <v>-4001</v>
      </c>
      <c r="L8241" t="s">
        <v>25738</v>
      </c>
      <c r="M8241" t="s">
        <v>25739</v>
      </c>
      <c r="N8241">
        <v>134</v>
      </c>
      <c r="O8241" t="s">
        <v>134</v>
      </c>
      <c r="P8241" t="s">
        <v>2500</v>
      </c>
      <c r="Q8241">
        <v>1</v>
      </c>
      <c r="R8241">
        <v>99.999999000000003</v>
      </c>
    </row>
    <row r="8242" spans="1:18" x14ac:dyDescent="0.2">
      <c r="A8242" t="s">
        <v>663</v>
      </c>
      <c r="B8242" t="s">
        <v>2493</v>
      </c>
      <c r="C8242">
        <v>1</v>
      </c>
      <c r="D8242" s="1">
        <v>44218.715624999997</v>
      </c>
      <c r="E8242" t="s">
        <v>25740</v>
      </c>
      <c r="F8242" t="s">
        <v>666</v>
      </c>
      <c r="G8242" t="s">
        <v>25740</v>
      </c>
      <c r="H8242" t="s">
        <v>667</v>
      </c>
      <c r="I8242" t="s">
        <v>29</v>
      </c>
      <c r="J8242">
        <v>1</v>
      </c>
      <c r="K8242">
        <f>1-888-319-8517</f>
        <v>-9723</v>
      </c>
      <c r="L8242" t="s">
        <v>25741</v>
      </c>
      <c r="M8242" t="s">
        <v>25742</v>
      </c>
      <c r="N8242">
        <v>10</v>
      </c>
      <c r="O8242" t="s">
        <v>134</v>
      </c>
      <c r="P8242" t="s">
        <v>29</v>
      </c>
      <c r="Q8242">
        <v>41</v>
      </c>
      <c r="R8242">
        <v>-74.024699999999996</v>
      </c>
    </row>
    <row r="8243" spans="1:18" x14ac:dyDescent="0.2">
      <c r="A8243" t="s">
        <v>663</v>
      </c>
      <c r="B8243" t="s">
        <v>2493</v>
      </c>
      <c r="C8243">
        <v>1</v>
      </c>
      <c r="D8243" s="1">
        <v>44218.714583333334</v>
      </c>
      <c r="E8243" t="s">
        <v>25740</v>
      </c>
      <c r="F8243" t="s">
        <v>666</v>
      </c>
      <c r="G8243" t="s">
        <v>25740</v>
      </c>
      <c r="H8243" t="s">
        <v>667</v>
      </c>
      <c r="I8243" t="s">
        <v>29</v>
      </c>
      <c r="J8243">
        <v>1</v>
      </c>
      <c r="K8243">
        <f>1-888-348-1017</f>
        <v>-2252</v>
      </c>
      <c r="L8243" t="s">
        <v>25743</v>
      </c>
      <c r="M8243" t="s">
        <v>25744</v>
      </c>
      <c r="N8243">
        <v>10</v>
      </c>
      <c r="O8243" t="s">
        <v>134</v>
      </c>
      <c r="P8243" t="s">
        <v>29</v>
      </c>
      <c r="Q8243">
        <v>41</v>
      </c>
      <c r="R8243">
        <v>-74.024699999999996</v>
      </c>
    </row>
    <row r="8244" spans="1:18" x14ac:dyDescent="0.2">
      <c r="A8244" t="s">
        <v>663</v>
      </c>
      <c r="B8244" t="s">
        <v>2493</v>
      </c>
      <c r="C8244">
        <v>1</v>
      </c>
      <c r="D8244" s="1">
        <v>44218.714317129627</v>
      </c>
      <c r="E8244" t="s">
        <v>25740</v>
      </c>
      <c r="F8244" t="s">
        <v>666</v>
      </c>
      <c r="G8244" t="s">
        <v>25740</v>
      </c>
      <c r="H8244" t="s">
        <v>667</v>
      </c>
      <c r="I8244" t="s">
        <v>29</v>
      </c>
      <c r="J8244">
        <v>1</v>
      </c>
      <c r="K8244">
        <f>1-888-373-4192</f>
        <v>-5452</v>
      </c>
      <c r="L8244" t="s">
        <v>25745</v>
      </c>
      <c r="M8244" t="s">
        <v>25746</v>
      </c>
      <c r="N8244">
        <v>10</v>
      </c>
      <c r="O8244" t="s">
        <v>134</v>
      </c>
      <c r="P8244" t="s">
        <v>29</v>
      </c>
      <c r="Q8244">
        <v>41</v>
      </c>
      <c r="R8244">
        <v>-74.024699999999996</v>
      </c>
    </row>
    <row r="8245" spans="1:18" x14ac:dyDescent="0.2">
      <c r="A8245" t="s">
        <v>663</v>
      </c>
      <c r="B8245" t="s">
        <v>2493</v>
      </c>
      <c r="C8245">
        <v>1</v>
      </c>
      <c r="D8245" s="1">
        <v>44218.714189814818</v>
      </c>
      <c r="E8245" t="s">
        <v>25740</v>
      </c>
      <c r="F8245" t="s">
        <v>666</v>
      </c>
      <c r="G8245" t="s">
        <v>25740</v>
      </c>
      <c r="H8245" t="s">
        <v>667</v>
      </c>
      <c r="I8245" t="s">
        <v>29</v>
      </c>
      <c r="J8245">
        <v>1</v>
      </c>
      <c r="K8245">
        <f>1-888-634-5304</f>
        <v>-6825</v>
      </c>
      <c r="L8245" t="s">
        <v>25747</v>
      </c>
      <c r="M8245" t="s">
        <v>25748</v>
      </c>
      <c r="N8245">
        <v>10</v>
      </c>
      <c r="O8245" t="s">
        <v>134</v>
      </c>
      <c r="P8245" t="s">
        <v>29</v>
      </c>
      <c r="Q8245">
        <v>41</v>
      </c>
      <c r="R8245">
        <v>-74.024699999999996</v>
      </c>
    </row>
    <row r="8246" spans="1:18" x14ac:dyDescent="0.2">
      <c r="A8246" t="s">
        <v>439</v>
      </c>
      <c r="B8246" t="s">
        <v>4321</v>
      </c>
      <c r="C8246">
        <v>1</v>
      </c>
      <c r="D8246" s="1">
        <v>44218.75204861111</v>
      </c>
      <c r="E8246" t="s">
        <v>25749</v>
      </c>
      <c r="F8246" t="s">
        <v>442</v>
      </c>
      <c r="G8246" t="s">
        <v>25750</v>
      </c>
      <c r="H8246" t="s">
        <v>444</v>
      </c>
      <c r="I8246" t="s">
        <v>29</v>
      </c>
      <c r="J8246">
        <v>1</v>
      </c>
      <c r="K8246">
        <f>1-844-292-4957</f>
        <v>-6092</v>
      </c>
      <c r="L8246" t="s">
        <v>25751</v>
      </c>
      <c r="M8246" t="s">
        <v>25752</v>
      </c>
      <c r="N8246" t="s">
        <v>447</v>
      </c>
      <c r="O8246" t="s">
        <v>28</v>
      </c>
      <c r="P8246" t="s">
        <v>29</v>
      </c>
      <c r="Q8246">
        <v>42</v>
      </c>
      <c r="R8246">
        <v>-87.629800000000003</v>
      </c>
    </row>
    <row r="8247" spans="1:18" x14ac:dyDescent="0.2">
      <c r="A8247" t="s">
        <v>663</v>
      </c>
      <c r="B8247" t="s">
        <v>2493</v>
      </c>
      <c r="C8247">
        <v>1</v>
      </c>
      <c r="D8247" s="1">
        <v>44219.698460648149</v>
      </c>
      <c r="E8247" t="s">
        <v>25753</v>
      </c>
      <c r="F8247" t="s">
        <v>666</v>
      </c>
      <c r="G8247" t="s">
        <v>25753</v>
      </c>
      <c r="H8247" t="s">
        <v>667</v>
      </c>
      <c r="I8247" t="s">
        <v>29</v>
      </c>
      <c r="J8247">
        <v>1</v>
      </c>
      <c r="K8247">
        <f>1-888-301-4143</f>
        <v>-5331</v>
      </c>
      <c r="L8247" t="s">
        <v>25754</v>
      </c>
      <c r="M8247" t="s">
        <v>25755</v>
      </c>
      <c r="N8247">
        <v>168</v>
      </c>
      <c r="O8247" t="s">
        <v>134</v>
      </c>
      <c r="P8247" t="s">
        <v>29</v>
      </c>
      <c r="Q8247">
        <v>41</v>
      </c>
      <c r="R8247">
        <v>-74.024699999999996</v>
      </c>
    </row>
    <row r="8248" spans="1:18" x14ac:dyDescent="0.2">
      <c r="A8248" t="s">
        <v>663</v>
      </c>
      <c r="B8248" t="s">
        <v>2493</v>
      </c>
      <c r="C8248">
        <v>1</v>
      </c>
      <c r="D8248" s="1">
        <v>44219.698414351849</v>
      </c>
      <c r="E8248" t="s">
        <v>25753</v>
      </c>
      <c r="F8248" t="s">
        <v>666</v>
      </c>
      <c r="G8248" t="s">
        <v>25753</v>
      </c>
      <c r="H8248" t="s">
        <v>667</v>
      </c>
      <c r="I8248" t="s">
        <v>29</v>
      </c>
      <c r="J8248">
        <v>1</v>
      </c>
      <c r="K8248">
        <f>1-888-401-4439</f>
        <v>-5727</v>
      </c>
      <c r="L8248" t="s">
        <v>25756</v>
      </c>
      <c r="M8248" t="s">
        <v>25757</v>
      </c>
      <c r="N8248">
        <v>168</v>
      </c>
      <c r="O8248" t="s">
        <v>134</v>
      </c>
      <c r="P8248" t="s">
        <v>29</v>
      </c>
      <c r="Q8248">
        <v>41</v>
      </c>
      <c r="R8248">
        <v>-74.024699999999996</v>
      </c>
    </row>
    <row r="8249" spans="1:18" x14ac:dyDescent="0.2">
      <c r="A8249" t="s">
        <v>439</v>
      </c>
      <c r="B8249" t="s">
        <v>4321</v>
      </c>
      <c r="C8249">
        <v>1</v>
      </c>
      <c r="D8249" s="1">
        <v>44218.804803240739</v>
      </c>
      <c r="E8249" t="s">
        <v>25758</v>
      </c>
      <c r="F8249" t="s">
        <v>442</v>
      </c>
      <c r="G8249" t="s">
        <v>25759</v>
      </c>
      <c r="H8249" t="s">
        <v>444</v>
      </c>
      <c r="I8249" t="s">
        <v>29</v>
      </c>
      <c r="J8249">
        <v>1</v>
      </c>
      <c r="K8249">
        <f>1-213-357-2546</f>
        <v>-3115</v>
      </c>
      <c r="L8249" t="s">
        <v>25760</v>
      </c>
      <c r="M8249" t="s">
        <v>25761</v>
      </c>
      <c r="N8249" t="s">
        <v>447</v>
      </c>
      <c r="O8249" t="s">
        <v>28</v>
      </c>
      <c r="P8249" t="s">
        <v>29</v>
      </c>
      <c r="Q8249">
        <v>42</v>
      </c>
      <c r="R8249">
        <v>-87.629800000000003</v>
      </c>
    </row>
    <row r="8250" spans="1:18" x14ac:dyDescent="0.2">
      <c r="A8250" t="s">
        <v>439</v>
      </c>
      <c r="B8250" t="s">
        <v>4321</v>
      </c>
      <c r="C8250">
        <v>1</v>
      </c>
      <c r="D8250" s="1">
        <v>44218.728310185186</v>
      </c>
      <c r="E8250" t="s">
        <v>25762</v>
      </c>
      <c r="F8250" t="s">
        <v>442</v>
      </c>
      <c r="G8250" t="s">
        <v>25763</v>
      </c>
      <c r="H8250" t="s">
        <v>444</v>
      </c>
      <c r="I8250" t="s">
        <v>29</v>
      </c>
      <c r="J8250">
        <v>1</v>
      </c>
      <c r="K8250">
        <f>1-888-397-8823</f>
        <v>-10107</v>
      </c>
      <c r="L8250" t="s">
        <v>25764</v>
      </c>
      <c r="M8250" t="s">
        <v>25765</v>
      </c>
      <c r="N8250" t="s">
        <v>1645</v>
      </c>
      <c r="O8250" t="s">
        <v>28</v>
      </c>
      <c r="P8250" t="s">
        <v>29</v>
      </c>
      <c r="Q8250">
        <v>42</v>
      </c>
      <c r="R8250">
        <v>-87.629800000000003</v>
      </c>
    </row>
    <row r="8251" spans="1:18" x14ac:dyDescent="0.2">
      <c r="A8251" t="s">
        <v>439</v>
      </c>
      <c r="B8251" t="s">
        <v>4321</v>
      </c>
      <c r="C8251">
        <v>1</v>
      </c>
      <c r="D8251" s="1">
        <v>44218.728298611109</v>
      </c>
      <c r="E8251" t="s">
        <v>25762</v>
      </c>
      <c r="F8251" t="s">
        <v>442</v>
      </c>
      <c r="G8251" t="s">
        <v>25763</v>
      </c>
      <c r="H8251" t="s">
        <v>444</v>
      </c>
      <c r="I8251" t="s">
        <v>29</v>
      </c>
      <c r="J8251">
        <v>1</v>
      </c>
      <c r="K8251">
        <f>1-888-371-6854</f>
        <v>-8112</v>
      </c>
      <c r="L8251" t="s">
        <v>25766</v>
      </c>
      <c r="M8251" t="s">
        <v>25767</v>
      </c>
      <c r="N8251" t="s">
        <v>1645</v>
      </c>
      <c r="O8251" t="s">
        <v>28</v>
      </c>
      <c r="P8251" t="s">
        <v>29</v>
      </c>
      <c r="Q8251">
        <v>42</v>
      </c>
      <c r="R8251">
        <v>-87.629800000000003</v>
      </c>
    </row>
    <row r="8252" spans="1:18" x14ac:dyDescent="0.2">
      <c r="A8252" t="s">
        <v>663</v>
      </c>
      <c r="B8252" t="s">
        <v>3245</v>
      </c>
      <c r="C8252">
        <v>1</v>
      </c>
      <c r="D8252" s="1">
        <v>44218.812662037039</v>
      </c>
      <c r="E8252" t="s">
        <v>25768</v>
      </c>
      <c r="F8252" t="s">
        <v>666</v>
      </c>
      <c r="G8252" t="s">
        <v>25768</v>
      </c>
      <c r="H8252" t="s">
        <v>667</v>
      </c>
      <c r="I8252" t="s">
        <v>29</v>
      </c>
      <c r="J8252">
        <v>1</v>
      </c>
      <c r="K8252">
        <f>1-213-357-2546</f>
        <v>-3115</v>
      </c>
      <c r="L8252" t="s">
        <v>25769</v>
      </c>
      <c r="M8252" t="s">
        <v>25770</v>
      </c>
      <c r="N8252">
        <v>35</v>
      </c>
      <c r="O8252" t="s">
        <v>134</v>
      </c>
      <c r="P8252" t="s">
        <v>29</v>
      </c>
      <c r="Q8252">
        <v>41</v>
      </c>
      <c r="R8252">
        <v>-74.140299999999996</v>
      </c>
    </row>
    <row r="8253" spans="1:18" x14ac:dyDescent="0.2">
      <c r="A8253" t="s">
        <v>663</v>
      </c>
      <c r="B8253" t="s">
        <v>2493</v>
      </c>
      <c r="C8253">
        <v>1</v>
      </c>
      <c r="D8253" s="1">
        <v>44218.825428240743</v>
      </c>
      <c r="E8253" t="s">
        <v>25771</v>
      </c>
      <c r="F8253" t="s">
        <v>666</v>
      </c>
      <c r="G8253" t="s">
        <v>25771</v>
      </c>
      <c r="H8253" t="s">
        <v>667</v>
      </c>
      <c r="I8253" t="s">
        <v>29</v>
      </c>
      <c r="J8253">
        <v>1</v>
      </c>
      <c r="K8253">
        <f>1-888-397-7685</f>
        <v>-8969</v>
      </c>
      <c r="L8253" t="s">
        <v>25772</v>
      </c>
      <c r="M8253" t="s">
        <v>25773</v>
      </c>
      <c r="N8253">
        <v>104</v>
      </c>
      <c r="O8253" t="s">
        <v>134</v>
      </c>
      <c r="P8253" t="s">
        <v>29</v>
      </c>
      <c r="Q8253">
        <v>41</v>
      </c>
      <c r="R8253">
        <v>-74.024699999999996</v>
      </c>
    </row>
    <row r="8254" spans="1:18" x14ac:dyDescent="0.2">
      <c r="A8254" t="s">
        <v>663</v>
      </c>
      <c r="B8254" t="s">
        <v>2493</v>
      </c>
      <c r="C8254">
        <v>1</v>
      </c>
      <c r="D8254" s="1">
        <v>44218.825312499997</v>
      </c>
      <c r="E8254" t="s">
        <v>25771</v>
      </c>
      <c r="F8254" t="s">
        <v>666</v>
      </c>
      <c r="G8254" t="s">
        <v>25771</v>
      </c>
      <c r="H8254" t="s">
        <v>667</v>
      </c>
      <c r="I8254" t="s">
        <v>29</v>
      </c>
      <c r="J8254">
        <v>1</v>
      </c>
      <c r="K8254">
        <f>1-888-370-4674</f>
        <v>-5931</v>
      </c>
      <c r="L8254" t="s">
        <v>25774</v>
      </c>
      <c r="M8254" t="s">
        <v>25775</v>
      </c>
      <c r="N8254">
        <v>104</v>
      </c>
      <c r="O8254" t="s">
        <v>134</v>
      </c>
      <c r="P8254" t="s">
        <v>29</v>
      </c>
      <c r="Q8254">
        <v>41</v>
      </c>
      <c r="R8254">
        <v>-74.024699999999996</v>
      </c>
    </row>
    <row r="8255" spans="1:18" x14ac:dyDescent="0.2">
      <c r="A8255" t="s">
        <v>663</v>
      </c>
      <c r="B8255" t="s">
        <v>2493</v>
      </c>
      <c r="C8255">
        <v>1</v>
      </c>
      <c r="D8255" s="1">
        <v>44218.828009259261</v>
      </c>
      <c r="E8255" t="s">
        <v>25776</v>
      </c>
      <c r="F8255" t="s">
        <v>666</v>
      </c>
      <c r="G8255" t="s">
        <v>25776</v>
      </c>
      <c r="H8255" t="s">
        <v>667</v>
      </c>
      <c r="I8255" t="s">
        <v>29</v>
      </c>
      <c r="J8255">
        <v>1</v>
      </c>
      <c r="K8255">
        <f>1-888-392-5485</f>
        <v>-6764</v>
      </c>
      <c r="L8255" t="s">
        <v>25777</v>
      </c>
      <c r="M8255" t="s">
        <v>25778</v>
      </c>
      <c r="N8255">
        <v>111</v>
      </c>
      <c r="O8255" t="s">
        <v>134</v>
      </c>
      <c r="P8255" t="s">
        <v>29</v>
      </c>
      <c r="Q8255">
        <v>41</v>
      </c>
      <c r="R8255">
        <v>-74.024699999999996</v>
      </c>
    </row>
    <row r="8256" spans="1:18" x14ac:dyDescent="0.2">
      <c r="A8256" t="s">
        <v>439</v>
      </c>
      <c r="B8256" t="s">
        <v>4321</v>
      </c>
      <c r="C8256">
        <v>1</v>
      </c>
      <c r="D8256" s="1">
        <v>44218.845509259256</v>
      </c>
      <c r="E8256" t="s">
        <v>25779</v>
      </c>
      <c r="F8256" t="s">
        <v>442</v>
      </c>
      <c r="G8256" t="s">
        <v>25780</v>
      </c>
      <c r="H8256" t="s">
        <v>444</v>
      </c>
      <c r="I8256" t="s">
        <v>29</v>
      </c>
      <c r="J8256">
        <v>1</v>
      </c>
      <c r="K8256">
        <f>1-888-979-4685</f>
        <v>-6551</v>
      </c>
      <c r="L8256" t="s">
        <v>25781</v>
      </c>
      <c r="M8256" t="s">
        <v>25782</v>
      </c>
      <c r="N8256" t="s">
        <v>25195</v>
      </c>
      <c r="O8256" t="s">
        <v>28</v>
      </c>
      <c r="P8256" t="s">
        <v>29</v>
      </c>
      <c r="Q8256">
        <v>42</v>
      </c>
      <c r="R8256">
        <v>-87.629800000000003</v>
      </c>
    </row>
    <row r="8257" spans="1:18" x14ac:dyDescent="0.2">
      <c r="A8257" t="s">
        <v>439</v>
      </c>
      <c r="B8257" t="s">
        <v>4321</v>
      </c>
      <c r="C8257">
        <v>1</v>
      </c>
      <c r="D8257" s="1">
        <v>44218.878020833334</v>
      </c>
      <c r="E8257" t="s">
        <v>25783</v>
      </c>
      <c r="F8257" t="s">
        <v>442</v>
      </c>
      <c r="G8257" t="s">
        <v>25784</v>
      </c>
      <c r="H8257" t="s">
        <v>444</v>
      </c>
      <c r="I8257" t="s">
        <v>29</v>
      </c>
      <c r="J8257">
        <v>1</v>
      </c>
      <c r="K8257">
        <f>1-844-303-4992</f>
        <v>-6138</v>
      </c>
      <c r="L8257" t="s">
        <v>25785</v>
      </c>
      <c r="M8257" t="s">
        <v>25786</v>
      </c>
      <c r="N8257" t="s">
        <v>36</v>
      </c>
      <c r="O8257" t="s">
        <v>28</v>
      </c>
      <c r="P8257" t="s">
        <v>29</v>
      </c>
      <c r="Q8257">
        <v>42</v>
      </c>
      <c r="R8257">
        <v>-87.629800000000003</v>
      </c>
    </row>
    <row r="8258" spans="1:18" x14ac:dyDescent="0.2">
      <c r="A8258" t="s">
        <v>439</v>
      </c>
      <c r="B8258" t="s">
        <v>4321</v>
      </c>
      <c r="C8258">
        <v>1</v>
      </c>
      <c r="D8258" s="1">
        <v>44218.885474537034</v>
      </c>
      <c r="E8258" t="s">
        <v>25787</v>
      </c>
      <c r="F8258" t="s">
        <v>442</v>
      </c>
      <c r="G8258" t="s">
        <v>25788</v>
      </c>
      <c r="H8258" t="s">
        <v>444</v>
      </c>
      <c r="I8258" t="s">
        <v>29</v>
      </c>
      <c r="J8258">
        <v>1</v>
      </c>
      <c r="K8258">
        <f>1-888-398-5585</f>
        <v>-6870</v>
      </c>
      <c r="L8258" t="s">
        <v>25789</v>
      </c>
      <c r="M8258" t="s">
        <v>25790</v>
      </c>
      <c r="N8258" t="s">
        <v>674</v>
      </c>
      <c r="O8258" t="s">
        <v>28</v>
      </c>
      <c r="P8258" t="s">
        <v>29</v>
      </c>
      <c r="Q8258">
        <v>42</v>
      </c>
      <c r="R8258">
        <v>-87.629800000000003</v>
      </c>
    </row>
    <row r="8259" spans="1:18" x14ac:dyDescent="0.2">
      <c r="A8259" t="s">
        <v>2349</v>
      </c>
      <c r="B8259" t="s">
        <v>2488</v>
      </c>
      <c r="C8259">
        <v>1</v>
      </c>
      <c r="D8259" s="1">
        <v>44218.927442129629</v>
      </c>
      <c r="E8259" t="s">
        <v>25791</v>
      </c>
      <c r="F8259" t="s">
        <v>2352</v>
      </c>
      <c r="G8259" t="s">
        <v>25792</v>
      </c>
      <c r="H8259" t="s">
        <v>2353</v>
      </c>
      <c r="I8259" t="s">
        <v>29</v>
      </c>
      <c r="J8259">
        <v>1</v>
      </c>
      <c r="K8259">
        <f>1-800-579-5131</f>
        <v>-6509</v>
      </c>
      <c r="L8259" t="s">
        <v>25793</v>
      </c>
      <c r="M8259" t="s">
        <v>25794</v>
      </c>
      <c r="N8259" t="s">
        <v>1645</v>
      </c>
      <c r="O8259" t="s">
        <v>28</v>
      </c>
      <c r="P8259" t="s">
        <v>29</v>
      </c>
      <c r="Q8259">
        <v>41</v>
      </c>
      <c r="R8259">
        <v>-74.460599999999999</v>
      </c>
    </row>
    <row r="8260" spans="1:18" x14ac:dyDescent="0.2">
      <c r="A8260" t="s">
        <v>663</v>
      </c>
      <c r="B8260" t="s">
        <v>2500</v>
      </c>
      <c r="C8260">
        <v>1</v>
      </c>
      <c r="D8260" s="1">
        <v>44218.93378472222</v>
      </c>
      <c r="E8260" t="s">
        <v>25795</v>
      </c>
      <c r="F8260" t="s">
        <v>666</v>
      </c>
      <c r="G8260" t="s">
        <v>25795</v>
      </c>
      <c r="H8260" t="s">
        <v>667</v>
      </c>
      <c r="I8260" t="s">
        <v>29</v>
      </c>
      <c r="J8260">
        <v>1</v>
      </c>
      <c r="K8260">
        <f>1-844-353-1749</f>
        <v>-2945</v>
      </c>
      <c r="L8260" t="s">
        <v>25796</v>
      </c>
      <c r="M8260" t="s">
        <v>25797</v>
      </c>
      <c r="N8260">
        <v>139</v>
      </c>
      <c r="O8260" t="s">
        <v>134</v>
      </c>
      <c r="P8260" t="s">
        <v>2500</v>
      </c>
      <c r="Q8260">
        <v>1</v>
      </c>
      <c r="R8260">
        <v>99.999999000000003</v>
      </c>
    </row>
    <row r="8261" spans="1:18" x14ac:dyDescent="0.2">
      <c r="A8261" t="s">
        <v>663</v>
      </c>
      <c r="B8261" t="s">
        <v>2500</v>
      </c>
      <c r="C8261">
        <v>1</v>
      </c>
      <c r="D8261" s="1">
        <v>44218.930092592593</v>
      </c>
      <c r="E8261" t="s">
        <v>25795</v>
      </c>
      <c r="F8261" t="s">
        <v>666</v>
      </c>
      <c r="G8261" t="s">
        <v>25795</v>
      </c>
      <c r="H8261" t="s">
        <v>667</v>
      </c>
      <c r="I8261" t="s">
        <v>29</v>
      </c>
      <c r="J8261">
        <v>1</v>
      </c>
      <c r="K8261">
        <f>1-833-214-6012</f>
        <v>-7058</v>
      </c>
      <c r="L8261" t="s">
        <v>25798</v>
      </c>
      <c r="M8261" t="s">
        <v>25799</v>
      </c>
      <c r="N8261">
        <v>139</v>
      </c>
      <c r="O8261" t="s">
        <v>134</v>
      </c>
      <c r="P8261" t="s">
        <v>2500</v>
      </c>
      <c r="Q8261">
        <v>1</v>
      </c>
      <c r="R8261">
        <v>99.999999000000003</v>
      </c>
    </row>
    <row r="8262" spans="1:18" x14ac:dyDescent="0.2">
      <c r="A8262" t="s">
        <v>439</v>
      </c>
      <c r="B8262" t="s">
        <v>4321</v>
      </c>
      <c r="C8262">
        <v>1</v>
      </c>
      <c r="D8262" s="1">
        <v>44220.81355324074</v>
      </c>
      <c r="E8262" t="s">
        <v>25800</v>
      </c>
      <c r="F8262" t="s">
        <v>442</v>
      </c>
      <c r="G8262" t="s">
        <v>25801</v>
      </c>
      <c r="H8262" t="s">
        <v>444</v>
      </c>
      <c r="I8262" t="s">
        <v>29</v>
      </c>
      <c r="J8262">
        <v>1</v>
      </c>
      <c r="K8262">
        <f>1-888-984-7357</f>
        <v>-9228</v>
      </c>
      <c r="L8262" t="s">
        <v>25802</v>
      </c>
      <c r="M8262" t="s">
        <v>25803</v>
      </c>
      <c r="N8262" t="s">
        <v>25195</v>
      </c>
      <c r="O8262" t="s">
        <v>28</v>
      </c>
      <c r="P8262" t="s">
        <v>29</v>
      </c>
      <c r="Q8262">
        <v>42</v>
      </c>
      <c r="R8262">
        <v>-87.629800000000003</v>
      </c>
    </row>
    <row r="8263" spans="1:18" x14ac:dyDescent="0.2">
      <c r="A8263" t="s">
        <v>663</v>
      </c>
      <c r="B8263" t="s">
        <v>664</v>
      </c>
      <c r="C8263">
        <v>1</v>
      </c>
      <c r="D8263" s="1">
        <v>44218.969513888886</v>
      </c>
      <c r="E8263" t="s">
        <v>25804</v>
      </c>
      <c r="F8263" t="s">
        <v>666</v>
      </c>
      <c r="G8263" t="s">
        <v>25804</v>
      </c>
      <c r="H8263" t="s">
        <v>667</v>
      </c>
      <c r="I8263" t="s">
        <v>29</v>
      </c>
      <c r="J8263">
        <v>1</v>
      </c>
      <c r="K8263">
        <f>1-844-308-8256</f>
        <v>-9407</v>
      </c>
      <c r="L8263" t="s">
        <v>25805</v>
      </c>
      <c r="M8263" t="s">
        <v>25806</v>
      </c>
      <c r="N8263">
        <v>47</v>
      </c>
      <c r="O8263" t="s">
        <v>134</v>
      </c>
      <c r="P8263" t="s">
        <v>29</v>
      </c>
      <c r="Q8263">
        <v>37</v>
      </c>
      <c r="R8263">
        <v>-99.999999000000003</v>
      </c>
    </row>
    <row r="8264" spans="1:18" x14ac:dyDescent="0.2">
      <c r="A8264" t="s">
        <v>2349</v>
      </c>
      <c r="B8264" t="s">
        <v>2488</v>
      </c>
      <c r="C8264">
        <v>1</v>
      </c>
      <c r="D8264" s="1">
        <v>44219.884652777779</v>
      </c>
      <c r="E8264" t="s">
        <v>25807</v>
      </c>
      <c r="F8264" t="s">
        <v>2352</v>
      </c>
      <c r="G8264" t="s">
        <v>25808</v>
      </c>
      <c r="H8264" t="s">
        <v>2353</v>
      </c>
      <c r="I8264" t="s">
        <v>29</v>
      </c>
      <c r="J8264">
        <v>1</v>
      </c>
      <c r="K8264">
        <f>1-800-957-1861</f>
        <v>-3617</v>
      </c>
      <c r="L8264" t="s">
        <v>25809</v>
      </c>
      <c r="M8264" t="s">
        <v>25810</v>
      </c>
      <c r="N8264" t="s">
        <v>213</v>
      </c>
      <c r="O8264" t="s">
        <v>28</v>
      </c>
      <c r="P8264" t="s">
        <v>29</v>
      </c>
      <c r="Q8264">
        <v>41</v>
      </c>
      <c r="R8264">
        <v>-74.460599999999999</v>
      </c>
    </row>
    <row r="8265" spans="1:18" x14ac:dyDescent="0.2">
      <c r="A8265" t="s">
        <v>2349</v>
      </c>
      <c r="B8265" t="s">
        <v>2488</v>
      </c>
      <c r="C8265">
        <v>1</v>
      </c>
      <c r="D8265" s="1">
        <v>44219.96303240741</v>
      </c>
      <c r="E8265" t="s">
        <v>25811</v>
      </c>
      <c r="F8265" t="s">
        <v>2352</v>
      </c>
      <c r="G8265" t="s">
        <v>25812</v>
      </c>
      <c r="H8265" t="s">
        <v>2353</v>
      </c>
      <c r="I8265" t="s">
        <v>29</v>
      </c>
      <c r="J8265">
        <v>1</v>
      </c>
      <c r="K8265">
        <f>1-800-431-6137</f>
        <v>-7367</v>
      </c>
      <c r="L8265" t="s">
        <v>25813</v>
      </c>
      <c r="M8265" t="s">
        <v>25814</v>
      </c>
      <c r="N8265" t="s">
        <v>3454</v>
      </c>
      <c r="O8265" t="s">
        <v>28</v>
      </c>
      <c r="P8265" t="s">
        <v>29</v>
      </c>
      <c r="Q8265">
        <v>41</v>
      </c>
      <c r="R8265">
        <v>-74.460599999999999</v>
      </c>
    </row>
    <row r="8266" spans="1:18" x14ac:dyDescent="0.2">
      <c r="A8266" t="s">
        <v>2349</v>
      </c>
      <c r="B8266" t="s">
        <v>2488</v>
      </c>
      <c r="C8266">
        <v>1</v>
      </c>
      <c r="D8266" s="1">
        <v>44219.947511574072</v>
      </c>
      <c r="E8266" t="s">
        <v>25815</v>
      </c>
      <c r="F8266" t="s">
        <v>2352</v>
      </c>
      <c r="G8266" t="s">
        <v>25812</v>
      </c>
      <c r="H8266" t="s">
        <v>2353</v>
      </c>
      <c r="I8266" t="s">
        <v>29</v>
      </c>
      <c r="J8266">
        <v>1</v>
      </c>
      <c r="K8266">
        <f>1-800-431-6137</f>
        <v>-7367</v>
      </c>
      <c r="L8266" t="s">
        <v>25816</v>
      </c>
      <c r="M8266" t="s">
        <v>25817</v>
      </c>
      <c r="N8266" t="s">
        <v>3454</v>
      </c>
      <c r="O8266" t="s">
        <v>28</v>
      </c>
      <c r="P8266" t="s">
        <v>29</v>
      </c>
      <c r="Q8266">
        <v>41</v>
      </c>
      <c r="R8266">
        <v>-74.460599999999999</v>
      </c>
    </row>
    <row r="8267" spans="1:18" x14ac:dyDescent="0.2">
      <c r="A8267" t="s">
        <v>2349</v>
      </c>
      <c r="B8267" t="s">
        <v>2488</v>
      </c>
      <c r="C8267">
        <v>1</v>
      </c>
      <c r="D8267" s="1">
        <v>44219.97929398148</v>
      </c>
      <c r="E8267" t="s">
        <v>25818</v>
      </c>
      <c r="F8267" t="s">
        <v>2352</v>
      </c>
      <c r="G8267" t="s">
        <v>25819</v>
      </c>
      <c r="H8267" t="s">
        <v>2353</v>
      </c>
      <c r="I8267" t="s">
        <v>29</v>
      </c>
      <c r="J8267">
        <v>1</v>
      </c>
      <c r="K8267">
        <f>1-800-431-6137</f>
        <v>-7367</v>
      </c>
      <c r="L8267" t="s">
        <v>25820</v>
      </c>
      <c r="M8267" t="s">
        <v>25821</v>
      </c>
      <c r="N8267" t="s">
        <v>3454</v>
      </c>
      <c r="O8267" t="s">
        <v>28</v>
      </c>
      <c r="P8267" t="s">
        <v>29</v>
      </c>
      <c r="Q8267">
        <v>41</v>
      </c>
      <c r="R8267">
        <v>-74.460599999999999</v>
      </c>
    </row>
    <row r="8268" spans="1:18" x14ac:dyDescent="0.2">
      <c r="A8268" t="s">
        <v>2233</v>
      </c>
      <c r="B8268" t="s">
        <v>440</v>
      </c>
      <c r="C8268">
        <v>1</v>
      </c>
      <c r="D8268" s="1">
        <v>44220.606307870374</v>
      </c>
      <c r="E8268" t="s">
        <v>25822</v>
      </c>
      <c r="F8268" t="s">
        <v>2236</v>
      </c>
      <c r="G8268" t="s">
        <v>25823</v>
      </c>
      <c r="H8268" t="s">
        <v>2237</v>
      </c>
      <c r="I8268" t="s">
        <v>29</v>
      </c>
      <c r="J8268">
        <v>1</v>
      </c>
      <c r="K8268">
        <f>1-833-985-2950</f>
        <v>-4767</v>
      </c>
      <c r="L8268" t="s">
        <v>25824</v>
      </c>
      <c r="M8268" t="s">
        <v>25825</v>
      </c>
      <c r="N8268" t="s">
        <v>5354</v>
      </c>
      <c r="O8268" t="s">
        <v>28</v>
      </c>
      <c r="P8268" t="s">
        <v>29</v>
      </c>
      <c r="Q8268">
        <v>39</v>
      </c>
      <c r="R8268">
        <v>-77.487399999999994</v>
      </c>
    </row>
    <row r="8269" spans="1:18" x14ac:dyDescent="0.2">
      <c r="A8269" t="s">
        <v>439</v>
      </c>
      <c r="B8269" t="s">
        <v>4321</v>
      </c>
      <c r="C8269">
        <v>1</v>
      </c>
      <c r="D8269" s="1">
        <v>44220.612546296295</v>
      </c>
      <c r="E8269" t="s">
        <v>25826</v>
      </c>
      <c r="F8269" t="s">
        <v>442</v>
      </c>
      <c r="G8269" t="s">
        <v>25827</v>
      </c>
      <c r="H8269" t="s">
        <v>444</v>
      </c>
      <c r="I8269" t="s">
        <v>29</v>
      </c>
      <c r="J8269">
        <v>1</v>
      </c>
      <c r="K8269">
        <f>1-888-396-2717</f>
        <v>-4000</v>
      </c>
      <c r="L8269" t="s">
        <v>25828</v>
      </c>
      <c r="M8269" t="s">
        <v>25829</v>
      </c>
      <c r="N8269" t="s">
        <v>447</v>
      </c>
      <c r="O8269" t="s">
        <v>28</v>
      </c>
      <c r="P8269" t="s">
        <v>29</v>
      </c>
      <c r="Q8269">
        <v>42</v>
      </c>
      <c r="R8269">
        <v>-87.629800000000003</v>
      </c>
    </row>
    <row r="8270" spans="1:18" x14ac:dyDescent="0.2">
      <c r="A8270" t="s">
        <v>439</v>
      </c>
      <c r="B8270" t="s">
        <v>4321</v>
      </c>
      <c r="C8270">
        <v>1</v>
      </c>
      <c r="D8270" s="1">
        <v>44221.720358796294</v>
      </c>
      <c r="E8270" t="s">
        <v>25830</v>
      </c>
      <c r="F8270" t="s">
        <v>442</v>
      </c>
      <c r="G8270" t="s">
        <v>25831</v>
      </c>
      <c r="H8270" t="s">
        <v>444</v>
      </c>
      <c r="I8270" t="s">
        <v>29</v>
      </c>
      <c r="J8270">
        <v>1</v>
      </c>
      <c r="K8270">
        <f>1-888-394-9930</f>
        <v>-11211</v>
      </c>
      <c r="L8270" t="s">
        <v>25832</v>
      </c>
      <c r="M8270" t="s">
        <v>25833</v>
      </c>
      <c r="N8270" t="s">
        <v>2475</v>
      </c>
      <c r="O8270" t="s">
        <v>28</v>
      </c>
      <c r="P8270" t="s">
        <v>29</v>
      </c>
      <c r="Q8270">
        <v>42</v>
      </c>
      <c r="R8270">
        <v>-87.629800000000003</v>
      </c>
    </row>
    <row r="8271" spans="1:18" x14ac:dyDescent="0.2">
      <c r="A8271" t="s">
        <v>439</v>
      </c>
      <c r="B8271" t="s">
        <v>4321</v>
      </c>
      <c r="C8271">
        <v>1</v>
      </c>
      <c r="D8271" s="1">
        <v>44221.720300925925</v>
      </c>
      <c r="E8271" t="s">
        <v>25830</v>
      </c>
      <c r="F8271" t="s">
        <v>442</v>
      </c>
      <c r="G8271" t="s">
        <v>25831</v>
      </c>
      <c r="H8271" t="s">
        <v>444</v>
      </c>
      <c r="I8271" t="s">
        <v>29</v>
      </c>
      <c r="J8271">
        <v>1</v>
      </c>
      <c r="K8271">
        <f>1-888-393-9379</f>
        <v>-10659</v>
      </c>
      <c r="L8271" t="s">
        <v>25834</v>
      </c>
      <c r="M8271" t="s">
        <v>25835</v>
      </c>
      <c r="N8271" t="s">
        <v>2475</v>
      </c>
      <c r="O8271" t="s">
        <v>28</v>
      </c>
      <c r="P8271" t="s">
        <v>29</v>
      </c>
      <c r="Q8271">
        <v>42</v>
      </c>
      <c r="R8271">
        <v>-87.629800000000003</v>
      </c>
    </row>
    <row r="8272" spans="1:18" x14ac:dyDescent="0.2">
      <c r="A8272" t="s">
        <v>439</v>
      </c>
      <c r="B8272" t="s">
        <v>4321</v>
      </c>
      <c r="C8272">
        <v>1</v>
      </c>
      <c r="D8272" s="1">
        <v>44221.718275462961</v>
      </c>
      <c r="E8272" t="s">
        <v>25830</v>
      </c>
      <c r="F8272" t="s">
        <v>442</v>
      </c>
      <c r="G8272" t="s">
        <v>25831</v>
      </c>
      <c r="H8272" t="s">
        <v>444</v>
      </c>
      <c r="I8272" t="s">
        <v>29</v>
      </c>
      <c r="J8272">
        <v>1</v>
      </c>
      <c r="K8272">
        <f>1-888-352-4785</f>
        <v>-6024</v>
      </c>
      <c r="L8272" t="s">
        <v>25836</v>
      </c>
      <c r="M8272" t="s">
        <v>25837</v>
      </c>
      <c r="N8272" t="s">
        <v>2475</v>
      </c>
      <c r="O8272" t="s">
        <v>28</v>
      </c>
      <c r="P8272" t="s">
        <v>29</v>
      </c>
      <c r="Q8272">
        <v>42</v>
      </c>
      <c r="R8272">
        <v>-87.629800000000003</v>
      </c>
    </row>
    <row r="8273" spans="1:18" x14ac:dyDescent="0.2">
      <c r="A8273" t="s">
        <v>439</v>
      </c>
      <c r="B8273" t="s">
        <v>4321</v>
      </c>
      <c r="C8273">
        <v>1</v>
      </c>
      <c r="D8273" s="1">
        <v>44221.720208333332</v>
      </c>
      <c r="E8273" t="s">
        <v>25830</v>
      </c>
      <c r="F8273" t="s">
        <v>442</v>
      </c>
      <c r="G8273" t="s">
        <v>25831</v>
      </c>
      <c r="H8273" t="s">
        <v>444</v>
      </c>
      <c r="I8273" t="s">
        <v>29</v>
      </c>
      <c r="J8273">
        <v>1</v>
      </c>
      <c r="K8273">
        <f>1-888-381-4817</f>
        <v>-6085</v>
      </c>
      <c r="L8273" t="s">
        <v>25838</v>
      </c>
      <c r="M8273" t="s">
        <v>25839</v>
      </c>
      <c r="N8273" t="s">
        <v>2475</v>
      </c>
      <c r="O8273" t="s">
        <v>28</v>
      </c>
      <c r="P8273" t="s">
        <v>29</v>
      </c>
      <c r="Q8273">
        <v>42</v>
      </c>
      <c r="R8273">
        <v>-87.629800000000003</v>
      </c>
    </row>
    <row r="8274" spans="1:18" x14ac:dyDescent="0.2">
      <c r="A8274" t="s">
        <v>663</v>
      </c>
      <c r="B8274" t="s">
        <v>2493</v>
      </c>
      <c r="C8274">
        <v>1</v>
      </c>
      <c r="D8274" s="1">
        <v>44221.721678240741</v>
      </c>
      <c r="E8274" t="s">
        <v>25840</v>
      </c>
      <c r="F8274" t="s">
        <v>666</v>
      </c>
      <c r="G8274" t="s">
        <v>25840</v>
      </c>
      <c r="H8274" t="s">
        <v>667</v>
      </c>
      <c r="I8274" t="s">
        <v>29</v>
      </c>
      <c r="J8274">
        <v>1</v>
      </c>
      <c r="K8274">
        <f>1-888-386-795</f>
        <v>-2068</v>
      </c>
      <c r="L8274" t="s">
        <v>25841</v>
      </c>
      <c r="M8274" t="s">
        <v>25842</v>
      </c>
      <c r="N8274">
        <v>188</v>
      </c>
      <c r="O8274" t="s">
        <v>134</v>
      </c>
      <c r="P8274" t="s">
        <v>29</v>
      </c>
      <c r="Q8274">
        <v>41</v>
      </c>
      <c r="R8274">
        <v>-74.024699999999996</v>
      </c>
    </row>
    <row r="8275" spans="1:18" x14ac:dyDescent="0.2">
      <c r="A8275" t="s">
        <v>663</v>
      </c>
      <c r="B8275" t="s">
        <v>2493</v>
      </c>
      <c r="C8275">
        <v>1</v>
      </c>
      <c r="D8275" s="1">
        <v>44221.721585648149</v>
      </c>
      <c r="E8275" t="s">
        <v>25840</v>
      </c>
      <c r="F8275" t="s">
        <v>666</v>
      </c>
      <c r="G8275" t="s">
        <v>25840</v>
      </c>
      <c r="H8275" t="s">
        <v>667</v>
      </c>
      <c r="I8275" t="s">
        <v>29</v>
      </c>
      <c r="J8275">
        <v>1</v>
      </c>
      <c r="K8275">
        <f>1-888-640-3032</f>
        <v>-4559</v>
      </c>
      <c r="L8275" t="s">
        <v>25843</v>
      </c>
      <c r="M8275" t="s">
        <v>25844</v>
      </c>
      <c r="N8275">
        <v>188</v>
      </c>
      <c r="O8275" t="s">
        <v>134</v>
      </c>
      <c r="P8275" t="s">
        <v>29</v>
      </c>
      <c r="Q8275">
        <v>41</v>
      </c>
      <c r="R8275">
        <v>-74.024699999999996</v>
      </c>
    </row>
    <row r="8276" spans="1:18" x14ac:dyDescent="0.2">
      <c r="A8276" t="s">
        <v>663</v>
      </c>
      <c r="B8276" t="s">
        <v>2493</v>
      </c>
      <c r="C8276">
        <v>1</v>
      </c>
      <c r="D8276" s="1">
        <v>44221.784884259258</v>
      </c>
      <c r="E8276" t="s">
        <v>25845</v>
      </c>
      <c r="F8276" t="s">
        <v>666</v>
      </c>
      <c r="G8276" t="s">
        <v>25845</v>
      </c>
      <c r="H8276" t="s">
        <v>667</v>
      </c>
      <c r="I8276" t="s">
        <v>29</v>
      </c>
      <c r="J8276">
        <v>1</v>
      </c>
      <c r="K8276">
        <f>1-888-391-8736</f>
        <v>-10014</v>
      </c>
      <c r="L8276" t="s">
        <v>25846</v>
      </c>
      <c r="M8276" t="s">
        <v>25847</v>
      </c>
      <c r="N8276">
        <v>120</v>
      </c>
      <c r="O8276" t="s">
        <v>134</v>
      </c>
      <c r="P8276" t="s">
        <v>29</v>
      </c>
      <c r="Q8276">
        <v>41</v>
      </c>
      <c r="R8276">
        <v>-74.024699999999996</v>
      </c>
    </row>
    <row r="8277" spans="1:18" x14ac:dyDescent="0.2">
      <c r="A8277" t="s">
        <v>2233</v>
      </c>
      <c r="B8277" t="s">
        <v>4672</v>
      </c>
      <c r="C8277">
        <v>1</v>
      </c>
      <c r="D8277" s="1">
        <v>44221.829097222224</v>
      </c>
      <c r="E8277" t="s">
        <v>25848</v>
      </c>
      <c r="F8277" t="s">
        <v>2236</v>
      </c>
      <c r="G8277" t="s">
        <v>25849</v>
      </c>
      <c r="H8277" t="s">
        <v>2237</v>
      </c>
      <c r="I8277" t="s">
        <v>29</v>
      </c>
      <c r="J8277">
        <v>1</v>
      </c>
      <c r="K8277">
        <f>1-844-308-8286</f>
        <v>-9437</v>
      </c>
      <c r="L8277" t="s">
        <v>25850</v>
      </c>
      <c r="M8277" t="s">
        <v>25851</v>
      </c>
      <c r="N8277" t="s">
        <v>22454</v>
      </c>
      <c r="O8277" t="s">
        <v>134</v>
      </c>
      <c r="P8277" t="s">
        <v>782</v>
      </c>
      <c r="Q8277">
        <v>-34</v>
      </c>
      <c r="R8277">
        <v>99.999999000000003</v>
      </c>
    </row>
    <row r="8278" spans="1:18" x14ac:dyDescent="0.2">
      <c r="A8278" t="s">
        <v>439</v>
      </c>
      <c r="B8278" t="s">
        <v>4321</v>
      </c>
      <c r="C8278">
        <v>1</v>
      </c>
      <c r="D8278" s="1">
        <v>44221.81454861111</v>
      </c>
      <c r="E8278" t="s">
        <v>25852</v>
      </c>
      <c r="F8278" t="s">
        <v>442</v>
      </c>
      <c r="G8278" t="s">
        <v>25853</v>
      </c>
      <c r="H8278" t="s">
        <v>444</v>
      </c>
      <c r="I8278" t="s">
        <v>29</v>
      </c>
      <c r="J8278">
        <v>1</v>
      </c>
      <c r="K8278">
        <f>1-844-470-7582</f>
        <v>-8895</v>
      </c>
      <c r="L8278" t="s">
        <v>25854</v>
      </c>
      <c r="M8278" t="s">
        <v>25855</v>
      </c>
      <c r="N8278" t="s">
        <v>3441</v>
      </c>
      <c r="O8278" t="s">
        <v>28</v>
      </c>
      <c r="P8278" t="s">
        <v>29</v>
      </c>
      <c r="Q8278">
        <v>42</v>
      </c>
      <c r="R8278">
        <v>-87.629800000000003</v>
      </c>
    </row>
    <row r="8279" spans="1:18" x14ac:dyDescent="0.2">
      <c r="A8279" t="s">
        <v>439</v>
      </c>
      <c r="B8279" t="s">
        <v>4321</v>
      </c>
      <c r="C8279">
        <v>1</v>
      </c>
      <c r="D8279" s="1">
        <v>44221.850775462961</v>
      </c>
      <c r="E8279" t="s">
        <v>25856</v>
      </c>
      <c r="F8279" t="s">
        <v>442</v>
      </c>
      <c r="G8279" t="s">
        <v>25857</v>
      </c>
      <c r="H8279" t="s">
        <v>444</v>
      </c>
      <c r="I8279" t="s">
        <v>29</v>
      </c>
      <c r="J8279">
        <v>1</v>
      </c>
      <c r="K8279">
        <f>1-888-984-7966</f>
        <v>-9837</v>
      </c>
      <c r="L8279" t="s">
        <v>25858</v>
      </c>
      <c r="M8279" t="s">
        <v>25859</v>
      </c>
      <c r="N8279" t="s">
        <v>25195</v>
      </c>
      <c r="O8279" t="s">
        <v>28</v>
      </c>
      <c r="P8279" t="s">
        <v>29</v>
      </c>
      <c r="Q8279">
        <v>42</v>
      </c>
      <c r="R8279">
        <v>-87.629800000000003</v>
      </c>
    </row>
    <row r="8280" spans="1:18" x14ac:dyDescent="0.2">
      <c r="A8280" t="s">
        <v>439</v>
      </c>
      <c r="B8280" t="s">
        <v>4321</v>
      </c>
      <c r="C8280">
        <v>1</v>
      </c>
      <c r="D8280" s="1">
        <v>44221.860833333332</v>
      </c>
      <c r="E8280" t="s">
        <v>25860</v>
      </c>
      <c r="F8280" t="s">
        <v>442</v>
      </c>
      <c r="G8280" t="s">
        <v>25861</v>
      </c>
      <c r="H8280" t="s">
        <v>444</v>
      </c>
      <c r="I8280" t="s">
        <v>29</v>
      </c>
      <c r="J8280">
        <v>1</v>
      </c>
      <c r="K8280">
        <f>1-844-294-2443</f>
        <v>-3580</v>
      </c>
      <c r="L8280" t="s">
        <v>25862</v>
      </c>
      <c r="M8280" t="s">
        <v>25863</v>
      </c>
      <c r="N8280" t="s">
        <v>36</v>
      </c>
      <c r="O8280" t="s">
        <v>28</v>
      </c>
      <c r="P8280" t="s">
        <v>29</v>
      </c>
      <c r="Q8280">
        <v>42</v>
      </c>
      <c r="R8280">
        <v>-87.629800000000003</v>
      </c>
    </row>
    <row r="8281" spans="1:18" x14ac:dyDescent="0.2">
      <c r="A8281" t="s">
        <v>663</v>
      </c>
      <c r="B8281" t="s">
        <v>664</v>
      </c>
      <c r="C8281">
        <v>1</v>
      </c>
      <c r="D8281" s="1">
        <v>44221.857361111113</v>
      </c>
      <c r="E8281" t="s">
        <v>25864</v>
      </c>
      <c r="F8281" t="s">
        <v>666</v>
      </c>
      <c r="G8281" t="s">
        <v>25864</v>
      </c>
      <c r="H8281" t="s">
        <v>667</v>
      </c>
      <c r="I8281" t="s">
        <v>29</v>
      </c>
      <c r="J8281">
        <v>1</v>
      </c>
      <c r="K8281">
        <f>1-833-220-3960</f>
        <v>-5012</v>
      </c>
      <c r="L8281" t="s">
        <v>25865</v>
      </c>
      <c r="M8281" t="s">
        <v>25866</v>
      </c>
      <c r="N8281">
        <v>146</v>
      </c>
      <c r="O8281" t="s">
        <v>134</v>
      </c>
      <c r="P8281" t="s">
        <v>29</v>
      </c>
      <c r="Q8281">
        <v>37</v>
      </c>
      <c r="R8281">
        <v>-99.999999000000003</v>
      </c>
    </row>
    <row r="8282" spans="1:18" x14ac:dyDescent="0.2">
      <c r="A8282" t="s">
        <v>439</v>
      </c>
      <c r="B8282" t="s">
        <v>4321</v>
      </c>
      <c r="C8282">
        <v>1</v>
      </c>
      <c r="D8282" s="1">
        <v>44221.863530092596</v>
      </c>
      <c r="E8282" t="s">
        <v>25867</v>
      </c>
      <c r="F8282" t="s">
        <v>442</v>
      </c>
      <c r="G8282" t="s">
        <v>25868</v>
      </c>
      <c r="H8282" t="s">
        <v>444</v>
      </c>
      <c r="I8282" t="s">
        <v>29</v>
      </c>
      <c r="J8282">
        <v>1</v>
      </c>
      <c r="K8282">
        <f>1-888-344-3524</f>
        <v>-4755</v>
      </c>
      <c r="L8282" t="s">
        <v>25869</v>
      </c>
      <c r="M8282" t="s">
        <v>25870</v>
      </c>
      <c r="N8282" t="s">
        <v>3441</v>
      </c>
      <c r="O8282" t="s">
        <v>28</v>
      </c>
      <c r="P8282" t="s">
        <v>29</v>
      </c>
      <c r="Q8282">
        <v>42</v>
      </c>
      <c r="R8282">
        <v>-87.629800000000003</v>
      </c>
    </row>
    <row r="8283" spans="1:18" x14ac:dyDescent="0.2">
      <c r="A8283" t="s">
        <v>439</v>
      </c>
      <c r="B8283" t="s">
        <v>4321</v>
      </c>
      <c r="C8283">
        <v>81</v>
      </c>
      <c r="D8283" s="1">
        <v>44221.91505787037</v>
      </c>
      <c r="E8283" t="s">
        <v>25871</v>
      </c>
      <c r="F8283" t="s">
        <v>442</v>
      </c>
      <c r="G8283" t="s">
        <v>25872</v>
      </c>
      <c r="H8283" t="s">
        <v>444</v>
      </c>
      <c r="I8283" t="s">
        <v>53</v>
      </c>
      <c r="J8283">
        <v>81</v>
      </c>
      <c r="K8283">
        <f>81-50-3196-4485</f>
        <v>-7650</v>
      </c>
      <c r="L8283" t="s">
        <v>25873</v>
      </c>
      <c r="M8283" t="s">
        <v>25874</v>
      </c>
      <c r="N8283" t="s">
        <v>3441</v>
      </c>
      <c r="O8283" t="s">
        <v>28</v>
      </c>
      <c r="P8283" t="s">
        <v>29</v>
      </c>
      <c r="Q8283">
        <v>42</v>
      </c>
      <c r="R8283">
        <v>-87.629800000000003</v>
      </c>
    </row>
    <row r="8284" spans="1:18" x14ac:dyDescent="0.2">
      <c r="A8284" t="s">
        <v>439</v>
      </c>
      <c r="B8284" t="s">
        <v>4321</v>
      </c>
      <c r="C8284">
        <v>81</v>
      </c>
      <c r="D8284" s="1">
        <v>44221.923032407409</v>
      </c>
      <c r="E8284" t="s">
        <v>25871</v>
      </c>
      <c r="F8284" t="s">
        <v>442</v>
      </c>
      <c r="G8284" t="s">
        <v>25875</v>
      </c>
      <c r="H8284" t="s">
        <v>444</v>
      </c>
      <c r="I8284" t="s">
        <v>53</v>
      </c>
      <c r="J8284">
        <v>81</v>
      </c>
      <c r="K8284">
        <f>81-50-3196-4485</f>
        <v>-7650</v>
      </c>
      <c r="L8284" t="s">
        <v>25876</v>
      </c>
      <c r="M8284" t="s">
        <v>25877</v>
      </c>
      <c r="N8284" t="s">
        <v>3441</v>
      </c>
      <c r="O8284" t="s">
        <v>28</v>
      </c>
      <c r="P8284" t="s">
        <v>29</v>
      </c>
      <c r="Q8284">
        <v>42</v>
      </c>
      <c r="R8284">
        <v>-87.629800000000003</v>
      </c>
    </row>
    <row r="8285" spans="1:18" x14ac:dyDescent="0.2">
      <c r="A8285" t="s">
        <v>439</v>
      </c>
      <c r="B8285" t="s">
        <v>4321</v>
      </c>
      <c r="C8285">
        <v>1</v>
      </c>
      <c r="D8285" s="1">
        <v>44222.018472222226</v>
      </c>
      <c r="E8285" t="s">
        <v>25878</v>
      </c>
      <c r="F8285" t="s">
        <v>442</v>
      </c>
      <c r="G8285" t="s">
        <v>25879</v>
      </c>
      <c r="H8285" t="s">
        <v>444</v>
      </c>
      <c r="I8285" t="s">
        <v>29</v>
      </c>
      <c r="J8285">
        <v>1</v>
      </c>
      <c r="K8285">
        <f>1-888-985-6592</f>
        <v>-8464</v>
      </c>
      <c r="L8285" t="s">
        <v>25880</v>
      </c>
      <c r="M8285" t="s">
        <v>25881</v>
      </c>
      <c r="N8285" t="s">
        <v>25195</v>
      </c>
      <c r="O8285" t="s">
        <v>28</v>
      </c>
      <c r="P8285" t="s">
        <v>29</v>
      </c>
      <c r="Q8285">
        <v>42</v>
      </c>
      <c r="R8285">
        <v>-87.629800000000003</v>
      </c>
    </row>
    <row r="8286" spans="1:18" x14ac:dyDescent="0.2">
      <c r="A8286" t="s">
        <v>663</v>
      </c>
      <c r="B8286" t="s">
        <v>2263</v>
      </c>
      <c r="C8286">
        <v>81</v>
      </c>
      <c r="D8286" s="1">
        <v>44225.891886574071</v>
      </c>
      <c r="E8286" t="s">
        <v>25882</v>
      </c>
      <c r="F8286" t="s">
        <v>666</v>
      </c>
      <c r="G8286" t="s">
        <v>25883</v>
      </c>
      <c r="H8286" t="s">
        <v>667</v>
      </c>
      <c r="I8286" t="s">
        <v>53</v>
      </c>
      <c r="J8286">
        <v>81</v>
      </c>
      <c r="K8286">
        <f>81-50-5534-5732</f>
        <v>-11235</v>
      </c>
      <c r="L8286" t="s">
        <v>25884</v>
      </c>
      <c r="M8286" t="s">
        <v>25885</v>
      </c>
      <c r="N8286" t="s">
        <v>452</v>
      </c>
      <c r="O8286" t="s">
        <v>28</v>
      </c>
      <c r="P8286" t="s">
        <v>2268</v>
      </c>
      <c r="Q8286">
        <v>44</v>
      </c>
      <c r="R8286">
        <v>-79.362300000000005</v>
      </c>
    </row>
    <row r="8287" spans="1:18" x14ac:dyDescent="0.2">
      <c r="A8287" t="s">
        <v>663</v>
      </c>
      <c r="B8287" t="s">
        <v>2263</v>
      </c>
      <c r="C8287">
        <v>81</v>
      </c>
      <c r="D8287" s="1">
        <v>44222.001585648148</v>
      </c>
      <c r="E8287" t="s">
        <v>25886</v>
      </c>
      <c r="F8287" t="s">
        <v>666</v>
      </c>
      <c r="G8287" t="s">
        <v>25883</v>
      </c>
      <c r="H8287" t="s">
        <v>667</v>
      </c>
      <c r="I8287" t="s">
        <v>53</v>
      </c>
      <c r="J8287">
        <v>81</v>
      </c>
      <c r="K8287">
        <f>81-50-5532-836</f>
        <v>-6337</v>
      </c>
      <c r="L8287" t="s">
        <v>25887</v>
      </c>
      <c r="M8287" t="s">
        <v>25888</v>
      </c>
      <c r="N8287" t="s">
        <v>452</v>
      </c>
      <c r="O8287" t="s">
        <v>28</v>
      </c>
      <c r="P8287" t="s">
        <v>2268</v>
      </c>
      <c r="Q8287">
        <v>44</v>
      </c>
      <c r="R8287">
        <v>-79.362300000000005</v>
      </c>
    </row>
    <row r="8288" spans="1:18" x14ac:dyDescent="0.2">
      <c r="A8288" t="s">
        <v>439</v>
      </c>
      <c r="B8288" t="s">
        <v>4321</v>
      </c>
      <c r="C8288">
        <v>1</v>
      </c>
      <c r="D8288" s="1">
        <v>44223.837581018517</v>
      </c>
      <c r="E8288" t="s">
        <v>25889</v>
      </c>
      <c r="F8288" t="s">
        <v>442</v>
      </c>
      <c r="G8288" t="s">
        <v>25890</v>
      </c>
      <c r="H8288" t="s">
        <v>444</v>
      </c>
      <c r="I8288" t="s">
        <v>29</v>
      </c>
      <c r="J8288">
        <v>1</v>
      </c>
      <c r="K8288">
        <f>1-844-298-2033</f>
        <v>-3174</v>
      </c>
      <c r="L8288" t="s">
        <v>25891</v>
      </c>
      <c r="M8288" t="s">
        <v>25892</v>
      </c>
      <c r="N8288" t="s">
        <v>36</v>
      </c>
      <c r="O8288" t="s">
        <v>28</v>
      </c>
      <c r="P8288" t="s">
        <v>29</v>
      </c>
      <c r="Q8288">
        <v>42</v>
      </c>
      <c r="R8288">
        <v>-87.629800000000003</v>
      </c>
    </row>
    <row r="8289" spans="1:18" x14ac:dyDescent="0.2">
      <c r="A8289" t="s">
        <v>2233</v>
      </c>
      <c r="B8289" t="s">
        <v>4672</v>
      </c>
      <c r="C8289">
        <v>1</v>
      </c>
      <c r="D8289" s="1">
        <v>44223.839166666665</v>
      </c>
      <c r="E8289" t="s">
        <v>25893</v>
      </c>
      <c r="F8289" t="s">
        <v>2236</v>
      </c>
      <c r="G8289" t="s">
        <v>25894</v>
      </c>
      <c r="H8289" t="s">
        <v>2237</v>
      </c>
      <c r="I8289" t="s">
        <v>29</v>
      </c>
      <c r="J8289">
        <v>1</v>
      </c>
      <c r="K8289">
        <f>1-888-288-7957</f>
        <v>-9132</v>
      </c>
      <c r="L8289" t="s">
        <v>25895</v>
      </c>
      <c r="M8289" t="s">
        <v>25896</v>
      </c>
      <c r="N8289" t="s">
        <v>5354</v>
      </c>
      <c r="O8289" t="s">
        <v>28</v>
      </c>
      <c r="P8289" t="s">
        <v>782</v>
      </c>
      <c r="Q8289">
        <v>-34</v>
      </c>
      <c r="R8289">
        <v>99.999999000000003</v>
      </c>
    </row>
    <row r="8290" spans="1:18" x14ac:dyDescent="0.2">
      <c r="A8290" t="s">
        <v>2349</v>
      </c>
      <c r="B8290" t="s">
        <v>6310</v>
      </c>
      <c r="C8290">
        <v>1</v>
      </c>
      <c r="D8290" s="1">
        <v>44222.771053240744</v>
      </c>
      <c r="E8290" t="s">
        <v>25897</v>
      </c>
      <c r="F8290" t="s">
        <v>2352</v>
      </c>
      <c r="G8290" t="s">
        <v>25898</v>
      </c>
      <c r="H8290" t="s">
        <v>2353</v>
      </c>
      <c r="I8290" t="s">
        <v>29</v>
      </c>
      <c r="J8290">
        <v>1</v>
      </c>
      <c r="K8290">
        <f>1-800-506-767</f>
        <v>-2072</v>
      </c>
      <c r="L8290" t="s">
        <v>25899</v>
      </c>
      <c r="M8290" t="s">
        <v>25900</v>
      </c>
      <c r="N8290" t="s">
        <v>3454</v>
      </c>
      <c r="O8290" t="s">
        <v>28</v>
      </c>
      <c r="P8290" t="s">
        <v>29</v>
      </c>
      <c r="Q8290">
        <v>34</v>
      </c>
      <c r="R8290">
        <v>-84.445499999999996</v>
      </c>
    </row>
    <row r="8291" spans="1:18" x14ac:dyDescent="0.2">
      <c r="A8291" t="s">
        <v>663</v>
      </c>
      <c r="B8291" t="s">
        <v>2493</v>
      </c>
      <c r="C8291">
        <v>1</v>
      </c>
      <c r="D8291" s="1">
        <v>44222.77171296296</v>
      </c>
      <c r="E8291" t="s">
        <v>25901</v>
      </c>
      <c r="F8291" t="s">
        <v>666</v>
      </c>
      <c r="G8291" t="s">
        <v>25901</v>
      </c>
      <c r="H8291" t="s">
        <v>667</v>
      </c>
      <c r="I8291" t="s">
        <v>29</v>
      </c>
      <c r="J8291">
        <v>1</v>
      </c>
      <c r="K8291">
        <f>1-888-598-1413</f>
        <v>-2898</v>
      </c>
      <c r="L8291" t="s">
        <v>25902</v>
      </c>
      <c r="M8291" t="s">
        <v>25903</v>
      </c>
      <c r="N8291">
        <v>94</v>
      </c>
      <c r="O8291" t="s">
        <v>134</v>
      </c>
      <c r="P8291" t="s">
        <v>29</v>
      </c>
      <c r="Q8291">
        <v>41</v>
      </c>
      <c r="R8291">
        <v>-74.024699999999996</v>
      </c>
    </row>
    <row r="8292" spans="1:18" x14ac:dyDescent="0.2">
      <c r="A8292" t="s">
        <v>663</v>
      </c>
      <c r="B8292" t="s">
        <v>2500</v>
      </c>
      <c r="C8292">
        <v>1</v>
      </c>
      <c r="D8292" s="1">
        <v>44223.84983796296</v>
      </c>
      <c r="E8292" t="s">
        <v>25904</v>
      </c>
      <c r="F8292" t="s">
        <v>666</v>
      </c>
      <c r="G8292" t="s">
        <v>25904</v>
      </c>
      <c r="H8292" t="s">
        <v>667</v>
      </c>
      <c r="I8292" t="s">
        <v>29</v>
      </c>
      <c r="J8292">
        <v>1</v>
      </c>
      <c r="K8292">
        <f>1-888-392-6065</f>
        <v>-7344</v>
      </c>
      <c r="L8292" t="s">
        <v>25905</v>
      </c>
      <c r="M8292" t="s">
        <v>25906</v>
      </c>
      <c r="N8292">
        <v>91</v>
      </c>
      <c r="O8292" t="s">
        <v>134</v>
      </c>
      <c r="P8292" t="s">
        <v>2500</v>
      </c>
      <c r="Q8292">
        <v>1</v>
      </c>
      <c r="R8292">
        <v>99.999999000000003</v>
      </c>
    </row>
    <row r="8293" spans="1:18" x14ac:dyDescent="0.2">
      <c r="A8293" t="s">
        <v>439</v>
      </c>
      <c r="B8293" t="s">
        <v>4321</v>
      </c>
      <c r="C8293">
        <v>1</v>
      </c>
      <c r="D8293" s="1">
        <v>44223.850416666668</v>
      </c>
      <c r="E8293" t="s">
        <v>25907</v>
      </c>
      <c r="F8293" t="s">
        <v>442</v>
      </c>
      <c r="G8293" t="s">
        <v>25908</v>
      </c>
      <c r="H8293" t="s">
        <v>444</v>
      </c>
      <c r="I8293" t="s">
        <v>29</v>
      </c>
      <c r="J8293">
        <v>1</v>
      </c>
      <c r="K8293">
        <f>1-844-276-4002</f>
        <v>-5121</v>
      </c>
      <c r="L8293" t="s">
        <v>25909</v>
      </c>
      <c r="M8293" t="s">
        <v>25910</v>
      </c>
      <c r="N8293" t="s">
        <v>3441</v>
      </c>
      <c r="O8293" t="s">
        <v>28</v>
      </c>
      <c r="P8293" t="s">
        <v>29</v>
      </c>
      <c r="Q8293">
        <v>42</v>
      </c>
      <c r="R8293">
        <v>-87.629800000000003</v>
      </c>
    </row>
    <row r="8294" spans="1:18" x14ac:dyDescent="0.2">
      <c r="A8294" t="s">
        <v>663</v>
      </c>
      <c r="B8294" t="s">
        <v>664</v>
      </c>
      <c r="C8294">
        <v>1</v>
      </c>
      <c r="D8294" s="1">
        <v>44224.015196759261</v>
      </c>
      <c r="E8294" t="s">
        <v>25911</v>
      </c>
      <c r="F8294" t="s">
        <v>666</v>
      </c>
      <c r="G8294" t="s">
        <v>25911</v>
      </c>
      <c r="H8294" t="s">
        <v>667</v>
      </c>
      <c r="I8294" t="s">
        <v>29</v>
      </c>
      <c r="J8294">
        <v>1</v>
      </c>
      <c r="K8294">
        <f>1-833-387-4392</f>
        <v>-5611</v>
      </c>
      <c r="L8294" t="s">
        <v>25912</v>
      </c>
      <c r="M8294" t="s">
        <v>25913</v>
      </c>
      <c r="N8294">
        <v>91</v>
      </c>
      <c r="O8294" t="s">
        <v>134</v>
      </c>
      <c r="P8294" t="s">
        <v>29</v>
      </c>
      <c r="Q8294">
        <v>37</v>
      </c>
      <c r="R8294">
        <v>-99.999999000000003</v>
      </c>
    </row>
    <row r="8295" spans="1:18" x14ac:dyDescent="0.2">
      <c r="A8295" t="s">
        <v>2233</v>
      </c>
      <c r="B8295" t="s">
        <v>440</v>
      </c>
      <c r="C8295">
        <v>1</v>
      </c>
      <c r="D8295" s="1">
        <v>44224.100173611114</v>
      </c>
      <c r="E8295" t="s">
        <v>25914</v>
      </c>
      <c r="F8295" t="s">
        <v>2236</v>
      </c>
      <c r="G8295" t="s">
        <v>25915</v>
      </c>
      <c r="H8295" t="s">
        <v>2237</v>
      </c>
      <c r="I8295" t="s">
        <v>29</v>
      </c>
      <c r="J8295">
        <v>1</v>
      </c>
      <c r="K8295">
        <f>1-833-985-2950</f>
        <v>-4767</v>
      </c>
      <c r="L8295" t="s">
        <v>25916</v>
      </c>
      <c r="M8295" t="s">
        <v>25917</v>
      </c>
      <c r="N8295" t="s">
        <v>5354</v>
      </c>
      <c r="O8295" t="s">
        <v>28</v>
      </c>
      <c r="P8295" t="s">
        <v>29</v>
      </c>
      <c r="Q8295">
        <v>39</v>
      </c>
      <c r="R8295">
        <v>-77.487399999999994</v>
      </c>
    </row>
    <row r="8296" spans="1:18" x14ac:dyDescent="0.2">
      <c r="A8296" t="s">
        <v>1650</v>
      </c>
      <c r="B8296" t="s">
        <v>1651</v>
      </c>
      <c r="C8296">
        <v>1</v>
      </c>
      <c r="D8296" s="1">
        <v>44223.906817129631</v>
      </c>
      <c r="E8296" t="s">
        <v>25918</v>
      </c>
      <c r="F8296" t="s">
        <v>1653</v>
      </c>
      <c r="G8296" t="s">
        <v>25919</v>
      </c>
      <c r="H8296" t="s">
        <v>1655</v>
      </c>
      <c r="I8296" t="s">
        <v>29</v>
      </c>
      <c r="J8296">
        <v>1</v>
      </c>
      <c r="K8296">
        <f>1-888-281-5295</f>
        <v>-6463</v>
      </c>
      <c r="L8296" t="s">
        <v>25920</v>
      </c>
      <c r="M8296" t="s">
        <v>25921</v>
      </c>
      <c r="N8296" t="s">
        <v>452</v>
      </c>
      <c r="O8296" t="s">
        <v>28</v>
      </c>
      <c r="P8296" t="s">
        <v>29</v>
      </c>
      <c r="Q8296">
        <v>47</v>
      </c>
      <c r="R8296">
        <v>-99.999999000000003</v>
      </c>
    </row>
    <row r="8297" spans="1:18" x14ac:dyDescent="0.2">
      <c r="A8297" t="s">
        <v>663</v>
      </c>
      <c r="B8297" t="s">
        <v>2493</v>
      </c>
      <c r="C8297">
        <v>1</v>
      </c>
      <c r="D8297" s="1">
        <v>44223.909421296295</v>
      </c>
      <c r="E8297" t="s">
        <v>25922</v>
      </c>
      <c r="F8297" t="s">
        <v>666</v>
      </c>
      <c r="G8297" t="s">
        <v>25922</v>
      </c>
      <c r="H8297" t="s">
        <v>667</v>
      </c>
      <c r="I8297" t="s">
        <v>29</v>
      </c>
      <c r="J8297">
        <v>1</v>
      </c>
      <c r="K8297">
        <f>1-888-532-2990</f>
        <v>-4409</v>
      </c>
      <c r="L8297" t="s">
        <v>25923</v>
      </c>
      <c r="M8297" t="s">
        <v>25924</v>
      </c>
      <c r="N8297">
        <v>45</v>
      </c>
      <c r="O8297" t="s">
        <v>134</v>
      </c>
      <c r="P8297" t="s">
        <v>29</v>
      </c>
      <c r="Q8297">
        <v>41</v>
      </c>
      <c r="R8297">
        <v>-74.024699999999996</v>
      </c>
    </row>
    <row r="8298" spans="1:18" x14ac:dyDescent="0.2">
      <c r="A8298" t="s">
        <v>663</v>
      </c>
      <c r="B8298" t="s">
        <v>2500</v>
      </c>
      <c r="C8298">
        <v>1</v>
      </c>
      <c r="D8298" s="1">
        <v>44225.685682870368</v>
      </c>
      <c r="E8298" t="s">
        <v>25925</v>
      </c>
      <c r="F8298" t="s">
        <v>666</v>
      </c>
      <c r="G8298" t="s">
        <v>25925</v>
      </c>
      <c r="H8298" t="s">
        <v>667</v>
      </c>
      <c r="I8298" t="s">
        <v>29</v>
      </c>
      <c r="J8298">
        <v>1</v>
      </c>
      <c r="K8298">
        <f>1-844-385-4403</f>
        <v>-5631</v>
      </c>
      <c r="L8298" t="s">
        <v>25926</v>
      </c>
      <c r="M8298" t="s">
        <v>25927</v>
      </c>
      <c r="N8298">
        <v>103</v>
      </c>
      <c r="O8298" t="s">
        <v>134</v>
      </c>
      <c r="P8298" t="s">
        <v>2500</v>
      </c>
      <c r="Q8298">
        <v>1</v>
      </c>
      <c r="R8298">
        <v>99.999999000000003</v>
      </c>
    </row>
    <row r="8299" spans="1:18" x14ac:dyDescent="0.2">
      <c r="A8299" t="s">
        <v>663</v>
      </c>
      <c r="B8299" t="s">
        <v>2500</v>
      </c>
      <c r="C8299">
        <v>1</v>
      </c>
      <c r="D8299" s="1">
        <v>44225.70385416667</v>
      </c>
      <c r="E8299" t="s">
        <v>25925</v>
      </c>
      <c r="F8299" t="s">
        <v>666</v>
      </c>
      <c r="G8299" t="s">
        <v>25925</v>
      </c>
      <c r="H8299" t="s">
        <v>667</v>
      </c>
      <c r="I8299" t="s">
        <v>29</v>
      </c>
      <c r="J8299">
        <v>1</v>
      </c>
      <c r="K8299">
        <f>1-844-385-4416</f>
        <v>-5644</v>
      </c>
      <c r="L8299" t="s">
        <v>25928</v>
      </c>
      <c r="M8299" t="s">
        <v>25929</v>
      </c>
      <c r="N8299">
        <v>103</v>
      </c>
      <c r="O8299" t="s">
        <v>134</v>
      </c>
      <c r="P8299" t="s">
        <v>2500</v>
      </c>
      <c r="Q8299">
        <v>1</v>
      </c>
      <c r="R8299">
        <v>99.999999000000003</v>
      </c>
    </row>
    <row r="8300" spans="1:18" x14ac:dyDescent="0.2">
      <c r="A8300" t="s">
        <v>663</v>
      </c>
      <c r="B8300" t="s">
        <v>2263</v>
      </c>
      <c r="C8300">
        <v>1</v>
      </c>
      <c r="D8300" s="1">
        <v>44224.867083333331</v>
      </c>
      <c r="E8300" t="s">
        <v>25930</v>
      </c>
      <c r="F8300" t="s">
        <v>666</v>
      </c>
      <c r="G8300" t="s">
        <v>25930</v>
      </c>
      <c r="H8300" t="s">
        <v>667</v>
      </c>
      <c r="I8300" t="s">
        <v>29</v>
      </c>
      <c r="J8300">
        <v>1</v>
      </c>
      <c r="K8300">
        <f>1-888-690-749</f>
        <v>-2326</v>
      </c>
      <c r="L8300" t="s">
        <v>25931</v>
      </c>
      <c r="M8300" t="s">
        <v>25932</v>
      </c>
      <c r="N8300">
        <v>26</v>
      </c>
      <c r="O8300" t="s">
        <v>134</v>
      </c>
      <c r="P8300" t="s">
        <v>2268</v>
      </c>
      <c r="Q8300">
        <v>44</v>
      </c>
      <c r="R8300">
        <v>-79.362300000000005</v>
      </c>
    </row>
    <row r="8301" spans="1:18" x14ac:dyDescent="0.2">
      <c r="A8301" t="s">
        <v>439</v>
      </c>
      <c r="B8301" t="s">
        <v>4321</v>
      </c>
      <c r="C8301">
        <v>1</v>
      </c>
      <c r="D8301" s="1">
        <v>44225.236168981479</v>
      </c>
      <c r="E8301" t="s">
        <v>25933</v>
      </c>
      <c r="F8301" t="s">
        <v>442</v>
      </c>
      <c r="G8301" t="s">
        <v>25934</v>
      </c>
      <c r="H8301" t="s">
        <v>444</v>
      </c>
      <c r="I8301" t="s">
        <v>29</v>
      </c>
      <c r="J8301">
        <v>1</v>
      </c>
      <c r="K8301">
        <f>1-888-589-7650</f>
        <v>-9126</v>
      </c>
      <c r="L8301" t="s">
        <v>25935</v>
      </c>
      <c r="M8301" t="s">
        <v>25936</v>
      </c>
      <c r="N8301" t="s">
        <v>447</v>
      </c>
      <c r="O8301" t="s">
        <v>28</v>
      </c>
      <c r="P8301" t="s">
        <v>29</v>
      </c>
      <c r="Q8301">
        <v>42</v>
      </c>
      <c r="R8301">
        <v>-87.629800000000003</v>
      </c>
    </row>
    <row r="8302" spans="1:18" x14ac:dyDescent="0.2">
      <c r="A8302" t="s">
        <v>663</v>
      </c>
      <c r="B8302" t="s">
        <v>2493</v>
      </c>
      <c r="C8302">
        <v>1</v>
      </c>
      <c r="D8302" s="1">
        <v>44224.922060185185</v>
      </c>
      <c r="E8302" t="s">
        <v>25937</v>
      </c>
      <c r="F8302" t="s">
        <v>666</v>
      </c>
      <c r="G8302" t="s">
        <v>25937</v>
      </c>
      <c r="H8302" t="s">
        <v>667</v>
      </c>
      <c r="I8302" t="s">
        <v>29</v>
      </c>
      <c r="J8302">
        <v>1</v>
      </c>
      <c r="K8302">
        <f>1-888-577-1851</f>
        <v>-3315</v>
      </c>
      <c r="L8302" t="s">
        <v>25938</v>
      </c>
      <c r="M8302" t="s">
        <v>25939</v>
      </c>
      <c r="N8302">
        <v>9</v>
      </c>
      <c r="O8302" t="s">
        <v>134</v>
      </c>
      <c r="P8302" t="s">
        <v>29</v>
      </c>
      <c r="Q8302">
        <v>41</v>
      </c>
      <c r="R8302">
        <v>-74.024699999999996</v>
      </c>
    </row>
    <row r="8303" spans="1:18" x14ac:dyDescent="0.2">
      <c r="A8303" t="s">
        <v>663</v>
      </c>
      <c r="B8303" t="s">
        <v>2493</v>
      </c>
      <c r="C8303">
        <v>1</v>
      </c>
      <c r="D8303" s="1">
        <v>44224.920983796299</v>
      </c>
      <c r="E8303" t="s">
        <v>25937</v>
      </c>
      <c r="F8303" t="s">
        <v>666</v>
      </c>
      <c r="G8303" t="s">
        <v>25937</v>
      </c>
      <c r="H8303" t="s">
        <v>667</v>
      </c>
      <c r="I8303" t="s">
        <v>29</v>
      </c>
      <c r="J8303">
        <v>1</v>
      </c>
      <c r="K8303">
        <f>1-888-605-1454</f>
        <v>-2946</v>
      </c>
      <c r="L8303" t="s">
        <v>25940</v>
      </c>
      <c r="M8303" t="s">
        <v>25941</v>
      </c>
      <c r="N8303">
        <v>9</v>
      </c>
      <c r="O8303" t="s">
        <v>134</v>
      </c>
      <c r="P8303" t="s">
        <v>29</v>
      </c>
      <c r="Q8303">
        <v>41</v>
      </c>
      <c r="R8303">
        <v>-74.024699999999996</v>
      </c>
    </row>
    <row r="8304" spans="1:18" x14ac:dyDescent="0.2">
      <c r="A8304" t="s">
        <v>663</v>
      </c>
      <c r="B8304" t="s">
        <v>2493</v>
      </c>
      <c r="C8304">
        <v>1</v>
      </c>
      <c r="D8304" s="1">
        <v>44224.924826388888</v>
      </c>
      <c r="E8304" t="s">
        <v>25942</v>
      </c>
      <c r="F8304" t="s">
        <v>666</v>
      </c>
      <c r="G8304" t="s">
        <v>25942</v>
      </c>
      <c r="H8304" t="s">
        <v>667</v>
      </c>
      <c r="I8304" t="s">
        <v>29</v>
      </c>
      <c r="J8304">
        <v>1</v>
      </c>
      <c r="K8304">
        <f>1-888-613-5315</f>
        <v>-6815</v>
      </c>
      <c r="L8304" t="s">
        <v>25943</v>
      </c>
      <c r="M8304" t="s">
        <v>25944</v>
      </c>
      <c r="N8304">
        <v>254</v>
      </c>
      <c r="O8304" t="s">
        <v>134</v>
      </c>
      <c r="P8304" t="s">
        <v>29</v>
      </c>
      <c r="Q8304">
        <v>41</v>
      </c>
      <c r="R8304">
        <v>-74.024699999999996</v>
      </c>
    </row>
    <row r="8305" spans="1:18" x14ac:dyDescent="0.2">
      <c r="A8305" t="s">
        <v>663</v>
      </c>
      <c r="B8305" t="s">
        <v>2493</v>
      </c>
      <c r="C8305">
        <v>1</v>
      </c>
      <c r="D8305" s="1">
        <v>44224.924756944441</v>
      </c>
      <c r="E8305" t="s">
        <v>25942</v>
      </c>
      <c r="F8305" t="s">
        <v>666</v>
      </c>
      <c r="G8305" t="s">
        <v>25942</v>
      </c>
      <c r="H8305" t="s">
        <v>667</v>
      </c>
      <c r="I8305" t="s">
        <v>29</v>
      </c>
      <c r="J8305">
        <v>1</v>
      </c>
      <c r="K8305">
        <f>1-888-616-5036</f>
        <v>-6539</v>
      </c>
      <c r="L8305" t="s">
        <v>25945</v>
      </c>
      <c r="M8305" t="s">
        <v>25946</v>
      </c>
      <c r="N8305">
        <v>254</v>
      </c>
      <c r="O8305" t="s">
        <v>134</v>
      </c>
      <c r="P8305" t="s">
        <v>29</v>
      </c>
      <c r="Q8305">
        <v>41</v>
      </c>
      <c r="R8305">
        <v>-74.024699999999996</v>
      </c>
    </row>
    <row r="8306" spans="1:18" x14ac:dyDescent="0.2">
      <c r="A8306" t="s">
        <v>663</v>
      </c>
      <c r="B8306" t="s">
        <v>2493</v>
      </c>
      <c r="C8306">
        <v>1</v>
      </c>
      <c r="D8306" s="1">
        <v>44224.924675925926</v>
      </c>
      <c r="E8306" t="s">
        <v>25942</v>
      </c>
      <c r="F8306" t="s">
        <v>666</v>
      </c>
      <c r="G8306" t="s">
        <v>25942</v>
      </c>
      <c r="H8306" t="s">
        <v>667</v>
      </c>
      <c r="I8306" t="s">
        <v>29</v>
      </c>
      <c r="J8306">
        <v>1</v>
      </c>
      <c r="K8306">
        <f>1-888-616-3485</f>
        <v>-4988</v>
      </c>
      <c r="L8306" t="s">
        <v>25947</v>
      </c>
      <c r="M8306" t="s">
        <v>25948</v>
      </c>
      <c r="N8306">
        <v>254</v>
      </c>
      <c r="O8306" t="s">
        <v>134</v>
      </c>
      <c r="P8306" t="s">
        <v>29</v>
      </c>
      <c r="Q8306">
        <v>41</v>
      </c>
      <c r="R8306">
        <v>-74.024699999999996</v>
      </c>
    </row>
    <row r="8307" spans="1:18" x14ac:dyDescent="0.2">
      <c r="A8307" t="s">
        <v>663</v>
      </c>
      <c r="B8307" t="s">
        <v>2493</v>
      </c>
      <c r="C8307">
        <v>1</v>
      </c>
      <c r="D8307" s="1">
        <v>44225.766886574071</v>
      </c>
      <c r="E8307" t="s">
        <v>25949</v>
      </c>
      <c r="F8307" t="s">
        <v>666</v>
      </c>
      <c r="G8307" t="s">
        <v>25949</v>
      </c>
      <c r="H8307" t="s">
        <v>667</v>
      </c>
      <c r="I8307" t="s">
        <v>29</v>
      </c>
      <c r="J8307">
        <v>1</v>
      </c>
      <c r="K8307">
        <f>1-888-585-3732</f>
        <v>-5204</v>
      </c>
      <c r="L8307" t="s">
        <v>25950</v>
      </c>
      <c r="M8307" t="s">
        <v>25951</v>
      </c>
      <c r="N8307">
        <v>19</v>
      </c>
      <c r="O8307" t="s">
        <v>134</v>
      </c>
      <c r="P8307" t="s">
        <v>29</v>
      </c>
      <c r="Q8307">
        <v>41</v>
      </c>
      <c r="R8307">
        <v>-74.024699999999996</v>
      </c>
    </row>
    <row r="8308" spans="1:18" x14ac:dyDescent="0.2">
      <c r="A8308" t="s">
        <v>663</v>
      </c>
      <c r="B8308" t="s">
        <v>2493</v>
      </c>
      <c r="C8308">
        <v>1</v>
      </c>
      <c r="D8308" s="1">
        <v>44225.776678240742</v>
      </c>
      <c r="E8308" t="s">
        <v>25952</v>
      </c>
      <c r="F8308" t="s">
        <v>666</v>
      </c>
      <c r="G8308" t="s">
        <v>25952</v>
      </c>
      <c r="H8308" t="s">
        <v>667</v>
      </c>
      <c r="I8308" t="s">
        <v>29</v>
      </c>
      <c r="J8308">
        <v>1</v>
      </c>
      <c r="K8308">
        <f>1-888-616-4936</f>
        <v>-6439</v>
      </c>
      <c r="L8308" t="s">
        <v>25953</v>
      </c>
      <c r="M8308" t="s">
        <v>25954</v>
      </c>
      <c r="N8308">
        <v>28</v>
      </c>
      <c r="O8308" t="s">
        <v>134</v>
      </c>
      <c r="P8308" t="s">
        <v>29</v>
      </c>
      <c r="Q8308">
        <v>41</v>
      </c>
      <c r="R8308">
        <v>-74.024699999999996</v>
      </c>
    </row>
    <row r="8309" spans="1:18" x14ac:dyDescent="0.2">
      <c r="A8309" t="s">
        <v>663</v>
      </c>
      <c r="B8309" t="s">
        <v>2493</v>
      </c>
      <c r="C8309">
        <v>1</v>
      </c>
      <c r="D8309" s="1">
        <v>44225.789189814815</v>
      </c>
      <c r="E8309" t="s">
        <v>25955</v>
      </c>
      <c r="F8309" t="s">
        <v>666</v>
      </c>
      <c r="G8309" t="s">
        <v>25955</v>
      </c>
      <c r="H8309" t="s">
        <v>667</v>
      </c>
      <c r="I8309" t="s">
        <v>29</v>
      </c>
      <c r="J8309">
        <v>1</v>
      </c>
      <c r="K8309">
        <f>1-888-610-3214</f>
        <v>-4711</v>
      </c>
      <c r="L8309" t="s">
        <v>25956</v>
      </c>
      <c r="M8309" t="s">
        <v>25957</v>
      </c>
      <c r="N8309">
        <v>38</v>
      </c>
      <c r="O8309" t="s">
        <v>134</v>
      </c>
      <c r="P8309" t="s">
        <v>29</v>
      </c>
      <c r="Q8309">
        <v>41</v>
      </c>
      <c r="R8309">
        <v>-74.024699999999996</v>
      </c>
    </row>
    <row r="8310" spans="1:18" x14ac:dyDescent="0.2">
      <c r="A8310" t="s">
        <v>439</v>
      </c>
      <c r="B8310" t="s">
        <v>4321</v>
      </c>
      <c r="C8310">
        <v>1</v>
      </c>
      <c r="D8310" s="1">
        <v>44225.79378472222</v>
      </c>
      <c r="E8310" t="s">
        <v>25958</v>
      </c>
      <c r="F8310" t="s">
        <v>442</v>
      </c>
      <c r="G8310" t="s">
        <v>25959</v>
      </c>
      <c r="H8310" t="s">
        <v>444</v>
      </c>
      <c r="I8310" t="s">
        <v>29</v>
      </c>
      <c r="J8310">
        <v>1</v>
      </c>
      <c r="K8310">
        <f>1-844-309-2136</f>
        <v>-3288</v>
      </c>
      <c r="L8310" t="s">
        <v>25960</v>
      </c>
      <c r="M8310" t="s">
        <v>25961</v>
      </c>
      <c r="N8310" t="s">
        <v>3441</v>
      </c>
      <c r="O8310" t="s">
        <v>28</v>
      </c>
      <c r="P8310" t="s">
        <v>29</v>
      </c>
      <c r="Q8310">
        <v>42</v>
      </c>
      <c r="R8310">
        <v>-87.629800000000003</v>
      </c>
    </row>
    <row r="8311" spans="1:18" x14ac:dyDescent="0.2">
      <c r="A8311" t="s">
        <v>439</v>
      </c>
      <c r="B8311" t="s">
        <v>4321</v>
      </c>
      <c r="C8311">
        <v>1</v>
      </c>
      <c r="D8311" s="1">
        <v>44225.794259259259</v>
      </c>
      <c r="E8311" t="s">
        <v>25962</v>
      </c>
      <c r="F8311" t="s">
        <v>442</v>
      </c>
      <c r="G8311" t="s">
        <v>25963</v>
      </c>
      <c r="H8311" t="s">
        <v>444</v>
      </c>
      <c r="I8311" t="s">
        <v>29</v>
      </c>
      <c r="J8311">
        <v>1</v>
      </c>
      <c r="K8311">
        <f>1-888-291-6190</f>
        <v>-7368</v>
      </c>
      <c r="L8311" t="s">
        <v>25964</v>
      </c>
      <c r="M8311" t="s">
        <v>25965</v>
      </c>
      <c r="N8311" t="s">
        <v>36</v>
      </c>
      <c r="O8311" t="s">
        <v>28</v>
      </c>
      <c r="P8311" t="s">
        <v>29</v>
      </c>
      <c r="Q8311">
        <v>42</v>
      </c>
      <c r="R8311">
        <v>-87.629800000000003</v>
      </c>
    </row>
    <row r="8312" spans="1:18" x14ac:dyDescent="0.2">
      <c r="A8312" t="s">
        <v>2863</v>
      </c>
      <c r="B8312" t="s">
        <v>25966</v>
      </c>
      <c r="C8312">
        <v>1</v>
      </c>
      <c r="D8312" s="1">
        <v>44251.719664351855</v>
      </c>
      <c r="E8312" t="s">
        <v>25967</v>
      </c>
      <c r="F8312" t="s">
        <v>2866</v>
      </c>
      <c r="G8312" t="s">
        <v>25968</v>
      </c>
      <c r="H8312" t="s">
        <v>2868</v>
      </c>
      <c r="I8312" t="s">
        <v>29</v>
      </c>
      <c r="J8312">
        <v>1</v>
      </c>
      <c r="K8312">
        <f>1-865-395-6838</f>
        <v>-8097</v>
      </c>
      <c r="L8312" t="s">
        <v>25969</v>
      </c>
      <c r="M8312" t="s">
        <v>25970</v>
      </c>
      <c r="N8312" t="s">
        <v>447</v>
      </c>
      <c r="O8312" t="s">
        <v>134</v>
      </c>
      <c r="P8312" t="s">
        <v>618</v>
      </c>
      <c r="Q8312">
        <v>55</v>
      </c>
      <c r="R8312">
        <v>-1.5553999999999999</v>
      </c>
    </row>
    <row r="8313" spans="1:18" x14ac:dyDescent="0.2">
      <c r="A8313" t="s">
        <v>2863</v>
      </c>
      <c r="B8313" t="s">
        <v>25966</v>
      </c>
      <c r="C8313">
        <v>1</v>
      </c>
      <c r="D8313" s="1">
        <v>44250.787916666668</v>
      </c>
      <c r="E8313" t="s">
        <v>25971</v>
      </c>
      <c r="F8313" t="s">
        <v>2866</v>
      </c>
      <c r="G8313" t="s">
        <v>25968</v>
      </c>
      <c r="H8313" t="s">
        <v>2868</v>
      </c>
      <c r="I8313" t="s">
        <v>29</v>
      </c>
      <c r="J8313">
        <v>1</v>
      </c>
      <c r="K8313">
        <f>1-865-395-6838</f>
        <v>-8097</v>
      </c>
      <c r="L8313" t="s">
        <v>25972</v>
      </c>
      <c r="M8313" t="s">
        <v>25973</v>
      </c>
      <c r="N8313" t="s">
        <v>213</v>
      </c>
      <c r="O8313" t="s">
        <v>134</v>
      </c>
      <c r="P8313" t="s">
        <v>618</v>
      </c>
      <c r="Q8313">
        <v>55</v>
      </c>
      <c r="R8313">
        <v>-1.5553999999999999</v>
      </c>
    </row>
    <row r="8314" spans="1:18" x14ac:dyDescent="0.2">
      <c r="A8314" t="s">
        <v>2863</v>
      </c>
      <c r="B8314" t="s">
        <v>25966</v>
      </c>
      <c r="C8314">
        <v>1</v>
      </c>
      <c r="D8314" s="1">
        <v>44244.717858796299</v>
      </c>
      <c r="E8314" t="s">
        <v>25974</v>
      </c>
      <c r="F8314" t="s">
        <v>2866</v>
      </c>
      <c r="G8314" t="s">
        <v>25968</v>
      </c>
      <c r="H8314" t="s">
        <v>2868</v>
      </c>
      <c r="I8314" t="s">
        <v>29</v>
      </c>
      <c r="J8314">
        <v>1</v>
      </c>
      <c r="K8314">
        <f>1-865-888-8139</f>
        <v>-9891</v>
      </c>
      <c r="L8314" t="s">
        <v>25975</v>
      </c>
      <c r="M8314" t="s">
        <v>25976</v>
      </c>
      <c r="N8314" t="s">
        <v>674</v>
      </c>
      <c r="O8314" t="s">
        <v>134</v>
      </c>
      <c r="P8314" t="s">
        <v>618</v>
      </c>
      <c r="Q8314">
        <v>55</v>
      </c>
      <c r="R8314">
        <v>-1.5553999999999999</v>
      </c>
    </row>
    <row r="8315" spans="1:18" x14ac:dyDescent="0.2">
      <c r="A8315" t="s">
        <v>2863</v>
      </c>
      <c r="B8315" t="s">
        <v>25966</v>
      </c>
      <c r="C8315">
        <v>1</v>
      </c>
      <c r="D8315" s="1">
        <v>44239.828912037039</v>
      </c>
      <c r="E8315" t="s">
        <v>25977</v>
      </c>
      <c r="F8315" t="s">
        <v>2866</v>
      </c>
      <c r="G8315" t="s">
        <v>25968</v>
      </c>
      <c r="H8315" t="s">
        <v>2868</v>
      </c>
      <c r="I8315" t="s">
        <v>29</v>
      </c>
      <c r="J8315">
        <v>1</v>
      </c>
      <c r="K8315">
        <f>1-844-271-9171</f>
        <v>-10285</v>
      </c>
      <c r="L8315" t="s">
        <v>25978</v>
      </c>
      <c r="M8315" t="s">
        <v>25979</v>
      </c>
      <c r="N8315" t="s">
        <v>3454</v>
      </c>
      <c r="O8315" t="s">
        <v>134</v>
      </c>
      <c r="P8315" t="s">
        <v>618</v>
      </c>
      <c r="Q8315">
        <v>55</v>
      </c>
      <c r="R8315">
        <v>-1.5553999999999999</v>
      </c>
    </row>
    <row r="8316" spans="1:18" x14ac:dyDescent="0.2">
      <c r="A8316" t="s">
        <v>2863</v>
      </c>
      <c r="B8316" t="s">
        <v>25966</v>
      </c>
      <c r="C8316">
        <v>1</v>
      </c>
      <c r="D8316" s="1">
        <v>44238.717326388891</v>
      </c>
      <c r="E8316" t="s">
        <v>25980</v>
      </c>
      <c r="F8316" t="s">
        <v>2866</v>
      </c>
      <c r="G8316" t="s">
        <v>25968</v>
      </c>
      <c r="H8316" t="s">
        <v>2868</v>
      </c>
      <c r="I8316" t="s">
        <v>29</v>
      </c>
      <c r="J8316">
        <v>1</v>
      </c>
      <c r="K8316">
        <f>1-865-888-8139</f>
        <v>-9891</v>
      </c>
      <c r="L8316" t="s">
        <v>25981</v>
      </c>
      <c r="M8316" t="s">
        <v>25982</v>
      </c>
      <c r="N8316" t="s">
        <v>674</v>
      </c>
      <c r="O8316" t="s">
        <v>134</v>
      </c>
      <c r="P8316" t="s">
        <v>618</v>
      </c>
      <c r="Q8316">
        <v>55</v>
      </c>
      <c r="R8316">
        <v>-1.5553999999999999</v>
      </c>
    </row>
    <row r="8317" spans="1:18" x14ac:dyDescent="0.2">
      <c r="A8317" t="s">
        <v>2863</v>
      </c>
      <c r="B8317" t="s">
        <v>25983</v>
      </c>
      <c r="C8317">
        <v>1</v>
      </c>
      <c r="D8317" s="1">
        <v>44236.759745370371</v>
      </c>
      <c r="E8317" t="s">
        <v>25984</v>
      </c>
      <c r="F8317" t="s">
        <v>2866</v>
      </c>
      <c r="G8317" t="s">
        <v>25968</v>
      </c>
      <c r="H8317" t="s">
        <v>2868</v>
      </c>
      <c r="I8317" t="s">
        <v>29</v>
      </c>
      <c r="J8317">
        <v>1</v>
      </c>
      <c r="K8317">
        <f t="shared" ref="K8317:K8324" si="65">1-844-271-9171</f>
        <v>-10285</v>
      </c>
      <c r="L8317" t="s">
        <v>25985</v>
      </c>
      <c r="M8317" t="s">
        <v>25986</v>
      </c>
      <c r="N8317" t="s">
        <v>3441</v>
      </c>
      <c r="O8317" t="s">
        <v>134</v>
      </c>
      <c r="P8317" t="s">
        <v>618</v>
      </c>
      <c r="Q8317">
        <v>55</v>
      </c>
      <c r="R8317">
        <v>-1.5871</v>
      </c>
    </row>
    <row r="8318" spans="1:18" x14ac:dyDescent="0.2">
      <c r="A8318" t="s">
        <v>2863</v>
      </c>
      <c r="B8318" t="s">
        <v>25983</v>
      </c>
      <c r="C8318">
        <v>1</v>
      </c>
      <c r="D8318" s="1">
        <v>44233.757615740738</v>
      </c>
      <c r="E8318" t="s">
        <v>25987</v>
      </c>
      <c r="F8318" t="s">
        <v>2866</v>
      </c>
      <c r="G8318" t="s">
        <v>25968</v>
      </c>
      <c r="H8318" t="s">
        <v>2868</v>
      </c>
      <c r="I8318" t="s">
        <v>29</v>
      </c>
      <c r="J8318">
        <v>1</v>
      </c>
      <c r="K8318">
        <f t="shared" si="65"/>
        <v>-10285</v>
      </c>
      <c r="L8318" t="s">
        <v>25988</v>
      </c>
      <c r="M8318" t="s">
        <v>25989</v>
      </c>
      <c r="N8318" t="s">
        <v>674</v>
      </c>
      <c r="O8318" t="s">
        <v>134</v>
      </c>
      <c r="P8318" t="s">
        <v>618</v>
      </c>
      <c r="Q8318">
        <v>55</v>
      </c>
      <c r="R8318">
        <v>-1.5871</v>
      </c>
    </row>
    <row r="8319" spans="1:18" x14ac:dyDescent="0.2">
      <c r="A8319" t="s">
        <v>2863</v>
      </c>
      <c r="B8319" t="s">
        <v>25983</v>
      </c>
      <c r="C8319">
        <v>1</v>
      </c>
      <c r="D8319" s="1">
        <v>44231.923611111109</v>
      </c>
      <c r="E8319" t="s">
        <v>25990</v>
      </c>
      <c r="F8319" t="s">
        <v>2866</v>
      </c>
      <c r="G8319" t="s">
        <v>25968</v>
      </c>
      <c r="H8319" t="s">
        <v>2868</v>
      </c>
      <c r="I8319" t="s">
        <v>29</v>
      </c>
      <c r="J8319">
        <v>1</v>
      </c>
      <c r="K8319">
        <f t="shared" si="65"/>
        <v>-10285</v>
      </c>
      <c r="L8319" t="s">
        <v>25991</v>
      </c>
      <c r="M8319" t="s">
        <v>25992</v>
      </c>
      <c r="N8319" t="s">
        <v>213</v>
      </c>
      <c r="O8319" t="s">
        <v>28</v>
      </c>
      <c r="P8319" t="s">
        <v>618</v>
      </c>
      <c r="Q8319">
        <v>55</v>
      </c>
      <c r="R8319">
        <v>-1.5871</v>
      </c>
    </row>
    <row r="8320" spans="1:18" x14ac:dyDescent="0.2">
      <c r="A8320" t="s">
        <v>2863</v>
      </c>
      <c r="B8320" t="s">
        <v>25983</v>
      </c>
      <c r="C8320">
        <v>1</v>
      </c>
      <c r="D8320" s="1">
        <v>44231.71297453704</v>
      </c>
      <c r="E8320" t="s">
        <v>25993</v>
      </c>
      <c r="F8320" t="s">
        <v>2866</v>
      </c>
      <c r="G8320" t="s">
        <v>25968</v>
      </c>
      <c r="H8320" t="s">
        <v>2868</v>
      </c>
      <c r="I8320" t="s">
        <v>29</v>
      </c>
      <c r="J8320">
        <v>1</v>
      </c>
      <c r="K8320">
        <f t="shared" si="65"/>
        <v>-10285</v>
      </c>
      <c r="L8320" t="s">
        <v>25994</v>
      </c>
      <c r="M8320" t="s">
        <v>25995</v>
      </c>
      <c r="N8320" t="s">
        <v>3454</v>
      </c>
      <c r="O8320" t="s">
        <v>134</v>
      </c>
      <c r="P8320" t="s">
        <v>618</v>
      </c>
      <c r="Q8320">
        <v>55</v>
      </c>
      <c r="R8320">
        <v>-1.5871</v>
      </c>
    </row>
    <row r="8321" spans="1:18" x14ac:dyDescent="0.2">
      <c r="A8321" t="s">
        <v>2863</v>
      </c>
      <c r="B8321" t="s">
        <v>25983</v>
      </c>
      <c r="C8321">
        <v>1</v>
      </c>
      <c r="D8321" s="1">
        <v>44229.820613425924</v>
      </c>
      <c r="E8321" t="s">
        <v>25996</v>
      </c>
      <c r="F8321" t="s">
        <v>2866</v>
      </c>
      <c r="G8321" t="s">
        <v>25968</v>
      </c>
      <c r="H8321" t="s">
        <v>2868</v>
      </c>
      <c r="I8321" t="s">
        <v>29</v>
      </c>
      <c r="J8321">
        <v>1</v>
      </c>
      <c r="K8321">
        <f t="shared" si="65"/>
        <v>-10285</v>
      </c>
      <c r="L8321" t="s">
        <v>25997</v>
      </c>
      <c r="M8321" t="s">
        <v>25998</v>
      </c>
      <c r="N8321" t="s">
        <v>1645</v>
      </c>
      <c r="O8321" t="s">
        <v>134</v>
      </c>
      <c r="P8321" t="s">
        <v>618</v>
      </c>
      <c r="Q8321">
        <v>55</v>
      </c>
      <c r="R8321">
        <v>-1.5871</v>
      </c>
    </row>
    <row r="8322" spans="1:18" x14ac:dyDescent="0.2">
      <c r="A8322" t="s">
        <v>2863</v>
      </c>
      <c r="B8322" t="s">
        <v>25983</v>
      </c>
      <c r="C8322">
        <v>1</v>
      </c>
      <c r="D8322" s="1">
        <v>44229.779131944444</v>
      </c>
      <c r="E8322" t="s">
        <v>25999</v>
      </c>
      <c r="F8322" t="s">
        <v>2866</v>
      </c>
      <c r="G8322" t="s">
        <v>25968</v>
      </c>
      <c r="H8322" t="s">
        <v>2868</v>
      </c>
      <c r="I8322" t="s">
        <v>29</v>
      </c>
      <c r="J8322">
        <v>1</v>
      </c>
      <c r="K8322">
        <f t="shared" si="65"/>
        <v>-10285</v>
      </c>
      <c r="L8322" t="s">
        <v>26000</v>
      </c>
      <c r="M8322" t="s">
        <v>26001</v>
      </c>
      <c r="N8322" t="s">
        <v>447</v>
      </c>
      <c r="O8322" t="s">
        <v>134</v>
      </c>
      <c r="P8322" t="s">
        <v>618</v>
      </c>
      <c r="Q8322">
        <v>55</v>
      </c>
      <c r="R8322">
        <v>-1.5871</v>
      </c>
    </row>
    <row r="8323" spans="1:18" x14ac:dyDescent="0.2">
      <c r="A8323" t="s">
        <v>2863</v>
      </c>
      <c r="B8323" t="s">
        <v>25983</v>
      </c>
      <c r="C8323">
        <v>1</v>
      </c>
      <c r="D8323" s="1">
        <v>44229.736597222225</v>
      </c>
      <c r="E8323" t="s">
        <v>26002</v>
      </c>
      <c r="F8323" t="s">
        <v>2866</v>
      </c>
      <c r="G8323" t="s">
        <v>25968</v>
      </c>
      <c r="H8323" t="s">
        <v>2868</v>
      </c>
      <c r="I8323" t="s">
        <v>29</v>
      </c>
      <c r="J8323">
        <v>1</v>
      </c>
      <c r="K8323">
        <f t="shared" si="65"/>
        <v>-10285</v>
      </c>
      <c r="L8323" t="s">
        <v>26003</v>
      </c>
      <c r="M8323" t="s">
        <v>26004</v>
      </c>
      <c r="N8323" t="s">
        <v>3454</v>
      </c>
      <c r="O8323" t="s">
        <v>134</v>
      </c>
      <c r="P8323" t="s">
        <v>618</v>
      </c>
      <c r="Q8323">
        <v>55</v>
      </c>
      <c r="R8323">
        <v>-1.5871</v>
      </c>
    </row>
    <row r="8324" spans="1:18" x14ac:dyDescent="0.2">
      <c r="A8324" t="s">
        <v>2863</v>
      </c>
      <c r="B8324" t="s">
        <v>25983</v>
      </c>
      <c r="C8324">
        <v>1</v>
      </c>
      <c r="D8324" s="1">
        <v>44228.825254629628</v>
      </c>
      <c r="E8324" t="s">
        <v>26005</v>
      </c>
      <c r="F8324" t="s">
        <v>2866</v>
      </c>
      <c r="G8324" t="s">
        <v>25968</v>
      </c>
      <c r="H8324" t="s">
        <v>2868</v>
      </c>
      <c r="I8324" t="s">
        <v>29</v>
      </c>
      <c r="J8324">
        <v>1</v>
      </c>
      <c r="K8324">
        <f t="shared" si="65"/>
        <v>-10285</v>
      </c>
      <c r="L8324" t="s">
        <v>26006</v>
      </c>
      <c r="M8324" t="s">
        <v>26007</v>
      </c>
      <c r="N8324" t="s">
        <v>213</v>
      </c>
      <c r="O8324" t="s">
        <v>134</v>
      </c>
      <c r="P8324" t="s">
        <v>618</v>
      </c>
      <c r="Q8324">
        <v>55</v>
      </c>
      <c r="R8324">
        <v>-1.5871</v>
      </c>
    </row>
    <row r="8325" spans="1:18" x14ac:dyDescent="0.2">
      <c r="A8325" t="s">
        <v>2863</v>
      </c>
      <c r="B8325" t="s">
        <v>25983</v>
      </c>
      <c r="C8325">
        <v>1</v>
      </c>
      <c r="D8325" s="1">
        <v>44226.733171296299</v>
      </c>
      <c r="E8325" t="s">
        <v>26008</v>
      </c>
      <c r="F8325" t="s">
        <v>2866</v>
      </c>
      <c r="G8325" t="s">
        <v>25968</v>
      </c>
      <c r="H8325" t="s">
        <v>2868</v>
      </c>
      <c r="I8325" t="s">
        <v>29</v>
      </c>
      <c r="J8325">
        <v>1</v>
      </c>
      <c r="K8325">
        <f>1-865-888-8139</f>
        <v>-9891</v>
      </c>
      <c r="L8325" t="s">
        <v>26009</v>
      </c>
      <c r="M8325" t="s">
        <v>26010</v>
      </c>
      <c r="N8325" t="s">
        <v>3441</v>
      </c>
      <c r="O8325" t="s">
        <v>134</v>
      </c>
      <c r="P8325" t="s">
        <v>618</v>
      </c>
      <c r="Q8325">
        <v>55</v>
      </c>
      <c r="R8325">
        <v>-1.5871</v>
      </c>
    </row>
    <row r="8326" spans="1:18" x14ac:dyDescent="0.2">
      <c r="A8326" t="s">
        <v>2863</v>
      </c>
      <c r="B8326" t="s">
        <v>25983</v>
      </c>
      <c r="C8326">
        <v>1</v>
      </c>
      <c r="D8326" s="1">
        <v>44225.814108796294</v>
      </c>
      <c r="E8326" t="s">
        <v>26011</v>
      </c>
      <c r="F8326" t="s">
        <v>2866</v>
      </c>
      <c r="G8326" t="s">
        <v>25968</v>
      </c>
      <c r="H8326" t="s">
        <v>2868</v>
      </c>
      <c r="I8326" t="s">
        <v>29</v>
      </c>
      <c r="J8326">
        <v>1</v>
      </c>
      <c r="K8326">
        <f>1-865-888-8139</f>
        <v>-9891</v>
      </c>
      <c r="L8326" t="s">
        <v>26012</v>
      </c>
      <c r="M8326" t="s">
        <v>26013</v>
      </c>
      <c r="N8326" t="s">
        <v>447</v>
      </c>
      <c r="O8326" t="s">
        <v>134</v>
      </c>
      <c r="P8326" t="s">
        <v>618</v>
      </c>
      <c r="Q8326">
        <v>55</v>
      </c>
      <c r="R8326">
        <v>-1.5871</v>
      </c>
    </row>
    <row r="8327" spans="1:18" x14ac:dyDescent="0.2">
      <c r="A8327" t="s">
        <v>663</v>
      </c>
      <c r="B8327" t="s">
        <v>2493</v>
      </c>
      <c r="C8327">
        <v>1</v>
      </c>
      <c r="D8327" s="1">
        <v>44225.815925925926</v>
      </c>
      <c r="E8327" t="s">
        <v>26014</v>
      </c>
      <c r="F8327" t="s">
        <v>666</v>
      </c>
      <c r="G8327" t="s">
        <v>26014</v>
      </c>
      <c r="H8327" t="s">
        <v>667</v>
      </c>
      <c r="I8327" t="s">
        <v>29</v>
      </c>
      <c r="J8327">
        <v>1</v>
      </c>
      <c r="K8327">
        <f>1-888-596-8949</f>
        <v>-10432</v>
      </c>
      <c r="L8327" t="s">
        <v>26015</v>
      </c>
      <c r="M8327" t="s">
        <v>26016</v>
      </c>
      <c r="N8327">
        <v>120</v>
      </c>
      <c r="O8327" t="s">
        <v>134</v>
      </c>
      <c r="P8327" t="s">
        <v>29</v>
      </c>
      <c r="Q8327">
        <v>41</v>
      </c>
      <c r="R8327">
        <v>-74.024699999999996</v>
      </c>
    </row>
    <row r="8328" spans="1:18" x14ac:dyDescent="0.2">
      <c r="A8328" t="s">
        <v>663</v>
      </c>
      <c r="B8328" t="s">
        <v>2493</v>
      </c>
      <c r="C8328">
        <v>1</v>
      </c>
      <c r="D8328" s="1">
        <v>44225.814317129632</v>
      </c>
      <c r="E8328" t="s">
        <v>26014</v>
      </c>
      <c r="F8328" t="s">
        <v>666</v>
      </c>
      <c r="G8328" t="s">
        <v>26014</v>
      </c>
      <c r="H8328" t="s">
        <v>667</v>
      </c>
      <c r="I8328" t="s">
        <v>29</v>
      </c>
      <c r="J8328">
        <v>1</v>
      </c>
      <c r="K8328">
        <f>1-888-615-5695</f>
        <v>-7197</v>
      </c>
      <c r="L8328" t="s">
        <v>26017</v>
      </c>
      <c r="M8328" t="s">
        <v>26018</v>
      </c>
      <c r="N8328">
        <v>120</v>
      </c>
      <c r="O8328" t="s">
        <v>134</v>
      </c>
      <c r="P8328" t="s">
        <v>29</v>
      </c>
      <c r="Q8328">
        <v>41</v>
      </c>
      <c r="R8328">
        <v>-74.024699999999996</v>
      </c>
    </row>
    <row r="8329" spans="1:18" x14ac:dyDescent="0.2">
      <c r="A8329" t="s">
        <v>439</v>
      </c>
      <c r="B8329" t="s">
        <v>4321</v>
      </c>
      <c r="C8329">
        <v>81</v>
      </c>
      <c r="D8329" s="1">
        <v>44225.883715277778</v>
      </c>
      <c r="E8329" t="s">
        <v>26019</v>
      </c>
      <c r="F8329" t="s">
        <v>442</v>
      </c>
      <c r="G8329" t="s">
        <v>26020</v>
      </c>
      <c r="H8329" t="s">
        <v>444</v>
      </c>
      <c r="I8329" t="s">
        <v>53</v>
      </c>
      <c r="J8329">
        <v>81</v>
      </c>
      <c r="K8329">
        <f>81-50-3198-9308</f>
        <v>-12475</v>
      </c>
      <c r="L8329" t="s">
        <v>26021</v>
      </c>
      <c r="M8329" t="s">
        <v>26022</v>
      </c>
      <c r="N8329" t="s">
        <v>213</v>
      </c>
      <c r="O8329" t="s">
        <v>28</v>
      </c>
      <c r="P8329" t="s">
        <v>29</v>
      </c>
      <c r="Q8329">
        <v>42</v>
      </c>
      <c r="R8329">
        <v>-87.629800000000003</v>
      </c>
    </row>
    <row r="8330" spans="1:18" x14ac:dyDescent="0.2">
      <c r="A8330" t="s">
        <v>439</v>
      </c>
      <c r="B8330" t="s">
        <v>4321</v>
      </c>
      <c r="C8330">
        <v>81</v>
      </c>
      <c r="D8330" s="1">
        <v>44225.877071759256</v>
      </c>
      <c r="E8330" t="s">
        <v>26019</v>
      </c>
      <c r="F8330" t="s">
        <v>442</v>
      </c>
      <c r="G8330" t="s">
        <v>26020</v>
      </c>
      <c r="H8330" t="s">
        <v>444</v>
      </c>
      <c r="I8330" t="s">
        <v>53</v>
      </c>
      <c r="J8330">
        <v>81</v>
      </c>
      <c r="K8330">
        <f>81-50-3198-9308</f>
        <v>-12475</v>
      </c>
      <c r="L8330" t="s">
        <v>26023</v>
      </c>
      <c r="M8330" t="s">
        <v>26024</v>
      </c>
      <c r="N8330" t="s">
        <v>213</v>
      </c>
      <c r="O8330" t="s">
        <v>28</v>
      </c>
      <c r="P8330" t="s">
        <v>29</v>
      </c>
      <c r="Q8330">
        <v>42</v>
      </c>
      <c r="R8330">
        <v>-87.629800000000003</v>
      </c>
    </row>
    <row r="8331" spans="1:18" x14ac:dyDescent="0.2">
      <c r="A8331" t="s">
        <v>663</v>
      </c>
      <c r="B8331" t="s">
        <v>2493</v>
      </c>
      <c r="C8331">
        <v>1</v>
      </c>
      <c r="D8331" s="1">
        <v>44225.889120370368</v>
      </c>
      <c r="E8331" t="s">
        <v>26025</v>
      </c>
      <c r="F8331" t="s">
        <v>666</v>
      </c>
      <c r="G8331" t="s">
        <v>26025</v>
      </c>
      <c r="H8331" t="s">
        <v>667</v>
      </c>
      <c r="I8331" t="s">
        <v>29</v>
      </c>
      <c r="J8331">
        <v>1</v>
      </c>
      <c r="K8331">
        <f>1-888-597-9285</f>
        <v>-10769</v>
      </c>
      <c r="L8331" s="2" t="s">
        <v>26026</v>
      </c>
      <c r="M8331" t="s">
        <v>26027</v>
      </c>
      <c r="N8331">
        <v>57</v>
      </c>
      <c r="O8331" t="s">
        <v>134</v>
      </c>
      <c r="P8331" t="s">
        <v>29</v>
      </c>
      <c r="Q8331">
        <v>41</v>
      </c>
      <c r="R8331">
        <v>-74.024699999999996</v>
      </c>
    </row>
    <row r="8332" spans="1:18" x14ac:dyDescent="0.2">
      <c r="A8332" t="s">
        <v>439</v>
      </c>
      <c r="B8332" t="s">
        <v>4321</v>
      </c>
      <c r="C8332">
        <v>1</v>
      </c>
      <c r="D8332" s="1">
        <v>44225.895925925928</v>
      </c>
      <c r="E8332" t="s">
        <v>26028</v>
      </c>
      <c r="F8332" t="s">
        <v>442</v>
      </c>
      <c r="G8332" t="s">
        <v>26029</v>
      </c>
      <c r="H8332" t="s">
        <v>444</v>
      </c>
      <c r="I8332" t="s">
        <v>29</v>
      </c>
      <c r="J8332">
        <v>1</v>
      </c>
      <c r="K8332">
        <f>1-844-304-4022</f>
        <v>-5169</v>
      </c>
      <c r="L8332" t="s">
        <v>26030</v>
      </c>
      <c r="M8332" t="s">
        <v>26031</v>
      </c>
      <c r="N8332" t="s">
        <v>36</v>
      </c>
      <c r="O8332" t="s">
        <v>28</v>
      </c>
      <c r="P8332" t="s">
        <v>29</v>
      </c>
      <c r="Q8332">
        <v>42</v>
      </c>
      <c r="R8332">
        <v>-87.629800000000003</v>
      </c>
    </row>
    <row r="8333" spans="1:18" x14ac:dyDescent="0.2">
      <c r="A8333" t="s">
        <v>439</v>
      </c>
      <c r="B8333" t="s">
        <v>4321</v>
      </c>
      <c r="C8333">
        <v>1</v>
      </c>
      <c r="D8333" s="1">
        <v>44225.896747685183</v>
      </c>
      <c r="E8333" t="s">
        <v>26032</v>
      </c>
      <c r="F8333" t="s">
        <v>442</v>
      </c>
      <c r="G8333" t="s">
        <v>26033</v>
      </c>
      <c r="H8333" t="s">
        <v>444</v>
      </c>
      <c r="I8333" t="s">
        <v>29</v>
      </c>
      <c r="J8333">
        <v>1</v>
      </c>
      <c r="K8333">
        <f>1-888-412-1125</f>
        <v>-2424</v>
      </c>
      <c r="L8333" t="s">
        <v>26034</v>
      </c>
      <c r="M8333" t="s">
        <v>26035</v>
      </c>
      <c r="N8333" t="s">
        <v>25195</v>
      </c>
      <c r="O8333" t="s">
        <v>28</v>
      </c>
      <c r="P8333" t="s">
        <v>29</v>
      </c>
      <c r="Q8333">
        <v>42</v>
      </c>
      <c r="R8333">
        <v>-87.629800000000003</v>
      </c>
    </row>
    <row r="8334" spans="1:18" x14ac:dyDescent="0.2">
      <c r="A8334" t="s">
        <v>663</v>
      </c>
      <c r="B8334" t="s">
        <v>664</v>
      </c>
      <c r="C8334">
        <v>1</v>
      </c>
      <c r="D8334" s="1">
        <v>44225.921597222223</v>
      </c>
      <c r="E8334" t="s">
        <v>26036</v>
      </c>
      <c r="F8334" t="s">
        <v>666</v>
      </c>
      <c r="G8334" t="s">
        <v>26037</v>
      </c>
      <c r="H8334" t="s">
        <v>667</v>
      </c>
      <c r="I8334" t="s">
        <v>29</v>
      </c>
      <c r="J8334">
        <v>1</v>
      </c>
      <c r="K8334">
        <f>1-706-637-3925</f>
        <v>-5267</v>
      </c>
      <c r="L8334" t="s">
        <v>26038</v>
      </c>
      <c r="M8334" t="s">
        <v>26039</v>
      </c>
      <c r="N8334" t="s">
        <v>447</v>
      </c>
      <c r="O8334" t="s">
        <v>28</v>
      </c>
      <c r="P8334" t="s">
        <v>29</v>
      </c>
      <c r="Q8334">
        <v>37</v>
      </c>
      <c r="R8334">
        <v>-99.999999000000003</v>
      </c>
    </row>
    <row r="8335" spans="1:18" x14ac:dyDescent="0.2">
      <c r="A8335" t="s">
        <v>663</v>
      </c>
      <c r="B8335" t="s">
        <v>2493</v>
      </c>
      <c r="C8335">
        <v>1</v>
      </c>
      <c r="D8335" s="1">
        <v>44225.921898148146</v>
      </c>
      <c r="E8335" t="s">
        <v>26040</v>
      </c>
      <c r="F8335" t="s">
        <v>666</v>
      </c>
      <c r="G8335" t="s">
        <v>26040</v>
      </c>
      <c r="H8335" t="s">
        <v>667</v>
      </c>
      <c r="I8335" t="s">
        <v>29</v>
      </c>
      <c r="J8335">
        <v>1</v>
      </c>
      <c r="K8335">
        <f>1-888-616-5047</f>
        <v>-6550</v>
      </c>
      <c r="L8335" t="s">
        <v>26041</v>
      </c>
      <c r="M8335" t="s">
        <v>26042</v>
      </c>
      <c r="N8335">
        <v>107</v>
      </c>
      <c r="O8335" t="s">
        <v>134</v>
      </c>
      <c r="P8335" t="s">
        <v>29</v>
      </c>
      <c r="Q8335">
        <v>41</v>
      </c>
      <c r="R8335">
        <v>-74.024699999999996</v>
      </c>
    </row>
    <row r="8336" spans="1:18" x14ac:dyDescent="0.2">
      <c r="A8336" t="s">
        <v>663</v>
      </c>
      <c r="B8336" t="s">
        <v>2493</v>
      </c>
      <c r="C8336">
        <v>1</v>
      </c>
      <c r="D8336" s="1">
        <v>44225.921701388892</v>
      </c>
      <c r="E8336" t="s">
        <v>26040</v>
      </c>
      <c r="F8336" t="s">
        <v>666</v>
      </c>
      <c r="G8336" t="s">
        <v>26040</v>
      </c>
      <c r="H8336" t="s">
        <v>667</v>
      </c>
      <c r="I8336" t="s">
        <v>29</v>
      </c>
      <c r="J8336">
        <v>1</v>
      </c>
      <c r="K8336">
        <f>1-888-615-4109</f>
        <v>-5611</v>
      </c>
      <c r="L8336" t="s">
        <v>26043</v>
      </c>
      <c r="M8336" t="s">
        <v>26044</v>
      </c>
      <c r="N8336">
        <v>107</v>
      </c>
      <c r="O8336" t="s">
        <v>134</v>
      </c>
      <c r="P8336" t="s">
        <v>29</v>
      </c>
      <c r="Q8336">
        <v>41</v>
      </c>
      <c r="R8336">
        <v>-74.024699999999996</v>
      </c>
    </row>
    <row r="8337" spans="1:18" x14ac:dyDescent="0.2">
      <c r="A8337" t="s">
        <v>663</v>
      </c>
      <c r="B8337" t="s">
        <v>2493</v>
      </c>
      <c r="C8337">
        <v>1</v>
      </c>
      <c r="D8337" s="1">
        <v>44225.948773148149</v>
      </c>
      <c r="E8337" t="s">
        <v>26045</v>
      </c>
      <c r="F8337" t="s">
        <v>666</v>
      </c>
      <c r="G8337" t="s">
        <v>26045</v>
      </c>
      <c r="H8337" t="s">
        <v>667</v>
      </c>
      <c r="I8337" t="s">
        <v>29</v>
      </c>
      <c r="J8337">
        <v>1</v>
      </c>
      <c r="K8337">
        <f>1-888-611-9073</f>
        <v>-10571</v>
      </c>
      <c r="L8337" t="s">
        <v>26046</v>
      </c>
      <c r="M8337" t="s">
        <v>26047</v>
      </c>
      <c r="N8337">
        <v>147</v>
      </c>
      <c r="O8337" t="s">
        <v>134</v>
      </c>
      <c r="P8337" t="s">
        <v>29</v>
      </c>
      <c r="Q8337">
        <v>41</v>
      </c>
      <c r="R8337">
        <v>-74.024699999999996</v>
      </c>
    </row>
    <row r="8338" spans="1:18" x14ac:dyDescent="0.2">
      <c r="A8338" t="s">
        <v>663</v>
      </c>
      <c r="B8338" t="s">
        <v>2493</v>
      </c>
      <c r="C8338">
        <v>1</v>
      </c>
      <c r="D8338" s="1">
        <v>44225.946469907409</v>
      </c>
      <c r="E8338" t="s">
        <v>26048</v>
      </c>
      <c r="F8338" t="s">
        <v>666</v>
      </c>
      <c r="G8338" t="s">
        <v>26048</v>
      </c>
      <c r="H8338" t="s">
        <v>667</v>
      </c>
      <c r="I8338" t="s">
        <v>29</v>
      </c>
      <c r="J8338">
        <v>1</v>
      </c>
      <c r="K8338">
        <f>1-888-611-9073</f>
        <v>-10571</v>
      </c>
      <c r="L8338" t="s">
        <v>26049</v>
      </c>
      <c r="M8338" t="s">
        <v>26050</v>
      </c>
      <c r="N8338">
        <v>33</v>
      </c>
      <c r="O8338" t="s">
        <v>134</v>
      </c>
      <c r="P8338" t="s">
        <v>29</v>
      </c>
      <c r="Q8338">
        <v>41</v>
      </c>
      <c r="R8338">
        <v>-74.024699999999996</v>
      </c>
    </row>
    <row r="8339" spans="1:18" x14ac:dyDescent="0.2">
      <c r="A8339" t="s">
        <v>663</v>
      </c>
      <c r="B8339" t="s">
        <v>2493</v>
      </c>
      <c r="C8339">
        <v>1</v>
      </c>
      <c r="D8339" s="1">
        <v>44225.96979166667</v>
      </c>
      <c r="E8339" t="s">
        <v>26051</v>
      </c>
      <c r="F8339" t="s">
        <v>666</v>
      </c>
      <c r="G8339" t="s">
        <v>26051</v>
      </c>
      <c r="H8339" t="s">
        <v>667</v>
      </c>
      <c r="I8339" t="s">
        <v>29</v>
      </c>
      <c r="J8339">
        <v>1</v>
      </c>
      <c r="K8339">
        <f>1-888-553-8434</f>
        <v>-9874</v>
      </c>
      <c r="L8339" t="s">
        <v>26052</v>
      </c>
      <c r="M8339" t="s">
        <v>26053</v>
      </c>
      <c r="N8339">
        <v>112</v>
      </c>
      <c r="O8339" t="s">
        <v>134</v>
      </c>
      <c r="P8339" t="s">
        <v>29</v>
      </c>
      <c r="Q8339">
        <v>41</v>
      </c>
      <c r="R8339">
        <v>-74.024699999999996</v>
      </c>
    </row>
    <row r="8340" spans="1:18" x14ac:dyDescent="0.2">
      <c r="A8340" t="s">
        <v>675</v>
      </c>
      <c r="B8340" t="s">
        <v>1412</v>
      </c>
      <c r="C8340">
        <v>1</v>
      </c>
      <c r="D8340" s="1">
        <v>44226.825925925928</v>
      </c>
      <c r="E8340" t="s">
        <v>26054</v>
      </c>
      <c r="F8340" t="s">
        <v>678</v>
      </c>
      <c r="G8340" t="s">
        <v>26055</v>
      </c>
      <c r="H8340" t="s">
        <v>680</v>
      </c>
      <c r="I8340" t="s">
        <v>29</v>
      </c>
      <c r="J8340">
        <v>1</v>
      </c>
      <c r="K8340">
        <f>1-360-702-5236</f>
        <v>-6297</v>
      </c>
      <c r="L8340" t="s">
        <v>26056</v>
      </c>
      <c r="M8340" t="s">
        <v>26057</v>
      </c>
      <c r="N8340" t="s">
        <v>452</v>
      </c>
      <c r="O8340" t="s">
        <v>28</v>
      </c>
      <c r="P8340" t="s">
        <v>29</v>
      </c>
      <c r="Q8340">
        <v>41</v>
      </c>
      <c r="R8340">
        <v>-74.172399999999996</v>
      </c>
    </row>
    <row r="8341" spans="1:18" x14ac:dyDescent="0.2">
      <c r="A8341" t="s">
        <v>663</v>
      </c>
      <c r="B8341" t="s">
        <v>2493</v>
      </c>
      <c r="C8341">
        <v>1</v>
      </c>
      <c r="D8341" s="1">
        <v>44226.827638888892</v>
      </c>
      <c r="E8341" t="s">
        <v>26058</v>
      </c>
      <c r="F8341" t="s">
        <v>666</v>
      </c>
      <c r="G8341" t="s">
        <v>26058</v>
      </c>
      <c r="H8341" t="s">
        <v>667</v>
      </c>
      <c r="I8341" t="s">
        <v>29</v>
      </c>
      <c r="J8341">
        <v>1</v>
      </c>
      <c r="K8341">
        <f>1-888-610-5345</f>
        <v>-6842</v>
      </c>
      <c r="L8341" t="s">
        <v>26059</v>
      </c>
      <c r="M8341" t="s">
        <v>26060</v>
      </c>
      <c r="N8341">
        <v>250</v>
      </c>
      <c r="O8341" t="s">
        <v>134</v>
      </c>
      <c r="P8341" t="s">
        <v>29</v>
      </c>
      <c r="Q8341">
        <v>41</v>
      </c>
      <c r="R8341">
        <v>-74.024699999999996</v>
      </c>
    </row>
    <row r="8342" spans="1:18" x14ac:dyDescent="0.2">
      <c r="A8342" t="s">
        <v>663</v>
      </c>
      <c r="B8342" t="s">
        <v>2493</v>
      </c>
      <c r="C8342">
        <v>1</v>
      </c>
      <c r="D8342" s="1">
        <v>44226.874884259261</v>
      </c>
      <c r="E8342" t="s">
        <v>26061</v>
      </c>
      <c r="F8342" t="s">
        <v>666</v>
      </c>
      <c r="G8342" t="s">
        <v>26061</v>
      </c>
      <c r="H8342" t="s">
        <v>667</v>
      </c>
      <c r="I8342" t="s">
        <v>29</v>
      </c>
      <c r="J8342">
        <v>1</v>
      </c>
      <c r="K8342">
        <f>1-888-594-5015</f>
        <v>-6496</v>
      </c>
      <c r="L8342" t="s">
        <v>26062</v>
      </c>
      <c r="M8342" t="s">
        <v>26063</v>
      </c>
      <c r="N8342">
        <v>32</v>
      </c>
      <c r="O8342" t="s">
        <v>134</v>
      </c>
      <c r="P8342" t="s">
        <v>29</v>
      </c>
      <c r="Q8342">
        <v>41</v>
      </c>
      <c r="R8342">
        <v>-74.024699999999996</v>
      </c>
    </row>
    <row r="8343" spans="1:18" x14ac:dyDescent="0.2">
      <c r="A8343" t="s">
        <v>439</v>
      </c>
      <c r="B8343" t="s">
        <v>4321</v>
      </c>
      <c r="C8343">
        <v>1</v>
      </c>
      <c r="D8343" s="1">
        <v>44226.880300925928</v>
      </c>
      <c r="E8343" t="s">
        <v>26064</v>
      </c>
      <c r="F8343" t="s">
        <v>442</v>
      </c>
      <c r="G8343" t="s">
        <v>26065</v>
      </c>
      <c r="H8343" t="s">
        <v>444</v>
      </c>
      <c r="I8343" t="s">
        <v>29</v>
      </c>
      <c r="J8343">
        <v>1</v>
      </c>
      <c r="K8343">
        <f>1-888-608-7214</f>
        <v>-8709</v>
      </c>
      <c r="L8343" t="s">
        <v>26066</v>
      </c>
      <c r="M8343" t="s">
        <v>26067</v>
      </c>
      <c r="N8343" t="s">
        <v>3441</v>
      </c>
      <c r="O8343" t="s">
        <v>28</v>
      </c>
      <c r="P8343" t="s">
        <v>29</v>
      </c>
      <c r="Q8343">
        <v>42</v>
      </c>
      <c r="R8343">
        <v>-87.629800000000003</v>
      </c>
    </row>
    <row r="8344" spans="1:18" x14ac:dyDescent="0.2">
      <c r="A8344" t="s">
        <v>663</v>
      </c>
      <c r="B8344" t="s">
        <v>664</v>
      </c>
      <c r="C8344">
        <v>1</v>
      </c>
      <c r="D8344" s="1">
        <v>44226.884155092594</v>
      </c>
      <c r="E8344" t="s">
        <v>26068</v>
      </c>
      <c r="F8344" t="s">
        <v>666</v>
      </c>
      <c r="G8344" t="s">
        <v>26068</v>
      </c>
      <c r="H8344" t="s">
        <v>667</v>
      </c>
      <c r="I8344" t="s">
        <v>29</v>
      </c>
      <c r="J8344">
        <v>1</v>
      </c>
      <c r="K8344">
        <f>1-888-599-5468</f>
        <v>-6954</v>
      </c>
      <c r="L8344" t="s">
        <v>26069</v>
      </c>
      <c r="M8344" t="s">
        <v>26070</v>
      </c>
      <c r="N8344">
        <v>143</v>
      </c>
      <c r="O8344" t="s">
        <v>134</v>
      </c>
      <c r="P8344" t="s">
        <v>29</v>
      </c>
      <c r="Q8344">
        <v>37</v>
      </c>
      <c r="R8344">
        <v>-99.999999000000003</v>
      </c>
    </row>
    <row r="8345" spans="1:18" x14ac:dyDescent="0.2">
      <c r="A8345" t="s">
        <v>439</v>
      </c>
      <c r="B8345" t="s">
        <v>4321</v>
      </c>
      <c r="C8345">
        <v>1</v>
      </c>
      <c r="D8345" s="1">
        <v>44227.795914351853</v>
      </c>
      <c r="E8345" t="s">
        <v>26071</v>
      </c>
      <c r="F8345" t="s">
        <v>442</v>
      </c>
      <c r="G8345" t="s">
        <v>26072</v>
      </c>
      <c r="H8345" t="s">
        <v>444</v>
      </c>
      <c r="I8345" t="s">
        <v>29</v>
      </c>
      <c r="J8345">
        <v>1</v>
      </c>
      <c r="K8345">
        <f>1-888-412-1477</f>
        <v>-2776</v>
      </c>
      <c r="L8345" t="s">
        <v>26073</v>
      </c>
      <c r="M8345" t="s">
        <v>26074</v>
      </c>
      <c r="N8345" t="s">
        <v>25195</v>
      </c>
      <c r="O8345" t="s">
        <v>28</v>
      </c>
      <c r="P8345" t="s">
        <v>29</v>
      </c>
      <c r="Q8345">
        <v>42</v>
      </c>
      <c r="R8345">
        <v>-87.629800000000003</v>
      </c>
    </row>
    <row r="8346" spans="1:18" x14ac:dyDescent="0.2">
      <c r="A8346" t="s">
        <v>439</v>
      </c>
      <c r="B8346" t="s">
        <v>4321</v>
      </c>
      <c r="C8346">
        <v>1</v>
      </c>
      <c r="D8346" s="1">
        <v>44228.794236111113</v>
      </c>
      <c r="E8346" t="s">
        <v>26075</v>
      </c>
      <c r="F8346" t="s">
        <v>442</v>
      </c>
      <c r="G8346" t="s">
        <v>26076</v>
      </c>
      <c r="H8346" t="s">
        <v>444</v>
      </c>
      <c r="I8346" t="s">
        <v>29</v>
      </c>
      <c r="J8346">
        <v>1</v>
      </c>
      <c r="K8346">
        <f>1-844-303-4189</f>
        <v>-5335</v>
      </c>
      <c r="L8346" t="s">
        <v>26077</v>
      </c>
      <c r="M8346" t="s">
        <v>26078</v>
      </c>
      <c r="N8346" t="s">
        <v>447</v>
      </c>
      <c r="O8346" t="s">
        <v>28</v>
      </c>
      <c r="P8346" t="s">
        <v>29</v>
      </c>
      <c r="Q8346">
        <v>42</v>
      </c>
      <c r="R8346">
        <v>-87.629800000000003</v>
      </c>
    </row>
    <row r="8347" spans="1:18" x14ac:dyDescent="0.2">
      <c r="A8347" t="s">
        <v>439</v>
      </c>
      <c r="B8347" t="s">
        <v>4321</v>
      </c>
      <c r="C8347">
        <v>1</v>
      </c>
      <c r="D8347" s="1">
        <v>44228.804571759261</v>
      </c>
      <c r="E8347" t="s">
        <v>26075</v>
      </c>
      <c r="F8347" t="s">
        <v>442</v>
      </c>
      <c r="G8347" t="s">
        <v>26076</v>
      </c>
      <c r="H8347" t="s">
        <v>444</v>
      </c>
      <c r="I8347" t="s">
        <v>29</v>
      </c>
      <c r="J8347">
        <v>1</v>
      </c>
      <c r="K8347">
        <f>1-844-303-4189</f>
        <v>-5335</v>
      </c>
      <c r="L8347" t="s">
        <v>26079</v>
      </c>
      <c r="M8347" t="s">
        <v>26080</v>
      </c>
      <c r="N8347" t="s">
        <v>447</v>
      </c>
      <c r="O8347" t="s">
        <v>28</v>
      </c>
      <c r="P8347" t="s">
        <v>29</v>
      </c>
      <c r="Q8347">
        <v>42</v>
      </c>
      <c r="R8347">
        <v>-87.629800000000003</v>
      </c>
    </row>
    <row r="8348" spans="1:18" x14ac:dyDescent="0.2">
      <c r="A8348" t="s">
        <v>2233</v>
      </c>
      <c r="B8348" t="s">
        <v>2234</v>
      </c>
      <c r="C8348">
        <v>32</v>
      </c>
      <c r="D8348" s="1">
        <v>44228.443518518521</v>
      </c>
      <c r="E8348" t="s">
        <v>26081</v>
      </c>
      <c r="F8348" t="s">
        <v>2236</v>
      </c>
      <c r="G8348" t="s">
        <v>26081</v>
      </c>
      <c r="H8348" t="s">
        <v>2237</v>
      </c>
      <c r="I8348" t="s">
        <v>4288</v>
      </c>
      <c r="J8348">
        <v>32</v>
      </c>
      <c r="K8348">
        <f>32-2-808-5-71</f>
        <v>-854</v>
      </c>
      <c r="L8348" t="s">
        <v>26082</v>
      </c>
      <c r="M8348" t="s">
        <v>26083</v>
      </c>
      <c r="N8348">
        <v>212</v>
      </c>
      <c r="O8348" t="s">
        <v>134</v>
      </c>
      <c r="P8348" t="s">
        <v>6188</v>
      </c>
      <c r="Q8348">
        <v>53</v>
      </c>
      <c r="R8348">
        <v>-6.2603099999999996</v>
      </c>
    </row>
    <row r="8349" spans="1:18" x14ac:dyDescent="0.2">
      <c r="A8349" t="s">
        <v>439</v>
      </c>
      <c r="B8349" t="s">
        <v>4321</v>
      </c>
      <c r="C8349">
        <v>1</v>
      </c>
      <c r="D8349" s="1">
        <v>44228.798680555556</v>
      </c>
      <c r="E8349" t="s">
        <v>26084</v>
      </c>
      <c r="F8349" t="s">
        <v>442</v>
      </c>
      <c r="G8349" t="s">
        <v>26085</v>
      </c>
      <c r="H8349" t="s">
        <v>444</v>
      </c>
      <c r="I8349" t="s">
        <v>29</v>
      </c>
      <c r="J8349">
        <v>1</v>
      </c>
      <c r="K8349">
        <f>1-844-303-4189</f>
        <v>-5335</v>
      </c>
      <c r="L8349" t="s">
        <v>26086</v>
      </c>
      <c r="M8349" t="s">
        <v>26087</v>
      </c>
      <c r="N8349" t="s">
        <v>447</v>
      </c>
      <c r="O8349" t="s">
        <v>28</v>
      </c>
      <c r="P8349" t="s">
        <v>29</v>
      </c>
      <c r="Q8349">
        <v>42</v>
      </c>
      <c r="R8349">
        <v>-87.629800000000003</v>
      </c>
    </row>
    <row r="8350" spans="1:18" x14ac:dyDescent="0.2">
      <c r="A8350" t="s">
        <v>439</v>
      </c>
      <c r="B8350" t="s">
        <v>4321</v>
      </c>
      <c r="C8350">
        <v>1</v>
      </c>
      <c r="D8350" s="1">
        <v>44228.804016203707</v>
      </c>
      <c r="E8350" t="s">
        <v>26088</v>
      </c>
      <c r="F8350" t="s">
        <v>442</v>
      </c>
      <c r="G8350" t="s">
        <v>26089</v>
      </c>
      <c r="H8350" t="s">
        <v>444</v>
      </c>
      <c r="I8350" t="s">
        <v>29</v>
      </c>
      <c r="J8350">
        <v>1</v>
      </c>
      <c r="K8350">
        <f>1-844-303-4189</f>
        <v>-5335</v>
      </c>
      <c r="L8350" t="s">
        <v>26090</v>
      </c>
      <c r="M8350" t="s">
        <v>26091</v>
      </c>
      <c r="N8350" t="s">
        <v>447</v>
      </c>
      <c r="O8350" t="s">
        <v>28</v>
      </c>
      <c r="P8350" t="s">
        <v>29</v>
      </c>
      <c r="Q8350">
        <v>42</v>
      </c>
      <c r="R8350">
        <v>-87.629800000000003</v>
      </c>
    </row>
    <row r="8351" spans="1:18" x14ac:dyDescent="0.2">
      <c r="A8351" t="s">
        <v>3420</v>
      </c>
      <c r="B8351" t="s">
        <v>6921</v>
      </c>
      <c r="C8351">
        <v>1</v>
      </c>
      <c r="D8351" s="1">
        <v>44228.847222222219</v>
      </c>
      <c r="E8351" t="s">
        <v>26092</v>
      </c>
      <c r="F8351" t="s">
        <v>3422</v>
      </c>
      <c r="G8351" t="s">
        <v>26092</v>
      </c>
      <c r="H8351" t="s">
        <v>3423</v>
      </c>
      <c r="I8351" t="s">
        <v>29</v>
      </c>
      <c r="J8351">
        <v>1</v>
      </c>
      <c r="K8351">
        <f>1-844-387-1590</f>
        <v>-2820</v>
      </c>
      <c r="L8351" t="s">
        <v>26093</v>
      </c>
      <c r="M8351" t="s">
        <v>26094</v>
      </c>
      <c r="N8351">
        <v>180</v>
      </c>
      <c r="O8351" t="s">
        <v>134</v>
      </c>
      <c r="P8351" t="s">
        <v>29</v>
      </c>
      <c r="Q8351">
        <v>41</v>
      </c>
      <c r="R8351">
        <v>-95.860799999999998</v>
      </c>
    </row>
    <row r="8352" spans="1:18" x14ac:dyDescent="0.2">
      <c r="A8352" t="s">
        <v>439</v>
      </c>
      <c r="B8352" t="s">
        <v>4321</v>
      </c>
      <c r="C8352">
        <v>1</v>
      </c>
      <c r="D8352" s="1">
        <v>44228.811562499999</v>
      </c>
      <c r="E8352" t="s">
        <v>26095</v>
      </c>
      <c r="F8352" t="s">
        <v>442</v>
      </c>
      <c r="G8352" t="s">
        <v>26096</v>
      </c>
      <c r="H8352" t="s">
        <v>444</v>
      </c>
      <c r="I8352" t="s">
        <v>29</v>
      </c>
      <c r="J8352">
        <v>1</v>
      </c>
      <c r="K8352">
        <f>1-844-309-6353</f>
        <v>-7505</v>
      </c>
      <c r="L8352" t="s">
        <v>26097</v>
      </c>
      <c r="M8352" t="s">
        <v>26098</v>
      </c>
      <c r="N8352" t="s">
        <v>447</v>
      </c>
      <c r="O8352" t="s">
        <v>28</v>
      </c>
      <c r="P8352" t="s">
        <v>29</v>
      </c>
      <c r="Q8352">
        <v>42</v>
      </c>
      <c r="R8352">
        <v>-87.629800000000003</v>
      </c>
    </row>
    <row r="8353" spans="1:18" x14ac:dyDescent="0.2">
      <c r="A8353" t="s">
        <v>663</v>
      </c>
      <c r="B8353" t="s">
        <v>2493</v>
      </c>
      <c r="C8353">
        <v>1</v>
      </c>
      <c r="D8353" s="1">
        <v>44228.834236111114</v>
      </c>
      <c r="E8353" t="s">
        <v>26099</v>
      </c>
      <c r="F8353" t="s">
        <v>666</v>
      </c>
      <c r="G8353" t="s">
        <v>26099</v>
      </c>
      <c r="H8353" t="s">
        <v>667</v>
      </c>
      <c r="I8353" t="s">
        <v>29</v>
      </c>
      <c r="J8353">
        <v>1</v>
      </c>
      <c r="K8353">
        <f>1-888-616-7315</f>
        <v>-8818</v>
      </c>
      <c r="L8353" t="s">
        <v>26100</v>
      </c>
      <c r="M8353" t="s">
        <v>26101</v>
      </c>
      <c r="N8353">
        <v>154</v>
      </c>
      <c r="O8353" t="s">
        <v>134</v>
      </c>
      <c r="P8353" t="s">
        <v>29</v>
      </c>
      <c r="Q8353">
        <v>41</v>
      </c>
      <c r="R8353">
        <v>-74.024699999999996</v>
      </c>
    </row>
    <row r="8354" spans="1:18" x14ac:dyDescent="0.2">
      <c r="A8354" t="s">
        <v>663</v>
      </c>
      <c r="B8354" t="s">
        <v>2493</v>
      </c>
      <c r="C8354">
        <v>1</v>
      </c>
      <c r="D8354" s="1">
        <v>44228.814282407409</v>
      </c>
      <c r="E8354" t="s">
        <v>26102</v>
      </c>
      <c r="F8354" t="s">
        <v>666</v>
      </c>
      <c r="G8354" t="s">
        <v>26102</v>
      </c>
      <c r="H8354" t="s">
        <v>667</v>
      </c>
      <c r="I8354" t="s">
        <v>29</v>
      </c>
      <c r="J8354">
        <v>1</v>
      </c>
      <c r="K8354">
        <f>1-888-515-8694</f>
        <v>-10096</v>
      </c>
      <c r="L8354" t="s">
        <v>26103</v>
      </c>
      <c r="M8354" t="s">
        <v>26104</v>
      </c>
      <c r="N8354">
        <v>72</v>
      </c>
      <c r="O8354" t="s">
        <v>134</v>
      </c>
      <c r="P8354" t="s">
        <v>29</v>
      </c>
      <c r="Q8354">
        <v>41</v>
      </c>
      <c r="R8354">
        <v>-74.024699999999996</v>
      </c>
    </row>
    <row r="8355" spans="1:18" x14ac:dyDescent="0.2">
      <c r="A8355" t="s">
        <v>663</v>
      </c>
      <c r="B8355" t="s">
        <v>2493</v>
      </c>
      <c r="C8355">
        <v>1</v>
      </c>
      <c r="D8355" s="1">
        <v>44228.824664351851</v>
      </c>
      <c r="E8355" t="s">
        <v>26105</v>
      </c>
      <c r="F8355" t="s">
        <v>666</v>
      </c>
      <c r="G8355" t="s">
        <v>26105</v>
      </c>
      <c r="H8355" t="s">
        <v>667</v>
      </c>
      <c r="I8355" t="s">
        <v>29</v>
      </c>
      <c r="J8355">
        <v>1</v>
      </c>
      <c r="K8355">
        <f>1-888-616-3239</f>
        <v>-4742</v>
      </c>
      <c r="L8355" t="s">
        <v>26106</v>
      </c>
      <c r="M8355" t="s">
        <v>26107</v>
      </c>
      <c r="N8355">
        <v>138</v>
      </c>
      <c r="O8355" t="s">
        <v>134</v>
      </c>
      <c r="P8355" t="s">
        <v>29</v>
      </c>
      <c r="Q8355">
        <v>41</v>
      </c>
      <c r="R8355">
        <v>-74.024699999999996</v>
      </c>
    </row>
    <row r="8356" spans="1:18" x14ac:dyDescent="0.2">
      <c r="A8356" t="s">
        <v>663</v>
      </c>
      <c r="B8356" t="s">
        <v>2493</v>
      </c>
      <c r="C8356">
        <v>1</v>
      </c>
      <c r="D8356" s="1">
        <v>44228.88554398148</v>
      </c>
      <c r="E8356" t="s">
        <v>26108</v>
      </c>
      <c r="F8356" t="s">
        <v>666</v>
      </c>
      <c r="G8356" t="s">
        <v>26109</v>
      </c>
      <c r="H8356" t="s">
        <v>667</v>
      </c>
      <c r="I8356" t="s">
        <v>29</v>
      </c>
      <c r="J8356">
        <v>1</v>
      </c>
      <c r="K8356">
        <f>1-888-614-9356</f>
        <v>-10857</v>
      </c>
      <c r="L8356" t="s">
        <v>26110</v>
      </c>
      <c r="M8356" t="s">
        <v>26111</v>
      </c>
      <c r="N8356" t="s">
        <v>25263</v>
      </c>
      <c r="O8356" t="s">
        <v>28</v>
      </c>
      <c r="P8356" t="s">
        <v>29</v>
      </c>
      <c r="Q8356">
        <v>41</v>
      </c>
      <c r="R8356">
        <v>-74.024699999999996</v>
      </c>
    </row>
    <row r="8357" spans="1:18" x14ac:dyDescent="0.2">
      <c r="A8357" t="s">
        <v>663</v>
      </c>
      <c r="B8357" t="s">
        <v>2493</v>
      </c>
      <c r="C8357">
        <v>1</v>
      </c>
      <c r="D8357" s="1">
        <v>44228.900254629632</v>
      </c>
      <c r="E8357" t="s">
        <v>26112</v>
      </c>
      <c r="F8357" t="s">
        <v>666</v>
      </c>
      <c r="G8357" t="s">
        <v>26112</v>
      </c>
      <c r="H8357" t="s">
        <v>667</v>
      </c>
      <c r="I8357" t="s">
        <v>29</v>
      </c>
      <c r="J8357">
        <v>1</v>
      </c>
      <c r="K8357">
        <f>1-888-615-1658</f>
        <v>-3160</v>
      </c>
      <c r="L8357" t="s">
        <v>26113</v>
      </c>
      <c r="M8357" t="s">
        <v>26114</v>
      </c>
      <c r="N8357">
        <v>193</v>
      </c>
      <c r="O8357" t="s">
        <v>134</v>
      </c>
      <c r="P8357" t="s">
        <v>29</v>
      </c>
      <c r="Q8357">
        <v>41</v>
      </c>
      <c r="R8357">
        <v>-74.024699999999996</v>
      </c>
    </row>
    <row r="8358" spans="1:18" x14ac:dyDescent="0.2">
      <c r="A8358" t="s">
        <v>663</v>
      </c>
      <c r="B8358" t="s">
        <v>2493</v>
      </c>
      <c r="C8358">
        <v>1</v>
      </c>
      <c r="D8358" s="1">
        <v>44228.896527777775</v>
      </c>
      <c r="E8358" t="s">
        <v>26112</v>
      </c>
      <c r="F8358" t="s">
        <v>666</v>
      </c>
      <c r="G8358" t="s">
        <v>26112</v>
      </c>
      <c r="H8358" t="s">
        <v>667</v>
      </c>
      <c r="I8358" t="s">
        <v>29</v>
      </c>
      <c r="J8358">
        <v>1</v>
      </c>
      <c r="K8358">
        <f>1-888-607-3718</f>
        <v>-5212</v>
      </c>
      <c r="L8358" t="s">
        <v>26115</v>
      </c>
      <c r="M8358" t="s">
        <v>26116</v>
      </c>
      <c r="N8358">
        <v>193</v>
      </c>
      <c r="O8358" t="s">
        <v>134</v>
      </c>
      <c r="P8358" t="s">
        <v>29</v>
      </c>
      <c r="Q8358">
        <v>41</v>
      </c>
      <c r="R8358">
        <v>-74.024699999999996</v>
      </c>
    </row>
    <row r="8359" spans="1:18" x14ac:dyDescent="0.2">
      <c r="A8359" t="s">
        <v>439</v>
      </c>
      <c r="B8359" t="s">
        <v>4321</v>
      </c>
      <c r="C8359">
        <v>81</v>
      </c>
      <c r="D8359" s="1">
        <v>44228.9</v>
      </c>
      <c r="E8359" t="s">
        <v>26117</v>
      </c>
      <c r="F8359" t="s">
        <v>442</v>
      </c>
      <c r="G8359" t="s">
        <v>26118</v>
      </c>
      <c r="H8359" t="s">
        <v>444</v>
      </c>
      <c r="I8359" t="s">
        <v>53</v>
      </c>
      <c r="J8359">
        <v>81</v>
      </c>
      <c r="K8359">
        <f>81-50-3185-7409</f>
        <v>-10563</v>
      </c>
      <c r="L8359" t="s">
        <v>26119</v>
      </c>
      <c r="M8359" t="s">
        <v>26120</v>
      </c>
      <c r="N8359" t="s">
        <v>3441</v>
      </c>
      <c r="O8359" t="s">
        <v>28</v>
      </c>
      <c r="P8359" t="s">
        <v>29</v>
      </c>
      <c r="Q8359">
        <v>42</v>
      </c>
      <c r="R8359">
        <v>-87.629800000000003</v>
      </c>
    </row>
    <row r="8360" spans="1:18" x14ac:dyDescent="0.2">
      <c r="A8360" t="s">
        <v>2233</v>
      </c>
      <c r="B8360" t="s">
        <v>440</v>
      </c>
      <c r="C8360">
        <v>1</v>
      </c>
      <c r="D8360" s="1">
        <v>44228.904907407406</v>
      </c>
      <c r="E8360" t="s">
        <v>26121</v>
      </c>
      <c r="F8360" t="s">
        <v>2236</v>
      </c>
      <c r="G8360" t="s">
        <v>26122</v>
      </c>
      <c r="H8360" t="s">
        <v>2237</v>
      </c>
      <c r="I8360" t="s">
        <v>29</v>
      </c>
      <c r="J8360">
        <v>1</v>
      </c>
      <c r="K8360">
        <f>1-888-410-2592</f>
        <v>-3889</v>
      </c>
      <c r="L8360" t="s">
        <v>26123</v>
      </c>
      <c r="M8360" t="s">
        <v>26124</v>
      </c>
      <c r="N8360" t="s">
        <v>5354</v>
      </c>
      <c r="O8360" t="s">
        <v>28</v>
      </c>
      <c r="P8360" t="s">
        <v>29</v>
      </c>
      <c r="Q8360">
        <v>39</v>
      </c>
      <c r="R8360">
        <v>-77.487399999999994</v>
      </c>
    </row>
    <row r="8361" spans="1:18" x14ac:dyDescent="0.2">
      <c r="A8361" t="s">
        <v>439</v>
      </c>
      <c r="B8361" t="s">
        <v>4321</v>
      </c>
      <c r="C8361">
        <v>1</v>
      </c>
      <c r="D8361" s="1">
        <v>44228.911909722221</v>
      </c>
      <c r="E8361" t="s">
        <v>26125</v>
      </c>
      <c r="F8361" t="s">
        <v>442</v>
      </c>
      <c r="G8361" t="s">
        <v>26126</v>
      </c>
      <c r="H8361" t="s">
        <v>444</v>
      </c>
      <c r="I8361" t="s">
        <v>29</v>
      </c>
      <c r="J8361">
        <v>1</v>
      </c>
      <c r="K8361">
        <f>1-844-303-2282</f>
        <v>-3428</v>
      </c>
      <c r="L8361" t="s">
        <v>26127</v>
      </c>
      <c r="M8361" t="s">
        <v>26128</v>
      </c>
      <c r="N8361" t="s">
        <v>3441</v>
      </c>
      <c r="O8361" t="s">
        <v>28</v>
      </c>
      <c r="P8361" t="s">
        <v>29</v>
      </c>
      <c r="Q8361">
        <v>42</v>
      </c>
      <c r="R8361">
        <v>-87.629800000000003</v>
      </c>
    </row>
    <row r="8362" spans="1:18" x14ac:dyDescent="0.2">
      <c r="A8362" t="s">
        <v>663</v>
      </c>
      <c r="B8362" t="s">
        <v>2500</v>
      </c>
      <c r="C8362">
        <v>1</v>
      </c>
      <c r="D8362" s="1">
        <v>44228.92695601852</v>
      </c>
      <c r="E8362" t="s">
        <v>26129</v>
      </c>
      <c r="F8362" t="s">
        <v>666</v>
      </c>
      <c r="G8362" t="s">
        <v>26129</v>
      </c>
      <c r="H8362" t="s">
        <v>667</v>
      </c>
      <c r="I8362" t="s">
        <v>29</v>
      </c>
      <c r="J8362">
        <v>1</v>
      </c>
      <c r="K8362">
        <f>1-888-599-8054</f>
        <v>-9540</v>
      </c>
      <c r="L8362" t="s">
        <v>26130</v>
      </c>
      <c r="M8362" t="s">
        <v>26131</v>
      </c>
      <c r="N8362">
        <v>228</v>
      </c>
      <c r="O8362" t="s">
        <v>134</v>
      </c>
      <c r="P8362" t="s">
        <v>2500</v>
      </c>
      <c r="Q8362">
        <v>1</v>
      </c>
      <c r="R8362">
        <v>99.999999000000003</v>
      </c>
    </row>
    <row r="8363" spans="1:18" x14ac:dyDescent="0.2">
      <c r="A8363" t="s">
        <v>439</v>
      </c>
      <c r="B8363" t="s">
        <v>4321</v>
      </c>
      <c r="C8363">
        <v>81</v>
      </c>
      <c r="D8363" s="1">
        <v>44228.938240740739</v>
      </c>
      <c r="E8363" t="s">
        <v>26117</v>
      </c>
      <c r="F8363" t="s">
        <v>442</v>
      </c>
      <c r="G8363" t="s">
        <v>26132</v>
      </c>
      <c r="H8363" t="s">
        <v>444</v>
      </c>
      <c r="I8363" t="s">
        <v>53</v>
      </c>
      <c r="J8363">
        <v>81</v>
      </c>
      <c r="K8363">
        <f>81-50-3185-7409</f>
        <v>-10563</v>
      </c>
      <c r="L8363" t="s">
        <v>26133</v>
      </c>
      <c r="M8363" t="s">
        <v>26134</v>
      </c>
      <c r="N8363" t="s">
        <v>3441</v>
      </c>
      <c r="O8363" t="s">
        <v>28</v>
      </c>
      <c r="P8363" t="s">
        <v>29</v>
      </c>
      <c r="Q8363">
        <v>42</v>
      </c>
      <c r="R8363">
        <v>-87.629800000000003</v>
      </c>
    </row>
    <row r="8364" spans="1:18" x14ac:dyDescent="0.2">
      <c r="A8364" t="s">
        <v>663</v>
      </c>
      <c r="B8364" t="s">
        <v>2500</v>
      </c>
      <c r="C8364">
        <v>1</v>
      </c>
      <c r="D8364" s="1">
        <v>44228.944849537038</v>
      </c>
      <c r="E8364" t="s">
        <v>26135</v>
      </c>
      <c r="F8364" t="s">
        <v>666</v>
      </c>
      <c r="G8364" t="s">
        <v>26135</v>
      </c>
      <c r="H8364" t="s">
        <v>667</v>
      </c>
      <c r="I8364" t="s">
        <v>29</v>
      </c>
      <c r="J8364">
        <v>1</v>
      </c>
      <c r="K8364">
        <f>1-888-393-4112</f>
        <v>-5392</v>
      </c>
      <c r="L8364" t="s">
        <v>26136</v>
      </c>
      <c r="M8364" t="s">
        <v>26137</v>
      </c>
      <c r="N8364">
        <v>122</v>
      </c>
      <c r="O8364" t="s">
        <v>134</v>
      </c>
      <c r="P8364" t="s">
        <v>2500</v>
      </c>
      <c r="Q8364">
        <v>1</v>
      </c>
      <c r="R8364">
        <v>99.999999000000003</v>
      </c>
    </row>
    <row r="8365" spans="1:18" x14ac:dyDescent="0.2">
      <c r="A8365" t="s">
        <v>663</v>
      </c>
      <c r="B8365" t="s">
        <v>3245</v>
      </c>
      <c r="C8365">
        <v>81</v>
      </c>
      <c r="D8365" s="1">
        <v>44286.537824074076</v>
      </c>
      <c r="E8365" t="s">
        <v>26138</v>
      </c>
      <c r="F8365" t="s">
        <v>666</v>
      </c>
      <c r="G8365" t="s">
        <v>26139</v>
      </c>
      <c r="H8365" t="s">
        <v>667</v>
      </c>
      <c r="I8365" t="s">
        <v>53</v>
      </c>
      <c r="J8365">
        <v>81</v>
      </c>
      <c r="K8365">
        <f>81-50-5534-7373</f>
        <v>-12876</v>
      </c>
      <c r="L8365" t="s">
        <v>26140</v>
      </c>
      <c r="M8365" t="s">
        <v>26141</v>
      </c>
      <c r="N8365" t="s">
        <v>452</v>
      </c>
      <c r="O8365" t="s">
        <v>134</v>
      </c>
      <c r="P8365" t="s">
        <v>29</v>
      </c>
      <c r="Q8365">
        <v>41</v>
      </c>
      <c r="R8365">
        <v>-74.140299999999996</v>
      </c>
    </row>
    <row r="8366" spans="1:18" x14ac:dyDescent="0.2">
      <c r="A8366" t="s">
        <v>663</v>
      </c>
      <c r="B8366" t="s">
        <v>3245</v>
      </c>
      <c r="C8366">
        <v>81</v>
      </c>
      <c r="D8366" s="1">
        <v>44285.686655092592</v>
      </c>
      <c r="E8366" t="s">
        <v>26138</v>
      </c>
      <c r="F8366" t="s">
        <v>666</v>
      </c>
      <c r="G8366" t="s">
        <v>26139</v>
      </c>
      <c r="H8366" t="s">
        <v>667</v>
      </c>
      <c r="I8366" t="s">
        <v>53</v>
      </c>
      <c r="J8366">
        <v>81</v>
      </c>
      <c r="K8366">
        <f>81-50-5534-7373</f>
        <v>-12876</v>
      </c>
      <c r="L8366" t="s">
        <v>26142</v>
      </c>
      <c r="M8366" t="s">
        <v>26143</v>
      </c>
      <c r="N8366" t="s">
        <v>452</v>
      </c>
      <c r="O8366" t="s">
        <v>28</v>
      </c>
      <c r="P8366" t="s">
        <v>29</v>
      </c>
      <c r="Q8366">
        <v>41</v>
      </c>
      <c r="R8366">
        <v>-74.140299999999996</v>
      </c>
    </row>
    <row r="8367" spans="1:18" x14ac:dyDescent="0.2">
      <c r="A8367" t="s">
        <v>663</v>
      </c>
      <c r="B8367" t="s">
        <v>3245</v>
      </c>
      <c r="C8367">
        <v>81</v>
      </c>
      <c r="D8367" s="1">
        <v>44229.967557870368</v>
      </c>
      <c r="E8367" t="s">
        <v>26144</v>
      </c>
      <c r="F8367" t="s">
        <v>666</v>
      </c>
      <c r="G8367" t="s">
        <v>26139</v>
      </c>
      <c r="H8367" t="s">
        <v>667</v>
      </c>
      <c r="I8367" t="s">
        <v>53</v>
      </c>
      <c r="J8367">
        <v>81</v>
      </c>
      <c r="K8367">
        <f>81-50-5534-5732</f>
        <v>-11235</v>
      </c>
      <c r="L8367" t="s">
        <v>26145</v>
      </c>
      <c r="M8367" t="s">
        <v>26146</v>
      </c>
      <c r="N8367" t="s">
        <v>452</v>
      </c>
      <c r="O8367" t="s">
        <v>28</v>
      </c>
      <c r="P8367" t="s">
        <v>29</v>
      </c>
      <c r="Q8367">
        <v>41</v>
      </c>
      <c r="R8367">
        <v>-74.140299999999996</v>
      </c>
    </row>
    <row r="8368" spans="1:18" x14ac:dyDescent="0.2">
      <c r="A8368" t="s">
        <v>663</v>
      </c>
      <c r="B8368" t="s">
        <v>3245</v>
      </c>
      <c r="C8368">
        <v>81</v>
      </c>
      <c r="D8368" s="1">
        <v>44228.99728009259</v>
      </c>
      <c r="E8368" t="s">
        <v>26147</v>
      </c>
      <c r="F8368" t="s">
        <v>666</v>
      </c>
      <c r="G8368" t="s">
        <v>26139</v>
      </c>
      <c r="H8368" t="s">
        <v>667</v>
      </c>
      <c r="I8368" t="s">
        <v>53</v>
      </c>
      <c r="J8368">
        <v>81</v>
      </c>
      <c r="K8368">
        <f>81-50-5534-5732</f>
        <v>-11235</v>
      </c>
      <c r="L8368" t="s">
        <v>26148</v>
      </c>
      <c r="M8368" t="s">
        <v>26149</v>
      </c>
      <c r="N8368" t="s">
        <v>452</v>
      </c>
      <c r="O8368" t="s">
        <v>28</v>
      </c>
      <c r="P8368" t="s">
        <v>29</v>
      </c>
      <c r="Q8368">
        <v>41</v>
      </c>
      <c r="R8368">
        <v>-74.140299999999996</v>
      </c>
    </row>
    <row r="8369" spans="1:18" x14ac:dyDescent="0.2">
      <c r="A8369" t="s">
        <v>2233</v>
      </c>
      <c r="B8369" t="s">
        <v>6390</v>
      </c>
      <c r="C8369">
        <v>1</v>
      </c>
      <c r="D8369" s="1">
        <v>44229.159560185188</v>
      </c>
      <c r="E8369" t="s">
        <v>26150</v>
      </c>
      <c r="F8369" t="s">
        <v>2236</v>
      </c>
      <c r="G8369" t="s">
        <v>26151</v>
      </c>
      <c r="H8369" t="s">
        <v>2237</v>
      </c>
      <c r="I8369" t="s">
        <v>29</v>
      </c>
      <c r="J8369">
        <v>1</v>
      </c>
      <c r="K8369">
        <f>1-844-303-3551</f>
        <v>-4697</v>
      </c>
      <c r="L8369" t="s">
        <v>26152</v>
      </c>
      <c r="M8369" t="s">
        <v>26153</v>
      </c>
      <c r="N8369" t="s">
        <v>5354</v>
      </c>
      <c r="O8369" t="s">
        <v>134</v>
      </c>
      <c r="P8369" t="s">
        <v>29</v>
      </c>
      <c r="Q8369">
        <v>37</v>
      </c>
      <c r="R8369">
        <v>-99.999999000000003</v>
      </c>
    </row>
    <row r="8370" spans="1:18" x14ac:dyDescent="0.2">
      <c r="A8370" t="s">
        <v>675</v>
      </c>
      <c r="B8370" t="s">
        <v>1412</v>
      </c>
      <c r="C8370">
        <v>1</v>
      </c>
      <c r="D8370" s="1">
        <v>44229.75677083333</v>
      </c>
      <c r="E8370" t="s">
        <v>26154</v>
      </c>
      <c r="F8370" t="s">
        <v>678</v>
      </c>
      <c r="G8370" t="s">
        <v>26155</v>
      </c>
      <c r="H8370" t="s">
        <v>680</v>
      </c>
      <c r="I8370" t="s">
        <v>29</v>
      </c>
      <c r="J8370">
        <v>1</v>
      </c>
      <c r="K8370">
        <f>1-833-595-2148</f>
        <v>-3575</v>
      </c>
      <c r="L8370" t="s">
        <v>26156</v>
      </c>
      <c r="M8370" t="s">
        <v>26157</v>
      </c>
      <c r="N8370" t="s">
        <v>2475</v>
      </c>
      <c r="O8370" t="s">
        <v>134</v>
      </c>
      <c r="P8370" t="s">
        <v>29</v>
      </c>
      <c r="Q8370">
        <v>41</v>
      </c>
      <c r="R8370">
        <v>-74.172399999999996</v>
      </c>
    </row>
    <row r="8371" spans="1:18" x14ac:dyDescent="0.2">
      <c r="A8371" t="s">
        <v>663</v>
      </c>
      <c r="B8371" t="s">
        <v>2493</v>
      </c>
      <c r="C8371">
        <v>1</v>
      </c>
      <c r="D8371" s="1">
        <v>44229.750625000001</v>
      </c>
      <c r="E8371" t="s">
        <v>26158</v>
      </c>
      <c r="F8371" t="s">
        <v>666</v>
      </c>
      <c r="G8371" t="s">
        <v>26158</v>
      </c>
      <c r="H8371" t="s">
        <v>667</v>
      </c>
      <c r="I8371" t="s">
        <v>29</v>
      </c>
      <c r="J8371">
        <v>1</v>
      </c>
      <c r="K8371">
        <f>1-888-598-2292</f>
        <v>-3777</v>
      </c>
      <c r="L8371" t="s">
        <v>26159</v>
      </c>
      <c r="M8371" t="s">
        <v>26160</v>
      </c>
      <c r="N8371">
        <v>194</v>
      </c>
      <c r="O8371" t="s">
        <v>134</v>
      </c>
      <c r="P8371" t="s">
        <v>29</v>
      </c>
      <c r="Q8371">
        <v>41</v>
      </c>
      <c r="R8371">
        <v>-74.024699999999996</v>
      </c>
    </row>
    <row r="8372" spans="1:18" x14ac:dyDescent="0.2">
      <c r="A8372" t="s">
        <v>663</v>
      </c>
      <c r="B8372" t="s">
        <v>2493</v>
      </c>
      <c r="C8372">
        <v>1</v>
      </c>
      <c r="D8372" s="1">
        <v>44229.748356481483</v>
      </c>
      <c r="E8372" t="s">
        <v>26158</v>
      </c>
      <c r="F8372" t="s">
        <v>666</v>
      </c>
      <c r="G8372" t="s">
        <v>26158</v>
      </c>
      <c r="H8372" t="s">
        <v>667</v>
      </c>
      <c r="I8372" t="s">
        <v>29</v>
      </c>
      <c r="J8372">
        <v>1</v>
      </c>
      <c r="K8372">
        <f>1-888-615-988</f>
        <v>-2490</v>
      </c>
      <c r="L8372" t="s">
        <v>26161</v>
      </c>
      <c r="M8372" t="s">
        <v>26162</v>
      </c>
      <c r="N8372">
        <v>194</v>
      </c>
      <c r="O8372" t="s">
        <v>134</v>
      </c>
      <c r="P8372" t="s">
        <v>29</v>
      </c>
      <c r="Q8372">
        <v>41</v>
      </c>
      <c r="R8372">
        <v>-74.024699999999996</v>
      </c>
    </row>
    <row r="8373" spans="1:18" x14ac:dyDescent="0.2">
      <c r="A8373" t="s">
        <v>1200</v>
      </c>
      <c r="B8373" t="s">
        <v>2500</v>
      </c>
      <c r="C8373">
        <v>1</v>
      </c>
      <c r="D8373" s="1">
        <v>44229.749965277777</v>
      </c>
      <c r="E8373" t="s">
        <v>26163</v>
      </c>
      <c r="F8373" t="s">
        <v>1203</v>
      </c>
      <c r="G8373" t="s">
        <v>26164</v>
      </c>
      <c r="H8373" t="s">
        <v>1205</v>
      </c>
      <c r="I8373" t="s">
        <v>29</v>
      </c>
      <c r="J8373">
        <v>1</v>
      </c>
      <c r="K8373">
        <f>1-844-277-7132</f>
        <v>-8252</v>
      </c>
      <c r="L8373" t="s">
        <v>26165</v>
      </c>
      <c r="M8373" t="s">
        <v>26166</v>
      </c>
      <c r="N8373" t="s">
        <v>452</v>
      </c>
      <c r="O8373" t="s">
        <v>134</v>
      </c>
      <c r="P8373" t="s">
        <v>2500</v>
      </c>
      <c r="Q8373">
        <v>1</v>
      </c>
      <c r="R8373">
        <v>99.999999000000003</v>
      </c>
    </row>
    <row r="8374" spans="1:18" x14ac:dyDescent="0.2">
      <c r="A8374" t="s">
        <v>6904</v>
      </c>
      <c r="B8374" t="s">
        <v>6905</v>
      </c>
      <c r="C8374">
        <v>1</v>
      </c>
      <c r="D8374" s="1">
        <v>44229.781377314815</v>
      </c>
      <c r="E8374" t="s">
        <v>26167</v>
      </c>
      <c r="F8374" t="s">
        <v>6907</v>
      </c>
      <c r="G8374" t="s">
        <v>26168</v>
      </c>
      <c r="H8374" t="s">
        <v>6909</v>
      </c>
      <c r="I8374" t="s">
        <v>29</v>
      </c>
      <c r="J8374">
        <v>1</v>
      </c>
      <c r="K8374">
        <f>1-888-682-9764</f>
        <v>-11333</v>
      </c>
      <c r="L8374" t="s">
        <v>26169</v>
      </c>
      <c r="M8374" t="s">
        <v>26170</v>
      </c>
      <c r="N8374" t="s">
        <v>5354</v>
      </c>
      <c r="O8374" t="s">
        <v>134</v>
      </c>
      <c r="P8374" t="s">
        <v>29</v>
      </c>
      <c r="Q8374">
        <v>34</v>
      </c>
      <c r="R8374">
        <v>-99.999999000000003</v>
      </c>
    </row>
    <row r="8375" spans="1:18" x14ac:dyDescent="0.2">
      <c r="A8375" t="s">
        <v>1200</v>
      </c>
      <c r="B8375" t="s">
        <v>440</v>
      </c>
      <c r="C8375">
        <v>1</v>
      </c>
      <c r="D8375" s="1">
        <v>44229.782152777778</v>
      </c>
      <c r="E8375" t="s">
        <v>26171</v>
      </c>
      <c r="F8375" t="s">
        <v>1203</v>
      </c>
      <c r="G8375" t="s">
        <v>26172</v>
      </c>
      <c r="H8375" t="s">
        <v>1205</v>
      </c>
      <c r="I8375" t="s">
        <v>29</v>
      </c>
      <c r="J8375">
        <v>1</v>
      </c>
      <c r="K8375">
        <f>1-908-955-3589</f>
        <v>-5451</v>
      </c>
      <c r="L8375" t="s">
        <v>26173</v>
      </c>
      <c r="M8375" t="s">
        <v>26174</v>
      </c>
      <c r="N8375" t="s">
        <v>5354</v>
      </c>
      <c r="O8375" t="s">
        <v>134</v>
      </c>
      <c r="P8375" t="s">
        <v>29</v>
      </c>
      <c r="Q8375">
        <v>39</v>
      </c>
      <c r="R8375">
        <v>-77.472800000000007</v>
      </c>
    </row>
    <row r="8376" spans="1:18" x14ac:dyDescent="0.2">
      <c r="A8376" t="s">
        <v>675</v>
      </c>
      <c r="B8376" t="s">
        <v>1412</v>
      </c>
      <c r="C8376">
        <v>1</v>
      </c>
      <c r="D8376" s="1">
        <v>44229.783194444448</v>
      </c>
      <c r="E8376" t="s">
        <v>26175</v>
      </c>
      <c r="F8376" t="s">
        <v>678</v>
      </c>
      <c r="G8376" t="s">
        <v>26176</v>
      </c>
      <c r="H8376" t="s">
        <v>680</v>
      </c>
      <c r="I8376" t="s">
        <v>29</v>
      </c>
      <c r="J8376">
        <v>1</v>
      </c>
      <c r="K8376">
        <f>1-855-585-8598</f>
        <v>-10037</v>
      </c>
      <c r="L8376" t="s">
        <v>26177</v>
      </c>
      <c r="M8376" t="s">
        <v>26178</v>
      </c>
      <c r="N8376" t="s">
        <v>2475</v>
      </c>
      <c r="O8376" t="s">
        <v>28</v>
      </c>
      <c r="P8376" t="s">
        <v>29</v>
      </c>
      <c r="Q8376">
        <v>41</v>
      </c>
      <c r="R8376">
        <v>-74.172399999999996</v>
      </c>
    </row>
    <row r="8377" spans="1:18" x14ac:dyDescent="0.2">
      <c r="A8377" t="s">
        <v>663</v>
      </c>
      <c r="B8377" t="s">
        <v>2493</v>
      </c>
      <c r="C8377">
        <v>1</v>
      </c>
      <c r="D8377" s="1">
        <v>44229.810324074075</v>
      </c>
      <c r="E8377" t="s">
        <v>26179</v>
      </c>
      <c r="F8377" t="s">
        <v>666</v>
      </c>
      <c r="G8377" t="s">
        <v>26179</v>
      </c>
      <c r="H8377" t="s">
        <v>667</v>
      </c>
      <c r="I8377" t="s">
        <v>29</v>
      </c>
      <c r="J8377">
        <v>1</v>
      </c>
      <c r="K8377">
        <f>1-888-615-6522</f>
        <v>-8024</v>
      </c>
      <c r="L8377" t="s">
        <v>26180</v>
      </c>
      <c r="M8377" t="s">
        <v>26181</v>
      </c>
      <c r="N8377">
        <v>147</v>
      </c>
      <c r="O8377" t="s">
        <v>134</v>
      </c>
      <c r="P8377" t="s">
        <v>29</v>
      </c>
      <c r="Q8377">
        <v>41</v>
      </c>
      <c r="R8377">
        <v>-74.024699999999996</v>
      </c>
    </row>
    <row r="8378" spans="1:18" x14ac:dyDescent="0.2">
      <c r="A8378" t="s">
        <v>663</v>
      </c>
      <c r="B8378" t="s">
        <v>2493</v>
      </c>
      <c r="C8378">
        <v>1</v>
      </c>
      <c r="D8378" s="1">
        <v>44229.809953703705</v>
      </c>
      <c r="E8378" t="s">
        <v>26179</v>
      </c>
      <c r="F8378" t="s">
        <v>666</v>
      </c>
      <c r="G8378" t="s">
        <v>26179</v>
      </c>
      <c r="H8378" t="s">
        <v>667</v>
      </c>
      <c r="I8378" t="s">
        <v>29</v>
      </c>
      <c r="J8378">
        <v>1</v>
      </c>
      <c r="K8378">
        <f>1-888-483-7204</f>
        <v>-8574</v>
      </c>
      <c r="L8378" t="s">
        <v>26182</v>
      </c>
      <c r="M8378" t="s">
        <v>26183</v>
      </c>
      <c r="N8378">
        <v>147</v>
      </c>
      <c r="O8378" t="s">
        <v>134</v>
      </c>
      <c r="P8378" t="s">
        <v>29</v>
      </c>
      <c r="Q8378">
        <v>41</v>
      </c>
      <c r="R8378">
        <v>-74.024699999999996</v>
      </c>
    </row>
    <row r="8379" spans="1:18" x14ac:dyDescent="0.2">
      <c r="A8379" t="s">
        <v>439</v>
      </c>
      <c r="B8379" t="s">
        <v>4321</v>
      </c>
      <c r="C8379">
        <v>1</v>
      </c>
      <c r="D8379" s="1">
        <v>44229.827245370368</v>
      </c>
      <c r="E8379" t="s">
        <v>26184</v>
      </c>
      <c r="F8379" t="s">
        <v>442</v>
      </c>
      <c r="G8379" t="s">
        <v>26185</v>
      </c>
      <c r="H8379" t="s">
        <v>444</v>
      </c>
      <c r="I8379" t="s">
        <v>29</v>
      </c>
      <c r="J8379">
        <v>1</v>
      </c>
      <c r="K8379">
        <f>1-844-304-4211</f>
        <v>-5358</v>
      </c>
      <c r="L8379" t="s">
        <v>26186</v>
      </c>
      <c r="M8379" t="s">
        <v>26187</v>
      </c>
      <c r="N8379" t="s">
        <v>3441</v>
      </c>
      <c r="O8379" t="s">
        <v>28</v>
      </c>
      <c r="P8379" t="s">
        <v>29</v>
      </c>
      <c r="Q8379">
        <v>42</v>
      </c>
      <c r="R8379">
        <v>-87.629800000000003</v>
      </c>
    </row>
    <row r="8380" spans="1:18" x14ac:dyDescent="0.2">
      <c r="A8380" t="s">
        <v>439</v>
      </c>
      <c r="B8380" t="s">
        <v>4321</v>
      </c>
      <c r="C8380">
        <v>1</v>
      </c>
      <c r="D8380" s="1">
        <v>44229.829328703701</v>
      </c>
      <c r="E8380" t="s">
        <v>26188</v>
      </c>
      <c r="F8380" t="s">
        <v>442</v>
      </c>
      <c r="G8380" t="s">
        <v>26189</v>
      </c>
      <c r="H8380" t="s">
        <v>444</v>
      </c>
      <c r="I8380" t="s">
        <v>29</v>
      </c>
      <c r="J8380">
        <v>1</v>
      </c>
      <c r="K8380">
        <f>1-844-304-4211</f>
        <v>-5358</v>
      </c>
      <c r="L8380" t="s">
        <v>26190</v>
      </c>
      <c r="M8380" t="s">
        <v>26191</v>
      </c>
      <c r="N8380" t="s">
        <v>3441</v>
      </c>
      <c r="O8380" t="s">
        <v>28</v>
      </c>
      <c r="P8380" t="s">
        <v>29</v>
      </c>
      <c r="Q8380">
        <v>42</v>
      </c>
      <c r="R8380">
        <v>-87.629800000000003</v>
      </c>
    </row>
    <row r="8381" spans="1:18" x14ac:dyDescent="0.2">
      <c r="A8381" t="s">
        <v>439</v>
      </c>
      <c r="B8381" t="s">
        <v>4321</v>
      </c>
      <c r="C8381">
        <v>1</v>
      </c>
      <c r="D8381" s="1">
        <v>44229.852777777778</v>
      </c>
      <c r="E8381" t="s">
        <v>26192</v>
      </c>
      <c r="F8381" t="s">
        <v>442</v>
      </c>
      <c r="G8381" t="s">
        <v>26193</v>
      </c>
      <c r="H8381" t="s">
        <v>444</v>
      </c>
      <c r="I8381" t="s">
        <v>29</v>
      </c>
      <c r="J8381">
        <v>1</v>
      </c>
      <c r="K8381">
        <f>1-888-412-3088</f>
        <v>-4387</v>
      </c>
      <c r="L8381" t="s">
        <v>26194</v>
      </c>
      <c r="M8381" t="s">
        <v>26195</v>
      </c>
      <c r="N8381" t="s">
        <v>25195</v>
      </c>
      <c r="O8381" t="s">
        <v>28</v>
      </c>
      <c r="P8381" t="s">
        <v>29</v>
      </c>
      <c r="Q8381">
        <v>42</v>
      </c>
      <c r="R8381">
        <v>-87.629800000000003</v>
      </c>
    </row>
    <row r="8382" spans="1:18" x14ac:dyDescent="0.2">
      <c r="A8382" t="s">
        <v>663</v>
      </c>
      <c r="B8382" t="s">
        <v>664</v>
      </c>
      <c r="C8382">
        <v>1</v>
      </c>
      <c r="D8382" s="1">
        <v>44229.840243055558</v>
      </c>
      <c r="E8382" t="s">
        <v>26196</v>
      </c>
      <c r="F8382" t="s">
        <v>666</v>
      </c>
      <c r="G8382" t="s">
        <v>26197</v>
      </c>
      <c r="H8382" t="s">
        <v>667</v>
      </c>
      <c r="I8382" t="s">
        <v>29</v>
      </c>
      <c r="J8382">
        <v>1</v>
      </c>
      <c r="K8382">
        <f>1-888-599-6191</f>
        <v>-7677</v>
      </c>
      <c r="L8382" t="s">
        <v>26198</v>
      </c>
      <c r="M8382" t="s">
        <v>26199</v>
      </c>
      <c r="N8382" t="s">
        <v>25263</v>
      </c>
      <c r="O8382" t="s">
        <v>28</v>
      </c>
      <c r="P8382" t="s">
        <v>29</v>
      </c>
      <c r="Q8382">
        <v>37</v>
      </c>
      <c r="R8382">
        <v>-99.999999000000003</v>
      </c>
    </row>
    <row r="8383" spans="1:18" x14ac:dyDescent="0.2">
      <c r="A8383" t="s">
        <v>439</v>
      </c>
      <c r="B8383" t="s">
        <v>4321</v>
      </c>
      <c r="C8383">
        <v>1</v>
      </c>
      <c r="D8383" s="1">
        <v>44229.841631944444</v>
      </c>
      <c r="E8383" t="s">
        <v>26200</v>
      </c>
      <c r="F8383" t="s">
        <v>442</v>
      </c>
      <c r="G8383" t="s">
        <v>26201</v>
      </c>
      <c r="H8383" t="s">
        <v>444</v>
      </c>
      <c r="I8383" t="s">
        <v>29</v>
      </c>
      <c r="J8383">
        <v>1</v>
      </c>
      <c r="K8383">
        <f>1-888-412-3088</f>
        <v>-4387</v>
      </c>
      <c r="L8383" t="s">
        <v>26202</v>
      </c>
      <c r="M8383" t="s">
        <v>26203</v>
      </c>
      <c r="N8383" t="s">
        <v>25195</v>
      </c>
      <c r="O8383" t="s">
        <v>28</v>
      </c>
      <c r="P8383" t="s">
        <v>29</v>
      </c>
      <c r="Q8383">
        <v>42</v>
      </c>
      <c r="R8383">
        <v>-87.629800000000003</v>
      </c>
    </row>
    <row r="8384" spans="1:18" x14ac:dyDescent="0.2">
      <c r="A8384" t="s">
        <v>663</v>
      </c>
      <c r="B8384" t="s">
        <v>2500</v>
      </c>
      <c r="C8384">
        <v>1</v>
      </c>
      <c r="D8384" s="1">
        <v>44229.842581018522</v>
      </c>
      <c r="E8384" t="s">
        <v>26204</v>
      </c>
      <c r="F8384" t="s">
        <v>666</v>
      </c>
      <c r="G8384" t="s">
        <v>26204</v>
      </c>
      <c r="H8384" t="s">
        <v>667</v>
      </c>
      <c r="I8384" t="s">
        <v>29</v>
      </c>
      <c r="J8384">
        <v>1</v>
      </c>
      <c r="K8384">
        <f>1-888-350-7002</f>
        <v>-8239</v>
      </c>
      <c r="L8384" t="s">
        <v>26205</v>
      </c>
      <c r="M8384" t="s">
        <v>26206</v>
      </c>
      <c r="N8384">
        <v>252</v>
      </c>
      <c r="O8384" t="s">
        <v>134</v>
      </c>
      <c r="P8384" t="s">
        <v>2500</v>
      </c>
      <c r="Q8384">
        <v>1</v>
      </c>
      <c r="R8384">
        <v>99.999999000000003</v>
      </c>
    </row>
    <row r="8385" spans="1:18" x14ac:dyDescent="0.2">
      <c r="A8385" t="s">
        <v>663</v>
      </c>
      <c r="B8385" t="s">
        <v>2263</v>
      </c>
      <c r="C8385">
        <v>1</v>
      </c>
      <c r="D8385" s="1">
        <v>44229.872395833336</v>
      </c>
      <c r="E8385" t="s">
        <v>26207</v>
      </c>
      <c r="F8385" t="s">
        <v>666</v>
      </c>
      <c r="G8385" t="s">
        <v>26207</v>
      </c>
      <c r="H8385" t="s">
        <v>667</v>
      </c>
      <c r="I8385" t="s">
        <v>29</v>
      </c>
      <c r="J8385">
        <v>1</v>
      </c>
      <c r="K8385">
        <f>1-844-470-7582</f>
        <v>-8895</v>
      </c>
      <c r="L8385" t="s">
        <v>26208</v>
      </c>
      <c r="M8385" t="s">
        <v>26209</v>
      </c>
      <c r="N8385">
        <v>227</v>
      </c>
      <c r="O8385" t="s">
        <v>134</v>
      </c>
      <c r="P8385" t="s">
        <v>2268</v>
      </c>
      <c r="Q8385">
        <v>44</v>
      </c>
      <c r="R8385">
        <v>-79.362300000000005</v>
      </c>
    </row>
    <row r="8386" spans="1:18" x14ac:dyDescent="0.2">
      <c r="A8386" t="s">
        <v>439</v>
      </c>
      <c r="B8386" t="s">
        <v>4321</v>
      </c>
      <c r="C8386">
        <v>1</v>
      </c>
      <c r="D8386" s="1">
        <v>44229.893796296295</v>
      </c>
      <c r="E8386" t="s">
        <v>26210</v>
      </c>
      <c r="F8386" t="s">
        <v>442</v>
      </c>
      <c r="G8386" t="s">
        <v>26211</v>
      </c>
      <c r="H8386" t="s">
        <v>444</v>
      </c>
      <c r="I8386" t="s">
        <v>29</v>
      </c>
      <c r="J8386">
        <v>1</v>
      </c>
      <c r="K8386">
        <f>1-888-595-2280</f>
        <v>-3762</v>
      </c>
      <c r="L8386" t="s">
        <v>26212</v>
      </c>
      <c r="M8386" t="s">
        <v>26213</v>
      </c>
      <c r="N8386" t="s">
        <v>447</v>
      </c>
      <c r="O8386" t="s">
        <v>28</v>
      </c>
      <c r="P8386" t="s">
        <v>29</v>
      </c>
      <c r="Q8386">
        <v>42</v>
      </c>
      <c r="R8386">
        <v>-87.629800000000003</v>
      </c>
    </row>
    <row r="8387" spans="1:18" x14ac:dyDescent="0.2">
      <c r="A8387" t="s">
        <v>663</v>
      </c>
      <c r="B8387" t="s">
        <v>2500</v>
      </c>
      <c r="C8387">
        <v>1</v>
      </c>
      <c r="D8387" s="1">
        <v>44229.960914351854</v>
      </c>
      <c r="E8387" t="s">
        <v>26214</v>
      </c>
      <c r="F8387" t="s">
        <v>666</v>
      </c>
      <c r="G8387" t="s">
        <v>26214</v>
      </c>
      <c r="H8387" t="s">
        <v>667</v>
      </c>
      <c r="I8387" t="s">
        <v>29</v>
      </c>
      <c r="J8387">
        <v>1</v>
      </c>
      <c r="K8387">
        <f>1-844-333-4759</f>
        <v>-5935</v>
      </c>
      <c r="L8387" t="s">
        <v>26215</v>
      </c>
      <c r="M8387" t="s">
        <v>26216</v>
      </c>
      <c r="N8387">
        <v>48</v>
      </c>
      <c r="O8387" t="s">
        <v>134</v>
      </c>
      <c r="P8387" t="s">
        <v>2500</v>
      </c>
      <c r="Q8387">
        <v>1</v>
      </c>
      <c r="R8387">
        <v>99.999999000000003</v>
      </c>
    </row>
    <row r="8388" spans="1:18" x14ac:dyDescent="0.2">
      <c r="A8388" t="s">
        <v>663</v>
      </c>
      <c r="B8388" t="s">
        <v>2493</v>
      </c>
      <c r="C8388">
        <v>1</v>
      </c>
      <c r="D8388" s="1">
        <v>44229.939780092594</v>
      </c>
      <c r="E8388" t="s">
        <v>26217</v>
      </c>
      <c r="F8388" t="s">
        <v>666</v>
      </c>
      <c r="G8388" t="s">
        <v>26217</v>
      </c>
      <c r="H8388" t="s">
        <v>667</v>
      </c>
      <c r="I8388" t="s">
        <v>29</v>
      </c>
      <c r="J8388">
        <v>1</v>
      </c>
      <c r="K8388">
        <f>1-888-521-1857</f>
        <v>-3265</v>
      </c>
      <c r="L8388" t="s">
        <v>26218</v>
      </c>
      <c r="M8388" t="s">
        <v>26219</v>
      </c>
      <c r="N8388">
        <v>228</v>
      </c>
      <c r="O8388" t="s">
        <v>134</v>
      </c>
      <c r="P8388" t="s">
        <v>29</v>
      </c>
      <c r="Q8388">
        <v>41</v>
      </c>
      <c r="R8388">
        <v>-74.024699999999996</v>
      </c>
    </row>
    <row r="8389" spans="1:18" x14ac:dyDescent="0.2">
      <c r="A8389" t="s">
        <v>663</v>
      </c>
      <c r="B8389" t="s">
        <v>3245</v>
      </c>
      <c r="C8389">
        <v>1</v>
      </c>
      <c r="D8389" s="1">
        <v>44229.965787037036</v>
      </c>
      <c r="E8389" t="s">
        <v>26220</v>
      </c>
      <c r="F8389" t="s">
        <v>666</v>
      </c>
      <c r="G8389" t="s">
        <v>26221</v>
      </c>
      <c r="H8389" t="s">
        <v>667</v>
      </c>
      <c r="I8389" t="s">
        <v>29</v>
      </c>
      <c r="J8389">
        <v>1</v>
      </c>
      <c r="K8389">
        <f>1-844-303-8569</f>
        <v>-9715</v>
      </c>
      <c r="L8389" t="s">
        <v>26222</v>
      </c>
      <c r="M8389" t="s">
        <v>26223</v>
      </c>
      <c r="N8389" t="s">
        <v>3454</v>
      </c>
      <c r="O8389" t="s">
        <v>28</v>
      </c>
      <c r="P8389" t="s">
        <v>29</v>
      </c>
      <c r="Q8389">
        <v>41</v>
      </c>
      <c r="R8389">
        <v>-74.140299999999996</v>
      </c>
    </row>
    <row r="8390" spans="1:18" x14ac:dyDescent="0.2">
      <c r="A8390" t="s">
        <v>2233</v>
      </c>
      <c r="B8390" t="s">
        <v>440</v>
      </c>
      <c r="C8390">
        <v>1</v>
      </c>
      <c r="D8390" s="1">
        <v>44229.984560185185</v>
      </c>
      <c r="E8390" t="s">
        <v>26224</v>
      </c>
      <c r="F8390" t="s">
        <v>2236</v>
      </c>
      <c r="G8390" t="s">
        <v>26225</v>
      </c>
      <c r="H8390" t="s">
        <v>2237</v>
      </c>
      <c r="I8390" t="s">
        <v>29</v>
      </c>
      <c r="J8390">
        <v>1</v>
      </c>
      <c r="K8390">
        <f>1-888-410-2592</f>
        <v>-3889</v>
      </c>
      <c r="L8390" t="s">
        <v>26226</v>
      </c>
      <c r="M8390" t="s">
        <v>26227</v>
      </c>
      <c r="N8390" t="s">
        <v>5354</v>
      </c>
      <c r="O8390" t="s">
        <v>28</v>
      </c>
      <c r="P8390" t="s">
        <v>29</v>
      </c>
      <c r="Q8390">
        <v>39</v>
      </c>
      <c r="R8390">
        <v>-77.487399999999994</v>
      </c>
    </row>
    <row r="8391" spans="1:18" x14ac:dyDescent="0.2">
      <c r="A8391" t="s">
        <v>439</v>
      </c>
      <c r="B8391" t="s">
        <v>4321</v>
      </c>
      <c r="C8391">
        <v>1</v>
      </c>
      <c r="D8391" s="1">
        <v>44229.992662037039</v>
      </c>
      <c r="E8391" t="s">
        <v>26228</v>
      </c>
      <c r="F8391" t="s">
        <v>442</v>
      </c>
      <c r="G8391" t="s">
        <v>26229</v>
      </c>
      <c r="H8391" t="s">
        <v>444</v>
      </c>
      <c r="I8391" t="s">
        <v>29</v>
      </c>
      <c r="J8391">
        <v>1</v>
      </c>
      <c r="K8391">
        <f>1-888-612-5027</f>
        <v>-6526</v>
      </c>
      <c r="L8391" t="s">
        <v>26230</v>
      </c>
      <c r="M8391" t="s">
        <v>26231</v>
      </c>
      <c r="N8391" t="s">
        <v>447</v>
      </c>
      <c r="O8391" t="s">
        <v>28</v>
      </c>
      <c r="P8391" t="s">
        <v>29</v>
      </c>
      <c r="Q8391">
        <v>42</v>
      </c>
      <c r="R8391">
        <v>-87.629800000000003</v>
      </c>
    </row>
    <row r="8392" spans="1:18" x14ac:dyDescent="0.2">
      <c r="A8392" t="s">
        <v>439</v>
      </c>
      <c r="B8392" t="s">
        <v>4321</v>
      </c>
      <c r="C8392">
        <v>1</v>
      </c>
      <c r="D8392" s="1">
        <v>44230.775057870371</v>
      </c>
      <c r="E8392" t="s">
        <v>26232</v>
      </c>
      <c r="F8392" t="s">
        <v>442</v>
      </c>
      <c r="G8392" t="s">
        <v>26233</v>
      </c>
      <c r="H8392" t="s">
        <v>444</v>
      </c>
      <c r="I8392" t="s">
        <v>29</v>
      </c>
      <c r="J8392">
        <v>1</v>
      </c>
      <c r="K8392">
        <f>1-844-302-1623</f>
        <v>-2768</v>
      </c>
      <c r="L8392" t="s">
        <v>26234</v>
      </c>
      <c r="M8392" t="s">
        <v>26235</v>
      </c>
      <c r="N8392" t="s">
        <v>3441</v>
      </c>
      <c r="O8392" t="s">
        <v>28</v>
      </c>
      <c r="P8392" t="s">
        <v>29</v>
      </c>
      <c r="Q8392">
        <v>42</v>
      </c>
      <c r="R8392">
        <v>-87.629800000000003</v>
      </c>
    </row>
    <row r="8393" spans="1:18" x14ac:dyDescent="0.2">
      <c r="A8393" t="s">
        <v>2233</v>
      </c>
      <c r="B8393" t="s">
        <v>2234</v>
      </c>
      <c r="C8393">
        <v>1</v>
      </c>
      <c r="D8393" s="1">
        <v>44230.778229166666</v>
      </c>
      <c r="E8393" t="s">
        <v>25177</v>
      </c>
      <c r="F8393" t="s">
        <v>2236</v>
      </c>
      <c r="G8393" t="s">
        <v>26236</v>
      </c>
      <c r="H8393" t="s">
        <v>2237</v>
      </c>
      <c r="I8393" t="s">
        <v>29</v>
      </c>
      <c r="J8393">
        <v>1</v>
      </c>
      <c r="K8393">
        <f>1-888-504-4479</f>
        <v>-5870</v>
      </c>
      <c r="L8393" t="s">
        <v>26237</v>
      </c>
      <c r="M8393" t="s">
        <v>26238</v>
      </c>
      <c r="N8393" t="s">
        <v>5354</v>
      </c>
      <c r="O8393" t="s">
        <v>28</v>
      </c>
      <c r="P8393" t="s">
        <v>29</v>
      </c>
      <c r="Q8393">
        <v>40</v>
      </c>
      <c r="R8393">
        <v>-83.114099999999993</v>
      </c>
    </row>
    <row r="8394" spans="1:18" x14ac:dyDescent="0.2">
      <c r="A8394" t="s">
        <v>663</v>
      </c>
      <c r="B8394" t="s">
        <v>2493</v>
      </c>
      <c r="C8394">
        <v>1</v>
      </c>
      <c r="D8394" s="1">
        <v>44230.818958333337</v>
      </c>
      <c r="E8394" t="s">
        <v>26239</v>
      </c>
      <c r="F8394" t="s">
        <v>666</v>
      </c>
      <c r="G8394" t="s">
        <v>26239</v>
      </c>
      <c r="H8394" t="s">
        <v>667</v>
      </c>
      <c r="I8394" t="s">
        <v>29</v>
      </c>
      <c r="J8394">
        <v>1</v>
      </c>
      <c r="K8394">
        <f>1-888-476-5609</f>
        <v>-6972</v>
      </c>
      <c r="L8394" t="s">
        <v>26240</v>
      </c>
      <c r="M8394" t="s">
        <v>26241</v>
      </c>
      <c r="N8394">
        <v>146</v>
      </c>
      <c r="O8394" t="s">
        <v>134</v>
      </c>
      <c r="P8394" t="s">
        <v>29</v>
      </c>
      <c r="Q8394">
        <v>41</v>
      </c>
      <c r="R8394">
        <v>-74.024699999999996</v>
      </c>
    </row>
    <row r="8395" spans="1:18" x14ac:dyDescent="0.2">
      <c r="A8395" t="s">
        <v>663</v>
      </c>
      <c r="B8395" t="s">
        <v>2493</v>
      </c>
      <c r="C8395">
        <v>1</v>
      </c>
      <c r="D8395" s="1">
        <v>44230.817245370374</v>
      </c>
      <c r="E8395" t="s">
        <v>26239</v>
      </c>
      <c r="F8395" t="s">
        <v>666</v>
      </c>
      <c r="G8395" t="s">
        <v>26239</v>
      </c>
      <c r="H8395" t="s">
        <v>667</v>
      </c>
      <c r="I8395" t="s">
        <v>29</v>
      </c>
      <c r="J8395">
        <v>1</v>
      </c>
      <c r="K8395">
        <f>1-888-614-1255</f>
        <v>-2756</v>
      </c>
      <c r="L8395" t="s">
        <v>26242</v>
      </c>
      <c r="M8395" t="s">
        <v>26243</v>
      </c>
      <c r="N8395">
        <v>146</v>
      </c>
      <c r="O8395" t="s">
        <v>134</v>
      </c>
      <c r="P8395" t="s">
        <v>29</v>
      </c>
      <c r="Q8395">
        <v>41</v>
      </c>
      <c r="R8395">
        <v>-74.024699999999996</v>
      </c>
    </row>
    <row r="8396" spans="1:18" x14ac:dyDescent="0.2">
      <c r="A8396" t="s">
        <v>663</v>
      </c>
      <c r="B8396" t="s">
        <v>2500</v>
      </c>
      <c r="C8396">
        <v>1</v>
      </c>
      <c r="D8396" s="1">
        <v>44230.840092592596</v>
      </c>
      <c r="E8396" t="s">
        <v>26244</v>
      </c>
      <c r="F8396" t="s">
        <v>666</v>
      </c>
      <c r="G8396" t="s">
        <v>26244</v>
      </c>
      <c r="H8396" t="s">
        <v>667</v>
      </c>
      <c r="I8396" t="s">
        <v>29</v>
      </c>
      <c r="J8396">
        <v>1</v>
      </c>
      <c r="K8396">
        <f>1-833-220-3987</f>
        <v>-5039</v>
      </c>
      <c r="L8396" t="s">
        <v>26245</v>
      </c>
      <c r="M8396" t="s">
        <v>26246</v>
      </c>
      <c r="N8396">
        <v>175</v>
      </c>
      <c r="O8396" t="s">
        <v>134</v>
      </c>
      <c r="P8396" t="s">
        <v>2500</v>
      </c>
      <c r="Q8396">
        <v>1</v>
      </c>
      <c r="R8396">
        <v>99.999999000000003</v>
      </c>
    </row>
    <row r="8397" spans="1:18" x14ac:dyDescent="0.2">
      <c r="A8397" t="s">
        <v>663</v>
      </c>
      <c r="B8397" t="s">
        <v>2500</v>
      </c>
      <c r="C8397">
        <v>1</v>
      </c>
      <c r="D8397" s="1">
        <v>44230.832824074074</v>
      </c>
      <c r="E8397" t="s">
        <v>26244</v>
      </c>
      <c r="F8397" t="s">
        <v>666</v>
      </c>
      <c r="G8397" t="s">
        <v>26244</v>
      </c>
      <c r="H8397" t="s">
        <v>667</v>
      </c>
      <c r="I8397" t="s">
        <v>29</v>
      </c>
      <c r="J8397">
        <v>1</v>
      </c>
      <c r="K8397">
        <f>1-888-334-1159</f>
        <v>-2380</v>
      </c>
      <c r="L8397" t="s">
        <v>26247</v>
      </c>
      <c r="M8397" t="s">
        <v>26248</v>
      </c>
      <c r="N8397">
        <v>175</v>
      </c>
      <c r="O8397" t="s">
        <v>134</v>
      </c>
      <c r="P8397" t="s">
        <v>2500</v>
      </c>
      <c r="Q8397">
        <v>1</v>
      </c>
      <c r="R8397">
        <v>99.999999000000003</v>
      </c>
    </row>
    <row r="8398" spans="1:18" x14ac:dyDescent="0.2">
      <c r="A8398" t="s">
        <v>663</v>
      </c>
      <c r="B8398" t="s">
        <v>2493</v>
      </c>
      <c r="C8398">
        <v>1</v>
      </c>
      <c r="D8398" s="1">
        <v>44230.837812500002</v>
      </c>
      <c r="E8398" t="s">
        <v>26249</v>
      </c>
      <c r="F8398" t="s">
        <v>666</v>
      </c>
      <c r="G8398" t="s">
        <v>26249</v>
      </c>
      <c r="H8398" t="s">
        <v>667</v>
      </c>
      <c r="I8398" t="s">
        <v>29</v>
      </c>
      <c r="J8398">
        <v>1</v>
      </c>
      <c r="K8398">
        <f>1-888-614-2052</f>
        <v>-3553</v>
      </c>
      <c r="L8398" t="s">
        <v>26250</v>
      </c>
      <c r="M8398" t="s">
        <v>26251</v>
      </c>
      <c r="N8398">
        <v>150</v>
      </c>
      <c r="O8398" t="s">
        <v>134</v>
      </c>
      <c r="P8398" t="s">
        <v>29</v>
      </c>
      <c r="Q8398">
        <v>41</v>
      </c>
      <c r="R8398">
        <v>-74.024699999999996</v>
      </c>
    </row>
    <row r="8399" spans="1:18" x14ac:dyDescent="0.2">
      <c r="A8399" t="s">
        <v>439</v>
      </c>
      <c r="B8399" t="s">
        <v>4321</v>
      </c>
      <c r="C8399">
        <v>1</v>
      </c>
      <c r="D8399" s="1">
        <v>44230.838819444441</v>
      </c>
      <c r="E8399" t="s">
        <v>26252</v>
      </c>
      <c r="F8399" t="s">
        <v>442</v>
      </c>
      <c r="G8399" t="s">
        <v>26253</v>
      </c>
      <c r="H8399" t="s">
        <v>444</v>
      </c>
      <c r="I8399" t="s">
        <v>29</v>
      </c>
      <c r="J8399">
        <v>1</v>
      </c>
      <c r="K8399">
        <f>1-888-412-3088</f>
        <v>-4387</v>
      </c>
      <c r="L8399" t="s">
        <v>26254</v>
      </c>
      <c r="M8399" t="s">
        <v>26255</v>
      </c>
      <c r="N8399" t="s">
        <v>25195</v>
      </c>
      <c r="O8399" t="s">
        <v>28</v>
      </c>
      <c r="P8399" t="s">
        <v>29</v>
      </c>
      <c r="Q8399">
        <v>42</v>
      </c>
      <c r="R8399">
        <v>-87.629800000000003</v>
      </c>
    </row>
    <row r="8400" spans="1:18" x14ac:dyDescent="0.2">
      <c r="A8400" t="s">
        <v>663</v>
      </c>
      <c r="B8400" t="s">
        <v>2500</v>
      </c>
      <c r="C8400">
        <v>1</v>
      </c>
      <c r="D8400" s="1">
        <v>44230.951921296299</v>
      </c>
      <c r="E8400" t="s">
        <v>26256</v>
      </c>
      <c r="F8400" t="s">
        <v>666</v>
      </c>
      <c r="G8400" t="s">
        <v>26256</v>
      </c>
      <c r="H8400" t="s">
        <v>667</v>
      </c>
      <c r="I8400" t="s">
        <v>29</v>
      </c>
      <c r="J8400">
        <v>1</v>
      </c>
      <c r="K8400">
        <f>1-888-401-2374</f>
        <v>-3662</v>
      </c>
      <c r="L8400" t="s">
        <v>26257</v>
      </c>
      <c r="M8400" t="s">
        <v>26258</v>
      </c>
      <c r="N8400">
        <v>76</v>
      </c>
      <c r="O8400" t="s">
        <v>134</v>
      </c>
      <c r="P8400" t="s">
        <v>2500</v>
      </c>
      <c r="Q8400">
        <v>1</v>
      </c>
      <c r="R8400">
        <v>99.999999000000003</v>
      </c>
    </row>
    <row r="8401" spans="1:18" x14ac:dyDescent="0.2">
      <c r="A8401" t="s">
        <v>439</v>
      </c>
      <c r="B8401" t="s">
        <v>4321</v>
      </c>
      <c r="C8401">
        <v>81</v>
      </c>
      <c r="D8401" s="1">
        <v>44230.955208333333</v>
      </c>
      <c r="E8401" t="s">
        <v>26259</v>
      </c>
      <c r="F8401" t="s">
        <v>442</v>
      </c>
      <c r="G8401" t="s">
        <v>26260</v>
      </c>
      <c r="H8401" t="s">
        <v>444</v>
      </c>
      <c r="I8401" t="s">
        <v>53</v>
      </c>
      <c r="J8401">
        <v>81</v>
      </c>
      <c r="K8401">
        <f>81-50-5539-9383</f>
        <v>-14891</v>
      </c>
      <c r="L8401" t="s">
        <v>26261</v>
      </c>
      <c r="M8401" t="s">
        <v>26262</v>
      </c>
      <c r="N8401" t="s">
        <v>213</v>
      </c>
      <c r="O8401" t="s">
        <v>28</v>
      </c>
      <c r="P8401" t="s">
        <v>29</v>
      </c>
      <c r="Q8401">
        <v>42</v>
      </c>
      <c r="R8401">
        <v>-87.629800000000003</v>
      </c>
    </row>
    <row r="8402" spans="1:18" x14ac:dyDescent="0.2">
      <c r="A8402" t="s">
        <v>663</v>
      </c>
      <c r="B8402" t="s">
        <v>2263</v>
      </c>
      <c r="C8402">
        <v>81</v>
      </c>
      <c r="D8402" s="1">
        <v>44233.212361111109</v>
      </c>
      <c r="E8402" t="s">
        <v>26263</v>
      </c>
      <c r="F8402" t="s">
        <v>666</v>
      </c>
      <c r="G8402" t="s">
        <v>26264</v>
      </c>
      <c r="H8402" t="s">
        <v>667</v>
      </c>
      <c r="I8402" t="s">
        <v>53</v>
      </c>
      <c r="J8402">
        <v>81</v>
      </c>
      <c r="K8402">
        <f>81-50-5534-5732</f>
        <v>-11235</v>
      </c>
      <c r="L8402" s="2" t="s">
        <v>26265</v>
      </c>
      <c r="M8402" t="s">
        <v>26266</v>
      </c>
      <c r="N8402" t="s">
        <v>452</v>
      </c>
      <c r="O8402" t="s">
        <v>28</v>
      </c>
      <c r="P8402" t="s">
        <v>2268</v>
      </c>
      <c r="Q8402">
        <v>44</v>
      </c>
      <c r="R8402">
        <v>-79.362300000000005</v>
      </c>
    </row>
    <row r="8403" spans="1:18" x14ac:dyDescent="0.2">
      <c r="A8403" t="s">
        <v>663</v>
      </c>
      <c r="B8403" t="s">
        <v>2263</v>
      </c>
      <c r="C8403">
        <v>81</v>
      </c>
      <c r="D8403" s="1">
        <v>44232.681469907409</v>
      </c>
      <c r="E8403" t="s">
        <v>26267</v>
      </c>
      <c r="F8403" t="s">
        <v>666</v>
      </c>
      <c r="G8403" t="s">
        <v>26264</v>
      </c>
      <c r="H8403" t="s">
        <v>667</v>
      </c>
      <c r="I8403" t="s">
        <v>53</v>
      </c>
      <c r="J8403">
        <v>81</v>
      </c>
      <c r="K8403">
        <f>81-50-5534-5732</f>
        <v>-11235</v>
      </c>
      <c r="L8403" t="s">
        <v>26268</v>
      </c>
      <c r="M8403" t="s">
        <v>26269</v>
      </c>
      <c r="N8403" t="s">
        <v>452</v>
      </c>
      <c r="O8403" t="s">
        <v>28</v>
      </c>
      <c r="P8403" t="s">
        <v>2268</v>
      </c>
      <c r="Q8403">
        <v>44</v>
      </c>
      <c r="R8403">
        <v>-79.362300000000005</v>
      </c>
    </row>
    <row r="8404" spans="1:18" x14ac:dyDescent="0.2">
      <c r="A8404" t="s">
        <v>663</v>
      </c>
      <c r="B8404" t="s">
        <v>2263</v>
      </c>
      <c r="C8404">
        <v>81</v>
      </c>
      <c r="D8404" s="1">
        <v>44231.997627314813</v>
      </c>
      <c r="E8404" t="s">
        <v>26267</v>
      </c>
      <c r="F8404" t="s">
        <v>666</v>
      </c>
      <c r="G8404" t="s">
        <v>26264</v>
      </c>
      <c r="H8404" t="s">
        <v>667</v>
      </c>
      <c r="I8404" t="s">
        <v>53</v>
      </c>
      <c r="J8404">
        <v>81</v>
      </c>
      <c r="K8404">
        <f>81-50-5534-5732</f>
        <v>-11235</v>
      </c>
      <c r="L8404" t="s">
        <v>26270</v>
      </c>
      <c r="M8404" t="s">
        <v>26271</v>
      </c>
      <c r="N8404" t="s">
        <v>452</v>
      </c>
      <c r="O8404" t="s">
        <v>28</v>
      </c>
      <c r="P8404" t="s">
        <v>2268</v>
      </c>
      <c r="Q8404">
        <v>44</v>
      </c>
      <c r="R8404">
        <v>-79.362300000000005</v>
      </c>
    </row>
    <row r="8405" spans="1:18" x14ac:dyDescent="0.2">
      <c r="A8405" t="s">
        <v>663</v>
      </c>
      <c r="B8405" t="s">
        <v>2263</v>
      </c>
      <c r="C8405">
        <v>81</v>
      </c>
      <c r="D8405" s="1">
        <v>44232.680127314816</v>
      </c>
      <c r="E8405" t="s">
        <v>26272</v>
      </c>
      <c r="F8405" t="s">
        <v>666</v>
      </c>
      <c r="G8405" t="s">
        <v>26264</v>
      </c>
      <c r="H8405" t="s">
        <v>667</v>
      </c>
      <c r="I8405" t="s">
        <v>53</v>
      </c>
      <c r="J8405">
        <v>81</v>
      </c>
      <c r="K8405">
        <f>81-50-5532-7925</f>
        <v>-13426</v>
      </c>
      <c r="L8405" t="s">
        <v>26273</v>
      </c>
      <c r="M8405" t="s">
        <v>26274</v>
      </c>
      <c r="N8405" t="s">
        <v>452</v>
      </c>
      <c r="O8405" t="s">
        <v>28</v>
      </c>
      <c r="P8405" t="s">
        <v>2268</v>
      </c>
      <c r="Q8405">
        <v>44</v>
      </c>
      <c r="R8405">
        <v>-79.362300000000005</v>
      </c>
    </row>
    <row r="8406" spans="1:18" x14ac:dyDescent="0.2">
      <c r="A8406" t="s">
        <v>663</v>
      </c>
      <c r="B8406" t="s">
        <v>2263</v>
      </c>
      <c r="C8406">
        <v>81</v>
      </c>
      <c r="D8406" s="1">
        <v>44230.959594907406</v>
      </c>
      <c r="E8406" t="s">
        <v>26272</v>
      </c>
      <c r="F8406" t="s">
        <v>666</v>
      </c>
      <c r="G8406" t="s">
        <v>26264</v>
      </c>
      <c r="H8406" t="s">
        <v>667</v>
      </c>
      <c r="I8406" t="s">
        <v>53</v>
      </c>
      <c r="J8406">
        <v>81</v>
      </c>
      <c r="K8406">
        <f>81-50-5532-7925</f>
        <v>-13426</v>
      </c>
      <c r="L8406" t="s">
        <v>26275</v>
      </c>
      <c r="M8406" t="s">
        <v>26276</v>
      </c>
      <c r="N8406" t="s">
        <v>452</v>
      </c>
      <c r="O8406" t="s">
        <v>28</v>
      </c>
      <c r="P8406" t="s">
        <v>2268</v>
      </c>
      <c r="Q8406">
        <v>44</v>
      </c>
      <c r="R8406">
        <v>-79.362300000000005</v>
      </c>
    </row>
    <row r="8407" spans="1:18" x14ac:dyDescent="0.2">
      <c r="A8407" t="s">
        <v>663</v>
      </c>
      <c r="B8407" t="s">
        <v>664</v>
      </c>
      <c r="C8407">
        <v>1</v>
      </c>
      <c r="D8407" s="1">
        <v>44231.015567129631</v>
      </c>
      <c r="E8407" t="s">
        <v>26277</v>
      </c>
      <c r="F8407" t="s">
        <v>666</v>
      </c>
      <c r="G8407" t="s">
        <v>26277</v>
      </c>
      <c r="H8407" t="s">
        <v>667</v>
      </c>
      <c r="I8407" t="s">
        <v>29</v>
      </c>
      <c r="J8407">
        <v>1</v>
      </c>
      <c r="K8407">
        <f>1-888-527-8882</f>
        <v>-10296</v>
      </c>
      <c r="L8407" t="s">
        <v>26278</v>
      </c>
      <c r="M8407" t="s">
        <v>26279</v>
      </c>
      <c r="N8407">
        <v>164</v>
      </c>
      <c r="O8407" t="s">
        <v>134</v>
      </c>
      <c r="P8407" t="s">
        <v>29</v>
      </c>
      <c r="Q8407">
        <v>37</v>
      </c>
      <c r="R8407">
        <v>-99.999999000000003</v>
      </c>
    </row>
    <row r="8408" spans="1:18" x14ac:dyDescent="0.2">
      <c r="A8408" t="s">
        <v>1650</v>
      </c>
      <c r="B8408" t="s">
        <v>454</v>
      </c>
      <c r="C8408">
        <v>1</v>
      </c>
      <c r="D8408" s="1">
        <v>44231.21634259259</v>
      </c>
      <c r="E8408" t="s">
        <v>26280</v>
      </c>
      <c r="F8408" t="s">
        <v>1653</v>
      </c>
      <c r="G8408" t="s">
        <v>26281</v>
      </c>
      <c r="H8408" t="s">
        <v>1655</v>
      </c>
      <c r="I8408" t="s">
        <v>29</v>
      </c>
      <c r="J8408">
        <v>1</v>
      </c>
      <c r="K8408">
        <f>1-844-304-5647</f>
        <v>-6794</v>
      </c>
      <c r="L8408" t="s">
        <v>26282</v>
      </c>
      <c r="M8408" t="s">
        <v>26283</v>
      </c>
      <c r="N8408" t="s">
        <v>452</v>
      </c>
      <c r="O8408" t="s">
        <v>28</v>
      </c>
      <c r="P8408" t="s">
        <v>461</v>
      </c>
      <c r="Q8408">
        <v>52</v>
      </c>
      <c r="R8408">
        <v>4.8945400000000001</v>
      </c>
    </row>
    <row r="8409" spans="1:18" x14ac:dyDescent="0.2">
      <c r="A8409" t="s">
        <v>2233</v>
      </c>
      <c r="B8409" t="s">
        <v>2234</v>
      </c>
      <c r="C8409">
        <v>46</v>
      </c>
      <c r="D8409" s="1">
        <v>44231.615347222221</v>
      </c>
      <c r="E8409" t="s">
        <v>26284</v>
      </c>
      <c r="F8409" t="s">
        <v>7023</v>
      </c>
      <c r="G8409" t="s">
        <v>26284</v>
      </c>
      <c r="H8409" t="s">
        <v>2237</v>
      </c>
      <c r="I8409" t="s">
        <v>7680</v>
      </c>
      <c r="J8409">
        <v>46</v>
      </c>
      <c r="K8409">
        <f>46-51-42-912</f>
        <v>-959</v>
      </c>
      <c r="L8409" t="s">
        <v>26285</v>
      </c>
      <c r="M8409" t="s">
        <v>26286</v>
      </c>
      <c r="N8409">
        <v>135</v>
      </c>
      <c r="O8409" t="s">
        <v>134</v>
      </c>
      <c r="P8409" t="s">
        <v>6188</v>
      </c>
      <c r="Q8409">
        <v>53</v>
      </c>
      <c r="R8409">
        <v>-6.2603099999999996</v>
      </c>
    </row>
    <row r="8410" spans="1:18" x14ac:dyDescent="0.2">
      <c r="A8410" t="s">
        <v>2233</v>
      </c>
      <c r="B8410" t="s">
        <v>2234</v>
      </c>
      <c r="C8410">
        <v>47</v>
      </c>
      <c r="D8410" s="1">
        <v>44231.613576388889</v>
      </c>
      <c r="E8410" t="s">
        <v>26284</v>
      </c>
      <c r="F8410" t="s">
        <v>7023</v>
      </c>
      <c r="G8410" t="s">
        <v>26284</v>
      </c>
      <c r="H8410" t="s">
        <v>2237</v>
      </c>
      <c r="I8410" t="s">
        <v>6185</v>
      </c>
      <c r="J8410">
        <v>47</v>
      </c>
      <c r="K8410">
        <f>47-23-96-38-45</f>
        <v>-155</v>
      </c>
      <c r="L8410" t="s">
        <v>26287</v>
      </c>
      <c r="M8410" t="s">
        <v>26288</v>
      </c>
      <c r="N8410">
        <v>135</v>
      </c>
      <c r="O8410" t="s">
        <v>134</v>
      </c>
      <c r="P8410" t="s">
        <v>6188</v>
      </c>
      <c r="Q8410">
        <v>53</v>
      </c>
      <c r="R8410">
        <v>-6.2603099999999996</v>
      </c>
    </row>
    <row r="8411" spans="1:18" x14ac:dyDescent="0.2">
      <c r="A8411" t="s">
        <v>2233</v>
      </c>
      <c r="B8411" t="s">
        <v>2234</v>
      </c>
      <c r="C8411">
        <v>33</v>
      </c>
      <c r="D8411" s="1">
        <v>44231.632557870369</v>
      </c>
      <c r="E8411" t="s">
        <v>26289</v>
      </c>
      <c r="F8411" t="s">
        <v>2236</v>
      </c>
      <c r="G8411" t="s">
        <v>26289</v>
      </c>
      <c r="H8411" t="s">
        <v>2237</v>
      </c>
      <c r="I8411" t="s">
        <v>292</v>
      </c>
      <c r="J8411">
        <v>33</v>
      </c>
      <c r="K8411">
        <f>33-1-84-14-27</f>
        <v>-93</v>
      </c>
      <c r="L8411" t="s">
        <v>26290</v>
      </c>
      <c r="M8411" t="s">
        <v>26291</v>
      </c>
      <c r="N8411">
        <v>243</v>
      </c>
      <c r="O8411" t="s">
        <v>134</v>
      </c>
      <c r="P8411" t="s">
        <v>6188</v>
      </c>
      <c r="Q8411">
        <v>53</v>
      </c>
      <c r="R8411">
        <v>-6.2603099999999996</v>
      </c>
    </row>
    <row r="8412" spans="1:18" x14ac:dyDescent="0.2">
      <c r="A8412" t="s">
        <v>2233</v>
      </c>
      <c r="B8412" t="s">
        <v>2234</v>
      </c>
      <c r="C8412">
        <v>31</v>
      </c>
      <c r="D8412" s="1">
        <v>44231.623993055553</v>
      </c>
      <c r="E8412" t="s">
        <v>26289</v>
      </c>
      <c r="F8412" t="s">
        <v>2236</v>
      </c>
      <c r="G8412" t="s">
        <v>26289</v>
      </c>
      <c r="H8412" t="s">
        <v>2237</v>
      </c>
      <c r="I8412" t="s">
        <v>461</v>
      </c>
      <c r="J8412">
        <v>31</v>
      </c>
      <c r="K8412">
        <f>31-30-808-204</f>
        <v>-1011</v>
      </c>
      <c r="L8412" t="s">
        <v>26292</v>
      </c>
      <c r="M8412" t="s">
        <v>26293</v>
      </c>
      <c r="N8412">
        <v>243</v>
      </c>
      <c r="O8412" t="s">
        <v>134</v>
      </c>
      <c r="P8412" t="s">
        <v>6188</v>
      </c>
      <c r="Q8412">
        <v>53</v>
      </c>
      <c r="R8412">
        <v>-6.2603099999999996</v>
      </c>
    </row>
    <row r="8413" spans="1:18" x14ac:dyDescent="0.2">
      <c r="A8413" t="s">
        <v>2233</v>
      </c>
      <c r="B8413" t="s">
        <v>2234</v>
      </c>
      <c r="C8413">
        <v>32</v>
      </c>
      <c r="D8413" s="1">
        <v>44231.635104166664</v>
      </c>
      <c r="E8413" t="s">
        <v>26294</v>
      </c>
      <c r="F8413" t="s">
        <v>7023</v>
      </c>
      <c r="G8413" t="s">
        <v>26294</v>
      </c>
      <c r="H8413" t="s">
        <v>2237</v>
      </c>
      <c r="I8413" t="s">
        <v>4288</v>
      </c>
      <c r="J8413">
        <v>32</v>
      </c>
      <c r="K8413">
        <f>32-2-808-5-71</f>
        <v>-854</v>
      </c>
      <c r="L8413" t="s">
        <v>26295</v>
      </c>
      <c r="M8413" t="s">
        <v>26296</v>
      </c>
      <c r="N8413">
        <v>109</v>
      </c>
      <c r="O8413" t="s">
        <v>134</v>
      </c>
      <c r="P8413" t="s">
        <v>6188</v>
      </c>
      <c r="Q8413">
        <v>53</v>
      </c>
      <c r="R8413">
        <v>-6.2603099999999996</v>
      </c>
    </row>
    <row r="8414" spans="1:18" x14ac:dyDescent="0.2">
      <c r="A8414" t="s">
        <v>663</v>
      </c>
      <c r="B8414" t="s">
        <v>3245</v>
      </c>
      <c r="C8414">
        <v>1</v>
      </c>
      <c r="D8414" s="1">
        <v>44231.687893518516</v>
      </c>
      <c r="E8414" t="s">
        <v>26297</v>
      </c>
      <c r="F8414" t="s">
        <v>666</v>
      </c>
      <c r="G8414" t="s">
        <v>26298</v>
      </c>
      <c r="H8414" t="s">
        <v>667</v>
      </c>
      <c r="I8414" t="s">
        <v>29</v>
      </c>
      <c r="J8414">
        <v>1</v>
      </c>
      <c r="K8414">
        <f>1-866-546-6204</f>
        <v>-7615</v>
      </c>
      <c r="L8414" t="s">
        <v>26299</v>
      </c>
      <c r="M8414" t="s">
        <v>26300</v>
      </c>
      <c r="N8414" t="s">
        <v>452</v>
      </c>
      <c r="O8414" t="s">
        <v>28</v>
      </c>
      <c r="P8414" t="s">
        <v>29</v>
      </c>
      <c r="Q8414">
        <v>41</v>
      </c>
      <c r="R8414">
        <v>-74.140299999999996</v>
      </c>
    </row>
    <row r="8415" spans="1:18" x14ac:dyDescent="0.2">
      <c r="A8415" t="s">
        <v>675</v>
      </c>
      <c r="B8415" t="s">
        <v>676</v>
      </c>
      <c r="C8415">
        <v>81</v>
      </c>
      <c r="D8415" s="1">
        <v>44242.645266203705</v>
      </c>
      <c r="E8415" t="s">
        <v>26301</v>
      </c>
      <c r="F8415" t="s">
        <v>678</v>
      </c>
      <c r="G8415" t="s">
        <v>26302</v>
      </c>
      <c r="H8415" t="s">
        <v>680</v>
      </c>
      <c r="I8415" t="s">
        <v>53</v>
      </c>
      <c r="J8415">
        <v>81</v>
      </c>
      <c r="K8415">
        <f>81-50-5809-3136</f>
        <v>-8914</v>
      </c>
      <c r="L8415" t="s">
        <v>26303</v>
      </c>
      <c r="M8415" t="s">
        <v>26304</v>
      </c>
      <c r="N8415" t="s">
        <v>2475</v>
      </c>
      <c r="O8415" t="s">
        <v>28</v>
      </c>
      <c r="P8415" t="s">
        <v>29</v>
      </c>
      <c r="Q8415">
        <v>33</v>
      </c>
      <c r="R8415">
        <v>-99.999999000000003</v>
      </c>
    </row>
    <row r="8416" spans="1:18" x14ac:dyDescent="0.2">
      <c r="A8416" t="s">
        <v>675</v>
      </c>
      <c r="B8416" t="s">
        <v>676</v>
      </c>
      <c r="C8416">
        <v>81</v>
      </c>
      <c r="D8416" s="1">
        <v>44238.66710648148</v>
      </c>
      <c r="E8416" t="s">
        <v>26305</v>
      </c>
      <c r="F8416" t="s">
        <v>678</v>
      </c>
      <c r="G8416" t="s">
        <v>26302</v>
      </c>
      <c r="H8416" t="s">
        <v>680</v>
      </c>
      <c r="I8416" t="s">
        <v>53</v>
      </c>
      <c r="J8416">
        <v>81</v>
      </c>
      <c r="K8416">
        <f>81-50-5806-6694</f>
        <v>-12469</v>
      </c>
      <c r="L8416" t="s">
        <v>26306</v>
      </c>
      <c r="M8416" t="s">
        <v>26307</v>
      </c>
      <c r="N8416" t="s">
        <v>2475</v>
      </c>
      <c r="O8416" t="s">
        <v>28</v>
      </c>
      <c r="P8416" t="s">
        <v>29</v>
      </c>
      <c r="Q8416">
        <v>33</v>
      </c>
      <c r="R8416">
        <v>-99.999999000000003</v>
      </c>
    </row>
    <row r="8417" spans="1:18" x14ac:dyDescent="0.2">
      <c r="A8417" t="s">
        <v>675</v>
      </c>
      <c r="B8417" t="s">
        <v>676</v>
      </c>
      <c r="C8417">
        <v>81</v>
      </c>
      <c r="D8417" s="1">
        <v>44232.684374999997</v>
      </c>
      <c r="E8417" t="s">
        <v>26308</v>
      </c>
      <c r="F8417" t="s">
        <v>678</v>
      </c>
      <c r="G8417" t="s">
        <v>26302</v>
      </c>
      <c r="H8417" t="s">
        <v>680</v>
      </c>
      <c r="I8417" t="s">
        <v>53</v>
      </c>
      <c r="J8417">
        <v>81</v>
      </c>
      <c r="K8417">
        <f>81-50-5806-6694</f>
        <v>-12469</v>
      </c>
      <c r="L8417" t="s">
        <v>26309</v>
      </c>
      <c r="M8417" t="s">
        <v>26310</v>
      </c>
      <c r="N8417" t="s">
        <v>2475</v>
      </c>
      <c r="O8417" t="s">
        <v>28</v>
      </c>
      <c r="P8417" t="s">
        <v>29</v>
      </c>
      <c r="Q8417">
        <v>33</v>
      </c>
      <c r="R8417">
        <v>-99.999999000000003</v>
      </c>
    </row>
    <row r="8418" spans="1:18" x14ac:dyDescent="0.2">
      <c r="A8418" t="s">
        <v>675</v>
      </c>
      <c r="B8418" t="s">
        <v>676</v>
      </c>
      <c r="C8418">
        <v>81</v>
      </c>
      <c r="D8418" s="1">
        <v>44231.700833333336</v>
      </c>
      <c r="E8418" t="s">
        <v>26311</v>
      </c>
      <c r="F8418" t="s">
        <v>678</v>
      </c>
      <c r="G8418" t="s">
        <v>26302</v>
      </c>
      <c r="H8418" t="s">
        <v>680</v>
      </c>
      <c r="I8418" t="s">
        <v>53</v>
      </c>
      <c r="J8418">
        <v>81</v>
      </c>
      <c r="K8418">
        <f>81-50-5806-6694</f>
        <v>-12469</v>
      </c>
      <c r="L8418" t="s">
        <v>26312</v>
      </c>
      <c r="M8418" t="s">
        <v>26313</v>
      </c>
      <c r="N8418" t="s">
        <v>2475</v>
      </c>
      <c r="O8418" t="s">
        <v>28</v>
      </c>
      <c r="P8418" t="s">
        <v>29</v>
      </c>
      <c r="Q8418">
        <v>33</v>
      </c>
      <c r="R8418">
        <v>-99.999999000000003</v>
      </c>
    </row>
    <row r="8419" spans="1:18" x14ac:dyDescent="0.2">
      <c r="A8419" t="s">
        <v>675</v>
      </c>
      <c r="B8419" t="s">
        <v>676</v>
      </c>
      <c r="C8419">
        <v>81</v>
      </c>
      <c r="D8419" s="1">
        <v>44231.690081018518</v>
      </c>
      <c r="E8419" t="s">
        <v>26311</v>
      </c>
      <c r="F8419" t="s">
        <v>678</v>
      </c>
      <c r="G8419" t="s">
        <v>26302</v>
      </c>
      <c r="H8419" t="s">
        <v>680</v>
      </c>
      <c r="I8419" t="s">
        <v>53</v>
      </c>
      <c r="J8419">
        <v>81</v>
      </c>
      <c r="K8419">
        <f>81-50-5806-6694</f>
        <v>-12469</v>
      </c>
      <c r="L8419" t="s">
        <v>26314</v>
      </c>
      <c r="M8419" t="s">
        <v>26315</v>
      </c>
      <c r="N8419" t="s">
        <v>2475</v>
      </c>
      <c r="O8419" t="s">
        <v>28</v>
      </c>
      <c r="P8419" t="s">
        <v>29</v>
      </c>
      <c r="Q8419">
        <v>33</v>
      </c>
      <c r="R8419">
        <v>-99.999999000000003</v>
      </c>
    </row>
    <row r="8420" spans="1:18" x14ac:dyDescent="0.2">
      <c r="A8420" t="s">
        <v>26316</v>
      </c>
      <c r="B8420" t="s">
        <v>26317</v>
      </c>
      <c r="C8420">
        <v>32</v>
      </c>
      <c r="D8420" s="1">
        <v>44231.695949074077</v>
      </c>
      <c r="E8420" t="s">
        <v>26318</v>
      </c>
      <c r="F8420" t="s">
        <v>26319</v>
      </c>
      <c r="G8420" t="s">
        <v>26320</v>
      </c>
      <c r="H8420" t="s">
        <v>26321</v>
      </c>
      <c r="I8420" t="s">
        <v>4288</v>
      </c>
      <c r="J8420">
        <v>32</v>
      </c>
      <c r="K8420">
        <f>32-3-89-39-96-56</f>
        <v>-251</v>
      </c>
      <c r="L8420" t="s">
        <v>26322</v>
      </c>
      <c r="M8420" t="s">
        <v>26323</v>
      </c>
      <c r="N8420" t="s">
        <v>5354</v>
      </c>
      <c r="O8420" t="s">
        <v>28</v>
      </c>
      <c r="P8420" t="s">
        <v>461</v>
      </c>
      <c r="Q8420">
        <v>53</v>
      </c>
      <c r="R8420">
        <v>5.7218</v>
      </c>
    </row>
    <row r="8421" spans="1:18" x14ac:dyDescent="0.2">
      <c r="A8421" t="s">
        <v>675</v>
      </c>
      <c r="B8421" t="s">
        <v>1412</v>
      </c>
      <c r="C8421">
        <v>81</v>
      </c>
      <c r="D8421" s="1">
        <v>44232.682847222219</v>
      </c>
      <c r="E8421" t="s">
        <v>26324</v>
      </c>
      <c r="F8421" t="s">
        <v>678</v>
      </c>
      <c r="G8421" t="s">
        <v>26325</v>
      </c>
      <c r="H8421" t="s">
        <v>680</v>
      </c>
      <c r="I8421" t="s">
        <v>53</v>
      </c>
      <c r="J8421">
        <v>81</v>
      </c>
      <c r="K8421">
        <f>81-50-5806-6694</f>
        <v>-12469</v>
      </c>
      <c r="L8421" t="s">
        <v>26326</v>
      </c>
      <c r="M8421" t="s">
        <v>26327</v>
      </c>
      <c r="N8421" t="s">
        <v>2475</v>
      </c>
      <c r="O8421" t="s">
        <v>28</v>
      </c>
      <c r="P8421" t="s">
        <v>29</v>
      </c>
      <c r="Q8421">
        <v>41</v>
      </c>
      <c r="R8421">
        <v>-74.172399999999996</v>
      </c>
    </row>
    <row r="8422" spans="1:18" x14ac:dyDescent="0.2">
      <c r="A8422" t="s">
        <v>675</v>
      </c>
      <c r="B8422" t="s">
        <v>1412</v>
      </c>
      <c r="C8422">
        <v>81</v>
      </c>
      <c r="D8422" s="1">
        <v>44231.697974537034</v>
      </c>
      <c r="E8422" t="s">
        <v>26328</v>
      </c>
      <c r="F8422" t="s">
        <v>678</v>
      </c>
      <c r="G8422" t="s">
        <v>26325</v>
      </c>
      <c r="H8422" t="s">
        <v>680</v>
      </c>
      <c r="I8422" t="s">
        <v>53</v>
      </c>
      <c r="J8422">
        <v>81</v>
      </c>
      <c r="K8422">
        <f>81-50-5806-6694</f>
        <v>-12469</v>
      </c>
      <c r="L8422" t="s">
        <v>26329</v>
      </c>
      <c r="M8422" t="s">
        <v>26330</v>
      </c>
      <c r="N8422" t="s">
        <v>2475</v>
      </c>
      <c r="O8422" t="s">
        <v>28</v>
      </c>
      <c r="P8422" t="s">
        <v>29</v>
      </c>
      <c r="Q8422">
        <v>41</v>
      </c>
      <c r="R8422">
        <v>-74.172399999999996</v>
      </c>
    </row>
    <row r="8423" spans="1:18" x14ac:dyDescent="0.2">
      <c r="A8423" t="s">
        <v>675</v>
      </c>
      <c r="B8423" t="s">
        <v>1412</v>
      </c>
      <c r="C8423">
        <v>1</v>
      </c>
      <c r="D8423" s="1">
        <v>44231.705393518518</v>
      </c>
      <c r="E8423" t="s">
        <v>26331</v>
      </c>
      <c r="F8423" t="s">
        <v>678</v>
      </c>
      <c r="G8423" t="s">
        <v>26332</v>
      </c>
      <c r="H8423" t="s">
        <v>680</v>
      </c>
      <c r="I8423" t="s">
        <v>29</v>
      </c>
      <c r="J8423">
        <v>1</v>
      </c>
      <c r="K8423">
        <f>1-407-706-2506</f>
        <v>-3618</v>
      </c>
      <c r="L8423" t="s">
        <v>26333</v>
      </c>
      <c r="M8423" t="s">
        <v>26334</v>
      </c>
      <c r="N8423" t="s">
        <v>5354</v>
      </c>
      <c r="O8423" t="s">
        <v>28</v>
      </c>
      <c r="P8423" t="s">
        <v>29</v>
      </c>
      <c r="Q8423">
        <v>41</v>
      </c>
      <c r="R8423">
        <v>-74.172399999999996</v>
      </c>
    </row>
    <row r="8424" spans="1:18" x14ac:dyDescent="0.2">
      <c r="A8424" t="s">
        <v>439</v>
      </c>
      <c r="B8424" t="s">
        <v>4321</v>
      </c>
      <c r="C8424">
        <v>1</v>
      </c>
      <c r="D8424" s="1">
        <v>44231.711759259262</v>
      </c>
      <c r="E8424" t="s">
        <v>26335</v>
      </c>
      <c r="F8424" t="s">
        <v>442</v>
      </c>
      <c r="G8424" t="s">
        <v>26336</v>
      </c>
      <c r="H8424" t="s">
        <v>444</v>
      </c>
      <c r="I8424" t="s">
        <v>29</v>
      </c>
      <c r="J8424">
        <v>1</v>
      </c>
      <c r="K8424">
        <f>1-888-306-3395</f>
        <v>-4588</v>
      </c>
      <c r="L8424" t="s">
        <v>26337</v>
      </c>
      <c r="M8424" t="s">
        <v>26338</v>
      </c>
      <c r="N8424" t="s">
        <v>1645</v>
      </c>
      <c r="O8424" t="s">
        <v>28</v>
      </c>
      <c r="P8424" t="s">
        <v>29</v>
      </c>
      <c r="Q8424">
        <v>42</v>
      </c>
      <c r="R8424">
        <v>-87.629800000000003</v>
      </c>
    </row>
    <row r="8425" spans="1:18" x14ac:dyDescent="0.2">
      <c r="A8425" t="s">
        <v>439</v>
      </c>
      <c r="B8425" t="s">
        <v>4321</v>
      </c>
      <c r="C8425">
        <v>1</v>
      </c>
      <c r="D8425" s="1">
        <v>44231.709803240738</v>
      </c>
      <c r="E8425" t="s">
        <v>26335</v>
      </c>
      <c r="F8425" t="s">
        <v>442</v>
      </c>
      <c r="G8425" t="s">
        <v>26336</v>
      </c>
      <c r="H8425" t="s">
        <v>444</v>
      </c>
      <c r="I8425" t="s">
        <v>29</v>
      </c>
      <c r="J8425">
        <v>1</v>
      </c>
      <c r="K8425">
        <f>1-888-352-4785</f>
        <v>-6024</v>
      </c>
      <c r="L8425" t="s">
        <v>26339</v>
      </c>
      <c r="M8425" t="s">
        <v>26340</v>
      </c>
      <c r="N8425" t="s">
        <v>1645</v>
      </c>
      <c r="O8425" t="s">
        <v>28</v>
      </c>
      <c r="P8425" t="s">
        <v>29</v>
      </c>
      <c r="Q8425">
        <v>42</v>
      </c>
      <c r="R8425">
        <v>-87.629800000000003</v>
      </c>
    </row>
    <row r="8426" spans="1:18" x14ac:dyDescent="0.2">
      <c r="A8426" t="s">
        <v>439</v>
      </c>
      <c r="B8426" t="s">
        <v>4321</v>
      </c>
      <c r="C8426">
        <v>1</v>
      </c>
      <c r="D8426" s="1">
        <v>44231.711712962962</v>
      </c>
      <c r="E8426" t="s">
        <v>26335</v>
      </c>
      <c r="F8426" t="s">
        <v>442</v>
      </c>
      <c r="G8426" t="s">
        <v>26341</v>
      </c>
      <c r="H8426" t="s">
        <v>444</v>
      </c>
      <c r="I8426" t="s">
        <v>29</v>
      </c>
      <c r="J8426">
        <v>1</v>
      </c>
      <c r="K8426">
        <f>1-888-394-9930</f>
        <v>-11211</v>
      </c>
      <c r="L8426" t="s">
        <v>26342</v>
      </c>
      <c r="M8426" t="s">
        <v>26343</v>
      </c>
      <c r="N8426" t="s">
        <v>1645</v>
      </c>
      <c r="O8426" t="s">
        <v>28</v>
      </c>
      <c r="P8426" t="s">
        <v>29</v>
      </c>
      <c r="Q8426">
        <v>42</v>
      </c>
      <c r="R8426">
        <v>-87.629800000000003</v>
      </c>
    </row>
    <row r="8427" spans="1:18" x14ac:dyDescent="0.2">
      <c r="A8427" t="s">
        <v>439</v>
      </c>
      <c r="B8427" t="s">
        <v>4321</v>
      </c>
      <c r="C8427">
        <v>1</v>
      </c>
      <c r="D8427" s="1">
        <v>44231.71166666667</v>
      </c>
      <c r="E8427" t="s">
        <v>26335</v>
      </c>
      <c r="F8427" t="s">
        <v>442</v>
      </c>
      <c r="G8427" t="s">
        <v>26341</v>
      </c>
      <c r="H8427" t="s">
        <v>444</v>
      </c>
      <c r="I8427" t="s">
        <v>29</v>
      </c>
      <c r="J8427">
        <v>1</v>
      </c>
      <c r="K8427">
        <f>1-888-393-9379</f>
        <v>-10659</v>
      </c>
      <c r="L8427" t="s">
        <v>26344</v>
      </c>
      <c r="M8427" t="s">
        <v>26345</v>
      </c>
      <c r="N8427" t="s">
        <v>1645</v>
      </c>
      <c r="O8427" t="s">
        <v>28</v>
      </c>
      <c r="P8427" t="s">
        <v>29</v>
      </c>
      <c r="Q8427">
        <v>42</v>
      </c>
      <c r="R8427">
        <v>-87.629800000000003</v>
      </c>
    </row>
    <row r="8428" spans="1:18" x14ac:dyDescent="0.2">
      <c r="A8428" t="s">
        <v>439</v>
      </c>
      <c r="B8428" t="s">
        <v>4321</v>
      </c>
      <c r="C8428">
        <v>1</v>
      </c>
      <c r="D8428" s="1">
        <v>44231.711608796293</v>
      </c>
      <c r="E8428" t="s">
        <v>26335</v>
      </c>
      <c r="F8428" t="s">
        <v>442</v>
      </c>
      <c r="G8428" t="s">
        <v>26341</v>
      </c>
      <c r="H8428" t="s">
        <v>444</v>
      </c>
      <c r="I8428" t="s">
        <v>29</v>
      </c>
      <c r="J8428">
        <v>1</v>
      </c>
      <c r="K8428">
        <f>1-888-398-6015</f>
        <v>-7300</v>
      </c>
      <c r="L8428" t="s">
        <v>26346</v>
      </c>
      <c r="M8428" t="s">
        <v>26347</v>
      </c>
      <c r="N8428" t="s">
        <v>1645</v>
      </c>
      <c r="O8428" t="s">
        <v>28</v>
      </c>
      <c r="P8428" t="s">
        <v>29</v>
      </c>
      <c r="Q8428">
        <v>42</v>
      </c>
      <c r="R8428">
        <v>-87.629800000000003</v>
      </c>
    </row>
    <row r="8429" spans="1:18" x14ac:dyDescent="0.2">
      <c r="A8429" t="s">
        <v>663</v>
      </c>
      <c r="B8429" t="s">
        <v>2493</v>
      </c>
      <c r="C8429">
        <v>1</v>
      </c>
      <c r="D8429" s="1">
        <v>44231.715011574073</v>
      </c>
      <c r="E8429" t="s">
        <v>26348</v>
      </c>
      <c r="F8429" t="s">
        <v>666</v>
      </c>
      <c r="G8429" t="s">
        <v>26348</v>
      </c>
      <c r="H8429" t="s">
        <v>667</v>
      </c>
      <c r="I8429" t="s">
        <v>29</v>
      </c>
      <c r="J8429">
        <v>1</v>
      </c>
      <c r="K8429">
        <f>1-888-513-8695</f>
        <v>-10095</v>
      </c>
      <c r="L8429" t="s">
        <v>26349</v>
      </c>
      <c r="M8429" t="s">
        <v>26350</v>
      </c>
      <c r="N8429">
        <v>145</v>
      </c>
      <c r="O8429" t="s">
        <v>134</v>
      </c>
      <c r="P8429" t="s">
        <v>29</v>
      </c>
      <c r="Q8429">
        <v>41</v>
      </c>
      <c r="R8429">
        <v>-74.024699999999996</v>
      </c>
    </row>
    <row r="8430" spans="1:18" x14ac:dyDescent="0.2">
      <c r="A8430" t="s">
        <v>663</v>
      </c>
      <c r="B8430" t="s">
        <v>2493</v>
      </c>
      <c r="C8430">
        <v>1</v>
      </c>
      <c r="D8430" s="1">
        <v>44231.82309027778</v>
      </c>
      <c r="E8430" t="s">
        <v>26351</v>
      </c>
      <c r="F8430" t="s">
        <v>666</v>
      </c>
      <c r="G8430" t="s">
        <v>26351</v>
      </c>
      <c r="H8430" t="s">
        <v>667</v>
      </c>
      <c r="I8430" t="s">
        <v>29</v>
      </c>
      <c r="J8430">
        <v>1</v>
      </c>
      <c r="K8430">
        <f>1-888-569-7018</f>
        <v>-8474</v>
      </c>
      <c r="L8430" t="s">
        <v>26352</v>
      </c>
      <c r="M8430" t="s">
        <v>26353</v>
      </c>
      <c r="N8430">
        <v>9</v>
      </c>
      <c r="O8430" t="s">
        <v>134</v>
      </c>
      <c r="P8430" t="s">
        <v>29</v>
      </c>
      <c r="Q8430">
        <v>41</v>
      </c>
      <c r="R8430">
        <v>-74.024699999999996</v>
      </c>
    </row>
    <row r="8431" spans="1:18" x14ac:dyDescent="0.2">
      <c r="A8431" t="s">
        <v>439</v>
      </c>
      <c r="B8431" t="s">
        <v>4321</v>
      </c>
      <c r="C8431">
        <v>1</v>
      </c>
      <c r="D8431" s="1">
        <v>44231.748217592591</v>
      </c>
      <c r="E8431" t="s">
        <v>26354</v>
      </c>
      <c r="F8431" t="s">
        <v>442</v>
      </c>
      <c r="G8431" t="s">
        <v>26355</v>
      </c>
      <c r="H8431" t="s">
        <v>444</v>
      </c>
      <c r="I8431" t="s">
        <v>29</v>
      </c>
      <c r="J8431">
        <v>1</v>
      </c>
      <c r="K8431">
        <f>1-888-602-8107</f>
        <v>-9596</v>
      </c>
      <c r="L8431" t="s">
        <v>26356</v>
      </c>
      <c r="M8431" t="s">
        <v>26357</v>
      </c>
      <c r="N8431" t="s">
        <v>3441</v>
      </c>
      <c r="O8431" t="s">
        <v>28</v>
      </c>
      <c r="P8431" t="s">
        <v>29</v>
      </c>
      <c r="Q8431">
        <v>42</v>
      </c>
      <c r="R8431">
        <v>-87.629800000000003</v>
      </c>
    </row>
    <row r="8432" spans="1:18" x14ac:dyDescent="0.2">
      <c r="A8432" t="s">
        <v>663</v>
      </c>
      <c r="B8432" t="s">
        <v>2493</v>
      </c>
      <c r="C8432">
        <v>1</v>
      </c>
      <c r="D8432" s="1">
        <v>44231.78162037037</v>
      </c>
      <c r="E8432" t="s">
        <v>26358</v>
      </c>
      <c r="F8432" t="s">
        <v>666</v>
      </c>
      <c r="G8432" t="s">
        <v>26359</v>
      </c>
      <c r="H8432" t="s">
        <v>667</v>
      </c>
      <c r="I8432" t="s">
        <v>29</v>
      </c>
      <c r="J8432">
        <v>1</v>
      </c>
      <c r="K8432">
        <f>1-888-612-9813</f>
        <v>-11312</v>
      </c>
      <c r="L8432" t="s">
        <v>26360</v>
      </c>
      <c r="M8432" t="s">
        <v>26361</v>
      </c>
      <c r="N8432" t="s">
        <v>25263</v>
      </c>
      <c r="O8432" t="s">
        <v>28</v>
      </c>
      <c r="P8432" t="s">
        <v>29</v>
      </c>
      <c r="Q8432">
        <v>41</v>
      </c>
      <c r="R8432">
        <v>-74.024699999999996</v>
      </c>
    </row>
    <row r="8433" spans="1:18" x14ac:dyDescent="0.2">
      <c r="A8433" t="s">
        <v>663</v>
      </c>
      <c r="B8433" t="s">
        <v>2493</v>
      </c>
      <c r="C8433">
        <v>1</v>
      </c>
      <c r="D8433" s="1">
        <v>44231.797002314815</v>
      </c>
      <c r="E8433" t="s">
        <v>26362</v>
      </c>
      <c r="F8433" t="s">
        <v>666</v>
      </c>
      <c r="G8433" t="s">
        <v>26362</v>
      </c>
      <c r="H8433" t="s">
        <v>667</v>
      </c>
      <c r="I8433" t="s">
        <v>29</v>
      </c>
      <c r="J8433">
        <v>1</v>
      </c>
      <c r="K8433">
        <f>1-888-601-7824</f>
        <v>-9312</v>
      </c>
      <c r="L8433" t="s">
        <v>26363</v>
      </c>
      <c r="M8433" t="s">
        <v>26364</v>
      </c>
      <c r="N8433">
        <v>106</v>
      </c>
      <c r="O8433" t="s">
        <v>134</v>
      </c>
      <c r="P8433" t="s">
        <v>29</v>
      </c>
      <c r="Q8433">
        <v>41</v>
      </c>
      <c r="R8433">
        <v>-74.024699999999996</v>
      </c>
    </row>
    <row r="8434" spans="1:18" x14ac:dyDescent="0.2">
      <c r="A8434" t="s">
        <v>663</v>
      </c>
      <c r="B8434" t="s">
        <v>2493</v>
      </c>
      <c r="C8434">
        <v>1</v>
      </c>
      <c r="D8434" s="1">
        <v>44231.885393518518</v>
      </c>
      <c r="E8434" t="s">
        <v>26365</v>
      </c>
      <c r="F8434" t="s">
        <v>666</v>
      </c>
      <c r="G8434" t="s">
        <v>26365</v>
      </c>
      <c r="H8434" t="s">
        <v>667</v>
      </c>
      <c r="I8434" t="s">
        <v>29</v>
      </c>
      <c r="J8434">
        <v>1</v>
      </c>
      <c r="K8434">
        <f>1-888-610-2169</f>
        <v>-3666</v>
      </c>
      <c r="L8434" t="s">
        <v>26366</v>
      </c>
      <c r="M8434" t="s">
        <v>26367</v>
      </c>
      <c r="N8434">
        <v>223</v>
      </c>
      <c r="O8434" t="s">
        <v>134</v>
      </c>
      <c r="P8434" t="s">
        <v>29</v>
      </c>
      <c r="Q8434">
        <v>41</v>
      </c>
      <c r="R8434">
        <v>-74.024699999999996</v>
      </c>
    </row>
    <row r="8435" spans="1:18" x14ac:dyDescent="0.2">
      <c r="A8435" t="s">
        <v>663</v>
      </c>
      <c r="B8435" t="s">
        <v>2493</v>
      </c>
      <c r="C8435">
        <v>1</v>
      </c>
      <c r="D8435" s="1">
        <v>44231.934988425928</v>
      </c>
      <c r="E8435" t="s">
        <v>26368</v>
      </c>
      <c r="F8435" t="s">
        <v>666</v>
      </c>
      <c r="G8435" t="s">
        <v>26368</v>
      </c>
      <c r="H8435" t="s">
        <v>667</v>
      </c>
      <c r="I8435" t="s">
        <v>29</v>
      </c>
      <c r="J8435">
        <v>1</v>
      </c>
      <c r="K8435">
        <f>1-888-605-6417</f>
        <v>-7909</v>
      </c>
      <c r="L8435" t="s">
        <v>26369</v>
      </c>
      <c r="M8435" t="s">
        <v>26370</v>
      </c>
      <c r="N8435">
        <v>86</v>
      </c>
      <c r="O8435" t="s">
        <v>134</v>
      </c>
      <c r="P8435" t="s">
        <v>29</v>
      </c>
      <c r="Q8435">
        <v>41</v>
      </c>
      <c r="R8435">
        <v>-74.024699999999996</v>
      </c>
    </row>
    <row r="8436" spans="1:18" x14ac:dyDescent="0.2">
      <c r="A8436" t="s">
        <v>663</v>
      </c>
      <c r="B8436" t="s">
        <v>2493</v>
      </c>
      <c r="C8436">
        <v>1</v>
      </c>
      <c r="D8436" s="1">
        <v>44231.928124999999</v>
      </c>
      <c r="E8436" t="s">
        <v>26368</v>
      </c>
      <c r="F8436" t="s">
        <v>666</v>
      </c>
      <c r="G8436" t="s">
        <v>26368</v>
      </c>
      <c r="H8436" t="s">
        <v>667</v>
      </c>
      <c r="I8436" t="s">
        <v>29</v>
      </c>
      <c r="J8436">
        <v>1</v>
      </c>
      <c r="K8436">
        <f>1-888-614-795</f>
        <v>-2296</v>
      </c>
      <c r="L8436" t="s">
        <v>26371</v>
      </c>
      <c r="M8436" t="s">
        <v>26372</v>
      </c>
      <c r="N8436">
        <v>86</v>
      </c>
      <c r="O8436" t="s">
        <v>134</v>
      </c>
      <c r="P8436" t="s">
        <v>29</v>
      </c>
      <c r="Q8436">
        <v>41</v>
      </c>
      <c r="R8436">
        <v>-74.024699999999996</v>
      </c>
    </row>
    <row r="8437" spans="1:18" x14ac:dyDescent="0.2">
      <c r="A8437" t="s">
        <v>663</v>
      </c>
      <c r="B8437" t="s">
        <v>2493</v>
      </c>
      <c r="C8437">
        <v>1</v>
      </c>
      <c r="D8437" s="1">
        <v>44232.677002314813</v>
      </c>
      <c r="E8437" t="s">
        <v>26373</v>
      </c>
      <c r="F8437" t="s">
        <v>666</v>
      </c>
      <c r="G8437" t="s">
        <v>26374</v>
      </c>
      <c r="H8437" t="s">
        <v>667</v>
      </c>
      <c r="I8437" t="s">
        <v>29</v>
      </c>
      <c r="J8437">
        <v>1</v>
      </c>
      <c r="K8437">
        <f>1-844-304-810</f>
        <v>-1957</v>
      </c>
      <c r="L8437" t="s">
        <v>26375</v>
      </c>
      <c r="M8437" t="s">
        <v>26376</v>
      </c>
      <c r="N8437" t="s">
        <v>1645</v>
      </c>
      <c r="O8437" t="s">
        <v>28</v>
      </c>
      <c r="P8437" t="s">
        <v>29</v>
      </c>
      <c r="Q8437">
        <v>41</v>
      </c>
      <c r="R8437">
        <v>-74.024699999999996</v>
      </c>
    </row>
    <row r="8438" spans="1:18" x14ac:dyDescent="0.2">
      <c r="A8438" t="s">
        <v>439</v>
      </c>
      <c r="B8438" t="s">
        <v>4321</v>
      </c>
      <c r="C8438">
        <v>1</v>
      </c>
      <c r="D8438" s="1">
        <v>44232.992071759261</v>
      </c>
      <c r="E8438" t="s">
        <v>26377</v>
      </c>
      <c r="F8438" t="s">
        <v>442</v>
      </c>
      <c r="G8438" t="s">
        <v>26378</v>
      </c>
      <c r="H8438" t="s">
        <v>444</v>
      </c>
      <c r="I8438" t="s">
        <v>29</v>
      </c>
      <c r="J8438">
        <v>1</v>
      </c>
      <c r="K8438">
        <f>1-888-614-1939</f>
        <v>-3440</v>
      </c>
      <c r="L8438" t="s">
        <v>26379</v>
      </c>
      <c r="M8438" t="s">
        <v>26380</v>
      </c>
      <c r="N8438" t="s">
        <v>3441</v>
      </c>
      <c r="O8438" t="s">
        <v>28</v>
      </c>
      <c r="P8438" t="s">
        <v>29</v>
      </c>
      <c r="Q8438">
        <v>42</v>
      </c>
      <c r="R8438">
        <v>-87.629800000000003</v>
      </c>
    </row>
    <row r="8439" spans="1:18" x14ac:dyDescent="0.2">
      <c r="A8439" t="s">
        <v>663</v>
      </c>
      <c r="B8439" t="s">
        <v>2493</v>
      </c>
      <c r="C8439">
        <v>1</v>
      </c>
      <c r="D8439" s="1">
        <v>44232.7343287037</v>
      </c>
      <c r="E8439" t="s">
        <v>26381</v>
      </c>
      <c r="F8439" t="s">
        <v>666</v>
      </c>
      <c r="G8439" t="s">
        <v>26381</v>
      </c>
      <c r="H8439" t="s">
        <v>667</v>
      </c>
      <c r="I8439" t="s">
        <v>29</v>
      </c>
      <c r="J8439">
        <v>1</v>
      </c>
      <c r="K8439">
        <f>1-888-593-2389</f>
        <v>-3869</v>
      </c>
      <c r="L8439" t="s">
        <v>26382</v>
      </c>
      <c r="M8439" t="s">
        <v>26383</v>
      </c>
      <c r="N8439">
        <v>56</v>
      </c>
      <c r="O8439" t="s">
        <v>134</v>
      </c>
      <c r="P8439" t="s">
        <v>29</v>
      </c>
      <c r="Q8439">
        <v>41</v>
      </c>
      <c r="R8439">
        <v>-74.024699999999996</v>
      </c>
    </row>
    <row r="8440" spans="1:18" x14ac:dyDescent="0.2">
      <c r="A8440" t="s">
        <v>663</v>
      </c>
      <c r="B8440" t="s">
        <v>2493</v>
      </c>
      <c r="C8440">
        <v>1</v>
      </c>
      <c r="D8440" s="1">
        <v>44232.810057870367</v>
      </c>
      <c r="E8440" t="s">
        <v>26384</v>
      </c>
      <c r="F8440" t="s">
        <v>666</v>
      </c>
      <c r="G8440" t="s">
        <v>26384</v>
      </c>
      <c r="H8440" t="s">
        <v>667</v>
      </c>
      <c r="I8440" t="s">
        <v>29</v>
      </c>
      <c r="J8440">
        <v>1</v>
      </c>
      <c r="K8440">
        <f>1-888-593-2766</f>
        <v>-4246</v>
      </c>
      <c r="L8440" t="s">
        <v>26385</v>
      </c>
      <c r="M8440" t="s">
        <v>26386</v>
      </c>
      <c r="N8440">
        <v>203</v>
      </c>
      <c r="O8440" t="s">
        <v>134</v>
      </c>
      <c r="P8440" t="s">
        <v>29</v>
      </c>
      <c r="Q8440">
        <v>41</v>
      </c>
      <c r="R8440">
        <v>-74.024699999999996</v>
      </c>
    </row>
    <row r="8441" spans="1:18" x14ac:dyDescent="0.2">
      <c r="A8441" t="s">
        <v>663</v>
      </c>
      <c r="B8441" t="s">
        <v>2493</v>
      </c>
      <c r="C8441">
        <v>1</v>
      </c>
      <c r="D8441" s="1">
        <v>44232.818611111114</v>
      </c>
      <c r="E8441" t="s">
        <v>26387</v>
      </c>
      <c r="F8441" t="s">
        <v>666</v>
      </c>
      <c r="G8441" t="s">
        <v>26387</v>
      </c>
      <c r="H8441" t="s">
        <v>667</v>
      </c>
      <c r="I8441" t="s">
        <v>29</v>
      </c>
      <c r="J8441">
        <v>1</v>
      </c>
      <c r="K8441">
        <f>1-888-598-3153</f>
        <v>-4638</v>
      </c>
      <c r="L8441" t="s">
        <v>26388</v>
      </c>
      <c r="M8441" t="s">
        <v>26389</v>
      </c>
      <c r="N8441">
        <v>2</v>
      </c>
      <c r="O8441" t="s">
        <v>134</v>
      </c>
      <c r="P8441" t="s">
        <v>29</v>
      </c>
      <c r="Q8441">
        <v>41</v>
      </c>
      <c r="R8441">
        <v>-74.024699999999996</v>
      </c>
    </row>
    <row r="8442" spans="1:18" x14ac:dyDescent="0.2">
      <c r="A8442" t="s">
        <v>439</v>
      </c>
      <c r="B8442" t="s">
        <v>454</v>
      </c>
      <c r="C8442">
        <v>1</v>
      </c>
      <c r="D8442" s="1">
        <v>44232.84920138889</v>
      </c>
      <c r="E8442" t="s">
        <v>26390</v>
      </c>
      <c r="F8442" t="s">
        <v>442</v>
      </c>
      <c r="G8442" t="s">
        <v>26391</v>
      </c>
      <c r="H8442" t="s">
        <v>444</v>
      </c>
      <c r="I8442" t="s">
        <v>29</v>
      </c>
      <c r="J8442">
        <v>1</v>
      </c>
      <c r="K8442">
        <f>1-888-599-5578</f>
        <v>-7064</v>
      </c>
      <c r="L8442" t="s">
        <v>26392</v>
      </c>
      <c r="M8442" t="s">
        <v>26393</v>
      </c>
      <c r="N8442" t="s">
        <v>674</v>
      </c>
      <c r="O8442" t="s">
        <v>28</v>
      </c>
      <c r="P8442" t="s">
        <v>461</v>
      </c>
      <c r="Q8442">
        <v>52</v>
      </c>
      <c r="R8442">
        <v>4.8945400000000001</v>
      </c>
    </row>
    <row r="8443" spans="1:18" x14ac:dyDescent="0.2">
      <c r="A8443" t="s">
        <v>439</v>
      </c>
      <c r="B8443" t="s">
        <v>4321</v>
      </c>
      <c r="C8443">
        <v>1</v>
      </c>
      <c r="D8443" s="1">
        <v>44232.994733796295</v>
      </c>
      <c r="E8443" t="s">
        <v>26394</v>
      </c>
      <c r="F8443" t="s">
        <v>442</v>
      </c>
      <c r="G8443" t="s">
        <v>26395</v>
      </c>
      <c r="H8443" t="s">
        <v>444</v>
      </c>
      <c r="I8443" t="s">
        <v>29</v>
      </c>
      <c r="J8443">
        <v>1</v>
      </c>
      <c r="K8443">
        <f>1-844-303-9561</f>
        <v>-10707</v>
      </c>
      <c r="L8443" t="s">
        <v>26396</v>
      </c>
      <c r="M8443" t="s">
        <v>26397</v>
      </c>
      <c r="N8443" t="s">
        <v>3441</v>
      </c>
      <c r="O8443" t="s">
        <v>28</v>
      </c>
      <c r="P8443" t="s">
        <v>29</v>
      </c>
      <c r="Q8443">
        <v>42</v>
      </c>
      <c r="R8443">
        <v>-87.629800000000003</v>
      </c>
    </row>
    <row r="8444" spans="1:18" x14ac:dyDescent="0.2">
      <c r="A8444" t="s">
        <v>439</v>
      </c>
      <c r="B8444" t="s">
        <v>4321</v>
      </c>
      <c r="C8444">
        <v>1</v>
      </c>
      <c r="D8444" s="1">
        <v>44232.997499999998</v>
      </c>
      <c r="E8444" t="s">
        <v>26398</v>
      </c>
      <c r="F8444" t="s">
        <v>442</v>
      </c>
      <c r="G8444" t="s">
        <v>26399</v>
      </c>
      <c r="H8444" t="s">
        <v>444</v>
      </c>
      <c r="I8444" t="s">
        <v>29</v>
      </c>
      <c r="J8444">
        <v>1</v>
      </c>
      <c r="K8444">
        <f>1-844-303-9561</f>
        <v>-10707</v>
      </c>
      <c r="L8444" t="s">
        <v>26400</v>
      </c>
      <c r="M8444" t="s">
        <v>26401</v>
      </c>
      <c r="N8444" t="s">
        <v>3441</v>
      </c>
      <c r="O8444" t="s">
        <v>28</v>
      </c>
      <c r="P8444" t="s">
        <v>29</v>
      </c>
      <c r="Q8444">
        <v>42</v>
      </c>
      <c r="R8444">
        <v>-87.629800000000003</v>
      </c>
    </row>
    <row r="8445" spans="1:18" x14ac:dyDescent="0.2">
      <c r="A8445" t="s">
        <v>439</v>
      </c>
      <c r="B8445" t="s">
        <v>4321</v>
      </c>
      <c r="C8445">
        <v>1</v>
      </c>
      <c r="D8445" s="1">
        <v>44232.898414351854</v>
      </c>
      <c r="E8445" t="s">
        <v>26402</v>
      </c>
      <c r="F8445" t="s">
        <v>442</v>
      </c>
      <c r="G8445" t="s">
        <v>26403</v>
      </c>
      <c r="H8445" t="s">
        <v>444</v>
      </c>
      <c r="I8445" t="s">
        <v>29</v>
      </c>
      <c r="J8445">
        <v>1</v>
      </c>
      <c r="K8445">
        <f>1-888-398-6015</f>
        <v>-7300</v>
      </c>
      <c r="L8445" t="s">
        <v>26404</v>
      </c>
      <c r="M8445" t="s">
        <v>26405</v>
      </c>
      <c r="N8445" t="s">
        <v>2475</v>
      </c>
      <c r="O8445" t="s">
        <v>28</v>
      </c>
      <c r="P8445" t="s">
        <v>29</v>
      </c>
      <c r="Q8445">
        <v>42</v>
      </c>
      <c r="R8445">
        <v>-87.629800000000003</v>
      </c>
    </row>
    <row r="8446" spans="1:18" x14ac:dyDescent="0.2">
      <c r="A8446" t="s">
        <v>439</v>
      </c>
      <c r="B8446" t="s">
        <v>4321</v>
      </c>
      <c r="C8446">
        <v>1</v>
      </c>
      <c r="D8446" s="1">
        <v>44232.897696759261</v>
      </c>
      <c r="E8446" t="s">
        <v>26402</v>
      </c>
      <c r="F8446" t="s">
        <v>442</v>
      </c>
      <c r="G8446" t="s">
        <v>26403</v>
      </c>
      <c r="H8446" t="s">
        <v>444</v>
      </c>
      <c r="I8446" t="s">
        <v>29</v>
      </c>
      <c r="J8446">
        <v>1</v>
      </c>
      <c r="K8446">
        <f>1-888-352-4785</f>
        <v>-6024</v>
      </c>
      <c r="L8446" t="s">
        <v>26406</v>
      </c>
      <c r="M8446" t="s">
        <v>26407</v>
      </c>
      <c r="N8446" t="s">
        <v>2475</v>
      </c>
      <c r="O8446" t="s">
        <v>28</v>
      </c>
      <c r="P8446" t="s">
        <v>29</v>
      </c>
      <c r="Q8446">
        <v>42</v>
      </c>
      <c r="R8446">
        <v>-87.629800000000003</v>
      </c>
    </row>
    <row r="8447" spans="1:18" x14ac:dyDescent="0.2">
      <c r="A8447" t="s">
        <v>439</v>
      </c>
      <c r="B8447" t="s">
        <v>4321</v>
      </c>
      <c r="C8447">
        <v>1</v>
      </c>
      <c r="D8447" s="1">
        <v>44232.899305555555</v>
      </c>
      <c r="E8447" t="s">
        <v>26402</v>
      </c>
      <c r="F8447" t="s">
        <v>442</v>
      </c>
      <c r="G8447" t="s">
        <v>26408</v>
      </c>
      <c r="H8447" t="s">
        <v>444</v>
      </c>
      <c r="I8447" t="s">
        <v>29</v>
      </c>
      <c r="J8447">
        <v>1</v>
      </c>
      <c r="K8447">
        <f>1-888-306-3395</f>
        <v>-4588</v>
      </c>
      <c r="L8447" t="s">
        <v>26409</v>
      </c>
      <c r="M8447" t="s">
        <v>26410</v>
      </c>
      <c r="N8447" t="s">
        <v>2475</v>
      </c>
      <c r="O8447" t="s">
        <v>28</v>
      </c>
      <c r="P8447" t="s">
        <v>29</v>
      </c>
      <c r="Q8447">
        <v>42</v>
      </c>
      <c r="R8447">
        <v>-87.629800000000003</v>
      </c>
    </row>
    <row r="8448" spans="1:18" x14ac:dyDescent="0.2">
      <c r="A8448" t="s">
        <v>439</v>
      </c>
      <c r="B8448" t="s">
        <v>4321</v>
      </c>
      <c r="C8448">
        <v>1</v>
      </c>
      <c r="D8448" s="1">
        <v>44232.898958333331</v>
      </c>
      <c r="E8448" t="s">
        <v>26402</v>
      </c>
      <c r="F8448" t="s">
        <v>442</v>
      </c>
      <c r="G8448" t="s">
        <v>26408</v>
      </c>
      <c r="H8448" t="s">
        <v>444</v>
      </c>
      <c r="I8448" t="s">
        <v>29</v>
      </c>
      <c r="J8448">
        <v>1</v>
      </c>
      <c r="K8448">
        <f>1-888-394-9930</f>
        <v>-11211</v>
      </c>
      <c r="L8448" t="s">
        <v>26411</v>
      </c>
      <c r="M8448" t="s">
        <v>26412</v>
      </c>
      <c r="N8448" t="s">
        <v>2475</v>
      </c>
      <c r="O8448" t="s">
        <v>28</v>
      </c>
      <c r="P8448" t="s">
        <v>29</v>
      </c>
      <c r="Q8448">
        <v>42</v>
      </c>
      <c r="R8448">
        <v>-87.629800000000003</v>
      </c>
    </row>
    <row r="8449" spans="1:18" x14ac:dyDescent="0.2">
      <c r="A8449" t="s">
        <v>439</v>
      </c>
      <c r="B8449" t="s">
        <v>4321</v>
      </c>
      <c r="C8449">
        <v>1</v>
      </c>
      <c r="D8449" s="1">
        <v>44232.89880787037</v>
      </c>
      <c r="E8449" t="s">
        <v>26402</v>
      </c>
      <c r="F8449" t="s">
        <v>442</v>
      </c>
      <c r="G8449" t="s">
        <v>26408</v>
      </c>
      <c r="H8449" t="s">
        <v>444</v>
      </c>
      <c r="I8449" t="s">
        <v>29</v>
      </c>
      <c r="J8449">
        <v>1</v>
      </c>
      <c r="K8449">
        <f>1-888-393-9379</f>
        <v>-10659</v>
      </c>
      <c r="L8449" t="s">
        <v>26413</v>
      </c>
      <c r="M8449" t="s">
        <v>26414</v>
      </c>
      <c r="N8449" t="s">
        <v>2475</v>
      </c>
      <c r="O8449" t="s">
        <v>28</v>
      </c>
      <c r="P8449" t="s">
        <v>29</v>
      </c>
      <c r="Q8449">
        <v>42</v>
      </c>
      <c r="R8449">
        <v>-87.629800000000003</v>
      </c>
    </row>
    <row r="8450" spans="1:18" x14ac:dyDescent="0.2">
      <c r="A8450" t="s">
        <v>663</v>
      </c>
      <c r="B8450" t="s">
        <v>2493</v>
      </c>
      <c r="C8450">
        <v>1</v>
      </c>
      <c r="D8450" s="1">
        <v>44232.903935185182</v>
      </c>
      <c r="E8450" t="s">
        <v>26415</v>
      </c>
      <c r="F8450" t="s">
        <v>666</v>
      </c>
      <c r="G8450" t="s">
        <v>26415</v>
      </c>
      <c r="H8450" t="s">
        <v>667</v>
      </c>
      <c r="I8450" t="s">
        <v>29</v>
      </c>
      <c r="J8450">
        <v>1</v>
      </c>
      <c r="K8450">
        <f>1-888-612-9862</f>
        <v>-11361</v>
      </c>
      <c r="L8450" t="s">
        <v>26416</v>
      </c>
      <c r="M8450" t="s">
        <v>26417</v>
      </c>
      <c r="N8450">
        <v>183</v>
      </c>
      <c r="O8450" t="s">
        <v>134</v>
      </c>
      <c r="P8450" t="s">
        <v>29</v>
      </c>
      <c r="Q8450">
        <v>41</v>
      </c>
      <c r="R8450">
        <v>-74.024699999999996</v>
      </c>
    </row>
    <row r="8451" spans="1:18" x14ac:dyDescent="0.2">
      <c r="A8451" t="s">
        <v>439</v>
      </c>
      <c r="B8451" t="s">
        <v>4321</v>
      </c>
      <c r="C8451">
        <v>1</v>
      </c>
      <c r="D8451" s="1">
        <v>44233.003900462965</v>
      </c>
      <c r="E8451" t="s">
        <v>26394</v>
      </c>
      <c r="F8451" t="s">
        <v>442</v>
      </c>
      <c r="G8451" t="s">
        <v>26418</v>
      </c>
      <c r="H8451" t="s">
        <v>444</v>
      </c>
      <c r="I8451" t="s">
        <v>29</v>
      </c>
      <c r="J8451">
        <v>1</v>
      </c>
      <c r="K8451">
        <f>1-844-302-5247</f>
        <v>-6392</v>
      </c>
      <c r="L8451" t="s">
        <v>26419</v>
      </c>
      <c r="M8451" t="s">
        <v>26420</v>
      </c>
      <c r="N8451" t="s">
        <v>3441</v>
      </c>
      <c r="O8451" t="s">
        <v>28</v>
      </c>
      <c r="P8451" t="s">
        <v>29</v>
      </c>
      <c r="Q8451">
        <v>42</v>
      </c>
      <c r="R8451">
        <v>-87.629800000000003</v>
      </c>
    </row>
    <row r="8452" spans="1:18" x14ac:dyDescent="0.2">
      <c r="A8452" t="s">
        <v>2233</v>
      </c>
      <c r="B8452" t="s">
        <v>440</v>
      </c>
      <c r="C8452">
        <v>1</v>
      </c>
      <c r="D8452" s="1">
        <v>44233.20653935185</v>
      </c>
      <c r="E8452" t="s">
        <v>26421</v>
      </c>
      <c r="F8452" t="s">
        <v>2236</v>
      </c>
      <c r="G8452" t="s">
        <v>26422</v>
      </c>
      <c r="H8452" t="s">
        <v>2237</v>
      </c>
      <c r="I8452" t="s">
        <v>29</v>
      </c>
      <c r="J8452">
        <v>1</v>
      </c>
      <c r="K8452">
        <f>1-888-410-2592</f>
        <v>-3889</v>
      </c>
      <c r="L8452" t="s">
        <v>26423</v>
      </c>
      <c r="M8452" t="s">
        <v>26424</v>
      </c>
      <c r="N8452" t="s">
        <v>5354</v>
      </c>
      <c r="O8452" t="s">
        <v>28</v>
      </c>
      <c r="P8452" t="s">
        <v>29</v>
      </c>
      <c r="Q8452">
        <v>39</v>
      </c>
      <c r="R8452">
        <v>-77.487399999999994</v>
      </c>
    </row>
    <row r="8453" spans="1:18" x14ac:dyDescent="0.2">
      <c r="A8453" t="s">
        <v>439</v>
      </c>
      <c r="B8453" t="s">
        <v>4321</v>
      </c>
      <c r="C8453">
        <v>81</v>
      </c>
      <c r="D8453" s="1">
        <v>44233.211111111108</v>
      </c>
      <c r="E8453" t="s">
        <v>26425</v>
      </c>
      <c r="F8453" t="s">
        <v>442</v>
      </c>
      <c r="G8453" t="s">
        <v>26426</v>
      </c>
      <c r="H8453" t="s">
        <v>444</v>
      </c>
      <c r="I8453" t="s">
        <v>53</v>
      </c>
      <c r="J8453">
        <v>81</v>
      </c>
      <c r="K8453">
        <f>81-50-3198-9567</f>
        <v>-12734</v>
      </c>
      <c r="L8453" t="s">
        <v>26427</v>
      </c>
      <c r="M8453" t="s">
        <v>26428</v>
      </c>
      <c r="N8453" t="s">
        <v>447</v>
      </c>
      <c r="O8453" t="s">
        <v>28</v>
      </c>
      <c r="P8453" t="s">
        <v>29</v>
      </c>
      <c r="Q8453">
        <v>42</v>
      </c>
      <c r="R8453">
        <v>-87.629800000000003</v>
      </c>
    </row>
    <row r="8454" spans="1:18" x14ac:dyDescent="0.2">
      <c r="A8454" t="s">
        <v>439</v>
      </c>
      <c r="B8454" t="s">
        <v>4321</v>
      </c>
      <c r="C8454">
        <v>1</v>
      </c>
      <c r="D8454" s="1">
        <v>44233.751817129632</v>
      </c>
      <c r="E8454" t="s">
        <v>26429</v>
      </c>
      <c r="F8454" t="s">
        <v>442</v>
      </c>
      <c r="G8454" t="s">
        <v>26430</v>
      </c>
      <c r="H8454" t="s">
        <v>444</v>
      </c>
      <c r="I8454" t="s">
        <v>29</v>
      </c>
      <c r="J8454">
        <v>1</v>
      </c>
      <c r="K8454">
        <f>1-888-611-7649</f>
        <v>-9147</v>
      </c>
      <c r="L8454" t="s">
        <v>26431</v>
      </c>
      <c r="M8454" t="s">
        <v>26432</v>
      </c>
      <c r="N8454" t="s">
        <v>683</v>
      </c>
      <c r="O8454" t="s">
        <v>28</v>
      </c>
      <c r="P8454" t="s">
        <v>29</v>
      </c>
      <c r="Q8454">
        <v>42</v>
      </c>
      <c r="R8454">
        <v>-87.629800000000003</v>
      </c>
    </row>
    <row r="8455" spans="1:18" x14ac:dyDescent="0.2">
      <c r="A8455" t="s">
        <v>439</v>
      </c>
      <c r="B8455" t="s">
        <v>4321</v>
      </c>
      <c r="C8455">
        <v>1</v>
      </c>
      <c r="D8455" s="1">
        <v>44233.751585648148</v>
      </c>
      <c r="E8455" t="s">
        <v>26429</v>
      </c>
      <c r="F8455" t="s">
        <v>442</v>
      </c>
      <c r="G8455" t="s">
        <v>26430</v>
      </c>
      <c r="H8455" t="s">
        <v>444</v>
      </c>
      <c r="I8455" t="s">
        <v>29</v>
      </c>
      <c r="J8455">
        <v>1</v>
      </c>
      <c r="K8455">
        <f>1-888-616-4312</f>
        <v>-5815</v>
      </c>
      <c r="L8455" t="s">
        <v>26433</v>
      </c>
      <c r="M8455" t="s">
        <v>26434</v>
      </c>
      <c r="N8455" t="s">
        <v>683</v>
      </c>
      <c r="O8455" t="s">
        <v>28</v>
      </c>
      <c r="P8455" t="s">
        <v>29</v>
      </c>
      <c r="Q8455">
        <v>42</v>
      </c>
      <c r="R8455">
        <v>-87.629800000000003</v>
      </c>
    </row>
    <row r="8456" spans="1:18" x14ac:dyDescent="0.2">
      <c r="A8456" t="s">
        <v>439</v>
      </c>
      <c r="B8456" t="s">
        <v>4321</v>
      </c>
      <c r="C8456">
        <v>1</v>
      </c>
      <c r="D8456" s="1">
        <v>44233.749699074076</v>
      </c>
      <c r="E8456" t="s">
        <v>26429</v>
      </c>
      <c r="F8456" t="s">
        <v>442</v>
      </c>
      <c r="G8456" t="s">
        <v>26430</v>
      </c>
      <c r="H8456" t="s">
        <v>444</v>
      </c>
      <c r="I8456" t="s">
        <v>29</v>
      </c>
      <c r="J8456">
        <v>1</v>
      </c>
      <c r="K8456">
        <f>1-888-569-1604</f>
        <v>-3060</v>
      </c>
      <c r="L8456" t="s">
        <v>26435</v>
      </c>
      <c r="M8456" t="s">
        <v>26436</v>
      </c>
      <c r="N8456" t="s">
        <v>683</v>
      </c>
      <c r="O8456" t="s">
        <v>28</v>
      </c>
      <c r="P8456" t="s">
        <v>29</v>
      </c>
      <c r="Q8456">
        <v>42</v>
      </c>
      <c r="R8456">
        <v>-87.629800000000003</v>
      </c>
    </row>
    <row r="8457" spans="1:18" x14ac:dyDescent="0.2">
      <c r="A8457" t="s">
        <v>439</v>
      </c>
      <c r="B8457" t="s">
        <v>4321</v>
      </c>
      <c r="C8457">
        <v>1</v>
      </c>
      <c r="D8457" s="1">
        <v>44233.751932870371</v>
      </c>
      <c r="E8457" t="s">
        <v>26429</v>
      </c>
      <c r="F8457" t="s">
        <v>442</v>
      </c>
      <c r="G8457" t="s">
        <v>26437</v>
      </c>
      <c r="H8457" t="s">
        <v>444</v>
      </c>
      <c r="I8457" t="s">
        <v>29</v>
      </c>
      <c r="J8457">
        <v>1</v>
      </c>
      <c r="K8457">
        <f>1-888-594-9213</f>
        <v>-10694</v>
      </c>
      <c r="L8457" t="s">
        <v>26438</v>
      </c>
      <c r="M8457" t="s">
        <v>26439</v>
      </c>
      <c r="N8457" t="s">
        <v>683</v>
      </c>
      <c r="O8457" t="s">
        <v>28</v>
      </c>
      <c r="P8457" t="s">
        <v>29</v>
      </c>
      <c r="Q8457">
        <v>42</v>
      </c>
      <c r="R8457">
        <v>-87.629800000000003</v>
      </c>
    </row>
    <row r="8458" spans="1:18" x14ac:dyDescent="0.2">
      <c r="A8458" t="s">
        <v>663</v>
      </c>
      <c r="B8458" t="s">
        <v>2500</v>
      </c>
      <c r="C8458">
        <v>1</v>
      </c>
      <c r="D8458" s="1">
        <v>44233.880150462966</v>
      </c>
      <c r="E8458" t="s">
        <v>26440</v>
      </c>
      <c r="F8458" t="s">
        <v>666</v>
      </c>
      <c r="G8458" t="s">
        <v>26440</v>
      </c>
      <c r="H8458" t="s">
        <v>667</v>
      </c>
      <c r="I8458" t="s">
        <v>29</v>
      </c>
      <c r="J8458">
        <v>1</v>
      </c>
      <c r="K8458">
        <f>1-888-325-2341</f>
        <v>-3553</v>
      </c>
      <c r="L8458" t="s">
        <v>26441</v>
      </c>
      <c r="M8458" t="s">
        <v>26442</v>
      </c>
      <c r="N8458">
        <v>80</v>
      </c>
      <c r="O8458" t="s">
        <v>134</v>
      </c>
      <c r="P8458" t="s">
        <v>2500</v>
      </c>
      <c r="Q8458">
        <v>1</v>
      </c>
      <c r="R8458">
        <v>99.999999000000003</v>
      </c>
    </row>
    <row r="8459" spans="1:18" x14ac:dyDescent="0.2">
      <c r="A8459" t="s">
        <v>1637</v>
      </c>
      <c r="B8459" t="s">
        <v>454</v>
      </c>
      <c r="C8459">
        <v>1</v>
      </c>
      <c r="D8459" s="1">
        <v>44347.037187499998</v>
      </c>
      <c r="E8459" t="s">
        <v>26443</v>
      </c>
      <c r="F8459" t="s">
        <v>1640</v>
      </c>
      <c r="G8459" t="s">
        <v>26444</v>
      </c>
      <c r="H8459" t="s">
        <v>1642</v>
      </c>
      <c r="I8459" t="s">
        <v>29</v>
      </c>
      <c r="J8459">
        <v>1</v>
      </c>
      <c r="K8459">
        <f>1-888-478-6466</f>
        <v>-7831</v>
      </c>
      <c r="L8459" t="s">
        <v>26445</v>
      </c>
      <c r="M8459" t="s">
        <v>26446</v>
      </c>
      <c r="N8459" t="s">
        <v>452</v>
      </c>
      <c r="O8459" t="s">
        <v>134</v>
      </c>
      <c r="P8459" t="s">
        <v>461</v>
      </c>
      <c r="Q8459">
        <v>52</v>
      </c>
      <c r="R8459">
        <v>4.8975</v>
      </c>
    </row>
    <row r="8460" spans="1:18" x14ac:dyDescent="0.2">
      <c r="A8460" t="s">
        <v>1637</v>
      </c>
      <c r="B8460" t="s">
        <v>454</v>
      </c>
      <c r="C8460">
        <v>1</v>
      </c>
      <c r="D8460" s="1">
        <v>44346.812418981484</v>
      </c>
      <c r="E8460" t="s">
        <v>26447</v>
      </c>
      <c r="F8460" t="s">
        <v>1640</v>
      </c>
      <c r="G8460" t="s">
        <v>26444</v>
      </c>
      <c r="H8460" t="s">
        <v>1642</v>
      </c>
      <c r="I8460" t="s">
        <v>29</v>
      </c>
      <c r="J8460">
        <v>1</v>
      </c>
      <c r="K8460">
        <f>1-888-439-222</f>
        <v>-1548</v>
      </c>
      <c r="L8460" t="s">
        <v>26448</v>
      </c>
      <c r="M8460" t="s">
        <v>26449</v>
      </c>
      <c r="N8460" t="s">
        <v>452</v>
      </c>
      <c r="O8460" t="s">
        <v>134</v>
      </c>
      <c r="P8460" t="s">
        <v>461</v>
      </c>
      <c r="Q8460">
        <v>52</v>
      </c>
      <c r="R8460">
        <v>4.8975</v>
      </c>
    </row>
    <row r="8461" spans="1:18" x14ac:dyDescent="0.2">
      <c r="A8461" t="s">
        <v>1637</v>
      </c>
      <c r="B8461" t="s">
        <v>454</v>
      </c>
      <c r="C8461">
        <v>1</v>
      </c>
      <c r="D8461" s="1">
        <v>44346.799513888887</v>
      </c>
      <c r="E8461" t="s">
        <v>26450</v>
      </c>
      <c r="F8461" t="s">
        <v>1640</v>
      </c>
      <c r="G8461" t="s">
        <v>26444</v>
      </c>
      <c r="H8461" t="s">
        <v>1642</v>
      </c>
      <c r="I8461" t="s">
        <v>29</v>
      </c>
      <c r="J8461">
        <v>1</v>
      </c>
      <c r="K8461">
        <f>1-888-473-3062</f>
        <v>-4422</v>
      </c>
      <c r="L8461" t="s">
        <v>26451</v>
      </c>
      <c r="M8461" t="s">
        <v>26452</v>
      </c>
      <c r="N8461" t="s">
        <v>452</v>
      </c>
      <c r="O8461" t="s">
        <v>134</v>
      </c>
      <c r="P8461" t="s">
        <v>461</v>
      </c>
      <c r="Q8461">
        <v>52</v>
      </c>
      <c r="R8461">
        <v>4.8975</v>
      </c>
    </row>
    <row r="8462" spans="1:18" x14ac:dyDescent="0.2">
      <c r="A8462" t="s">
        <v>1637</v>
      </c>
      <c r="B8462" t="s">
        <v>454</v>
      </c>
      <c r="C8462">
        <v>1</v>
      </c>
      <c r="D8462" s="1">
        <v>44327.949918981481</v>
      </c>
      <c r="E8462" t="s">
        <v>26453</v>
      </c>
      <c r="F8462" t="s">
        <v>1640</v>
      </c>
      <c r="G8462" t="s">
        <v>26444</v>
      </c>
      <c r="H8462" t="s">
        <v>1642</v>
      </c>
      <c r="I8462" t="s">
        <v>29</v>
      </c>
      <c r="J8462">
        <v>1</v>
      </c>
      <c r="K8462">
        <f>1-888-378-188</f>
        <v>-1453</v>
      </c>
      <c r="L8462" t="s">
        <v>26454</v>
      </c>
      <c r="M8462" t="s">
        <v>26455</v>
      </c>
      <c r="N8462" t="s">
        <v>452</v>
      </c>
      <c r="O8462" t="s">
        <v>134</v>
      </c>
      <c r="P8462" t="s">
        <v>461</v>
      </c>
      <c r="Q8462">
        <v>52</v>
      </c>
      <c r="R8462">
        <v>4.8975</v>
      </c>
    </row>
    <row r="8463" spans="1:18" x14ac:dyDescent="0.2">
      <c r="A8463" t="s">
        <v>1637</v>
      </c>
      <c r="B8463" t="s">
        <v>454</v>
      </c>
      <c r="C8463">
        <v>1</v>
      </c>
      <c r="D8463" s="1">
        <v>44264.838888888888</v>
      </c>
      <c r="E8463" t="s">
        <v>26456</v>
      </c>
      <c r="F8463" t="s">
        <v>1640</v>
      </c>
      <c r="G8463" t="s">
        <v>26444</v>
      </c>
      <c r="H8463" t="s">
        <v>1642</v>
      </c>
      <c r="I8463" t="s">
        <v>29</v>
      </c>
      <c r="J8463">
        <v>1</v>
      </c>
      <c r="K8463">
        <f>1-888-483-336</f>
        <v>-1706</v>
      </c>
      <c r="L8463" t="s">
        <v>26457</v>
      </c>
      <c r="M8463" t="s">
        <v>26458</v>
      </c>
      <c r="N8463" t="s">
        <v>452</v>
      </c>
      <c r="O8463" t="s">
        <v>134</v>
      </c>
      <c r="P8463" t="s">
        <v>461</v>
      </c>
      <c r="Q8463">
        <v>52</v>
      </c>
      <c r="R8463">
        <v>4.8975</v>
      </c>
    </row>
    <row r="8464" spans="1:18" x14ac:dyDescent="0.2">
      <c r="A8464" t="s">
        <v>1637</v>
      </c>
      <c r="B8464" t="s">
        <v>454</v>
      </c>
      <c r="C8464">
        <v>1</v>
      </c>
      <c r="D8464" s="1">
        <v>44245.845393518517</v>
      </c>
      <c r="E8464" t="s">
        <v>26459</v>
      </c>
      <c r="F8464" t="s">
        <v>1640</v>
      </c>
      <c r="G8464" t="s">
        <v>26444</v>
      </c>
      <c r="H8464" t="s">
        <v>1642</v>
      </c>
      <c r="I8464" t="s">
        <v>29</v>
      </c>
      <c r="J8464">
        <v>1</v>
      </c>
      <c r="K8464">
        <f>1-888-481-8155</f>
        <v>-9523</v>
      </c>
      <c r="L8464" t="s">
        <v>26460</v>
      </c>
      <c r="M8464" t="s">
        <v>26461</v>
      </c>
      <c r="N8464" t="s">
        <v>452</v>
      </c>
      <c r="O8464" t="s">
        <v>134</v>
      </c>
      <c r="P8464" t="s">
        <v>461</v>
      </c>
      <c r="Q8464">
        <v>52</v>
      </c>
      <c r="R8464">
        <v>4.8975</v>
      </c>
    </row>
    <row r="8465" spans="1:18" x14ac:dyDescent="0.2">
      <c r="A8465" t="s">
        <v>1637</v>
      </c>
      <c r="B8465" t="s">
        <v>454</v>
      </c>
      <c r="C8465">
        <v>1</v>
      </c>
      <c r="D8465" s="1">
        <v>44233.84783564815</v>
      </c>
      <c r="E8465" t="s">
        <v>26462</v>
      </c>
      <c r="F8465" t="s">
        <v>1640</v>
      </c>
      <c r="G8465" t="s">
        <v>26444</v>
      </c>
      <c r="H8465" t="s">
        <v>1642</v>
      </c>
      <c r="I8465" t="s">
        <v>29</v>
      </c>
      <c r="J8465">
        <v>1</v>
      </c>
      <c r="K8465">
        <f>1-800-941-5450</f>
        <v>-7190</v>
      </c>
      <c r="L8465" t="s">
        <v>26463</v>
      </c>
      <c r="M8465" t="s">
        <v>26464</v>
      </c>
      <c r="N8465" t="s">
        <v>452</v>
      </c>
      <c r="O8465" t="s">
        <v>134</v>
      </c>
      <c r="P8465" t="s">
        <v>461</v>
      </c>
      <c r="Q8465">
        <v>52</v>
      </c>
      <c r="R8465">
        <v>4.8975</v>
      </c>
    </row>
    <row r="8466" spans="1:18" x14ac:dyDescent="0.2">
      <c r="A8466" t="s">
        <v>1637</v>
      </c>
      <c r="B8466" t="s">
        <v>454</v>
      </c>
      <c r="C8466">
        <v>1</v>
      </c>
      <c r="D8466" s="1">
        <v>44233.847777777781</v>
      </c>
      <c r="E8466" t="s">
        <v>26465</v>
      </c>
      <c r="F8466" t="s">
        <v>1640</v>
      </c>
      <c r="G8466" t="s">
        <v>26444</v>
      </c>
      <c r="H8466" t="s">
        <v>1642</v>
      </c>
      <c r="I8466" t="s">
        <v>29</v>
      </c>
      <c r="J8466">
        <v>1</v>
      </c>
      <c r="K8466">
        <f>1-888-475-6116</f>
        <v>-7478</v>
      </c>
      <c r="L8466" t="s">
        <v>26466</v>
      </c>
      <c r="M8466" t="s">
        <v>26467</v>
      </c>
      <c r="N8466" t="s">
        <v>452</v>
      </c>
      <c r="O8466" t="s">
        <v>134</v>
      </c>
      <c r="P8466" t="s">
        <v>461</v>
      </c>
      <c r="Q8466">
        <v>52</v>
      </c>
      <c r="R8466">
        <v>4.8975</v>
      </c>
    </row>
    <row r="8467" spans="1:18" x14ac:dyDescent="0.2">
      <c r="A8467" t="s">
        <v>1637</v>
      </c>
      <c r="B8467" t="s">
        <v>454</v>
      </c>
      <c r="C8467">
        <v>1</v>
      </c>
      <c r="D8467" s="1">
        <v>44233.847719907404</v>
      </c>
      <c r="E8467" t="s">
        <v>26468</v>
      </c>
      <c r="F8467" t="s">
        <v>1640</v>
      </c>
      <c r="G8467" t="s">
        <v>26444</v>
      </c>
      <c r="H8467" t="s">
        <v>1642</v>
      </c>
      <c r="I8467" t="s">
        <v>29</v>
      </c>
      <c r="J8467">
        <v>1</v>
      </c>
      <c r="K8467">
        <f>1-800-943-530</f>
        <v>-2272</v>
      </c>
      <c r="L8467" t="s">
        <v>26469</v>
      </c>
      <c r="M8467" t="s">
        <v>26470</v>
      </c>
      <c r="N8467" t="s">
        <v>452</v>
      </c>
      <c r="O8467" t="s">
        <v>134</v>
      </c>
      <c r="P8467" t="s">
        <v>461</v>
      </c>
      <c r="Q8467">
        <v>52</v>
      </c>
      <c r="R8467">
        <v>4.8975</v>
      </c>
    </row>
    <row r="8468" spans="1:18" x14ac:dyDescent="0.2">
      <c r="A8468" t="s">
        <v>1637</v>
      </c>
      <c r="B8468" t="s">
        <v>454</v>
      </c>
      <c r="C8468">
        <v>1</v>
      </c>
      <c r="D8468" s="1">
        <v>44233.847685185188</v>
      </c>
      <c r="E8468" t="s">
        <v>26471</v>
      </c>
      <c r="F8468" t="s">
        <v>1640</v>
      </c>
      <c r="G8468" t="s">
        <v>26444</v>
      </c>
      <c r="H8468" t="s">
        <v>1642</v>
      </c>
      <c r="I8468" t="s">
        <v>29</v>
      </c>
      <c r="J8468">
        <v>1</v>
      </c>
      <c r="K8468">
        <f>1-888-475-6116</f>
        <v>-7478</v>
      </c>
      <c r="L8468" t="s">
        <v>26472</v>
      </c>
      <c r="M8468" t="s">
        <v>26473</v>
      </c>
      <c r="N8468" t="s">
        <v>452</v>
      </c>
      <c r="O8468" t="s">
        <v>134</v>
      </c>
      <c r="P8468" t="s">
        <v>461</v>
      </c>
      <c r="Q8468">
        <v>52</v>
      </c>
      <c r="R8468">
        <v>4.8975</v>
      </c>
    </row>
    <row r="8469" spans="1:18" x14ac:dyDescent="0.2">
      <c r="A8469" t="s">
        <v>1637</v>
      </c>
      <c r="B8469" t="s">
        <v>454</v>
      </c>
      <c r="C8469">
        <v>1</v>
      </c>
      <c r="D8469" s="1">
        <v>44233.755624999998</v>
      </c>
      <c r="E8469" t="s">
        <v>26474</v>
      </c>
      <c r="F8469" t="s">
        <v>1640</v>
      </c>
      <c r="G8469" t="s">
        <v>26444</v>
      </c>
      <c r="H8469" t="s">
        <v>1642</v>
      </c>
      <c r="I8469" t="s">
        <v>29</v>
      </c>
      <c r="J8469">
        <v>1</v>
      </c>
      <c r="K8469">
        <f>1-888-475-6116</f>
        <v>-7478</v>
      </c>
      <c r="L8469" t="s">
        <v>26475</v>
      </c>
      <c r="M8469" t="s">
        <v>26476</v>
      </c>
      <c r="N8469" t="s">
        <v>3295</v>
      </c>
      <c r="O8469" t="s">
        <v>134</v>
      </c>
      <c r="P8469" t="s">
        <v>461</v>
      </c>
      <c r="Q8469">
        <v>52</v>
      </c>
      <c r="R8469">
        <v>4.8975</v>
      </c>
    </row>
    <row r="8470" spans="1:18" x14ac:dyDescent="0.2">
      <c r="A8470" t="s">
        <v>439</v>
      </c>
      <c r="B8470" t="s">
        <v>4321</v>
      </c>
      <c r="C8470">
        <v>1</v>
      </c>
      <c r="D8470" s="1">
        <v>44233.765682870369</v>
      </c>
      <c r="E8470" t="s">
        <v>26477</v>
      </c>
      <c r="F8470" t="s">
        <v>442</v>
      </c>
      <c r="G8470" t="s">
        <v>26478</v>
      </c>
      <c r="H8470" t="s">
        <v>444</v>
      </c>
      <c r="I8470" t="s">
        <v>29</v>
      </c>
      <c r="J8470">
        <v>1</v>
      </c>
      <c r="K8470">
        <f>1-888-616-4312</f>
        <v>-5815</v>
      </c>
      <c r="L8470" t="s">
        <v>26479</v>
      </c>
      <c r="M8470" t="s">
        <v>26480</v>
      </c>
      <c r="N8470" t="s">
        <v>5354</v>
      </c>
      <c r="O8470" t="s">
        <v>28</v>
      </c>
      <c r="P8470" t="s">
        <v>29</v>
      </c>
      <c r="Q8470">
        <v>42</v>
      </c>
      <c r="R8470">
        <v>-87.629800000000003</v>
      </c>
    </row>
    <row r="8471" spans="1:18" x14ac:dyDescent="0.2">
      <c r="A8471" t="s">
        <v>439</v>
      </c>
      <c r="B8471" t="s">
        <v>4321</v>
      </c>
      <c r="C8471">
        <v>1</v>
      </c>
      <c r="D8471" s="1">
        <v>44233.7656712963</v>
      </c>
      <c r="E8471" t="s">
        <v>26477</v>
      </c>
      <c r="F8471" t="s">
        <v>442</v>
      </c>
      <c r="G8471" t="s">
        <v>26478</v>
      </c>
      <c r="H8471" t="s">
        <v>444</v>
      </c>
      <c r="I8471" t="s">
        <v>29</v>
      </c>
      <c r="J8471">
        <v>1</v>
      </c>
      <c r="K8471">
        <f>1-888-569-1604</f>
        <v>-3060</v>
      </c>
      <c r="L8471" t="s">
        <v>26481</v>
      </c>
      <c r="M8471" t="s">
        <v>26482</v>
      </c>
      <c r="N8471" t="s">
        <v>5354</v>
      </c>
      <c r="O8471" t="s">
        <v>28</v>
      </c>
      <c r="P8471" t="s">
        <v>29</v>
      </c>
      <c r="Q8471">
        <v>42</v>
      </c>
      <c r="R8471">
        <v>-87.629800000000003</v>
      </c>
    </row>
    <row r="8472" spans="1:18" x14ac:dyDescent="0.2">
      <c r="A8472" t="s">
        <v>439</v>
      </c>
      <c r="B8472" t="s">
        <v>4321</v>
      </c>
      <c r="C8472">
        <v>1</v>
      </c>
      <c r="D8472" s="1">
        <v>44233.765648148146</v>
      </c>
      <c r="E8472" t="s">
        <v>26477</v>
      </c>
      <c r="F8472" t="s">
        <v>442</v>
      </c>
      <c r="G8472" t="s">
        <v>26478</v>
      </c>
      <c r="H8472" t="s">
        <v>444</v>
      </c>
      <c r="I8472" t="s">
        <v>29</v>
      </c>
      <c r="J8472">
        <v>1</v>
      </c>
      <c r="K8472">
        <f>1-888-599-269</f>
        <v>-1755</v>
      </c>
      <c r="L8472" t="s">
        <v>26483</v>
      </c>
      <c r="M8472" t="s">
        <v>26484</v>
      </c>
      <c r="N8472" t="s">
        <v>5354</v>
      </c>
      <c r="O8472" t="s">
        <v>28</v>
      </c>
      <c r="P8472" t="s">
        <v>29</v>
      </c>
      <c r="Q8472">
        <v>42</v>
      </c>
      <c r="R8472">
        <v>-87.629800000000003</v>
      </c>
    </row>
    <row r="8473" spans="1:18" x14ac:dyDescent="0.2">
      <c r="A8473" t="s">
        <v>439</v>
      </c>
      <c r="B8473" t="s">
        <v>4321</v>
      </c>
      <c r="C8473">
        <v>1</v>
      </c>
      <c r="D8473" s="1">
        <v>44233.765601851854</v>
      </c>
      <c r="E8473" t="s">
        <v>26477</v>
      </c>
      <c r="F8473" t="s">
        <v>442</v>
      </c>
      <c r="G8473" t="s">
        <v>26478</v>
      </c>
      <c r="H8473" t="s">
        <v>444</v>
      </c>
      <c r="I8473" t="s">
        <v>29</v>
      </c>
      <c r="J8473">
        <v>1</v>
      </c>
      <c r="K8473">
        <f>1-888-611-7649</f>
        <v>-9147</v>
      </c>
      <c r="L8473" t="s">
        <v>26485</v>
      </c>
      <c r="M8473" t="s">
        <v>26486</v>
      </c>
      <c r="N8473" t="s">
        <v>5354</v>
      </c>
      <c r="O8473" t="s">
        <v>28</v>
      </c>
      <c r="P8473" t="s">
        <v>29</v>
      </c>
      <c r="Q8473">
        <v>42</v>
      </c>
      <c r="R8473">
        <v>-87.629800000000003</v>
      </c>
    </row>
    <row r="8474" spans="1:18" x14ac:dyDescent="0.2">
      <c r="A8474" t="s">
        <v>439</v>
      </c>
      <c r="B8474" t="s">
        <v>4321</v>
      </c>
      <c r="C8474">
        <v>1</v>
      </c>
      <c r="D8474" s="1">
        <v>44233.765173611115</v>
      </c>
      <c r="E8474" t="s">
        <v>26477</v>
      </c>
      <c r="F8474" t="s">
        <v>442</v>
      </c>
      <c r="G8474" t="s">
        <v>26478</v>
      </c>
      <c r="H8474" t="s">
        <v>444</v>
      </c>
      <c r="I8474" t="s">
        <v>29</v>
      </c>
      <c r="J8474">
        <v>1</v>
      </c>
      <c r="K8474">
        <f>1-888-594-9213</f>
        <v>-10694</v>
      </c>
      <c r="L8474" t="s">
        <v>26487</v>
      </c>
      <c r="M8474" t="s">
        <v>26488</v>
      </c>
      <c r="N8474" t="s">
        <v>5354</v>
      </c>
      <c r="O8474" t="s">
        <v>28</v>
      </c>
      <c r="P8474" t="s">
        <v>29</v>
      </c>
      <c r="Q8474">
        <v>42</v>
      </c>
      <c r="R8474">
        <v>-87.629800000000003</v>
      </c>
    </row>
    <row r="8475" spans="1:18" x14ac:dyDescent="0.2">
      <c r="A8475" t="s">
        <v>663</v>
      </c>
      <c r="B8475" t="s">
        <v>664</v>
      </c>
      <c r="C8475">
        <v>1</v>
      </c>
      <c r="D8475" s="1">
        <v>44234.826354166667</v>
      </c>
      <c r="E8475" t="s">
        <v>26489</v>
      </c>
      <c r="F8475" t="s">
        <v>666</v>
      </c>
      <c r="G8475" t="s">
        <v>26489</v>
      </c>
      <c r="H8475" t="s">
        <v>667</v>
      </c>
      <c r="I8475" t="s">
        <v>29</v>
      </c>
      <c r="J8475">
        <v>1</v>
      </c>
      <c r="K8475">
        <f>1-888-614-179</f>
        <v>-1680</v>
      </c>
      <c r="L8475" t="s">
        <v>26490</v>
      </c>
      <c r="M8475" t="s">
        <v>26491</v>
      </c>
      <c r="N8475">
        <v>24</v>
      </c>
      <c r="O8475" t="s">
        <v>134</v>
      </c>
      <c r="P8475" t="s">
        <v>29</v>
      </c>
      <c r="Q8475">
        <v>37</v>
      </c>
      <c r="R8475">
        <v>-99.999999000000003</v>
      </c>
    </row>
    <row r="8476" spans="1:18" x14ac:dyDescent="0.2">
      <c r="A8476" t="s">
        <v>439</v>
      </c>
      <c r="B8476" t="s">
        <v>4321</v>
      </c>
      <c r="C8476">
        <v>1</v>
      </c>
      <c r="D8476" s="1">
        <v>44233.808981481481</v>
      </c>
      <c r="E8476" t="s">
        <v>26492</v>
      </c>
      <c r="F8476" t="s">
        <v>442</v>
      </c>
      <c r="G8476" t="s">
        <v>26493</v>
      </c>
      <c r="H8476" t="s">
        <v>444</v>
      </c>
      <c r="I8476" t="s">
        <v>29</v>
      </c>
      <c r="J8476">
        <v>1</v>
      </c>
      <c r="K8476">
        <f>1-888-569-1604</f>
        <v>-3060</v>
      </c>
      <c r="L8476" t="s">
        <v>26494</v>
      </c>
      <c r="M8476" t="s">
        <v>26495</v>
      </c>
      <c r="N8476" t="s">
        <v>1645</v>
      </c>
      <c r="O8476" t="s">
        <v>28</v>
      </c>
      <c r="P8476" t="s">
        <v>29</v>
      </c>
      <c r="Q8476">
        <v>42</v>
      </c>
      <c r="R8476">
        <v>-87.629800000000003</v>
      </c>
    </row>
    <row r="8477" spans="1:18" x14ac:dyDescent="0.2">
      <c r="A8477" t="s">
        <v>1200</v>
      </c>
      <c r="B8477" t="s">
        <v>440</v>
      </c>
      <c r="C8477">
        <v>1</v>
      </c>
      <c r="D8477" s="1">
        <v>44250.800196759257</v>
      </c>
      <c r="E8477" t="s">
        <v>26496</v>
      </c>
      <c r="F8477" t="s">
        <v>1203</v>
      </c>
      <c r="G8477" t="s">
        <v>26497</v>
      </c>
      <c r="H8477" t="s">
        <v>1205</v>
      </c>
      <c r="I8477" t="s">
        <v>29</v>
      </c>
      <c r="J8477">
        <v>1</v>
      </c>
      <c r="K8477">
        <f>1-888-373-3953</f>
        <v>-5213</v>
      </c>
      <c r="L8477" t="s">
        <v>26498</v>
      </c>
      <c r="M8477" t="s">
        <v>26499</v>
      </c>
      <c r="N8477" t="s">
        <v>452</v>
      </c>
      <c r="O8477" t="s">
        <v>134</v>
      </c>
      <c r="P8477" t="s">
        <v>29</v>
      </c>
      <c r="Q8477">
        <v>39</v>
      </c>
      <c r="R8477">
        <v>-77.472800000000007</v>
      </c>
    </row>
    <row r="8478" spans="1:18" x14ac:dyDescent="0.2">
      <c r="A8478" t="s">
        <v>1200</v>
      </c>
      <c r="B8478" t="s">
        <v>440</v>
      </c>
      <c r="C8478">
        <v>1</v>
      </c>
      <c r="D8478" s="1">
        <v>44233.812337962961</v>
      </c>
      <c r="E8478" t="s">
        <v>26500</v>
      </c>
      <c r="F8478" t="s">
        <v>1203</v>
      </c>
      <c r="G8478" t="s">
        <v>26497</v>
      </c>
      <c r="H8478" t="s">
        <v>1205</v>
      </c>
      <c r="I8478" t="s">
        <v>29</v>
      </c>
      <c r="J8478">
        <v>1</v>
      </c>
      <c r="K8478">
        <f>1-888-373-3953</f>
        <v>-5213</v>
      </c>
      <c r="L8478" t="s">
        <v>26501</v>
      </c>
      <c r="M8478" t="s">
        <v>26502</v>
      </c>
      <c r="N8478" t="s">
        <v>452</v>
      </c>
      <c r="O8478" t="s">
        <v>134</v>
      </c>
      <c r="P8478" t="s">
        <v>29</v>
      </c>
      <c r="Q8478">
        <v>39</v>
      </c>
      <c r="R8478">
        <v>-77.472800000000007</v>
      </c>
    </row>
    <row r="8479" spans="1:18" x14ac:dyDescent="0.2">
      <c r="A8479" t="s">
        <v>439</v>
      </c>
      <c r="B8479" t="s">
        <v>4321</v>
      </c>
      <c r="C8479">
        <v>1</v>
      </c>
      <c r="D8479" s="1">
        <v>44233.897569444445</v>
      </c>
      <c r="E8479" t="s">
        <v>26503</v>
      </c>
      <c r="F8479" t="s">
        <v>442</v>
      </c>
      <c r="G8479" t="s">
        <v>26504</v>
      </c>
      <c r="H8479" t="s">
        <v>444</v>
      </c>
      <c r="I8479" t="s">
        <v>29</v>
      </c>
      <c r="J8479">
        <v>1</v>
      </c>
      <c r="K8479">
        <f>1-844-478-5417</f>
        <v>-6738</v>
      </c>
      <c r="L8479" t="s">
        <v>26505</v>
      </c>
      <c r="M8479" t="s">
        <v>26506</v>
      </c>
      <c r="N8479" t="s">
        <v>447</v>
      </c>
      <c r="O8479" t="s">
        <v>28</v>
      </c>
      <c r="P8479" t="s">
        <v>29</v>
      </c>
      <c r="Q8479">
        <v>42</v>
      </c>
      <c r="R8479">
        <v>-87.629800000000003</v>
      </c>
    </row>
    <row r="8480" spans="1:18" x14ac:dyDescent="0.2">
      <c r="A8480" t="s">
        <v>439</v>
      </c>
      <c r="B8480" t="s">
        <v>4321</v>
      </c>
      <c r="C8480">
        <v>1</v>
      </c>
      <c r="D8480" s="1">
        <v>44233.897650462961</v>
      </c>
      <c r="E8480" t="s">
        <v>26507</v>
      </c>
      <c r="F8480" t="s">
        <v>442</v>
      </c>
      <c r="G8480" t="s">
        <v>26508</v>
      </c>
      <c r="H8480" t="s">
        <v>444</v>
      </c>
      <c r="I8480" t="s">
        <v>29</v>
      </c>
      <c r="J8480">
        <v>1</v>
      </c>
      <c r="K8480">
        <f>1-888-604-5798</f>
        <v>-7289</v>
      </c>
      <c r="L8480" t="s">
        <v>26509</v>
      </c>
      <c r="M8480" t="s">
        <v>26510</v>
      </c>
      <c r="N8480" t="s">
        <v>3441</v>
      </c>
      <c r="O8480" t="s">
        <v>28</v>
      </c>
      <c r="P8480" t="s">
        <v>29</v>
      </c>
      <c r="Q8480">
        <v>42</v>
      </c>
      <c r="R8480">
        <v>-87.629800000000003</v>
      </c>
    </row>
    <row r="8481" spans="1:18" x14ac:dyDescent="0.2">
      <c r="A8481" t="s">
        <v>675</v>
      </c>
      <c r="B8481" t="s">
        <v>1412</v>
      </c>
      <c r="C8481">
        <v>81</v>
      </c>
      <c r="D8481" s="1">
        <v>44238.314895833333</v>
      </c>
      <c r="E8481" t="s">
        <v>26511</v>
      </c>
      <c r="F8481" t="s">
        <v>678</v>
      </c>
      <c r="G8481" t="s">
        <v>26512</v>
      </c>
      <c r="H8481" t="s">
        <v>680</v>
      </c>
      <c r="I8481" t="s">
        <v>53</v>
      </c>
      <c r="J8481">
        <v>81</v>
      </c>
      <c r="K8481">
        <f>81-50-5534-2027</f>
        <v>-7530</v>
      </c>
      <c r="L8481" t="s">
        <v>26513</v>
      </c>
      <c r="M8481" t="s">
        <v>26514</v>
      </c>
      <c r="N8481" t="s">
        <v>2475</v>
      </c>
      <c r="O8481" t="s">
        <v>28</v>
      </c>
      <c r="P8481" t="s">
        <v>29</v>
      </c>
      <c r="Q8481">
        <v>41</v>
      </c>
      <c r="R8481">
        <v>-74.172399999999996</v>
      </c>
    </row>
    <row r="8482" spans="1:18" x14ac:dyDescent="0.2">
      <c r="A8482" t="s">
        <v>675</v>
      </c>
      <c r="B8482" t="s">
        <v>1412</v>
      </c>
      <c r="C8482">
        <v>81</v>
      </c>
      <c r="D8482" s="1">
        <v>44234.086412037039</v>
      </c>
      <c r="E8482" t="s">
        <v>26515</v>
      </c>
      <c r="F8482" t="s">
        <v>678</v>
      </c>
      <c r="G8482" t="s">
        <v>26512</v>
      </c>
      <c r="H8482" t="s">
        <v>680</v>
      </c>
      <c r="I8482" t="s">
        <v>53</v>
      </c>
      <c r="J8482">
        <v>81</v>
      </c>
      <c r="K8482">
        <f>81-50-5534-2027</f>
        <v>-7530</v>
      </c>
      <c r="L8482" t="s">
        <v>26516</v>
      </c>
      <c r="M8482" t="s">
        <v>26517</v>
      </c>
      <c r="N8482" t="s">
        <v>2475</v>
      </c>
      <c r="O8482" t="s">
        <v>28</v>
      </c>
      <c r="P8482" t="s">
        <v>29</v>
      </c>
      <c r="Q8482">
        <v>41</v>
      </c>
      <c r="R8482">
        <v>-74.172399999999996</v>
      </c>
    </row>
    <row r="8483" spans="1:18" x14ac:dyDescent="0.2">
      <c r="A8483" t="s">
        <v>439</v>
      </c>
      <c r="B8483" t="s">
        <v>4321</v>
      </c>
      <c r="C8483">
        <v>81</v>
      </c>
      <c r="D8483" s="1">
        <v>44234.833020833335</v>
      </c>
      <c r="E8483" t="s">
        <v>26518</v>
      </c>
      <c r="F8483" t="s">
        <v>442</v>
      </c>
      <c r="G8483" t="s">
        <v>26519</v>
      </c>
      <c r="H8483" t="s">
        <v>444</v>
      </c>
      <c r="I8483" t="s">
        <v>53</v>
      </c>
      <c r="J8483">
        <v>81</v>
      </c>
      <c r="K8483">
        <f>81-50-3196-4846</f>
        <v>-8011</v>
      </c>
      <c r="L8483" t="s">
        <v>26520</v>
      </c>
      <c r="M8483" t="s">
        <v>26521</v>
      </c>
      <c r="N8483" t="s">
        <v>447</v>
      </c>
      <c r="O8483" t="s">
        <v>28</v>
      </c>
      <c r="P8483" t="s">
        <v>29</v>
      </c>
      <c r="Q8483">
        <v>42</v>
      </c>
      <c r="R8483">
        <v>-87.629800000000003</v>
      </c>
    </row>
    <row r="8484" spans="1:18" x14ac:dyDescent="0.2">
      <c r="A8484" t="s">
        <v>663</v>
      </c>
      <c r="B8484" t="s">
        <v>2500</v>
      </c>
      <c r="C8484">
        <v>1</v>
      </c>
      <c r="D8484" s="1">
        <v>44236.017766203702</v>
      </c>
      <c r="E8484" t="s">
        <v>26522</v>
      </c>
      <c r="F8484" t="s">
        <v>666</v>
      </c>
      <c r="G8484" t="s">
        <v>26522</v>
      </c>
      <c r="H8484" t="s">
        <v>667</v>
      </c>
      <c r="I8484" t="s">
        <v>29</v>
      </c>
      <c r="J8484">
        <v>1</v>
      </c>
      <c r="K8484">
        <f>1-888-346-5814</f>
        <v>-7047</v>
      </c>
      <c r="L8484" t="s">
        <v>26523</v>
      </c>
      <c r="M8484" t="s">
        <v>26524</v>
      </c>
      <c r="N8484">
        <v>183</v>
      </c>
      <c r="O8484" t="s">
        <v>134</v>
      </c>
      <c r="P8484" t="s">
        <v>2500</v>
      </c>
      <c r="Q8484">
        <v>1</v>
      </c>
      <c r="R8484">
        <v>99.999999000000003</v>
      </c>
    </row>
    <row r="8485" spans="1:18" x14ac:dyDescent="0.2">
      <c r="A8485" t="s">
        <v>675</v>
      </c>
      <c r="B8485" t="s">
        <v>1412</v>
      </c>
      <c r="C8485">
        <v>61</v>
      </c>
      <c r="D8485" s="1">
        <v>44246.202777777777</v>
      </c>
      <c r="E8485" t="s">
        <v>26525</v>
      </c>
      <c r="F8485" t="s">
        <v>678</v>
      </c>
      <c r="G8485" t="s">
        <v>26526</v>
      </c>
      <c r="H8485" t="s">
        <v>680</v>
      </c>
      <c r="I8485" t="s">
        <v>782</v>
      </c>
      <c r="J8485">
        <v>61</v>
      </c>
      <c r="K8485">
        <f>61-1800-875-294</f>
        <v>-2908</v>
      </c>
      <c r="L8485" t="s">
        <v>26527</v>
      </c>
      <c r="M8485" t="s">
        <v>26528</v>
      </c>
      <c r="N8485" t="s">
        <v>5745</v>
      </c>
      <c r="O8485" t="s">
        <v>28</v>
      </c>
      <c r="P8485" t="s">
        <v>29</v>
      </c>
      <c r="Q8485">
        <v>41</v>
      </c>
      <c r="R8485">
        <v>-74.172399999999996</v>
      </c>
    </row>
    <row r="8486" spans="1:18" x14ac:dyDescent="0.2">
      <c r="A8486" t="s">
        <v>675</v>
      </c>
      <c r="B8486" t="s">
        <v>1412</v>
      </c>
      <c r="C8486">
        <v>61</v>
      </c>
      <c r="D8486" s="1">
        <v>44243.125150462962</v>
      </c>
      <c r="E8486" t="s">
        <v>26529</v>
      </c>
      <c r="F8486" t="s">
        <v>678</v>
      </c>
      <c r="G8486" t="s">
        <v>26526</v>
      </c>
      <c r="H8486" t="s">
        <v>680</v>
      </c>
      <c r="I8486" t="s">
        <v>782</v>
      </c>
      <c r="J8486">
        <v>61</v>
      </c>
      <c r="K8486">
        <f>61-1800-875-294</f>
        <v>-2908</v>
      </c>
      <c r="L8486" t="s">
        <v>26530</v>
      </c>
      <c r="M8486" t="s">
        <v>26531</v>
      </c>
      <c r="N8486" t="s">
        <v>5745</v>
      </c>
      <c r="O8486" t="s">
        <v>28</v>
      </c>
      <c r="P8486" t="s">
        <v>29</v>
      </c>
      <c r="Q8486">
        <v>41</v>
      </c>
      <c r="R8486">
        <v>-74.172399999999996</v>
      </c>
    </row>
    <row r="8487" spans="1:18" x14ac:dyDescent="0.2">
      <c r="A8487" t="s">
        <v>675</v>
      </c>
      <c r="B8487" t="s">
        <v>1412</v>
      </c>
      <c r="C8487">
        <v>1</v>
      </c>
      <c r="D8487" s="1">
        <v>44242.739722222221</v>
      </c>
      <c r="E8487" t="s">
        <v>26532</v>
      </c>
      <c r="F8487" t="s">
        <v>678</v>
      </c>
      <c r="G8487" t="s">
        <v>26526</v>
      </c>
      <c r="H8487" t="s">
        <v>680</v>
      </c>
      <c r="I8487" t="s">
        <v>29</v>
      </c>
      <c r="J8487">
        <v>1</v>
      </c>
      <c r="K8487">
        <f>1-888-712-698</f>
        <v>-2297</v>
      </c>
      <c r="L8487" t="s">
        <v>26533</v>
      </c>
      <c r="M8487" t="s">
        <v>26534</v>
      </c>
      <c r="N8487" t="s">
        <v>5745</v>
      </c>
      <c r="O8487" t="s">
        <v>28</v>
      </c>
      <c r="P8487" t="s">
        <v>29</v>
      </c>
      <c r="Q8487">
        <v>41</v>
      </c>
      <c r="R8487">
        <v>-74.172399999999996</v>
      </c>
    </row>
    <row r="8488" spans="1:18" x14ac:dyDescent="0.2">
      <c r="A8488" t="s">
        <v>675</v>
      </c>
      <c r="B8488" t="s">
        <v>1412</v>
      </c>
      <c r="C8488">
        <v>61</v>
      </c>
      <c r="D8488" s="1">
        <v>44236.135937500003</v>
      </c>
      <c r="E8488" t="s">
        <v>26535</v>
      </c>
      <c r="F8488" t="s">
        <v>678</v>
      </c>
      <c r="G8488" t="s">
        <v>26526</v>
      </c>
      <c r="H8488" t="s">
        <v>680</v>
      </c>
      <c r="I8488" t="s">
        <v>782</v>
      </c>
      <c r="J8488">
        <v>61</v>
      </c>
      <c r="K8488">
        <f>61-1800-875-294</f>
        <v>-2908</v>
      </c>
      <c r="L8488" t="s">
        <v>26536</v>
      </c>
      <c r="M8488" t="s">
        <v>26537</v>
      </c>
      <c r="N8488" t="s">
        <v>5745</v>
      </c>
      <c r="O8488" t="s">
        <v>28</v>
      </c>
      <c r="P8488" t="s">
        <v>29</v>
      </c>
      <c r="Q8488">
        <v>41</v>
      </c>
      <c r="R8488">
        <v>-74.172399999999996</v>
      </c>
    </row>
    <row r="8489" spans="1:18" x14ac:dyDescent="0.2">
      <c r="A8489" t="s">
        <v>663</v>
      </c>
      <c r="B8489" t="s">
        <v>2500</v>
      </c>
      <c r="C8489">
        <v>1</v>
      </c>
      <c r="D8489" s="1">
        <v>44235.853391203702</v>
      </c>
      <c r="E8489" t="s">
        <v>26538</v>
      </c>
      <c r="F8489" t="s">
        <v>666</v>
      </c>
      <c r="G8489" t="s">
        <v>26538</v>
      </c>
      <c r="H8489" t="s">
        <v>667</v>
      </c>
      <c r="I8489" t="s">
        <v>29</v>
      </c>
      <c r="J8489">
        <v>1</v>
      </c>
      <c r="K8489">
        <f>1-888-340-8055</f>
        <v>-9282</v>
      </c>
      <c r="L8489" t="s">
        <v>26539</v>
      </c>
      <c r="M8489" t="s">
        <v>26540</v>
      </c>
      <c r="N8489">
        <v>160</v>
      </c>
      <c r="O8489" t="s">
        <v>134</v>
      </c>
      <c r="P8489" t="s">
        <v>2500</v>
      </c>
      <c r="Q8489">
        <v>1</v>
      </c>
      <c r="R8489">
        <v>99.999999000000003</v>
      </c>
    </row>
    <row r="8490" spans="1:18" x14ac:dyDescent="0.2">
      <c r="A8490" t="s">
        <v>439</v>
      </c>
      <c r="B8490" t="s">
        <v>454</v>
      </c>
      <c r="C8490">
        <v>1</v>
      </c>
      <c r="D8490" s="1">
        <v>44235.723726851851</v>
      </c>
      <c r="E8490" t="s">
        <v>26541</v>
      </c>
      <c r="F8490" t="s">
        <v>442</v>
      </c>
      <c r="G8490" t="s">
        <v>26542</v>
      </c>
      <c r="H8490" t="s">
        <v>444</v>
      </c>
      <c r="I8490" t="s">
        <v>29</v>
      </c>
      <c r="J8490">
        <v>1</v>
      </c>
      <c r="K8490">
        <f>1-844-303-4268</f>
        <v>-5414</v>
      </c>
      <c r="L8490" t="s">
        <v>26543</v>
      </c>
      <c r="M8490" t="s">
        <v>26544</v>
      </c>
      <c r="N8490" t="s">
        <v>3441</v>
      </c>
      <c r="O8490" t="s">
        <v>28</v>
      </c>
      <c r="P8490" t="s">
        <v>461</v>
      </c>
      <c r="Q8490">
        <v>52</v>
      </c>
      <c r="R8490">
        <v>4.8945400000000001</v>
      </c>
    </row>
    <row r="8491" spans="1:18" x14ac:dyDescent="0.2">
      <c r="A8491" t="s">
        <v>663</v>
      </c>
      <c r="B8491" t="s">
        <v>2493</v>
      </c>
      <c r="C8491">
        <v>1</v>
      </c>
      <c r="D8491" s="1">
        <v>44235.782361111109</v>
      </c>
      <c r="E8491" t="s">
        <v>26545</v>
      </c>
      <c r="F8491" t="s">
        <v>666</v>
      </c>
      <c r="G8491" t="s">
        <v>26545</v>
      </c>
      <c r="H8491" t="s">
        <v>667</v>
      </c>
      <c r="I8491" t="s">
        <v>29</v>
      </c>
      <c r="J8491">
        <v>1</v>
      </c>
      <c r="K8491">
        <f>1-888-615-712</f>
        <v>-2214</v>
      </c>
      <c r="L8491" t="s">
        <v>26546</v>
      </c>
      <c r="M8491" t="s">
        <v>26547</v>
      </c>
      <c r="N8491">
        <v>180</v>
      </c>
      <c r="O8491" t="s">
        <v>134</v>
      </c>
      <c r="P8491" t="s">
        <v>29</v>
      </c>
      <c r="Q8491">
        <v>41</v>
      </c>
      <c r="R8491">
        <v>-74.024699999999996</v>
      </c>
    </row>
    <row r="8492" spans="1:18" x14ac:dyDescent="0.2">
      <c r="A8492" t="s">
        <v>439</v>
      </c>
      <c r="B8492" t="s">
        <v>4321</v>
      </c>
      <c r="C8492">
        <v>1</v>
      </c>
      <c r="D8492" s="1">
        <v>44235.905729166669</v>
      </c>
      <c r="E8492" t="s">
        <v>26548</v>
      </c>
      <c r="F8492" t="s">
        <v>442</v>
      </c>
      <c r="G8492" t="s">
        <v>26549</v>
      </c>
      <c r="H8492" t="s">
        <v>444</v>
      </c>
      <c r="I8492" t="s">
        <v>29</v>
      </c>
      <c r="J8492">
        <v>1</v>
      </c>
      <c r="K8492">
        <f>1-844-301-4752</f>
        <v>-5896</v>
      </c>
      <c r="L8492" t="s">
        <v>26550</v>
      </c>
      <c r="M8492" t="s">
        <v>26551</v>
      </c>
      <c r="N8492" t="s">
        <v>447</v>
      </c>
      <c r="O8492" t="s">
        <v>28</v>
      </c>
      <c r="P8492" t="s">
        <v>29</v>
      </c>
      <c r="Q8492">
        <v>42</v>
      </c>
      <c r="R8492">
        <v>-87.629800000000003</v>
      </c>
    </row>
    <row r="8493" spans="1:18" x14ac:dyDescent="0.2">
      <c r="A8493" t="s">
        <v>439</v>
      </c>
      <c r="B8493" t="s">
        <v>4321</v>
      </c>
      <c r="C8493">
        <v>1</v>
      </c>
      <c r="D8493" s="1">
        <v>44235.908321759256</v>
      </c>
      <c r="E8493" t="s">
        <v>26548</v>
      </c>
      <c r="F8493" t="s">
        <v>442</v>
      </c>
      <c r="G8493" t="s">
        <v>26552</v>
      </c>
      <c r="H8493" t="s">
        <v>444</v>
      </c>
      <c r="I8493" t="s">
        <v>29</v>
      </c>
      <c r="J8493">
        <v>1</v>
      </c>
      <c r="K8493">
        <f>1-844-304-5185</f>
        <v>-6332</v>
      </c>
      <c r="L8493" t="s">
        <v>26553</v>
      </c>
      <c r="M8493" t="s">
        <v>26554</v>
      </c>
      <c r="N8493" t="s">
        <v>447</v>
      </c>
      <c r="O8493" t="s">
        <v>28</v>
      </c>
      <c r="P8493" t="s">
        <v>29</v>
      </c>
      <c r="Q8493">
        <v>42</v>
      </c>
      <c r="R8493">
        <v>-87.629800000000003</v>
      </c>
    </row>
    <row r="8494" spans="1:18" x14ac:dyDescent="0.2">
      <c r="A8494" t="s">
        <v>439</v>
      </c>
      <c r="B8494" t="s">
        <v>4321</v>
      </c>
      <c r="C8494">
        <v>1</v>
      </c>
      <c r="D8494" s="1">
        <v>44235.964108796295</v>
      </c>
      <c r="E8494" t="s">
        <v>26555</v>
      </c>
      <c r="F8494" t="s">
        <v>442</v>
      </c>
      <c r="G8494" t="s">
        <v>26556</v>
      </c>
      <c r="H8494" t="s">
        <v>444</v>
      </c>
      <c r="I8494" t="s">
        <v>29</v>
      </c>
      <c r="J8494">
        <v>1</v>
      </c>
      <c r="K8494">
        <f>1-844-295-7572</f>
        <v>-8710</v>
      </c>
      <c r="L8494" t="s">
        <v>26557</v>
      </c>
      <c r="M8494" t="s">
        <v>26558</v>
      </c>
      <c r="N8494" t="s">
        <v>447</v>
      </c>
      <c r="O8494" t="s">
        <v>28</v>
      </c>
      <c r="P8494" t="s">
        <v>29</v>
      </c>
      <c r="Q8494">
        <v>42</v>
      </c>
      <c r="R8494">
        <v>-87.629800000000003</v>
      </c>
    </row>
    <row r="8495" spans="1:18" x14ac:dyDescent="0.2">
      <c r="A8495" t="s">
        <v>2233</v>
      </c>
      <c r="B8495" t="s">
        <v>440</v>
      </c>
      <c r="C8495">
        <v>1</v>
      </c>
      <c r="D8495" s="1">
        <v>44235.965451388889</v>
      </c>
      <c r="E8495" t="s">
        <v>26559</v>
      </c>
      <c r="F8495" t="s">
        <v>2236</v>
      </c>
      <c r="G8495" t="s">
        <v>26560</v>
      </c>
      <c r="H8495" t="s">
        <v>2237</v>
      </c>
      <c r="I8495" t="s">
        <v>29</v>
      </c>
      <c r="J8495">
        <v>1</v>
      </c>
      <c r="K8495">
        <f>1-855-378-8895</f>
        <v>-10127</v>
      </c>
      <c r="L8495" t="s">
        <v>26561</v>
      </c>
      <c r="M8495" t="s">
        <v>26562</v>
      </c>
      <c r="N8495" t="s">
        <v>5354</v>
      </c>
      <c r="O8495" t="s">
        <v>28</v>
      </c>
      <c r="P8495" t="s">
        <v>29</v>
      </c>
      <c r="Q8495">
        <v>39</v>
      </c>
      <c r="R8495">
        <v>-77.487399999999994</v>
      </c>
    </row>
    <row r="8496" spans="1:18" x14ac:dyDescent="0.2">
      <c r="A8496" t="s">
        <v>663</v>
      </c>
      <c r="B8496" t="s">
        <v>2493</v>
      </c>
      <c r="C8496">
        <v>1</v>
      </c>
      <c r="D8496" s="1">
        <v>44235.968553240738</v>
      </c>
      <c r="E8496" t="s">
        <v>26563</v>
      </c>
      <c r="F8496" t="s">
        <v>666</v>
      </c>
      <c r="G8496" t="s">
        <v>26563</v>
      </c>
      <c r="H8496" t="s">
        <v>667</v>
      </c>
      <c r="I8496" t="s">
        <v>29</v>
      </c>
      <c r="J8496">
        <v>1</v>
      </c>
      <c r="K8496">
        <f>1-888-513-4586</f>
        <v>-5986</v>
      </c>
      <c r="L8496" t="s">
        <v>26564</v>
      </c>
      <c r="M8496" t="s">
        <v>26565</v>
      </c>
      <c r="N8496">
        <v>197</v>
      </c>
      <c r="O8496" t="s">
        <v>134</v>
      </c>
      <c r="P8496" t="s">
        <v>29</v>
      </c>
      <c r="Q8496">
        <v>41</v>
      </c>
      <c r="R8496">
        <v>-74.024699999999996</v>
      </c>
    </row>
    <row r="8497" spans="1:18" x14ac:dyDescent="0.2">
      <c r="A8497" t="s">
        <v>439</v>
      </c>
      <c r="B8497" t="s">
        <v>4321</v>
      </c>
      <c r="C8497">
        <v>1</v>
      </c>
      <c r="D8497" s="1">
        <v>44235.970532407409</v>
      </c>
      <c r="E8497" t="s">
        <v>26555</v>
      </c>
      <c r="F8497" t="s">
        <v>442</v>
      </c>
      <c r="G8497" t="s">
        <v>26566</v>
      </c>
      <c r="H8497" t="s">
        <v>444</v>
      </c>
      <c r="I8497" t="s">
        <v>29</v>
      </c>
      <c r="J8497">
        <v>1</v>
      </c>
      <c r="K8497">
        <f>1-844-303-4382</f>
        <v>-5528</v>
      </c>
      <c r="L8497" t="s">
        <v>26567</v>
      </c>
      <c r="M8497" t="s">
        <v>26568</v>
      </c>
      <c r="N8497" t="s">
        <v>447</v>
      </c>
      <c r="O8497" t="s">
        <v>28</v>
      </c>
      <c r="P8497" t="s">
        <v>29</v>
      </c>
      <c r="Q8497">
        <v>42</v>
      </c>
      <c r="R8497">
        <v>-87.629800000000003</v>
      </c>
    </row>
    <row r="8498" spans="1:18" x14ac:dyDescent="0.2">
      <c r="A8498" t="s">
        <v>663</v>
      </c>
      <c r="B8498" t="s">
        <v>2493</v>
      </c>
      <c r="C8498">
        <v>1</v>
      </c>
      <c r="D8498" s="1">
        <v>44235.979699074072</v>
      </c>
      <c r="E8498" t="s">
        <v>26569</v>
      </c>
      <c r="F8498" t="s">
        <v>666</v>
      </c>
      <c r="G8498" t="s">
        <v>26569</v>
      </c>
      <c r="H8498" t="s">
        <v>667</v>
      </c>
      <c r="I8498" t="s">
        <v>29</v>
      </c>
      <c r="J8498">
        <v>1</v>
      </c>
      <c r="K8498">
        <f>1-888-513-4586</f>
        <v>-5986</v>
      </c>
      <c r="L8498" t="s">
        <v>26570</v>
      </c>
      <c r="M8498" t="s">
        <v>26571</v>
      </c>
      <c r="N8498">
        <v>226</v>
      </c>
      <c r="O8498" t="s">
        <v>134</v>
      </c>
      <c r="P8498" t="s">
        <v>29</v>
      </c>
      <c r="Q8498">
        <v>41</v>
      </c>
      <c r="R8498">
        <v>-74.024699999999996</v>
      </c>
    </row>
    <row r="8499" spans="1:18" x14ac:dyDescent="0.2">
      <c r="A8499" t="s">
        <v>663</v>
      </c>
      <c r="B8499" t="s">
        <v>2493</v>
      </c>
      <c r="C8499">
        <v>1</v>
      </c>
      <c r="D8499" s="1">
        <v>44235.988946759258</v>
      </c>
      <c r="E8499" t="s">
        <v>26572</v>
      </c>
      <c r="F8499" t="s">
        <v>666</v>
      </c>
      <c r="G8499" t="s">
        <v>26572</v>
      </c>
      <c r="H8499" t="s">
        <v>667</v>
      </c>
      <c r="I8499" t="s">
        <v>29</v>
      </c>
      <c r="J8499">
        <v>1</v>
      </c>
      <c r="K8499">
        <f>1-888-513-4586</f>
        <v>-5986</v>
      </c>
      <c r="L8499" t="s">
        <v>26573</v>
      </c>
      <c r="M8499" t="s">
        <v>26574</v>
      </c>
      <c r="N8499">
        <v>184</v>
      </c>
      <c r="O8499" t="s">
        <v>134</v>
      </c>
      <c r="P8499" t="s">
        <v>29</v>
      </c>
      <c r="Q8499">
        <v>41</v>
      </c>
      <c r="R8499">
        <v>-74.024699999999996</v>
      </c>
    </row>
    <row r="8500" spans="1:18" x14ac:dyDescent="0.2">
      <c r="A8500" t="s">
        <v>1650</v>
      </c>
      <c r="B8500" t="s">
        <v>1651</v>
      </c>
      <c r="C8500">
        <v>1</v>
      </c>
      <c r="D8500" s="1">
        <v>44236.137557870374</v>
      </c>
      <c r="E8500" t="s">
        <v>26575</v>
      </c>
      <c r="F8500" t="s">
        <v>1653</v>
      </c>
      <c r="G8500" t="s">
        <v>26576</v>
      </c>
      <c r="H8500" t="s">
        <v>1655</v>
      </c>
      <c r="I8500" t="s">
        <v>29</v>
      </c>
      <c r="J8500">
        <v>1</v>
      </c>
      <c r="K8500">
        <f>1-888-473-1467</f>
        <v>-2827</v>
      </c>
      <c r="L8500" t="s">
        <v>26577</v>
      </c>
      <c r="M8500" t="s">
        <v>26578</v>
      </c>
      <c r="N8500" t="s">
        <v>452</v>
      </c>
      <c r="O8500" t="s">
        <v>28</v>
      </c>
      <c r="P8500" t="s">
        <v>29</v>
      </c>
      <c r="Q8500">
        <v>47</v>
      </c>
      <c r="R8500">
        <v>-99.999999000000003</v>
      </c>
    </row>
    <row r="8501" spans="1:18" x14ac:dyDescent="0.2">
      <c r="A8501" t="s">
        <v>663</v>
      </c>
      <c r="B8501" t="s">
        <v>2493</v>
      </c>
      <c r="C8501">
        <v>81</v>
      </c>
      <c r="D8501" s="1">
        <v>44245.834756944445</v>
      </c>
      <c r="E8501" t="s">
        <v>26579</v>
      </c>
      <c r="F8501" t="s">
        <v>666</v>
      </c>
      <c r="G8501" t="s">
        <v>26580</v>
      </c>
      <c r="H8501" t="s">
        <v>667</v>
      </c>
      <c r="I8501" t="s">
        <v>53</v>
      </c>
      <c r="J8501">
        <v>81</v>
      </c>
      <c r="K8501">
        <f>81-50-5532-7925</f>
        <v>-13426</v>
      </c>
      <c r="L8501" t="s">
        <v>26581</v>
      </c>
      <c r="M8501" t="s">
        <v>26582</v>
      </c>
      <c r="N8501" t="s">
        <v>452</v>
      </c>
      <c r="O8501" t="s">
        <v>28</v>
      </c>
      <c r="P8501" t="s">
        <v>29</v>
      </c>
      <c r="Q8501">
        <v>41</v>
      </c>
      <c r="R8501">
        <v>-74.024699999999996</v>
      </c>
    </row>
    <row r="8502" spans="1:18" x14ac:dyDescent="0.2">
      <c r="A8502" t="s">
        <v>663</v>
      </c>
      <c r="B8502" t="s">
        <v>2493</v>
      </c>
      <c r="C8502">
        <v>81</v>
      </c>
      <c r="D8502" s="1">
        <v>44240.296770833331</v>
      </c>
      <c r="E8502" t="s">
        <v>26583</v>
      </c>
      <c r="F8502" t="s">
        <v>666</v>
      </c>
      <c r="G8502" t="s">
        <v>26580</v>
      </c>
      <c r="H8502" t="s">
        <v>667</v>
      </c>
      <c r="I8502" t="s">
        <v>53</v>
      </c>
      <c r="J8502">
        <v>81</v>
      </c>
      <c r="K8502">
        <f>81-50-5532-7854</f>
        <v>-13355</v>
      </c>
      <c r="L8502" t="s">
        <v>26584</v>
      </c>
      <c r="M8502" t="s">
        <v>26585</v>
      </c>
      <c r="N8502" t="s">
        <v>452</v>
      </c>
      <c r="O8502" t="s">
        <v>28</v>
      </c>
      <c r="P8502" t="s">
        <v>29</v>
      </c>
      <c r="Q8502">
        <v>41</v>
      </c>
      <c r="R8502">
        <v>-74.024699999999996</v>
      </c>
    </row>
    <row r="8503" spans="1:18" x14ac:dyDescent="0.2">
      <c r="A8503" t="s">
        <v>663</v>
      </c>
      <c r="B8503" t="s">
        <v>2493</v>
      </c>
      <c r="C8503">
        <v>81</v>
      </c>
      <c r="D8503" s="1">
        <v>44236.140185185184</v>
      </c>
      <c r="E8503" t="s">
        <v>26586</v>
      </c>
      <c r="F8503" t="s">
        <v>666</v>
      </c>
      <c r="G8503" t="s">
        <v>26580</v>
      </c>
      <c r="H8503" t="s">
        <v>667</v>
      </c>
      <c r="I8503" t="s">
        <v>53</v>
      </c>
      <c r="J8503">
        <v>81</v>
      </c>
      <c r="K8503">
        <f>81-50-5532-4660</f>
        <v>-10161</v>
      </c>
      <c r="L8503" t="s">
        <v>26587</v>
      </c>
      <c r="M8503" t="s">
        <v>26588</v>
      </c>
      <c r="N8503" t="s">
        <v>452</v>
      </c>
      <c r="O8503" t="s">
        <v>28</v>
      </c>
      <c r="P8503" t="s">
        <v>29</v>
      </c>
      <c r="Q8503">
        <v>41</v>
      </c>
      <c r="R8503">
        <v>-74.024699999999996</v>
      </c>
    </row>
    <row r="8504" spans="1:18" x14ac:dyDescent="0.2">
      <c r="A8504" t="s">
        <v>663</v>
      </c>
      <c r="B8504" t="s">
        <v>3245</v>
      </c>
      <c r="C8504">
        <v>1</v>
      </c>
      <c r="D8504" s="1">
        <v>44236.755868055552</v>
      </c>
      <c r="E8504" t="s">
        <v>26589</v>
      </c>
      <c r="F8504" t="s">
        <v>666</v>
      </c>
      <c r="G8504" t="s">
        <v>26590</v>
      </c>
      <c r="H8504" t="s">
        <v>667</v>
      </c>
      <c r="I8504" t="s">
        <v>29</v>
      </c>
      <c r="J8504">
        <v>1</v>
      </c>
      <c r="K8504">
        <f>1-844-302-5284</f>
        <v>-6429</v>
      </c>
      <c r="L8504" t="s">
        <v>26591</v>
      </c>
      <c r="M8504" t="s">
        <v>26592</v>
      </c>
      <c r="N8504" t="s">
        <v>25263</v>
      </c>
      <c r="O8504" t="s">
        <v>28</v>
      </c>
      <c r="P8504" t="s">
        <v>29</v>
      </c>
      <c r="Q8504">
        <v>41</v>
      </c>
      <c r="R8504">
        <v>-74.140299999999996</v>
      </c>
    </row>
    <row r="8505" spans="1:18" x14ac:dyDescent="0.2">
      <c r="A8505" t="s">
        <v>663</v>
      </c>
      <c r="B8505" t="s">
        <v>664</v>
      </c>
      <c r="C8505">
        <v>1</v>
      </c>
      <c r="D8505" s="1">
        <v>44236.756168981483</v>
      </c>
      <c r="E8505" t="s">
        <v>26593</v>
      </c>
      <c r="F8505" t="s">
        <v>666</v>
      </c>
      <c r="G8505" t="s">
        <v>26593</v>
      </c>
      <c r="H8505" t="s">
        <v>667</v>
      </c>
      <c r="I8505" t="s">
        <v>29</v>
      </c>
      <c r="J8505">
        <v>1</v>
      </c>
      <c r="K8505">
        <f>1-888-594-1860</f>
        <v>-3341</v>
      </c>
      <c r="L8505" t="s">
        <v>26594</v>
      </c>
      <c r="M8505" t="s">
        <v>26595</v>
      </c>
      <c r="N8505">
        <v>116</v>
      </c>
      <c r="O8505" t="s">
        <v>134</v>
      </c>
      <c r="P8505" t="s">
        <v>29</v>
      </c>
      <c r="Q8505">
        <v>37</v>
      </c>
      <c r="R8505">
        <v>-99.999999000000003</v>
      </c>
    </row>
    <row r="8506" spans="1:18" x14ac:dyDescent="0.2">
      <c r="A8506" t="s">
        <v>663</v>
      </c>
      <c r="B8506" t="s">
        <v>4281</v>
      </c>
      <c r="C8506">
        <v>1</v>
      </c>
      <c r="D8506" s="1">
        <v>44236.758981481478</v>
      </c>
      <c r="E8506" t="s">
        <v>26596</v>
      </c>
      <c r="F8506" t="s">
        <v>666</v>
      </c>
      <c r="G8506" t="s">
        <v>26597</v>
      </c>
      <c r="H8506" t="s">
        <v>667</v>
      </c>
      <c r="I8506" t="s">
        <v>29</v>
      </c>
      <c r="J8506">
        <v>1</v>
      </c>
      <c r="K8506">
        <f>1-706-637-3925</f>
        <v>-5267</v>
      </c>
      <c r="L8506" t="s">
        <v>26598</v>
      </c>
      <c r="M8506" t="s">
        <v>26599</v>
      </c>
      <c r="N8506" t="s">
        <v>3454</v>
      </c>
      <c r="O8506" t="s">
        <v>28</v>
      </c>
      <c r="P8506" t="s">
        <v>24</v>
      </c>
      <c r="Q8506">
        <v>50</v>
      </c>
      <c r="R8506">
        <v>8.6843000000000004</v>
      </c>
    </row>
    <row r="8507" spans="1:18" x14ac:dyDescent="0.2">
      <c r="A8507" t="s">
        <v>663</v>
      </c>
      <c r="B8507" t="s">
        <v>664</v>
      </c>
      <c r="C8507">
        <v>1</v>
      </c>
      <c r="D8507" s="1">
        <v>44236.763240740744</v>
      </c>
      <c r="E8507" t="s">
        <v>26600</v>
      </c>
      <c r="F8507" t="s">
        <v>666</v>
      </c>
      <c r="G8507" t="s">
        <v>26600</v>
      </c>
      <c r="H8507" t="s">
        <v>667</v>
      </c>
      <c r="I8507" t="s">
        <v>29</v>
      </c>
      <c r="J8507">
        <v>1</v>
      </c>
      <c r="K8507">
        <f>1-888-483-1860</f>
        <v>-3230</v>
      </c>
      <c r="L8507" t="s">
        <v>26601</v>
      </c>
      <c r="M8507" t="s">
        <v>26602</v>
      </c>
      <c r="N8507">
        <v>160</v>
      </c>
      <c r="O8507" t="s">
        <v>134</v>
      </c>
      <c r="P8507" t="s">
        <v>29</v>
      </c>
      <c r="Q8507">
        <v>37</v>
      </c>
      <c r="R8507">
        <v>-99.999999000000003</v>
      </c>
    </row>
    <row r="8508" spans="1:18" x14ac:dyDescent="0.2">
      <c r="A8508" t="s">
        <v>439</v>
      </c>
      <c r="B8508" t="s">
        <v>4321</v>
      </c>
      <c r="C8508">
        <v>1</v>
      </c>
      <c r="D8508" s="1">
        <v>44236.764444444445</v>
      </c>
      <c r="E8508" t="s">
        <v>26603</v>
      </c>
      <c r="F8508" t="s">
        <v>442</v>
      </c>
      <c r="G8508" t="s">
        <v>26604</v>
      </c>
      <c r="H8508" t="s">
        <v>444</v>
      </c>
      <c r="I8508" t="s">
        <v>29</v>
      </c>
      <c r="J8508">
        <v>1</v>
      </c>
      <c r="K8508">
        <f>1-888-596-7224</f>
        <v>-8707</v>
      </c>
      <c r="L8508" t="s">
        <v>26605</v>
      </c>
      <c r="M8508" t="s">
        <v>26606</v>
      </c>
      <c r="N8508" t="s">
        <v>674</v>
      </c>
      <c r="O8508" t="s">
        <v>28</v>
      </c>
      <c r="P8508" t="s">
        <v>29</v>
      </c>
      <c r="Q8508">
        <v>42</v>
      </c>
      <c r="R8508">
        <v>-87.629800000000003</v>
      </c>
    </row>
    <row r="8509" spans="1:18" x14ac:dyDescent="0.2">
      <c r="A8509" t="s">
        <v>439</v>
      </c>
      <c r="B8509" t="s">
        <v>4321</v>
      </c>
      <c r="C8509">
        <v>1</v>
      </c>
      <c r="D8509" s="1">
        <v>44237.768078703702</v>
      </c>
      <c r="E8509" t="s">
        <v>26607</v>
      </c>
      <c r="F8509" t="s">
        <v>442</v>
      </c>
      <c r="G8509" t="s">
        <v>26608</v>
      </c>
      <c r="H8509" t="s">
        <v>444</v>
      </c>
      <c r="I8509" t="s">
        <v>29</v>
      </c>
      <c r="J8509">
        <v>1</v>
      </c>
      <c r="K8509">
        <f>1-844-275-1738</f>
        <v>-2856</v>
      </c>
      <c r="L8509" t="s">
        <v>26609</v>
      </c>
      <c r="M8509" t="s">
        <v>26610</v>
      </c>
      <c r="N8509" t="s">
        <v>3441</v>
      </c>
      <c r="O8509" t="s">
        <v>28</v>
      </c>
      <c r="P8509" t="s">
        <v>29</v>
      </c>
      <c r="Q8509">
        <v>42</v>
      </c>
      <c r="R8509">
        <v>-87.629800000000003</v>
      </c>
    </row>
    <row r="8510" spans="1:18" x14ac:dyDescent="0.2">
      <c r="A8510" t="s">
        <v>2349</v>
      </c>
      <c r="B8510" t="s">
        <v>4281</v>
      </c>
      <c r="C8510">
        <v>49</v>
      </c>
      <c r="D8510" s="1">
        <v>44237.571956018517</v>
      </c>
      <c r="E8510" t="s">
        <v>26611</v>
      </c>
      <c r="F8510" t="s">
        <v>2352</v>
      </c>
      <c r="G8510" t="s">
        <v>26611</v>
      </c>
      <c r="H8510" t="s">
        <v>2353</v>
      </c>
      <c r="I8510" t="s">
        <v>24</v>
      </c>
      <c r="J8510">
        <v>49</v>
      </c>
      <c r="K8510">
        <f>49-800-181-1129</f>
        <v>-2061</v>
      </c>
      <c r="L8510" t="s">
        <v>26612</v>
      </c>
      <c r="M8510" t="s">
        <v>26613</v>
      </c>
      <c r="N8510">
        <v>102</v>
      </c>
      <c r="O8510" t="s">
        <v>134</v>
      </c>
      <c r="P8510" t="s">
        <v>24</v>
      </c>
      <c r="Q8510">
        <v>50</v>
      </c>
      <c r="R8510">
        <v>8.7147000000000006</v>
      </c>
    </row>
    <row r="8511" spans="1:18" x14ac:dyDescent="0.2">
      <c r="A8511" t="s">
        <v>2349</v>
      </c>
      <c r="B8511" t="s">
        <v>4281</v>
      </c>
      <c r="C8511">
        <v>49</v>
      </c>
      <c r="D8511" s="1">
        <v>44237.59747685185</v>
      </c>
      <c r="E8511" t="s">
        <v>26611</v>
      </c>
      <c r="F8511" t="s">
        <v>2352</v>
      </c>
      <c r="G8511" t="s">
        <v>26611</v>
      </c>
      <c r="H8511" t="s">
        <v>2353</v>
      </c>
      <c r="I8511" t="s">
        <v>24</v>
      </c>
      <c r="J8511">
        <v>49</v>
      </c>
      <c r="K8511">
        <f>49-800-181-1129</f>
        <v>-2061</v>
      </c>
      <c r="L8511" t="s">
        <v>26614</v>
      </c>
      <c r="M8511" t="s">
        <v>26615</v>
      </c>
      <c r="N8511">
        <v>102</v>
      </c>
      <c r="O8511" t="s">
        <v>134</v>
      </c>
      <c r="P8511" t="s">
        <v>24</v>
      </c>
      <c r="Q8511">
        <v>50</v>
      </c>
      <c r="R8511">
        <v>8.7147000000000006</v>
      </c>
    </row>
    <row r="8512" spans="1:18" x14ac:dyDescent="0.2">
      <c r="A8512" t="s">
        <v>26616</v>
      </c>
      <c r="B8512" t="s">
        <v>440</v>
      </c>
      <c r="C8512">
        <v>1</v>
      </c>
      <c r="D8512" s="1">
        <v>44306.86105324074</v>
      </c>
      <c r="E8512" t="s">
        <v>26617</v>
      </c>
      <c r="F8512" t="s">
        <v>26618</v>
      </c>
      <c r="G8512" t="s">
        <v>26619</v>
      </c>
      <c r="H8512" t="s">
        <v>26620</v>
      </c>
      <c r="I8512" t="s">
        <v>29</v>
      </c>
      <c r="J8512">
        <v>1</v>
      </c>
      <c r="K8512">
        <f>1-888-729-3685</f>
        <v>-5301</v>
      </c>
      <c r="L8512" t="s">
        <v>26621</v>
      </c>
      <c r="M8512" t="s">
        <v>26622</v>
      </c>
      <c r="N8512" t="s">
        <v>5354</v>
      </c>
      <c r="O8512" t="s">
        <v>28</v>
      </c>
      <c r="P8512" t="s">
        <v>29</v>
      </c>
      <c r="Q8512">
        <v>39</v>
      </c>
      <c r="R8512">
        <v>-77.487399999999994</v>
      </c>
    </row>
    <row r="8513" spans="1:18" x14ac:dyDescent="0.2">
      <c r="A8513" t="s">
        <v>26616</v>
      </c>
      <c r="B8513" t="s">
        <v>440</v>
      </c>
      <c r="C8513">
        <v>1</v>
      </c>
      <c r="D8513" s="1">
        <v>44306.741597222222</v>
      </c>
      <c r="E8513" t="s">
        <v>26623</v>
      </c>
      <c r="F8513" t="s">
        <v>26618</v>
      </c>
      <c r="G8513" t="s">
        <v>26619</v>
      </c>
      <c r="H8513" t="s">
        <v>26620</v>
      </c>
      <c r="I8513" t="s">
        <v>29</v>
      </c>
      <c r="J8513">
        <v>1</v>
      </c>
      <c r="K8513">
        <f>1-888-727-4534</f>
        <v>-6148</v>
      </c>
      <c r="L8513" t="s">
        <v>26624</v>
      </c>
      <c r="M8513" t="s">
        <v>26625</v>
      </c>
      <c r="N8513" t="s">
        <v>5354</v>
      </c>
      <c r="O8513" t="s">
        <v>28</v>
      </c>
      <c r="P8513" t="s">
        <v>29</v>
      </c>
      <c r="Q8513">
        <v>39</v>
      </c>
      <c r="R8513">
        <v>-77.487399999999994</v>
      </c>
    </row>
    <row r="8514" spans="1:18" x14ac:dyDescent="0.2">
      <c r="A8514" t="s">
        <v>26616</v>
      </c>
      <c r="B8514" t="s">
        <v>440</v>
      </c>
      <c r="C8514">
        <v>1</v>
      </c>
      <c r="D8514" s="1">
        <v>44305.892361111109</v>
      </c>
      <c r="E8514" t="s">
        <v>26626</v>
      </c>
      <c r="F8514" t="s">
        <v>26618</v>
      </c>
      <c r="G8514" t="s">
        <v>26619</v>
      </c>
      <c r="H8514" t="s">
        <v>26620</v>
      </c>
      <c r="I8514" t="s">
        <v>29</v>
      </c>
      <c r="J8514">
        <v>1</v>
      </c>
      <c r="K8514">
        <f>1-888-729-688</f>
        <v>-2304</v>
      </c>
      <c r="L8514" t="s">
        <v>26627</v>
      </c>
      <c r="M8514" t="s">
        <v>26628</v>
      </c>
      <c r="N8514" t="s">
        <v>5354</v>
      </c>
      <c r="O8514" t="s">
        <v>28</v>
      </c>
      <c r="P8514" t="s">
        <v>29</v>
      </c>
      <c r="Q8514">
        <v>39</v>
      </c>
      <c r="R8514">
        <v>-77.487399999999994</v>
      </c>
    </row>
    <row r="8515" spans="1:18" x14ac:dyDescent="0.2">
      <c r="A8515" t="s">
        <v>26616</v>
      </c>
      <c r="B8515" t="s">
        <v>440</v>
      </c>
      <c r="C8515">
        <v>1</v>
      </c>
      <c r="D8515" s="1">
        <v>44296.822256944448</v>
      </c>
      <c r="E8515" t="s">
        <v>26629</v>
      </c>
      <c r="F8515" t="s">
        <v>26618</v>
      </c>
      <c r="G8515" t="s">
        <v>26619</v>
      </c>
      <c r="H8515" t="s">
        <v>26620</v>
      </c>
      <c r="I8515" t="s">
        <v>29</v>
      </c>
      <c r="J8515">
        <v>1</v>
      </c>
      <c r="K8515">
        <f>1-888-348-44</f>
        <v>-1279</v>
      </c>
      <c r="L8515" t="s">
        <v>26630</v>
      </c>
      <c r="M8515" t="s">
        <v>26631</v>
      </c>
      <c r="N8515" t="s">
        <v>5354</v>
      </c>
      <c r="O8515" t="s">
        <v>28</v>
      </c>
      <c r="P8515" t="s">
        <v>29</v>
      </c>
      <c r="Q8515">
        <v>39</v>
      </c>
      <c r="R8515">
        <v>-77.487399999999994</v>
      </c>
    </row>
    <row r="8516" spans="1:18" x14ac:dyDescent="0.2">
      <c r="A8516" t="s">
        <v>26616</v>
      </c>
      <c r="B8516" t="s">
        <v>440</v>
      </c>
      <c r="C8516">
        <v>1</v>
      </c>
      <c r="D8516" s="1">
        <v>44277.994189814817</v>
      </c>
      <c r="E8516" t="s">
        <v>26632</v>
      </c>
      <c r="F8516" t="s">
        <v>26618</v>
      </c>
      <c r="G8516" t="s">
        <v>26619</v>
      </c>
      <c r="H8516" t="s">
        <v>26620</v>
      </c>
      <c r="I8516" t="s">
        <v>29</v>
      </c>
      <c r="J8516">
        <v>1</v>
      </c>
      <c r="K8516">
        <f>1-888-216-2860</f>
        <v>-3963</v>
      </c>
      <c r="L8516" t="s">
        <v>26633</v>
      </c>
      <c r="M8516" t="s">
        <v>26634</v>
      </c>
      <c r="N8516" t="s">
        <v>5354</v>
      </c>
      <c r="O8516" t="s">
        <v>28</v>
      </c>
      <c r="P8516" t="s">
        <v>29</v>
      </c>
      <c r="Q8516">
        <v>39</v>
      </c>
      <c r="R8516">
        <v>-77.487399999999994</v>
      </c>
    </row>
    <row r="8517" spans="1:18" x14ac:dyDescent="0.2">
      <c r="A8517" t="s">
        <v>26616</v>
      </c>
      <c r="B8517" t="s">
        <v>440</v>
      </c>
      <c r="C8517">
        <v>1</v>
      </c>
      <c r="D8517" s="1">
        <v>44270.903043981481</v>
      </c>
      <c r="E8517" t="s">
        <v>26635</v>
      </c>
      <c r="F8517" t="s">
        <v>26618</v>
      </c>
      <c r="G8517" t="s">
        <v>26619</v>
      </c>
      <c r="H8517" t="s">
        <v>26620</v>
      </c>
      <c r="I8517" t="s">
        <v>29</v>
      </c>
      <c r="J8517">
        <v>1</v>
      </c>
      <c r="K8517">
        <f>1-888-511-1546</f>
        <v>-2944</v>
      </c>
      <c r="L8517" t="s">
        <v>26636</v>
      </c>
      <c r="M8517" t="s">
        <v>26637</v>
      </c>
      <c r="N8517" t="s">
        <v>5354</v>
      </c>
      <c r="O8517" t="s">
        <v>28</v>
      </c>
      <c r="P8517" t="s">
        <v>29</v>
      </c>
      <c r="Q8517">
        <v>39</v>
      </c>
      <c r="R8517">
        <v>-77.487399999999994</v>
      </c>
    </row>
    <row r="8518" spans="1:18" x14ac:dyDescent="0.2">
      <c r="A8518" t="s">
        <v>26616</v>
      </c>
      <c r="B8518" t="s">
        <v>440</v>
      </c>
      <c r="C8518">
        <v>1</v>
      </c>
      <c r="D8518" s="1">
        <v>44270.871435185189</v>
      </c>
      <c r="E8518" t="s">
        <v>26638</v>
      </c>
      <c r="F8518" t="s">
        <v>26618</v>
      </c>
      <c r="G8518" t="s">
        <v>26619</v>
      </c>
      <c r="H8518" t="s">
        <v>26620</v>
      </c>
      <c r="I8518" t="s">
        <v>29</v>
      </c>
      <c r="J8518">
        <v>1</v>
      </c>
      <c r="K8518">
        <f>1-888-521-5067</f>
        <v>-6475</v>
      </c>
      <c r="L8518" t="s">
        <v>26639</v>
      </c>
      <c r="M8518" t="s">
        <v>26640</v>
      </c>
      <c r="N8518" t="s">
        <v>5354</v>
      </c>
      <c r="O8518" t="s">
        <v>28</v>
      </c>
      <c r="P8518" t="s">
        <v>29</v>
      </c>
      <c r="Q8518">
        <v>39</v>
      </c>
      <c r="R8518">
        <v>-77.487399999999994</v>
      </c>
    </row>
    <row r="8519" spans="1:18" x14ac:dyDescent="0.2">
      <c r="A8519" t="s">
        <v>26616</v>
      </c>
      <c r="B8519" t="s">
        <v>440</v>
      </c>
      <c r="C8519">
        <v>1</v>
      </c>
      <c r="D8519" s="1">
        <v>44268.986898148149</v>
      </c>
      <c r="E8519" t="s">
        <v>26641</v>
      </c>
      <c r="F8519" t="s">
        <v>26618</v>
      </c>
      <c r="G8519" t="s">
        <v>26619</v>
      </c>
      <c r="H8519" t="s">
        <v>26620</v>
      </c>
      <c r="I8519" t="s">
        <v>29</v>
      </c>
      <c r="J8519">
        <v>1</v>
      </c>
      <c r="K8519">
        <f>1-888-261-2083</f>
        <v>-3231</v>
      </c>
      <c r="L8519" t="s">
        <v>26642</v>
      </c>
      <c r="M8519" t="s">
        <v>26643</v>
      </c>
      <c r="N8519" t="s">
        <v>5354</v>
      </c>
      <c r="O8519" t="s">
        <v>28</v>
      </c>
      <c r="P8519" t="s">
        <v>29</v>
      </c>
      <c r="Q8519">
        <v>39</v>
      </c>
      <c r="R8519">
        <v>-77.487399999999994</v>
      </c>
    </row>
    <row r="8520" spans="1:18" x14ac:dyDescent="0.2">
      <c r="A8520" t="s">
        <v>26616</v>
      </c>
      <c r="B8520" t="s">
        <v>440</v>
      </c>
      <c r="C8520">
        <v>1</v>
      </c>
      <c r="D8520" s="1">
        <v>44265.771018518521</v>
      </c>
      <c r="E8520" t="s">
        <v>26644</v>
      </c>
      <c r="F8520" t="s">
        <v>26618</v>
      </c>
      <c r="G8520" t="s">
        <v>26619</v>
      </c>
      <c r="H8520" t="s">
        <v>26620</v>
      </c>
      <c r="I8520" t="s">
        <v>29</v>
      </c>
      <c r="J8520">
        <v>1</v>
      </c>
      <c r="K8520">
        <f>1-888-249-1819</f>
        <v>-2955</v>
      </c>
      <c r="L8520" t="s">
        <v>26645</v>
      </c>
      <c r="M8520" t="s">
        <v>26646</v>
      </c>
      <c r="N8520" t="s">
        <v>5354</v>
      </c>
      <c r="O8520" t="s">
        <v>28</v>
      </c>
      <c r="P8520" t="s">
        <v>29</v>
      </c>
      <c r="Q8520">
        <v>39</v>
      </c>
      <c r="R8520">
        <v>-77.487399999999994</v>
      </c>
    </row>
    <row r="8521" spans="1:18" x14ac:dyDescent="0.2">
      <c r="A8521" t="s">
        <v>26616</v>
      </c>
      <c r="B8521" t="s">
        <v>440</v>
      </c>
      <c r="C8521">
        <v>1</v>
      </c>
      <c r="D8521" s="1">
        <v>44264.81287037037</v>
      </c>
      <c r="E8521" t="s">
        <v>26647</v>
      </c>
      <c r="F8521" t="s">
        <v>26618</v>
      </c>
      <c r="G8521" t="s">
        <v>26619</v>
      </c>
      <c r="H8521" t="s">
        <v>26620</v>
      </c>
      <c r="I8521" t="s">
        <v>29</v>
      </c>
      <c r="J8521">
        <v>1</v>
      </c>
      <c r="K8521">
        <f>1-888-271-2902</f>
        <v>-4060</v>
      </c>
      <c r="L8521" t="s">
        <v>26648</v>
      </c>
      <c r="M8521" t="s">
        <v>26649</v>
      </c>
      <c r="N8521" t="s">
        <v>5354</v>
      </c>
      <c r="O8521" t="s">
        <v>28</v>
      </c>
      <c r="P8521" t="s">
        <v>29</v>
      </c>
      <c r="Q8521">
        <v>39</v>
      </c>
      <c r="R8521">
        <v>-77.487399999999994</v>
      </c>
    </row>
    <row r="8522" spans="1:18" x14ac:dyDescent="0.2">
      <c r="A8522" t="s">
        <v>26616</v>
      </c>
      <c r="B8522" t="s">
        <v>440</v>
      </c>
      <c r="C8522">
        <v>1</v>
      </c>
      <c r="D8522" s="1">
        <v>44260.848935185182</v>
      </c>
      <c r="E8522" t="s">
        <v>26650</v>
      </c>
      <c r="F8522" t="s">
        <v>26618</v>
      </c>
      <c r="G8522" t="s">
        <v>26619</v>
      </c>
      <c r="H8522" t="s">
        <v>26620</v>
      </c>
      <c r="I8522" t="s">
        <v>29</v>
      </c>
      <c r="J8522">
        <v>1</v>
      </c>
      <c r="K8522">
        <f>1-888-690-927</f>
        <v>-2504</v>
      </c>
      <c r="L8522" t="s">
        <v>26651</v>
      </c>
      <c r="M8522" t="s">
        <v>26652</v>
      </c>
      <c r="N8522" t="s">
        <v>5354</v>
      </c>
      <c r="O8522" t="s">
        <v>28</v>
      </c>
      <c r="P8522" t="s">
        <v>29</v>
      </c>
      <c r="Q8522">
        <v>39</v>
      </c>
      <c r="R8522">
        <v>-77.487399999999994</v>
      </c>
    </row>
    <row r="8523" spans="1:18" x14ac:dyDescent="0.2">
      <c r="A8523" t="s">
        <v>26616</v>
      </c>
      <c r="B8523" t="s">
        <v>440</v>
      </c>
      <c r="C8523">
        <v>1</v>
      </c>
      <c r="D8523" s="1">
        <v>44256.845439814817</v>
      </c>
      <c r="E8523" t="s">
        <v>26653</v>
      </c>
      <c r="F8523" t="s">
        <v>26618</v>
      </c>
      <c r="G8523" t="s">
        <v>26619</v>
      </c>
      <c r="H8523" t="s">
        <v>26620</v>
      </c>
      <c r="I8523" t="s">
        <v>29</v>
      </c>
      <c r="J8523">
        <v>1</v>
      </c>
      <c r="K8523">
        <f>1-888-646-615</f>
        <v>-2148</v>
      </c>
      <c r="L8523" t="s">
        <v>26654</v>
      </c>
      <c r="M8523" t="s">
        <v>26655</v>
      </c>
      <c r="N8523" t="s">
        <v>5354</v>
      </c>
      <c r="O8523" t="s">
        <v>28</v>
      </c>
      <c r="P8523" t="s">
        <v>29</v>
      </c>
      <c r="Q8523">
        <v>39</v>
      </c>
      <c r="R8523">
        <v>-77.487399999999994</v>
      </c>
    </row>
    <row r="8524" spans="1:18" x14ac:dyDescent="0.2">
      <c r="A8524" t="s">
        <v>26616</v>
      </c>
      <c r="B8524" t="s">
        <v>440</v>
      </c>
      <c r="C8524">
        <v>1</v>
      </c>
      <c r="D8524" s="1">
        <v>44256.774189814816</v>
      </c>
      <c r="E8524" t="s">
        <v>26656</v>
      </c>
      <c r="F8524" t="s">
        <v>26618</v>
      </c>
      <c r="G8524" t="s">
        <v>26619</v>
      </c>
      <c r="H8524" t="s">
        <v>26620</v>
      </c>
      <c r="I8524" t="s">
        <v>29</v>
      </c>
      <c r="J8524">
        <v>1</v>
      </c>
      <c r="K8524">
        <f>1-888-387-1855</f>
        <v>-3129</v>
      </c>
      <c r="L8524" t="s">
        <v>26657</v>
      </c>
      <c r="M8524" t="s">
        <v>26658</v>
      </c>
      <c r="N8524" t="s">
        <v>5354</v>
      </c>
      <c r="O8524" t="s">
        <v>28</v>
      </c>
      <c r="P8524" t="s">
        <v>29</v>
      </c>
      <c r="Q8524">
        <v>39</v>
      </c>
      <c r="R8524">
        <v>-77.487399999999994</v>
      </c>
    </row>
    <row r="8525" spans="1:18" x14ac:dyDescent="0.2">
      <c r="A8525" t="s">
        <v>26616</v>
      </c>
      <c r="B8525" t="s">
        <v>440</v>
      </c>
      <c r="C8525">
        <v>1</v>
      </c>
      <c r="D8525" s="1">
        <v>44256.769548611112</v>
      </c>
      <c r="E8525" t="s">
        <v>26659</v>
      </c>
      <c r="F8525" t="s">
        <v>26618</v>
      </c>
      <c r="G8525" t="s">
        <v>26619</v>
      </c>
      <c r="H8525" t="s">
        <v>26620</v>
      </c>
      <c r="I8525" t="s">
        <v>29</v>
      </c>
      <c r="J8525">
        <v>1</v>
      </c>
      <c r="K8525">
        <f>1-888-532-3839</f>
        <v>-5258</v>
      </c>
      <c r="L8525" t="s">
        <v>26660</v>
      </c>
      <c r="M8525" t="s">
        <v>26661</v>
      </c>
      <c r="N8525" t="s">
        <v>5354</v>
      </c>
      <c r="O8525" t="s">
        <v>28</v>
      </c>
      <c r="P8525" t="s">
        <v>29</v>
      </c>
      <c r="Q8525">
        <v>39</v>
      </c>
      <c r="R8525">
        <v>-77.487399999999994</v>
      </c>
    </row>
    <row r="8526" spans="1:18" x14ac:dyDescent="0.2">
      <c r="A8526" t="s">
        <v>26616</v>
      </c>
      <c r="B8526" t="s">
        <v>440</v>
      </c>
      <c r="C8526">
        <v>1</v>
      </c>
      <c r="D8526" s="1">
        <v>44256.731249999997</v>
      </c>
      <c r="E8526" t="s">
        <v>26662</v>
      </c>
      <c r="F8526" t="s">
        <v>26618</v>
      </c>
      <c r="G8526" t="s">
        <v>26619</v>
      </c>
      <c r="H8526" t="s">
        <v>26620</v>
      </c>
      <c r="I8526" t="s">
        <v>29</v>
      </c>
      <c r="J8526">
        <v>1</v>
      </c>
      <c r="K8526">
        <f>1-888-618-225</f>
        <v>-1730</v>
      </c>
      <c r="L8526" t="s">
        <v>26663</v>
      </c>
      <c r="M8526" t="s">
        <v>26664</v>
      </c>
      <c r="N8526" t="s">
        <v>5354</v>
      </c>
      <c r="O8526" t="s">
        <v>28</v>
      </c>
      <c r="P8526" t="s">
        <v>29</v>
      </c>
      <c r="Q8526">
        <v>39</v>
      </c>
      <c r="R8526">
        <v>-77.487399999999994</v>
      </c>
    </row>
    <row r="8527" spans="1:18" x14ac:dyDescent="0.2">
      <c r="A8527" t="s">
        <v>26616</v>
      </c>
      <c r="B8527" t="s">
        <v>440</v>
      </c>
      <c r="C8527">
        <v>1</v>
      </c>
      <c r="D8527" s="1">
        <v>44256.72797453704</v>
      </c>
      <c r="E8527" t="s">
        <v>26665</v>
      </c>
      <c r="F8527" t="s">
        <v>26618</v>
      </c>
      <c r="G8527" t="s">
        <v>26619</v>
      </c>
      <c r="H8527" t="s">
        <v>26620</v>
      </c>
      <c r="I8527" t="s">
        <v>29</v>
      </c>
      <c r="J8527">
        <v>1</v>
      </c>
      <c r="K8527">
        <f>1-888-202-712</f>
        <v>-1801</v>
      </c>
      <c r="L8527" t="s">
        <v>26666</v>
      </c>
      <c r="M8527" t="s">
        <v>26667</v>
      </c>
      <c r="N8527" t="s">
        <v>5354</v>
      </c>
      <c r="O8527" t="s">
        <v>28</v>
      </c>
      <c r="P8527" t="s">
        <v>29</v>
      </c>
      <c r="Q8527">
        <v>39</v>
      </c>
      <c r="R8527">
        <v>-77.487399999999994</v>
      </c>
    </row>
    <row r="8528" spans="1:18" x14ac:dyDescent="0.2">
      <c r="A8528" t="s">
        <v>26616</v>
      </c>
      <c r="B8528" t="s">
        <v>440</v>
      </c>
      <c r="C8528">
        <v>1</v>
      </c>
      <c r="D8528" s="1">
        <v>44242.881006944444</v>
      </c>
      <c r="E8528" t="s">
        <v>26668</v>
      </c>
      <c r="F8528" t="s">
        <v>26618</v>
      </c>
      <c r="G8528" t="s">
        <v>26619</v>
      </c>
      <c r="H8528" t="s">
        <v>26620</v>
      </c>
      <c r="I8528" t="s">
        <v>29</v>
      </c>
      <c r="J8528">
        <v>1</v>
      </c>
      <c r="K8528">
        <f>1-888-423-322</f>
        <v>-1632</v>
      </c>
      <c r="L8528" t="s">
        <v>26669</v>
      </c>
      <c r="M8528" t="s">
        <v>26670</v>
      </c>
      <c r="N8528" t="s">
        <v>5354</v>
      </c>
      <c r="O8528" t="s">
        <v>28</v>
      </c>
      <c r="P8528" t="s">
        <v>29</v>
      </c>
      <c r="Q8528">
        <v>39</v>
      </c>
      <c r="R8528">
        <v>-77.487399999999994</v>
      </c>
    </row>
    <row r="8529" spans="1:18" x14ac:dyDescent="0.2">
      <c r="A8529" t="s">
        <v>26616</v>
      </c>
      <c r="B8529" t="s">
        <v>440</v>
      </c>
      <c r="C8529">
        <v>1</v>
      </c>
      <c r="D8529" s="1">
        <v>44242.809965277775</v>
      </c>
      <c r="E8529" t="s">
        <v>26671</v>
      </c>
      <c r="F8529" t="s">
        <v>26618</v>
      </c>
      <c r="G8529" t="s">
        <v>26619</v>
      </c>
      <c r="H8529" t="s">
        <v>26620</v>
      </c>
      <c r="I8529" t="s">
        <v>29</v>
      </c>
      <c r="J8529">
        <v>1</v>
      </c>
      <c r="K8529">
        <f>1-888-598-1425</f>
        <v>-2910</v>
      </c>
      <c r="L8529" t="s">
        <v>26672</v>
      </c>
      <c r="M8529" t="s">
        <v>26673</v>
      </c>
      <c r="N8529" t="s">
        <v>5354</v>
      </c>
      <c r="O8529" t="s">
        <v>28</v>
      </c>
      <c r="P8529" t="s">
        <v>29</v>
      </c>
      <c r="Q8529">
        <v>39</v>
      </c>
      <c r="R8529">
        <v>-77.487399999999994</v>
      </c>
    </row>
    <row r="8530" spans="1:18" x14ac:dyDescent="0.2">
      <c r="A8530" t="s">
        <v>26616</v>
      </c>
      <c r="B8530" t="s">
        <v>440</v>
      </c>
      <c r="C8530">
        <v>1</v>
      </c>
      <c r="D8530" s="1">
        <v>44242.915682870371</v>
      </c>
      <c r="E8530" t="s">
        <v>26674</v>
      </c>
      <c r="F8530" t="s">
        <v>26618</v>
      </c>
      <c r="G8530" t="s">
        <v>26619</v>
      </c>
      <c r="H8530" t="s">
        <v>26620</v>
      </c>
      <c r="I8530" t="s">
        <v>29</v>
      </c>
      <c r="J8530">
        <v>1</v>
      </c>
      <c r="K8530">
        <f>1-888-415-7158</f>
        <v>-8460</v>
      </c>
      <c r="L8530" t="s">
        <v>26675</v>
      </c>
      <c r="M8530" t="s">
        <v>26676</v>
      </c>
      <c r="N8530" t="s">
        <v>5354</v>
      </c>
      <c r="O8530" t="s">
        <v>28</v>
      </c>
      <c r="P8530" t="s">
        <v>29</v>
      </c>
      <c r="Q8530">
        <v>39</v>
      </c>
      <c r="R8530">
        <v>-77.487399999999994</v>
      </c>
    </row>
    <row r="8531" spans="1:18" x14ac:dyDescent="0.2">
      <c r="A8531" t="s">
        <v>26616</v>
      </c>
      <c r="B8531" t="s">
        <v>440</v>
      </c>
      <c r="C8531">
        <v>1</v>
      </c>
      <c r="D8531" s="1">
        <v>44242.721701388888</v>
      </c>
      <c r="E8531" t="s">
        <v>26677</v>
      </c>
      <c r="F8531" t="s">
        <v>26618</v>
      </c>
      <c r="G8531" t="s">
        <v>26619</v>
      </c>
      <c r="H8531" t="s">
        <v>26620</v>
      </c>
      <c r="I8531" t="s">
        <v>29</v>
      </c>
      <c r="J8531">
        <v>1</v>
      </c>
      <c r="K8531">
        <f>1-888-525-684</f>
        <v>-2096</v>
      </c>
      <c r="L8531" t="s">
        <v>26678</v>
      </c>
      <c r="M8531" t="s">
        <v>26679</v>
      </c>
      <c r="N8531" t="s">
        <v>5354</v>
      </c>
      <c r="O8531" t="s">
        <v>28</v>
      </c>
      <c r="P8531" t="s">
        <v>29</v>
      </c>
      <c r="Q8531">
        <v>39</v>
      </c>
      <c r="R8531">
        <v>-77.487399999999994</v>
      </c>
    </row>
    <row r="8532" spans="1:18" x14ac:dyDescent="0.2">
      <c r="A8532" t="s">
        <v>26616</v>
      </c>
      <c r="B8532" t="s">
        <v>440</v>
      </c>
      <c r="C8532">
        <v>1</v>
      </c>
      <c r="D8532" s="1">
        <v>44242.738935185182</v>
      </c>
      <c r="E8532" t="s">
        <v>26680</v>
      </c>
      <c r="F8532" t="s">
        <v>26618</v>
      </c>
      <c r="G8532" t="s">
        <v>26619</v>
      </c>
      <c r="H8532" t="s">
        <v>26620</v>
      </c>
      <c r="I8532" t="s">
        <v>29</v>
      </c>
      <c r="J8532">
        <v>1</v>
      </c>
      <c r="K8532">
        <f>1-888-417-4056</f>
        <v>-5360</v>
      </c>
      <c r="L8532" t="s">
        <v>26681</v>
      </c>
      <c r="M8532" t="s">
        <v>26682</v>
      </c>
      <c r="N8532" t="s">
        <v>5354</v>
      </c>
      <c r="O8532" t="s">
        <v>28</v>
      </c>
      <c r="P8532" t="s">
        <v>29</v>
      </c>
      <c r="Q8532">
        <v>39</v>
      </c>
      <c r="R8532">
        <v>-77.487399999999994</v>
      </c>
    </row>
    <row r="8533" spans="1:18" x14ac:dyDescent="0.2">
      <c r="A8533" t="s">
        <v>26616</v>
      </c>
      <c r="B8533" t="s">
        <v>440</v>
      </c>
      <c r="C8533">
        <v>1</v>
      </c>
      <c r="D8533" s="1">
        <v>44240.01934027778</v>
      </c>
      <c r="E8533" t="s">
        <v>26683</v>
      </c>
      <c r="F8533" t="s">
        <v>26618</v>
      </c>
      <c r="G8533" t="s">
        <v>26619</v>
      </c>
      <c r="H8533" t="s">
        <v>26620</v>
      </c>
      <c r="I8533" t="s">
        <v>29</v>
      </c>
      <c r="J8533">
        <v>1</v>
      </c>
      <c r="K8533">
        <f>1-888-304-1195</f>
        <v>-2386</v>
      </c>
      <c r="L8533" t="s">
        <v>26684</v>
      </c>
      <c r="M8533" t="s">
        <v>26685</v>
      </c>
      <c r="N8533" t="s">
        <v>5354</v>
      </c>
      <c r="O8533" t="s">
        <v>28</v>
      </c>
      <c r="P8533" t="s">
        <v>29</v>
      </c>
      <c r="Q8533">
        <v>39</v>
      </c>
      <c r="R8533">
        <v>-77.487399999999994</v>
      </c>
    </row>
    <row r="8534" spans="1:18" x14ac:dyDescent="0.2">
      <c r="A8534" t="s">
        <v>26616</v>
      </c>
      <c r="B8534" t="s">
        <v>440</v>
      </c>
      <c r="C8534">
        <v>1</v>
      </c>
      <c r="D8534" s="1">
        <v>44239.743009259262</v>
      </c>
      <c r="E8534" t="s">
        <v>26686</v>
      </c>
      <c r="F8534" t="s">
        <v>26618</v>
      </c>
      <c r="G8534" t="s">
        <v>26619</v>
      </c>
      <c r="H8534" t="s">
        <v>26620</v>
      </c>
      <c r="I8534" t="s">
        <v>29</v>
      </c>
      <c r="J8534">
        <v>1</v>
      </c>
      <c r="K8534">
        <f>1-888-521-2439</f>
        <v>-3847</v>
      </c>
      <c r="L8534" t="s">
        <v>26687</v>
      </c>
      <c r="M8534" t="s">
        <v>26688</v>
      </c>
      <c r="N8534" t="s">
        <v>5354</v>
      </c>
      <c r="O8534" t="s">
        <v>28</v>
      </c>
      <c r="P8534" t="s">
        <v>29</v>
      </c>
      <c r="Q8534">
        <v>39</v>
      </c>
      <c r="R8534">
        <v>-77.487399999999994</v>
      </c>
    </row>
    <row r="8535" spans="1:18" x14ac:dyDescent="0.2">
      <c r="A8535" t="s">
        <v>26616</v>
      </c>
      <c r="B8535" t="s">
        <v>440</v>
      </c>
      <c r="C8535">
        <v>1</v>
      </c>
      <c r="D8535" s="1">
        <v>44238.724305555559</v>
      </c>
      <c r="E8535" t="s">
        <v>26689</v>
      </c>
      <c r="F8535" t="s">
        <v>26618</v>
      </c>
      <c r="G8535" t="s">
        <v>26619</v>
      </c>
      <c r="H8535" t="s">
        <v>26620</v>
      </c>
      <c r="I8535" t="s">
        <v>29</v>
      </c>
      <c r="J8535">
        <v>1</v>
      </c>
      <c r="K8535">
        <f>1-888-291-170</f>
        <v>-1348</v>
      </c>
      <c r="L8535" s="2" t="s">
        <v>26690</v>
      </c>
      <c r="M8535" t="s">
        <v>26691</v>
      </c>
      <c r="N8535" t="s">
        <v>5354</v>
      </c>
      <c r="O8535" t="s">
        <v>28</v>
      </c>
      <c r="P8535" t="s">
        <v>29</v>
      </c>
      <c r="Q8535">
        <v>39</v>
      </c>
      <c r="R8535">
        <v>-77.487399999999994</v>
      </c>
    </row>
    <row r="8536" spans="1:18" x14ac:dyDescent="0.2">
      <c r="A8536" t="s">
        <v>26616</v>
      </c>
      <c r="B8536" t="s">
        <v>440</v>
      </c>
      <c r="C8536">
        <v>1</v>
      </c>
      <c r="D8536" s="1">
        <v>44238.721562500003</v>
      </c>
      <c r="E8536" t="s">
        <v>26689</v>
      </c>
      <c r="F8536" t="s">
        <v>26618</v>
      </c>
      <c r="G8536" t="s">
        <v>26619</v>
      </c>
      <c r="H8536" t="s">
        <v>26620</v>
      </c>
      <c r="I8536" t="s">
        <v>29</v>
      </c>
      <c r="J8536">
        <v>1</v>
      </c>
      <c r="K8536">
        <f>1-888-597-1497</f>
        <v>-2981</v>
      </c>
      <c r="L8536" t="s">
        <v>26692</v>
      </c>
      <c r="M8536" t="s">
        <v>26693</v>
      </c>
      <c r="N8536" t="s">
        <v>5354</v>
      </c>
      <c r="O8536" t="s">
        <v>28</v>
      </c>
      <c r="P8536" t="s">
        <v>29</v>
      </c>
      <c r="Q8536">
        <v>39</v>
      </c>
      <c r="R8536">
        <v>-77.487399999999994</v>
      </c>
    </row>
    <row r="8537" spans="1:18" x14ac:dyDescent="0.2">
      <c r="A8537" t="s">
        <v>26616</v>
      </c>
      <c r="B8537" t="s">
        <v>440</v>
      </c>
      <c r="C8537">
        <v>1</v>
      </c>
      <c r="D8537" s="1">
        <v>44237.765300925923</v>
      </c>
      <c r="E8537" t="s">
        <v>26694</v>
      </c>
      <c r="F8537" t="s">
        <v>26618</v>
      </c>
      <c r="G8537" t="s">
        <v>26619</v>
      </c>
      <c r="H8537" t="s">
        <v>26620</v>
      </c>
      <c r="I8537" t="s">
        <v>29</v>
      </c>
      <c r="J8537">
        <v>1</v>
      </c>
      <c r="K8537">
        <f>1-888-564-4310</f>
        <v>-5761</v>
      </c>
      <c r="L8537" s="2" t="s">
        <v>26695</v>
      </c>
      <c r="M8537" t="s">
        <v>26696</v>
      </c>
      <c r="N8537" t="s">
        <v>5354</v>
      </c>
      <c r="O8537" t="s">
        <v>28</v>
      </c>
      <c r="P8537" t="s">
        <v>29</v>
      </c>
      <c r="Q8537">
        <v>39</v>
      </c>
      <c r="R8537">
        <v>-77.487399999999994</v>
      </c>
    </row>
    <row r="8538" spans="1:18" x14ac:dyDescent="0.2">
      <c r="A8538" t="s">
        <v>26616</v>
      </c>
      <c r="B8538" t="s">
        <v>440</v>
      </c>
      <c r="C8538">
        <v>1</v>
      </c>
      <c r="D8538" s="1">
        <v>44237.738055555557</v>
      </c>
      <c r="E8538" t="s">
        <v>26697</v>
      </c>
      <c r="F8538" t="s">
        <v>26618</v>
      </c>
      <c r="G8538" t="s">
        <v>26619</v>
      </c>
      <c r="H8538" t="s">
        <v>26620</v>
      </c>
      <c r="I8538" t="s">
        <v>29</v>
      </c>
      <c r="J8538">
        <v>1</v>
      </c>
      <c r="K8538">
        <f>1-888-615-7380</f>
        <v>-8882</v>
      </c>
      <c r="L8538" t="s">
        <v>26698</v>
      </c>
      <c r="M8538" t="s">
        <v>26699</v>
      </c>
      <c r="N8538" t="s">
        <v>5354</v>
      </c>
      <c r="O8538" t="s">
        <v>28</v>
      </c>
      <c r="P8538" t="s">
        <v>29</v>
      </c>
      <c r="Q8538">
        <v>39</v>
      </c>
      <c r="R8538">
        <v>-77.487399999999994</v>
      </c>
    </row>
    <row r="8539" spans="1:18" x14ac:dyDescent="0.2">
      <c r="A8539" t="s">
        <v>663</v>
      </c>
      <c r="B8539" t="s">
        <v>3245</v>
      </c>
      <c r="C8539">
        <v>1</v>
      </c>
      <c r="D8539" s="1">
        <v>44236.823483796295</v>
      </c>
      <c r="E8539" t="s">
        <v>26700</v>
      </c>
      <c r="F8539" t="s">
        <v>666</v>
      </c>
      <c r="G8539" t="s">
        <v>26701</v>
      </c>
      <c r="H8539" t="s">
        <v>667</v>
      </c>
      <c r="I8539" t="s">
        <v>29</v>
      </c>
      <c r="J8539">
        <v>1</v>
      </c>
      <c r="K8539">
        <f>1-844-298-6049</f>
        <v>-7190</v>
      </c>
      <c r="L8539" t="s">
        <v>26702</v>
      </c>
      <c r="M8539" t="s">
        <v>26703</v>
      </c>
      <c r="N8539" t="s">
        <v>25263</v>
      </c>
      <c r="O8539" t="s">
        <v>28</v>
      </c>
      <c r="P8539" t="s">
        <v>29</v>
      </c>
      <c r="Q8539">
        <v>41</v>
      </c>
      <c r="R8539">
        <v>-74.140299999999996</v>
      </c>
    </row>
    <row r="8540" spans="1:18" x14ac:dyDescent="0.2">
      <c r="A8540" t="s">
        <v>663</v>
      </c>
      <c r="B8540" t="s">
        <v>664</v>
      </c>
      <c r="C8540">
        <v>1</v>
      </c>
      <c r="D8540" s="1">
        <v>44237.023773148147</v>
      </c>
      <c r="E8540" t="s">
        <v>26704</v>
      </c>
      <c r="F8540" t="s">
        <v>2495</v>
      </c>
      <c r="G8540" t="s">
        <v>26704</v>
      </c>
      <c r="H8540" t="s">
        <v>667</v>
      </c>
      <c r="I8540" t="s">
        <v>29</v>
      </c>
      <c r="J8540">
        <v>1</v>
      </c>
      <c r="K8540">
        <f>1-888-603-191</f>
        <v>-1681</v>
      </c>
      <c r="L8540" t="s">
        <v>26705</v>
      </c>
      <c r="M8540" t="s">
        <v>26706</v>
      </c>
      <c r="N8540">
        <v>29</v>
      </c>
      <c r="O8540" t="s">
        <v>134</v>
      </c>
      <c r="P8540" t="s">
        <v>29</v>
      </c>
      <c r="Q8540">
        <v>37</v>
      </c>
      <c r="R8540">
        <v>-99.999999000000003</v>
      </c>
    </row>
    <row r="8541" spans="1:18" x14ac:dyDescent="0.2">
      <c r="A8541" t="s">
        <v>2233</v>
      </c>
      <c r="B8541" t="s">
        <v>2234</v>
      </c>
      <c r="C8541">
        <v>1</v>
      </c>
      <c r="D8541" s="1">
        <v>44236.866041666668</v>
      </c>
      <c r="E8541" t="s">
        <v>25177</v>
      </c>
      <c r="F8541" t="s">
        <v>2236</v>
      </c>
      <c r="G8541" t="s">
        <v>26707</v>
      </c>
      <c r="H8541" t="s">
        <v>2237</v>
      </c>
      <c r="I8541" t="s">
        <v>29</v>
      </c>
      <c r="J8541">
        <v>1</v>
      </c>
      <c r="K8541">
        <f>1-888-610-4219</f>
        <v>-5716</v>
      </c>
      <c r="L8541" t="s">
        <v>26708</v>
      </c>
      <c r="M8541" t="s">
        <v>26709</v>
      </c>
      <c r="N8541" t="s">
        <v>5354</v>
      </c>
      <c r="O8541" t="s">
        <v>28</v>
      </c>
      <c r="P8541" t="s">
        <v>29</v>
      </c>
      <c r="Q8541">
        <v>40</v>
      </c>
      <c r="R8541">
        <v>-83.114099999999993</v>
      </c>
    </row>
    <row r="8542" spans="1:18" x14ac:dyDescent="0.2">
      <c r="A8542" t="s">
        <v>663</v>
      </c>
      <c r="B8542" t="s">
        <v>664</v>
      </c>
      <c r="C8542">
        <v>1</v>
      </c>
      <c r="D8542" s="1">
        <v>44236.996064814812</v>
      </c>
      <c r="E8542" t="s">
        <v>26710</v>
      </c>
      <c r="F8542" t="s">
        <v>666</v>
      </c>
      <c r="G8542" t="s">
        <v>26710</v>
      </c>
      <c r="H8542" t="s">
        <v>667</v>
      </c>
      <c r="I8542" t="s">
        <v>29</v>
      </c>
      <c r="J8542">
        <v>1</v>
      </c>
      <c r="K8542">
        <f>1-888-517-3813</f>
        <v>-5217</v>
      </c>
      <c r="L8542" t="s">
        <v>26711</v>
      </c>
      <c r="M8542" t="s">
        <v>26712</v>
      </c>
      <c r="N8542">
        <v>69</v>
      </c>
      <c r="O8542" t="s">
        <v>134</v>
      </c>
      <c r="P8542" t="s">
        <v>29</v>
      </c>
      <c r="Q8542">
        <v>37</v>
      </c>
      <c r="R8542">
        <v>-99.999999000000003</v>
      </c>
    </row>
    <row r="8543" spans="1:18" x14ac:dyDescent="0.2">
      <c r="A8543" t="s">
        <v>663</v>
      </c>
      <c r="B8543" t="s">
        <v>664</v>
      </c>
      <c r="C8543">
        <v>1</v>
      </c>
      <c r="D8543" s="1">
        <v>44237.000636574077</v>
      </c>
      <c r="E8543" t="s">
        <v>26713</v>
      </c>
      <c r="F8543" t="s">
        <v>666</v>
      </c>
      <c r="G8543" t="s">
        <v>26713</v>
      </c>
      <c r="H8543" t="s">
        <v>667</v>
      </c>
      <c r="I8543" t="s">
        <v>29</v>
      </c>
      <c r="J8543">
        <v>1</v>
      </c>
      <c r="K8543">
        <f>1-888-517-3813</f>
        <v>-5217</v>
      </c>
      <c r="L8543" s="2" t="s">
        <v>26714</v>
      </c>
      <c r="M8543" t="s">
        <v>26715</v>
      </c>
      <c r="N8543">
        <v>239</v>
      </c>
      <c r="O8543" t="s">
        <v>134</v>
      </c>
      <c r="P8543" t="s">
        <v>29</v>
      </c>
      <c r="Q8543">
        <v>37</v>
      </c>
      <c r="R8543">
        <v>-99.999999000000003</v>
      </c>
    </row>
    <row r="8544" spans="1:18" x14ac:dyDescent="0.2">
      <c r="A8544" t="s">
        <v>663</v>
      </c>
      <c r="B8544" t="s">
        <v>2500</v>
      </c>
      <c r="C8544">
        <v>1</v>
      </c>
      <c r="D8544" s="1">
        <v>44237.842592592591</v>
      </c>
      <c r="E8544" t="s">
        <v>26716</v>
      </c>
      <c r="F8544" t="s">
        <v>666</v>
      </c>
      <c r="G8544" t="s">
        <v>26716</v>
      </c>
      <c r="H8544" t="s">
        <v>667</v>
      </c>
      <c r="I8544" t="s">
        <v>29</v>
      </c>
      <c r="J8544">
        <v>1</v>
      </c>
      <c r="K8544">
        <f>1-888-301-9759</f>
        <v>-10947</v>
      </c>
      <c r="L8544" t="s">
        <v>26717</v>
      </c>
      <c r="M8544" t="s">
        <v>26718</v>
      </c>
      <c r="N8544">
        <v>54</v>
      </c>
      <c r="O8544" t="s">
        <v>134</v>
      </c>
      <c r="P8544" t="s">
        <v>2500</v>
      </c>
      <c r="Q8544">
        <v>1</v>
      </c>
      <c r="R8544">
        <v>99.999999000000003</v>
      </c>
    </row>
    <row r="8545" spans="1:18" x14ac:dyDescent="0.2">
      <c r="A8545" t="s">
        <v>663</v>
      </c>
      <c r="B8545" t="s">
        <v>2493</v>
      </c>
      <c r="C8545">
        <v>1</v>
      </c>
      <c r="D8545" s="1">
        <v>44237.845868055556</v>
      </c>
      <c r="E8545" t="s">
        <v>26719</v>
      </c>
      <c r="F8545" t="s">
        <v>666</v>
      </c>
      <c r="G8545" t="s">
        <v>26719</v>
      </c>
      <c r="H8545" t="s">
        <v>667</v>
      </c>
      <c r="I8545" t="s">
        <v>29</v>
      </c>
      <c r="J8545">
        <v>1</v>
      </c>
      <c r="K8545">
        <f>1-888-610-469</f>
        <v>-1966</v>
      </c>
      <c r="L8545" t="s">
        <v>26720</v>
      </c>
      <c r="M8545" t="s">
        <v>26721</v>
      </c>
      <c r="N8545">
        <v>39</v>
      </c>
      <c r="O8545" t="s">
        <v>134</v>
      </c>
      <c r="P8545" t="s">
        <v>29</v>
      </c>
      <c r="Q8545">
        <v>41</v>
      </c>
      <c r="R8545">
        <v>-74.024699999999996</v>
      </c>
    </row>
    <row r="8546" spans="1:18" x14ac:dyDescent="0.2">
      <c r="A8546" t="s">
        <v>439</v>
      </c>
      <c r="B8546" t="s">
        <v>4321</v>
      </c>
      <c r="C8546">
        <v>1</v>
      </c>
      <c r="D8546" s="1">
        <v>44238.719618055555</v>
      </c>
      <c r="E8546" t="s">
        <v>26722</v>
      </c>
      <c r="F8546" t="s">
        <v>442</v>
      </c>
      <c r="G8546" t="s">
        <v>26723</v>
      </c>
      <c r="H8546" t="s">
        <v>444</v>
      </c>
      <c r="I8546" t="s">
        <v>29</v>
      </c>
      <c r="J8546">
        <v>1</v>
      </c>
      <c r="K8546">
        <f>1-888-238-275</f>
        <v>-1400</v>
      </c>
      <c r="L8546" t="s">
        <v>26724</v>
      </c>
      <c r="M8546" t="s">
        <v>26725</v>
      </c>
      <c r="N8546" t="s">
        <v>1645</v>
      </c>
      <c r="O8546" t="s">
        <v>28</v>
      </c>
      <c r="P8546" t="s">
        <v>29</v>
      </c>
      <c r="Q8546">
        <v>42</v>
      </c>
      <c r="R8546">
        <v>-87.629800000000003</v>
      </c>
    </row>
    <row r="8547" spans="1:18" x14ac:dyDescent="0.2">
      <c r="A8547" t="s">
        <v>439</v>
      </c>
      <c r="B8547" t="s">
        <v>4321</v>
      </c>
      <c r="C8547">
        <v>1</v>
      </c>
      <c r="D8547" s="1">
        <v>44238.719108796293</v>
      </c>
      <c r="E8547" t="s">
        <v>26722</v>
      </c>
      <c r="F8547" t="s">
        <v>442</v>
      </c>
      <c r="G8547" t="s">
        <v>26723</v>
      </c>
      <c r="H8547" t="s">
        <v>444</v>
      </c>
      <c r="I8547" t="s">
        <v>29</v>
      </c>
      <c r="J8547">
        <v>1</v>
      </c>
      <c r="K8547">
        <f>1-888-615-8197</f>
        <v>-9699</v>
      </c>
      <c r="L8547" t="s">
        <v>26726</v>
      </c>
      <c r="M8547" t="s">
        <v>26727</v>
      </c>
      <c r="N8547" t="s">
        <v>1645</v>
      </c>
      <c r="O8547" t="s">
        <v>28</v>
      </c>
      <c r="P8547" t="s">
        <v>29</v>
      </c>
      <c r="Q8547">
        <v>42</v>
      </c>
      <c r="R8547">
        <v>-87.629800000000003</v>
      </c>
    </row>
    <row r="8548" spans="1:18" x14ac:dyDescent="0.2">
      <c r="A8548" t="s">
        <v>439</v>
      </c>
      <c r="B8548" t="s">
        <v>4321</v>
      </c>
      <c r="C8548">
        <v>1</v>
      </c>
      <c r="D8548" s="1">
        <v>44238.713888888888</v>
      </c>
      <c r="E8548" t="s">
        <v>26722</v>
      </c>
      <c r="F8548" t="s">
        <v>442</v>
      </c>
      <c r="G8548" t="s">
        <v>26723</v>
      </c>
      <c r="H8548" t="s">
        <v>444</v>
      </c>
      <c r="I8548" t="s">
        <v>29</v>
      </c>
      <c r="J8548">
        <v>1</v>
      </c>
      <c r="K8548">
        <f>1-888-612-6975</f>
        <v>-8474</v>
      </c>
      <c r="L8548" t="s">
        <v>26728</v>
      </c>
      <c r="M8548" t="s">
        <v>26729</v>
      </c>
      <c r="N8548" t="s">
        <v>1645</v>
      </c>
      <c r="O8548" t="s">
        <v>28</v>
      </c>
      <c r="P8548" t="s">
        <v>29</v>
      </c>
      <c r="Q8548">
        <v>42</v>
      </c>
      <c r="R8548">
        <v>-87.629800000000003</v>
      </c>
    </row>
    <row r="8549" spans="1:18" x14ac:dyDescent="0.2">
      <c r="A8549" t="s">
        <v>439</v>
      </c>
      <c r="B8549" t="s">
        <v>4321</v>
      </c>
      <c r="C8549">
        <v>1</v>
      </c>
      <c r="D8549" s="1">
        <v>44238.713969907411</v>
      </c>
      <c r="E8549" t="s">
        <v>26730</v>
      </c>
      <c r="F8549" t="s">
        <v>442</v>
      </c>
      <c r="G8549" t="s">
        <v>26731</v>
      </c>
      <c r="H8549" t="s">
        <v>444</v>
      </c>
      <c r="I8549" t="s">
        <v>29</v>
      </c>
      <c r="J8549">
        <v>1</v>
      </c>
      <c r="K8549">
        <f>1-888-399-7071</f>
        <v>-8357</v>
      </c>
      <c r="L8549" t="s">
        <v>26732</v>
      </c>
      <c r="M8549" t="s">
        <v>26733</v>
      </c>
      <c r="N8549" t="s">
        <v>3441</v>
      </c>
      <c r="O8549" t="s">
        <v>28</v>
      </c>
      <c r="P8549" t="s">
        <v>29</v>
      </c>
      <c r="Q8549">
        <v>42</v>
      </c>
      <c r="R8549">
        <v>-87.629800000000003</v>
      </c>
    </row>
    <row r="8550" spans="1:18" x14ac:dyDescent="0.2">
      <c r="A8550" t="s">
        <v>439</v>
      </c>
      <c r="B8550" t="s">
        <v>4321</v>
      </c>
      <c r="C8550">
        <v>1</v>
      </c>
      <c r="D8550" s="1">
        <v>44238.718831018516</v>
      </c>
      <c r="E8550" t="s">
        <v>26722</v>
      </c>
      <c r="F8550" t="s">
        <v>442</v>
      </c>
      <c r="G8550" t="s">
        <v>26734</v>
      </c>
      <c r="H8550" t="s">
        <v>444</v>
      </c>
      <c r="I8550" t="s">
        <v>29</v>
      </c>
      <c r="J8550">
        <v>1</v>
      </c>
      <c r="K8550">
        <f>1-888-604-5973</f>
        <v>-7464</v>
      </c>
      <c r="L8550">
        <v>6025580908924</v>
      </c>
      <c r="M8550" t="s">
        <v>26735</v>
      </c>
      <c r="N8550" t="s">
        <v>1645</v>
      </c>
      <c r="O8550" t="s">
        <v>28</v>
      </c>
      <c r="P8550" t="s">
        <v>29</v>
      </c>
      <c r="Q8550">
        <v>42</v>
      </c>
      <c r="R8550">
        <v>-87.629800000000003</v>
      </c>
    </row>
    <row r="8551" spans="1:18" x14ac:dyDescent="0.2">
      <c r="A8551" t="s">
        <v>439</v>
      </c>
      <c r="B8551" t="s">
        <v>4321</v>
      </c>
      <c r="C8551">
        <v>1</v>
      </c>
      <c r="D8551" s="1">
        <v>44238.715162037035</v>
      </c>
      <c r="E8551" t="s">
        <v>26722</v>
      </c>
      <c r="F8551" t="s">
        <v>442</v>
      </c>
      <c r="G8551" t="s">
        <v>26734</v>
      </c>
      <c r="H8551" t="s">
        <v>444</v>
      </c>
      <c r="I8551" t="s">
        <v>29</v>
      </c>
      <c r="J8551">
        <v>1</v>
      </c>
      <c r="K8551">
        <f>1-888-615-539</f>
        <v>-2041</v>
      </c>
      <c r="L8551" t="s">
        <v>26736</v>
      </c>
      <c r="M8551" t="s">
        <v>26737</v>
      </c>
      <c r="N8551" t="s">
        <v>1645</v>
      </c>
      <c r="O8551" t="s">
        <v>28</v>
      </c>
      <c r="P8551" t="s">
        <v>29</v>
      </c>
      <c r="Q8551">
        <v>42</v>
      </c>
      <c r="R8551">
        <v>-87.629800000000003</v>
      </c>
    </row>
    <row r="8552" spans="1:18" x14ac:dyDescent="0.2">
      <c r="A8552" t="s">
        <v>270</v>
      </c>
      <c r="B8552" t="s">
        <v>9922</v>
      </c>
      <c r="C8552">
        <v>1</v>
      </c>
      <c r="D8552" s="1">
        <v>44238.724942129629</v>
      </c>
      <c r="E8552" t="s">
        <v>26738</v>
      </c>
      <c r="F8552" t="s">
        <v>273</v>
      </c>
      <c r="G8552" t="s">
        <v>26739</v>
      </c>
      <c r="H8552" t="s">
        <v>275</v>
      </c>
      <c r="I8552" t="s">
        <v>29</v>
      </c>
      <c r="J8552">
        <v>1</v>
      </c>
      <c r="K8552">
        <f>1-888-610-4159</f>
        <v>-5656</v>
      </c>
      <c r="L8552" t="s">
        <v>26740</v>
      </c>
      <c r="M8552" t="s">
        <v>26741</v>
      </c>
      <c r="N8552" t="s">
        <v>278</v>
      </c>
      <c r="O8552" t="s">
        <v>28</v>
      </c>
      <c r="P8552" t="s">
        <v>29</v>
      </c>
      <c r="Q8552">
        <v>47</v>
      </c>
      <c r="R8552">
        <v>-99.999999000000003</v>
      </c>
    </row>
    <row r="8553" spans="1:18" x14ac:dyDescent="0.2">
      <c r="A8553" t="s">
        <v>663</v>
      </c>
      <c r="B8553" t="s">
        <v>2263</v>
      </c>
      <c r="C8553">
        <v>1</v>
      </c>
      <c r="D8553" s="1">
        <v>44238.728217592594</v>
      </c>
      <c r="E8553" t="s">
        <v>26742</v>
      </c>
      <c r="F8553" t="s">
        <v>666</v>
      </c>
      <c r="G8553" t="s">
        <v>26742</v>
      </c>
      <c r="H8553" t="s">
        <v>667</v>
      </c>
      <c r="I8553" t="s">
        <v>29</v>
      </c>
      <c r="J8553">
        <v>1</v>
      </c>
      <c r="K8553">
        <f>1-888-399-7071</f>
        <v>-8357</v>
      </c>
      <c r="L8553" t="s">
        <v>26743</v>
      </c>
      <c r="M8553" t="s">
        <v>26744</v>
      </c>
      <c r="N8553">
        <v>116</v>
      </c>
      <c r="O8553" t="s">
        <v>134</v>
      </c>
      <c r="P8553" t="s">
        <v>2268</v>
      </c>
      <c r="Q8553">
        <v>44</v>
      </c>
      <c r="R8553">
        <v>-79.362300000000005</v>
      </c>
    </row>
    <row r="8554" spans="1:18" x14ac:dyDescent="0.2">
      <c r="A8554" t="s">
        <v>663</v>
      </c>
      <c r="B8554" t="s">
        <v>3245</v>
      </c>
      <c r="C8554">
        <v>1</v>
      </c>
      <c r="D8554" s="1">
        <v>44238.728495370371</v>
      </c>
      <c r="E8554" t="s">
        <v>26745</v>
      </c>
      <c r="F8554" t="s">
        <v>666</v>
      </c>
      <c r="G8554" t="s">
        <v>26746</v>
      </c>
      <c r="H8554" t="s">
        <v>667</v>
      </c>
      <c r="I8554" t="s">
        <v>29</v>
      </c>
      <c r="J8554">
        <v>1</v>
      </c>
      <c r="K8554">
        <f>1-844-275-9808</f>
        <v>-10926</v>
      </c>
      <c r="L8554" t="s">
        <v>26747</v>
      </c>
      <c r="M8554" t="s">
        <v>26748</v>
      </c>
      <c r="N8554" t="s">
        <v>25263</v>
      </c>
      <c r="O8554" t="s">
        <v>28</v>
      </c>
      <c r="P8554" t="s">
        <v>29</v>
      </c>
      <c r="Q8554">
        <v>41</v>
      </c>
      <c r="R8554">
        <v>-74.140299999999996</v>
      </c>
    </row>
    <row r="8555" spans="1:18" x14ac:dyDescent="0.2">
      <c r="A8555" t="s">
        <v>2233</v>
      </c>
      <c r="B8555" t="s">
        <v>440</v>
      </c>
      <c r="C8555">
        <v>1</v>
      </c>
      <c r="D8555" s="1">
        <v>44239.04047453704</v>
      </c>
      <c r="E8555" t="s">
        <v>26749</v>
      </c>
      <c r="F8555" t="s">
        <v>2236</v>
      </c>
      <c r="G8555" t="s">
        <v>26750</v>
      </c>
      <c r="H8555" t="s">
        <v>2237</v>
      </c>
      <c r="I8555" t="s">
        <v>29</v>
      </c>
      <c r="J8555">
        <v>1</v>
      </c>
      <c r="K8555">
        <f>1-866-542-9672</f>
        <v>-11079</v>
      </c>
      <c r="L8555" t="s">
        <v>26751</v>
      </c>
      <c r="M8555" t="s">
        <v>26752</v>
      </c>
      <c r="N8555" t="s">
        <v>5354</v>
      </c>
      <c r="O8555" t="s">
        <v>28</v>
      </c>
      <c r="P8555" t="s">
        <v>29</v>
      </c>
      <c r="Q8555">
        <v>39</v>
      </c>
      <c r="R8555">
        <v>-77.487399999999994</v>
      </c>
    </row>
    <row r="8556" spans="1:18" x14ac:dyDescent="0.2">
      <c r="A8556" t="s">
        <v>675</v>
      </c>
      <c r="B8556" t="s">
        <v>1412</v>
      </c>
      <c r="C8556">
        <v>81</v>
      </c>
      <c r="D8556" s="1">
        <v>44239.254907407405</v>
      </c>
      <c r="E8556" t="s">
        <v>26753</v>
      </c>
      <c r="F8556" t="s">
        <v>678</v>
      </c>
      <c r="G8556" t="s">
        <v>26754</v>
      </c>
      <c r="H8556" t="s">
        <v>680</v>
      </c>
      <c r="I8556" t="s">
        <v>53</v>
      </c>
      <c r="J8556">
        <v>81</v>
      </c>
      <c r="K8556">
        <f>81-50-5534-2027</f>
        <v>-7530</v>
      </c>
      <c r="L8556" t="s">
        <v>26755</v>
      </c>
      <c r="M8556" t="s">
        <v>26756</v>
      </c>
      <c r="N8556" t="s">
        <v>2475</v>
      </c>
      <c r="O8556" t="s">
        <v>28</v>
      </c>
      <c r="P8556" t="s">
        <v>29</v>
      </c>
      <c r="Q8556">
        <v>41</v>
      </c>
      <c r="R8556">
        <v>-74.172399999999996</v>
      </c>
    </row>
    <row r="8557" spans="1:18" x14ac:dyDescent="0.2">
      <c r="A8557" t="s">
        <v>663</v>
      </c>
      <c r="B8557" t="s">
        <v>2500</v>
      </c>
      <c r="C8557">
        <v>1</v>
      </c>
      <c r="D8557" s="1">
        <v>44239.676203703704</v>
      </c>
      <c r="E8557" t="s">
        <v>26757</v>
      </c>
      <c r="F8557" t="s">
        <v>666</v>
      </c>
      <c r="G8557" t="s">
        <v>26757</v>
      </c>
      <c r="H8557" t="s">
        <v>667</v>
      </c>
      <c r="I8557" t="s">
        <v>29</v>
      </c>
      <c r="J8557">
        <v>1</v>
      </c>
      <c r="K8557">
        <f>1-888-395-5029</f>
        <v>-6311</v>
      </c>
      <c r="L8557" t="s">
        <v>26758</v>
      </c>
      <c r="M8557" t="s">
        <v>26759</v>
      </c>
      <c r="N8557">
        <v>101</v>
      </c>
      <c r="O8557" t="s">
        <v>134</v>
      </c>
      <c r="P8557" t="s">
        <v>2500</v>
      </c>
      <c r="Q8557">
        <v>1</v>
      </c>
      <c r="R8557">
        <v>99.999999000000003</v>
      </c>
    </row>
    <row r="8558" spans="1:18" x14ac:dyDescent="0.2">
      <c r="A8558" t="s">
        <v>2349</v>
      </c>
      <c r="B8558" t="s">
        <v>6310</v>
      </c>
      <c r="C8558">
        <v>1</v>
      </c>
      <c r="D8558" s="1">
        <v>44238.79</v>
      </c>
      <c r="E8558" t="s">
        <v>26760</v>
      </c>
      <c r="F8558" t="s">
        <v>2352</v>
      </c>
      <c r="G8558" t="s">
        <v>26760</v>
      </c>
      <c r="H8558" t="s">
        <v>2353</v>
      </c>
      <c r="I8558" t="s">
        <v>29</v>
      </c>
      <c r="J8558">
        <v>1</v>
      </c>
      <c r="K8558">
        <f>1-844-304-2384</f>
        <v>-3531</v>
      </c>
      <c r="L8558" s="2" t="s">
        <v>26761</v>
      </c>
      <c r="M8558" t="s">
        <v>26762</v>
      </c>
      <c r="N8558">
        <v>47</v>
      </c>
      <c r="O8558" t="s">
        <v>134</v>
      </c>
      <c r="P8558" t="s">
        <v>29</v>
      </c>
      <c r="Q8558">
        <v>34</v>
      </c>
      <c r="R8558">
        <v>-84.445499999999996</v>
      </c>
    </row>
    <row r="8559" spans="1:18" x14ac:dyDescent="0.2">
      <c r="A8559" t="s">
        <v>439</v>
      </c>
      <c r="B8559" t="s">
        <v>4321</v>
      </c>
      <c r="C8559">
        <v>1</v>
      </c>
      <c r="D8559" s="1">
        <v>44239.820486111108</v>
      </c>
      <c r="E8559" t="s">
        <v>26763</v>
      </c>
      <c r="F8559" t="s">
        <v>442</v>
      </c>
      <c r="G8559" t="s">
        <v>26764</v>
      </c>
      <c r="H8559" t="s">
        <v>444</v>
      </c>
      <c r="I8559" t="s">
        <v>29</v>
      </c>
      <c r="J8559">
        <v>1</v>
      </c>
      <c r="K8559">
        <f>1-888-606-2841</f>
        <v>-4334</v>
      </c>
      <c r="L8559" t="s">
        <v>26765</v>
      </c>
      <c r="M8559" t="s">
        <v>26766</v>
      </c>
      <c r="N8559" t="s">
        <v>6172</v>
      </c>
      <c r="O8559" t="s">
        <v>28</v>
      </c>
      <c r="P8559" t="s">
        <v>29</v>
      </c>
      <c r="Q8559">
        <v>42</v>
      </c>
      <c r="R8559">
        <v>-87.629800000000003</v>
      </c>
    </row>
    <row r="8560" spans="1:18" x14ac:dyDescent="0.2">
      <c r="A8560" t="s">
        <v>663</v>
      </c>
      <c r="B8560" t="s">
        <v>2493</v>
      </c>
      <c r="C8560">
        <v>1</v>
      </c>
      <c r="D8560" s="1">
        <v>44238.80914351852</v>
      </c>
      <c r="E8560" t="s">
        <v>26767</v>
      </c>
      <c r="F8560" t="s">
        <v>666</v>
      </c>
      <c r="G8560" t="s">
        <v>26768</v>
      </c>
      <c r="H8560" t="s">
        <v>667</v>
      </c>
      <c r="I8560" t="s">
        <v>29</v>
      </c>
      <c r="J8560">
        <v>1</v>
      </c>
      <c r="K8560">
        <f>1-888-690-988</f>
        <v>-2565</v>
      </c>
      <c r="L8560" t="s">
        <v>26769</v>
      </c>
      <c r="M8560" t="s">
        <v>26770</v>
      </c>
      <c r="N8560" t="s">
        <v>25263</v>
      </c>
      <c r="O8560" t="s">
        <v>28</v>
      </c>
      <c r="P8560" t="s">
        <v>29</v>
      </c>
      <c r="Q8560">
        <v>41</v>
      </c>
      <c r="R8560">
        <v>-74.024699999999996</v>
      </c>
    </row>
    <row r="8561" spans="1:18" x14ac:dyDescent="0.2">
      <c r="A8561" t="s">
        <v>663</v>
      </c>
      <c r="B8561" t="s">
        <v>2500</v>
      </c>
      <c r="C8561">
        <v>1</v>
      </c>
      <c r="D8561" s="1">
        <v>44239.736192129632</v>
      </c>
      <c r="E8561" t="s">
        <v>26771</v>
      </c>
      <c r="F8561" t="s">
        <v>666</v>
      </c>
      <c r="G8561" t="s">
        <v>26771</v>
      </c>
      <c r="H8561" t="s">
        <v>667</v>
      </c>
      <c r="I8561" t="s">
        <v>29</v>
      </c>
      <c r="J8561">
        <v>1</v>
      </c>
      <c r="K8561">
        <f>1-888-597-1361</f>
        <v>-2845</v>
      </c>
      <c r="L8561" t="s">
        <v>26772</v>
      </c>
      <c r="M8561" t="s">
        <v>26773</v>
      </c>
      <c r="N8561">
        <v>131</v>
      </c>
      <c r="O8561" t="s">
        <v>134</v>
      </c>
      <c r="P8561" t="s">
        <v>2500</v>
      </c>
      <c r="Q8561">
        <v>1</v>
      </c>
      <c r="R8561">
        <v>99.999999000000003</v>
      </c>
    </row>
    <row r="8562" spans="1:18" x14ac:dyDescent="0.2">
      <c r="A8562" t="s">
        <v>1650</v>
      </c>
      <c r="B8562" t="s">
        <v>454</v>
      </c>
      <c r="C8562">
        <v>1</v>
      </c>
      <c r="D8562" s="1">
        <v>44240.190682870372</v>
      </c>
      <c r="E8562" t="s">
        <v>26774</v>
      </c>
      <c r="F8562" t="s">
        <v>1653</v>
      </c>
      <c r="G8562" t="s">
        <v>26775</v>
      </c>
      <c r="H8562" t="s">
        <v>1655</v>
      </c>
      <c r="I8562" t="s">
        <v>29</v>
      </c>
      <c r="J8562">
        <v>1</v>
      </c>
      <c r="K8562">
        <f>1-833-333-6709</f>
        <v>-7874</v>
      </c>
      <c r="L8562" t="s">
        <v>26776</v>
      </c>
      <c r="M8562" t="s">
        <v>26777</v>
      </c>
      <c r="N8562" t="s">
        <v>452</v>
      </c>
      <c r="O8562" t="s">
        <v>28</v>
      </c>
      <c r="P8562" t="s">
        <v>461</v>
      </c>
      <c r="Q8562">
        <v>52</v>
      </c>
      <c r="R8562">
        <v>4.8945400000000001</v>
      </c>
    </row>
    <row r="8563" spans="1:18" x14ac:dyDescent="0.2">
      <c r="A8563" t="s">
        <v>663</v>
      </c>
      <c r="B8563" t="s">
        <v>664</v>
      </c>
      <c r="C8563">
        <v>1</v>
      </c>
      <c r="D8563" s="1">
        <v>44240.070694444446</v>
      </c>
      <c r="E8563" t="s">
        <v>26778</v>
      </c>
      <c r="F8563" t="s">
        <v>666</v>
      </c>
      <c r="G8563" t="s">
        <v>26778</v>
      </c>
      <c r="H8563" t="s">
        <v>667</v>
      </c>
      <c r="I8563" t="s">
        <v>29</v>
      </c>
      <c r="J8563">
        <v>1</v>
      </c>
      <c r="K8563">
        <f>1-888-615-524</f>
        <v>-2026</v>
      </c>
      <c r="L8563" t="s">
        <v>26779</v>
      </c>
      <c r="M8563" t="s">
        <v>26780</v>
      </c>
      <c r="N8563">
        <v>254</v>
      </c>
      <c r="O8563" t="s">
        <v>134</v>
      </c>
      <c r="P8563" t="s">
        <v>29</v>
      </c>
      <c r="Q8563">
        <v>37</v>
      </c>
      <c r="R8563">
        <v>-99.999999000000003</v>
      </c>
    </row>
    <row r="8564" spans="1:18" x14ac:dyDescent="0.2">
      <c r="A8564" t="s">
        <v>2233</v>
      </c>
      <c r="B8564" t="s">
        <v>440</v>
      </c>
      <c r="C8564">
        <v>1</v>
      </c>
      <c r="D8564" s="1">
        <v>44240.269629629627</v>
      </c>
      <c r="E8564" t="s">
        <v>26781</v>
      </c>
      <c r="F8564" t="s">
        <v>2236</v>
      </c>
      <c r="G8564" t="s">
        <v>26782</v>
      </c>
      <c r="H8564" t="s">
        <v>2237</v>
      </c>
      <c r="I8564" t="s">
        <v>29</v>
      </c>
      <c r="J8564">
        <v>1</v>
      </c>
      <c r="K8564">
        <f>1-844-533-7899</f>
        <v>-9275</v>
      </c>
      <c r="L8564" t="s">
        <v>26783</v>
      </c>
      <c r="M8564" t="s">
        <v>26784</v>
      </c>
      <c r="N8564" t="s">
        <v>5354</v>
      </c>
      <c r="O8564" t="s">
        <v>28</v>
      </c>
      <c r="P8564" t="s">
        <v>29</v>
      </c>
      <c r="Q8564">
        <v>39</v>
      </c>
      <c r="R8564">
        <v>-77.487399999999994</v>
      </c>
    </row>
    <row r="8565" spans="1:18" x14ac:dyDescent="0.2">
      <c r="A8565" t="s">
        <v>439</v>
      </c>
      <c r="B8565" t="s">
        <v>4321</v>
      </c>
      <c r="C8565">
        <v>81</v>
      </c>
      <c r="D8565" s="1">
        <v>44240.292222222219</v>
      </c>
      <c r="E8565" t="s">
        <v>26785</v>
      </c>
      <c r="F8565" t="s">
        <v>442</v>
      </c>
      <c r="G8565" t="s">
        <v>26786</v>
      </c>
      <c r="H8565" t="s">
        <v>444</v>
      </c>
      <c r="I8565" t="s">
        <v>53</v>
      </c>
      <c r="J8565">
        <v>81</v>
      </c>
      <c r="K8565">
        <f>81-50-3196-4797</f>
        <v>-7962</v>
      </c>
      <c r="L8565" t="s">
        <v>26787</v>
      </c>
      <c r="M8565" t="s">
        <v>26788</v>
      </c>
      <c r="N8565" t="s">
        <v>213</v>
      </c>
      <c r="O8565" t="s">
        <v>134</v>
      </c>
      <c r="P8565" t="s">
        <v>29</v>
      </c>
      <c r="Q8565">
        <v>42</v>
      </c>
      <c r="R8565">
        <v>-87.629800000000003</v>
      </c>
    </row>
    <row r="8566" spans="1:18" x14ac:dyDescent="0.2">
      <c r="A8566" t="s">
        <v>663</v>
      </c>
      <c r="B8566" t="s">
        <v>2500</v>
      </c>
      <c r="C8566">
        <v>1</v>
      </c>
      <c r="D8566" s="1">
        <v>44239.876446759263</v>
      </c>
      <c r="E8566" t="s">
        <v>26789</v>
      </c>
      <c r="F8566" t="s">
        <v>23451</v>
      </c>
      <c r="G8566" t="s">
        <v>26789</v>
      </c>
      <c r="H8566" t="s">
        <v>667</v>
      </c>
      <c r="I8566" t="s">
        <v>29</v>
      </c>
      <c r="J8566">
        <v>1</v>
      </c>
      <c r="K8566">
        <f>1-888-389-9542</f>
        <v>-10818</v>
      </c>
      <c r="L8566" t="s">
        <v>26790</v>
      </c>
      <c r="M8566" t="s">
        <v>26791</v>
      </c>
      <c r="N8566">
        <v>18</v>
      </c>
      <c r="O8566" t="s">
        <v>134</v>
      </c>
      <c r="P8566" t="s">
        <v>2500</v>
      </c>
      <c r="Q8566">
        <v>1</v>
      </c>
      <c r="R8566">
        <v>99.999999000000003</v>
      </c>
    </row>
    <row r="8567" spans="1:18" x14ac:dyDescent="0.2">
      <c r="A8567" t="s">
        <v>439</v>
      </c>
      <c r="B8567" t="s">
        <v>4321</v>
      </c>
      <c r="C8567">
        <v>1</v>
      </c>
      <c r="D8567" s="1">
        <v>44242.007777777777</v>
      </c>
      <c r="E8567" t="s">
        <v>26792</v>
      </c>
      <c r="F8567" t="s">
        <v>442</v>
      </c>
      <c r="G8567" t="s">
        <v>26793</v>
      </c>
      <c r="H8567" t="s">
        <v>444</v>
      </c>
      <c r="I8567" t="s">
        <v>29</v>
      </c>
      <c r="J8567">
        <v>1</v>
      </c>
      <c r="K8567">
        <f>1-888-383-559</f>
        <v>-1829</v>
      </c>
      <c r="L8567" t="s">
        <v>26794</v>
      </c>
      <c r="M8567" t="s">
        <v>26795</v>
      </c>
      <c r="N8567" t="s">
        <v>674</v>
      </c>
      <c r="O8567" t="s">
        <v>28</v>
      </c>
      <c r="P8567" t="s">
        <v>29</v>
      </c>
      <c r="Q8567">
        <v>42</v>
      </c>
      <c r="R8567">
        <v>-87.629800000000003</v>
      </c>
    </row>
    <row r="8568" spans="1:18" x14ac:dyDescent="0.2">
      <c r="A8568" t="s">
        <v>439</v>
      </c>
      <c r="B8568" t="s">
        <v>4321</v>
      </c>
      <c r="C8568">
        <v>1</v>
      </c>
      <c r="D8568" s="1">
        <v>44242.759756944448</v>
      </c>
      <c r="E8568" t="s">
        <v>26796</v>
      </c>
      <c r="F8568" t="s">
        <v>442</v>
      </c>
      <c r="G8568" t="s">
        <v>26797</v>
      </c>
      <c r="H8568" t="s">
        <v>444</v>
      </c>
      <c r="I8568" t="s">
        <v>29</v>
      </c>
      <c r="J8568">
        <v>1</v>
      </c>
      <c r="K8568">
        <f>1-844-288-1923</f>
        <v>-3054</v>
      </c>
      <c r="L8568" t="s">
        <v>26798</v>
      </c>
      <c r="M8568" t="s">
        <v>26799</v>
      </c>
      <c r="N8568" t="s">
        <v>25195</v>
      </c>
      <c r="O8568" t="s">
        <v>28</v>
      </c>
      <c r="P8568" t="s">
        <v>29</v>
      </c>
      <c r="Q8568">
        <v>42</v>
      </c>
      <c r="R8568">
        <v>-87.629800000000003</v>
      </c>
    </row>
    <row r="8569" spans="1:18" x14ac:dyDescent="0.2">
      <c r="A8569" t="s">
        <v>439</v>
      </c>
      <c r="B8569" t="s">
        <v>4321</v>
      </c>
      <c r="C8569">
        <v>1</v>
      </c>
      <c r="D8569" s="1">
        <v>44242.917766203704</v>
      </c>
      <c r="E8569" t="s">
        <v>26800</v>
      </c>
      <c r="F8569" t="s">
        <v>442</v>
      </c>
      <c r="G8569" t="s">
        <v>26801</v>
      </c>
      <c r="H8569" t="s">
        <v>444</v>
      </c>
      <c r="I8569" t="s">
        <v>29</v>
      </c>
      <c r="J8569">
        <v>1</v>
      </c>
      <c r="K8569">
        <f>1-844-478-6407</f>
        <v>-7728</v>
      </c>
      <c r="L8569" t="s">
        <v>26802</v>
      </c>
      <c r="M8569" t="s">
        <v>26803</v>
      </c>
      <c r="N8569" t="s">
        <v>447</v>
      </c>
      <c r="O8569" t="s">
        <v>28</v>
      </c>
      <c r="P8569" t="s">
        <v>29</v>
      </c>
      <c r="Q8569">
        <v>42</v>
      </c>
      <c r="R8569">
        <v>-87.629800000000003</v>
      </c>
    </row>
    <row r="8570" spans="1:18" x14ac:dyDescent="0.2">
      <c r="A8570" t="s">
        <v>2233</v>
      </c>
      <c r="B8570" t="s">
        <v>1638</v>
      </c>
      <c r="C8570">
        <v>1</v>
      </c>
      <c r="D8570" s="1">
        <v>44242.799780092595</v>
      </c>
      <c r="E8570" t="s">
        <v>26804</v>
      </c>
      <c r="F8570" t="s">
        <v>7023</v>
      </c>
      <c r="G8570" t="s">
        <v>26805</v>
      </c>
      <c r="H8570" t="s">
        <v>2237</v>
      </c>
      <c r="I8570" t="s">
        <v>29</v>
      </c>
      <c r="J8570">
        <v>1</v>
      </c>
      <c r="K8570">
        <f>1-888-312-1426</f>
        <v>-2625</v>
      </c>
      <c r="L8570" t="s">
        <v>26806</v>
      </c>
      <c r="M8570" t="s">
        <v>26807</v>
      </c>
      <c r="N8570" t="s">
        <v>278</v>
      </c>
      <c r="O8570" t="s">
        <v>28</v>
      </c>
      <c r="P8570" t="s">
        <v>292</v>
      </c>
      <c r="Q8570">
        <v>49</v>
      </c>
      <c r="R8570">
        <v>2.35222</v>
      </c>
    </row>
    <row r="8571" spans="1:18" x14ac:dyDescent="0.2">
      <c r="A8571" t="s">
        <v>2233</v>
      </c>
      <c r="B8571" t="s">
        <v>1638</v>
      </c>
      <c r="C8571">
        <v>1</v>
      </c>
      <c r="D8571" s="1">
        <v>44242.798356481479</v>
      </c>
      <c r="E8571" t="s">
        <v>26804</v>
      </c>
      <c r="F8571" t="s">
        <v>7023</v>
      </c>
      <c r="G8571" t="s">
        <v>26805</v>
      </c>
      <c r="H8571" t="s">
        <v>2237</v>
      </c>
      <c r="I8571" t="s">
        <v>29</v>
      </c>
      <c r="J8571">
        <v>1</v>
      </c>
      <c r="K8571">
        <f>1-888-312-1427</f>
        <v>-2626</v>
      </c>
      <c r="L8571" t="s">
        <v>26808</v>
      </c>
      <c r="M8571" t="s">
        <v>26809</v>
      </c>
      <c r="N8571" t="s">
        <v>278</v>
      </c>
      <c r="O8571" t="s">
        <v>28</v>
      </c>
      <c r="P8571" t="s">
        <v>292</v>
      </c>
      <c r="Q8571">
        <v>49</v>
      </c>
      <c r="R8571">
        <v>2.35222</v>
      </c>
    </row>
    <row r="8572" spans="1:18" x14ac:dyDescent="0.2">
      <c r="A8572" t="s">
        <v>270</v>
      </c>
      <c r="B8572" t="s">
        <v>16955</v>
      </c>
      <c r="C8572">
        <v>1</v>
      </c>
      <c r="D8572" s="1">
        <v>44260.759930555556</v>
      </c>
      <c r="E8572" t="s">
        <v>26810</v>
      </c>
      <c r="F8572" t="s">
        <v>273</v>
      </c>
      <c r="G8572" t="s">
        <v>26811</v>
      </c>
      <c r="H8572" t="s">
        <v>275</v>
      </c>
      <c r="I8572" t="s">
        <v>29</v>
      </c>
      <c r="J8572">
        <v>1</v>
      </c>
      <c r="K8572">
        <f>1-844-299-6010</f>
        <v>-7152</v>
      </c>
      <c r="L8572" t="s">
        <v>26812</v>
      </c>
      <c r="M8572" t="s">
        <v>26813</v>
      </c>
      <c r="N8572" t="s">
        <v>278</v>
      </c>
      <c r="O8572" t="s">
        <v>28</v>
      </c>
      <c r="P8572" t="s">
        <v>16960</v>
      </c>
      <c r="Q8572">
        <v>38</v>
      </c>
      <c r="R8572">
        <v>99.999999000000003</v>
      </c>
    </row>
    <row r="8573" spans="1:18" x14ac:dyDescent="0.2">
      <c r="A8573" t="s">
        <v>270</v>
      </c>
      <c r="B8573" t="s">
        <v>16955</v>
      </c>
      <c r="C8573">
        <v>1</v>
      </c>
      <c r="D8573" s="1">
        <v>44243.626932870371</v>
      </c>
      <c r="E8573" t="s">
        <v>26814</v>
      </c>
      <c r="F8573" t="s">
        <v>273</v>
      </c>
      <c r="G8573" t="s">
        <v>26811</v>
      </c>
      <c r="H8573" t="s">
        <v>275</v>
      </c>
      <c r="I8573" t="s">
        <v>29</v>
      </c>
      <c r="J8573">
        <v>1</v>
      </c>
      <c r="K8573">
        <f>1-888-603-7677</f>
        <v>-9167</v>
      </c>
      <c r="L8573" t="s">
        <v>26815</v>
      </c>
      <c r="M8573" t="s">
        <v>26816</v>
      </c>
      <c r="N8573" t="s">
        <v>278</v>
      </c>
      <c r="O8573" t="s">
        <v>28</v>
      </c>
      <c r="P8573" t="s">
        <v>16960</v>
      </c>
      <c r="Q8573">
        <v>38</v>
      </c>
      <c r="R8573">
        <v>99.999999000000003</v>
      </c>
    </row>
    <row r="8574" spans="1:18" x14ac:dyDescent="0.2">
      <c r="A8574" t="s">
        <v>270</v>
      </c>
      <c r="B8574" t="s">
        <v>16955</v>
      </c>
      <c r="C8574">
        <v>1</v>
      </c>
      <c r="D8574" s="1">
        <v>44242.824861111112</v>
      </c>
      <c r="E8574" t="s">
        <v>26817</v>
      </c>
      <c r="F8574" t="s">
        <v>273</v>
      </c>
      <c r="G8574" t="s">
        <v>26811</v>
      </c>
      <c r="H8574" t="s">
        <v>275</v>
      </c>
      <c r="I8574" t="s">
        <v>29</v>
      </c>
      <c r="J8574">
        <v>1</v>
      </c>
      <c r="K8574">
        <f>1-888-603-7677</f>
        <v>-9167</v>
      </c>
      <c r="L8574" t="s">
        <v>26818</v>
      </c>
      <c r="M8574" t="s">
        <v>26819</v>
      </c>
      <c r="N8574" t="s">
        <v>278</v>
      </c>
      <c r="O8574" t="s">
        <v>28</v>
      </c>
      <c r="P8574" t="s">
        <v>16960</v>
      </c>
      <c r="Q8574">
        <v>38</v>
      </c>
      <c r="R8574">
        <v>99.999999000000003</v>
      </c>
    </row>
    <row r="8575" spans="1:18" x14ac:dyDescent="0.2">
      <c r="A8575" t="s">
        <v>663</v>
      </c>
      <c r="B8575" t="s">
        <v>3245</v>
      </c>
      <c r="C8575">
        <v>1</v>
      </c>
      <c r="D8575" s="1">
        <v>44242.854375000003</v>
      </c>
      <c r="E8575" t="s">
        <v>26820</v>
      </c>
      <c r="F8575" t="s">
        <v>666</v>
      </c>
      <c r="G8575" t="s">
        <v>26821</v>
      </c>
      <c r="H8575" t="s">
        <v>667</v>
      </c>
      <c r="I8575" t="s">
        <v>29</v>
      </c>
      <c r="J8575">
        <v>1</v>
      </c>
      <c r="K8575">
        <f>1-844-307-7396</f>
        <v>-8546</v>
      </c>
      <c r="L8575" t="s">
        <v>26822</v>
      </c>
      <c r="M8575" t="s">
        <v>26823</v>
      </c>
      <c r="N8575" t="s">
        <v>25263</v>
      </c>
      <c r="O8575" t="s">
        <v>28</v>
      </c>
      <c r="P8575" t="s">
        <v>29</v>
      </c>
      <c r="Q8575">
        <v>41</v>
      </c>
      <c r="R8575">
        <v>-74.140299999999996</v>
      </c>
    </row>
    <row r="8576" spans="1:18" x14ac:dyDescent="0.2">
      <c r="A8576" t="s">
        <v>663</v>
      </c>
      <c r="B8576" t="s">
        <v>2500</v>
      </c>
      <c r="C8576">
        <v>1</v>
      </c>
      <c r="D8576" s="1">
        <v>44242.893275462964</v>
      </c>
      <c r="E8576" t="s">
        <v>26824</v>
      </c>
      <c r="F8576" t="s">
        <v>666</v>
      </c>
      <c r="G8576" t="s">
        <v>26824</v>
      </c>
      <c r="H8576" t="s">
        <v>667</v>
      </c>
      <c r="I8576" t="s">
        <v>29</v>
      </c>
      <c r="J8576">
        <v>1</v>
      </c>
      <c r="K8576">
        <f>1-888-236-813</f>
        <v>-1936</v>
      </c>
      <c r="L8576" t="s">
        <v>26825</v>
      </c>
      <c r="M8576" t="s">
        <v>26826</v>
      </c>
      <c r="N8576">
        <v>150</v>
      </c>
      <c r="O8576" t="s">
        <v>134</v>
      </c>
      <c r="P8576" t="s">
        <v>2500</v>
      </c>
      <c r="Q8576">
        <v>1</v>
      </c>
      <c r="R8576">
        <v>99.999999000000003</v>
      </c>
    </row>
    <row r="8577" spans="1:18" x14ac:dyDescent="0.2">
      <c r="A8577" t="s">
        <v>663</v>
      </c>
      <c r="B8577" t="s">
        <v>2500</v>
      </c>
      <c r="C8577">
        <v>1</v>
      </c>
      <c r="D8577" s="1">
        <v>44242.941435185188</v>
      </c>
      <c r="E8577" t="s">
        <v>26827</v>
      </c>
      <c r="F8577" t="s">
        <v>666</v>
      </c>
      <c r="G8577" t="s">
        <v>26827</v>
      </c>
      <c r="H8577" t="s">
        <v>667</v>
      </c>
      <c r="I8577" t="s">
        <v>29</v>
      </c>
      <c r="J8577">
        <v>1</v>
      </c>
      <c r="K8577">
        <f>1-844-390-5908</f>
        <v>-7141</v>
      </c>
      <c r="L8577" t="s">
        <v>26828</v>
      </c>
      <c r="M8577" t="s">
        <v>26829</v>
      </c>
      <c r="N8577">
        <v>166</v>
      </c>
      <c r="O8577" t="s">
        <v>134</v>
      </c>
      <c r="P8577" t="s">
        <v>2500</v>
      </c>
      <c r="Q8577">
        <v>1</v>
      </c>
      <c r="R8577">
        <v>99.999999000000003</v>
      </c>
    </row>
    <row r="8578" spans="1:18" x14ac:dyDescent="0.2">
      <c r="A8578" t="s">
        <v>663</v>
      </c>
      <c r="B8578" t="s">
        <v>3245</v>
      </c>
      <c r="C8578">
        <v>1</v>
      </c>
      <c r="D8578" s="1">
        <v>44242.945891203701</v>
      </c>
      <c r="E8578" t="s">
        <v>26830</v>
      </c>
      <c r="F8578" t="s">
        <v>666</v>
      </c>
      <c r="G8578" t="s">
        <v>26831</v>
      </c>
      <c r="H8578" t="s">
        <v>667</v>
      </c>
      <c r="I8578" t="s">
        <v>29</v>
      </c>
      <c r="J8578">
        <v>1</v>
      </c>
      <c r="K8578">
        <f>1-844-304-4853</f>
        <v>-6000</v>
      </c>
      <c r="L8578" t="s">
        <v>26832</v>
      </c>
      <c r="M8578" t="s">
        <v>26833</v>
      </c>
      <c r="N8578" t="s">
        <v>213</v>
      </c>
      <c r="O8578" t="s">
        <v>28</v>
      </c>
      <c r="P8578" t="s">
        <v>29</v>
      </c>
      <c r="Q8578">
        <v>41</v>
      </c>
      <c r="R8578">
        <v>-74.140299999999996</v>
      </c>
    </row>
    <row r="8579" spans="1:18" x14ac:dyDescent="0.2">
      <c r="A8579" t="s">
        <v>663</v>
      </c>
      <c r="B8579" t="s">
        <v>2500</v>
      </c>
      <c r="C8579">
        <v>1</v>
      </c>
      <c r="D8579" s="1">
        <v>44242.946203703701</v>
      </c>
      <c r="E8579" t="s">
        <v>26834</v>
      </c>
      <c r="F8579" t="s">
        <v>666</v>
      </c>
      <c r="G8579" t="s">
        <v>26834</v>
      </c>
      <c r="H8579" t="s">
        <v>667</v>
      </c>
      <c r="I8579" t="s">
        <v>29</v>
      </c>
      <c r="J8579">
        <v>1</v>
      </c>
      <c r="K8579">
        <f>1-844-276-4008</f>
        <v>-5127</v>
      </c>
      <c r="L8579" t="s">
        <v>26835</v>
      </c>
      <c r="M8579" t="s">
        <v>26836</v>
      </c>
      <c r="N8579">
        <v>73</v>
      </c>
      <c r="O8579" t="s">
        <v>134</v>
      </c>
      <c r="P8579" t="s">
        <v>2500</v>
      </c>
      <c r="Q8579">
        <v>1</v>
      </c>
      <c r="R8579">
        <v>99.999999000000003</v>
      </c>
    </row>
    <row r="8580" spans="1:18" x14ac:dyDescent="0.2">
      <c r="A8580" t="s">
        <v>2233</v>
      </c>
      <c r="B8580" t="s">
        <v>440</v>
      </c>
      <c r="C8580">
        <v>1</v>
      </c>
      <c r="D8580" s="1">
        <v>44243.043287037035</v>
      </c>
      <c r="E8580" t="s">
        <v>26837</v>
      </c>
      <c r="F8580" t="s">
        <v>2236</v>
      </c>
      <c r="G8580" t="s">
        <v>26838</v>
      </c>
      <c r="H8580" t="s">
        <v>2237</v>
      </c>
      <c r="I8580" t="s">
        <v>29</v>
      </c>
      <c r="J8580">
        <v>1</v>
      </c>
      <c r="K8580">
        <f>1-855-978-6199</f>
        <v>-8031</v>
      </c>
      <c r="L8580" t="s">
        <v>26839</v>
      </c>
      <c r="M8580" t="s">
        <v>26840</v>
      </c>
      <c r="N8580" t="s">
        <v>5354</v>
      </c>
      <c r="O8580" t="s">
        <v>28</v>
      </c>
      <c r="P8580" t="s">
        <v>29</v>
      </c>
      <c r="Q8580">
        <v>39</v>
      </c>
      <c r="R8580">
        <v>-77.487399999999994</v>
      </c>
    </row>
    <row r="8581" spans="1:18" x14ac:dyDescent="0.2">
      <c r="A8581" t="s">
        <v>663</v>
      </c>
      <c r="B8581" t="s">
        <v>2493</v>
      </c>
      <c r="C8581">
        <v>81</v>
      </c>
      <c r="D8581" s="1">
        <v>44243.106064814812</v>
      </c>
      <c r="E8581" t="s">
        <v>26841</v>
      </c>
      <c r="F8581" t="s">
        <v>666</v>
      </c>
      <c r="G8581" t="s">
        <v>26842</v>
      </c>
      <c r="H8581" t="s">
        <v>667</v>
      </c>
      <c r="I8581" t="s">
        <v>53</v>
      </c>
      <c r="J8581">
        <v>81</v>
      </c>
      <c r="K8581">
        <f>81-50-5534-2027</f>
        <v>-7530</v>
      </c>
      <c r="L8581" t="s">
        <v>26843</v>
      </c>
      <c r="M8581" t="s">
        <v>26844</v>
      </c>
      <c r="N8581" t="s">
        <v>2475</v>
      </c>
      <c r="O8581" t="s">
        <v>28</v>
      </c>
      <c r="P8581" t="s">
        <v>29</v>
      </c>
      <c r="Q8581">
        <v>41</v>
      </c>
      <c r="R8581">
        <v>-74.024699999999996</v>
      </c>
    </row>
    <row r="8582" spans="1:18" x14ac:dyDescent="0.2">
      <c r="A8582" t="s">
        <v>439</v>
      </c>
      <c r="B8582" t="s">
        <v>4321</v>
      </c>
      <c r="C8582">
        <v>81</v>
      </c>
      <c r="D8582" s="1">
        <v>44243.128634259258</v>
      </c>
      <c r="E8582" t="s">
        <v>26845</v>
      </c>
      <c r="F8582" t="s">
        <v>442</v>
      </c>
      <c r="G8582" t="s">
        <v>26846</v>
      </c>
      <c r="H8582" t="s">
        <v>444</v>
      </c>
      <c r="I8582" t="s">
        <v>53</v>
      </c>
      <c r="J8582">
        <v>81</v>
      </c>
      <c r="K8582">
        <f>81-50-5534-2411</f>
        <v>-7914</v>
      </c>
      <c r="L8582" t="s">
        <v>26847</v>
      </c>
      <c r="M8582" t="s">
        <v>26848</v>
      </c>
      <c r="N8582" t="s">
        <v>213</v>
      </c>
      <c r="O8582" t="s">
        <v>28</v>
      </c>
      <c r="P8582" t="s">
        <v>29</v>
      </c>
      <c r="Q8582">
        <v>42</v>
      </c>
      <c r="R8582">
        <v>-87.629800000000003</v>
      </c>
    </row>
    <row r="8583" spans="1:18" x14ac:dyDescent="0.2">
      <c r="A8583" t="s">
        <v>1650</v>
      </c>
      <c r="B8583" t="s">
        <v>1651</v>
      </c>
      <c r="C8583">
        <v>1</v>
      </c>
      <c r="D8583" s="1">
        <v>44263.792858796296</v>
      </c>
      <c r="E8583" t="s">
        <v>26849</v>
      </c>
      <c r="F8583" t="s">
        <v>1653</v>
      </c>
      <c r="G8583" t="s">
        <v>26850</v>
      </c>
      <c r="H8583" t="s">
        <v>1655</v>
      </c>
      <c r="I8583" t="s">
        <v>29</v>
      </c>
      <c r="J8583">
        <v>1</v>
      </c>
      <c r="K8583">
        <f>1-888-585-6949</f>
        <v>-8421</v>
      </c>
      <c r="L8583" t="s">
        <v>26851</v>
      </c>
      <c r="M8583" t="s">
        <v>26852</v>
      </c>
      <c r="N8583" t="s">
        <v>452</v>
      </c>
      <c r="O8583" t="s">
        <v>28</v>
      </c>
      <c r="P8583" t="s">
        <v>29</v>
      </c>
      <c r="Q8583">
        <v>47</v>
      </c>
      <c r="R8583">
        <v>-99.999999000000003</v>
      </c>
    </row>
    <row r="8584" spans="1:18" x14ac:dyDescent="0.2">
      <c r="A8584" t="s">
        <v>1650</v>
      </c>
      <c r="B8584" t="s">
        <v>1651</v>
      </c>
      <c r="C8584">
        <v>1</v>
      </c>
      <c r="D8584" s="1">
        <v>44244.101967592593</v>
      </c>
      <c r="E8584" t="s">
        <v>26853</v>
      </c>
      <c r="F8584" t="s">
        <v>1653</v>
      </c>
      <c r="G8584" t="s">
        <v>26850</v>
      </c>
      <c r="H8584" t="s">
        <v>1655</v>
      </c>
      <c r="I8584" t="s">
        <v>29</v>
      </c>
      <c r="J8584">
        <v>1</v>
      </c>
      <c r="K8584">
        <f>1-844-308-5135</f>
        <v>-6286</v>
      </c>
      <c r="L8584" t="s">
        <v>26854</v>
      </c>
      <c r="M8584" t="s">
        <v>26855</v>
      </c>
      <c r="N8584" t="s">
        <v>452</v>
      </c>
      <c r="O8584" t="s">
        <v>28</v>
      </c>
      <c r="P8584" t="s">
        <v>29</v>
      </c>
      <c r="Q8584">
        <v>47</v>
      </c>
      <c r="R8584">
        <v>-99.999999000000003</v>
      </c>
    </row>
    <row r="8585" spans="1:18" x14ac:dyDescent="0.2">
      <c r="A8585" t="s">
        <v>1650</v>
      </c>
      <c r="B8585" t="s">
        <v>1651</v>
      </c>
      <c r="C8585">
        <v>1</v>
      </c>
      <c r="D8585" s="1">
        <v>44243.200682870367</v>
      </c>
      <c r="E8585" t="s">
        <v>26856</v>
      </c>
      <c r="F8585" t="s">
        <v>1653</v>
      </c>
      <c r="G8585" t="s">
        <v>26850</v>
      </c>
      <c r="H8585" t="s">
        <v>1655</v>
      </c>
      <c r="I8585" t="s">
        <v>29</v>
      </c>
      <c r="J8585">
        <v>1</v>
      </c>
      <c r="K8585">
        <f>1-844-304-1601</f>
        <v>-2748</v>
      </c>
      <c r="L8585" t="s">
        <v>26857</v>
      </c>
      <c r="M8585" t="s">
        <v>26858</v>
      </c>
      <c r="N8585" t="s">
        <v>452</v>
      </c>
      <c r="O8585" t="s">
        <v>28</v>
      </c>
      <c r="P8585" t="s">
        <v>29</v>
      </c>
      <c r="Q8585">
        <v>47</v>
      </c>
      <c r="R8585">
        <v>-99.999999000000003</v>
      </c>
    </row>
    <row r="8586" spans="1:18" x14ac:dyDescent="0.2">
      <c r="A8586" t="s">
        <v>2233</v>
      </c>
      <c r="B8586" t="s">
        <v>1638</v>
      </c>
      <c r="C8586">
        <v>1</v>
      </c>
      <c r="D8586" s="1">
        <v>44243.925682870373</v>
      </c>
      <c r="E8586" t="s">
        <v>26859</v>
      </c>
      <c r="F8586" t="s">
        <v>2236</v>
      </c>
      <c r="G8586" t="s">
        <v>26860</v>
      </c>
      <c r="H8586" t="s">
        <v>2237</v>
      </c>
      <c r="I8586" t="s">
        <v>29</v>
      </c>
      <c r="J8586">
        <v>1</v>
      </c>
      <c r="K8586">
        <f>1-888-372-6614</f>
        <v>-7873</v>
      </c>
      <c r="L8586" t="s">
        <v>26861</v>
      </c>
      <c r="M8586" t="s">
        <v>26862</v>
      </c>
      <c r="N8586" t="s">
        <v>278</v>
      </c>
      <c r="O8586" t="s">
        <v>28</v>
      </c>
      <c r="P8586" t="s">
        <v>292</v>
      </c>
      <c r="Q8586">
        <v>49</v>
      </c>
      <c r="R8586">
        <v>2.35222</v>
      </c>
    </row>
    <row r="8587" spans="1:18" x14ac:dyDescent="0.2">
      <c r="A8587" t="s">
        <v>439</v>
      </c>
      <c r="B8587" t="s">
        <v>4321</v>
      </c>
      <c r="C8587">
        <v>81</v>
      </c>
      <c r="D8587" s="1">
        <v>44243.689872685187</v>
      </c>
      <c r="E8587" t="s">
        <v>26863</v>
      </c>
      <c r="F8587" t="s">
        <v>442</v>
      </c>
      <c r="G8587" t="s">
        <v>26864</v>
      </c>
      <c r="H8587" t="s">
        <v>444</v>
      </c>
      <c r="I8587" t="s">
        <v>53</v>
      </c>
      <c r="J8587">
        <v>81</v>
      </c>
      <c r="K8587">
        <f>81-50-3185-4845</f>
        <v>-7999</v>
      </c>
      <c r="L8587" t="s">
        <v>26865</v>
      </c>
      <c r="M8587" t="s">
        <v>26866</v>
      </c>
      <c r="N8587" t="s">
        <v>213</v>
      </c>
      <c r="O8587" t="s">
        <v>28</v>
      </c>
      <c r="P8587" t="s">
        <v>29</v>
      </c>
      <c r="Q8587">
        <v>42</v>
      </c>
      <c r="R8587">
        <v>-87.629800000000003</v>
      </c>
    </row>
    <row r="8588" spans="1:18" x14ac:dyDescent="0.2">
      <c r="A8588" t="s">
        <v>675</v>
      </c>
      <c r="B8588" t="s">
        <v>1412</v>
      </c>
      <c r="C8588">
        <v>44</v>
      </c>
      <c r="D8588" s="1">
        <v>44244.55369212963</v>
      </c>
      <c r="E8588" t="s">
        <v>26867</v>
      </c>
      <c r="F8588" t="s">
        <v>678</v>
      </c>
      <c r="G8588" t="s">
        <v>26868</v>
      </c>
      <c r="H8588" t="s">
        <v>680</v>
      </c>
      <c r="I8588" t="s">
        <v>618</v>
      </c>
      <c r="J8588">
        <v>44</v>
      </c>
      <c r="K8588">
        <f>44-80-28-810</f>
        <v>-874</v>
      </c>
      <c r="L8588" t="s">
        <v>26869</v>
      </c>
      <c r="M8588" t="s">
        <v>26870</v>
      </c>
      <c r="N8588" t="s">
        <v>2475</v>
      </c>
      <c r="O8588" t="s">
        <v>28</v>
      </c>
      <c r="P8588" t="s">
        <v>29</v>
      </c>
      <c r="Q8588">
        <v>41</v>
      </c>
      <c r="R8588">
        <v>-74.172399999999996</v>
      </c>
    </row>
    <row r="8589" spans="1:18" x14ac:dyDescent="0.2">
      <c r="A8589" t="s">
        <v>10660</v>
      </c>
      <c r="B8589" t="s">
        <v>4281</v>
      </c>
      <c r="C8589">
        <v>1</v>
      </c>
      <c r="D8589" s="1">
        <v>44249.765752314815</v>
      </c>
      <c r="E8589" t="s">
        <v>26871</v>
      </c>
      <c r="F8589" t="s">
        <v>10662</v>
      </c>
      <c r="G8589" t="s">
        <v>26872</v>
      </c>
      <c r="H8589" t="s">
        <v>10664</v>
      </c>
      <c r="I8589" t="s">
        <v>29</v>
      </c>
      <c r="J8589">
        <v>1</v>
      </c>
      <c r="K8589">
        <f>1-888-334-5146</f>
        <v>-6367</v>
      </c>
      <c r="L8589" t="s">
        <v>26873</v>
      </c>
      <c r="M8589" t="s">
        <v>26874</v>
      </c>
      <c r="N8589" t="s">
        <v>5468</v>
      </c>
      <c r="O8589" t="s">
        <v>28</v>
      </c>
      <c r="P8589" t="s">
        <v>24</v>
      </c>
      <c r="Q8589">
        <v>50</v>
      </c>
      <c r="R8589">
        <v>8.6843000000000004</v>
      </c>
    </row>
    <row r="8590" spans="1:18" x14ac:dyDescent="0.2">
      <c r="A8590" t="s">
        <v>10660</v>
      </c>
      <c r="B8590" t="s">
        <v>4281</v>
      </c>
      <c r="C8590">
        <v>1</v>
      </c>
      <c r="D8590" s="1">
        <v>44249.731631944444</v>
      </c>
      <c r="E8590" t="s">
        <v>26875</v>
      </c>
      <c r="F8590" t="s">
        <v>10662</v>
      </c>
      <c r="G8590" t="s">
        <v>26872</v>
      </c>
      <c r="H8590" t="s">
        <v>10664</v>
      </c>
      <c r="I8590" t="s">
        <v>29</v>
      </c>
      <c r="J8590">
        <v>1</v>
      </c>
      <c r="K8590">
        <f>1-888-523-3558</f>
        <v>-4968</v>
      </c>
      <c r="L8590" t="s">
        <v>26876</v>
      </c>
      <c r="M8590" t="s">
        <v>26877</v>
      </c>
      <c r="N8590" t="s">
        <v>5468</v>
      </c>
      <c r="O8590" t="s">
        <v>28</v>
      </c>
      <c r="P8590" t="s">
        <v>24</v>
      </c>
      <c r="Q8590">
        <v>50</v>
      </c>
      <c r="R8590">
        <v>8.6843000000000004</v>
      </c>
    </row>
    <row r="8591" spans="1:18" x14ac:dyDescent="0.2">
      <c r="A8591" t="s">
        <v>10660</v>
      </c>
      <c r="B8591" t="s">
        <v>4281</v>
      </c>
      <c r="C8591">
        <v>1</v>
      </c>
      <c r="D8591" s="1">
        <v>44248.99796296296</v>
      </c>
      <c r="E8591" t="s">
        <v>26878</v>
      </c>
      <c r="F8591" t="s">
        <v>10662</v>
      </c>
      <c r="G8591" t="s">
        <v>26872</v>
      </c>
      <c r="H8591" t="s">
        <v>10664</v>
      </c>
      <c r="I8591" t="s">
        <v>29</v>
      </c>
      <c r="J8591">
        <v>1</v>
      </c>
      <c r="K8591">
        <f>1-888-637-9837</f>
        <v>-11361</v>
      </c>
      <c r="L8591" t="s">
        <v>26879</v>
      </c>
      <c r="M8591" t="s">
        <v>26880</v>
      </c>
      <c r="N8591" t="s">
        <v>5468</v>
      </c>
      <c r="O8591" t="s">
        <v>28</v>
      </c>
      <c r="P8591" t="s">
        <v>24</v>
      </c>
      <c r="Q8591">
        <v>50</v>
      </c>
      <c r="R8591">
        <v>8.6843000000000004</v>
      </c>
    </row>
    <row r="8592" spans="1:18" x14ac:dyDescent="0.2">
      <c r="A8592" t="s">
        <v>10660</v>
      </c>
      <c r="B8592" t="s">
        <v>4281</v>
      </c>
      <c r="C8592">
        <v>1</v>
      </c>
      <c r="D8592" s="1">
        <v>44244.728055555555</v>
      </c>
      <c r="E8592" t="s">
        <v>26881</v>
      </c>
      <c r="F8592" t="s">
        <v>10662</v>
      </c>
      <c r="G8592" t="s">
        <v>26872</v>
      </c>
      <c r="H8592" t="s">
        <v>10664</v>
      </c>
      <c r="I8592" t="s">
        <v>29</v>
      </c>
      <c r="J8592">
        <v>1</v>
      </c>
      <c r="K8592">
        <f>1-888-441-3274</f>
        <v>-4602</v>
      </c>
      <c r="L8592" t="s">
        <v>26882</v>
      </c>
      <c r="M8592" t="s">
        <v>26883</v>
      </c>
      <c r="N8592" t="s">
        <v>5468</v>
      </c>
      <c r="O8592" t="s">
        <v>28</v>
      </c>
      <c r="P8592" t="s">
        <v>24</v>
      </c>
      <c r="Q8592">
        <v>50</v>
      </c>
      <c r="R8592">
        <v>8.6843000000000004</v>
      </c>
    </row>
    <row r="8593" spans="1:18" x14ac:dyDescent="0.2">
      <c r="A8593" t="s">
        <v>663</v>
      </c>
      <c r="B8593" t="s">
        <v>2500</v>
      </c>
      <c r="C8593">
        <v>1</v>
      </c>
      <c r="D8593" s="1">
        <v>44244.755370370367</v>
      </c>
      <c r="E8593" t="s">
        <v>26884</v>
      </c>
      <c r="F8593" t="s">
        <v>666</v>
      </c>
      <c r="G8593" t="s">
        <v>26884</v>
      </c>
      <c r="H8593" t="s">
        <v>667</v>
      </c>
      <c r="I8593" t="s">
        <v>29</v>
      </c>
      <c r="J8593">
        <v>1</v>
      </c>
      <c r="K8593">
        <f>1-888-241-5356</f>
        <v>-6484</v>
      </c>
      <c r="L8593" t="s">
        <v>26885</v>
      </c>
      <c r="M8593" t="s">
        <v>26886</v>
      </c>
      <c r="N8593">
        <v>28</v>
      </c>
      <c r="O8593" t="s">
        <v>134</v>
      </c>
      <c r="P8593" t="s">
        <v>2500</v>
      </c>
      <c r="Q8593">
        <v>1</v>
      </c>
      <c r="R8593">
        <v>99.999999000000003</v>
      </c>
    </row>
    <row r="8594" spans="1:18" x14ac:dyDescent="0.2">
      <c r="A8594" t="s">
        <v>663</v>
      </c>
      <c r="B8594" t="s">
        <v>454</v>
      </c>
      <c r="C8594">
        <v>1</v>
      </c>
      <c r="D8594" s="1">
        <v>44243.901331018518</v>
      </c>
      <c r="E8594" t="s">
        <v>26887</v>
      </c>
      <c r="F8594" t="s">
        <v>2495</v>
      </c>
      <c r="G8594" t="s">
        <v>26887</v>
      </c>
      <c r="H8594" t="s">
        <v>667</v>
      </c>
      <c r="I8594" t="s">
        <v>29</v>
      </c>
      <c r="J8594">
        <v>1</v>
      </c>
      <c r="K8594">
        <f>1-888-392-4821</f>
        <v>-6100</v>
      </c>
      <c r="L8594" t="s">
        <v>26888</v>
      </c>
      <c r="M8594" t="s">
        <v>26889</v>
      </c>
      <c r="N8594">
        <v>149</v>
      </c>
      <c r="O8594" t="s">
        <v>134</v>
      </c>
      <c r="P8594" t="s">
        <v>461</v>
      </c>
      <c r="Q8594">
        <v>52</v>
      </c>
      <c r="R8594">
        <v>4.9391999999999996</v>
      </c>
    </row>
    <row r="8595" spans="1:18" x14ac:dyDescent="0.2">
      <c r="A8595" t="s">
        <v>439</v>
      </c>
      <c r="B8595" t="s">
        <v>4321</v>
      </c>
      <c r="C8595">
        <v>1</v>
      </c>
      <c r="D8595" s="1">
        <v>44243.924293981479</v>
      </c>
      <c r="E8595" t="s">
        <v>26890</v>
      </c>
      <c r="F8595" t="s">
        <v>442</v>
      </c>
      <c r="G8595" t="s">
        <v>26891</v>
      </c>
      <c r="H8595" t="s">
        <v>444</v>
      </c>
      <c r="I8595" t="s">
        <v>29</v>
      </c>
      <c r="J8595">
        <v>1</v>
      </c>
      <c r="K8595">
        <f>1-844-303-2441</f>
        <v>-3587</v>
      </c>
      <c r="L8595" t="s">
        <v>26892</v>
      </c>
      <c r="M8595" t="s">
        <v>26893</v>
      </c>
      <c r="N8595" t="s">
        <v>3441</v>
      </c>
      <c r="O8595" t="s">
        <v>28</v>
      </c>
      <c r="P8595" t="s">
        <v>29</v>
      </c>
      <c r="Q8595">
        <v>42</v>
      </c>
      <c r="R8595">
        <v>-87.629800000000003</v>
      </c>
    </row>
    <row r="8596" spans="1:18" x14ac:dyDescent="0.2">
      <c r="A8596" t="s">
        <v>5349</v>
      </c>
      <c r="B8596" t="s">
        <v>440</v>
      </c>
      <c r="C8596">
        <v>1</v>
      </c>
      <c r="D8596" s="1">
        <v>44243.822731481479</v>
      </c>
      <c r="E8596" t="s">
        <v>26894</v>
      </c>
      <c r="F8596" t="s">
        <v>7023</v>
      </c>
      <c r="G8596" t="s">
        <v>26894</v>
      </c>
      <c r="H8596" t="s">
        <v>2237</v>
      </c>
      <c r="I8596" t="s">
        <v>29</v>
      </c>
      <c r="J8596">
        <v>1</v>
      </c>
      <c r="K8596">
        <f>1-888-339-4961</f>
        <v>-6187</v>
      </c>
      <c r="L8596" t="s">
        <v>26895</v>
      </c>
      <c r="M8596" t="s">
        <v>26896</v>
      </c>
      <c r="N8596">
        <v>5</v>
      </c>
      <c r="O8596" t="s">
        <v>134</v>
      </c>
      <c r="P8596" t="s">
        <v>29</v>
      </c>
      <c r="Q8596">
        <v>39</v>
      </c>
      <c r="R8596">
        <v>-77.487399999999994</v>
      </c>
    </row>
    <row r="8597" spans="1:18" x14ac:dyDescent="0.2">
      <c r="A8597" t="s">
        <v>439</v>
      </c>
      <c r="B8597" t="s">
        <v>4321</v>
      </c>
      <c r="C8597">
        <v>1</v>
      </c>
      <c r="D8597" s="1">
        <v>44243.823078703703</v>
      </c>
      <c r="E8597" t="s">
        <v>26897</v>
      </c>
      <c r="F8597" t="s">
        <v>442</v>
      </c>
      <c r="G8597" t="s">
        <v>26898</v>
      </c>
      <c r="H8597" t="s">
        <v>444</v>
      </c>
      <c r="I8597" t="s">
        <v>29</v>
      </c>
      <c r="J8597">
        <v>1</v>
      </c>
      <c r="K8597">
        <f>1-844-303-4211</f>
        <v>-5357</v>
      </c>
      <c r="L8597" t="s">
        <v>26899</v>
      </c>
      <c r="M8597" t="s">
        <v>26900</v>
      </c>
      <c r="N8597" t="s">
        <v>3441</v>
      </c>
      <c r="O8597" t="s">
        <v>28</v>
      </c>
      <c r="P8597" t="s">
        <v>29</v>
      </c>
      <c r="Q8597">
        <v>42</v>
      </c>
      <c r="R8597">
        <v>-87.629800000000003</v>
      </c>
    </row>
    <row r="8598" spans="1:18" x14ac:dyDescent="0.2">
      <c r="A8598" t="s">
        <v>663</v>
      </c>
      <c r="B8598" t="s">
        <v>2263</v>
      </c>
      <c r="C8598">
        <v>1</v>
      </c>
      <c r="D8598" s="1">
        <v>44243.872175925928</v>
      </c>
      <c r="E8598" t="s">
        <v>26901</v>
      </c>
      <c r="F8598" t="s">
        <v>666</v>
      </c>
      <c r="G8598" t="s">
        <v>26901</v>
      </c>
      <c r="H8598" t="s">
        <v>667</v>
      </c>
      <c r="I8598" t="s">
        <v>29</v>
      </c>
      <c r="J8598">
        <v>1</v>
      </c>
      <c r="K8598">
        <f>1-877-257-5169</f>
        <v>-6302</v>
      </c>
      <c r="L8598" t="s">
        <v>26902</v>
      </c>
      <c r="M8598" t="s">
        <v>26903</v>
      </c>
      <c r="N8598">
        <v>147</v>
      </c>
      <c r="O8598" t="s">
        <v>134</v>
      </c>
      <c r="P8598" t="s">
        <v>2268</v>
      </c>
      <c r="Q8598">
        <v>44</v>
      </c>
      <c r="R8598">
        <v>-79.362300000000005</v>
      </c>
    </row>
    <row r="8599" spans="1:18" x14ac:dyDescent="0.2">
      <c r="A8599" t="s">
        <v>10660</v>
      </c>
      <c r="B8599" t="s">
        <v>4281</v>
      </c>
      <c r="C8599">
        <v>1</v>
      </c>
      <c r="D8599" s="1">
        <v>44251.818356481483</v>
      </c>
      <c r="E8599" t="s">
        <v>26904</v>
      </c>
      <c r="F8599" t="s">
        <v>10662</v>
      </c>
      <c r="G8599" t="s">
        <v>26905</v>
      </c>
      <c r="H8599" t="s">
        <v>10664</v>
      </c>
      <c r="I8599" t="s">
        <v>29</v>
      </c>
      <c r="J8599">
        <v>1</v>
      </c>
      <c r="K8599">
        <f>1-888-401-1506</f>
        <v>-2794</v>
      </c>
      <c r="L8599" t="s">
        <v>26906</v>
      </c>
      <c r="M8599" t="s">
        <v>26907</v>
      </c>
      <c r="N8599" t="s">
        <v>5468</v>
      </c>
      <c r="O8599" t="s">
        <v>28</v>
      </c>
      <c r="P8599" t="s">
        <v>24</v>
      </c>
      <c r="Q8599">
        <v>50</v>
      </c>
      <c r="R8599">
        <v>8.6843000000000004</v>
      </c>
    </row>
    <row r="8600" spans="1:18" x14ac:dyDescent="0.2">
      <c r="A8600" t="s">
        <v>10660</v>
      </c>
      <c r="B8600" t="s">
        <v>4281</v>
      </c>
      <c r="C8600">
        <v>1</v>
      </c>
      <c r="D8600" s="1">
        <v>44245.703067129631</v>
      </c>
      <c r="E8600" t="s">
        <v>26908</v>
      </c>
      <c r="F8600" t="s">
        <v>10662</v>
      </c>
      <c r="G8600" t="s">
        <v>26905</v>
      </c>
      <c r="H8600" t="s">
        <v>10664</v>
      </c>
      <c r="I8600" t="s">
        <v>29</v>
      </c>
      <c r="J8600">
        <v>1</v>
      </c>
      <c r="K8600">
        <f>1-888-417-4094</f>
        <v>-5398</v>
      </c>
      <c r="L8600" t="s">
        <v>26909</v>
      </c>
      <c r="M8600" t="s">
        <v>26910</v>
      </c>
      <c r="N8600" t="s">
        <v>5468</v>
      </c>
      <c r="O8600" t="s">
        <v>28</v>
      </c>
      <c r="P8600" t="s">
        <v>24</v>
      </c>
      <c r="Q8600">
        <v>50</v>
      </c>
      <c r="R8600">
        <v>8.6843000000000004</v>
      </c>
    </row>
    <row r="8601" spans="1:18" x14ac:dyDescent="0.2">
      <c r="A8601" t="s">
        <v>10660</v>
      </c>
      <c r="B8601" t="s">
        <v>4281</v>
      </c>
      <c r="C8601">
        <v>1</v>
      </c>
      <c r="D8601" s="1">
        <v>44244.845821759256</v>
      </c>
      <c r="E8601" t="s">
        <v>26911</v>
      </c>
      <c r="F8601" t="s">
        <v>10662</v>
      </c>
      <c r="G8601" t="s">
        <v>26905</v>
      </c>
      <c r="H8601" t="s">
        <v>10664</v>
      </c>
      <c r="I8601" t="s">
        <v>29</v>
      </c>
      <c r="J8601">
        <v>1</v>
      </c>
      <c r="K8601">
        <f>1-888-417-4064</f>
        <v>-5368</v>
      </c>
      <c r="L8601" t="s">
        <v>26912</v>
      </c>
      <c r="M8601" t="s">
        <v>26913</v>
      </c>
      <c r="N8601" t="s">
        <v>5468</v>
      </c>
      <c r="O8601" t="s">
        <v>28</v>
      </c>
      <c r="P8601" t="s">
        <v>24</v>
      </c>
      <c r="Q8601">
        <v>50</v>
      </c>
      <c r="R8601">
        <v>8.6843000000000004</v>
      </c>
    </row>
    <row r="8602" spans="1:18" x14ac:dyDescent="0.2">
      <c r="A8602" t="s">
        <v>663</v>
      </c>
      <c r="B8602" t="s">
        <v>2500</v>
      </c>
      <c r="C8602">
        <v>1</v>
      </c>
      <c r="D8602" s="1">
        <v>44244.849456018521</v>
      </c>
      <c r="E8602" t="s">
        <v>26914</v>
      </c>
      <c r="F8602" t="s">
        <v>666</v>
      </c>
      <c r="G8602" t="s">
        <v>26914</v>
      </c>
      <c r="H8602" t="s">
        <v>667</v>
      </c>
      <c r="I8602" t="s">
        <v>29</v>
      </c>
      <c r="J8602">
        <v>1</v>
      </c>
      <c r="K8602">
        <f>1-833-220-3071</f>
        <v>-4123</v>
      </c>
      <c r="L8602" t="s">
        <v>26915</v>
      </c>
      <c r="M8602" t="s">
        <v>26916</v>
      </c>
      <c r="N8602">
        <v>227</v>
      </c>
      <c r="O8602" t="s">
        <v>134</v>
      </c>
      <c r="P8602" t="s">
        <v>2500</v>
      </c>
      <c r="Q8602">
        <v>1</v>
      </c>
      <c r="R8602">
        <v>99.999999000000003</v>
      </c>
    </row>
    <row r="8603" spans="1:18" x14ac:dyDescent="0.2">
      <c r="A8603" t="s">
        <v>439</v>
      </c>
      <c r="B8603" t="s">
        <v>4321</v>
      </c>
      <c r="C8603">
        <v>81</v>
      </c>
      <c r="D8603" s="1">
        <v>44244.895925925928</v>
      </c>
      <c r="E8603" t="s">
        <v>26917</v>
      </c>
      <c r="F8603" t="s">
        <v>442</v>
      </c>
      <c r="G8603" t="s">
        <v>26918</v>
      </c>
      <c r="H8603" t="s">
        <v>444</v>
      </c>
      <c r="I8603" t="s">
        <v>53</v>
      </c>
      <c r="J8603">
        <v>81</v>
      </c>
      <c r="K8603">
        <f>81-50-3185-4845</f>
        <v>-7999</v>
      </c>
      <c r="L8603" t="s">
        <v>26919</v>
      </c>
      <c r="M8603" t="s">
        <v>26920</v>
      </c>
      <c r="N8603" t="s">
        <v>447</v>
      </c>
      <c r="O8603" t="s">
        <v>28</v>
      </c>
      <c r="P8603" t="s">
        <v>29</v>
      </c>
      <c r="Q8603">
        <v>42</v>
      </c>
      <c r="R8603">
        <v>-87.629800000000003</v>
      </c>
    </row>
    <row r="8604" spans="1:18" x14ac:dyDescent="0.2">
      <c r="A8604" t="s">
        <v>439</v>
      </c>
      <c r="B8604" t="s">
        <v>4321</v>
      </c>
      <c r="C8604">
        <v>1</v>
      </c>
      <c r="D8604" s="1">
        <v>44244.932662037034</v>
      </c>
      <c r="E8604" t="s">
        <v>26921</v>
      </c>
      <c r="F8604" t="s">
        <v>442</v>
      </c>
      <c r="G8604" t="s">
        <v>26922</v>
      </c>
      <c r="H8604" t="s">
        <v>444</v>
      </c>
      <c r="I8604" t="s">
        <v>29</v>
      </c>
      <c r="J8604">
        <v>1</v>
      </c>
      <c r="K8604">
        <f>1-888-285-7931</f>
        <v>-9103</v>
      </c>
      <c r="L8604" t="s">
        <v>26923</v>
      </c>
      <c r="M8604" t="s">
        <v>26924</v>
      </c>
      <c r="N8604" t="s">
        <v>25195</v>
      </c>
      <c r="O8604" t="s">
        <v>28</v>
      </c>
      <c r="P8604" t="s">
        <v>29</v>
      </c>
      <c r="Q8604">
        <v>42</v>
      </c>
      <c r="R8604">
        <v>-87.629800000000003</v>
      </c>
    </row>
    <row r="8605" spans="1:18" x14ac:dyDescent="0.2">
      <c r="A8605" t="s">
        <v>439</v>
      </c>
      <c r="B8605" t="s">
        <v>4321</v>
      </c>
      <c r="C8605">
        <v>1</v>
      </c>
      <c r="D8605" s="1">
        <v>44245.680092592593</v>
      </c>
      <c r="E8605" t="s">
        <v>26925</v>
      </c>
      <c r="F8605" t="s">
        <v>442</v>
      </c>
      <c r="G8605" t="s">
        <v>26926</v>
      </c>
      <c r="H8605" t="s">
        <v>444</v>
      </c>
      <c r="I8605" t="s">
        <v>29</v>
      </c>
      <c r="J8605">
        <v>1</v>
      </c>
      <c r="K8605">
        <f>1-888-285-7931</f>
        <v>-9103</v>
      </c>
      <c r="L8605" s="2" t="s">
        <v>26927</v>
      </c>
      <c r="M8605" t="s">
        <v>26928</v>
      </c>
      <c r="N8605" t="s">
        <v>25195</v>
      </c>
      <c r="O8605" t="s">
        <v>28</v>
      </c>
      <c r="P8605" t="s">
        <v>29</v>
      </c>
      <c r="Q8605">
        <v>42</v>
      </c>
      <c r="R8605">
        <v>-87.629800000000003</v>
      </c>
    </row>
    <row r="8606" spans="1:18" x14ac:dyDescent="0.2">
      <c r="A8606" t="s">
        <v>663</v>
      </c>
      <c r="B8606" t="s">
        <v>2500</v>
      </c>
      <c r="C8606">
        <v>1</v>
      </c>
      <c r="D8606" s="1">
        <v>44245.693009259259</v>
      </c>
      <c r="E8606" t="s">
        <v>26929</v>
      </c>
      <c r="F8606" t="s">
        <v>666</v>
      </c>
      <c r="G8606" t="s">
        <v>26929</v>
      </c>
      <c r="H8606" t="s">
        <v>667</v>
      </c>
      <c r="I8606" t="s">
        <v>29</v>
      </c>
      <c r="J8606">
        <v>1</v>
      </c>
      <c r="K8606">
        <f>1-833-220-3079</f>
        <v>-4131</v>
      </c>
      <c r="L8606" t="s">
        <v>26930</v>
      </c>
      <c r="M8606" t="s">
        <v>26931</v>
      </c>
      <c r="N8606">
        <v>27</v>
      </c>
      <c r="O8606" t="s">
        <v>134</v>
      </c>
      <c r="P8606" t="s">
        <v>2500</v>
      </c>
      <c r="Q8606">
        <v>1</v>
      </c>
      <c r="R8606">
        <v>99.999999000000003</v>
      </c>
    </row>
    <row r="8607" spans="1:18" x14ac:dyDescent="0.2">
      <c r="A8607" t="s">
        <v>2233</v>
      </c>
      <c r="B8607" t="s">
        <v>440</v>
      </c>
      <c r="C8607">
        <v>1</v>
      </c>
      <c r="D8607" s="1">
        <v>44245.711840277778</v>
      </c>
      <c r="E8607" t="s">
        <v>26932</v>
      </c>
      <c r="F8607" t="s">
        <v>2236</v>
      </c>
      <c r="G8607" t="s">
        <v>26933</v>
      </c>
      <c r="H8607" t="s">
        <v>2237</v>
      </c>
      <c r="I8607" t="s">
        <v>29</v>
      </c>
      <c r="J8607">
        <v>1</v>
      </c>
      <c r="K8607">
        <f>1-855-978-6199</f>
        <v>-8031</v>
      </c>
      <c r="L8607" s="2" t="s">
        <v>26934</v>
      </c>
      <c r="M8607" t="s">
        <v>26935</v>
      </c>
      <c r="N8607" t="s">
        <v>5354</v>
      </c>
      <c r="O8607" t="s">
        <v>28</v>
      </c>
      <c r="P8607" t="s">
        <v>29</v>
      </c>
      <c r="Q8607">
        <v>39</v>
      </c>
      <c r="R8607">
        <v>-77.487399999999994</v>
      </c>
    </row>
    <row r="8608" spans="1:18" x14ac:dyDescent="0.2">
      <c r="A8608" t="s">
        <v>439</v>
      </c>
      <c r="B8608" t="s">
        <v>4321</v>
      </c>
      <c r="C8608">
        <v>1</v>
      </c>
      <c r="D8608" s="1">
        <v>44245.733726851853</v>
      </c>
      <c r="E8608" t="s">
        <v>26936</v>
      </c>
      <c r="F8608" t="s">
        <v>442</v>
      </c>
      <c r="G8608" t="s">
        <v>26937</v>
      </c>
      <c r="H8608" t="s">
        <v>444</v>
      </c>
      <c r="I8608" t="s">
        <v>29</v>
      </c>
      <c r="J8608">
        <v>1</v>
      </c>
      <c r="K8608">
        <f>1-502-738-1456</f>
        <v>-2695</v>
      </c>
      <c r="L8608" s="2" t="s">
        <v>26938</v>
      </c>
      <c r="M8608" t="s">
        <v>26939</v>
      </c>
      <c r="N8608" t="s">
        <v>2475</v>
      </c>
      <c r="O8608" t="s">
        <v>28</v>
      </c>
      <c r="P8608" t="s">
        <v>29</v>
      </c>
      <c r="Q8608">
        <v>42</v>
      </c>
      <c r="R8608">
        <v>-87.629800000000003</v>
      </c>
    </row>
    <row r="8609" spans="1:18" x14ac:dyDescent="0.2">
      <c r="A8609" t="s">
        <v>10660</v>
      </c>
      <c r="B8609" t="s">
        <v>4281</v>
      </c>
      <c r="C8609">
        <v>1</v>
      </c>
      <c r="D8609" s="1">
        <v>44252.804375</v>
      </c>
      <c r="E8609" t="s">
        <v>26940</v>
      </c>
      <c r="F8609" t="s">
        <v>10662</v>
      </c>
      <c r="G8609" t="s">
        <v>26941</v>
      </c>
      <c r="H8609" t="s">
        <v>10664</v>
      </c>
      <c r="I8609" t="s">
        <v>29</v>
      </c>
      <c r="J8609">
        <v>1</v>
      </c>
      <c r="K8609">
        <f>1-888-651-9492</f>
        <v>-11030</v>
      </c>
      <c r="L8609" t="s">
        <v>26942</v>
      </c>
      <c r="M8609" t="s">
        <v>26943</v>
      </c>
      <c r="N8609" t="s">
        <v>5468</v>
      </c>
      <c r="O8609" t="s">
        <v>28</v>
      </c>
      <c r="P8609" t="s">
        <v>24</v>
      </c>
      <c r="Q8609">
        <v>50</v>
      </c>
      <c r="R8609">
        <v>8.6843000000000004</v>
      </c>
    </row>
    <row r="8610" spans="1:18" x14ac:dyDescent="0.2">
      <c r="A8610" t="s">
        <v>10660</v>
      </c>
      <c r="B8610" t="s">
        <v>4281</v>
      </c>
      <c r="C8610">
        <v>1</v>
      </c>
      <c r="D8610" s="1">
        <v>44245.740266203706</v>
      </c>
      <c r="E8610" t="s">
        <v>26944</v>
      </c>
      <c r="F8610" t="s">
        <v>10662</v>
      </c>
      <c r="G8610" t="s">
        <v>26941</v>
      </c>
      <c r="H8610" t="s">
        <v>10664</v>
      </c>
      <c r="I8610" t="s">
        <v>29</v>
      </c>
      <c r="J8610">
        <v>1</v>
      </c>
      <c r="K8610">
        <f>1-888-655-2061</f>
        <v>-3603</v>
      </c>
      <c r="L8610" t="s">
        <v>26945</v>
      </c>
      <c r="M8610" t="s">
        <v>26946</v>
      </c>
      <c r="N8610" t="s">
        <v>5468</v>
      </c>
      <c r="O8610" t="s">
        <v>28</v>
      </c>
      <c r="P8610" t="s">
        <v>24</v>
      </c>
      <c r="Q8610">
        <v>50</v>
      </c>
      <c r="R8610">
        <v>8.6843000000000004</v>
      </c>
    </row>
    <row r="8611" spans="1:18" x14ac:dyDescent="0.2">
      <c r="A8611" t="s">
        <v>663</v>
      </c>
      <c r="B8611" t="s">
        <v>2500</v>
      </c>
      <c r="C8611">
        <v>1</v>
      </c>
      <c r="D8611" s="1">
        <v>44245.744062500002</v>
      </c>
      <c r="E8611" t="s">
        <v>26947</v>
      </c>
      <c r="F8611" t="s">
        <v>666</v>
      </c>
      <c r="G8611" t="s">
        <v>26947</v>
      </c>
      <c r="H8611" t="s">
        <v>667</v>
      </c>
      <c r="I8611" t="s">
        <v>29</v>
      </c>
      <c r="J8611">
        <v>1</v>
      </c>
      <c r="K8611">
        <f>1-888-372-8693</f>
        <v>-9952</v>
      </c>
      <c r="L8611" t="s">
        <v>26948</v>
      </c>
      <c r="M8611" t="s">
        <v>26949</v>
      </c>
      <c r="N8611">
        <v>86</v>
      </c>
      <c r="O8611" t="s">
        <v>134</v>
      </c>
      <c r="P8611" t="s">
        <v>2500</v>
      </c>
      <c r="Q8611">
        <v>1</v>
      </c>
      <c r="R8611">
        <v>99.999999000000003</v>
      </c>
    </row>
    <row r="8612" spans="1:18" x14ac:dyDescent="0.2">
      <c r="A8612" t="s">
        <v>270</v>
      </c>
      <c r="B8612" t="s">
        <v>8080</v>
      </c>
      <c r="C8612">
        <v>1</v>
      </c>
      <c r="D8612" s="1">
        <v>44379.762974537036</v>
      </c>
      <c r="E8612" t="s">
        <v>26950</v>
      </c>
      <c r="F8612" t="s">
        <v>273</v>
      </c>
      <c r="G8612" t="s">
        <v>26951</v>
      </c>
      <c r="H8612" t="s">
        <v>275</v>
      </c>
      <c r="I8612" t="s">
        <v>29</v>
      </c>
      <c r="J8612">
        <v>1</v>
      </c>
      <c r="K8612">
        <f>1-888-214-9133</f>
        <v>-10234</v>
      </c>
      <c r="L8612" t="s">
        <v>26952</v>
      </c>
      <c r="M8612" t="s">
        <v>26953</v>
      </c>
      <c r="N8612" t="s">
        <v>278</v>
      </c>
      <c r="O8612" t="s">
        <v>28</v>
      </c>
      <c r="P8612" t="s">
        <v>8085</v>
      </c>
      <c r="Q8612">
        <v>-24</v>
      </c>
      <c r="R8612">
        <v>-46.633000000000003</v>
      </c>
    </row>
    <row r="8613" spans="1:18" x14ac:dyDescent="0.2">
      <c r="A8613" t="s">
        <v>270</v>
      </c>
      <c r="B8613" t="s">
        <v>8080</v>
      </c>
      <c r="C8613">
        <v>1</v>
      </c>
      <c r="D8613" s="1">
        <v>44378.971631944441</v>
      </c>
      <c r="E8613" t="s">
        <v>26954</v>
      </c>
      <c r="F8613" t="s">
        <v>273</v>
      </c>
      <c r="G8613" t="s">
        <v>26951</v>
      </c>
      <c r="H8613" t="s">
        <v>275</v>
      </c>
      <c r="I8613" t="s">
        <v>29</v>
      </c>
      <c r="J8613">
        <v>1</v>
      </c>
      <c r="K8613">
        <f>1-888-385-4735</f>
        <v>-6007</v>
      </c>
      <c r="L8613" t="s">
        <v>26955</v>
      </c>
      <c r="M8613" t="s">
        <v>26956</v>
      </c>
      <c r="N8613" t="s">
        <v>278</v>
      </c>
      <c r="O8613" t="s">
        <v>28</v>
      </c>
      <c r="P8613" t="s">
        <v>8085</v>
      </c>
      <c r="Q8613">
        <v>-24</v>
      </c>
      <c r="R8613">
        <v>-46.633000000000003</v>
      </c>
    </row>
    <row r="8614" spans="1:18" x14ac:dyDescent="0.2">
      <c r="A8614" t="s">
        <v>270</v>
      </c>
      <c r="B8614" t="s">
        <v>8080</v>
      </c>
      <c r="C8614">
        <v>1</v>
      </c>
      <c r="D8614" s="1">
        <v>44378.782222222224</v>
      </c>
      <c r="E8614" t="s">
        <v>26957</v>
      </c>
      <c r="F8614" t="s">
        <v>273</v>
      </c>
      <c r="G8614" t="s">
        <v>26951</v>
      </c>
      <c r="H8614" t="s">
        <v>275</v>
      </c>
      <c r="I8614" t="s">
        <v>29</v>
      </c>
      <c r="J8614">
        <v>1</v>
      </c>
      <c r="K8614">
        <f>1-888-308-5126</f>
        <v>-6321</v>
      </c>
      <c r="L8614" t="s">
        <v>26958</v>
      </c>
      <c r="M8614" t="s">
        <v>26959</v>
      </c>
      <c r="N8614" t="s">
        <v>278</v>
      </c>
      <c r="O8614" t="s">
        <v>28</v>
      </c>
      <c r="P8614" t="s">
        <v>8085</v>
      </c>
      <c r="Q8614">
        <v>-24</v>
      </c>
      <c r="R8614">
        <v>-46.633000000000003</v>
      </c>
    </row>
    <row r="8615" spans="1:18" x14ac:dyDescent="0.2">
      <c r="A8615" t="s">
        <v>270</v>
      </c>
      <c r="B8615" t="s">
        <v>8080</v>
      </c>
      <c r="C8615">
        <v>1</v>
      </c>
      <c r="D8615" s="1">
        <v>44377.875671296293</v>
      </c>
      <c r="E8615" t="s">
        <v>26960</v>
      </c>
      <c r="F8615" t="s">
        <v>273</v>
      </c>
      <c r="G8615" t="s">
        <v>26951</v>
      </c>
      <c r="H8615" t="s">
        <v>275</v>
      </c>
      <c r="I8615" t="s">
        <v>29</v>
      </c>
      <c r="J8615">
        <v>1</v>
      </c>
      <c r="K8615">
        <f>1-888-210-6090</f>
        <v>-7187</v>
      </c>
      <c r="L8615" t="s">
        <v>26961</v>
      </c>
      <c r="M8615" t="s">
        <v>26962</v>
      </c>
      <c r="N8615" t="s">
        <v>278</v>
      </c>
      <c r="O8615" t="s">
        <v>28</v>
      </c>
      <c r="P8615" t="s">
        <v>8085</v>
      </c>
      <c r="Q8615">
        <v>-24</v>
      </c>
      <c r="R8615">
        <v>-46.633000000000003</v>
      </c>
    </row>
    <row r="8616" spans="1:18" x14ac:dyDescent="0.2">
      <c r="A8616" t="s">
        <v>270</v>
      </c>
      <c r="B8616" t="s">
        <v>8080</v>
      </c>
      <c r="C8616">
        <v>1</v>
      </c>
      <c r="D8616" s="1">
        <v>44377.868055555555</v>
      </c>
      <c r="E8616" t="s">
        <v>26963</v>
      </c>
      <c r="F8616" t="s">
        <v>273</v>
      </c>
      <c r="G8616" t="s">
        <v>26951</v>
      </c>
      <c r="H8616" t="s">
        <v>275</v>
      </c>
      <c r="I8616" t="s">
        <v>29</v>
      </c>
      <c r="J8616">
        <v>1</v>
      </c>
      <c r="K8616">
        <f>1-888-210-5571</f>
        <v>-6668</v>
      </c>
      <c r="L8616" t="s">
        <v>26964</v>
      </c>
      <c r="M8616" t="s">
        <v>26965</v>
      </c>
      <c r="N8616" t="s">
        <v>278</v>
      </c>
      <c r="O8616" t="s">
        <v>28</v>
      </c>
      <c r="P8616" t="s">
        <v>8085</v>
      </c>
      <c r="Q8616">
        <v>-24</v>
      </c>
      <c r="R8616">
        <v>-46.633000000000003</v>
      </c>
    </row>
    <row r="8617" spans="1:18" x14ac:dyDescent="0.2">
      <c r="A8617" t="s">
        <v>270</v>
      </c>
      <c r="B8617" t="s">
        <v>8080</v>
      </c>
      <c r="C8617">
        <v>1</v>
      </c>
      <c r="D8617" s="1">
        <v>44377.781759259262</v>
      </c>
      <c r="E8617" t="s">
        <v>26966</v>
      </c>
      <c r="F8617" t="s">
        <v>273</v>
      </c>
      <c r="G8617" t="s">
        <v>26951</v>
      </c>
      <c r="H8617" t="s">
        <v>275</v>
      </c>
      <c r="I8617" t="s">
        <v>29</v>
      </c>
      <c r="J8617">
        <v>1</v>
      </c>
      <c r="K8617">
        <f>1-866-293-6997</f>
        <v>-8155</v>
      </c>
      <c r="L8617" t="s">
        <v>26967</v>
      </c>
      <c r="M8617" t="s">
        <v>26968</v>
      </c>
      <c r="N8617" t="s">
        <v>278</v>
      </c>
      <c r="O8617" t="s">
        <v>28</v>
      </c>
      <c r="P8617" t="s">
        <v>8085</v>
      </c>
      <c r="Q8617">
        <v>-24</v>
      </c>
      <c r="R8617">
        <v>-46.633000000000003</v>
      </c>
    </row>
    <row r="8618" spans="1:18" x14ac:dyDescent="0.2">
      <c r="A8618" t="s">
        <v>270</v>
      </c>
      <c r="B8618" t="s">
        <v>8080</v>
      </c>
      <c r="C8618">
        <v>1</v>
      </c>
      <c r="D8618" s="1">
        <v>44377.772523148145</v>
      </c>
      <c r="E8618" t="s">
        <v>26969</v>
      </c>
      <c r="F8618" t="s">
        <v>273</v>
      </c>
      <c r="G8618" t="s">
        <v>26951</v>
      </c>
      <c r="H8618" t="s">
        <v>275</v>
      </c>
      <c r="I8618" t="s">
        <v>29</v>
      </c>
      <c r="J8618">
        <v>1</v>
      </c>
      <c r="K8618">
        <f>1-866-291-5257</f>
        <v>-6413</v>
      </c>
      <c r="L8618" t="s">
        <v>26970</v>
      </c>
      <c r="M8618" t="s">
        <v>26971</v>
      </c>
      <c r="N8618" t="s">
        <v>278</v>
      </c>
      <c r="O8618" t="s">
        <v>28</v>
      </c>
      <c r="P8618" t="s">
        <v>8085</v>
      </c>
      <c r="Q8618">
        <v>-24</v>
      </c>
      <c r="R8618">
        <v>-46.633000000000003</v>
      </c>
    </row>
    <row r="8619" spans="1:18" x14ac:dyDescent="0.2">
      <c r="A8619" t="s">
        <v>270</v>
      </c>
      <c r="B8619" t="s">
        <v>8080</v>
      </c>
      <c r="C8619">
        <v>1</v>
      </c>
      <c r="D8619" s="1">
        <v>44375.829907407409</v>
      </c>
      <c r="E8619" t="s">
        <v>26972</v>
      </c>
      <c r="F8619" t="s">
        <v>273</v>
      </c>
      <c r="G8619" t="s">
        <v>26951</v>
      </c>
      <c r="H8619" t="s">
        <v>275</v>
      </c>
      <c r="I8619" t="s">
        <v>29</v>
      </c>
      <c r="J8619">
        <v>1</v>
      </c>
      <c r="K8619">
        <f>1-844-313-2837</f>
        <v>-3993</v>
      </c>
      <c r="L8619" t="s">
        <v>26973</v>
      </c>
      <c r="M8619" t="s">
        <v>26974</v>
      </c>
      <c r="N8619" t="s">
        <v>278</v>
      </c>
      <c r="O8619" t="s">
        <v>28</v>
      </c>
      <c r="P8619" t="s">
        <v>8085</v>
      </c>
      <c r="Q8619">
        <v>-24</v>
      </c>
      <c r="R8619">
        <v>-46.633000000000003</v>
      </c>
    </row>
    <row r="8620" spans="1:18" x14ac:dyDescent="0.2">
      <c r="A8620" t="s">
        <v>270</v>
      </c>
      <c r="B8620" t="s">
        <v>8080</v>
      </c>
      <c r="C8620">
        <v>1</v>
      </c>
      <c r="D8620" s="1">
        <v>44375.824317129627</v>
      </c>
      <c r="E8620" t="s">
        <v>26975</v>
      </c>
      <c r="F8620" t="s">
        <v>273</v>
      </c>
      <c r="G8620" t="s">
        <v>26951</v>
      </c>
      <c r="H8620" t="s">
        <v>275</v>
      </c>
      <c r="I8620" t="s">
        <v>29</v>
      </c>
      <c r="J8620">
        <v>1</v>
      </c>
      <c r="K8620">
        <f>1-844-313-2837</f>
        <v>-3993</v>
      </c>
      <c r="L8620" t="s">
        <v>26976</v>
      </c>
      <c r="M8620" t="s">
        <v>26977</v>
      </c>
      <c r="N8620" t="s">
        <v>278</v>
      </c>
      <c r="O8620" t="s">
        <v>28</v>
      </c>
      <c r="P8620" t="s">
        <v>8085</v>
      </c>
      <c r="Q8620">
        <v>-24</v>
      </c>
      <c r="R8620">
        <v>-46.633000000000003</v>
      </c>
    </row>
    <row r="8621" spans="1:18" x14ac:dyDescent="0.2">
      <c r="A8621" t="s">
        <v>270</v>
      </c>
      <c r="B8621" t="s">
        <v>8080</v>
      </c>
      <c r="C8621">
        <v>1</v>
      </c>
      <c r="D8621" s="1">
        <v>44376.811851851853</v>
      </c>
      <c r="E8621" t="s">
        <v>26978</v>
      </c>
      <c r="F8621" t="s">
        <v>273</v>
      </c>
      <c r="G8621" t="s">
        <v>26951</v>
      </c>
      <c r="H8621" t="s">
        <v>275</v>
      </c>
      <c r="I8621" t="s">
        <v>29</v>
      </c>
      <c r="J8621">
        <v>1</v>
      </c>
      <c r="K8621">
        <f>1-844-301-1437</f>
        <v>-2581</v>
      </c>
      <c r="L8621" t="s">
        <v>26979</v>
      </c>
      <c r="M8621" t="s">
        <v>26980</v>
      </c>
      <c r="N8621" t="s">
        <v>278</v>
      </c>
      <c r="O8621" t="s">
        <v>28</v>
      </c>
      <c r="P8621" t="s">
        <v>8085</v>
      </c>
      <c r="Q8621">
        <v>-24</v>
      </c>
      <c r="R8621">
        <v>-46.633000000000003</v>
      </c>
    </row>
    <row r="8622" spans="1:18" x14ac:dyDescent="0.2">
      <c r="A8622" t="s">
        <v>270</v>
      </c>
      <c r="B8622" t="s">
        <v>8080</v>
      </c>
      <c r="C8622">
        <v>1</v>
      </c>
      <c r="D8622" s="1">
        <v>44375.865358796298</v>
      </c>
      <c r="E8622" t="s">
        <v>26981</v>
      </c>
      <c r="F8622" t="s">
        <v>273</v>
      </c>
      <c r="G8622" t="s">
        <v>26951</v>
      </c>
      <c r="H8622" t="s">
        <v>275</v>
      </c>
      <c r="I8622" t="s">
        <v>29</v>
      </c>
      <c r="J8622">
        <v>1</v>
      </c>
      <c r="K8622">
        <f>1-844-359-5494</f>
        <v>-6696</v>
      </c>
      <c r="L8622" t="s">
        <v>26982</v>
      </c>
      <c r="M8622" t="s">
        <v>26983</v>
      </c>
      <c r="N8622" t="s">
        <v>278</v>
      </c>
      <c r="O8622" t="s">
        <v>28</v>
      </c>
      <c r="P8622" t="s">
        <v>8085</v>
      </c>
      <c r="Q8622">
        <v>-24</v>
      </c>
      <c r="R8622">
        <v>-46.633000000000003</v>
      </c>
    </row>
    <row r="8623" spans="1:18" x14ac:dyDescent="0.2">
      <c r="A8623" t="s">
        <v>270</v>
      </c>
      <c r="B8623" t="s">
        <v>8080</v>
      </c>
      <c r="C8623">
        <v>1</v>
      </c>
      <c r="D8623" s="1">
        <v>44372.873912037037</v>
      </c>
      <c r="E8623" t="s">
        <v>26984</v>
      </c>
      <c r="F8623" t="s">
        <v>273</v>
      </c>
      <c r="G8623" t="s">
        <v>26951</v>
      </c>
      <c r="H8623" t="s">
        <v>275</v>
      </c>
      <c r="I8623" t="s">
        <v>29</v>
      </c>
      <c r="J8623">
        <v>1</v>
      </c>
      <c r="K8623">
        <f>1-844-390-3924</f>
        <v>-5157</v>
      </c>
      <c r="L8623" t="s">
        <v>26985</v>
      </c>
      <c r="M8623" t="s">
        <v>26986</v>
      </c>
      <c r="N8623" t="s">
        <v>278</v>
      </c>
      <c r="O8623" t="s">
        <v>28</v>
      </c>
      <c r="P8623" t="s">
        <v>8085</v>
      </c>
      <c r="Q8623">
        <v>-24</v>
      </c>
      <c r="R8623">
        <v>-46.633000000000003</v>
      </c>
    </row>
    <row r="8624" spans="1:18" x14ac:dyDescent="0.2">
      <c r="A8624" t="s">
        <v>270</v>
      </c>
      <c r="B8624" t="s">
        <v>8080</v>
      </c>
      <c r="C8624">
        <v>1</v>
      </c>
      <c r="D8624" s="1">
        <v>44372.749351851853</v>
      </c>
      <c r="E8624" t="s">
        <v>26987</v>
      </c>
      <c r="F8624" t="s">
        <v>273</v>
      </c>
      <c r="G8624" t="s">
        <v>26951</v>
      </c>
      <c r="H8624" t="s">
        <v>275</v>
      </c>
      <c r="I8624" t="s">
        <v>29</v>
      </c>
      <c r="J8624">
        <v>1</v>
      </c>
      <c r="K8624">
        <f>1-844-386-2967</f>
        <v>-4196</v>
      </c>
      <c r="L8624" t="s">
        <v>26988</v>
      </c>
      <c r="M8624" t="s">
        <v>26989</v>
      </c>
      <c r="N8624" t="s">
        <v>278</v>
      </c>
      <c r="O8624" t="s">
        <v>28</v>
      </c>
      <c r="P8624" t="s">
        <v>8085</v>
      </c>
      <c r="Q8624">
        <v>-24</v>
      </c>
      <c r="R8624">
        <v>-46.633000000000003</v>
      </c>
    </row>
    <row r="8625" spans="1:18" x14ac:dyDescent="0.2">
      <c r="A8625" t="s">
        <v>270</v>
      </c>
      <c r="B8625" t="s">
        <v>8080</v>
      </c>
      <c r="C8625">
        <v>1</v>
      </c>
      <c r="D8625" s="1">
        <v>44370.851145833331</v>
      </c>
      <c r="E8625" t="s">
        <v>26990</v>
      </c>
      <c r="F8625" t="s">
        <v>273</v>
      </c>
      <c r="G8625" t="s">
        <v>26951</v>
      </c>
      <c r="H8625" t="s">
        <v>275</v>
      </c>
      <c r="I8625" t="s">
        <v>29</v>
      </c>
      <c r="J8625">
        <v>1</v>
      </c>
      <c r="K8625">
        <f>1-866-297-8519</f>
        <v>-9681</v>
      </c>
      <c r="L8625" t="s">
        <v>26991</v>
      </c>
      <c r="M8625" t="s">
        <v>26992</v>
      </c>
      <c r="N8625" t="s">
        <v>278</v>
      </c>
      <c r="O8625" t="s">
        <v>28</v>
      </c>
      <c r="P8625" t="s">
        <v>8085</v>
      </c>
      <c r="Q8625">
        <v>-24</v>
      </c>
      <c r="R8625">
        <v>-46.633000000000003</v>
      </c>
    </row>
    <row r="8626" spans="1:18" x14ac:dyDescent="0.2">
      <c r="A8626" t="s">
        <v>270</v>
      </c>
      <c r="B8626" t="s">
        <v>8080</v>
      </c>
      <c r="C8626">
        <v>1</v>
      </c>
      <c r="D8626" s="1">
        <v>44369.897893518515</v>
      </c>
      <c r="E8626" t="s">
        <v>26993</v>
      </c>
      <c r="F8626" t="s">
        <v>273</v>
      </c>
      <c r="G8626" t="s">
        <v>26951</v>
      </c>
      <c r="H8626" t="s">
        <v>275</v>
      </c>
      <c r="I8626" t="s">
        <v>29</v>
      </c>
      <c r="J8626">
        <v>1</v>
      </c>
      <c r="K8626">
        <f>1-866-320-6502</f>
        <v>-7687</v>
      </c>
      <c r="L8626" t="s">
        <v>26994</v>
      </c>
      <c r="M8626" t="s">
        <v>26995</v>
      </c>
      <c r="N8626" t="s">
        <v>278</v>
      </c>
      <c r="O8626" t="s">
        <v>28</v>
      </c>
      <c r="P8626" t="s">
        <v>8085</v>
      </c>
      <c r="Q8626">
        <v>-24</v>
      </c>
      <c r="R8626">
        <v>-46.633000000000003</v>
      </c>
    </row>
    <row r="8627" spans="1:18" x14ac:dyDescent="0.2">
      <c r="A8627" t="s">
        <v>270</v>
      </c>
      <c r="B8627" t="s">
        <v>8080</v>
      </c>
      <c r="C8627">
        <v>1</v>
      </c>
      <c r="D8627" s="1">
        <v>44369.788090277776</v>
      </c>
      <c r="E8627" t="s">
        <v>26996</v>
      </c>
      <c r="F8627" t="s">
        <v>273</v>
      </c>
      <c r="G8627" t="s">
        <v>26951</v>
      </c>
      <c r="H8627" t="s">
        <v>275</v>
      </c>
      <c r="I8627" t="s">
        <v>29</v>
      </c>
      <c r="J8627">
        <v>1</v>
      </c>
      <c r="K8627">
        <f>1-866-308-8138</f>
        <v>-9311</v>
      </c>
      <c r="L8627" t="s">
        <v>26997</v>
      </c>
      <c r="M8627" t="s">
        <v>26998</v>
      </c>
      <c r="N8627" t="s">
        <v>278</v>
      </c>
      <c r="O8627" t="s">
        <v>28</v>
      </c>
      <c r="P8627" t="s">
        <v>8085</v>
      </c>
      <c r="Q8627">
        <v>-24</v>
      </c>
      <c r="R8627">
        <v>-46.633000000000003</v>
      </c>
    </row>
    <row r="8628" spans="1:18" x14ac:dyDescent="0.2">
      <c r="A8628" t="s">
        <v>270</v>
      </c>
      <c r="B8628" t="s">
        <v>8080</v>
      </c>
      <c r="C8628">
        <v>1</v>
      </c>
      <c r="D8628" s="1">
        <v>44369.787488425929</v>
      </c>
      <c r="E8628" t="s">
        <v>26999</v>
      </c>
      <c r="F8628" t="s">
        <v>273</v>
      </c>
      <c r="G8628" t="s">
        <v>26951</v>
      </c>
      <c r="H8628" t="s">
        <v>275</v>
      </c>
      <c r="I8628" t="s">
        <v>29</v>
      </c>
      <c r="J8628">
        <v>1</v>
      </c>
      <c r="K8628">
        <f>1-866-308-8138</f>
        <v>-9311</v>
      </c>
      <c r="L8628" t="s">
        <v>27000</v>
      </c>
      <c r="M8628" t="s">
        <v>27001</v>
      </c>
      <c r="N8628" t="s">
        <v>278</v>
      </c>
      <c r="O8628" t="s">
        <v>28</v>
      </c>
      <c r="P8628" t="s">
        <v>8085</v>
      </c>
      <c r="Q8628">
        <v>-24</v>
      </c>
      <c r="R8628">
        <v>-46.633000000000003</v>
      </c>
    </row>
    <row r="8629" spans="1:18" x14ac:dyDescent="0.2">
      <c r="A8629" t="s">
        <v>270</v>
      </c>
      <c r="B8629" t="s">
        <v>8080</v>
      </c>
      <c r="C8629">
        <v>1</v>
      </c>
      <c r="D8629" s="1">
        <v>44369.775520833333</v>
      </c>
      <c r="E8629" t="s">
        <v>27002</v>
      </c>
      <c r="F8629" t="s">
        <v>273</v>
      </c>
      <c r="G8629" t="s">
        <v>26951</v>
      </c>
      <c r="H8629" t="s">
        <v>275</v>
      </c>
      <c r="I8629" t="s">
        <v>29</v>
      </c>
      <c r="J8629">
        <v>1</v>
      </c>
      <c r="K8629">
        <f>1-866-302-8980</f>
        <v>-10147</v>
      </c>
      <c r="L8629" t="s">
        <v>27003</v>
      </c>
      <c r="M8629" t="s">
        <v>27004</v>
      </c>
      <c r="N8629" t="s">
        <v>278</v>
      </c>
      <c r="O8629" t="s">
        <v>28</v>
      </c>
      <c r="P8629" t="s">
        <v>8085</v>
      </c>
      <c r="Q8629">
        <v>-24</v>
      </c>
      <c r="R8629">
        <v>-46.633000000000003</v>
      </c>
    </row>
    <row r="8630" spans="1:18" x14ac:dyDescent="0.2">
      <c r="A8630" t="s">
        <v>270</v>
      </c>
      <c r="B8630" t="s">
        <v>8080</v>
      </c>
      <c r="C8630">
        <v>1</v>
      </c>
      <c r="D8630" s="1">
        <v>44369.772893518515</v>
      </c>
      <c r="E8630" t="s">
        <v>27005</v>
      </c>
      <c r="F8630" t="s">
        <v>273</v>
      </c>
      <c r="G8630" t="s">
        <v>26951</v>
      </c>
      <c r="H8630" t="s">
        <v>275</v>
      </c>
      <c r="I8630" t="s">
        <v>29</v>
      </c>
      <c r="J8630">
        <v>1</v>
      </c>
      <c r="K8630">
        <f>1-866-302-8980</f>
        <v>-10147</v>
      </c>
      <c r="L8630" t="s">
        <v>27006</v>
      </c>
      <c r="M8630" t="s">
        <v>27007</v>
      </c>
      <c r="N8630" t="s">
        <v>278</v>
      </c>
      <c r="O8630" t="s">
        <v>28</v>
      </c>
      <c r="P8630" t="s">
        <v>8085</v>
      </c>
      <c r="Q8630">
        <v>-24</v>
      </c>
      <c r="R8630">
        <v>-46.633000000000003</v>
      </c>
    </row>
    <row r="8631" spans="1:18" x14ac:dyDescent="0.2">
      <c r="A8631" t="s">
        <v>270</v>
      </c>
      <c r="B8631" t="s">
        <v>8080</v>
      </c>
      <c r="C8631">
        <v>1</v>
      </c>
      <c r="D8631" s="1">
        <v>44369.765474537038</v>
      </c>
      <c r="E8631" t="s">
        <v>27008</v>
      </c>
      <c r="F8631" t="s">
        <v>273</v>
      </c>
      <c r="G8631" t="s">
        <v>26951</v>
      </c>
      <c r="H8631" t="s">
        <v>275</v>
      </c>
      <c r="I8631" t="s">
        <v>29</v>
      </c>
      <c r="J8631">
        <v>1</v>
      </c>
      <c r="K8631">
        <f>1-866-302-8980</f>
        <v>-10147</v>
      </c>
      <c r="L8631" t="s">
        <v>27009</v>
      </c>
      <c r="M8631" t="s">
        <v>27010</v>
      </c>
      <c r="N8631" t="s">
        <v>278</v>
      </c>
      <c r="O8631" t="s">
        <v>28</v>
      </c>
      <c r="P8631" t="s">
        <v>8085</v>
      </c>
      <c r="Q8631">
        <v>-24</v>
      </c>
      <c r="R8631">
        <v>-46.633000000000003</v>
      </c>
    </row>
    <row r="8632" spans="1:18" x14ac:dyDescent="0.2">
      <c r="A8632" t="s">
        <v>270</v>
      </c>
      <c r="B8632" t="s">
        <v>8080</v>
      </c>
      <c r="C8632">
        <v>1</v>
      </c>
      <c r="D8632" s="1">
        <v>44368.891157407408</v>
      </c>
      <c r="E8632" t="s">
        <v>27011</v>
      </c>
      <c r="F8632" t="s">
        <v>273</v>
      </c>
      <c r="G8632" t="s">
        <v>26951</v>
      </c>
      <c r="H8632" t="s">
        <v>275</v>
      </c>
      <c r="I8632" t="s">
        <v>29</v>
      </c>
      <c r="J8632">
        <v>1</v>
      </c>
      <c r="K8632">
        <f>1-866-329-2260</f>
        <v>-3454</v>
      </c>
      <c r="L8632" t="s">
        <v>27012</v>
      </c>
      <c r="M8632" t="s">
        <v>27013</v>
      </c>
      <c r="N8632" t="s">
        <v>278</v>
      </c>
      <c r="O8632" t="s">
        <v>28</v>
      </c>
      <c r="P8632" t="s">
        <v>8085</v>
      </c>
      <c r="Q8632">
        <v>-24</v>
      </c>
      <c r="R8632">
        <v>-46.633000000000003</v>
      </c>
    </row>
    <row r="8633" spans="1:18" x14ac:dyDescent="0.2">
      <c r="A8633" t="s">
        <v>270</v>
      </c>
      <c r="B8633" t="s">
        <v>8080</v>
      </c>
      <c r="C8633">
        <v>1</v>
      </c>
      <c r="D8633" s="1">
        <v>44368.871655092589</v>
      </c>
      <c r="E8633" t="s">
        <v>27014</v>
      </c>
      <c r="F8633" t="s">
        <v>273</v>
      </c>
      <c r="G8633" t="s">
        <v>26951</v>
      </c>
      <c r="H8633" t="s">
        <v>275</v>
      </c>
      <c r="I8633" t="s">
        <v>29</v>
      </c>
      <c r="J8633">
        <v>1</v>
      </c>
      <c r="K8633">
        <f>1-866-328-4432</f>
        <v>-5625</v>
      </c>
      <c r="L8633" t="s">
        <v>27015</v>
      </c>
      <c r="M8633" t="s">
        <v>27016</v>
      </c>
      <c r="N8633" t="s">
        <v>278</v>
      </c>
      <c r="O8633" t="s">
        <v>28</v>
      </c>
      <c r="P8633" t="s">
        <v>8085</v>
      </c>
      <c r="Q8633">
        <v>-24</v>
      </c>
      <c r="R8633">
        <v>-46.633000000000003</v>
      </c>
    </row>
    <row r="8634" spans="1:18" x14ac:dyDescent="0.2">
      <c r="A8634" t="s">
        <v>270</v>
      </c>
      <c r="B8634" t="s">
        <v>8080</v>
      </c>
      <c r="C8634">
        <v>1</v>
      </c>
      <c r="D8634" s="1">
        <v>44368.866099537037</v>
      </c>
      <c r="E8634" t="s">
        <v>27017</v>
      </c>
      <c r="F8634" t="s">
        <v>273</v>
      </c>
      <c r="G8634" t="s">
        <v>26951</v>
      </c>
      <c r="H8634" t="s">
        <v>275</v>
      </c>
      <c r="I8634" t="s">
        <v>29</v>
      </c>
      <c r="J8634">
        <v>1</v>
      </c>
      <c r="K8634">
        <f>1-866-324-1581</f>
        <v>-2770</v>
      </c>
      <c r="L8634" t="s">
        <v>27018</v>
      </c>
      <c r="M8634" t="s">
        <v>27019</v>
      </c>
      <c r="N8634" t="s">
        <v>278</v>
      </c>
      <c r="O8634" t="s">
        <v>28</v>
      </c>
      <c r="P8634" t="s">
        <v>8085</v>
      </c>
      <c r="Q8634">
        <v>-24</v>
      </c>
      <c r="R8634">
        <v>-46.633000000000003</v>
      </c>
    </row>
    <row r="8635" spans="1:18" x14ac:dyDescent="0.2">
      <c r="A8635" t="s">
        <v>270</v>
      </c>
      <c r="B8635" t="s">
        <v>8080</v>
      </c>
      <c r="C8635">
        <v>1</v>
      </c>
      <c r="D8635" s="1">
        <v>44368.837071759262</v>
      </c>
      <c r="E8635" t="s">
        <v>27020</v>
      </c>
      <c r="F8635" t="s">
        <v>273</v>
      </c>
      <c r="G8635" t="s">
        <v>26951</v>
      </c>
      <c r="H8635" t="s">
        <v>275</v>
      </c>
      <c r="I8635" t="s">
        <v>29</v>
      </c>
      <c r="J8635">
        <v>1</v>
      </c>
      <c r="K8635">
        <f>1-866-323-8007</f>
        <v>-9195</v>
      </c>
      <c r="L8635" t="s">
        <v>27021</v>
      </c>
      <c r="M8635" t="s">
        <v>27022</v>
      </c>
      <c r="N8635" t="s">
        <v>278</v>
      </c>
      <c r="O8635" t="s">
        <v>28</v>
      </c>
      <c r="P8635" t="s">
        <v>8085</v>
      </c>
      <c r="Q8635">
        <v>-24</v>
      </c>
      <c r="R8635">
        <v>-46.633000000000003</v>
      </c>
    </row>
    <row r="8636" spans="1:18" x14ac:dyDescent="0.2">
      <c r="A8636" t="s">
        <v>270</v>
      </c>
      <c r="B8636" t="s">
        <v>8080</v>
      </c>
      <c r="C8636">
        <v>1</v>
      </c>
      <c r="D8636" s="1">
        <v>44368.836238425924</v>
      </c>
      <c r="E8636" t="s">
        <v>27023</v>
      </c>
      <c r="F8636" t="s">
        <v>273</v>
      </c>
      <c r="G8636" t="s">
        <v>26951</v>
      </c>
      <c r="H8636" t="s">
        <v>275</v>
      </c>
      <c r="I8636" t="s">
        <v>29</v>
      </c>
      <c r="J8636">
        <v>1</v>
      </c>
      <c r="K8636">
        <f>1-866-323-8007</f>
        <v>-9195</v>
      </c>
      <c r="L8636" t="s">
        <v>27024</v>
      </c>
      <c r="M8636" t="s">
        <v>27025</v>
      </c>
      <c r="N8636" t="s">
        <v>278</v>
      </c>
      <c r="O8636" t="s">
        <v>28</v>
      </c>
      <c r="P8636" t="s">
        <v>8085</v>
      </c>
      <c r="Q8636">
        <v>-24</v>
      </c>
      <c r="R8636">
        <v>-46.633000000000003</v>
      </c>
    </row>
    <row r="8637" spans="1:18" x14ac:dyDescent="0.2">
      <c r="A8637" t="s">
        <v>270</v>
      </c>
      <c r="B8637" t="s">
        <v>8080</v>
      </c>
      <c r="C8637">
        <v>1</v>
      </c>
      <c r="D8637" s="1">
        <v>44368.831956018519</v>
      </c>
      <c r="E8637" t="s">
        <v>27026</v>
      </c>
      <c r="F8637" t="s">
        <v>273</v>
      </c>
      <c r="G8637" t="s">
        <v>26951</v>
      </c>
      <c r="H8637" t="s">
        <v>275</v>
      </c>
      <c r="I8637" t="s">
        <v>29</v>
      </c>
      <c r="J8637">
        <v>1</v>
      </c>
      <c r="K8637">
        <f>1-866-323-7308</f>
        <v>-8496</v>
      </c>
      <c r="L8637" t="s">
        <v>27027</v>
      </c>
      <c r="M8637" t="s">
        <v>27028</v>
      </c>
      <c r="N8637" t="s">
        <v>278</v>
      </c>
      <c r="O8637" t="s">
        <v>28</v>
      </c>
      <c r="P8637" t="s">
        <v>8085</v>
      </c>
      <c r="Q8637">
        <v>-24</v>
      </c>
      <c r="R8637">
        <v>-46.633000000000003</v>
      </c>
    </row>
    <row r="8638" spans="1:18" x14ac:dyDescent="0.2">
      <c r="A8638" t="s">
        <v>270</v>
      </c>
      <c r="B8638" t="s">
        <v>8080</v>
      </c>
      <c r="C8638">
        <v>1</v>
      </c>
      <c r="D8638" s="1">
        <v>44368.807835648149</v>
      </c>
      <c r="E8638" t="s">
        <v>27029</v>
      </c>
      <c r="F8638" t="s">
        <v>273</v>
      </c>
      <c r="G8638" t="s">
        <v>26951</v>
      </c>
      <c r="H8638" t="s">
        <v>275</v>
      </c>
      <c r="I8638" t="s">
        <v>29</v>
      </c>
      <c r="J8638">
        <v>1</v>
      </c>
      <c r="K8638">
        <f>1-866-338-1466</f>
        <v>-2669</v>
      </c>
      <c r="L8638" t="s">
        <v>27030</v>
      </c>
      <c r="M8638" t="s">
        <v>27031</v>
      </c>
      <c r="N8638" t="s">
        <v>278</v>
      </c>
      <c r="O8638" t="s">
        <v>28</v>
      </c>
      <c r="P8638" t="s">
        <v>8085</v>
      </c>
      <c r="Q8638">
        <v>-24</v>
      </c>
      <c r="R8638">
        <v>-46.633000000000003</v>
      </c>
    </row>
    <row r="8639" spans="1:18" x14ac:dyDescent="0.2">
      <c r="A8639" t="s">
        <v>270</v>
      </c>
      <c r="B8639" t="s">
        <v>8080</v>
      </c>
      <c r="C8639">
        <v>1</v>
      </c>
      <c r="D8639" s="1">
        <v>44371.751342592594</v>
      </c>
      <c r="E8639" t="s">
        <v>27032</v>
      </c>
      <c r="F8639" t="s">
        <v>273</v>
      </c>
      <c r="G8639" t="s">
        <v>26951</v>
      </c>
      <c r="H8639" t="s">
        <v>275</v>
      </c>
      <c r="I8639" t="s">
        <v>29</v>
      </c>
      <c r="J8639">
        <v>1</v>
      </c>
      <c r="K8639">
        <f>1-844-396-9936</f>
        <v>-11175</v>
      </c>
      <c r="L8639" t="s">
        <v>27033</v>
      </c>
      <c r="M8639" t="s">
        <v>27034</v>
      </c>
      <c r="N8639" t="s">
        <v>278</v>
      </c>
      <c r="O8639" t="s">
        <v>28</v>
      </c>
      <c r="P8639" t="s">
        <v>8085</v>
      </c>
      <c r="Q8639">
        <v>-24</v>
      </c>
      <c r="R8639">
        <v>-46.633000000000003</v>
      </c>
    </row>
    <row r="8640" spans="1:18" x14ac:dyDescent="0.2">
      <c r="A8640" t="s">
        <v>270</v>
      </c>
      <c r="B8640" t="s">
        <v>8080</v>
      </c>
      <c r="C8640">
        <v>1</v>
      </c>
      <c r="D8640" s="1">
        <v>44364.855995370373</v>
      </c>
      <c r="E8640" t="s">
        <v>27035</v>
      </c>
      <c r="F8640" t="s">
        <v>273</v>
      </c>
      <c r="G8640" t="s">
        <v>26951</v>
      </c>
      <c r="H8640" t="s">
        <v>275</v>
      </c>
      <c r="I8640" t="s">
        <v>29</v>
      </c>
      <c r="J8640">
        <v>1</v>
      </c>
      <c r="K8640">
        <f>1-866-360-3765</f>
        <v>-4990</v>
      </c>
      <c r="L8640" t="s">
        <v>27036</v>
      </c>
      <c r="M8640" t="s">
        <v>27037</v>
      </c>
      <c r="N8640" t="s">
        <v>278</v>
      </c>
      <c r="O8640" t="s">
        <v>28</v>
      </c>
      <c r="P8640" t="s">
        <v>8085</v>
      </c>
      <c r="Q8640">
        <v>-24</v>
      </c>
      <c r="R8640">
        <v>-46.633000000000003</v>
      </c>
    </row>
    <row r="8641" spans="1:18" x14ac:dyDescent="0.2">
      <c r="A8641" t="s">
        <v>270</v>
      </c>
      <c r="B8641" t="s">
        <v>8080</v>
      </c>
      <c r="C8641">
        <v>1</v>
      </c>
      <c r="D8641" s="1">
        <v>44364.851863425924</v>
      </c>
      <c r="E8641" t="s">
        <v>27038</v>
      </c>
      <c r="F8641" t="s">
        <v>273</v>
      </c>
      <c r="G8641" t="s">
        <v>26951</v>
      </c>
      <c r="H8641" t="s">
        <v>275</v>
      </c>
      <c r="I8641" t="s">
        <v>29</v>
      </c>
      <c r="J8641">
        <v>1</v>
      </c>
      <c r="K8641">
        <f>1-866-363-743</f>
        <v>-1971</v>
      </c>
      <c r="L8641" t="s">
        <v>27039</v>
      </c>
      <c r="M8641" t="s">
        <v>27040</v>
      </c>
      <c r="N8641" t="s">
        <v>278</v>
      </c>
      <c r="O8641" t="s">
        <v>28</v>
      </c>
      <c r="P8641" t="s">
        <v>8085</v>
      </c>
      <c r="Q8641">
        <v>-24</v>
      </c>
      <c r="R8641">
        <v>-46.633000000000003</v>
      </c>
    </row>
    <row r="8642" spans="1:18" x14ac:dyDescent="0.2">
      <c r="A8642" t="s">
        <v>270</v>
      </c>
      <c r="B8642" t="s">
        <v>8080</v>
      </c>
      <c r="C8642">
        <v>1</v>
      </c>
      <c r="D8642" s="1">
        <v>44364.784247685187</v>
      </c>
      <c r="E8642" t="s">
        <v>27041</v>
      </c>
      <c r="F8642" t="s">
        <v>273</v>
      </c>
      <c r="G8642" t="s">
        <v>26951</v>
      </c>
      <c r="H8642" t="s">
        <v>275</v>
      </c>
      <c r="I8642" t="s">
        <v>29</v>
      </c>
      <c r="J8642">
        <v>1</v>
      </c>
      <c r="K8642">
        <f>1-866-370-4905</f>
        <v>-6140</v>
      </c>
      <c r="L8642" t="s">
        <v>27042</v>
      </c>
      <c r="M8642" t="s">
        <v>27043</v>
      </c>
      <c r="N8642" t="s">
        <v>278</v>
      </c>
      <c r="O8642" t="s">
        <v>28</v>
      </c>
      <c r="P8642" t="s">
        <v>8085</v>
      </c>
      <c r="Q8642">
        <v>-24</v>
      </c>
      <c r="R8642">
        <v>-46.633000000000003</v>
      </c>
    </row>
    <row r="8643" spans="1:18" x14ac:dyDescent="0.2">
      <c r="A8643" t="s">
        <v>270</v>
      </c>
      <c r="B8643" t="s">
        <v>8080</v>
      </c>
      <c r="C8643">
        <v>1</v>
      </c>
      <c r="D8643" s="1">
        <v>44364.776006944441</v>
      </c>
      <c r="E8643" t="s">
        <v>27044</v>
      </c>
      <c r="F8643" t="s">
        <v>273</v>
      </c>
      <c r="G8643" t="s">
        <v>26951</v>
      </c>
      <c r="H8643" t="s">
        <v>275</v>
      </c>
      <c r="I8643" t="s">
        <v>29</v>
      </c>
      <c r="J8643">
        <v>1</v>
      </c>
      <c r="K8643">
        <f>1-866-373-8472</f>
        <v>-9710</v>
      </c>
      <c r="L8643" t="s">
        <v>27045</v>
      </c>
      <c r="M8643" t="s">
        <v>27046</v>
      </c>
      <c r="N8643" t="s">
        <v>278</v>
      </c>
      <c r="O8643" t="s">
        <v>28</v>
      </c>
      <c r="P8643" t="s">
        <v>8085</v>
      </c>
      <c r="Q8643">
        <v>-24</v>
      </c>
      <c r="R8643">
        <v>-46.633000000000003</v>
      </c>
    </row>
    <row r="8644" spans="1:18" x14ac:dyDescent="0.2">
      <c r="A8644" t="s">
        <v>270</v>
      </c>
      <c r="B8644" t="s">
        <v>8080</v>
      </c>
      <c r="C8644">
        <v>1</v>
      </c>
      <c r="D8644" s="1">
        <v>44364.76835648148</v>
      </c>
      <c r="E8644" t="s">
        <v>27047</v>
      </c>
      <c r="F8644" t="s">
        <v>273</v>
      </c>
      <c r="G8644" t="s">
        <v>26951</v>
      </c>
      <c r="H8644" t="s">
        <v>275</v>
      </c>
      <c r="I8644" t="s">
        <v>29</v>
      </c>
      <c r="J8644">
        <v>1</v>
      </c>
      <c r="K8644">
        <f>1-866-374-6936</f>
        <v>-8175</v>
      </c>
      <c r="L8644" t="s">
        <v>27048</v>
      </c>
      <c r="M8644" t="s">
        <v>27049</v>
      </c>
      <c r="N8644" t="s">
        <v>278</v>
      </c>
      <c r="O8644" t="s">
        <v>28</v>
      </c>
      <c r="P8644" t="s">
        <v>8085</v>
      </c>
      <c r="Q8644">
        <v>-24</v>
      </c>
      <c r="R8644">
        <v>-46.633000000000003</v>
      </c>
    </row>
    <row r="8645" spans="1:18" x14ac:dyDescent="0.2">
      <c r="A8645" t="s">
        <v>270</v>
      </c>
      <c r="B8645" t="s">
        <v>8080</v>
      </c>
      <c r="C8645">
        <v>1</v>
      </c>
      <c r="D8645" s="1">
        <v>44329.822129629632</v>
      </c>
      <c r="E8645" t="s">
        <v>27050</v>
      </c>
      <c r="F8645" t="s">
        <v>273</v>
      </c>
      <c r="G8645" t="s">
        <v>26951</v>
      </c>
      <c r="H8645" t="s">
        <v>275</v>
      </c>
      <c r="I8645" t="s">
        <v>29</v>
      </c>
      <c r="J8645">
        <v>1</v>
      </c>
      <c r="K8645">
        <f>1-866-341-3026</f>
        <v>-4232</v>
      </c>
      <c r="L8645" t="s">
        <v>27051</v>
      </c>
      <c r="M8645" t="s">
        <v>27052</v>
      </c>
      <c r="N8645" t="s">
        <v>278</v>
      </c>
      <c r="O8645" t="s">
        <v>28</v>
      </c>
      <c r="P8645" t="s">
        <v>8085</v>
      </c>
      <c r="Q8645">
        <v>-24</v>
      </c>
      <c r="R8645">
        <v>-46.633000000000003</v>
      </c>
    </row>
    <row r="8646" spans="1:18" x14ac:dyDescent="0.2">
      <c r="A8646" t="s">
        <v>270</v>
      </c>
      <c r="B8646" t="s">
        <v>8080</v>
      </c>
      <c r="C8646">
        <v>1</v>
      </c>
      <c r="D8646" s="1">
        <v>44312.765613425923</v>
      </c>
      <c r="E8646" t="s">
        <v>27053</v>
      </c>
      <c r="F8646" t="s">
        <v>273</v>
      </c>
      <c r="G8646" t="s">
        <v>26951</v>
      </c>
      <c r="H8646" t="s">
        <v>275</v>
      </c>
      <c r="I8646" t="s">
        <v>29</v>
      </c>
      <c r="J8646">
        <v>1</v>
      </c>
      <c r="K8646">
        <f>1-844-853-5550</f>
        <v>-7246</v>
      </c>
      <c r="L8646" t="s">
        <v>27054</v>
      </c>
      <c r="M8646" t="s">
        <v>27055</v>
      </c>
      <c r="N8646" t="s">
        <v>278</v>
      </c>
      <c r="O8646" t="s">
        <v>28</v>
      </c>
      <c r="P8646" t="s">
        <v>8085</v>
      </c>
      <c r="Q8646">
        <v>-24</v>
      </c>
      <c r="R8646">
        <v>-46.633000000000003</v>
      </c>
    </row>
    <row r="8647" spans="1:18" x14ac:dyDescent="0.2">
      <c r="A8647" t="s">
        <v>270</v>
      </c>
      <c r="B8647" t="s">
        <v>8080</v>
      </c>
      <c r="C8647">
        <v>1</v>
      </c>
      <c r="D8647" s="1">
        <v>44301.779976851853</v>
      </c>
      <c r="E8647" t="s">
        <v>27056</v>
      </c>
      <c r="F8647" t="s">
        <v>273</v>
      </c>
      <c r="G8647" t="s">
        <v>26951</v>
      </c>
      <c r="H8647" t="s">
        <v>275</v>
      </c>
      <c r="I8647" t="s">
        <v>29</v>
      </c>
      <c r="J8647">
        <v>1</v>
      </c>
      <c r="K8647">
        <f>1-888-319-1464</f>
        <v>-2670</v>
      </c>
      <c r="L8647" t="s">
        <v>27057</v>
      </c>
      <c r="M8647" t="s">
        <v>27058</v>
      </c>
      <c r="N8647" t="s">
        <v>278</v>
      </c>
      <c r="O8647" t="s">
        <v>28</v>
      </c>
      <c r="P8647" t="s">
        <v>8085</v>
      </c>
      <c r="Q8647">
        <v>-24</v>
      </c>
      <c r="R8647">
        <v>-46.633000000000003</v>
      </c>
    </row>
    <row r="8648" spans="1:18" x14ac:dyDescent="0.2">
      <c r="A8648" t="s">
        <v>270</v>
      </c>
      <c r="B8648" t="s">
        <v>8080</v>
      </c>
      <c r="C8648">
        <v>1</v>
      </c>
      <c r="D8648" s="1">
        <v>44258.764976851853</v>
      </c>
      <c r="E8648" t="s">
        <v>27059</v>
      </c>
      <c r="F8648" t="s">
        <v>273</v>
      </c>
      <c r="G8648" t="s">
        <v>26951</v>
      </c>
      <c r="H8648" t="s">
        <v>275</v>
      </c>
      <c r="I8648" t="s">
        <v>29</v>
      </c>
      <c r="J8648">
        <v>1</v>
      </c>
      <c r="K8648">
        <f>1-844-249-4535</f>
        <v>-5627</v>
      </c>
      <c r="L8648" t="s">
        <v>27060</v>
      </c>
      <c r="M8648" t="s">
        <v>27061</v>
      </c>
      <c r="N8648" t="s">
        <v>278</v>
      </c>
      <c r="O8648" t="s">
        <v>28</v>
      </c>
      <c r="P8648" t="s">
        <v>8085</v>
      </c>
      <c r="Q8648">
        <v>-24</v>
      </c>
      <c r="R8648">
        <v>-46.633000000000003</v>
      </c>
    </row>
    <row r="8649" spans="1:18" x14ac:dyDescent="0.2">
      <c r="A8649" t="s">
        <v>270</v>
      </c>
      <c r="B8649" t="s">
        <v>8080</v>
      </c>
      <c r="C8649">
        <v>1</v>
      </c>
      <c r="D8649" s="1">
        <v>44253.776331018518</v>
      </c>
      <c r="E8649" t="s">
        <v>27062</v>
      </c>
      <c r="F8649" t="s">
        <v>273</v>
      </c>
      <c r="G8649" t="s">
        <v>26951</v>
      </c>
      <c r="H8649" t="s">
        <v>275</v>
      </c>
      <c r="I8649" t="s">
        <v>29</v>
      </c>
      <c r="J8649">
        <v>1</v>
      </c>
      <c r="K8649">
        <f>1-888-690-879</f>
        <v>-2456</v>
      </c>
      <c r="L8649" t="s">
        <v>27063</v>
      </c>
      <c r="M8649" t="s">
        <v>27064</v>
      </c>
      <c r="N8649" t="s">
        <v>278</v>
      </c>
      <c r="O8649" t="s">
        <v>28</v>
      </c>
      <c r="P8649" t="s">
        <v>8085</v>
      </c>
      <c r="Q8649">
        <v>-24</v>
      </c>
      <c r="R8649">
        <v>-46.633000000000003</v>
      </c>
    </row>
    <row r="8650" spans="1:18" x14ac:dyDescent="0.2">
      <c r="A8650" t="s">
        <v>270</v>
      </c>
      <c r="B8650" t="s">
        <v>8080</v>
      </c>
      <c r="C8650">
        <v>1</v>
      </c>
      <c r="D8650" s="1">
        <v>44252.897523148145</v>
      </c>
      <c r="E8650" t="s">
        <v>27065</v>
      </c>
      <c r="F8650" t="s">
        <v>273</v>
      </c>
      <c r="G8650" t="s">
        <v>26951</v>
      </c>
      <c r="H8650" t="s">
        <v>275</v>
      </c>
      <c r="I8650" t="s">
        <v>29</v>
      </c>
      <c r="J8650">
        <v>1</v>
      </c>
      <c r="K8650">
        <f>1-888-609-3819</f>
        <v>-5315</v>
      </c>
      <c r="L8650" t="s">
        <v>27066</v>
      </c>
      <c r="M8650" t="s">
        <v>27067</v>
      </c>
      <c r="N8650" t="s">
        <v>278</v>
      </c>
      <c r="O8650" t="s">
        <v>28</v>
      </c>
      <c r="P8650" t="s">
        <v>8085</v>
      </c>
      <c r="Q8650">
        <v>-24</v>
      </c>
      <c r="R8650">
        <v>-46.633000000000003</v>
      </c>
    </row>
    <row r="8651" spans="1:18" x14ac:dyDescent="0.2">
      <c r="A8651" t="s">
        <v>270</v>
      </c>
      <c r="B8651" t="s">
        <v>8080</v>
      </c>
      <c r="C8651">
        <v>1</v>
      </c>
      <c r="D8651" s="1">
        <v>44250.952743055554</v>
      </c>
      <c r="E8651" t="s">
        <v>27068</v>
      </c>
      <c r="F8651" t="s">
        <v>273</v>
      </c>
      <c r="G8651" t="s">
        <v>26951</v>
      </c>
      <c r="H8651" t="s">
        <v>275</v>
      </c>
      <c r="I8651" t="s">
        <v>29</v>
      </c>
      <c r="J8651">
        <v>1</v>
      </c>
      <c r="K8651">
        <f>1-888-291-128</f>
        <v>-1306</v>
      </c>
      <c r="L8651" t="s">
        <v>27069</v>
      </c>
      <c r="M8651" t="s">
        <v>27070</v>
      </c>
      <c r="N8651" t="s">
        <v>278</v>
      </c>
      <c r="O8651" t="s">
        <v>28</v>
      </c>
      <c r="P8651" t="s">
        <v>8085</v>
      </c>
      <c r="Q8651">
        <v>-24</v>
      </c>
      <c r="R8651">
        <v>-46.633000000000003</v>
      </c>
    </row>
    <row r="8652" spans="1:18" x14ac:dyDescent="0.2">
      <c r="A8652" t="s">
        <v>270</v>
      </c>
      <c r="B8652" t="s">
        <v>8080</v>
      </c>
      <c r="C8652">
        <v>1</v>
      </c>
      <c r="D8652" s="1">
        <v>44249.802094907405</v>
      </c>
      <c r="E8652" t="s">
        <v>27071</v>
      </c>
      <c r="F8652" t="s">
        <v>273</v>
      </c>
      <c r="G8652" t="s">
        <v>26951</v>
      </c>
      <c r="H8652" t="s">
        <v>275</v>
      </c>
      <c r="I8652" t="s">
        <v>29</v>
      </c>
      <c r="J8652">
        <v>1</v>
      </c>
      <c r="K8652">
        <f>1-888-417-4077</f>
        <v>-5381</v>
      </c>
      <c r="L8652" t="s">
        <v>27072</v>
      </c>
      <c r="M8652" t="s">
        <v>27073</v>
      </c>
      <c r="N8652" t="s">
        <v>278</v>
      </c>
      <c r="O8652" t="s">
        <v>28</v>
      </c>
      <c r="P8652" t="s">
        <v>8085</v>
      </c>
      <c r="Q8652">
        <v>-24</v>
      </c>
      <c r="R8652">
        <v>-46.633000000000003</v>
      </c>
    </row>
    <row r="8653" spans="1:18" x14ac:dyDescent="0.2">
      <c r="A8653" t="s">
        <v>270</v>
      </c>
      <c r="B8653" t="s">
        <v>8080</v>
      </c>
      <c r="C8653">
        <v>1</v>
      </c>
      <c r="D8653" s="1">
        <v>44245.751655092594</v>
      </c>
      <c r="E8653" t="s">
        <v>27074</v>
      </c>
      <c r="F8653" t="s">
        <v>273</v>
      </c>
      <c r="G8653" t="s">
        <v>26951</v>
      </c>
      <c r="H8653" t="s">
        <v>275</v>
      </c>
      <c r="I8653" t="s">
        <v>29</v>
      </c>
      <c r="J8653">
        <v>1</v>
      </c>
      <c r="K8653">
        <f>1-888-612-3097</f>
        <v>-4596</v>
      </c>
      <c r="L8653" t="s">
        <v>27075</v>
      </c>
      <c r="M8653" t="s">
        <v>27076</v>
      </c>
      <c r="N8653" t="s">
        <v>278</v>
      </c>
      <c r="O8653" t="s">
        <v>28</v>
      </c>
      <c r="P8653" t="s">
        <v>8085</v>
      </c>
      <c r="Q8653">
        <v>-24</v>
      </c>
      <c r="R8653">
        <v>-46.633000000000003</v>
      </c>
    </row>
    <row r="8654" spans="1:18" x14ac:dyDescent="0.2">
      <c r="A8654" t="s">
        <v>439</v>
      </c>
      <c r="B8654" t="s">
        <v>4321</v>
      </c>
      <c r="C8654">
        <v>1</v>
      </c>
      <c r="D8654" s="1">
        <v>44245.760659722226</v>
      </c>
      <c r="E8654" t="s">
        <v>27077</v>
      </c>
      <c r="F8654" t="s">
        <v>442</v>
      </c>
      <c r="G8654" t="s">
        <v>27078</v>
      </c>
      <c r="H8654" t="s">
        <v>444</v>
      </c>
      <c r="I8654" t="s">
        <v>29</v>
      </c>
      <c r="J8654">
        <v>1</v>
      </c>
      <c r="K8654">
        <f>1-844-302-1526</f>
        <v>-2671</v>
      </c>
      <c r="L8654" t="s">
        <v>27079</v>
      </c>
      <c r="M8654" t="s">
        <v>27080</v>
      </c>
      <c r="N8654" t="s">
        <v>447</v>
      </c>
      <c r="O8654" t="s">
        <v>28</v>
      </c>
      <c r="P8654" t="s">
        <v>29</v>
      </c>
      <c r="Q8654">
        <v>42</v>
      </c>
      <c r="R8654">
        <v>-87.629800000000003</v>
      </c>
    </row>
    <row r="8655" spans="1:18" x14ac:dyDescent="0.2">
      <c r="A8655" t="s">
        <v>27081</v>
      </c>
      <c r="B8655" t="s">
        <v>1201</v>
      </c>
      <c r="C8655">
        <v>1</v>
      </c>
      <c r="D8655" s="1">
        <v>44245.773958333331</v>
      </c>
      <c r="E8655" t="s">
        <v>27082</v>
      </c>
      <c r="F8655" t="s">
        <v>1203</v>
      </c>
      <c r="G8655" t="s">
        <v>27083</v>
      </c>
      <c r="H8655" t="s">
        <v>1205</v>
      </c>
      <c r="I8655" t="s">
        <v>29</v>
      </c>
      <c r="J8655">
        <v>1</v>
      </c>
      <c r="K8655">
        <f>1-888-571-289</f>
        <v>-1747</v>
      </c>
      <c r="L8655" t="s">
        <v>27084</v>
      </c>
      <c r="M8655" t="s">
        <v>27085</v>
      </c>
      <c r="N8655" t="s">
        <v>36</v>
      </c>
      <c r="O8655" t="s">
        <v>134</v>
      </c>
      <c r="P8655" t="s">
        <v>29</v>
      </c>
      <c r="Q8655">
        <v>34</v>
      </c>
      <c r="R8655">
        <v>-99.999999000000003</v>
      </c>
    </row>
    <row r="8656" spans="1:18" x14ac:dyDescent="0.2">
      <c r="A8656" t="s">
        <v>27081</v>
      </c>
      <c r="B8656" t="s">
        <v>1201</v>
      </c>
      <c r="C8656">
        <v>1</v>
      </c>
      <c r="D8656" s="1">
        <v>44245.773043981484</v>
      </c>
      <c r="E8656" t="s">
        <v>27086</v>
      </c>
      <c r="F8656" t="s">
        <v>1203</v>
      </c>
      <c r="G8656" t="s">
        <v>27083</v>
      </c>
      <c r="H8656" t="s">
        <v>1205</v>
      </c>
      <c r="I8656" t="s">
        <v>29</v>
      </c>
      <c r="J8656">
        <v>1</v>
      </c>
      <c r="K8656">
        <f>1-833-297-2999</f>
        <v>-4128</v>
      </c>
      <c r="L8656" t="s">
        <v>27087</v>
      </c>
      <c r="M8656" t="s">
        <v>27088</v>
      </c>
      <c r="N8656" t="s">
        <v>36</v>
      </c>
      <c r="O8656" t="s">
        <v>134</v>
      </c>
      <c r="P8656" t="s">
        <v>29</v>
      </c>
      <c r="Q8656">
        <v>34</v>
      </c>
      <c r="R8656">
        <v>-99.999999000000003</v>
      </c>
    </row>
    <row r="8657" spans="1:18" x14ac:dyDescent="0.2">
      <c r="A8657" t="s">
        <v>27081</v>
      </c>
      <c r="B8657" t="s">
        <v>1201</v>
      </c>
      <c r="C8657">
        <v>1</v>
      </c>
      <c r="D8657" s="1">
        <v>44245.770335648151</v>
      </c>
      <c r="E8657" t="s">
        <v>27089</v>
      </c>
      <c r="F8657" t="s">
        <v>1203</v>
      </c>
      <c r="G8657" t="s">
        <v>27083</v>
      </c>
      <c r="H8657" t="s">
        <v>1205</v>
      </c>
      <c r="I8657" t="s">
        <v>29</v>
      </c>
      <c r="J8657">
        <v>1</v>
      </c>
      <c r="K8657">
        <f>1-888-571-289</f>
        <v>-1747</v>
      </c>
      <c r="L8657" t="s">
        <v>27090</v>
      </c>
      <c r="M8657" t="s">
        <v>27091</v>
      </c>
      <c r="N8657" t="s">
        <v>36</v>
      </c>
      <c r="O8657" t="s">
        <v>134</v>
      </c>
      <c r="P8657" t="s">
        <v>29</v>
      </c>
      <c r="Q8657">
        <v>34</v>
      </c>
      <c r="R8657">
        <v>-99.999999000000003</v>
      </c>
    </row>
    <row r="8658" spans="1:18" x14ac:dyDescent="0.2">
      <c r="A8658" t="s">
        <v>27081</v>
      </c>
      <c r="B8658" t="s">
        <v>1201</v>
      </c>
      <c r="C8658">
        <v>1</v>
      </c>
      <c r="D8658" s="1">
        <v>44245.766134259262</v>
      </c>
      <c r="E8658" t="s">
        <v>27092</v>
      </c>
      <c r="F8658" t="s">
        <v>1203</v>
      </c>
      <c r="G8658" t="s">
        <v>27083</v>
      </c>
      <c r="H8658" t="s">
        <v>1205</v>
      </c>
      <c r="I8658" t="s">
        <v>29</v>
      </c>
      <c r="J8658">
        <v>1</v>
      </c>
      <c r="K8658">
        <f>1-888-571-289</f>
        <v>-1747</v>
      </c>
      <c r="L8658" t="s">
        <v>27093</v>
      </c>
      <c r="M8658" t="s">
        <v>27094</v>
      </c>
      <c r="N8658" t="s">
        <v>36</v>
      </c>
      <c r="O8658" t="s">
        <v>28</v>
      </c>
      <c r="P8658" t="s">
        <v>29</v>
      </c>
      <c r="Q8658">
        <v>34</v>
      </c>
      <c r="R8658">
        <v>-99.999999000000003</v>
      </c>
    </row>
    <row r="8659" spans="1:18" x14ac:dyDescent="0.2">
      <c r="A8659" t="s">
        <v>439</v>
      </c>
      <c r="B8659" t="s">
        <v>4321</v>
      </c>
      <c r="C8659">
        <v>81</v>
      </c>
      <c r="D8659" s="1">
        <v>44245.768067129633</v>
      </c>
      <c r="E8659" t="s">
        <v>27095</v>
      </c>
      <c r="F8659" t="s">
        <v>442</v>
      </c>
      <c r="G8659" t="s">
        <v>27096</v>
      </c>
      <c r="H8659" t="s">
        <v>444</v>
      </c>
      <c r="I8659" t="s">
        <v>53</v>
      </c>
      <c r="J8659">
        <v>81</v>
      </c>
      <c r="K8659">
        <f>81-50-3185-4845</f>
        <v>-7999</v>
      </c>
      <c r="L8659" t="s">
        <v>27097</v>
      </c>
      <c r="M8659" t="s">
        <v>27098</v>
      </c>
      <c r="N8659" t="s">
        <v>213</v>
      </c>
      <c r="O8659" t="s">
        <v>28</v>
      </c>
      <c r="P8659" t="s">
        <v>29</v>
      </c>
      <c r="Q8659">
        <v>42</v>
      </c>
      <c r="R8659">
        <v>-87.629800000000003</v>
      </c>
    </row>
    <row r="8660" spans="1:18" x14ac:dyDescent="0.2">
      <c r="A8660" t="s">
        <v>663</v>
      </c>
      <c r="B8660" t="s">
        <v>5784</v>
      </c>
      <c r="C8660">
        <v>1</v>
      </c>
      <c r="D8660" s="1">
        <v>44245.820833333331</v>
      </c>
      <c r="E8660" t="s">
        <v>27099</v>
      </c>
      <c r="F8660" t="s">
        <v>666</v>
      </c>
      <c r="G8660" t="s">
        <v>27100</v>
      </c>
      <c r="H8660" t="s">
        <v>667</v>
      </c>
      <c r="I8660" t="s">
        <v>29</v>
      </c>
      <c r="J8660">
        <v>1</v>
      </c>
      <c r="K8660">
        <f>1-888-662-715</f>
        <v>-2264</v>
      </c>
      <c r="L8660" t="s">
        <v>27101</v>
      </c>
      <c r="M8660" t="s">
        <v>27102</v>
      </c>
      <c r="N8660" t="s">
        <v>25263</v>
      </c>
      <c r="O8660" t="s">
        <v>28</v>
      </c>
      <c r="P8660" t="s">
        <v>5789</v>
      </c>
      <c r="Q8660">
        <v>13</v>
      </c>
      <c r="R8660">
        <v>77.585499999999996</v>
      </c>
    </row>
    <row r="8661" spans="1:18" x14ac:dyDescent="0.2">
      <c r="A8661" t="s">
        <v>439</v>
      </c>
      <c r="B8661" t="s">
        <v>4321</v>
      </c>
      <c r="C8661">
        <v>1</v>
      </c>
      <c r="D8661" s="1">
        <v>44245.844143518516</v>
      </c>
      <c r="E8661" t="s">
        <v>27103</v>
      </c>
      <c r="F8661" t="s">
        <v>442</v>
      </c>
      <c r="G8661" t="s">
        <v>27104</v>
      </c>
      <c r="H8661" t="s">
        <v>444</v>
      </c>
      <c r="I8661" t="s">
        <v>29</v>
      </c>
      <c r="J8661">
        <v>1</v>
      </c>
      <c r="K8661">
        <f>1-844-304-7487</f>
        <v>-8634</v>
      </c>
      <c r="L8661" t="s">
        <v>27105</v>
      </c>
      <c r="M8661" t="s">
        <v>27106</v>
      </c>
      <c r="N8661" t="s">
        <v>213</v>
      </c>
      <c r="O8661" t="s">
        <v>28</v>
      </c>
      <c r="P8661" t="s">
        <v>29</v>
      </c>
      <c r="Q8661">
        <v>42</v>
      </c>
      <c r="R8661">
        <v>-87.629800000000003</v>
      </c>
    </row>
    <row r="8662" spans="1:18" x14ac:dyDescent="0.2">
      <c r="A8662" t="s">
        <v>663</v>
      </c>
      <c r="B8662" t="s">
        <v>664</v>
      </c>
      <c r="C8662">
        <v>1</v>
      </c>
      <c r="D8662" s="1">
        <v>44245.958194444444</v>
      </c>
      <c r="E8662" t="s">
        <v>27107</v>
      </c>
      <c r="F8662" t="s">
        <v>666</v>
      </c>
      <c r="G8662" t="s">
        <v>27107</v>
      </c>
      <c r="H8662" t="s">
        <v>667</v>
      </c>
      <c r="I8662" t="s">
        <v>29</v>
      </c>
      <c r="J8662">
        <v>1</v>
      </c>
      <c r="K8662">
        <f>1-888-386-8573</f>
        <v>-9846</v>
      </c>
      <c r="L8662" t="s">
        <v>27108</v>
      </c>
      <c r="M8662" t="s">
        <v>27109</v>
      </c>
      <c r="N8662">
        <v>214</v>
      </c>
      <c r="O8662" t="s">
        <v>134</v>
      </c>
      <c r="P8662" t="s">
        <v>29</v>
      </c>
      <c r="Q8662">
        <v>37</v>
      </c>
      <c r="R8662">
        <v>-99.999999000000003</v>
      </c>
    </row>
    <row r="8663" spans="1:18" x14ac:dyDescent="0.2">
      <c r="A8663" t="s">
        <v>2233</v>
      </c>
      <c r="B8663" t="s">
        <v>1638</v>
      </c>
      <c r="C8663">
        <v>1</v>
      </c>
      <c r="D8663" s="1">
        <v>44246.793680555558</v>
      </c>
      <c r="E8663" t="s">
        <v>27110</v>
      </c>
      <c r="F8663" t="s">
        <v>7023</v>
      </c>
      <c r="G8663" t="s">
        <v>27111</v>
      </c>
      <c r="H8663" t="s">
        <v>2237</v>
      </c>
      <c r="I8663" t="s">
        <v>29</v>
      </c>
      <c r="J8663">
        <v>1</v>
      </c>
      <c r="K8663">
        <f>1-888-335-2919</f>
        <v>-4141</v>
      </c>
      <c r="L8663" t="s">
        <v>27112</v>
      </c>
      <c r="M8663" t="s">
        <v>27113</v>
      </c>
      <c r="N8663" t="s">
        <v>278</v>
      </c>
      <c r="O8663" t="s">
        <v>28</v>
      </c>
      <c r="P8663" t="s">
        <v>292</v>
      </c>
      <c r="Q8663">
        <v>49</v>
      </c>
      <c r="R8663">
        <v>2.35222</v>
      </c>
    </row>
    <row r="8664" spans="1:18" x14ac:dyDescent="0.2">
      <c r="A8664" t="s">
        <v>663</v>
      </c>
      <c r="B8664" t="s">
        <v>5784</v>
      </c>
      <c r="C8664">
        <v>1</v>
      </c>
      <c r="D8664" s="1">
        <v>44246.765185185184</v>
      </c>
      <c r="E8664" t="s">
        <v>27114</v>
      </c>
      <c r="F8664" t="s">
        <v>666</v>
      </c>
      <c r="G8664" t="s">
        <v>27115</v>
      </c>
      <c r="H8664" t="s">
        <v>667</v>
      </c>
      <c r="I8664" t="s">
        <v>29</v>
      </c>
      <c r="J8664">
        <v>1</v>
      </c>
      <c r="K8664">
        <f>1-888-606-6408</f>
        <v>-7901</v>
      </c>
      <c r="L8664" t="s">
        <v>27116</v>
      </c>
      <c r="M8664" t="s">
        <v>27117</v>
      </c>
      <c r="N8664" t="s">
        <v>25263</v>
      </c>
      <c r="O8664" t="s">
        <v>28</v>
      </c>
      <c r="P8664" t="s">
        <v>5789</v>
      </c>
      <c r="Q8664">
        <v>13</v>
      </c>
      <c r="R8664">
        <v>77.585499999999996</v>
      </c>
    </row>
    <row r="8665" spans="1:18" x14ac:dyDescent="0.2">
      <c r="A8665" t="s">
        <v>27118</v>
      </c>
      <c r="B8665" t="s">
        <v>3426</v>
      </c>
      <c r="C8665">
        <v>1</v>
      </c>
      <c r="D8665" s="1">
        <v>44247.164583333331</v>
      </c>
      <c r="E8665" t="s">
        <v>27119</v>
      </c>
      <c r="F8665" t="s">
        <v>27120</v>
      </c>
      <c r="G8665" t="s">
        <v>27121</v>
      </c>
      <c r="H8665" t="s">
        <v>27122</v>
      </c>
      <c r="I8665" t="s">
        <v>29</v>
      </c>
      <c r="J8665">
        <v>1</v>
      </c>
      <c r="K8665">
        <f>1-1800-861-914</f>
        <v>-3574</v>
      </c>
      <c r="L8665" t="s">
        <v>27123</v>
      </c>
      <c r="M8665" t="s">
        <v>27124</v>
      </c>
      <c r="N8665" t="s">
        <v>27125</v>
      </c>
      <c r="O8665" t="s">
        <v>28</v>
      </c>
      <c r="P8665" t="s">
        <v>29</v>
      </c>
      <c r="Q8665">
        <v>42</v>
      </c>
      <c r="R8665">
        <v>-71.193399999999997</v>
      </c>
    </row>
    <row r="8666" spans="1:18" x14ac:dyDescent="0.2">
      <c r="A8666" t="s">
        <v>439</v>
      </c>
      <c r="B8666" t="s">
        <v>4321</v>
      </c>
      <c r="C8666">
        <v>81</v>
      </c>
      <c r="D8666" s="1">
        <v>44247.181018518517</v>
      </c>
      <c r="E8666" t="s">
        <v>27126</v>
      </c>
      <c r="F8666" t="s">
        <v>442</v>
      </c>
      <c r="G8666" t="s">
        <v>27127</v>
      </c>
      <c r="H8666" t="s">
        <v>444</v>
      </c>
      <c r="I8666" t="s">
        <v>53</v>
      </c>
      <c r="J8666">
        <v>81</v>
      </c>
      <c r="K8666">
        <f>81-50-3196-4238</f>
        <v>-7403</v>
      </c>
      <c r="L8666" t="s">
        <v>27128</v>
      </c>
      <c r="M8666" t="s">
        <v>27129</v>
      </c>
      <c r="N8666" t="s">
        <v>213</v>
      </c>
      <c r="O8666" t="s">
        <v>28</v>
      </c>
      <c r="P8666" t="s">
        <v>29</v>
      </c>
      <c r="Q8666">
        <v>42</v>
      </c>
      <c r="R8666">
        <v>-87.629800000000003</v>
      </c>
    </row>
    <row r="8667" spans="1:18" x14ac:dyDescent="0.2">
      <c r="A8667" t="s">
        <v>663</v>
      </c>
      <c r="B8667" t="s">
        <v>2500</v>
      </c>
      <c r="C8667">
        <v>1</v>
      </c>
      <c r="D8667" s="1">
        <v>44246.910798611112</v>
      </c>
      <c r="E8667" t="s">
        <v>27130</v>
      </c>
      <c r="F8667" t="s">
        <v>2495</v>
      </c>
      <c r="G8667" t="s">
        <v>27130</v>
      </c>
      <c r="H8667" t="s">
        <v>667</v>
      </c>
      <c r="I8667" t="s">
        <v>29</v>
      </c>
      <c r="J8667">
        <v>1</v>
      </c>
      <c r="K8667">
        <f>1-888-339-9013</f>
        <v>-10239</v>
      </c>
      <c r="L8667" t="s">
        <v>27131</v>
      </c>
      <c r="M8667" t="s">
        <v>27132</v>
      </c>
      <c r="N8667">
        <v>112</v>
      </c>
      <c r="O8667" t="s">
        <v>134</v>
      </c>
      <c r="P8667" t="s">
        <v>2500</v>
      </c>
      <c r="Q8667">
        <v>1</v>
      </c>
      <c r="R8667">
        <v>99.999999000000003</v>
      </c>
    </row>
    <row r="8668" spans="1:18" x14ac:dyDescent="0.2">
      <c r="A8668" t="s">
        <v>663</v>
      </c>
      <c r="B8668" t="s">
        <v>2500</v>
      </c>
      <c r="C8668">
        <v>1</v>
      </c>
      <c r="D8668" s="1">
        <v>44246.951180555552</v>
      </c>
      <c r="E8668" t="s">
        <v>27133</v>
      </c>
      <c r="F8668" t="s">
        <v>666</v>
      </c>
      <c r="G8668" t="s">
        <v>27133</v>
      </c>
      <c r="H8668" t="s">
        <v>667</v>
      </c>
      <c r="I8668" t="s">
        <v>29</v>
      </c>
      <c r="J8668">
        <v>1</v>
      </c>
      <c r="K8668">
        <f>1-844-350-188</f>
        <v>-1381</v>
      </c>
      <c r="L8668" t="s">
        <v>27134</v>
      </c>
      <c r="M8668" t="s">
        <v>27135</v>
      </c>
      <c r="N8668">
        <v>16</v>
      </c>
      <c r="O8668" t="s">
        <v>134</v>
      </c>
      <c r="P8668" t="s">
        <v>2500</v>
      </c>
      <c r="Q8668">
        <v>1</v>
      </c>
      <c r="R8668">
        <v>99.999999000000003</v>
      </c>
    </row>
    <row r="8669" spans="1:18" x14ac:dyDescent="0.2">
      <c r="A8669" t="s">
        <v>2233</v>
      </c>
      <c r="B8669" t="s">
        <v>17027</v>
      </c>
      <c r="C8669">
        <v>1</v>
      </c>
      <c r="D8669" s="1">
        <v>44246.965219907404</v>
      </c>
      <c r="E8669" t="s">
        <v>24962</v>
      </c>
      <c r="F8669" t="s">
        <v>2236</v>
      </c>
      <c r="G8669" t="s">
        <v>27136</v>
      </c>
      <c r="H8669" t="s">
        <v>2237</v>
      </c>
      <c r="I8669" t="s">
        <v>29</v>
      </c>
      <c r="J8669">
        <v>1</v>
      </c>
      <c r="K8669">
        <f>1-888-307-2741</f>
        <v>-3935</v>
      </c>
      <c r="L8669" t="s">
        <v>27137</v>
      </c>
      <c r="M8669" t="s">
        <v>27138</v>
      </c>
      <c r="N8669" t="s">
        <v>5354</v>
      </c>
      <c r="O8669" t="s">
        <v>134</v>
      </c>
      <c r="P8669" t="s">
        <v>5789</v>
      </c>
      <c r="Q8669">
        <v>19</v>
      </c>
      <c r="R8669">
        <v>72.877700000000004</v>
      </c>
    </row>
    <row r="8670" spans="1:18" x14ac:dyDescent="0.2">
      <c r="A8670" t="s">
        <v>439</v>
      </c>
      <c r="B8670" t="s">
        <v>454</v>
      </c>
      <c r="C8670">
        <v>1</v>
      </c>
      <c r="D8670" s="1">
        <v>44247.833055555559</v>
      </c>
      <c r="E8670" t="s">
        <v>27139</v>
      </c>
      <c r="F8670" t="s">
        <v>442</v>
      </c>
      <c r="G8670" t="s">
        <v>27140</v>
      </c>
      <c r="H8670" t="s">
        <v>444</v>
      </c>
      <c r="I8670" t="s">
        <v>29</v>
      </c>
      <c r="J8670">
        <v>1</v>
      </c>
      <c r="K8670">
        <f>1-888-537-9209</f>
        <v>-10633</v>
      </c>
      <c r="L8670" t="s">
        <v>27141</v>
      </c>
      <c r="M8670" t="s">
        <v>27142</v>
      </c>
      <c r="N8670" t="s">
        <v>447</v>
      </c>
      <c r="O8670" t="s">
        <v>28</v>
      </c>
      <c r="P8670" t="s">
        <v>461</v>
      </c>
      <c r="Q8670">
        <v>52</v>
      </c>
      <c r="R8670">
        <v>4.8945400000000001</v>
      </c>
    </row>
    <row r="8671" spans="1:18" x14ac:dyDescent="0.2">
      <c r="A8671" t="s">
        <v>663</v>
      </c>
      <c r="B8671" t="s">
        <v>2500</v>
      </c>
      <c r="C8671">
        <v>1</v>
      </c>
      <c r="D8671" s="1">
        <v>44247.835358796299</v>
      </c>
      <c r="E8671" t="s">
        <v>27143</v>
      </c>
      <c r="F8671" t="s">
        <v>666</v>
      </c>
      <c r="G8671" t="s">
        <v>27143</v>
      </c>
      <c r="H8671" t="s">
        <v>667</v>
      </c>
      <c r="I8671" t="s">
        <v>29</v>
      </c>
      <c r="J8671">
        <v>1</v>
      </c>
      <c r="K8671">
        <f>1-844-312-7609</f>
        <v>-8764</v>
      </c>
      <c r="L8671" t="s">
        <v>27144</v>
      </c>
      <c r="M8671" t="s">
        <v>27145</v>
      </c>
      <c r="N8671">
        <v>189</v>
      </c>
      <c r="O8671" t="s">
        <v>134</v>
      </c>
      <c r="P8671" t="s">
        <v>2500</v>
      </c>
      <c r="Q8671">
        <v>1</v>
      </c>
      <c r="R8671">
        <v>99.999999000000003</v>
      </c>
    </row>
    <row r="8672" spans="1:18" x14ac:dyDescent="0.2">
      <c r="A8672" t="s">
        <v>663</v>
      </c>
      <c r="B8672" t="s">
        <v>5784</v>
      </c>
      <c r="C8672">
        <v>1</v>
      </c>
      <c r="D8672" s="1">
        <v>44247.76457175926</v>
      </c>
      <c r="E8672" t="s">
        <v>27146</v>
      </c>
      <c r="F8672" t="s">
        <v>666</v>
      </c>
      <c r="G8672" t="s">
        <v>27147</v>
      </c>
      <c r="H8672" t="s">
        <v>667</v>
      </c>
      <c r="I8672" t="s">
        <v>29</v>
      </c>
      <c r="J8672">
        <v>1</v>
      </c>
      <c r="K8672">
        <f>1-844-252-7888</f>
        <v>-8983</v>
      </c>
      <c r="L8672" t="s">
        <v>27148</v>
      </c>
      <c r="M8672" t="s">
        <v>27149</v>
      </c>
      <c r="N8672" t="s">
        <v>25263</v>
      </c>
      <c r="O8672" t="s">
        <v>28</v>
      </c>
      <c r="P8672" t="s">
        <v>5789</v>
      </c>
      <c r="Q8672">
        <v>13</v>
      </c>
      <c r="R8672">
        <v>77.585499999999996</v>
      </c>
    </row>
    <row r="8673" spans="1:18" x14ac:dyDescent="0.2">
      <c r="A8673" t="s">
        <v>439</v>
      </c>
      <c r="B8673" t="s">
        <v>4321</v>
      </c>
      <c r="C8673">
        <v>1</v>
      </c>
      <c r="D8673" s="1">
        <v>44247.861562500002</v>
      </c>
      <c r="E8673" t="s">
        <v>27150</v>
      </c>
      <c r="F8673" t="s">
        <v>442</v>
      </c>
      <c r="G8673" t="s">
        <v>27151</v>
      </c>
      <c r="H8673" t="s">
        <v>444</v>
      </c>
      <c r="I8673" t="s">
        <v>29</v>
      </c>
      <c r="J8673">
        <v>1</v>
      </c>
      <c r="K8673">
        <f>1-888-602-3587</f>
        <v>-5076</v>
      </c>
      <c r="L8673" t="s">
        <v>27152</v>
      </c>
      <c r="M8673" t="s">
        <v>27153</v>
      </c>
      <c r="N8673" t="s">
        <v>3441</v>
      </c>
      <c r="O8673" t="s">
        <v>28</v>
      </c>
      <c r="P8673" t="s">
        <v>29</v>
      </c>
      <c r="Q8673">
        <v>42</v>
      </c>
      <c r="R8673">
        <v>-87.629800000000003</v>
      </c>
    </row>
    <row r="8674" spans="1:18" x14ac:dyDescent="0.2">
      <c r="A8674" t="s">
        <v>663</v>
      </c>
      <c r="B8674" t="s">
        <v>2500</v>
      </c>
      <c r="C8674">
        <v>1</v>
      </c>
      <c r="D8674" s="1">
        <v>44248.044189814813</v>
      </c>
      <c r="E8674" t="s">
        <v>27154</v>
      </c>
      <c r="F8674" t="s">
        <v>2495</v>
      </c>
      <c r="G8674" t="s">
        <v>27154</v>
      </c>
      <c r="H8674" t="s">
        <v>667</v>
      </c>
      <c r="I8674" t="s">
        <v>29</v>
      </c>
      <c r="J8674">
        <v>1</v>
      </c>
      <c r="K8674">
        <f>1-888-383-4153</f>
        <v>-5423</v>
      </c>
      <c r="L8674" t="s">
        <v>27155</v>
      </c>
      <c r="M8674" t="s">
        <v>27156</v>
      </c>
      <c r="N8674">
        <v>113</v>
      </c>
      <c r="O8674" t="s">
        <v>134</v>
      </c>
      <c r="P8674" t="s">
        <v>2500</v>
      </c>
      <c r="Q8674">
        <v>1</v>
      </c>
      <c r="R8674">
        <v>99.999999000000003</v>
      </c>
    </row>
    <row r="8675" spans="1:18" x14ac:dyDescent="0.2">
      <c r="A8675" t="s">
        <v>439</v>
      </c>
      <c r="B8675" t="s">
        <v>4321</v>
      </c>
      <c r="C8675">
        <v>81</v>
      </c>
      <c r="D8675" s="1">
        <v>44248.341782407406</v>
      </c>
      <c r="E8675" t="s">
        <v>27157</v>
      </c>
      <c r="F8675" t="s">
        <v>442</v>
      </c>
      <c r="G8675" t="s">
        <v>27158</v>
      </c>
      <c r="H8675" t="s">
        <v>444</v>
      </c>
      <c r="I8675" t="s">
        <v>53</v>
      </c>
      <c r="J8675">
        <v>81</v>
      </c>
      <c r="K8675">
        <f>81-50-3311-7</f>
        <v>-3287</v>
      </c>
      <c r="L8675" t="s">
        <v>27159</v>
      </c>
      <c r="M8675" t="s">
        <v>27160</v>
      </c>
      <c r="N8675" t="s">
        <v>447</v>
      </c>
      <c r="O8675" t="s">
        <v>28</v>
      </c>
      <c r="P8675" t="s">
        <v>29</v>
      </c>
      <c r="Q8675">
        <v>42</v>
      </c>
      <c r="R8675">
        <v>-87.629800000000003</v>
      </c>
    </row>
    <row r="8676" spans="1:18" x14ac:dyDescent="0.2">
      <c r="A8676" t="s">
        <v>439</v>
      </c>
      <c r="B8676" t="s">
        <v>454</v>
      </c>
      <c r="C8676">
        <v>1</v>
      </c>
      <c r="D8676" s="1">
        <v>44248.632164351853</v>
      </c>
      <c r="E8676" t="s">
        <v>27161</v>
      </c>
      <c r="F8676" t="s">
        <v>442</v>
      </c>
      <c r="G8676" t="s">
        <v>27162</v>
      </c>
      <c r="H8676" t="s">
        <v>444</v>
      </c>
      <c r="I8676" t="s">
        <v>29</v>
      </c>
      <c r="J8676">
        <v>1</v>
      </c>
      <c r="K8676">
        <f>1-844-299-3250</f>
        <v>-4392</v>
      </c>
      <c r="L8676" t="s">
        <v>27163</v>
      </c>
      <c r="M8676" t="s">
        <v>27164</v>
      </c>
      <c r="N8676" t="s">
        <v>447</v>
      </c>
      <c r="O8676" t="s">
        <v>28</v>
      </c>
      <c r="P8676" t="s">
        <v>461</v>
      </c>
      <c r="Q8676">
        <v>52</v>
      </c>
      <c r="R8676">
        <v>4.8945400000000001</v>
      </c>
    </row>
    <row r="8677" spans="1:18" x14ac:dyDescent="0.2">
      <c r="A8677" t="s">
        <v>663</v>
      </c>
      <c r="B8677" t="s">
        <v>2500</v>
      </c>
      <c r="C8677">
        <v>1</v>
      </c>
      <c r="D8677" s="1">
        <v>44249.001458333332</v>
      </c>
      <c r="E8677" t="s">
        <v>27165</v>
      </c>
      <c r="F8677" t="s">
        <v>666</v>
      </c>
      <c r="G8677" t="s">
        <v>27165</v>
      </c>
      <c r="H8677" t="s">
        <v>667</v>
      </c>
      <c r="I8677" t="s">
        <v>29</v>
      </c>
      <c r="J8677">
        <v>1</v>
      </c>
      <c r="K8677">
        <f>1-844-325-2413</f>
        <v>-3581</v>
      </c>
      <c r="L8677" s="2" t="s">
        <v>27166</v>
      </c>
      <c r="M8677" t="s">
        <v>27167</v>
      </c>
      <c r="N8677">
        <v>78</v>
      </c>
      <c r="O8677" t="s">
        <v>134</v>
      </c>
      <c r="P8677" t="s">
        <v>2500</v>
      </c>
      <c r="Q8677">
        <v>1</v>
      </c>
      <c r="R8677">
        <v>99.999999000000003</v>
      </c>
    </row>
    <row r="8678" spans="1:18" x14ac:dyDescent="0.2">
      <c r="A8678" t="s">
        <v>439</v>
      </c>
      <c r="B8678" t="s">
        <v>454</v>
      </c>
      <c r="C8678">
        <v>1</v>
      </c>
      <c r="D8678" s="1">
        <v>44249.572500000002</v>
      </c>
      <c r="E8678" t="s">
        <v>27168</v>
      </c>
      <c r="F8678" t="s">
        <v>442</v>
      </c>
      <c r="G8678" t="s">
        <v>27169</v>
      </c>
      <c r="H8678" t="s">
        <v>444</v>
      </c>
      <c r="I8678" t="s">
        <v>29</v>
      </c>
      <c r="J8678">
        <v>1</v>
      </c>
      <c r="K8678">
        <f>1-844-243-4013</f>
        <v>-5099</v>
      </c>
      <c r="L8678" t="s">
        <v>27170</v>
      </c>
      <c r="M8678" t="s">
        <v>27171</v>
      </c>
      <c r="N8678" t="s">
        <v>447</v>
      </c>
      <c r="O8678" t="s">
        <v>28</v>
      </c>
      <c r="P8678" t="s">
        <v>461</v>
      </c>
      <c r="Q8678">
        <v>52</v>
      </c>
      <c r="R8678">
        <v>4.8945400000000001</v>
      </c>
    </row>
    <row r="8679" spans="1:18" x14ac:dyDescent="0.2">
      <c r="A8679" t="s">
        <v>663</v>
      </c>
      <c r="B8679" t="s">
        <v>5784</v>
      </c>
      <c r="C8679">
        <v>1</v>
      </c>
      <c r="D8679" s="1">
        <v>44249.703738425924</v>
      </c>
      <c r="E8679" t="s">
        <v>27172</v>
      </c>
      <c r="F8679" t="s">
        <v>666</v>
      </c>
      <c r="G8679" t="s">
        <v>27173</v>
      </c>
      <c r="H8679" t="s">
        <v>667</v>
      </c>
      <c r="I8679" t="s">
        <v>29</v>
      </c>
      <c r="J8679">
        <v>1</v>
      </c>
      <c r="K8679">
        <f>1-844-304-6044</f>
        <v>-7191</v>
      </c>
      <c r="L8679" t="s">
        <v>27174</v>
      </c>
      <c r="M8679" t="s">
        <v>27175</v>
      </c>
      <c r="N8679" t="s">
        <v>25263</v>
      </c>
      <c r="O8679" t="s">
        <v>28</v>
      </c>
      <c r="P8679" t="s">
        <v>5789</v>
      </c>
      <c r="Q8679">
        <v>13</v>
      </c>
      <c r="R8679">
        <v>77.585499999999996</v>
      </c>
    </row>
    <row r="8680" spans="1:18" x14ac:dyDescent="0.2">
      <c r="A8680" t="s">
        <v>439</v>
      </c>
      <c r="B8680" t="s">
        <v>4321</v>
      </c>
      <c r="C8680">
        <v>1</v>
      </c>
      <c r="D8680" s="1">
        <v>44249.768194444441</v>
      </c>
      <c r="E8680" t="s">
        <v>27176</v>
      </c>
      <c r="F8680" t="s">
        <v>442</v>
      </c>
      <c r="G8680" t="s">
        <v>27177</v>
      </c>
      <c r="H8680" t="s">
        <v>444</v>
      </c>
      <c r="I8680" t="s">
        <v>29</v>
      </c>
      <c r="J8680">
        <v>1</v>
      </c>
      <c r="K8680">
        <f>1-888-308-5863</f>
        <v>-7058</v>
      </c>
      <c r="L8680" s="2" t="s">
        <v>27178</v>
      </c>
      <c r="M8680" t="s">
        <v>27179</v>
      </c>
      <c r="N8680" t="s">
        <v>3441</v>
      </c>
      <c r="O8680" t="s">
        <v>28</v>
      </c>
      <c r="P8680" t="s">
        <v>29</v>
      </c>
      <c r="Q8680">
        <v>42</v>
      </c>
      <c r="R8680">
        <v>-87.629800000000003</v>
      </c>
    </row>
    <row r="8681" spans="1:18" x14ac:dyDescent="0.2">
      <c r="A8681" t="s">
        <v>439</v>
      </c>
      <c r="B8681" t="s">
        <v>4321</v>
      </c>
      <c r="C8681">
        <v>1</v>
      </c>
      <c r="D8681" s="1">
        <v>44249.765439814815</v>
      </c>
      <c r="E8681" t="s">
        <v>27176</v>
      </c>
      <c r="F8681" t="s">
        <v>442</v>
      </c>
      <c r="G8681" t="s">
        <v>27177</v>
      </c>
      <c r="H8681" t="s">
        <v>444</v>
      </c>
      <c r="I8681" t="s">
        <v>29</v>
      </c>
      <c r="J8681">
        <v>1</v>
      </c>
      <c r="K8681">
        <f>1-833-257-3196</f>
        <v>-4285</v>
      </c>
      <c r="L8681" s="2" t="s">
        <v>27180</v>
      </c>
      <c r="M8681" t="s">
        <v>27181</v>
      </c>
      <c r="N8681" t="s">
        <v>3441</v>
      </c>
      <c r="O8681" t="s">
        <v>28</v>
      </c>
      <c r="P8681" t="s">
        <v>29</v>
      </c>
      <c r="Q8681">
        <v>42</v>
      </c>
      <c r="R8681">
        <v>-87.629800000000003</v>
      </c>
    </row>
    <row r="8682" spans="1:18" x14ac:dyDescent="0.2">
      <c r="A8682" t="s">
        <v>10660</v>
      </c>
      <c r="B8682" t="s">
        <v>4281</v>
      </c>
      <c r="C8682">
        <v>1</v>
      </c>
      <c r="D8682" s="1">
        <v>44249.775787037041</v>
      </c>
      <c r="E8682" t="s">
        <v>27182</v>
      </c>
      <c r="F8682" t="s">
        <v>10662</v>
      </c>
      <c r="G8682" t="s">
        <v>27183</v>
      </c>
      <c r="H8682" t="s">
        <v>10664</v>
      </c>
      <c r="I8682" t="s">
        <v>29</v>
      </c>
      <c r="J8682">
        <v>1</v>
      </c>
      <c r="K8682">
        <f>1-888-585-5471</f>
        <v>-6943</v>
      </c>
      <c r="L8682" t="s">
        <v>27184</v>
      </c>
      <c r="M8682" t="s">
        <v>27185</v>
      </c>
      <c r="N8682" t="s">
        <v>5468</v>
      </c>
      <c r="O8682" t="s">
        <v>28</v>
      </c>
      <c r="P8682" t="s">
        <v>24</v>
      </c>
      <c r="Q8682">
        <v>50</v>
      </c>
      <c r="R8682">
        <v>8.6843000000000004</v>
      </c>
    </row>
    <row r="8683" spans="1:18" x14ac:dyDescent="0.2">
      <c r="A8683" t="s">
        <v>10660</v>
      </c>
      <c r="B8683" t="s">
        <v>4281</v>
      </c>
      <c r="C8683">
        <v>1</v>
      </c>
      <c r="D8683" s="1">
        <v>44249.726134259261</v>
      </c>
      <c r="E8683" t="s">
        <v>27186</v>
      </c>
      <c r="F8683" t="s">
        <v>10662</v>
      </c>
      <c r="G8683" t="s">
        <v>27183</v>
      </c>
      <c r="H8683" t="s">
        <v>10664</v>
      </c>
      <c r="I8683" t="s">
        <v>29</v>
      </c>
      <c r="J8683">
        <v>1</v>
      </c>
      <c r="K8683">
        <f>1-888-316-5239</f>
        <v>-6442</v>
      </c>
      <c r="L8683" t="s">
        <v>27187</v>
      </c>
      <c r="M8683" t="s">
        <v>27188</v>
      </c>
      <c r="N8683" t="s">
        <v>5468</v>
      </c>
      <c r="O8683" t="s">
        <v>28</v>
      </c>
      <c r="P8683" t="s">
        <v>24</v>
      </c>
      <c r="Q8683">
        <v>50</v>
      </c>
      <c r="R8683">
        <v>8.6843000000000004</v>
      </c>
    </row>
    <row r="8684" spans="1:18" x14ac:dyDescent="0.2">
      <c r="A8684" t="s">
        <v>439</v>
      </c>
      <c r="B8684" t="s">
        <v>4321</v>
      </c>
      <c r="C8684">
        <v>1</v>
      </c>
      <c r="D8684" s="1">
        <v>44249.782696759263</v>
      </c>
      <c r="E8684" t="s">
        <v>27189</v>
      </c>
      <c r="F8684" t="s">
        <v>442</v>
      </c>
      <c r="G8684" t="s">
        <v>27190</v>
      </c>
      <c r="H8684" t="s">
        <v>444</v>
      </c>
      <c r="I8684" t="s">
        <v>29</v>
      </c>
      <c r="J8684">
        <v>1</v>
      </c>
      <c r="K8684">
        <f>1-888-633-483</f>
        <v>-2003</v>
      </c>
      <c r="L8684" t="s">
        <v>27191</v>
      </c>
      <c r="M8684" t="s">
        <v>27192</v>
      </c>
      <c r="N8684" t="s">
        <v>5354</v>
      </c>
      <c r="O8684" t="s">
        <v>28</v>
      </c>
      <c r="P8684" t="s">
        <v>29</v>
      </c>
      <c r="Q8684">
        <v>42</v>
      </c>
      <c r="R8684">
        <v>-87.629800000000003</v>
      </c>
    </row>
    <row r="8685" spans="1:18" x14ac:dyDescent="0.2">
      <c r="A8685" t="s">
        <v>439</v>
      </c>
      <c r="B8685" t="s">
        <v>4321</v>
      </c>
      <c r="C8685">
        <v>1</v>
      </c>
      <c r="D8685" s="1">
        <v>44249.806481481479</v>
      </c>
      <c r="E8685" t="s">
        <v>27193</v>
      </c>
      <c r="F8685" t="s">
        <v>442</v>
      </c>
      <c r="G8685" t="s">
        <v>27194</v>
      </c>
      <c r="H8685" t="s">
        <v>444</v>
      </c>
      <c r="I8685" t="s">
        <v>29</v>
      </c>
      <c r="J8685">
        <v>1</v>
      </c>
      <c r="K8685">
        <f>1-888-662-8174</f>
        <v>-9723</v>
      </c>
      <c r="L8685" t="s">
        <v>27195</v>
      </c>
      <c r="M8685" t="s">
        <v>27196</v>
      </c>
      <c r="N8685" t="s">
        <v>447</v>
      </c>
      <c r="O8685" t="s">
        <v>28</v>
      </c>
      <c r="P8685" t="s">
        <v>29</v>
      </c>
      <c r="Q8685">
        <v>42</v>
      </c>
      <c r="R8685">
        <v>-87.629800000000003</v>
      </c>
    </row>
    <row r="8686" spans="1:18" x14ac:dyDescent="0.2">
      <c r="A8686" t="s">
        <v>663</v>
      </c>
      <c r="B8686" t="s">
        <v>2500</v>
      </c>
      <c r="C8686">
        <v>81</v>
      </c>
      <c r="D8686" s="1">
        <v>44249.818842592591</v>
      </c>
      <c r="E8686" t="s">
        <v>27197</v>
      </c>
      <c r="F8686" t="s">
        <v>666</v>
      </c>
      <c r="G8686" t="s">
        <v>27197</v>
      </c>
      <c r="H8686" t="s">
        <v>667</v>
      </c>
      <c r="I8686" t="s">
        <v>53</v>
      </c>
      <c r="J8686">
        <v>81</v>
      </c>
      <c r="K8686">
        <f>81-50-5534-8732</f>
        <v>-14235</v>
      </c>
      <c r="L8686" t="s">
        <v>27198</v>
      </c>
      <c r="M8686" t="s">
        <v>27199</v>
      </c>
      <c r="N8686">
        <v>207</v>
      </c>
      <c r="O8686" t="s">
        <v>134</v>
      </c>
      <c r="P8686" t="s">
        <v>2500</v>
      </c>
      <c r="Q8686">
        <v>1</v>
      </c>
      <c r="R8686">
        <v>99.999999000000003</v>
      </c>
    </row>
    <row r="8687" spans="1:18" x14ac:dyDescent="0.2">
      <c r="A8687" t="s">
        <v>663</v>
      </c>
      <c r="B8687" t="s">
        <v>664</v>
      </c>
      <c r="C8687">
        <v>1</v>
      </c>
      <c r="D8687" s="1">
        <v>44249.820775462962</v>
      </c>
      <c r="E8687" t="s">
        <v>27200</v>
      </c>
      <c r="F8687" t="s">
        <v>666</v>
      </c>
      <c r="G8687" t="s">
        <v>27200</v>
      </c>
      <c r="H8687" t="s">
        <v>667</v>
      </c>
      <c r="I8687" t="s">
        <v>29</v>
      </c>
      <c r="J8687">
        <v>1</v>
      </c>
      <c r="K8687">
        <f>1-888-386-8573</f>
        <v>-9846</v>
      </c>
      <c r="L8687" t="s">
        <v>27201</v>
      </c>
      <c r="M8687" t="s">
        <v>27202</v>
      </c>
      <c r="N8687">
        <v>102</v>
      </c>
      <c r="O8687" t="s">
        <v>134</v>
      </c>
      <c r="P8687" t="s">
        <v>29</v>
      </c>
      <c r="Q8687">
        <v>37</v>
      </c>
      <c r="R8687">
        <v>-99.999999000000003</v>
      </c>
    </row>
    <row r="8688" spans="1:18" x14ac:dyDescent="0.2">
      <c r="A8688" t="s">
        <v>439</v>
      </c>
      <c r="B8688" t="s">
        <v>4321</v>
      </c>
      <c r="C8688">
        <v>1</v>
      </c>
      <c r="D8688" s="1">
        <v>44249.82366898148</v>
      </c>
      <c r="E8688" t="s">
        <v>27203</v>
      </c>
      <c r="F8688" t="s">
        <v>442</v>
      </c>
      <c r="G8688" t="s">
        <v>27204</v>
      </c>
      <c r="H8688" t="s">
        <v>444</v>
      </c>
      <c r="I8688" t="s">
        <v>29</v>
      </c>
      <c r="J8688">
        <v>1</v>
      </c>
      <c r="K8688">
        <f>1-888-705-936</f>
        <v>-2528</v>
      </c>
      <c r="L8688" t="s">
        <v>27205</v>
      </c>
      <c r="M8688" t="s">
        <v>27206</v>
      </c>
      <c r="N8688" t="s">
        <v>27207</v>
      </c>
      <c r="O8688" t="s">
        <v>28</v>
      </c>
      <c r="P8688" t="s">
        <v>29</v>
      </c>
      <c r="Q8688">
        <v>42</v>
      </c>
      <c r="R8688">
        <v>-87.629800000000003</v>
      </c>
    </row>
    <row r="8689" spans="1:18" x14ac:dyDescent="0.2">
      <c r="A8689" t="s">
        <v>439</v>
      </c>
      <c r="B8689" t="s">
        <v>4321</v>
      </c>
      <c r="C8689">
        <v>1</v>
      </c>
      <c r="D8689" s="1">
        <v>44249.839062500003</v>
      </c>
      <c r="E8689" t="s">
        <v>27208</v>
      </c>
      <c r="F8689" t="s">
        <v>442</v>
      </c>
      <c r="G8689" t="s">
        <v>27209</v>
      </c>
      <c r="H8689" t="s">
        <v>444</v>
      </c>
      <c r="I8689" t="s">
        <v>29</v>
      </c>
      <c r="J8689">
        <v>1</v>
      </c>
      <c r="K8689">
        <f>1-888-383-571</f>
        <v>-1841</v>
      </c>
      <c r="L8689" t="s">
        <v>27210</v>
      </c>
      <c r="M8689" t="s">
        <v>27211</v>
      </c>
      <c r="N8689" t="s">
        <v>5354</v>
      </c>
      <c r="O8689" t="s">
        <v>28</v>
      </c>
      <c r="P8689" t="s">
        <v>29</v>
      </c>
      <c r="Q8689">
        <v>42</v>
      </c>
      <c r="R8689">
        <v>-87.629800000000003</v>
      </c>
    </row>
    <row r="8690" spans="1:18" x14ac:dyDescent="0.2">
      <c r="A8690" t="s">
        <v>663</v>
      </c>
      <c r="B8690" t="s">
        <v>3245</v>
      </c>
      <c r="C8690">
        <v>81</v>
      </c>
      <c r="D8690" s="1">
        <v>44251.547256944446</v>
      </c>
      <c r="E8690" t="s">
        <v>27212</v>
      </c>
      <c r="F8690" t="s">
        <v>666</v>
      </c>
      <c r="G8690" t="s">
        <v>27213</v>
      </c>
      <c r="H8690" t="s">
        <v>667</v>
      </c>
      <c r="I8690" t="s">
        <v>53</v>
      </c>
      <c r="J8690">
        <v>81</v>
      </c>
      <c r="K8690">
        <f>81-50-5532-7925</f>
        <v>-13426</v>
      </c>
      <c r="L8690" t="s">
        <v>27214</v>
      </c>
      <c r="M8690" t="s">
        <v>27215</v>
      </c>
      <c r="N8690" t="s">
        <v>452</v>
      </c>
      <c r="O8690" t="s">
        <v>28</v>
      </c>
      <c r="P8690" t="s">
        <v>29</v>
      </c>
      <c r="Q8690">
        <v>41</v>
      </c>
      <c r="R8690">
        <v>-74.140299999999996</v>
      </c>
    </row>
    <row r="8691" spans="1:18" x14ac:dyDescent="0.2">
      <c r="A8691" t="s">
        <v>663</v>
      </c>
      <c r="B8691" t="s">
        <v>3245</v>
      </c>
      <c r="C8691">
        <v>81</v>
      </c>
      <c r="D8691" s="1">
        <v>44249.868518518517</v>
      </c>
      <c r="E8691" t="s">
        <v>27216</v>
      </c>
      <c r="F8691" t="s">
        <v>666</v>
      </c>
      <c r="G8691" t="s">
        <v>27213</v>
      </c>
      <c r="H8691" t="s">
        <v>667</v>
      </c>
      <c r="I8691" t="s">
        <v>53</v>
      </c>
      <c r="J8691">
        <v>81</v>
      </c>
      <c r="K8691">
        <f>81-50-5532-5430</f>
        <v>-10931</v>
      </c>
      <c r="L8691" t="s">
        <v>27217</v>
      </c>
      <c r="M8691" t="s">
        <v>27218</v>
      </c>
      <c r="N8691" t="s">
        <v>452</v>
      </c>
      <c r="O8691" t="s">
        <v>28</v>
      </c>
      <c r="P8691" t="s">
        <v>29</v>
      </c>
      <c r="Q8691">
        <v>41</v>
      </c>
      <c r="R8691">
        <v>-74.140299999999996</v>
      </c>
    </row>
    <row r="8692" spans="1:18" x14ac:dyDescent="0.2">
      <c r="A8692" t="s">
        <v>663</v>
      </c>
      <c r="B8692" t="s">
        <v>2500</v>
      </c>
      <c r="C8692">
        <v>1</v>
      </c>
      <c r="D8692" s="1">
        <v>44249.877152777779</v>
      </c>
      <c r="E8692" t="s">
        <v>27219</v>
      </c>
      <c r="F8692" t="s">
        <v>666</v>
      </c>
      <c r="G8692" t="s">
        <v>27219</v>
      </c>
      <c r="H8692" t="s">
        <v>667</v>
      </c>
      <c r="I8692" t="s">
        <v>29</v>
      </c>
      <c r="J8692">
        <v>1</v>
      </c>
      <c r="K8692">
        <f>1-844-312-5804</f>
        <v>-6959</v>
      </c>
      <c r="L8692" t="s">
        <v>27220</v>
      </c>
      <c r="M8692" t="s">
        <v>27221</v>
      </c>
      <c r="N8692">
        <v>88</v>
      </c>
      <c r="O8692" t="s">
        <v>134</v>
      </c>
      <c r="P8692" t="s">
        <v>2500</v>
      </c>
      <c r="Q8692">
        <v>1</v>
      </c>
      <c r="R8692">
        <v>99.999999000000003</v>
      </c>
    </row>
    <row r="8693" spans="1:18" x14ac:dyDescent="0.2">
      <c r="A8693" t="s">
        <v>439</v>
      </c>
      <c r="B8693" t="s">
        <v>4321</v>
      </c>
      <c r="C8693">
        <v>1</v>
      </c>
      <c r="D8693" s="1">
        <v>44249.879282407404</v>
      </c>
      <c r="E8693" t="s">
        <v>27222</v>
      </c>
      <c r="F8693" t="s">
        <v>442</v>
      </c>
      <c r="G8693" t="s">
        <v>27223</v>
      </c>
      <c r="H8693" t="s">
        <v>444</v>
      </c>
      <c r="I8693" t="s">
        <v>29</v>
      </c>
      <c r="J8693">
        <v>1</v>
      </c>
      <c r="K8693">
        <f>1-888-663-107</f>
        <v>-1657</v>
      </c>
      <c r="L8693" t="s">
        <v>27224</v>
      </c>
      <c r="M8693" t="s">
        <v>27225</v>
      </c>
      <c r="N8693" t="s">
        <v>447</v>
      </c>
      <c r="O8693" t="s">
        <v>28</v>
      </c>
      <c r="P8693" t="s">
        <v>29</v>
      </c>
      <c r="Q8693">
        <v>42</v>
      </c>
      <c r="R8693">
        <v>-87.629800000000003</v>
      </c>
    </row>
    <row r="8694" spans="1:18" x14ac:dyDescent="0.2">
      <c r="A8694" t="s">
        <v>2233</v>
      </c>
      <c r="B8694" t="s">
        <v>2234</v>
      </c>
      <c r="C8694">
        <v>1</v>
      </c>
      <c r="D8694" s="1">
        <v>44250.849062499998</v>
      </c>
      <c r="E8694" t="s">
        <v>27226</v>
      </c>
      <c r="F8694" t="s">
        <v>2236</v>
      </c>
      <c r="G8694" t="s">
        <v>27227</v>
      </c>
      <c r="H8694" t="s">
        <v>2237</v>
      </c>
      <c r="I8694" t="s">
        <v>29</v>
      </c>
      <c r="J8694">
        <v>1</v>
      </c>
      <c r="K8694">
        <f>1-800-968-7175</f>
        <v>-8942</v>
      </c>
      <c r="L8694" t="s">
        <v>27228</v>
      </c>
      <c r="M8694" t="s">
        <v>27229</v>
      </c>
      <c r="N8694" t="s">
        <v>5354</v>
      </c>
      <c r="O8694" t="s">
        <v>28</v>
      </c>
      <c r="P8694" t="s">
        <v>29</v>
      </c>
      <c r="Q8694">
        <v>40</v>
      </c>
      <c r="R8694">
        <v>-83.114099999999993</v>
      </c>
    </row>
    <row r="8695" spans="1:18" x14ac:dyDescent="0.2">
      <c r="A8695" t="s">
        <v>2233</v>
      </c>
      <c r="B8695" t="s">
        <v>1638</v>
      </c>
      <c r="C8695">
        <v>81</v>
      </c>
      <c r="D8695" s="1">
        <v>44250.638564814813</v>
      </c>
      <c r="E8695" t="s">
        <v>27230</v>
      </c>
      <c r="F8695" t="s">
        <v>7023</v>
      </c>
      <c r="G8695" t="s">
        <v>27231</v>
      </c>
      <c r="H8695" t="s">
        <v>2237</v>
      </c>
      <c r="I8695" t="s">
        <v>53</v>
      </c>
      <c r="J8695">
        <v>81</v>
      </c>
      <c r="K8695">
        <f>81-50-3161-30</f>
        <v>-3160</v>
      </c>
      <c r="L8695" t="s">
        <v>27232</v>
      </c>
      <c r="M8695" t="s">
        <v>27233</v>
      </c>
      <c r="N8695" t="s">
        <v>278</v>
      </c>
      <c r="O8695" t="s">
        <v>134</v>
      </c>
      <c r="P8695" t="s">
        <v>292</v>
      </c>
      <c r="Q8695">
        <v>49</v>
      </c>
      <c r="R8695">
        <v>2.35222</v>
      </c>
    </row>
    <row r="8696" spans="1:18" x14ac:dyDescent="0.2">
      <c r="A8696" t="s">
        <v>439</v>
      </c>
      <c r="B8696" t="s">
        <v>4321</v>
      </c>
      <c r="C8696">
        <v>1</v>
      </c>
      <c r="D8696" s="1">
        <v>44250.686099537037</v>
      </c>
      <c r="E8696" t="s">
        <v>27234</v>
      </c>
      <c r="F8696" t="s">
        <v>442</v>
      </c>
      <c r="G8696" t="s">
        <v>27235</v>
      </c>
      <c r="H8696" t="s">
        <v>444</v>
      </c>
      <c r="I8696" t="s">
        <v>29</v>
      </c>
      <c r="J8696">
        <v>1</v>
      </c>
      <c r="K8696">
        <f>1-844-264-5322</f>
        <v>-6429</v>
      </c>
      <c r="L8696" t="s">
        <v>27236</v>
      </c>
      <c r="M8696" t="s">
        <v>27237</v>
      </c>
      <c r="N8696" t="s">
        <v>447</v>
      </c>
      <c r="O8696" t="s">
        <v>28</v>
      </c>
      <c r="P8696" t="s">
        <v>29</v>
      </c>
      <c r="Q8696">
        <v>42</v>
      </c>
      <c r="R8696">
        <v>-87.629800000000003</v>
      </c>
    </row>
    <row r="8697" spans="1:18" x14ac:dyDescent="0.2">
      <c r="A8697" t="s">
        <v>439</v>
      </c>
      <c r="B8697" t="s">
        <v>4321</v>
      </c>
      <c r="C8697">
        <v>1</v>
      </c>
      <c r="D8697" s="1">
        <v>44250.684039351851</v>
      </c>
      <c r="E8697" t="s">
        <v>27234</v>
      </c>
      <c r="F8697" t="s">
        <v>442</v>
      </c>
      <c r="G8697" t="s">
        <v>27235</v>
      </c>
      <c r="H8697" t="s">
        <v>444</v>
      </c>
      <c r="I8697" t="s">
        <v>29</v>
      </c>
      <c r="J8697">
        <v>1</v>
      </c>
      <c r="K8697">
        <f>1-844-303-5553</f>
        <v>-6699</v>
      </c>
      <c r="L8697" t="s">
        <v>27238</v>
      </c>
      <c r="M8697" t="s">
        <v>27239</v>
      </c>
      <c r="N8697" t="s">
        <v>447</v>
      </c>
      <c r="O8697" t="s">
        <v>28</v>
      </c>
      <c r="P8697" t="s">
        <v>29</v>
      </c>
      <c r="Q8697">
        <v>42</v>
      </c>
      <c r="R8697">
        <v>-87.629800000000003</v>
      </c>
    </row>
    <row r="8698" spans="1:18" x14ac:dyDescent="0.2">
      <c r="A8698" t="s">
        <v>2233</v>
      </c>
      <c r="B8698" t="s">
        <v>440</v>
      </c>
      <c r="C8698">
        <v>1</v>
      </c>
      <c r="D8698" s="1">
        <v>44250.624525462961</v>
      </c>
      <c r="E8698" t="s">
        <v>27240</v>
      </c>
      <c r="F8698" t="s">
        <v>2236</v>
      </c>
      <c r="G8698" t="s">
        <v>27241</v>
      </c>
      <c r="H8698" t="s">
        <v>2237</v>
      </c>
      <c r="I8698" t="s">
        <v>29</v>
      </c>
      <c r="J8698">
        <v>1</v>
      </c>
      <c r="K8698">
        <f>1-877-762-299</f>
        <v>-1937</v>
      </c>
      <c r="L8698" t="s">
        <v>27242</v>
      </c>
      <c r="M8698" t="s">
        <v>27243</v>
      </c>
      <c r="N8698" t="s">
        <v>5354</v>
      </c>
      <c r="O8698" t="s">
        <v>28</v>
      </c>
      <c r="P8698" t="s">
        <v>29</v>
      </c>
      <c r="Q8698">
        <v>39</v>
      </c>
      <c r="R8698">
        <v>-77.487399999999994</v>
      </c>
    </row>
    <row r="8699" spans="1:18" x14ac:dyDescent="0.2">
      <c r="A8699" t="s">
        <v>439</v>
      </c>
      <c r="B8699" t="s">
        <v>4321</v>
      </c>
      <c r="C8699">
        <v>81</v>
      </c>
      <c r="D8699" s="1">
        <v>44251.545995370368</v>
      </c>
      <c r="E8699" t="s">
        <v>27244</v>
      </c>
      <c r="F8699" t="s">
        <v>442</v>
      </c>
      <c r="G8699" t="s">
        <v>27245</v>
      </c>
      <c r="H8699" t="s">
        <v>444</v>
      </c>
      <c r="I8699" t="s">
        <v>53</v>
      </c>
      <c r="J8699">
        <v>81</v>
      </c>
      <c r="K8699">
        <f>81-50-3311-7</f>
        <v>-3287</v>
      </c>
      <c r="L8699" t="s">
        <v>27246</v>
      </c>
      <c r="M8699" t="s">
        <v>27247</v>
      </c>
      <c r="N8699" t="s">
        <v>447</v>
      </c>
      <c r="O8699" t="s">
        <v>28</v>
      </c>
      <c r="P8699" t="s">
        <v>29</v>
      </c>
      <c r="Q8699">
        <v>42</v>
      </c>
      <c r="R8699">
        <v>-87.629800000000003</v>
      </c>
    </row>
    <row r="8700" spans="1:18" x14ac:dyDescent="0.2">
      <c r="A8700" t="s">
        <v>663</v>
      </c>
      <c r="B8700" t="s">
        <v>5784</v>
      </c>
      <c r="C8700">
        <v>1</v>
      </c>
      <c r="D8700" s="1">
        <v>44251.640775462962</v>
      </c>
      <c r="E8700" t="s">
        <v>27248</v>
      </c>
      <c r="F8700" t="s">
        <v>666</v>
      </c>
      <c r="G8700" t="s">
        <v>27249</v>
      </c>
      <c r="H8700" t="s">
        <v>667</v>
      </c>
      <c r="I8700" t="s">
        <v>29</v>
      </c>
      <c r="J8700">
        <v>1</v>
      </c>
      <c r="K8700">
        <f>1-844-248-9776</f>
        <v>-10867</v>
      </c>
      <c r="L8700">
        <v>6036613067230</v>
      </c>
      <c r="M8700" t="s">
        <v>27250</v>
      </c>
      <c r="N8700" t="s">
        <v>25263</v>
      </c>
      <c r="O8700" t="s">
        <v>28</v>
      </c>
      <c r="P8700" t="s">
        <v>5789</v>
      </c>
      <c r="Q8700">
        <v>13</v>
      </c>
      <c r="R8700">
        <v>77.585499999999996</v>
      </c>
    </row>
    <row r="8701" spans="1:18" x14ac:dyDescent="0.2">
      <c r="A8701" t="s">
        <v>6660</v>
      </c>
      <c r="B8701" t="s">
        <v>27251</v>
      </c>
      <c r="C8701">
        <v>1</v>
      </c>
      <c r="D8701" s="1">
        <v>44272.894652777781</v>
      </c>
      <c r="E8701" t="s">
        <v>27252</v>
      </c>
      <c r="F8701" t="s">
        <v>6663</v>
      </c>
      <c r="G8701" t="s">
        <v>27253</v>
      </c>
      <c r="H8701" t="s">
        <v>6665</v>
      </c>
      <c r="I8701" t="s">
        <v>29</v>
      </c>
      <c r="J8701">
        <v>1</v>
      </c>
      <c r="K8701">
        <f>1-844-286-8369</f>
        <v>-9498</v>
      </c>
      <c r="L8701" t="s">
        <v>27254</v>
      </c>
      <c r="M8701" t="s">
        <v>27255</v>
      </c>
      <c r="N8701" t="s">
        <v>5354</v>
      </c>
      <c r="O8701" t="s">
        <v>28</v>
      </c>
      <c r="P8701" t="s">
        <v>618</v>
      </c>
      <c r="Q8701">
        <v>53</v>
      </c>
      <c r="R8701">
        <v>-2.2426300000000001</v>
      </c>
    </row>
    <row r="8702" spans="1:18" x14ac:dyDescent="0.2">
      <c r="A8702" t="s">
        <v>6660</v>
      </c>
      <c r="B8702" t="s">
        <v>27251</v>
      </c>
      <c r="C8702">
        <v>1</v>
      </c>
      <c r="D8702" s="1">
        <v>44250.799016203702</v>
      </c>
      <c r="E8702" t="s">
        <v>27256</v>
      </c>
      <c r="F8702" t="s">
        <v>6663</v>
      </c>
      <c r="G8702" t="s">
        <v>27253</v>
      </c>
      <c r="H8702" t="s">
        <v>6665</v>
      </c>
      <c r="I8702" t="s">
        <v>29</v>
      </c>
      <c r="J8702">
        <v>1</v>
      </c>
      <c r="K8702">
        <f>1-844-286-8369</f>
        <v>-9498</v>
      </c>
      <c r="L8702" t="s">
        <v>27257</v>
      </c>
      <c r="M8702" t="s">
        <v>27258</v>
      </c>
      <c r="N8702" t="s">
        <v>5354</v>
      </c>
      <c r="O8702" t="s">
        <v>134</v>
      </c>
      <c r="P8702" t="s">
        <v>618</v>
      </c>
      <c r="Q8702">
        <v>53</v>
      </c>
      <c r="R8702">
        <v>-2.2426300000000001</v>
      </c>
    </row>
    <row r="8703" spans="1:18" x14ac:dyDescent="0.2">
      <c r="A8703" t="s">
        <v>675</v>
      </c>
      <c r="B8703" t="s">
        <v>1412</v>
      </c>
      <c r="C8703">
        <v>1</v>
      </c>
      <c r="D8703" s="1">
        <v>44258.96465277778</v>
      </c>
      <c r="E8703" t="s">
        <v>27259</v>
      </c>
      <c r="F8703" t="s">
        <v>678</v>
      </c>
      <c r="G8703" t="s">
        <v>27260</v>
      </c>
      <c r="H8703" t="s">
        <v>680</v>
      </c>
      <c r="I8703" t="s">
        <v>29</v>
      </c>
      <c r="J8703">
        <v>1</v>
      </c>
      <c r="K8703">
        <f>1-888-884-9027</f>
        <v>-10798</v>
      </c>
      <c r="L8703" t="s">
        <v>27261</v>
      </c>
      <c r="M8703" t="s">
        <v>27262</v>
      </c>
      <c r="N8703" t="s">
        <v>452</v>
      </c>
      <c r="O8703" t="s">
        <v>28</v>
      </c>
      <c r="P8703" t="s">
        <v>29</v>
      </c>
      <c r="Q8703">
        <v>41</v>
      </c>
      <c r="R8703">
        <v>-74.172399999999996</v>
      </c>
    </row>
    <row r="8704" spans="1:18" x14ac:dyDescent="0.2">
      <c r="A8704" t="s">
        <v>675</v>
      </c>
      <c r="B8704" t="s">
        <v>1412</v>
      </c>
      <c r="C8704">
        <v>1</v>
      </c>
      <c r="D8704" s="1">
        <v>44250.799351851849</v>
      </c>
      <c r="E8704" t="s">
        <v>27263</v>
      </c>
      <c r="F8704" t="s">
        <v>678</v>
      </c>
      <c r="G8704" t="s">
        <v>27260</v>
      </c>
      <c r="H8704" t="s">
        <v>680</v>
      </c>
      <c r="I8704" t="s">
        <v>29</v>
      </c>
      <c r="J8704">
        <v>1</v>
      </c>
      <c r="K8704">
        <f>1-888-501-301</f>
        <v>-1689</v>
      </c>
      <c r="L8704" t="s">
        <v>27264</v>
      </c>
      <c r="M8704" t="s">
        <v>27265</v>
      </c>
      <c r="N8704" t="s">
        <v>452</v>
      </c>
      <c r="O8704" t="s">
        <v>134</v>
      </c>
      <c r="P8704" t="s">
        <v>29</v>
      </c>
      <c r="Q8704">
        <v>41</v>
      </c>
      <c r="R8704">
        <v>-74.172399999999996</v>
      </c>
    </row>
    <row r="8705" spans="1:18" x14ac:dyDescent="0.2">
      <c r="A8705" t="s">
        <v>439</v>
      </c>
      <c r="B8705" t="s">
        <v>4321</v>
      </c>
      <c r="C8705">
        <v>1</v>
      </c>
      <c r="D8705" s="1">
        <v>44251.672962962963</v>
      </c>
      <c r="E8705" t="s">
        <v>27266</v>
      </c>
      <c r="F8705" t="s">
        <v>442</v>
      </c>
      <c r="G8705" t="s">
        <v>27267</v>
      </c>
      <c r="H8705" t="s">
        <v>444</v>
      </c>
      <c r="I8705" t="s">
        <v>29</v>
      </c>
      <c r="J8705">
        <v>1</v>
      </c>
      <c r="K8705">
        <f>1-888-374-611</f>
        <v>-1872</v>
      </c>
      <c r="L8705" t="s">
        <v>27268</v>
      </c>
      <c r="M8705" t="s">
        <v>27269</v>
      </c>
      <c r="N8705" t="s">
        <v>213</v>
      </c>
      <c r="O8705" t="s">
        <v>28</v>
      </c>
      <c r="P8705" t="s">
        <v>29</v>
      </c>
      <c r="Q8705">
        <v>42</v>
      </c>
      <c r="R8705">
        <v>-87.629800000000003</v>
      </c>
    </row>
    <row r="8706" spans="1:18" x14ac:dyDescent="0.2">
      <c r="A8706" t="s">
        <v>270</v>
      </c>
      <c r="B8706" t="s">
        <v>1212</v>
      </c>
      <c r="C8706">
        <v>1</v>
      </c>
      <c r="D8706" s="1">
        <v>44277.824988425928</v>
      </c>
      <c r="E8706" t="s">
        <v>27270</v>
      </c>
      <c r="F8706" t="s">
        <v>273</v>
      </c>
      <c r="G8706" t="s">
        <v>27271</v>
      </c>
      <c r="H8706" t="s">
        <v>275</v>
      </c>
      <c r="I8706" t="s">
        <v>29</v>
      </c>
      <c r="J8706">
        <v>1</v>
      </c>
      <c r="K8706">
        <f>1-844-336-4041</f>
        <v>-5220</v>
      </c>
      <c r="L8706" t="s">
        <v>27272</v>
      </c>
      <c r="M8706" t="s">
        <v>27273</v>
      </c>
      <c r="N8706" t="s">
        <v>278</v>
      </c>
      <c r="O8706" t="s">
        <v>28</v>
      </c>
      <c r="P8706" t="s">
        <v>618</v>
      </c>
      <c r="Q8706">
        <v>52</v>
      </c>
      <c r="R8706">
        <v>-7.9212000000000005E-2</v>
      </c>
    </row>
    <row r="8707" spans="1:18" x14ac:dyDescent="0.2">
      <c r="A8707" t="s">
        <v>270</v>
      </c>
      <c r="B8707" t="s">
        <v>1212</v>
      </c>
      <c r="C8707">
        <v>1</v>
      </c>
      <c r="D8707" s="1">
        <v>44264.883472222224</v>
      </c>
      <c r="E8707" t="s">
        <v>27274</v>
      </c>
      <c r="F8707" t="s">
        <v>273</v>
      </c>
      <c r="G8707" t="s">
        <v>27271</v>
      </c>
      <c r="H8707" t="s">
        <v>275</v>
      </c>
      <c r="I8707" t="s">
        <v>29</v>
      </c>
      <c r="J8707">
        <v>1</v>
      </c>
      <c r="K8707">
        <f>1-844-257-5436</f>
        <v>-6536</v>
      </c>
      <c r="L8707" t="s">
        <v>27275</v>
      </c>
      <c r="M8707" t="s">
        <v>27276</v>
      </c>
      <c r="N8707" t="s">
        <v>278</v>
      </c>
      <c r="O8707" t="s">
        <v>28</v>
      </c>
      <c r="P8707" t="s">
        <v>618</v>
      </c>
      <c r="Q8707">
        <v>52</v>
      </c>
      <c r="R8707">
        <v>-7.9212000000000005E-2</v>
      </c>
    </row>
    <row r="8708" spans="1:18" x14ac:dyDescent="0.2">
      <c r="A8708" t="s">
        <v>270</v>
      </c>
      <c r="B8708" t="s">
        <v>1212</v>
      </c>
      <c r="C8708">
        <v>1</v>
      </c>
      <c r="D8708" s="1">
        <v>44264.876620370371</v>
      </c>
      <c r="E8708" t="s">
        <v>27277</v>
      </c>
      <c r="F8708" t="s">
        <v>273</v>
      </c>
      <c r="G8708" t="s">
        <v>27271</v>
      </c>
      <c r="H8708" t="s">
        <v>275</v>
      </c>
      <c r="I8708" t="s">
        <v>29</v>
      </c>
      <c r="J8708">
        <v>1</v>
      </c>
      <c r="K8708">
        <f>1-844-335-8752</f>
        <v>-9930</v>
      </c>
      <c r="L8708" t="s">
        <v>27278</v>
      </c>
      <c r="M8708" t="s">
        <v>27279</v>
      </c>
      <c r="N8708" t="s">
        <v>278</v>
      </c>
      <c r="O8708" t="s">
        <v>28</v>
      </c>
      <c r="P8708" t="s">
        <v>618</v>
      </c>
      <c r="Q8708">
        <v>52</v>
      </c>
      <c r="R8708">
        <v>-7.9212000000000005E-2</v>
      </c>
    </row>
    <row r="8709" spans="1:18" x14ac:dyDescent="0.2">
      <c r="A8709" t="s">
        <v>270</v>
      </c>
      <c r="B8709" t="s">
        <v>1212</v>
      </c>
      <c r="C8709">
        <v>1</v>
      </c>
      <c r="D8709" s="1">
        <v>44252.892604166664</v>
      </c>
      <c r="E8709" t="s">
        <v>27280</v>
      </c>
      <c r="F8709" t="s">
        <v>273</v>
      </c>
      <c r="G8709" t="s">
        <v>27271</v>
      </c>
      <c r="H8709" t="s">
        <v>275</v>
      </c>
      <c r="I8709" t="s">
        <v>29</v>
      </c>
      <c r="J8709">
        <v>1</v>
      </c>
      <c r="K8709">
        <f>1-888-609-3819</f>
        <v>-5315</v>
      </c>
      <c r="L8709" t="s">
        <v>27281</v>
      </c>
      <c r="M8709" t="s">
        <v>27282</v>
      </c>
      <c r="N8709" t="s">
        <v>278</v>
      </c>
      <c r="O8709" t="s">
        <v>28</v>
      </c>
      <c r="P8709" t="s">
        <v>618</v>
      </c>
      <c r="Q8709">
        <v>52</v>
      </c>
      <c r="R8709">
        <v>-7.9212000000000005E-2</v>
      </c>
    </row>
    <row r="8710" spans="1:18" x14ac:dyDescent="0.2">
      <c r="A8710" t="s">
        <v>270</v>
      </c>
      <c r="B8710" t="s">
        <v>1212</v>
      </c>
      <c r="C8710">
        <v>1</v>
      </c>
      <c r="D8710" s="1">
        <v>44252.821574074071</v>
      </c>
      <c r="E8710" t="s">
        <v>27283</v>
      </c>
      <c r="F8710" t="s">
        <v>273</v>
      </c>
      <c r="G8710" t="s">
        <v>27271</v>
      </c>
      <c r="H8710" t="s">
        <v>275</v>
      </c>
      <c r="I8710" t="s">
        <v>29</v>
      </c>
      <c r="J8710">
        <v>1</v>
      </c>
      <c r="K8710">
        <f>1-888-605-5023</f>
        <v>-6515</v>
      </c>
      <c r="L8710" t="s">
        <v>27284</v>
      </c>
      <c r="M8710" t="s">
        <v>27285</v>
      </c>
      <c r="N8710" t="s">
        <v>278</v>
      </c>
      <c r="O8710" t="s">
        <v>28</v>
      </c>
      <c r="P8710" t="s">
        <v>618</v>
      </c>
      <c r="Q8710">
        <v>52</v>
      </c>
      <c r="R8710">
        <v>-7.9212000000000005E-2</v>
      </c>
    </row>
    <row r="8711" spans="1:18" x14ac:dyDescent="0.2">
      <c r="A8711" t="s">
        <v>270</v>
      </c>
      <c r="B8711" t="s">
        <v>1212</v>
      </c>
      <c r="C8711">
        <v>1</v>
      </c>
      <c r="D8711" s="1">
        <v>44251.754953703705</v>
      </c>
      <c r="E8711" t="s">
        <v>27286</v>
      </c>
      <c r="F8711" t="s">
        <v>273</v>
      </c>
      <c r="G8711" t="s">
        <v>27271</v>
      </c>
      <c r="H8711" t="s">
        <v>275</v>
      </c>
      <c r="I8711" t="s">
        <v>29</v>
      </c>
      <c r="J8711">
        <v>1</v>
      </c>
      <c r="K8711">
        <f>1-888-593-8133</f>
        <v>-9613</v>
      </c>
      <c r="L8711" t="s">
        <v>27287</v>
      </c>
      <c r="M8711" t="s">
        <v>27288</v>
      </c>
      <c r="N8711" t="s">
        <v>278</v>
      </c>
      <c r="O8711" t="s">
        <v>28</v>
      </c>
      <c r="P8711" t="s">
        <v>618</v>
      </c>
      <c r="Q8711">
        <v>52</v>
      </c>
      <c r="R8711">
        <v>-7.9212000000000005E-2</v>
      </c>
    </row>
    <row r="8712" spans="1:18" x14ac:dyDescent="0.2">
      <c r="A8712" t="s">
        <v>439</v>
      </c>
      <c r="B8712" t="s">
        <v>4321</v>
      </c>
      <c r="C8712">
        <v>1</v>
      </c>
      <c r="D8712" s="1">
        <v>44251.814837962964</v>
      </c>
      <c r="E8712" t="s">
        <v>27289</v>
      </c>
      <c r="F8712" t="s">
        <v>442</v>
      </c>
      <c r="G8712" t="s">
        <v>27290</v>
      </c>
      <c r="H8712" t="s">
        <v>444</v>
      </c>
      <c r="I8712" t="s">
        <v>29</v>
      </c>
      <c r="J8712">
        <v>1</v>
      </c>
      <c r="K8712">
        <f>1-844-329-2072</f>
        <v>-3244</v>
      </c>
      <c r="L8712" t="s">
        <v>27291</v>
      </c>
      <c r="M8712" t="s">
        <v>27292</v>
      </c>
      <c r="N8712" t="s">
        <v>447</v>
      </c>
      <c r="O8712" t="s">
        <v>28</v>
      </c>
      <c r="P8712" t="s">
        <v>29</v>
      </c>
      <c r="Q8712">
        <v>42</v>
      </c>
      <c r="R8712">
        <v>-87.629800000000003</v>
      </c>
    </row>
    <row r="8713" spans="1:18" x14ac:dyDescent="0.2">
      <c r="A8713" t="s">
        <v>439</v>
      </c>
      <c r="B8713" t="s">
        <v>4321</v>
      </c>
      <c r="C8713">
        <v>1</v>
      </c>
      <c r="D8713" s="1">
        <v>44251.816041666665</v>
      </c>
      <c r="E8713" t="s">
        <v>27289</v>
      </c>
      <c r="F8713" t="s">
        <v>442</v>
      </c>
      <c r="G8713" t="s">
        <v>27293</v>
      </c>
      <c r="H8713" t="s">
        <v>444</v>
      </c>
      <c r="I8713" t="s">
        <v>29</v>
      </c>
      <c r="J8713">
        <v>1</v>
      </c>
      <c r="K8713">
        <f>1-833-316-6063</f>
        <v>-7211</v>
      </c>
      <c r="L8713" t="s">
        <v>27294</v>
      </c>
      <c r="M8713" t="s">
        <v>27295</v>
      </c>
      <c r="N8713" t="s">
        <v>447</v>
      </c>
      <c r="O8713" t="s">
        <v>28</v>
      </c>
      <c r="P8713" t="s">
        <v>29</v>
      </c>
      <c r="Q8713">
        <v>42</v>
      </c>
      <c r="R8713">
        <v>-87.629800000000003</v>
      </c>
    </row>
    <row r="8714" spans="1:18" x14ac:dyDescent="0.2">
      <c r="A8714" t="s">
        <v>663</v>
      </c>
      <c r="B8714" t="s">
        <v>2500</v>
      </c>
      <c r="C8714">
        <v>1</v>
      </c>
      <c r="D8714" s="1">
        <v>44251.836643518516</v>
      </c>
      <c r="E8714" t="s">
        <v>27296</v>
      </c>
      <c r="F8714" t="s">
        <v>666</v>
      </c>
      <c r="G8714" t="s">
        <v>27296</v>
      </c>
      <c r="H8714" t="s">
        <v>667</v>
      </c>
      <c r="I8714" t="s">
        <v>29</v>
      </c>
      <c r="J8714">
        <v>1</v>
      </c>
      <c r="K8714">
        <f>1-844-325-1697</f>
        <v>-2865</v>
      </c>
      <c r="L8714" t="s">
        <v>27297</v>
      </c>
      <c r="M8714" t="s">
        <v>27298</v>
      </c>
      <c r="N8714">
        <v>218</v>
      </c>
      <c r="O8714" t="s">
        <v>134</v>
      </c>
      <c r="P8714" t="s">
        <v>2500</v>
      </c>
      <c r="Q8714">
        <v>1</v>
      </c>
      <c r="R8714">
        <v>99.999999000000003</v>
      </c>
    </row>
    <row r="8715" spans="1:18" x14ac:dyDescent="0.2">
      <c r="A8715" t="s">
        <v>2233</v>
      </c>
      <c r="B8715" t="s">
        <v>2234</v>
      </c>
      <c r="C8715">
        <v>1</v>
      </c>
      <c r="D8715" s="1">
        <v>44251.845358796294</v>
      </c>
      <c r="E8715" t="s">
        <v>25177</v>
      </c>
      <c r="F8715" t="s">
        <v>2236</v>
      </c>
      <c r="G8715" t="s">
        <v>27299</v>
      </c>
      <c r="H8715" t="s">
        <v>2237</v>
      </c>
      <c r="I8715" t="s">
        <v>29</v>
      </c>
      <c r="J8715">
        <v>1</v>
      </c>
      <c r="K8715">
        <f>1-888-316-3842</f>
        <v>-5045</v>
      </c>
      <c r="L8715" t="s">
        <v>27300</v>
      </c>
      <c r="M8715" t="s">
        <v>27301</v>
      </c>
      <c r="N8715" t="s">
        <v>5354</v>
      </c>
      <c r="O8715" t="s">
        <v>134</v>
      </c>
      <c r="P8715" t="s">
        <v>29</v>
      </c>
      <c r="Q8715">
        <v>40</v>
      </c>
      <c r="R8715">
        <v>-83.114099999999993</v>
      </c>
    </row>
    <row r="8716" spans="1:18" x14ac:dyDescent="0.2">
      <c r="A8716" t="s">
        <v>663</v>
      </c>
      <c r="B8716" t="s">
        <v>5784</v>
      </c>
      <c r="C8716">
        <v>1</v>
      </c>
      <c r="D8716" s="1">
        <v>44252.658425925925</v>
      </c>
      <c r="E8716" t="s">
        <v>27302</v>
      </c>
      <c r="F8716" t="s">
        <v>666</v>
      </c>
      <c r="G8716" t="s">
        <v>27303</v>
      </c>
      <c r="H8716" t="s">
        <v>667</v>
      </c>
      <c r="I8716" t="s">
        <v>29</v>
      </c>
      <c r="J8716">
        <v>1</v>
      </c>
      <c r="K8716">
        <f>1-844-383-6879</f>
        <v>-8105</v>
      </c>
      <c r="L8716" t="s">
        <v>27304</v>
      </c>
      <c r="M8716" t="s">
        <v>27305</v>
      </c>
      <c r="N8716" t="s">
        <v>25263</v>
      </c>
      <c r="O8716" t="s">
        <v>28</v>
      </c>
      <c r="P8716" t="s">
        <v>5789</v>
      </c>
      <c r="Q8716">
        <v>13</v>
      </c>
      <c r="R8716">
        <v>77.585499999999996</v>
      </c>
    </row>
    <row r="8717" spans="1:18" x14ac:dyDescent="0.2">
      <c r="A8717" t="s">
        <v>439</v>
      </c>
      <c r="B8717" t="s">
        <v>4321</v>
      </c>
      <c r="C8717">
        <v>1</v>
      </c>
      <c r="D8717" s="1">
        <v>44252.652361111112</v>
      </c>
      <c r="E8717" t="s">
        <v>27306</v>
      </c>
      <c r="F8717" t="s">
        <v>442</v>
      </c>
      <c r="G8717" t="s">
        <v>27307</v>
      </c>
      <c r="H8717" t="s">
        <v>444</v>
      </c>
      <c r="I8717" t="s">
        <v>29</v>
      </c>
      <c r="J8717">
        <v>1</v>
      </c>
      <c r="K8717">
        <f>1-844-400-2260</f>
        <v>-3503</v>
      </c>
      <c r="L8717" t="s">
        <v>27308</v>
      </c>
      <c r="M8717" t="s">
        <v>27309</v>
      </c>
      <c r="N8717" t="s">
        <v>447</v>
      </c>
      <c r="O8717" t="s">
        <v>28</v>
      </c>
      <c r="P8717" t="s">
        <v>29</v>
      </c>
      <c r="Q8717">
        <v>42</v>
      </c>
      <c r="R8717">
        <v>-87.629800000000003</v>
      </c>
    </row>
    <row r="8718" spans="1:18" x14ac:dyDescent="0.2">
      <c r="A8718" t="s">
        <v>439</v>
      </c>
      <c r="B8718" t="s">
        <v>4321</v>
      </c>
      <c r="C8718">
        <v>81</v>
      </c>
      <c r="D8718" s="1">
        <v>44252.658055555556</v>
      </c>
      <c r="E8718" t="s">
        <v>27310</v>
      </c>
      <c r="F8718" t="s">
        <v>442</v>
      </c>
      <c r="G8718" t="s">
        <v>27311</v>
      </c>
      <c r="H8718" t="s">
        <v>444</v>
      </c>
      <c r="I8718" t="s">
        <v>53</v>
      </c>
      <c r="J8718">
        <v>81</v>
      </c>
      <c r="K8718">
        <f>81-50-5534-9663</f>
        <v>-15166</v>
      </c>
      <c r="L8718" t="s">
        <v>27312</v>
      </c>
      <c r="M8718" t="s">
        <v>27313</v>
      </c>
      <c r="N8718" t="s">
        <v>213</v>
      </c>
      <c r="O8718" t="s">
        <v>28</v>
      </c>
      <c r="P8718" t="s">
        <v>29</v>
      </c>
      <c r="Q8718">
        <v>42</v>
      </c>
      <c r="R8718">
        <v>-87.629800000000003</v>
      </c>
    </row>
    <row r="8719" spans="1:18" x14ac:dyDescent="0.2">
      <c r="A8719" t="s">
        <v>439</v>
      </c>
      <c r="B8719" t="s">
        <v>4321</v>
      </c>
      <c r="C8719">
        <v>1</v>
      </c>
      <c r="D8719" s="1">
        <v>44252.703159722223</v>
      </c>
      <c r="E8719" t="s">
        <v>27314</v>
      </c>
      <c r="F8719" t="s">
        <v>442</v>
      </c>
      <c r="G8719" t="s">
        <v>27315</v>
      </c>
      <c r="H8719" t="s">
        <v>444</v>
      </c>
      <c r="I8719" t="s">
        <v>29</v>
      </c>
      <c r="J8719">
        <v>1</v>
      </c>
      <c r="K8719">
        <f>1-888-599-2660</f>
        <v>-4146</v>
      </c>
      <c r="L8719" t="s">
        <v>27316</v>
      </c>
      <c r="M8719" t="s">
        <v>27317</v>
      </c>
      <c r="N8719" t="s">
        <v>452</v>
      </c>
      <c r="O8719" t="s">
        <v>28</v>
      </c>
      <c r="P8719" t="s">
        <v>29</v>
      </c>
      <c r="Q8719">
        <v>42</v>
      </c>
      <c r="R8719">
        <v>-87.629800000000003</v>
      </c>
    </row>
    <row r="8720" spans="1:18" x14ac:dyDescent="0.2">
      <c r="A8720" t="s">
        <v>439</v>
      </c>
      <c r="B8720" t="s">
        <v>4321</v>
      </c>
      <c r="C8720">
        <v>1</v>
      </c>
      <c r="D8720" s="1">
        <v>44252.703043981484</v>
      </c>
      <c r="E8720" t="s">
        <v>27314</v>
      </c>
      <c r="F8720" t="s">
        <v>442</v>
      </c>
      <c r="G8720" t="s">
        <v>27315</v>
      </c>
      <c r="H8720" t="s">
        <v>444</v>
      </c>
      <c r="I8720" t="s">
        <v>29</v>
      </c>
      <c r="J8720">
        <v>1</v>
      </c>
      <c r="K8720">
        <f>1-844-350-8479</f>
        <v>-9672</v>
      </c>
      <c r="L8720" t="s">
        <v>27318</v>
      </c>
      <c r="M8720" t="s">
        <v>27319</v>
      </c>
      <c r="N8720" t="s">
        <v>452</v>
      </c>
      <c r="O8720" t="s">
        <v>28</v>
      </c>
      <c r="P8720" t="s">
        <v>29</v>
      </c>
      <c r="Q8720">
        <v>42</v>
      </c>
      <c r="R8720">
        <v>-87.629800000000003</v>
      </c>
    </row>
    <row r="8721" spans="1:18" x14ac:dyDescent="0.2">
      <c r="A8721" t="s">
        <v>439</v>
      </c>
      <c r="B8721" t="s">
        <v>4321</v>
      </c>
      <c r="C8721">
        <v>1</v>
      </c>
      <c r="D8721" s="1">
        <v>44252.702939814815</v>
      </c>
      <c r="E8721" t="s">
        <v>27314</v>
      </c>
      <c r="F8721" t="s">
        <v>442</v>
      </c>
      <c r="G8721" t="s">
        <v>27315</v>
      </c>
      <c r="H8721" t="s">
        <v>444</v>
      </c>
      <c r="I8721" t="s">
        <v>29</v>
      </c>
      <c r="J8721">
        <v>1</v>
      </c>
      <c r="K8721">
        <f>1-888-526-6152</f>
        <v>-7565</v>
      </c>
      <c r="L8721" t="s">
        <v>27320</v>
      </c>
      <c r="M8721" t="s">
        <v>27321</v>
      </c>
      <c r="N8721" t="s">
        <v>452</v>
      </c>
      <c r="O8721" t="s">
        <v>28</v>
      </c>
      <c r="P8721" t="s">
        <v>29</v>
      </c>
      <c r="Q8721">
        <v>42</v>
      </c>
      <c r="R8721">
        <v>-87.629800000000003</v>
      </c>
    </row>
    <row r="8722" spans="1:18" x14ac:dyDescent="0.2">
      <c r="A8722" t="s">
        <v>439</v>
      </c>
      <c r="B8722" t="s">
        <v>4321</v>
      </c>
      <c r="C8722">
        <v>1</v>
      </c>
      <c r="D8722" s="1">
        <v>44252.702847222223</v>
      </c>
      <c r="E8722" t="s">
        <v>27314</v>
      </c>
      <c r="F8722" t="s">
        <v>442</v>
      </c>
      <c r="G8722" t="s">
        <v>27315</v>
      </c>
      <c r="H8722" t="s">
        <v>444</v>
      </c>
      <c r="I8722" t="s">
        <v>29</v>
      </c>
      <c r="J8722">
        <v>1</v>
      </c>
      <c r="K8722">
        <f>1-888-291-184</f>
        <v>-1362</v>
      </c>
      <c r="L8722" t="s">
        <v>27322</v>
      </c>
      <c r="M8722" t="s">
        <v>27323</v>
      </c>
      <c r="N8722" t="s">
        <v>452</v>
      </c>
      <c r="O8722" t="s">
        <v>28</v>
      </c>
      <c r="P8722" t="s">
        <v>29</v>
      </c>
      <c r="Q8722">
        <v>42</v>
      </c>
      <c r="R8722">
        <v>-87.629800000000003</v>
      </c>
    </row>
    <row r="8723" spans="1:18" x14ac:dyDescent="0.2">
      <c r="A8723" t="s">
        <v>439</v>
      </c>
      <c r="B8723" t="s">
        <v>4321</v>
      </c>
      <c r="C8723">
        <v>1</v>
      </c>
      <c r="D8723" s="1">
        <v>44252.701585648145</v>
      </c>
      <c r="E8723" t="s">
        <v>27314</v>
      </c>
      <c r="F8723" t="s">
        <v>442</v>
      </c>
      <c r="G8723" t="s">
        <v>27315</v>
      </c>
      <c r="H8723" t="s">
        <v>444</v>
      </c>
      <c r="I8723" t="s">
        <v>29</v>
      </c>
      <c r="J8723">
        <v>1</v>
      </c>
      <c r="K8723">
        <f>1-888-615-539</f>
        <v>-2041</v>
      </c>
      <c r="L8723" t="s">
        <v>27324</v>
      </c>
      <c r="M8723" t="s">
        <v>27325</v>
      </c>
      <c r="N8723" t="s">
        <v>452</v>
      </c>
      <c r="O8723" t="s">
        <v>28</v>
      </c>
      <c r="P8723" t="s">
        <v>29</v>
      </c>
      <c r="Q8723">
        <v>42</v>
      </c>
      <c r="R8723">
        <v>-87.629800000000003</v>
      </c>
    </row>
    <row r="8724" spans="1:18" x14ac:dyDescent="0.2">
      <c r="A8724" t="s">
        <v>2349</v>
      </c>
      <c r="B8724" t="s">
        <v>454</v>
      </c>
      <c r="C8724">
        <v>49</v>
      </c>
      <c r="D8724" s="1">
        <v>44252.72928240741</v>
      </c>
      <c r="E8724" t="s">
        <v>27326</v>
      </c>
      <c r="F8724" t="s">
        <v>4584</v>
      </c>
      <c r="G8724" t="s">
        <v>27327</v>
      </c>
      <c r="H8724" t="s">
        <v>2353</v>
      </c>
      <c r="I8724" t="s">
        <v>24</v>
      </c>
      <c r="J8724">
        <v>49</v>
      </c>
      <c r="K8724">
        <f>49-713-1774-995</f>
        <v>-3433</v>
      </c>
      <c r="L8724" t="s">
        <v>27328</v>
      </c>
      <c r="M8724" t="s">
        <v>27329</v>
      </c>
      <c r="N8724" t="s">
        <v>452</v>
      </c>
      <c r="O8724" t="s">
        <v>28</v>
      </c>
      <c r="P8724" t="s">
        <v>461</v>
      </c>
      <c r="Q8724">
        <v>52</v>
      </c>
      <c r="R8724">
        <v>4.6562999999999999</v>
      </c>
    </row>
    <row r="8725" spans="1:18" x14ac:dyDescent="0.2">
      <c r="A8725" t="s">
        <v>439</v>
      </c>
      <c r="B8725" t="s">
        <v>4321</v>
      </c>
      <c r="C8725">
        <v>1</v>
      </c>
      <c r="D8725" s="1">
        <v>44252.783495370371</v>
      </c>
      <c r="E8725" t="s">
        <v>27330</v>
      </c>
      <c r="F8725" t="s">
        <v>442</v>
      </c>
      <c r="G8725" t="s">
        <v>27331</v>
      </c>
      <c r="H8725" t="s">
        <v>444</v>
      </c>
      <c r="I8725" t="s">
        <v>29</v>
      </c>
      <c r="J8725">
        <v>1</v>
      </c>
      <c r="K8725">
        <f>1-844-288-4118</f>
        <v>-5249</v>
      </c>
      <c r="L8725" t="s">
        <v>27332</v>
      </c>
      <c r="M8725" t="s">
        <v>27333</v>
      </c>
      <c r="N8725" t="s">
        <v>3441</v>
      </c>
      <c r="O8725" t="s">
        <v>28</v>
      </c>
      <c r="P8725" t="s">
        <v>29</v>
      </c>
      <c r="Q8725">
        <v>42</v>
      </c>
      <c r="R8725">
        <v>-87.629800000000003</v>
      </c>
    </row>
    <row r="8726" spans="1:18" x14ac:dyDescent="0.2">
      <c r="A8726" t="s">
        <v>439</v>
      </c>
      <c r="B8726" t="s">
        <v>4321</v>
      </c>
      <c r="C8726">
        <v>1</v>
      </c>
      <c r="D8726" s="1">
        <v>44252.798310185186</v>
      </c>
      <c r="E8726" t="s">
        <v>27334</v>
      </c>
      <c r="F8726" t="s">
        <v>442</v>
      </c>
      <c r="G8726" t="s">
        <v>27335</v>
      </c>
      <c r="H8726" t="s">
        <v>444</v>
      </c>
      <c r="I8726" t="s">
        <v>29</v>
      </c>
      <c r="J8726">
        <v>1</v>
      </c>
      <c r="K8726">
        <f>1-844-413-5956</f>
        <v>-7212</v>
      </c>
      <c r="L8726" t="s">
        <v>27336</v>
      </c>
      <c r="M8726" t="s">
        <v>27337</v>
      </c>
      <c r="N8726" t="s">
        <v>3441</v>
      </c>
      <c r="O8726" t="s">
        <v>28</v>
      </c>
      <c r="P8726" t="s">
        <v>29</v>
      </c>
      <c r="Q8726">
        <v>42</v>
      </c>
      <c r="R8726">
        <v>-87.629800000000003</v>
      </c>
    </row>
    <row r="8727" spans="1:18" x14ac:dyDescent="0.2">
      <c r="A8727" t="s">
        <v>439</v>
      </c>
      <c r="B8727" t="s">
        <v>4321</v>
      </c>
      <c r="C8727">
        <v>1</v>
      </c>
      <c r="D8727" s="1">
        <v>44252.795601851853</v>
      </c>
      <c r="E8727" t="s">
        <v>27334</v>
      </c>
      <c r="F8727" t="s">
        <v>442</v>
      </c>
      <c r="G8727" t="s">
        <v>27335</v>
      </c>
      <c r="H8727" t="s">
        <v>444</v>
      </c>
      <c r="I8727" t="s">
        <v>29</v>
      </c>
      <c r="J8727">
        <v>1</v>
      </c>
      <c r="K8727">
        <f>1-844-390-6317</f>
        <v>-7550</v>
      </c>
      <c r="L8727" t="s">
        <v>27338</v>
      </c>
      <c r="M8727" t="s">
        <v>27339</v>
      </c>
      <c r="N8727" t="s">
        <v>3441</v>
      </c>
      <c r="O8727" t="s">
        <v>28</v>
      </c>
      <c r="P8727" t="s">
        <v>29</v>
      </c>
      <c r="Q8727">
        <v>42</v>
      </c>
      <c r="R8727">
        <v>-87.629800000000003</v>
      </c>
    </row>
    <row r="8728" spans="1:18" x14ac:dyDescent="0.2">
      <c r="A8728" t="s">
        <v>439</v>
      </c>
      <c r="B8728" t="s">
        <v>4321</v>
      </c>
      <c r="C8728">
        <v>1</v>
      </c>
      <c r="D8728" s="1">
        <v>44252.807604166665</v>
      </c>
      <c r="E8728" t="s">
        <v>27334</v>
      </c>
      <c r="F8728" t="s">
        <v>442</v>
      </c>
      <c r="G8728" t="s">
        <v>27340</v>
      </c>
      <c r="H8728" t="s">
        <v>444</v>
      </c>
      <c r="I8728" t="s">
        <v>29</v>
      </c>
      <c r="J8728">
        <v>1</v>
      </c>
      <c r="K8728">
        <f>1-844-396-9929</f>
        <v>-11168</v>
      </c>
      <c r="L8728" t="s">
        <v>27341</v>
      </c>
      <c r="M8728" t="s">
        <v>27342</v>
      </c>
      <c r="N8728" t="s">
        <v>3441</v>
      </c>
      <c r="O8728" t="s">
        <v>28</v>
      </c>
      <c r="P8728" t="s">
        <v>29</v>
      </c>
      <c r="Q8728">
        <v>42</v>
      </c>
      <c r="R8728">
        <v>-87.629800000000003</v>
      </c>
    </row>
    <row r="8729" spans="1:18" x14ac:dyDescent="0.2">
      <c r="A8729" t="s">
        <v>663</v>
      </c>
      <c r="B8729" t="s">
        <v>2500</v>
      </c>
      <c r="C8729">
        <v>1</v>
      </c>
      <c r="D8729" s="1">
        <v>44252.825925925928</v>
      </c>
      <c r="E8729" t="s">
        <v>27343</v>
      </c>
      <c r="F8729" t="s">
        <v>23451</v>
      </c>
      <c r="G8729" t="s">
        <v>27343</v>
      </c>
      <c r="H8729" t="s">
        <v>667</v>
      </c>
      <c r="I8729" t="s">
        <v>29</v>
      </c>
      <c r="J8729">
        <v>1</v>
      </c>
      <c r="K8729">
        <f>1-888-333-9568</f>
        <v>-10788</v>
      </c>
      <c r="L8729" t="s">
        <v>27344</v>
      </c>
      <c r="M8729" t="s">
        <v>27345</v>
      </c>
      <c r="N8729">
        <v>44</v>
      </c>
      <c r="O8729" t="s">
        <v>134</v>
      </c>
      <c r="P8729" t="s">
        <v>2500</v>
      </c>
      <c r="Q8729">
        <v>1</v>
      </c>
      <c r="R8729">
        <v>99.999999000000003</v>
      </c>
    </row>
    <row r="8730" spans="1:18" x14ac:dyDescent="0.2">
      <c r="A8730" t="s">
        <v>439</v>
      </c>
      <c r="B8730" t="s">
        <v>4321</v>
      </c>
      <c r="C8730">
        <v>1</v>
      </c>
      <c r="D8730" s="1">
        <v>44252.826273148145</v>
      </c>
      <c r="E8730" t="s">
        <v>27346</v>
      </c>
      <c r="F8730" t="s">
        <v>442</v>
      </c>
      <c r="G8730" t="s">
        <v>27347</v>
      </c>
      <c r="H8730" t="s">
        <v>444</v>
      </c>
      <c r="I8730" t="s">
        <v>29</v>
      </c>
      <c r="J8730">
        <v>1</v>
      </c>
      <c r="K8730">
        <f>1-877-257-5169</f>
        <v>-6302</v>
      </c>
      <c r="L8730" t="s">
        <v>27348</v>
      </c>
      <c r="M8730" t="s">
        <v>27349</v>
      </c>
      <c r="N8730" t="s">
        <v>447</v>
      </c>
      <c r="O8730" t="s">
        <v>28</v>
      </c>
      <c r="P8730" t="s">
        <v>29</v>
      </c>
      <c r="Q8730">
        <v>42</v>
      </c>
      <c r="R8730">
        <v>-87.629800000000003</v>
      </c>
    </row>
    <row r="8731" spans="1:18" x14ac:dyDescent="0.2">
      <c r="A8731" t="s">
        <v>663</v>
      </c>
      <c r="B8731" t="s">
        <v>2500</v>
      </c>
      <c r="C8731">
        <v>1</v>
      </c>
      <c r="D8731" s="1">
        <v>44252.926898148151</v>
      </c>
      <c r="E8731" t="s">
        <v>27350</v>
      </c>
      <c r="F8731" t="s">
        <v>23451</v>
      </c>
      <c r="G8731" t="s">
        <v>27350</v>
      </c>
      <c r="H8731" t="s">
        <v>667</v>
      </c>
      <c r="I8731" t="s">
        <v>29</v>
      </c>
      <c r="J8731">
        <v>1</v>
      </c>
      <c r="K8731">
        <f>1-888-332-9106</f>
        <v>-10325</v>
      </c>
      <c r="L8731" t="s">
        <v>27351</v>
      </c>
      <c r="M8731" t="s">
        <v>27352</v>
      </c>
      <c r="N8731">
        <v>93</v>
      </c>
      <c r="O8731" t="s">
        <v>134</v>
      </c>
      <c r="P8731" t="s">
        <v>2500</v>
      </c>
      <c r="Q8731">
        <v>1</v>
      </c>
      <c r="R8731">
        <v>99.999999000000003</v>
      </c>
    </row>
    <row r="8732" spans="1:18" x14ac:dyDescent="0.2">
      <c r="A8732" t="s">
        <v>439</v>
      </c>
      <c r="B8732" t="s">
        <v>4321</v>
      </c>
      <c r="C8732">
        <v>1</v>
      </c>
      <c r="D8732" s="1">
        <v>44252.947118055556</v>
      </c>
      <c r="E8732" t="s">
        <v>27353</v>
      </c>
      <c r="F8732" t="s">
        <v>442</v>
      </c>
      <c r="G8732" t="s">
        <v>27354</v>
      </c>
      <c r="H8732" t="s">
        <v>444</v>
      </c>
      <c r="I8732" t="s">
        <v>29</v>
      </c>
      <c r="J8732">
        <v>1</v>
      </c>
      <c r="K8732">
        <f>1-844-237-3327</f>
        <v>-4407</v>
      </c>
      <c r="L8732" t="s">
        <v>27355</v>
      </c>
      <c r="M8732" t="s">
        <v>27356</v>
      </c>
      <c r="N8732" t="s">
        <v>3441</v>
      </c>
      <c r="O8732" t="s">
        <v>28</v>
      </c>
      <c r="P8732" t="s">
        <v>29</v>
      </c>
      <c r="Q8732">
        <v>42</v>
      </c>
      <c r="R8732">
        <v>-87.629800000000003</v>
      </c>
    </row>
    <row r="8733" spans="1:18" x14ac:dyDescent="0.2">
      <c r="A8733" t="s">
        <v>663</v>
      </c>
      <c r="B8733" t="s">
        <v>2500</v>
      </c>
      <c r="C8733">
        <v>1</v>
      </c>
      <c r="D8733" s="1">
        <v>44252.96435185185</v>
      </c>
      <c r="E8733" t="s">
        <v>27357</v>
      </c>
      <c r="F8733" t="s">
        <v>23451</v>
      </c>
      <c r="G8733" t="s">
        <v>27357</v>
      </c>
      <c r="H8733" t="s">
        <v>667</v>
      </c>
      <c r="I8733" t="s">
        <v>29</v>
      </c>
      <c r="J8733">
        <v>1</v>
      </c>
      <c r="K8733">
        <f>1-888-322-6804</f>
        <v>-8013</v>
      </c>
      <c r="L8733" t="s">
        <v>27358</v>
      </c>
      <c r="M8733" t="s">
        <v>27359</v>
      </c>
      <c r="N8733">
        <v>14</v>
      </c>
      <c r="O8733" t="s">
        <v>134</v>
      </c>
      <c r="P8733" t="s">
        <v>2500</v>
      </c>
      <c r="Q8733">
        <v>1</v>
      </c>
      <c r="R8733">
        <v>99.999999000000003</v>
      </c>
    </row>
    <row r="8734" spans="1:18" x14ac:dyDescent="0.2">
      <c r="A8734" t="s">
        <v>663</v>
      </c>
      <c r="B8734" t="s">
        <v>2500</v>
      </c>
      <c r="C8734">
        <v>1</v>
      </c>
      <c r="D8734" s="1">
        <v>44252.963148148148</v>
      </c>
      <c r="E8734" t="s">
        <v>27357</v>
      </c>
      <c r="F8734" t="s">
        <v>23451</v>
      </c>
      <c r="G8734" t="s">
        <v>27357</v>
      </c>
      <c r="H8734" t="s">
        <v>667</v>
      </c>
      <c r="I8734" t="s">
        <v>29</v>
      </c>
      <c r="J8734">
        <v>1</v>
      </c>
      <c r="K8734">
        <f>1-888-281-6367</f>
        <v>-7535</v>
      </c>
      <c r="L8734" t="s">
        <v>27360</v>
      </c>
      <c r="M8734" t="s">
        <v>27361</v>
      </c>
      <c r="N8734">
        <v>14</v>
      </c>
      <c r="O8734" t="s">
        <v>134</v>
      </c>
      <c r="P8734" t="s">
        <v>2500</v>
      </c>
      <c r="Q8734">
        <v>1</v>
      </c>
      <c r="R8734">
        <v>99.999999000000003</v>
      </c>
    </row>
    <row r="8735" spans="1:18" x14ac:dyDescent="0.2">
      <c r="A8735" t="s">
        <v>439</v>
      </c>
      <c r="B8735" t="s">
        <v>4321</v>
      </c>
      <c r="C8735">
        <v>1</v>
      </c>
      <c r="D8735" s="1">
        <v>44252.966967592591</v>
      </c>
      <c r="E8735" t="s">
        <v>27362</v>
      </c>
      <c r="F8735" t="s">
        <v>442</v>
      </c>
      <c r="G8735" t="s">
        <v>27363</v>
      </c>
      <c r="H8735" t="s">
        <v>444</v>
      </c>
      <c r="I8735" t="s">
        <v>29</v>
      </c>
      <c r="J8735">
        <v>1</v>
      </c>
      <c r="K8735">
        <f>1-844-325-7810</f>
        <v>-8978</v>
      </c>
      <c r="L8735" t="s">
        <v>27364</v>
      </c>
      <c r="M8735" t="s">
        <v>27365</v>
      </c>
      <c r="N8735" t="s">
        <v>447</v>
      </c>
      <c r="O8735" t="s">
        <v>28</v>
      </c>
      <c r="P8735" t="s">
        <v>29</v>
      </c>
      <c r="Q8735">
        <v>42</v>
      </c>
      <c r="R8735">
        <v>-87.629800000000003</v>
      </c>
    </row>
    <row r="8736" spans="1:18" x14ac:dyDescent="0.2">
      <c r="A8736" t="s">
        <v>439</v>
      </c>
      <c r="B8736" t="s">
        <v>4321</v>
      </c>
      <c r="C8736">
        <v>1</v>
      </c>
      <c r="D8736" s="1">
        <v>44252.969953703701</v>
      </c>
      <c r="E8736" t="s">
        <v>27366</v>
      </c>
      <c r="F8736" t="s">
        <v>442</v>
      </c>
      <c r="G8736" t="s">
        <v>27367</v>
      </c>
      <c r="H8736" t="s">
        <v>444</v>
      </c>
      <c r="I8736" t="s">
        <v>29</v>
      </c>
      <c r="J8736">
        <v>1</v>
      </c>
      <c r="K8736">
        <f>1-844-337-1855</f>
        <v>-3035</v>
      </c>
      <c r="L8736" t="s">
        <v>27368</v>
      </c>
      <c r="M8736" t="s">
        <v>27369</v>
      </c>
      <c r="N8736" t="s">
        <v>447</v>
      </c>
      <c r="O8736" t="s">
        <v>28</v>
      </c>
      <c r="P8736" t="s">
        <v>29</v>
      </c>
      <c r="Q8736">
        <v>42</v>
      </c>
      <c r="R8736">
        <v>-87.629800000000003</v>
      </c>
    </row>
    <row r="8737" spans="1:18" x14ac:dyDescent="0.2">
      <c r="A8737" t="s">
        <v>2233</v>
      </c>
      <c r="B8737" t="s">
        <v>2234</v>
      </c>
      <c r="C8737">
        <v>32</v>
      </c>
      <c r="D8737" s="1">
        <v>44253.465543981481</v>
      </c>
      <c r="E8737" t="s">
        <v>27370</v>
      </c>
      <c r="F8737" t="s">
        <v>2236</v>
      </c>
      <c r="G8737" t="s">
        <v>27370</v>
      </c>
      <c r="H8737" t="s">
        <v>2237</v>
      </c>
      <c r="I8737" t="s">
        <v>4288</v>
      </c>
      <c r="J8737">
        <v>32</v>
      </c>
      <c r="K8737">
        <f>32-2-808-5-71</f>
        <v>-854</v>
      </c>
      <c r="L8737" t="s">
        <v>27371</v>
      </c>
      <c r="M8737" t="s">
        <v>27372</v>
      </c>
      <c r="N8737">
        <v>45</v>
      </c>
      <c r="O8737" t="s">
        <v>134</v>
      </c>
      <c r="P8737" t="s">
        <v>6188</v>
      </c>
      <c r="Q8737">
        <v>53</v>
      </c>
      <c r="R8737">
        <v>-6.2603099999999996</v>
      </c>
    </row>
    <row r="8738" spans="1:18" x14ac:dyDescent="0.2">
      <c r="A8738" t="s">
        <v>2233</v>
      </c>
      <c r="B8738" t="s">
        <v>2234</v>
      </c>
      <c r="C8738">
        <v>32</v>
      </c>
      <c r="D8738" s="1">
        <v>44253.465763888889</v>
      </c>
      <c r="E8738" t="s">
        <v>27373</v>
      </c>
      <c r="F8738" t="s">
        <v>2236</v>
      </c>
      <c r="G8738" t="s">
        <v>27373</v>
      </c>
      <c r="H8738" t="s">
        <v>2237</v>
      </c>
      <c r="I8738" t="s">
        <v>4288</v>
      </c>
      <c r="J8738">
        <v>32</v>
      </c>
      <c r="K8738">
        <f>32-2-808-5-71</f>
        <v>-854</v>
      </c>
      <c r="L8738" t="s">
        <v>27374</v>
      </c>
      <c r="M8738" t="s">
        <v>27375</v>
      </c>
      <c r="N8738">
        <v>252</v>
      </c>
      <c r="O8738" t="s">
        <v>134</v>
      </c>
      <c r="P8738" t="s">
        <v>6188</v>
      </c>
      <c r="Q8738">
        <v>53</v>
      </c>
      <c r="R8738">
        <v>-6.2603099999999996</v>
      </c>
    </row>
    <row r="8739" spans="1:18" x14ac:dyDescent="0.2">
      <c r="A8739" t="s">
        <v>675</v>
      </c>
      <c r="B8739" t="s">
        <v>1412</v>
      </c>
      <c r="C8739">
        <v>81</v>
      </c>
      <c r="D8739" s="1">
        <v>44262.12394675926</v>
      </c>
      <c r="E8739" t="s">
        <v>27376</v>
      </c>
      <c r="F8739" t="s">
        <v>678</v>
      </c>
      <c r="G8739" t="s">
        <v>27377</v>
      </c>
      <c r="H8739" t="s">
        <v>680</v>
      </c>
      <c r="I8739" t="s">
        <v>53</v>
      </c>
      <c r="J8739">
        <v>81</v>
      </c>
      <c r="K8739">
        <f>81-50-5539-8251</f>
        <v>-13759</v>
      </c>
      <c r="L8739" t="s">
        <v>27378</v>
      </c>
      <c r="M8739" t="s">
        <v>27379</v>
      </c>
      <c r="N8739" t="s">
        <v>2475</v>
      </c>
      <c r="O8739" t="s">
        <v>28</v>
      </c>
      <c r="P8739" t="s">
        <v>29</v>
      </c>
      <c r="Q8739">
        <v>41</v>
      </c>
      <c r="R8739">
        <v>-74.172399999999996</v>
      </c>
    </row>
    <row r="8740" spans="1:18" x14ac:dyDescent="0.2">
      <c r="A8740" t="s">
        <v>675</v>
      </c>
      <c r="B8740" t="s">
        <v>1412</v>
      </c>
      <c r="C8740">
        <v>44</v>
      </c>
      <c r="D8740" s="1">
        <v>44253.485405092593</v>
      </c>
      <c r="E8740" t="s">
        <v>27380</v>
      </c>
      <c r="F8740" t="s">
        <v>678</v>
      </c>
      <c r="G8740" t="s">
        <v>27377</v>
      </c>
      <c r="H8740" t="s">
        <v>680</v>
      </c>
      <c r="I8740" t="s">
        <v>618</v>
      </c>
      <c r="J8740">
        <v>44</v>
      </c>
      <c r="K8740">
        <f>44-800-90-3854</f>
        <v>-4700</v>
      </c>
      <c r="L8740" t="s">
        <v>27381</v>
      </c>
      <c r="M8740" t="s">
        <v>27382</v>
      </c>
      <c r="N8740" t="s">
        <v>2475</v>
      </c>
      <c r="O8740" t="s">
        <v>28</v>
      </c>
      <c r="P8740" t="s">
        <v>29</v>
      </c>
      <c r="Q8740">
        <v>41</v>
      </c>
      <c r="R8740">
        <v>-74.172399999999996</v>
      </c>
    </row>
    <row r="8741" spans="1:18" x14ac:dyDescent="0.2">
      <c r="A8741" t="s">
        <v>10660</v>
      </c>
      <c r="B8741" t="s">
        <v>1638</v>
      </c>
      <c r="C8741">
        <v>1</v>
      </c>
      <c r="D8741" s="1">
        <v>44268.712719907409</v>
      </c>
      <c r="E8741" t="s">
        <v>27383</v>
      </c>
      <c r="F8741" t="s">
        <v>11960</v>
      </c>
      <c r="G8741" t="s">
        <v>27384</v>
      </c>
      <c r="H8741" t="s">
        <v>10664</v>
      </c>
      <c r="I8741" t="s">
        <v>29</v>
      </c>
      <c r="J8741">
        <v>1</v>
      </c>
      <c r="K8741">
        <f>1-888-655-93</f>
        <v>-1635</v>
      </c>
      <c r="L8741" t="s">
        <v>27385</v>
      </c>
      <c r="M8741" t="s">
        <v>27386</v>
      </c>
      <c r="N8741" t="s">
        <v>5468</v>
      </c>
      <c r="O8741" t="s">
        <v>28</v>
      </c>
      <c r="P8741" t="s">
        <v>292</v>
      </c>
      <c r="Q8741">
        <v>49</v>
      </c>
      <c r="R8741">
        <v>2.3281000000000001</v>
      </c>
    </row>
    <row r="8742" spans="1:18" x14ac:dyDescent="0.2">
      <c r="A8742" t="s">
        <v>10660</v>
      </c>
      <c r="B8742" t="s">
        <v>1638</v>
      </c>
      <c r="C8742">
        <v>1</v>
      </c>
      <c r="D8742" s="1">
        <v>44253.780775462961</v>
      </c>
      <c r="E8742" t="s">
        <v>27387</v>
      </c>
      <c r="F8742" t="s">
        <v>11960</v>
      </c>
      <c r="G8742" t="s">
        <v>27384</v>
      </c>
      <c r="H8742" t="s">
        <v>10664</v>
      </c>
      <c r="I8742" t="s">
        <v>29</v>
      </c>
      <c r="J8742">
        <v>1</v>
      </c>
      <c r="K8742">
        <f>1-888-602-6050</f>
        <v>-7539</v>
      </c>
      <c r="L8742" t="s">
        <v>27388</v>
      </c>
      <c r="M8742" t="s">
        <v>27389</v>
      </c>
      <c r="N8742" t="s">
        <v>5468</v>
      </c>
      <c r="O8742" t="s">
        <v>28</v>
      </c>
      <c r="P8742" t="s">
        <v>292</v>
      </c>
      <c r="Q8742">
        <v>49</v>
      </c>
      <c r="R8742">
        <v>2.3281000000000001</v>
      </c>
    </row>
    <row r="8743" spans="1:18" x14ac:dyDescent="0.2">
      <c r="A8743" t="s">
        <v>10660</v>
      </c>
      <c r="B8743" t="s">
        <v>1638</v>
      </c>
      <c r="C8743">
        <v>1</v>
      </c>
      <c r="D8743" s="1">
        <v>44253.729212962964</v>
      </c>
      <c r="E8743" t="s">
        <v>27390</v>
      </c>
      <c r="F8743" t="s">
        <v>11960</v>
      </c>
      <c r="G8743" t="s">
        <v>27384</v>
      </c>
      <c r="H8743" t="s">
        <v>10664</v>
      </c>
      <c r="I8743" t="s">
        <v>29</v>
      </c>
      <c r="J8743">
        <v>1</v>
      </c>
      <c r="K8743">
        <f>1-888-506-525</f>
        <v>-1918</v>
      </c>
      <c r="L8743" t="s">
        <v>27391</v>
      </c>
      <c r="M8743" t="s">
        <v>27392</v>
      </c>
      <c r="N8743" t="s">
        <v>5468</v>
      </c>
      <c r="O8743" t="s">
        <v>28</v>
      </c>
      <c r="P8743" t="s">
        <v>292</v>
      </c>
      <c r="Q8743">
        <v>49</v>
      </c>
      <c r="R8743">
        <v>2.3281000000000001</v>
      </c>
    </row>
    <row r="8744" spans="1:18" x14ac:dyDescent="0.2">
      <c r="A8744" t="s">
        <v>663</v>
      </c>
      <c r="B8744" t="s">
        <v>664</v>
      </c>
      <c r="C8744">
        <v>1</v>
      </c>
      <c r="D8744" s="1">
        <v>44253.730567129627</v>
      </c>
      <c r="E8744" t="s">
        <v>27393</v>
      </c>
      <c r="F8744" t="s">
        <v>666</v>
      </c>
      <c r="G8744" t="s">
        <v>27393</v>
      </c>
      <c r="H8744" t="s">
        <v>667</v>
      </c>
      <c r="I8744" t="s">
        <v>29</v>
      </c>
      <c r="J8744">
        <v>1</v>
      </c>
      <c r="K8744">
        <f>1-888-610-6383</f>
        <v>-7880</v>
      </c>
      <c r="L8744" t="s">
        <v>27394</v>
      </c>
      <c r="M8744" t="s">
        <v>27395</v>
      </c>
      <c r="N8744">
        <v>207</v>
      </c>
      <c r="O8744" t="s">
        <v>134</v>
      </c>
      <c r="P8744" t="s">
        <v>29</v>
      </c>
      <c r="Q8744">
        <v>37</v>
      </c>
      <c r="R8744">
        <v>-99.999999000000003</v>
      </c>
    </row>
    <row r="8745" spans="1:18" x14ac:dyDescent="0.2">
      <c r="A8745" t="s">
        <v>439</v>
      </c>
      <c r="B8745" t="s">
        <v>4321</v>
      </c>
      <c r="C8745">
        <v>81</v>
      </c>
      <c r="D8745" s="1">
        <v>44253.733252314814</v>
      </c>
      <c r="E8745" t="s">
        <v>27396</v>
      </c>
      <c r="F8745" t="s">
        <v>442</v>
      </c>
      <c r="G8745" t="s">
        <v>27397</v>
      </c>
      <c r="H8745" t="s">
        <v>444</v>
      </c>
      <c r="I8745" t="s">
        <v>53</v>
      </c>
      <c r="J8745">
        <v>81</v>
      </c>
      <c r="K8745">
        <f>81-50-5534-9663</f>
        <v>-15166</v>
      </c>
      <c r="L8745" t="s">
        <v>27398</v>
      </c>
      <c r="M8745" t="s">
        <v>27399</v>
      </c>
      <c r="N8745" t="s">
        <v>213</v>
      </c>
      <c r="O8745" t="s">
        <v>28</v>
      </c>
      <c r="P8745" t="s">
        <v>29</v>
      </c>
      <c r="Q8745">
        <v>42</v>
      </c>
      <c r="R8745">
        <v>-87.629800000000003</v>
      </c>
    </row>
    <row r="8746" spans="1:18" x14ac:dyDescent="0.2">
      <c r="A8746" t="s">
        <v>663</v>
      </c>
      <c r="B8746" t="s">
        <v>664</v>
      </c>
      <c r="C8746">
        <v>81</v>
      </c>
      <c r="D8746" s="1">
        <v>44254.680451388886</v>
      </c>
      <c r="E8746" t="s">
        <v>27400</v>
      </c>
      <c r="F8746" t="s">
        <v>666</v>
      </c>
      <c r="G8746" t="s">
        <v>27401</v>
      </c>
      <c r="H8746" t="s">
        <v>667</v>
      </c>
      <c r="I8746" t="s">
        <v>53</v>
      </c>
      <c r="J8746">
        <v>81</v>
      </c>
      <c r="K8746">
        <f>81-50-5534-4699</f>
        <v>-10202</v>
      </c>
      <c r="L8746" t="s">
        <v>27402</v>
      </c>
      <c r="M8746" t="s">
        <v>27403</v>
      </c>
      <c r="N8746" t="s">
        <v>452</v>
      </c>
      <c r="O8746" t="s">
        <v>28</v>
      </c>
      <c r="P8746" t="s">
        <v>29</v>
      </c>
      <c r="Q8746">
        <v>37</v>
      </c>
      <c r="R8746">
        <v>-99.999999000000003</v>
      </c>
    </row>
    <row r="8747" spans="1:18" x14ac:dyDescent="0.2">
      <c r="A8747" t="s">
        <v>663</v>
      </c>
      <c r="B8747" t="s">
        <v>664</v>
      </c>
      <c r="C8747">
        <v>81</v>
      </c>
      <c r="D8747" s="1">
        <v>44253.733923611115</v>
      </c>
      <c r="E8747" t="s">
        <v>27404</v>
      </c>
      <c r="F8747" t="s">
        <v>666</v>
      </c>
      <c r="G8747" t="s">
        <v>27401</v>
      </c>
      <c r="H8747" t="s">
        <v>667</v>
      </c>
      <c r="I8747" t="s">
        <v>53</v>
      </c>
      <c r="J8747">
        <v>81</v>
      </c>
      <c r="K8747">
        <f>81-50-5532-7925</f>
        <v>-13426</v>
      </c>
      <c r="L8747" t="s">
        <v>27405</v>
      </c>
      <c r="M8747" t="s">
        <v>27406</v>
      </c>
      <c r="N8747" t="s">
        <v>452</v>
      </c>
      <c r="O8747" t="s">
        <v>28</v>
      </c>
      <c r="P8747" t="s">
        <v>29</v>
      </c>
      <c r="Q8747">
        <v>37</v>
      </c>
      <c r="R8747">
        <v>-99.999999000000003</v>
      </c>
    </row>
    <row r="8748" spans="1:18" x14ac:dyDescent="0.2">
      <c r="A8748" t="s">
        <v>439</v>
      </c>
      <c r="B8748" t="s">
        <v>4321</v>
      </c>
      <c r="C8748">
        <v>1</v>
      </c>
      <c r="D8748" s="1">
        <v>44253.776273148149</v>
      </c>
      <c r="E8748" t="s">
        <v>27407</v>
      </c>
      <c r="F8748" t="s">
        <v>442</v>
      </c>
      <c r="G8748" t="s">
        <v>27408</v>
      </c>
      <c r="H8748" t="s">
        <v>444</v>
      </c>
      <c r="I8748" t="s">
        <v>29</v>
      </c>
      <c r="J8748">
        <v>1</v>
      </c>
      <c r="K8748">
        <f>1-866-760-2859</f>
        <v>-4484</v>
      </c>
      <c r="L8748" t="s">
        <v>27409</v>
      </c>
      <c r="M8748" t="s">
        <v>27410</v>
      </c>
      <c r="N8748" t="s">
        <v>447</v>
      </c>
      <c r="O8748" t="s">
        <v>28</v>
      </c>
      <c r="P8748" t="s">
        <v>29</v>
      </c>
      <c r="Q8748">
        <v>42</v>
      </c>
      <c r="R8748">
        <v>-87.629800000000003</v>
      </c>
    </row>
    <row r="8749" spans="1:18" x14ac:dyDescent="0.2">
      <c r="A8749" t="s">
        <v>663</v>
      </c>
      <c r="B8749" t="s">
        <v>5784</v>
      </c>
      <c r="C8749">
        <v>1</v>
      </c>
      <c r="D8749" s="1">
        <v>44253.784120370372</v>
      </c>
      <c r="E8749" t="s">
        <v>27411</v>
      </c>
      <c r="F8749" t="s">
        <v>666</v>
      </c>
      <c r="G8749" t="s">
        <v>27412</v>
      </c>
      <c r="H8749" t="s">
        <v>667</v>
      </c>
      <c r="I8749" t="s">
        <v>29</v>
      </c>
      <c r="J8749">
        <v>1</v>
      </c>
      <c r="K8749">
        <f>1-844-327-6348</f>
        <v>-7518</v>
      </c>
      <c r="L8749" t="s">
        <v>27413</v>
      </c>
      <c r="M8749" t="s">
        <v>27414</v>
      </c>
      <c r="N8749" t="s">
        <v>25263</v>
      </c>
      <c r="O8749" t="s">
        <v>28</v>
      </c>
      <c r="P8749" t="s">
        <v>5789</v>
      </c>
      <c r="Q8749">
        <v>13</v>
      </c>
      <c r="R8749">
        <v>77.585499999999996</v>
      </c>
    </row>
    <row r="8750" spans="1:18" x14ac:dyDescent="0.2">
      <c r="A8750" t="s">
        <v>439</v>
      </c>
      <c r="B8750" t="s">
        <v>4321</v>
      </c>
      <c r="C8750">
        <v>1</v>
      </c>
      <c r="D8750" s="1">
        <v>44253.797476851854</v>
      </c>
      <c r="E8750" t="s">
        <v>27415</v>
      </c>
      <c r="F8750" t="s">
        <v>442</v>
      </c>
      <c r="G8750" t="s">
        <v>27416</v>
      </c>
      <c r="H8750" t="s">
        <v>444</v>
      </c>
      <c r="I8750" t="s">
        <v>29</v>
      </c>
      <c r="J8750">
        <v>1</v>
      </c>
      <c r="K8750">
        <f>1-844-385-3917</f>
        <v>-5145</v>
      </c>
      <c r="L8750" t="s">
        <v>27417</v>
      </c>
      <c r="M8750" t="s">
        <v>27418</v>
      </c>
      <c r="N8750" t="s">
        <v>447</v>
      </c>
      <c r="O8750" t="s">
        <v>28</v>
      </c>
      <c r="P8750" t="s">
        <v>29</v>
      </c>
      <c r="Q8750">
        <v>42</v>
      </c>
      <c r="R8750">
        <v>-87.629800000000003</v>
      </c>
    </row>
    <row r="8751" spans="1:18" x14ac:dyDescent="0.2">
      <c r="A8751" t="s">
        <v>10660</v>
      </c>
      <c r="B8751" t="s">
        <v>1638</v>
      </c>
      <c r="C8751">
        <v>1</v>
      </c>
      <c r="D8751" s="1">
        <v>44301.057974537034</v>
      </c>
      <c r="E8751" t="s">
        <v>27419</v>
      </c>
      <c r="F8751" t="s">
        <v>11960</v>
      </c>
      <c r="G8751" t="s">
        <v>27420</v>
      </c>
      <c r="H8751" t="s">
        <v>10664</v>
      </c>
      <c r="I8751" t="s">
        <v>29</v>
      </c>
      <c r="J8751">
        <v>1</v>
      </c>
      <c r="K8751">
        <f>1-888-609-4922</f>
        <v>-6418</v>
      </c>
      <c r="L8751" s="2" t="s">
        <v>27421</v>
      </c>
      <c r="M8751" t="s">
        <v>27422</v>
      </c>
      <c r="N8751" t="s">
        <v>5468</v>
      </c>
      <c r="O8751" t="s">
        <v>28</v>
      </c>
      <c r="P8751" t="s">
        <v>292</v>
      </c>
      <c r="Q8751">
        <v>49</v>
      </c>
      <c r="R8751">
        <v>2.3281000000000001</v>
      </c>
    </row>
    <row r="8752" spans="1:18" x14ac:dyDescent="0.2">
      <c r="A8752" t="s">
        <v>10660</v>
      </c>
      <c r="B8752" t="s">
        <v>1638</v>
      </c>
      <c r="C8752">
        <v>1</v>
      </c>
      <c r="D8752" s="1">
        <v>44268.964699074073</v>
      </c>
      <c r="E8752" t="s">
        <v>27423</v>
      </c>
      <c r="F8752" t="s">
        <v>11960</v>
      </c>
      <c r="G8752" t="s">
        <v>27420</v>
      </c>
      <c r="H8752" t="s">
        <v>10664</v>
      </c>
      <c r="I8752" t="s">
        <v>29</v>
      </c>
      <c r="J8752">
        <v>1</v>
      </c>
      <c r="K8752">
        <f>1-888-253-2224</f>
        <v>-3364</v>
      </c>
      <c r="L8752" t="s">
        <v>27424</v>
      </c>
      <c r="M8752" t="s">
        <v>27425</v>
      </c>
      <c r="N8752" t="s">
        <v>5468</v>
      </c>
      <c r="O8752" t="s">
        <v>28</v>
      </c>
      <c r="P8752" t="s">
        <v>292</v>
      </c>
      <c r="Q8752">
        <v>49</v>
      </c>
      <c r="R8752">
        <v>2.3281000000000001</v>
      </c>
    </row>
    <row r="8753" spans="1:18" x14ac:dyDescent="0.2">
      <c r="A8753" t="s">
        <v>10660</v>
      </c>
      <c r="B8753" t="s">
        <v>1638</v>
      </c>
      <c r="C8753">
        <v>1</v>
      </c>
      <c r="D8753" s="1">
        <v>44254.904085648152</v>
      </c>
      <c r="E8753" t="s">
        <v>27426</v>
      </c>
      <c r="F8753" t="s">
        <v>11960</v>
      </c>
      <c r="G8753" t="s">
        <v>27420</v>
      </c>
      <c r="H8753" t="s">
        <v>10664</v>
      </c>
      <c r="I8753" t="s">
        <v>29</v>
      </c>
      <c r="J8753">
        <v>1</v>
      </c>
      <c r="K8753">
        <f>1-888-383-578</f>
        <v>-1848</v>
      </c>
      <c r="L8753" t="s">
        <v>27427</v>
      </c>
      <c r="M8753" t="s">
        <v>27428</v>
      </c>
      <c r="N8753" t="s">
        <v>5468</v>
      </c>
      <c r="O8753" t="s">
        <v>28</v>
      </c>
      <c r="P8753" t="s">
        <v>292</v>
      </c>
      <c r="Q8753">
        <v>49</v>
      </c>
      <c r="R8753">
        <v>2.3281000000000001</v>
      </c>
    </row>
    <row r="8754" spans="1:18" x14ac:dyDescent="0.2">
      <c r="A8754" t="s">
        <v>10660</v>
      </c>
      <c r="B8754" t="s">
        <v>1638</v>
      </c>
      <c r="C8754">
        <v>1</v>
      </c>
      <c r="D8754" s="1">
        <v>44254.790462962963</v>
      </c>
      <c r="E8754" t="s">
        <v>27429</v>
      </c>
      <c r="F8754" t="s">
        <v>11960</v>
      </c>
      <c r="G8754" t="s">
        <v>27420</v>
      </c>
      <c r="H8754" t="s">
        <v>10664</v>
      </c>
      <c r="I8754" t="s">
        <v>29</v>
      </c>
      <c r="J8754">
        <v>1</v>
      </c>
      <c r="K8754">
        <f>1-888-712-731</f>
        <v>-2330</v>
      </c>
      <c r="L8754" t="s">
        <v>27430</v>
      </c>
      <c r="M8754" t="s">
        <v>27431</v>
      </c>
      <c r="N8754" t="s">
        <v>5468</v>
      </c>
      <c r="O8754" t="s">
        <v>28</v>
      </c>
      <c r="P8754" t="s">
        <v>292</v>
      </c>
      <c r="Q8754">
        <v>49</v>
      </c>
      <c r="R8754">
        <v>2.3281000000000001</v>
      </c>
    </row>
    <row r="8755" spans="1:18" x14ac:dyDescent="0.2">
      <c r="A8755" t="s">
        <v>10660</v>
      </c>
      <c r="B8755" t="s">
        <v>1638</v>
      </c>
      <c r="C8755">
        <v>1</v>
      </c>
      <c r="D8755" s="1">
        <v>44253.800497685188</v>
      </c>
      <c r="E8755" t="s">
        <v>27432</v>
      </c>
      <c r="F8755" t="s">
        <v>11960</v>
      </c>
      <c r="G8755" t="s">
        <v>27420</v>
      </c>
      <c r="H8755" t="s">
        <v>10664</v>
      </c>
      <c r="I8755" t="s">
        <v>29</v>
      </c>
      <c r="J8755">
        <v>1</v>
      </c>
      <c r="K8755">
        <f>1-888-652-4899</f>
        <v>-6438</v>
      </c>
      <c r="L8755" t="s">
        <v>27433</v>
      </c>
      <c r="M8755" t="s">
        <v>27434</v>
      </c>
      <c r="N8755" t="s">
        <v>5468</v>
      </c>
      <c r="O8755" t="s">
        <v>28</v>
      </c>
      <c r="P8755" t="s">
        <v>292</v>
      </c>
      <c r="Q8755">
        <v>49</v>
      </c>
      <c r="R8755">
        <v>2.3281000000000001</v>
      </c>
    </row>
    <row r="8756" spans="1:18" x14ac:dyDescent="0.2">
      <c r="A8756" t="s">
        <v>663</v>
      </c>
      <c r="B8756" t="s">
        <v>2500</v>
      </c>
      <c r="C8756">
        <v>1</v>
      </c>
      <c r="D8756" s="1">
        <v>44253.811724537038</v>
      </c>
      <c r="E8756" t="s">
        <v>27435</v>
      </c>
      <c r="F8756" t="s">
        <v>666</v>
      </c>
      <c r="G8756" t="s">
        <v>27435</v>
      </c>
      <c r="H8756" t="s">
        <v>667</v>
      </c>
      <c r="I8756" t="s">
        <v>29</v>
      </c>
      <c r="J8756">
        <v>1</v>
      </c>
      <c r="K8756">
        <f>1-888-380-9941</f>
        <v>-11208</v>
      </c>
      <c r="L8756" t="s">
        <v>27436</v>
      </c>
      <c r="M8756" t="s">
        <v>27437</v>
      </c>
      <c r="N8756">
        <v>73</v>
      </c>
      <c r="O8756" t="s">
        <v>134</v>
      </c>
      <c r="P8756" t="s">
        <v>2500</v>
      </c>
      <c r="Q8756">
        <v>1</v>
      </c>
      <c r="R8756">
        <v>99.999999000000003</v>
      </c>
    </row>
    <row r="8757" spans="1:18" x14ac:dyDescent="0.2">
      <c r="A8757" t="s">
        <v>663</v>
      </c>
      <c r="B8757" t="s">
        <v>2500</v>
      </c>
      <c r="C8757">
        <v>1</v>
      </c>
      <c r="D8757" s="1">
        <v>44253.806527777779</v>
      </c>
      <c r="E8757" t="s">
        <v>27435</v>
      </c>
      <c r="F8757" t="s">
        <v>666</v>
      </c>
      <c r="G8757" t="s">
        <v>27435</v>
      </c>
      <c r="H8757" t="s">
        <v>667</v>
      </c>
      <c r="I8757" t="s">
        <v>29</v>
      </c>
      <c r="J8757">
        <v>1</v>
      </c>
      <c r="K8757">
        <f>1-888-349-6002</f>
        <v>-7238</v>
      </c>
      <c r="L8757" t="s">
        <v>27438</v>
      </c>
      <c r="M8757" t="s">
        <v>27439</v>
      </c>
      <c r="N8757">
        <v>73</v>
      </c>
      <c r="O8757" t="s">
        <v>134</v>
      </c>
      <c r="P8757" t="s">
        <v>2500</v>
      </c>
      <c r="Q8757">
        <v>1</v>
      </c>
      <c r="R8757">
        <v>99.999999000000003</v>
      </c>
    </row>
    <row r="8758" spans="1:18" x14ac:dyDescent="0.2">
      <c r="A8758" t="s">
        <v>663</v>
      </c>
      <c r="B8758" t="s">
        <v>2500</v>
      </c>
      <c r="C8758">
        <v>1</v>
      </c>
      <c r="D8758" s="1">
        <v>44253.803067129629</v>
      </c>
      <c r="E8758" t="s">
        <v>27435</v>
      </c>
      <c r="F8758" t="s">
        <v>666</v>
      </c>
      <c r="G8758" t="s">
        <v>27435</v>
      </c>
      <c r="H8758" t="s">
        <v>667</v>
      </c>
      <c r="I8758" t="s">
        <v>29</v>
      </c>
      <c r="J8758">
        <v>1</v>
      </c>
      <c r="K8758">
        <f>1-844-339-8073</f>
        <v>-9255</v>
      </c>
      <c r="L8758" t="s">
        <v>27440</v>
      </c>
      <c r="M8758" t="s">
        <v>27439</v>
      </c>
      <c r="N8758">
        <v>73</v>
      </c>
      <c r="O8758" t="s">
        <v>134</v>
      </c>
      <c r="P8758" t="s">
        <v>2500</v>
      </c>
      <c r="Q8758">
        <v>1</v>
      </c>
      <c r="R8758">
        <v>99.999999000000003</v>
      </c>
    </row>
    <row r="8759" spans="1:18" x14ac:dyDescent="0.2">
      <c r="A8759" t="s">
        <v>439</v>
      </c>
      <c r="B8759" t="s">
        <v>4321</v>
      </c>
      <c r="C8759">
        <v>1</v>
      </c>
      <c r="D8759" s="1">
        <v>44253.863067129627</v>
      </c>
      <c r="E8759" t="s">
        <v>27441</v>
      </c>
      <c r="F8759" t="s">
        <v>442</v>
      </c>
      <c r="G8759" t="s">
        <v>27442</v>
      </c>
      <c r="H8759" t="s">
        <v>444</v>
      </c>
      <c r="I8759" t="s">
        <v>29</v>
      </c>
      <c r="J8759">
        <v>1</v>
      </c>
      <c r="K8759">
        <f>1-866-760-2859</f>
        <v>-4484</v>
      </c>
      <c r="L8759" t="s">
        <v>27443</v>
      </c>
      <c r="M8759" t="s">
        <v>27444</v>
      </c>
      <c r="N8759" t="s">
        <v>674</v>
      </c>
      <c r="O8759" t="s">
        <v>28</v>
      </c>
      <c r="P8759" t="s">
        <v>29</v>
      </c>
      <c r="Q8759">
        <v>42</v>
      </c>
      <c r="R8759">
        <v>-87.629800000000003</v>
      </c>
    </row>
    <row r="8760" spans="1:18" x14ac:dyDescent="0.2">
      <c r="A8760" t="s">
        <v>663</v>
      </c>
      <c r="B8760" t="s">
        <v>2500</v>
      </c>
      <c r="C8760">
        <v>1</v>
      </c>
      <c r="D8760" s="1">
        <v>44253.87296296296</v>
      </c>
      <c r="E8760" t="s">
        <v>27445</v>
      </c>
      <c r="F8760" t="s">
        <v>23451</v>
      </c>
      <c r="G8760" t="s">
        <v>27445</v>
      </c>
      <c r="H8760" t="s">
        <v>667</v>
      </c>
      <c r="I8760" t="s">
        <v>29</v>
      </c>
      <c r="J8760">
        <v>1</v>
      </c>
      <c r="K8760">
        <f>1-844-334-5674</f>
        <v>-6851</v>
      </c>
      <c r="L8760" t="s">
        <v>27446</v>
      </c>
      <c r="M8760" t="s">
        <v>27447</v>
      </c>
      <c r="N8760">
        <v>72</v>
      </c>
      <c r="O8760" t="s">
        <v>134</v>
      </c>
      <c r="P8760" t="s">
        <v>2500</v>
      </c>
      <c r="Q8760">
        <v>1</v>
      </c>
      <c r="R8760">
        <v>99.999999000000003</v>
      </c>
    </row>
    <row r="8761" spans="1:18" x14ac:dyDescent="0.2">
      <c r="A8761" t="s">
        <v>2233</v>
      </c>
      <c r="B8761" t="s">
        <v>440</v>
      </c>
      <c r="C8761">
        <v>1</v>
      </c>
      <c r="D8761" s="1">
        <v>44253.879826388889</v>
      </c>
      <c r="E8761" t="s">
        <v>27448</v>
      </c>
      <c r="F8761" t="s">
        <v>2236</v>
      </c>
      <c r="G8761" t="s">
        <v>27449</v>
      </c>
      <c r="H8761" t="s">
        <v>2237</v>
      </c>
      <c r="I8761" t="s">
        <v>29</v>
      </c>
      <c r="J8761">
        <v>1</v>
      </c>
      <c r="K8761">
        <f>1-833-996-3588</f>
        <v>-5416</v>
      </c>
      <c r="L8761" t="s">
        <v>27450</v>
      </c>
      <c r="M8761" t="s">
        <v>27451</v>
      </c>
      <c r="N8761" t="s">
        <v>5354</v>
      </c>
      <c r="O8761" t="s">
        <v>28</v>
      </c>
      <c r="P8761" t="s">
        <v>29</v>
      </c>
      <c r="Q8761">
        <v>39</v>
      </c>
      <c r="R8761">
        <v>-77.487399999999994</v>
      </c>
    </row>
    <row r="8762" spans="1:18" x14ac:dyDescent="0.2">
      <c r="A8762" t="s">
        <v>663</v>
      </c>
      <c r="B8762" t="s">
        <v>2500</v>
      </c>
      <c r="C8762">
        <v>1</v>
      </c>
      <c r="D8762" s="1">
        <v>44253.950497685182</v>
      </c>
      <c r="E8762" t="s">
        <v>27452</v>
      </c>
      <c r="F8762" t="s">
        <v>23451</v>
      </c>
      <c r="G8762" t="s">
        <v>27452</v>
      </c>
      <c r="H8762" t="s">
        <v>667</v>
      </c>
      <c r="I8762" t="s">
        <v>29</v>
      </c>
      <c r="J8762">
        <v>1</v>
      </c>
      <c r="K8762">
        <f>1-888-342-4361</f>
        <v>-5590</v>
      </c>
      <c r="L8762" t="s">
        <v>27453</v>
      </c>
      <c r="M8762" t="s">
        <v>27454</v>
      </c>
      <c r="N8762">
        <v>167</v>
      </c>
      <c r="O8762" t="s">
        <v>134</v>
      </c>
      <c r="P8762" t="s">
        <v>2500</v>
      </c>
      <c r="Q8762">
        <v>1</v>
      </c>
      <c r="R8762">
        <v>99.999999000000003</v>
      </c>
    </row>
    <row r="8763" spans="1:18" x14ac:dyDescent="0.2">
      <c r="A8763" t="s">
        <v>663</v>
      </c>
      <c r="B8763" t="s">
        <v>2500</v>
      </c>
      <c r="C8763">
        <v>1</v>
      </c>
      <c r="D8763" s="1">
        <v>44253.947523148148</v>
      </c>
      <c r="E8763" t="s">
        <v>27452</v>
      </c>
      <c r="F8763" t="s">
        <v>23451</v>
      </c>
      <c r="G8763" t="s">
        <v>27452</v>
      </c>
      <c r="H8763" t="s">
        <v>667</v>
      </c>
      <c r="I8763" t="s">
        <v>29</v>
      </c>
      <c r="J8763">
        <v>1</v>
      </c>
      <c r="K8763">
        <f>1-844-347-5194</f>
        <v>-6384</v>
      </c>
      <c r="L8763" t="s">
        <v>27455</v>
      </c>
      <c r="M8763" t="s">
        <v>27454</v>
      </c>
      <c r="N8763">
        <v>167</v>
      </c>
      <c r="O8763" t="s">
        <v>134</v>
      </c>
      <c r="P8763" t="s">
        <v>2500</v>
      </c>
      <c r="Q8763">
        <v>1</v>
      </c>
      <c r="R8763">
        <v>99.999999000000003</v>
      </c>
    </row>
    <row r="8764" spans="1:18" x14ac:dyDescent="0.2">
      <c r="A8764" t="s">
        <v>663</v>
      </c>
      <c r="B8764" t="s">
        <v>2500</v>
      </c>
      <c r="C8764">
        <v>1</v>
      </c>
      <c r="D8764" s="1">
        <v>44253.944872685184</v>
      </c>
      <c r="E8764" t="s">
        <v>27452</v>
      </c>
      <c r="F8764" t="s">
        <v>23451</v>
      </c>
      <c r="G8764" t="s">
        <v>27452</v>
      </c>
      <c r="H8764" t="s">
        <v>667</v>
      </c>
      <c r="I8764" t="s">
        <v>29</v>
      </c>
      <c r="J8764">
        <v>1</v>
      </c>
      <c r="K8764">
        <f>1-888-271-6844</f>
        <v>-8002</v>
      </c>
      <c r="L8764" t="s">
        <v>27456</v>
      </c>
      <c r="M8764" t="s">
        <v>27454</v>
      </c>
      <c r="N8764">
        <v>167</v>
      </c>
      <c r="O8764" t="s">
        <v>134</v>
      </c>
      <c r="P8764" t="s">
        <v>2500</v>
      </c>
      <c r="Q8764">
        <v>1</v>
      </c>
      <c r="R8764">
        <v>99.999999000000003</v>
      </c>
    </row>
    <row r="8765" spans="1:18" x14ac:dyDescent="0.2">
      <c r="A8765" t="s">
        <v>663</v>
      </c>
      <c r="B8765" t="s">
        <v>2500</v>
      </c>
      <c r="C8765">
        <v>1</v>
      </c>
      <c r="D8765" s="1">
        <v>44253.931770833333</v>
      </c>
      <c r="E8765" t="s">
        <v>27452</v>
      </c>
      <c r="F8765" t="s">
        <v>23451</v>
      </c>
      <c r="G8765" t="s">
        <v>27452</v>
      </c>
      <c r="H8765" t="s">
        <v>667</v>
      </c>
      <c r="I8765" t="s">
        <v>29</v>
      </c>
      <c r="J8765">
        <v>1</v>
      </c>
      <c r="K8765">
        <f>1-844-317-3055</f>
        <v>-4215</v>
      </c>
      <c r="L8765">
        <v>6039666452721</v>
      </c>
      <c r="M8765" t="s">
        <v>27457</v>
      </c>
      <c r="N8765">
        <v>167</v>
      </c>
      <c r="O8765" t="s">
        <v>134</v>
      </c>
      <c r="P8765" t="s">
        <v>2500</v>
      </c>
      <c r="Q8765">
        <v>1</v>
      </c>
      <c r="R8765">
        <v>99.999999000000003</v>
      </c>
    </row>
    <row r="8766" spans="1:18" x14ac:dyDescent="0.2">
      <c r="A8766" t="s">
        <v>663</v>
      </c>
      <c r="B8766" t="s">
        <v>2500</v>
      </c>
      <c r="C8766">
        <v>1</v>
      </c>
      <c r="D8766" s="1">
        <v>44253.929780092592</v>
      </c>
      <c r="E8766" t="s">
        <v>27452</v>
      </c>
      <c r="F8766" t="s">
        <v>23451</v>
      </c>
      <c r="G8766" t="s">
        <v>27452</v>
      </c>
      <c r="H8766" t="s">
        <v>667</v>
      </c>
      <c r="I8766" t="s">
        <v>29</v>
      </c>
      <c r="J8766">
        <v>1</v>
      </c>
      <c r="K8766">
        <f>1-888-336-893</f>
        <v>-2116</v>
      </c>
      <c r="L8766" t="s">
        <v>27458</v>
      </c>
      <c r="M8766" t="s">
        <v>27459</v>
      </c>
      <c r="N8766">
        <v>167</v>
      </c>
      <c r="O8766" t="s">
        <v>134</v>
      </c>
      <c r="P8766" t="s">
        <v>2500</v>
      </c>
      <c r="Q8766">
        <v>1</v>
      </c>
      <c r="R8766">
        <v>99.999999000000003</v>
      </c>
    </row>
    <row r="8767" spans="1:18" x14ac:dyDescent="0.2">
      <c r="A8767" t="s">
        <v>2233</v>
      </c>
      <c r="B8767" t="s">
        <v>2234</v>
      </c>
      <c r="C8767">
        <v>1</v>
      </c>
      <c r="D8767" s="1">
        <v>44253.942789351851</v>
      </c>
      <c r="E8767" t="s">
        <v>25177</v>
      </c>
      <c r="F8767" t="s">
        <v>2236</v>
      </c>
      <c r="G8767" t="s">
        <v>27460</v>
      </c>
      <c r="H8767" t="s">
        <v>2237</v>
      </c>
      <c r="I8767" t="s">
        <v>29</v>
      </c>
      <c r="J8767">
        <v>1</v>
      </c>
      <c r="K8767">
        <f>1-888-334-1293</f>
        <v>-2514</v>
      </c>
      <c r="L8767" t="s">
        <v>27461</v>
      </c>
      <c r="M8767" t="s">
        <v>27462</v>
      </c>
      <c r="N8767" t="s">
        <v>5354</v>
      </c>
      <c r="O8767" t="s">
        <v>28</v>
      </c>
      <c r="P8767" t="s">
        <v>29</v>
      </c>
      <c r="Q8767">
        <v>40</v>
      </c>
      <c r="R8767">
        <v>-83.114099999999993</v>
      </c>
    </row>
    <row r="8768" spans="1:18" x14ac:dyDescent="0.2">
      <c r="A8768" t="s">
        <v>663</v>
      </c>
      <c r="B8768" t="s">
        <v>2500</v>
      </c>
      <c r="C8768">
        <v>1</v>
      </c>
      <c r="D8768" s="1">
        <v>44253.981990740744</v>
      </c>
      <c r="E8768" t="s">
        <v>27463</v>
      </c>
      <c r="F8768" t="s">
        <v>23451</v>
      </c>
      <c r="G8768" t="s">
        <v>27463</v>
      </c>
      <c r="H8768" t="s">
        <v>667</v>
      </c>
      <c r="I8768" t="s">
        <v>29</v>
      </c>
      <c r="J8768">
        <v>1</v>
      </c>
      <c r="K8768">
        <f>1-888-341-9371</f>
        <v>-10599</v>
      </c>
      <c r="L8768" t="s">
        <v>27464</v>
      </c>
      <c r="M8768" t="s">
        <v>27465</v>
      </c>
      <c r="N8768">
        <v>188</v>
      </c>
      <c r="O8768" t="s">
        <v>134</v>
      </c>
      <c r="P8768" t="s">
        <v>2500</v>
      </c>
      <c r="Q8768">
        <v>1</v>
      </c>
      <c r="R8768">
        <v>99.999999000000003</v>
      </c>
    </row>
    <row r="8769" spans="1:18" x14ac:dyDescent="0.2">
      <c r="A8769" t="s">
        <v>270</v>
      </c>
      <c r="B8769" t="s">
        <v>271</v>
      </c>
      <c r="C8769">
        <v>1</v>
      </c>
      <c r="D8769" s="1">
        <v>44343.751388888886</v>
      </c>
      <c r="E8769" t="s">
        <v>27466</v>
      </c>
      <c r="F8769" t="s">
        <v>273</v>
      </c>
      <c r="G8769" t="s">
        <v>27467</v>
      </c>
      <c r="H8769" t="s">
        <v>275</v>
      </c>
      <c r="I8769" t="s">
        <v>29</v>
      </c>
      <c r="J8769">
        <v>1</v>
      </c>
      <c r="K8769">
        <f>1-888-290-4202</f>
        <v>-5379</v>
      </c>
      <c r="L8769" t="s">
        <v>27468</v>
      </c>
      <c r="M8769" t="s">
        <v>27469</v>
      </c>
      <c r="N8769" t="s">
        <v>278</v>
      </c>
      <c r="O8769" t="s">
        <v>28</v>
      </c>
      <c r="P8769" t="s">
        <v>29</v>
      </c>
      <c r="Q8769">
        <v>42</v>
      </c>
      <c r="R8769">
        <v>-93.620800000000003</v>
      </c>
    </row>
    <row r="8770" spans="1:18" x14ac:dyDescent="0.2">
      <c r="A8770" t="s">
        <v>270</v>
      </c>
      <c r="B8770" t="s">
        <v>271</v>
      </c>
      <c r="C8770">
        <v>1</v>
      </c>
      <c r="D8770" s="1">
        <v>44327.865902777776</v>
      </c>
      <c r="E8770" t="s">
        <v>27470</v>
      </c>
      <c r="F8770" t="s">
        <v>273</v>
      </c>
      <c r="G8770" t="s">
        <v>27467</v>
      </c>
      <c r="H8770" t="s">
        <v>275</v>
      </c>
      <c r="I8770" t="s">
        <v>29</v>
      </c>
      <c r="J8770">
        <v>1</v>
      </c>
      <c r="K8770">
        <f>1-844-255-5509</f>
        <v>-6607</v>
      </c>
      <c r="L8770" t="s">
        <v>27471</v>
      </c>
      <c r="M8770" t="s">
        <v>27472</v>
      </c>
      <c r="N8770" t="s">
        <v>278</v>
      </c>
      <c r="O8770" t="s">
        <v>28</v>
      </c>
      <c r="P8770" t="s">
        <v>29</v>
      </c>
      <c r="Q8770">
        <v>42</v>
      </c>
      <c r="R8770">
        <v>-93.620800000000003</v>
      </c>
    </row>
    <row r="8771" spans="1:18" x14ac:dyDescent="0.2">
      <c r="A8771" t="s">
        <v>270</v>
      </c>
      <c r="B8771" t="s">
        <v>271</v>
      </c>
      <c r="C8771">
        <v>1</v>
      </c>
      <c r="D8771" s="1">
        <v>44254.002152777779</v>
      </c>
      <c r="E8771" t="s">
        <v>27473</v>
      </c>
      <c r="F8771" t="s">
        <v>273</v>
      </c>
      <c r="G8771" t="s">
        <v>27467</v>
      </c>
      <c r="H8771" t="s">
        <v>275</v>
      </c>
      <c r="I8771" t="s">
        <v>29</v>
      </c>
      <c r="J8771">
        <v>1</v>
      </c>
      <c r="K8771">
        <f>1-888-401-7610</f>
        <v>-8898</v>
      </c>
      <c r="L8771" t="s">
        <v>27474</v>
      </c>
      <c r="M8771" t="s">
        <v>27475</v>
      </c>
      <c r="N8771" t="s">
        <v>278</v>
      </c>
      <c r="O8771" t="s">
        <v>28</v>
      </c>
      <c r="P8771" t="s">
        <v>29</v>
      </c>
      <c r="Q8771">
        <v>42</v>
      </c>
      <c r="R8771">
        <v>-93.620800000000003</v>
      </c>
    </row>
    <row r="8772" spans="1:18" x14ac:dyDescent="0.2">
      <c r="A8772" t="s">
        <v>1650</v>
      </c>
      <c r="B8772" t="s">
        <v>27476</v>
      </c>
      <c r="C8772">
        <v>1</v>
      </c>
      <c r="D8772" s="1">
        <v>44254.200416666667</v>
      </c>
      <c r="E8772" t="s">
        <v>27477</v>
      </c>
      <c r="F8772" t="s">
        <v>1653</v>
      </c>
      <c r="G8772" t="s">
        <v>27478</v>
      </c>
      <c r="H8772" t="s">
        <v>1655</v>
      </c>
      <c r="I8772" t="s">
        <v>29</v>
      </c>
      <c r="J8772">
        <v>1</v>
      </c>
      <c r="K8772">
        <f>1-888-540-3681</f>
        <v>-5108</v>
      </c>
      <c r="L8772" t="s">
        <v>27479</v>
      </c>
      <c r="M8772" t="s">
        <v>27480</v>
      </c>
      <c r="N8772" t="s">
        <v>452</v>
      </c>
      <c r="O8772" t="s">
        <v>28</v>
      </c>
      <c r="P8772" t="s">
        <v>29</v>
      </c>
      <c r="Q8772">
        <v>36</v>
      </c>
      <c r="R8772">
        <v>-95.990200000000002</v>
      </c>
    </row>
    <row r="8773" spans="1:18" x14ac:dyDescent="0.2">
      <c r="A8773" t="s">
        <v>1650</v>
      </c>
      <c r="B8773" t="s">
        <v>27476</v>
      </c>
      <c r="C8773">
        <v>1</v>
      </c>
      <c r="D8773" s="1">
        <v>44254.153715277775</v>
      </c>
      <c r="E8773" t="s">
        <v>27481</v>
      </c>
      <c r="F8773" t="s">
        <v>1653</v>
      </c>
      <c r="G8773" t="s">
        <v>27478</v>
      </c>
      <c r="H8773" t="s">
        <v>1655</v>
      </c>
      <c r="I8773" t="s">
        <v>29</v>
      </c>
      <c r="J8773">
        <v>1</v>
      </c>
      <c r="K8773">
        <f>1-888-526-2095</f>
        <v>-3508</v>
      </c>
      <c r="L8773" t="s">
        <v>27482</v>
      </c>
      <c r="M8773" t="s">
        <v>27483</v>
      </c>
      <c r="N8773" t="s">
        <v>452</v>
      </c>
      <c r="O8773" t="s">
        <v>28</v>
      </c>
      <c r="P8773" t="s">
        <v>29</v>
      </c>
      <c r="Q8773">
        <v>36</v>
      </c>
      <c r="R8773">
        <v>-95.990200000000002</v>
      </c>
    </row>
    <row r="8774" spans="1:18" x14ac:dyDescent="0.2">
      <c r="A8774" t="s">
        <v>439</v>
      </c>
      <c r="B8774" t="s">
        <v>4321</v>
      </c>
      <c r="C8774">
        <v>81</v>
      </c>
      <c r="D8774" s="1">
        <v>44254.676412037035</v>
      </c>
      <c r="E8774" t="s">
        <v>27484</v>
      </c>
      <c r="F8774" t="s">
        <v>442</v>
      </c>
      <c r="G8774" t="s">
        <v>27485</v>
      </c>
      <c r="H8774" t="s">
        <v>444</v>
      </c>
      <c r="I8774" t="s">
        <v>53</v>
      </c>
      <c r="J8774">
        <v>81</v>
      </c>
      <c r="K8774">
        <f>81-50-3196-5619</f>
        <v>-8784</v>
      </c>
      <c r="L8774" t="s">
        <v>27486</v>
      </c>
      <c r="M8774" t="s">
        <v>27487</v>
      </c>
      <c r="N8774" t="s">
        <v>447</v>
      </c>
      <c r="O8774" t="s">
        <v>28</v>
      </c>
      <c r="P8774" t="s">
        <v>29</v>
      </c>
      <c r="Q8774">
        <v>42</v>
      </c>
      <c r="R8774">
        <v>-87.629800000000003</v>
      </c>
    </row>
    <row r="8775" spans="1:18" x14ac:dyDescent="0.2">
      <c r="A8775" t="s">
        <v>663</v>
      </c>
      <c r="B8775" t="s">
        <v>5784</v>
      </c>
      <c r="C8775">
        <v>1</v>
      </c>
      <c r="D8775" s="1">
        <v>44254.676747685182</v>
      </c>
      <c r="E8775" t="s">
        <v>27488</v>
      </c>
      <c r="F8775" t="s">
        <v>666</v>
      </c>
      <c r="G8775" t="s">
        <v>27489</v>
      </c>
      <c r="H8775" t="s">
        <v>667</v>
      </c>
      <c r="I8775" t="s">
        <v>29</v>
      </c>
      <c r="J8775">
        <v>1</v>
      </c>
      <c r="K8775">
        <f>1-844-325-3887</f>
        <v>-5055</v>
      </c>
      <c r="L8775" t="s">
        <v>27490</v>
      </c>
      <c r="M8775" t="s">
        <v>27491</v>
      </c>
      <c r="N8775" t="s">
        <v>25263</v>
      </c>
      <c r="O8775" t="s">
        <v>28</v>
      </c>
      <c r="P8775" t="s">
        <v>5789</v>
      </c>
      <c r="Q8775">
        <v>13</v>
      </c>
      <c r="R8775">
        <v>77.585499999999996</v>
      </c>
    </row>
    <row r="8776" spans="1:18" x14ac:dyDescent="0.2">
      <c r="A8776" t="s">
        <v>439</v>
      </c>
      <c r="B8776" t="s">
        <v>4321</v>
      </c>
      <c r="C8776">
        <v>81</v>
      </c>
      <c r="D8776" s="1">
        <v>44254.677465277775</v>
      </c>
      <c r="E8776" t="s">
        <v>27492</v>
      </c>
      <c r="F8776" t="s">
        <v>442</v>
      </c>
      <c r="G8776" t="s">
        <v>27493</v>
      </c>
      <c r="H8776" t="s">
        <v>444</v>
      </c>
      <c r="I8776" t="s">
        <v>53</v>
      </c>
      <c r="J8776">
        <v>81</v>
      </c>
      <c r="K8776">
        <f>81-50-5534-9663</f>
        <v>-15166</v>
      </c>
      <c r="L8776" t="s">
        <v>27494</v>
      </c>
      <c r="M8776" t="s">
        <v>27495</v>
      </c>
      <c r="N8776" t="s">
        <v>213</v>
      </c>
      <c r="O8776" t="s">
        <v>28</v>
      </c>
      <c r="P8776" t="s">
        <v>29</v>
      </c>
      <c r="Q8776">
        <v>42</v>
      </c>
      <c r="R8776">
        <v>-87.629800000000003</v>
      </c>
    </row>
    <row r="8777" spans="1:18" x14ac:dyDescent="0.2">
      <c r="A8777" t="s">
        <v>663</v>
      </c>
      <c r="B8777" t="s">
        <v>2500</v>
      </c>
      <c r="C8777">
        <v>1</v>
      </c>
      <c r="D8777" s="1">
        <v>44254.795868055553</v>
      </c>
      <c r="E8777" t="s">
        <v>27496</v>
      </c>
      <c r="F8777" t="s">
        <v>666</v>
      </c>
      <c r="G8777" t="s">
        <v>27496</v>
      </c>
      <c r="H8777" t="s">
        <v>667</v>
      </c>
      <c r="I8777" t="s">
        <v>29</v>
      </c>
      <c r="J8777">
        <v>1</v>
      </c>
      <c r="K8777">
        <f>1-888-399-5035</f>
        <v>-6321</v>
      </c>
      <c r="L8777" t="s">
        <v>27497</v>
      </c>
      <c r="M8777" t="s">
        <v>27498</v>
      </c>
      <c r="N8777">
        <v>39</v>
      </c>
      <c r="O8777" t="s">
        <v>134</v>
      </c>
      <c r="P8777" t="s">
        <v>2500</v>
      </c>
      <c r="Q8777">
        <v>1</v>
      </c>
      <c r="R8777">
        <v>99.999999000000003</v>
      </c>
    </row>
    <row r="8778" spans="1:18" x14ac:dyDescent="0.2">
      <c r="A8778" t="s">
        <v>663</v>
      </c>
      <c r="B8778" t="s">
        <v>2500</v>
      </c>
      <c r="C8778">
        <v>1</v>
      </c>
      <c r="D8778" s="1">
        <v>44254.787777777776</v>
      </c>
      <c r="E8778" t="s">
        <v>27496</v>
      </c>
      <c r="F8778" t="s">
        <v>666</v>
      </c>
      <c r="G8778" t="s">
        <v>27496</v>
      </c>
      <c r="H8778" t="s">
        <v>667</v>
      </c>
      <c r="I8778" t="s">
        <v>29</v>
      </c>
      <c r="J8778">
        <v>1</v>
      </c>
      <c r="K8778">
        <f>1-844-351-7847</f>
        <v>-9041</v>
      </c>
      <c r="L8778" t="s">
        <v>27499</v>
      </c>
      <c r="M8778" t="s">
        <v>27498</v>
      </c>
      <c r="N8778">
        <v>39</v>
      </c>
      <c r="O8778" t="s">
        <v>134</v>
      </c>
      <c r="P8778" t="s">
        <v>2500</v>
      </c>
      <c r="Q8778">
        <v>1</v>
      </c>
      <c r="R8778">
        <v>99.999999000000003</v>
      </c>
    </row>
    <row r="8779" spans="1:18" x14ac:dyDescent="0.2">
      <c r="A8779" t="s">
        <v>439</v>
      </c>
      <c r="B8779" t="s">
        <v>4321</v>
      </c>
      <c r="C8779">
        <v>81</v>
      </c>
      <c r="D8779" s="1">
        <v>44255.693715277775</v>
      </c>
      <c r="E8779" t="s">
        <v>27500</v>
      </c>
      <c r="F8779" t="s">
        <v>442</v>
      </c>
      <c r="G8779" t="s">
        <v>27501</v>
      </c>
      <c r="H8779" t="s">
        <v>444</v>
      </c>
      <c r="I8779" t="s">
        <v>53</v>
      </c>
      <c r="J8779">
        <v>81</v>
      </c>
      <c r="K8779">
        <f>81-50-3161-2431</f>
        <v>-5561</v>
      </c>
      <c r="L8779" t="s">
        <v>27502</v>
      </c>
      <c r="M8779" t="s">
        <v>27503</v>
      </c>
      <c r="N8779" t="s">
        <v>213</v>
      </c>
      <c r="O8779" t="s">
        <v>28</v>
      </c>
      <c r="P8779" t="s">
        <v>29</v>
      </c>
      <c r="Q8779">
        <v>42</v>
      </c>
      <c r="R8779">
        <v>-87.629800000000003</v>
      </c>
    </row>
    <row r="8780" spans="1:18" x14ac:dyDescent="0.2">
      <c r="A8780" t="s">
        <v>439</v>
      </c>
      <c r="B8780" t="s">
        <v>4321</v>
      </c>
      <c r="C8780">
        <v>1</v>
      </c>
      <c r="D8780" s="1">
        <v>44254.798159722224</v>
      </c>
      <c r="E8780" t="s">
        <v>27504</v>
      </c>
      <c r="F8780" t="s">
        <v>442</v>
      </c>
      <c r="G8780" t="s">
        <v>27505</v>
      </c>
      <c r="H8780" t="s">
        <v>444</v>
      </c>
      <c r="I8780" t="s">
        <v>29</v>
      </c>
      <c r="J8780">
        <v>1</v>
      </c>
      <c r="K8780">
        <f>1-844-326-1</f>
        <v>-1170</v>
      </c>
      <c r="L8780" t="s">
        <v>27506</v>
      </c>
      <c r="M8780" t="s">
        <v>27507</v>
      </c>
      <c r="N8780" t="s">
        <v>447</v>
      </c>
      <c r="O8780" t="s">
        <v>28</v>
      </c>
      <c r="P8780" t="s">
        <v>29</v>
      </c>
      <c r="Q8780">
        <v>42</v>
      </c>
      <c r="R8780">
        <v>-87.629800000000003</v>
      </c>
    </row>
    <row r="8781" spans="1:18" x14ac:dyDescent="0.2">
      <c r="A8781" t="s">
        <v>439</v>
      </c>
      <c r="B8781" t="s">
        <v>4321</v>
      </c>
      <c r="C8781">
        <v>1</v>
      </c>
      <c r="D8781" s="1">
        <v>44254.79415509259</v>
      </c>
      <c r="E8781" t="s">
        <v>27504</v>
      </c>
      <c r="F8781" t="s">
        <v>442</v>
      </c>
      <c r="G8781" t="s">
        <v>27505</v>
      </c>
      <c r="H8781" t="s">
        <v>444</v>
      </c>
      <c r="I8781" t="s">
        <v>29</v>
      </c>
      <c r="J8781">
        <v>1</v>
      </c>
      <c r="K8781">
        <f>1-844-401-9399</f>
        <v>-10643</v>
      </c>
      <c r="L8781" t="s">
        <v>27508</v>
      </c>
      <c r="M8781" t="s">
        <v>27509</v>
      </c>
      <c r="N8781" t="s">
        <v>447</v>
      </c>
      <c r="O8781" t="s">
        <v>28</v>
      </c>
      <c r="P8781" t="s">
        <v>29</v>
      </c>
      <c r="Q8781">
        <v>42</v>
      </c>
      <c r="R8781">
        <v>-87.629800000000003</v>
      </c>
    </row>
    <row r="8782" spans="1:18" x14ac:dyDescent="0.2">
      <c r="A8782" t="s">
        <v>10660</v>
      </c>
      <c r="B8782" t="s">
        <v>1638</v>
      </c>
      <c r="C8782">
        <v>1</v>
      </c>
      <c r="D8782" s="1">
        <v>44302.781793981485</v>
      </c>
      <c r="E8782" t="s">
        <v>27510</v>
      </c>
      <c r="F8782" t="s">
        <v>11960</v>
      </c>
      <c r="G8782" t="s">
        <v>27511</v>
      </c>
      <c r="H8782" t="s">
        <v>10664</v>
      </c>
      <c r="I8782" t="s">
        <v>29</v>
      </c>
      <c r="J8782">
        <v>1</v>
      </c>
      <c r="K8782">
        <f>1-888-729-1336</f>
        <v>-2952</v>
      </c>
      <c r="L8782" t="s">
        <v>27512</v>
      </c>
      <c r="M8782" t="s">
        <v>27513</v>
      </c>
      <c r="N8782" t="s">
        <v>5468</v>
      </c>
      <c r="O8782" t="s">
        <v>28</v>
      </c>
      <c r="P8782" t="s">
        <v>292</v>
      </c>
      <c r="Q8782">
        <v>49</v>
      </c>
      <c r="R8782">
        <v>2.3281000000000001</v>
      </c>
    </row>
    <row r="8783" spans="1:18" x14ac:dyDescent="0.2">
      <c r="A8783" t="s">
        <v>10660</v>
      </c>
      <c r="B8783" t="s">
        <v>1638</v>
      </c>
      <c r="C8783">
        <v>1</v>
      </c>
      <c r="D8783" s="1">
        <v>44300.766793981478</v>
      </c>
      <c r="E8783" t="s">
        <v>27514</v>
      </c>
      <c r="F8783" t="s">
        <v>11960</v>
      </c>
      <c r="G8783" t="s">
        <v>27511</v>
      </c>
      <c r="H8783" t="s">
        <v>10664</v>
      </c>
      <c r="I8783" t="s">
        <v>29</v>
      </c>
      <c r="J8783">
        <v>1</v>
      </c>
      <c r="K8783">
        <f>1-888-308-4615</f>
        <v>-5810</v>
      </c>
      <c r="L8783" t="s">
        <v>27515</v>
      </c>
      <c r="M8783" t="s">
        <v>27516</v>
      </c>
      <c r="N8783" t="s">
        <v>5468</v>
      </c>
      <c r="O8783" t="s">
        <v>28</v>
      </c>
      <c r="P8783" t="s">
        <v>292</v>
      </c>
      <c r="Q8783">
        <v>49</v>
      </c>
      <c r="R8783">
        <v>2.3281000000000001</v>
      </c>
    </row>
    <row r="8784" spans="1:18" x14ac:dyDescent="0.2">
      <c r="A8784" t="s">
        <v>10660</v>
      </c>
      <c r="B8784" t="s">
        <v>1638</v>
      </c>
      <c r="C8784">
        <v>1</v>
      </c>
      <c r="D8784" s="1">
        <v>44266.759375000001</v>
      </c>
      <c r="E8784" t="s">
        <v>27517</v>
      </c>
      <c r="F8784" t="s">
        <v>11960</v>
      </c>
      <c r="G8784" t="s">
        <v>27511</v>
      </c>
      <c r="H8784" t="s">
        <v>10664</v>
      </c>
      <c r="I8784" t="s">
        <v>29</v>
      </c>
      <c r="J8784">
        <v>1</v>
      </c>
      <c r="K8784">
        <f>1-888-602-7662</f>
        <v>-9151</v>
      </c>
      <c r="L8784" t="s">
        <v>27518</v>
      </c>
      <c r="M8784" t="s">
        <v>27519</v>
      </c>
      <c r="N8784" t="s">
        <v>5468</v>
      </c>
      <c r="O8784" t="s">
        <v>28</v>
      </c>
      <c r="P8784" t="s">
        <v>292</v>
      </c>
      <c r="Q8784">
        <v>49</v>
      </c>
      <c r="R8784">
        <v>2.3281000000000001</v>
      </c>
    </row>
    <row r="8785" spans="1:18" x14ac:dyDescent="0.2">
      <c r="A8785" t="s">
        <v>10660</v>
      </c>
      <c r="B8785" t="s">
        <v>1638</v>
      </c>
      <c r="C8785">
        <v>1</v>
      </c>
      <c r="D8785" s="1">
        <v>44266.731307870374</v>
      </c>
      <c r="E8785" t="s">
        <v>27520</v>
      </c>
      <c r="F8785" t="s">
        <v>11960</v>
      </c>
      <c r="G8785" t="s">
        <v>27511</v>
      </c>
      <c r="H8785" t="s">
        <v>10664</v>
      </c>
      <c r="I8785" t="s">
        <v>29</v>
      </c>
      <c r="J8785">
        <v>1</v>
      </c>
      <c r="K8785">
        <f>1-888-245-7582</f>
        <v>-8714</v>
      </c>
      <c r="L8785" t="s">
        <v>27521</v>
      </c>
      <c r="M8785" t="s">
        <v>27522</v>
      </c>
      <c r="N8785" t="s">
        <v>5468</v>
      </c>
      <c r="O8785" t="s">
        <v>28</v>
      </c>
      <c r="P8785" t="s">
        <v>292</v>
      </c>
      <c r="Q8785">
        <v>49</v>
      </c>
      <c r="R8785">
        <v>2.3281000000000001</v>
      </c>
    </row>
    <row r="8786" spans="1:18" x14ac:dyDescent="0.2">
      <c r="A8786" t="s">
        <v>10660</v>
      </c>
      <c r="B8786" t="s">
        <v>1638</v>
      </c>
      <c r="C8786">
        <v>1</v>
      </c>
      <c r="D8786" s="1">
        <v>44266.753611111111</v>
      </c>
      <c r="E8786" t="s">
        <v>27523</v>
      </c>
      <c r="F8786" t="s">
        <v>11960</v>
      </c>
      <c r="G8786" t="s">
        <v>27511</v>
      </c>
      <c r="H8786" t="s">
        <v>10664</v>
      </c>
      <c r="I8786" t="s">
        <v>29</v>
      </c>
      <c r="J8786">
        <v>1</v>
      </c>
      <c r="K8786">
        <f>1-888-705-893</f>
        <v>-2485</v>
      </c>
      <c r="L8786" t="s">
        <v>27524</v>
      </c>
      <c r="M8786" t="s">
        <v>27525</v>
      </c>
      <c r="N8786" t="s">
        <v>5468</v>
      </c>
      <c r="O8786" t="s">
        <v>28</v>
      </c>
      <c r="P8786" t="s">
        <v>292</v>
      </c>
      <c r="Q8786">
        <v>49</v>
      </c>
      <c r="R8786">
        <v>2.3281000000000001</v>
      </c>
    </row>
    <row r="8787" spans="1:18" x14ac:dyDescent="0.2">
      <c r="A8787" t="s">
        <v>10660</v>
      </c>
      <c r="B8787" t="s">
        <v>1638</v>
      </c>
      <c r="C8787">
        <v>1</v>
      </c>
      <c r="D8787" s="1">
        <v>44255.693831018521</v>
      </c>
      <c r="E8787" t="s">
        <v>27526</v>
      </c>
      <c r="F8787" t="s">
        <v>11960</v>
      </c>
      <c r="G8787" t="s">
        <v>27511</v>
      </c>
      <c r="H8787" t="s">
        <v>10664</v>
      </c>
      <c r="I8787" t="s">
        <v>29</v>
      </c>
      <c r="J8787">
        <v>1</v>
      </c>
      <c r="K8787">
        <f>1-888-531-9706</f>
        <v>-11124</v>
      </c>
      <c r="L8787" t="s">
        <v>27527</v>
      </c>
      <c r="M8787" t="s">
        <v>27528</v>
      </c>
      <c r="N8787" t="s">
        <v>5468</v>
      </c>
      <c r="O8787" t="s">
        <v>28</v>
      </c>
      <c r="P8787" t="s">
        <v>292</v>
      </c>
      <c r="Q8787">
        <v>49</v>
      </c>
      <c r="R8787">
        <v>2.3281000000000001</v>
      </c>
    </row>
    <row r="8788" spans="1:18" x14ac:dyDescent="0.2">
      <c r="A8788" t="s">
        <v>439</v>
      </c>
      <c r="B8788" t="s">
        <v>4321</v>
      </c>
      <c r="C8788">
        <v>81</v>
      </c>
      <c r="D8788" s="1">
        <v>44255.694444444445</v>
      </c>
      <c r="E8788" t="s">
        <v>27529</v>
      </c>
      <c r="F8788" t="s">
        <v>442</v>
      </c>
      <c r="G8788" t="s">
        <v>27530</v>
      </c>
      <c r="H8788" t="s">
        <v>444</v>
      </c>
      <c r="I8788" t="s">
        <v>53</v>
      </c>
      <c r="J8788">
        <v>81</v>
      </c>
      <c r="K8788">
        <f>81-50-5806-1324</f>
        <v>-7099</v>
      </c>
      <c r="L8788" t="s">
        <v>27531</v>
      </c>
      <c r="M8788" t="s">
        <v>27532</v>
      </c>
      <c r="N8788" t="s">
        <v>447</v>
      </c>
      <c r="O8788" t="s">
        <v>28</v>
      </c>
      <c r="P8788" t="s">
        <v>29</v>
      </c>
      <c r="Q8788">
        <v>42</v>
      </c>
      <c r="R8788">
        <v>-87.629800000000003</v>
      </c>
    </row>
    <row r="8789" spans="1:18" x14ac:dyDescent="0.2">
      <c r="A8789" t="s">
        <v>663</v>
      </c>
      <c r="B8789" t="s">
        <v>5784</v>
      </c>
      <c r="C8789">
        <v>1</v>
      </c>
      <c r="D8789" s="1">
        <v>44255.704027777778</v>
      </c>
      <c r="E8789" t="s">
        <v>27533</v>
      </c>
      <c r="F8789" t="s">
        <v>666</v>
      </c>
      <c r="G8789" t="s">
        <v>27534</v>
      </c>
      <c r="H8789" t="s">
        <v>667</v>
      </c>
      <c r="I8789" t="s">
        <v>29</v>
      </c>
      <c r="J8789">
        <v>1</v>
      </c>
      <c r="K8789">
        <f>1-844-385-1724</f>
        <v>-2952</v>
      </c>
      <c r="L8789" t="s">
        <v>27535</v>
      </c>
      <c r="M8789" t="s">
        <v>27536</v>
      </c>
      <c r="N8789" t="s">
        <v>25263</v>
      </c>
      <c r="O8789" t="s">
        <v>28</v>
      </c>
      <c r="P8789" t="s">
        <v>5789</v>
      </c>
      <c r="Q8789">
        <v>13</v>
      </c>
      <c r="R8789">
        <v>77.585499999999996</v>
      </c>
    </row>
    <row r="8790" spans="1:18" x14ac:dyDescent="0.2">
      <c r="A8790" t="s">
        <v>2233</v>
      </c>
      <c r="B8790" t="s">
        <v>440</v>
      </c>
      <c r="C8790">
        <v>1</v>
      </c>
      <c r="D8790" s="1">
        <v>44256.659490740742</v>
      </c>
      <c r="E8790" t="s">
        <v>27537</v>
      </c>
      <c r="F8790" t="s">
        <v>2236</v>
      </c>
      <c r="G8790" t="s">
        <v>27538</v>
      </c>
      <c r="H8790" t="s">
        <v>2237</v>
      </c>
      <c r="I8790" t="s">
        <v>29</v>
      </c>
      <c r="J8790">
        <v>1</v>
      </c>
      <c r="K8790">
        <f>1-877-762-299</f>
        <v>-1937</v>
      </c>
      <c r="L8790" t="s">
        <v>27539</v>
      </c>
      <c r="M8790" t="s">
        <v>27540</v>
      </c>
      <c r="N8790" t="s">
        <v>5354</v>
      </c>
      <c r="O8790" t="s">
        <v>28</v>
      </c>
      <c r="P8790" t="s">
        <v>29</v>
      </c>
      <c r="Q8790">
        <v>39</v>
      </c>
      <c r="R8790">
        <v>-77.487399999999994</v>
      </c>
    </row>
    <row r="8791" spans="1:18" x14ac:dyDescent="0.2">
      <c r="A8791" t="s">
        <v>439</v>
      </c>
      <c r="B8791" t="s">
        <v>4321</v>
      </c>
      <c r="C8791">
        <v>1</v>
      </c>
      <c r="D8791" s="1">
        <v>44256.669988425929</v>
      </c>
      <c r="E8791" t="s">
        <v>27541</v>
      </c>
      <c r="F8791" t="s">
        <v>442</v>
      </c>
      <c r="G8791" t="s">
        <v>27542</v>
      </c>
      <c r="H8791" t="s">
        <v>444</v>
      </c>
      <c r="I8791" t="s">
        <v>29</v>
      </c>
      <c r="J8791">
        <v>1</v>
      </c>
      <c r="K8791">
        <f>1-844-384-6363</f>
        <v>-7590</v>
      </c>
      <c r="L8791" t="s">
        <v>27543</v>
      </c>
      <c r="M8791" t="s">
        <v>27544</v>
      </c>
      <c r="N8791" t="s">
        <v>213</v>
      </c>
      <c r="O8791" t="s">
        <v>28</v>
      </c>
      <c r="P8791" t="s">
        <v>29</v>
      </c>
      <c r="Q8791">
        <v>42</v>
      </c>
      <c r="R8791">
        <v>-87.629800000000003</v>
      </c>
    </row>
    <row r="8792" spans="1:18" x14ac:dyDescent="0.2">
      <c r="A8792" t="s">
        <v>27545</v>
      </c>
      <c r="B8792" t="s">
        <v>1212</v>
      </c>
      <c r="C8792">
        <v>1</v>
      </c>
      <c r="D8792" s="1">
        <v>44268.668449074074</v>
      </c>
      <c r="E8792" t="s">
        <v>27546</v>
      </c>
      <c r="F8792" t="s">
        <v>27547</v>
      </c>
      <c r="G8792" t="s">
        <v>27548</v>
      </c>
      <c r="H8792" t="s">
        <v>27549</v>
      </c>
      <c r="I8792" t="s">
        <v>29</v>
      </c>
      <c r="J8792">
        <v>1</v>
      </c>
      <c r="K8792">
        <f>1-865-888-8213</f>
        <v>-9965</v>
      </c>
      <c r="L8792" t="s">
        <v>27550</v>
      </c>
      <c r="M8792" t="s">
        <v>27551</v>
      </c>
      <c r="N8792" t="s">
        <v>674</v>
      </c>
      <c r="O8792" t="s">
        <v>134</v>
      </c>
      <c r="P8792" t="s">
        <v>618</v>
      </c>
      <c r="Q8792">
        <v>52</v>
      </c>
      <c r="R8792">
        <v>-0.12775800000000001</v>
      </c>
    </row>
    <row r="8793" spans="1:18" x14ac:dyDescent="0.2">
      <c r="A8793" t="s">
        <v>27545</v>
      </c>
      <c r="B8793" t="s">
        <v>1212</v>
      </c>
      <c r="C8793">
        <v>1</v>
      </c>
      <c r="D8793" s="1">
        <v>44267.813043981485</v>
      </c>
      <c r="E8793" t="s">
        <v>27552</v>
      </c>
      <c r="F8793" t="s">
        <v>27547</v>
      </c>
      <c r="G8793" t="s">
        <v>27548</v>
      </c>
      <c r="H8793" t="s">
        <v>27549</v>
      </c>
      <c r="I8793" t="s">
        <v>29</v>
      </c>
      <c r="J8793">
        <v>1</v>
      </c>
      <c r="K8793">
        <f>1-865-888-8213</f>
        <v>-9965</v>
      </c>
      <c r="L8793" t="s">
        <v>27553</v>
      </c>
      <c r="M8793" t="s">
        <v>27554</v>
      </c>
      <c r="N8793" t="s">
        <v>213</v>
      </c>
      <c r="O8793" t="s">
        <v>134</v>
      </c>
      <c r="P8793" t="s">
        <v>618</v>
      </c>
      <c r="Q8793">
        <v>52</v>
      </c>
      <c r="R8793">
        <v>-0.12775800000000001</v>
      </c>
    </row>
    <row r="8794" spans="1:18" x14ac:dyDescent="0.2">
      <c r="A8794" t="s">
        <v>27545</v>
      </c>
      <c r="B8794" t="s">
        <v>1212</v>
      </c>
      <c r="C8794">
        <v>1</v>
      </c>
      <c r="D8794" s="1">
        <v>44266.738321759258</v>
      </c>
      <c r="E8794" t="s">
        <v>27555</v>
      </c>
      <c r="F8794" t="s">
        <v>27547</v>
      </c>
      <c r="G8794" t="s">
        <v>27548</v>
      </c>
      <c r="H8794" t="s">
        <v>27549</v>
      </c>
      <c r="I8794" t="s">
        <v>29</v>
      </c>
      <c r="J8794">
        <v>1</v>
      </c>
      <c r="K8794">
        <f>1-865-888-8213</f>
        <v>-9965</v>
      </c>
      <c r="L8794" t="s">
        <v>27556</v>
      </c>
      <c r="M8794" t="s">
        <v>27557</v>
      </c>
      <c r="N8794" t="s">
        <v>447</v>
      </c>
      <c r="O8794" t="s">
        <v>134</v>
      </c>
      <c r="P8794" t="s">
        <v>618</v>
      </c>
      <c r="Q8794">
        <v>52</v>
      </c>
      <c r="R8794">
        <v>-0.12775800000000001</v>
      </c>
    </row>
    <row r="8795" spans="1:18" x14ac:dyDescent="0.2">
      <c r="A8795" t="s">
        <v>27545</v>
      </c>
      <c r="B8795" t="s">
        <v>1212</v>
      </c>
      <c r="C8795">
        <v>1</v>
      </c>
      <c r="D8795" s="1">
        <v>44266.670891203707</v>
      </c>
      <c r="E8795" t="s">
        <v>27558</v>
      </c>
      <c r="F8795" t="s">
        <v>27547</v>
      </c>
      <c r="G8795" t="s">
        <v>27548</v>
      </c>
      <c r="H8795" t="s">
        <v>27549</v>
      </c>
      <c r="I8795" t="s">
        <v>29</v>
      </c>
      <c r="J8795">
        <v>1</v>
      </c>
      <c r="K8795">
        <f>1-865-395-6838</f>
        <v>-8097</v>
      </c>
      <c r="L8795" t="s">
        <v>27559</v>
      </c>
      <c r="M8795" t="s">
        <v>27560</v>
      </c>
      <c r="N8795" t="s">
        <v>213</v>
      </c>
      <c r="O8795" t="s">
        <v>134</v>
      </c>
      <c r="P8795" t="s">
        <v>618</v>
      </c>
      <c r="Q8795">
        <v>52</v>
      </c>
      <c r="R8795">
        <v>-0.12775800000000001</v>
      </c>
    </row>
    <row r="8796" spans="1:18" x14ac:dyDescent="0.2">
      <c r="A8796" t="s">
        <v>27545</v>
      </c>
      <c r="B8796" t="s">
        <v>1212</v>
      </c>
      <c r="C8796">
        <v>1</v>
      </c>
      <c r="D8796" s="1">
        <v>44264.758715277778</v>
      </c>
      <c r="E8796" t="s">
        <v>27561</v>
      </c>
      <c r="F8796" t="s">
        <v>27547</v>
      </c>
      <c r="G8796" t="s">
        <v>27548</v>
      </c>
      <c r="H8796" t="s">
        <v>27549</v>
      </c>
      <c r="I8796" t="s">
        <v>29</v>
      </c>
      <c r="J8796">
        <v>1</v>
      </c>
      <c r="K8796">
        <f>1-402-234-8681</f>
        <v>-9316</v>
      </c>
      <c r="L8796" t="s">
        <v>27562</v>
      </c>
      <c r="M8796" t="s">
        <v>27563</v>
      </c>
      <c r="N8796" t="s">
        <v>3441</v>
      </c>
      <c r="O8796" t="s">
        <v>134</v>
      </c>
      <c r="P8796" t="s">
        <v>618</v>
      </c>
      <c r="Q8796">
        <v>52</v>
      </c>
      <c r="R8796">
        <v>-0.12775800000000001</v>
      </c>
    </row>
    <row r="8797" spans="1:18" x14ac:dyDescent="0.2">
      <c r="A8797" t="s">
        <v>27545</v>
      </c>
      <c r="B8797" t="s">
        <v>1212</v>
      </c>
      <c r="C8797">
        <v>1</v>
      </c>
      <c r="D8797" s="1">
        <v>44263.743194444447</v>
      </c>
      <c r="E8797" t="s">
        <v>27564</v>
      </c>
      <c r="F8797" t="s">
        <v>27547</v>
      </c>
      <c r="G8797" t="s">
        <v>27548</v>
      </c>
      <c r="H8797" t="s">
        <v>27549</v>
      </c>
      <c r="I8797" t="s">
        <v>29</v>
      </c>
      <c r="J8797">
        <v>1</v>
      </c>
      <c r="K8797">
        <f>1-865-888-8213</f>
        <v>-9965</v>
      </c>
      <c r="L8797" t="s">
        <v>27565</v>
      </c>
      <c r="M8797" t="s">
        <v>27566</v>
      </c>
      <c r="N8797" t="s">
        <v>213</v>
      </c>
      <c r="O8797" t="s">
        <v>134</v>
      </c>
      <c r="P8797" t="s">
        <v>618</v>
      </c>
      <c r="Q8797">
        <v>52</v>
      </c>
      <c r="R8797">
        <v>-0.12775800000000001</v>
      </c>
    </row>
    <row r="8798" spans="1:18" x14ac:dyDescent="0.2">
      <c r="A8798" t="s">
        <v>27545</v>
      </c>
      <c r="B8798" t="s">
        <v>1212</v>
      </c>
      <c r="C8798">
        <v>1</v>
      </c>
      <c r="D8798" s="1">
        <v>44263.659236111111</v>
      </c>
      <c r="E8798" t="s">
        <v>27567</v>
      </c>
      <c r="F8798" t="s">
        <v>27547</v>
      </c>
      <c r="G8798" t="s">
        <v>27548</v>
      </c>
      <c r="H8798" t="s">
        <v>27549</v>
      </c>
      <c r="I8798" t="s">
        <v>29</v>
      </c>
      <c r="J8798">
        <v>1</v>
      </c>
      <c r="K8798">
        <f>1-865-888-8213</f>
        <v>-9965</v>
      </c>
      <c r="L8798" t="s">
        <v>27568</v>
      </c>
      <c r="M8798" t="s">
        <v>27569</v>
      </c>
      <c r="N8798" t="s">
        <v>3454</v>
      </c>
      <c r="O8798" t="s">
        <v>134</v>
      </c>
      <c r="P8798" t="s">
        <v>618</v>
      </c>
      <c r="Q8798">
        <v>52</v>
      </c>
      <c r="R8798">
        <v>-0.12775800000000001</v>
      </c>
    </row>
    <row r="8799" spans="1:18" x14ac:dyDescent="0.2">
      <c r="A8799" t="s">
        <v>27545</v>
      </c>
      <c r="B8799" t="s">
        <v>1212</v>
      </c>
      <c r="C8799">
        <v>1</v>
      </c>
      <c r="D8799" s="1">
        <v>44261.779895833337</v>
      </c>
      <c r="E8799" t="s">
        <v>27570</v>
      </c>
      <c r="F8799" t="s">
        <v>27547</v>
      </c>
      <c r="G8799" t="s">
        <v>27548</v>
      </c>
      <c r="H8799" t="s">
        <v>27549</v>
      </c>
      <c r="I8799" t="s">
        <v>29</v>
      </c>
      <c r="J8799">
        <v>1</v>
      </c>
      <c r="K8799">
        <f>1-865-888-8213</f>
        <v>-9965</v>
      </c>
      <c r="L8799" t="s">
        <v>27571</v>
      </c>
      <c r="M8799" t="s">
        <v>27572</v>
      </c>
      <c r="N8799" t="s">
        <v>3441</v>
      </c>
      <c r="O8799" t="s">
        <v>134</v>
      </c>
      <c r="P8799" t="s">
        <v>618</v>
      </c>
      <c r="Q8799">
        <v>52</v>
      </c>
      <c r="R8799">
        <v>-0.12775800000000001</v>
      </c>
    </row>
    <row r="8800" spans="1:18" x14ac:dyDescent="0.2">
      <c r="A8800" t="s">
        <v>27545</v>
      </c>
      <c r="B8800" t="s">
        <v>1212</v>
      </c>
      <c r="C8800">
        <v>1</v>
      </c>
      <c r="D8800" s="1">
        <v>44260.790659722225</v>
      </c>
      <c r="E8800" t="s">
        <v>27573</v>
      </c>
      <c r="F8800" t="s">
        <v>27547</v>
      </c>
      <c r="G8800" t="s">
        <v>27548</v>
      </c>
      <c r="H8800" t="s">
        <v>27549</v>
      </c>
      <c r="I8800" t="s">
        <v>29</v>
      </c>
      <c r="J8800">
        <v>1</v>
      </c>
      <c r="K8800">
        <f>1-865-888-8213</f>
        <v>-9965</v>
      </c>
      <c r="L8800" t="s">
        <v>27574</v>
      </c>
      <c r="M8800" t="s">
        <v>27575</v>
      </c>
      <c r="N8800" t="s">
        <v>674</v>
      </c>
      <c r="O8800" t="s">
        <v>134</v>
      </c>
      <c r="P8800" t="s">
        <v>618</v>
      </c>
      <c r="Q8800">
        <v>52</v>
      </c>
      <c r="R8800">
        <v>-0.12775800000000001</v>
      </c>
    </row>
    <row r="8801" spans="1:18" x14ac:dyDescent="0.2">
      <c r="A8801" t="s">
        <v>27545</v>
      </c>
      <c r="B8801" t="s">
        <v>1212</v>
      </c>
      <c r="C8801">
        <v>1</v>
      </c>
      <c r="D8801" s="1">
        <v>44255.742013888892</v>
      </c>
      <c r="E8801" t="s">
        <v>27576</v>
      </c>
      <c r="F8801" t="s">
        <v>27547</v>
      </c>
      <c r="G8801" t="s">
        <v>27548</v>
      </c>
      <c r="H8801" t="s">
        <v>27549</v>
      </c>
      <c r="I8801" t="s">
        <v>29</v>
      </c>
      <c r="J8801">
        <v>1</v>
      </c>
      <c r="K8801">
        <f>1-865-888-8139</f>
        <v>-9891</v>
      </c>
      <c r="L8801" t="s">
        <v>27577</v>
      </c>
      <c r="M8801" t="s">
        <v>27578</v>
      </c>
      <c r="N8801" t="s">
        <v>3441</v>
      </c>
      <c r="O8801" t="s">
        <v>134</v>
      </c>
      <c r="P8801" t="s">
        <v>618</v>
      </c>
      <c r="Q8801">
        <v>52</v>
      </c>
      <c r="R8801">
        <v>-0.12775800000000001</v>
      </c>
    </row>
    <row r="8802" spans="1:18" x14ac:dyDescent="0.2">
      <c r="A8802" t="s">
        <v>439</v>
      </c>
      <c r="B8802" t="s">
        <v>4321</v>
      </c>
      <c r="C8802">
        <v>1</v>
      </c>
      <c r="D8802" s="1">
        <v>44256.697442129633</v>
      </c>
      <c r="E8802" t="s">
        <v>27579</v>
      </c>
      <c r="F8802" t="s">
        <v>442</v>
      </c>
      <c r="G8802" t="s">
        <v>27580</v>
      </c>
      <c r="H8802" t="s">
        <v>444</v>
      </c>
      <c r="I8802" t="s">
        <v>29</v>
      </c>
      <c r="J8802">
        <v>1</v>
      </c>
      <c r="K8802">
        <f>1-888-461-1703</f>
        <v>-3051</v>
      </c>
      <c r="L8802" t="s">
        <v>27581</v>
      </c>
      <c r="M8802" t="s">
        <v>27582</v>
      </c>
      <c r="N8802" t="s">
        <v>1645</v>
      </c>
      <c r="O8802" t="s">
        <v>28</v>
      </c>
      <c r="P8802" t="s">
        <v>29</v>
      </c>
      <c r="Q8802">
        <v>42</v>
      </c>
      <c r="R8802">
        <v>-87.629800000000003</v>
      </c>
    </row>
    <row r="8803" spans="1:18" x14ac:dyDescent="0.2">
      <c r="A8803" t="s">
        <v>5349</v>
      </c>
      <c r="B8803" t="s">
        <v>440</v>
      </c>
      <c r="C8803">
        <v>81</v>
      </c>
      <c r="D8803" s="1">
        <v>44256.718865740739</v>
      </c>
      <c r="E8803" t="s">
        <v>27583</v>
      </c>
      <c r="F8803" t="s">
        <v>2236</v>
      </c>
      <c r="G8803" t="s">
        <v>27583</v>
      </c>
      <c r="H8803" t="s">
        <v>2237</v>
      </c>
      <c r="I8803" t="s">
        <v>53</v>
      </c>
      <c r="J8803">
        <v>81</v>
      </c>
      <c r="K8803">
        <f>81-50-3198-905</f>
        <v>-4072</v>
      </c>
      <c r="L8803" t="s">
        <v>27584</v>
      </c>
      <c r="M8803" t="s">
        <v>27585</v>
      </c>
      <c r="N8803">
        <v>110</v>
      </c>
      <c r="O8803" t="s">
        <v>134</v>
      </c>
      <c r="P8803" t="s">
        <v>29</v>
      </c>
      <c r="Q8803">
        <v>39</v>
      </c>
      <c r="R8803">
        <v>-77.487399999999994</v>
      </c>
    </row>
    <row r="8804" spans="1:18" x14ac:dyDescent="0.2">
      <c r="A8804" t="s">
        <v>2233</v>
      </c>
      <c r="B8804" t="s">
        <v>440</v>
      </c>
      <c r="C8804">
        <v>1</v>
      </c>
      <c r="D8804" s="1">
        <v>44256.720462962963</v>
      </c>
      <c r="E8804" t="s">
        <v>27586</v>
      </c>
      <c r="F8804" t="s">
        <v>2236</v>
      </c>
      <c r="G8804" t="s">
        <v>27587</v>
      </c>
      <c r="H8804" t="s">
        <v>2237</v>
      </c>
      <c r="I8804" t="s">
        <v>29</v>
      </c>
      <c r="J8804">
        <v>1</v>
      </c>
      <c r="K8804">
        <f>1-877-482-1888</f>
        <v>-3246</v>
      </c>
      <c r="L8804" t="s">
        <v>27588</v>
      </c>
      <c r="M8804" t="s">
        <v>27589</v>
      </c>
      <c r="N8804" t="s">
        <v>5354</v>
      </c>
      <c r="O8804" t="s">
        <v>134</v>
      </c>
      <c r="P8804" t="s">
        <v>29</v>
      </c>
      <c r="Q8804">
        <v>39</v>
      </c>
      <c r="R8804">
        <v>-77.487399999999994</v>
      </c>
    </row>
    <row r="8805" spans="1:18" x14ac:dyDescent="0.2">
      <c r="A8805" t="s">
        <v>10660</v>
      </c>
      <c r="B8805" t="s">
        <v>1638</v>
      </c>
      <c r="C8805">
        <v>1</v>
      </c>
      <c r="D8805" s="1">
        <v>44303.8983912037</v>
      </c>
      <c r="E8805" t="s">
        <v>27590</v>
      </c>
      <c r="F8805" t="s">
        <v>11960</v>
      </c>
      <c r="G8805" t="s">
        <v>27591</v>
      </c>
      <c r="H8805" t="s">
        <v>10664</v>
      </c>
      <c r="I8805" t="s">
        <v>29</v>
      </c>
      <c r="J8805">
        <v>1</v>
      </c>
      <c r="K8805">
        <f>1-888-731-1939</f>
        <v>-3557</v>
      </c>
      <c r="L8805" t="s">
        <v>27592</v>
      </c>
      <c r="M8805" t="s">
        <v>27593</v>
      </c>
      <c r="N8805" t="s">
        <v>5468</v>
      </c>
      <c r="O8805" t="s">
        <v>28</v>
      </c>
      <c r="P8805" t="s">
        <v>292</v>
      </c>
      <c r="Q8805">
        <v>49</v>
      </c>
      <c r="R8805">
        <v>2.3281000000000001</v>
      </c>
    </row>
    <row r="8806" spans="1:18" x14ac:dyDescent="0.2">
      <c r="A8806" t="s">
        <v>10660</v>
      </c>
      <c r="B8806" t="s">
        <v>1638</v>
      </c>
      <c r="C8806">
        <v>1</v>
      </c>
      <c r="D8806" s="1">
        <v>44300.043391203704</v>
      </c>
      <c r="E8806" t="s">
        <v>27594</v>
      </c>
      <c r="F8806" t="s">
        <v>11960</v>
      </c>
      <c r="G8806" t="s">
        <v>27591</v>
      </c>
      <c r="H8806" t="s">
        <v>10664</v>
      </c>
      <c r="I8806" t="s">
        <v>29</v>
      </c>
      <c r="J8806">
        <v>1</v>
      </c>
      <c r="K8806">
        <f>1-888-371-6854</f>
        <v>-8112</v>
      </c>
      <c r="L8806" t="s">
        <v>27595</v>
      </c>
      <c r="M8806" t="s">
        <v>27596</v>
      </c>
      <c r="N8806" t="s">
        <v>5468</v>
      </c>
      <c r="O8806" t="s">
        <v>28</v>
      </c>
      <c r="P8806" t="s">
        <v>292</v>
      </c>
      <c r="Q8806">
        <v>49</v>
      </c>
      <c r="R8806">
        <v>2.3281000000000001</v>
      </c>
    </row>
    <row r="8807" spans="1:18" x14ac:dyDescent="0.2">
      <c r="A8807" t="s">
        <v>10660</v>
      </c>
      <c r="B8807" t="s">
        <v>1638</v>
      </c>
      <c r="C8807">
        <v>1</v>
      </c>
      <c r="D8807" s="1">
        <v>44299.772361111114</v>
      </c>
      <c r="E8807" t="s">
        <v>27597</v>
      </c>
      <c r="F8807" t="s">
        <v>11960</v>
      </c>
      <c r="G8807" t="s">
        <v>27591</v>
      </c>
      <c r="H8807" t="s">
        <v>10664</v>
      </c>
      <c r="I8807" t="s">
        <v>29</v>
      </c>
      <c r="J8807">
        <v>1</v>
      </c>
      <c r="K8807">
        <f>1-888-382-191</f>
        <v>-1460</v>
      </c>
      <c r="L8807" t="s">
        <v>27598</v>
      </c>
      <c r="M8807" t="s">
        <v>27599</v>
      </c>
      <c r="N8807" t="s">
        <v>5468</v>
      </c>
      <c r="O8807" t="s">
        <v>28</v>
      </c>
      <c r="P8807" t="s">
        <v>292</v>
      </c>
      <c r="Q8807">
        <v>49</v>
      </c>
      <c r="R8807">
        <v>2.3281000000000001</v>
      </c>
    </row>
    <row r="8808" spans="1:18" x14ac:dyDescent="0.2">
      <c r="A8808" t="s">
        <v>10660</v>
      </c>
      <c r="B8808" t="s">
        <v>1638</v>
      </c>
      <c r="C8808">
        <v>1</v>
      </c>
      <c r="D8808" s="1">
        <v>44270.966157407405</v>
      </c>
      <c r="E8808" t="s">
        <v>27600</v>
      </c>
      <c r="F8808" t="s">
        <v>11960</v>
      </c>
      <c r="G8808" t="s">
        <v>27591</v>
      </c>
      <c r="H8808" t="s">
        <v>10664</v>
      </c>
      <c r="I8808" t="s">
        <v>29</v>
      </c>
      <c r="J8808">
        <v>1</v>
      </c>
      <c r="K8808">
        <f>1-888-431-839</f>
        <v>-2157</v>
      </c>
      <c r="L8808" t="s">
        <v>27601</v>
      </c>
      <c r="M8808" t="s">
        <v>27602</v>
      </c>
      <c r="N8808" t="s">
        <v>5468</v>
      </c>
      <c r="O8808" t="s">
        <v>28</v>
      </c>
      <c r="P8808" t="s">
        <v>292</v>
      </c>
      <c r="Q8808">
        <v>49</v>
      </c>
      <c r="R8808">
        <v>2.3281000000000001</v>
      </c>
    </row>
    <row r="8809" spans="1:18" x14ac:dyDescent="0.2">
      <c r="A8809" t="s">
        <v>10660</v>
      </c>
      <c r="B8809" t="s">
        <v>1638</v>
      </c>
      <c r="C8809">
        <v>1</v>
      </c>
      <c r="D8809" s="1">
        <v>44264.917986111112</v>
      </c>
      <c r="E8809" t="s">
        <v>27603</v>
      </c>
      <c r="F8809" t="s">
        <v>11960</v>
      </c>
      <c r="G8809" t="s">
        <v>27591</v>
      </c>
      <c r="H8809" t="s">
        <v>10664</v>
      </c>
      <c r="I8809" t="s">
        <v>29</v>
      </c>
      <c r="J8809">
        <v>1</v>
      </c>
      <c r="K8809">
        <f>1-888-610-7624</f>
        <v>-9121</v>
      </c>
      <c r="L8809" s="2" t="s">
        <v>27604</v>
      </c>
      <c r="M8809" t="s">
        <v>27605</v>
      </c>
      <c r="N8809" t="s">
        <v>5468</v>
      </c>
      <c r="O8809" t="s">
        <v>28</v>
      </c>
      <c r="P8809" t="s">
        <v>292</v>
      </c>
      <c r="Q8809">
        <v>49</v>
      </c>
      <c r="R8809">
        <v>2.3281000000000001</v>
      </c>
    </row>
    <row r="8810" spans="1:18" x14ac:dyDescent="0.2">
      <c r="A8810" t="s">
        <v>10660</v>
      </c>
      <c r="B8810" t="s">
        <v>1638</v>
      </c>
      <c r="C8810">
        <v>1</v>
      </c>
      <c r="D8810" s="1">
        <v>44263.790416666663</v>
      </c>
      <c r="E8810" t="s">
        <v>27606</v>
      </c>
      <c r="F8810" t="s">
        <v>11960</v>
      </c>
      <c r="G8810" t="s">
        <v>27591</v>
      </c>
      <c r="H8810" t="s">
        <v>10664</v>
      </c>
      <c r="I8810" t="s">
        <v>29</v>
      </c>
      <c r="J8810">
        <v>1</v>
      </c>
      <c r="K8810">
        <f>1-888-626-3097</f>
        <v>-4610</v>
      </c>
      <c r="L8810" t="s">
        <v>27607</v>
      </c>
      <c r="M8810" t="s">
        <v>27608</v>
      </c>
      <c r="N8810" t="s">
        <v>5468</v>
      </c>
      <c r="O8810" t="s">
        <v>28</v>
      </c>
      <c r="P8810" t="s">
        <v>292</v>
      </c>
      <c r="Q8810">
        <v>49</v>
      </c>
      <c r="R8810">
        <v>2.3281000000000001</v>
      </c>
    </row>
    <row r="8811" spans="1:18" x14ac:dyDescent="0.2">
      <c r="A8811" t="s">
        <v>10660</v>
      </c>
      <c r="B8811" t="s">
        <v>1638</v>
      </c>
      <c r="C8811">
        <v>1</v>
      </c>
      <c r="D8811" s="1">
        <v>44263.731064814812</v>
      </c>
      <c r="E8811" t="s">
        <v>27609</v>
      </c>
      <c r="F8811" t="s">
        <v>11960</v>
      </c>
      <c r="G8811" t="s">
        <v>27591</v>
      </c>
      <c r="H8811" t="s">
        <v>10664</v>
      </c>
      <c r="I8811" t="s">
        <v>29</v>
      </c>
      <c r="J8811">
        <v>1</v>
      </c>
      <c r="K8811">
        <f>1-888-599-4298</f>
        <v>-5784</v>
      </c>
      <c r="L8811" t="s">
        <v>27610</v>
      </c>
      <c r="M8811" t="s">
        <v>27611</v>
      </c>
      <c r="N8811" t="s">
        <v>5468</v>
      </c>
      <c r="O8811" t="s">
        <v>28</v>
      </c>
      <c r="P8811" t="s">
        <v>292</v>
      </c>
      <c r="Q8811">
        <v>49</v>
      </c>
      <c r="R8811">
        <v>2.3281000000000001</v>
      </c>
    </row>
    <row r="8812" spans="1:18" x14ac:dyDescent="0.2">
      <c r="A8812" t="s">
        <v>10660</v>
      </c>
      <c r="B8812" t="s">
        <v>1638</v>
      </c>
      <c r="C8812">
        <v>1</v>
      </c>
      <c r="D8812" s="1">
        <v>44256.88658564815</v>
      </c>
      <c r="E8812" t="s">
        <v>27612</v>
      </c>
      <c r="F8812" t="s">
        <v>11960</v>
      </c>
      <c r="G8812" t="s">
        <v>27591</v>
      </c>
      <c r="H8812" t="s">
        <v>10664</v>
      </c>
      <c r="I8812" t="s">
        <v>29</v>
      </c>
      <c r="J8812">
        <v>1</v>
      </c>
      <c r="K8812">
        <f>1-888-238-1672</f>
        <v>-2797</v>
      </c>
      <c r="L8812" t="s">
        <v>27613</v>
      </c>
      <c r="M8812" t="s">
        <v>27614</v>
      </c>
      <c r="N8812" t="s">
        <v>5468</v>
      </c>
      <c r="O8812" t="s">
        <v>28</v>
      </c>
      <c r="P8812" t="s">
        <v>292</v>
      </c>
      <c r="Q8812">
        <v>49</v>
      </c>
      <c r="R8812">
        <v>2.3281000000000001</v>
      </c>
    </row>
    <row r="8813" spans="1:18" x14ac:dyDescent="0.2">
      <c r="A8813" t="s">
        <v>10660</v>
      </c>
      <c r="B8813" t="s">
        <v>1638</v>
      </c>
      <c r="C8813">
        <v>1</v>
      </c>
      <c r="D8813" s="1">
        <v>44256.776990740742</v>
      </c>
      <c r="E8813" t="s">
        <v>27615</v>
      </c>
      <c r="F8813" t="s">
        <v>11960</v>
      </c>
      <c r="G8813" t="s">
        <v>27591</v>
      </c>
      <c r="H8813" t="s">
        <v>10664</v>
      </c>
      <c r="I8813" t="s">
        <v>29</v>
      </c>
      <c r="J8813">
        <v>1</v>
      </c>
      <c r="K8813">
        <f>1-888-631-1316</f>
        <v>-2834</v>
      </c>
      <c r="L8813" t="s">
        <v>27616</v>
      </c>
      <c r="M8813" t="s">
        <v>27617</v>
      </c>
      <c r="N8813" t="s">
        <v>5468</v>
      </c>
      <c r="O8813" t="s">
        <v>28</v>
      </c>
      <c r="P8813" t="s">
        <v>292</v>
      </c>
      <c r="Q8813">
        <v>49</v>
      </c>
      <c r="R8813">
        <v>2.3281000000000001</v>
      </c>
    </row>
    <row r="8814" spans="1:18" x14ac:dyDescent="0.2">
      <c r="A8814" t="s">
        <v>10660</v>
      </c>
      <c r="B8814" t="s">
        <v>1638</v>
      </c>
      <c r="C8814">
        <v>1</v>
      </c>
      <c r="D8814" s="1">
        <v>44256.755567129629</v>
      </c>
      <c r="E8814" t="s">
        <v>27618</v>
      </c>
      <c r="F8814" t="s">
        <v>11960</v>
      </c>
      <c r="G8814" t="s">
        <v>27591</v>
      </c>
      <c r="H8814" t="s">
        <v>10664</v>
      </c>
      <c r="I8814" t="s">
        <v>29</v>
      </c>
      <c r="J8814">
        <v>1</v>
      </c>
      <c r="K8814">
        <f>1-888-398-3864</f>
        <v>-5149</v>
      </c>
      <c r="L8814" t="s">
        <v>27619</v>
      </c>
      <c r="M8814" t="s">
        <v>27620</v>
      </c>
      <c r="N8814" t="s">
        <v>5468</v>
      </c>
      <c r="O8814" t="s">
        <v>28</v>
      </c>
      <c r="P8814" t="s">
        <v>292</v>
      </c>
      <c r="Q8814">
        <v>49</v>
      </c>
      <c r="R8814">
        <v>2.3281000000000001</v>
      </c>
    </row>
    <row r="8815" spans="1:18" x14ac:dyDescent="0.2">
      <c r="A8815" t="s">
        <v>439</v>
      </c>
      <c r="B8815" t="s">
        <v>4321</v>
      </c>
      <c r="C8815">
        <v>1</v>
      </c>
      <c r="D8815" s="1">
        <v>44319.91002314815</v>
      </c>
      <c r="E8815" t="s">
        <v>27621</v>
      </c>
      <c r="F8815" t="s">
        <v>442</v>
      </c>
      <c r="G8815" t="s">
        <v>27622</v>
      </c>
      <c r="H8815" t="s">
        <v>444</v>
      </c>
      <c r="I8815" t="s">
        <v>29</v>
      </c>
      <c r="J8815">
        <v>1</v>
      </c>
      <c r="K8815">
        <f>1-866-849-1458</f>
        <v>-3172</v>
      </c>
      <c r="L8815" t="s">
        <v>27623</v>
      </c>
      <c r="M8815" t="s">
        <v>27624</v>
      </c>
      <c r="N8815" t="s">
        <v>447</v>
      </c>
      <c r="O8815" t="s">
        <v>28</v>
      </c>
      <c r="P8815" t="s">
        <v>29</v>
      </c>
      <c r="Q8815">
        <v>42</v>
      </c>
      <c r="R8815">
        <v>-87.629800000000003</v>
      </c>
    </row>
    <row r="8816" spans="1:18" x14ac:dyDescent="0.2">
      <c r="A8816" t="s">
        <v>439</v>
      </c>
      <c r="B8816" t="s">
        <v>4321</v>
      </c>
      <c r="C8816">
        <v>1</v>
      </c>
      <c r="D8816" s="1">
        <v>44256.758067129631</v>
      </c>
      <c r="E8816" t="s">
        <v>27625</v>
      </c>
      <c r="F8816" t="s">
        <v>442</v>
      </c>
      <c r="G8816" t="s">
        <v>27622</v>
      </c>
      <c r="H8816" t="s">
        <v>444</v>
      </c>
      <c r="I8816" t="s">
        <v>29</v>
      </c>
      <c r="J8816">
        <v>1</v>
      </c>
      <c r="K8816">
        <f>1-844-242-8586</f>
        <v>-9671</v>
      </c>
      <c r="L8816" t="s">
        <v>27626</v>
      </c>
      <c r="M8816" t="s">
        <v>27627</v>
      </c>
      <c r="N8816" t="s">
        <v>674</v>
      </c>
      <c r="O8816" t="s">
        <v>28</v>
      </c>
      <c r="P8816" t="s">
        <v>29</v>
      </c>
      <c r="Q8816">
        <v>42</v>
      </c>
      <c r="R8816">
        <v>-87.629800000000003</v>
      </c>
    </row>
    <row r="8817" spans="1:18" x14ac:dyDescent="0.2">
      <c r="A8817" t="s">
        <v>663</v>
      </c>
      <c r="B8817" t="s">
        <v>664</v>
      </c>
      <c r="C8817">
        <v>1</v>
      </c>
      <c r="D8817" s="1">
        <v>44256.740370370368</v>
      </c>
      <c r="E8817" t="s">
        <v>27628</v>
      </c>
      <c r="F8817" t="s">
        <v>666</v>
      </c>
      <c r="G8817" t="s">
        <v>27628</v>
      </c>
      <c r="H8817" t="s">
        <v>667</v>
      </c>
      <c r="I8817" t="s">
        <v>29</v>
      </c>
      <c r="J8817">
        <v>1</v>
      </c>
      <c r="K8817">
        <f>1-877-590-1706</f>
        <v>-3172</v>
      </c>
      <c r="L8817" t="s">
        <v>27629</v>
      </c>
      <c r="M8817" t="s">
        <v>27630</v>
      </c>
      <c r="N8817">
        <v>103</v>
      </c>
      <c r="O8817" t="s">
        <v>134</v>
      </c>
      <c r="P8817" t="s">
        <v>29</v>
      </c>
      <c r="Q8817">
        <v>37</v>
      </c>
      <c r="R8817">
        <v>-99.999999000000003</v>
      </c>
    </row>
    <row r="8818" spans="1:18" x14ac:dyDescent="0.2">
      <c r="A8818" t="s">
        <v>439</v>
      </c>
      <c r="B8818" t="s">
        <v>4321</v>
      </c>
      <c r="C8818">
        <v>1</v>
      </c>
      <c r="D8818" s="1">
        <v>44363.930590277778</v>
      </c>
      <c r="E8818" t="s">
        <v>27631</v>
      </c>
      <c r="F8818" t="s">
        <v>442</v>
      </c>
      <c r="G8818" t="s">
        <v>27632</v>
      </c>
      <c r="H8818" t="s">
        <v>444</v>
      </c>
      <c r="I8818" t="s">
        <v>29</v>
      </c>
      <c r="J8818">
        <v>1</v>
      </c>
      <c r="K8818">
        <f>1-888-851-561</f>
        <v>-2299</v>
      </c>
      <c r="L8818" t="s">
        <v>27633</v>
      </c>
      <c r="M8818" t="s">
        <v>27634</v>
      </c>
      <c r="N8818" t="s">
        <v>452</v>
      </c>
      <c r="O8818" t="s">
        <v>28</v>
      </c>
      <c r="P8818" t="s">
        <v>29</v>
      </c>
      <c r="Q8818">
        <v>42</v>
      </c>
      <c r="R8818">
        <v>-87.629800000000003</v>
      </c>
    </row>
    <row r="8819" spans="1:18" x14ac:dyDescent="0.2">
      <c r="A8819" t="s">
        <v>439</v>
      </c>
      <c r="B8819" t="s">
        <v>4321</v>
      </c>
      <c r="C8819">
        <v>1</v>
      </c>
      <c r="D8819" s="1">
        <v>44363.930451388886</v>
      </c>
      <c r="E8819" t="s">
        <v>27631</v>
      </c>
      <c r="F8819" t="s">
        <v>442</v>
      </c>
      <c r="G8819" t="s">
        <v>27632</v>
      </c>
      <c r="H8819" t="s">
        <v>444</v>
      </c>
      <c r="I8819" t="s">
        <v>29</v>
      </c>
      <c r="J8819">
        <v>1</v>
      </c>
      <c r="K8819">
        <f>1-888-851-554</f>
        <v>-2292</v>
      </c>
      <c r="L8819" t="s">
        <v>27635</v>
      </c>
      <c r="M8819" t="s">
        <v>27636</v>
      </c>
      <c r="N8819" t="s">
        <v>452</v>
      </c>
      <c r="O8819" t="s">
        <v>28</v>
      </c>
      <c r="P8819" t="s">
        <v>29</v>
      </c>
      <c r="Q8819">
        <v>42</v>
      </c>
      <c r="R8819">
        <v>-87.629800000000003</v>
      </c>
    </row>
    <row r="8820" spans="1:18" x14ac:dyDescent="0.2">
      <c r="A8820" t="s">
        <v>439</v>
      </c>
      <c r="B8820" t="s">
        <v>4321</v>
      </c>
      <c r="C8820">
        <v>1</v>
      </c>
      <c r="D8820" s="1">
        <v>44363.929201388892</v>
      </c>
      <c r="E8820" t="s">
        <v>27631</v>
      </c>
      <c r="F8820" t="s">
        <v>442</v>
      </c>
      <c r="G8820" t="s">
        <v>27632</v>
      </c>
      <c r="H8820" t="s">
        <v>444</v>
      </c>
      <c r="I8820" t="s">
        <v>29</v>
      </c>
      <c r="J8820">
        <v>1</v>
      </c>
      <c r="K8820">
        <f>1-888-537-8153</f>
        <v>-9577</v>
      </c>
      <c r="L8820" t="s">
        <v>27637</v>
      </c>
      <c r="M8820" t="s">
        <v>27638</v>
      </c>
      <c r="N8820" t="s">
        <v>452</v>
      </c>
      <c r="O8820" t="s">
        <v>28</v>
      </c>
      <c r="P8820" t="s">
        <v>29</v>
      </c>
      <c r="Q8820">
        <v>42</v>
      </c>
      <c r="R8820">
        <v>-87.629800000000003</v>
      </c>
    </row>
    <row r="8821" spans="1:18" x14ac:dyDescent="0.2">
      <c r="A8821" t="s">
        <v>439</v>
      </c>
      <c r="B8821" t="s">
        <v>4321</v>
      </c>
      <c r="C8821">
        <v>81</v>
      </c>
      <c r="D8821" s="1">
        <v>44256.743935185186</v>
      </c>
      <c r="E8821" t="s">
        <v>27639</v>
      </c>
      <c r="F8821" t="s">
        <v>442</v>
      </c>
      <c r="G8821" t="s">
        <v>27632</v>
      </c>
      <c r="H8821" t="s">
        <v>444</v>
      </c>
      <c r="I8821" t="s">
        <v>53</v>
      </c>
      <c r="J8821">
        <v>81</v>
      </c>
      <c r="K8821">
        <f>81-50-3196-5619</f>
        <v>-8784</v>
      </c>
      <c r="L8821" t="s">
        <v>27640</v>
      </c>
      <c r="M8821" t="s">
        <v>27641</v>
      </c>
      <c r="N8821" t="s">
        <v>213</v>
      </c>
      <c r="O8821" t="s">
        <v>28</v>
      </c>
      <c r="P8821" t="s">
        <v>29</v>
      </c>
      <c r="Q8821">
        <v>42</v>
      </c>
      <c r="R8821">
        <v>-87.629800000000003</v>
      </c>
    </row>
    <row r="8822" spans="1:18" x14ac:dyDescent="0.2">
      <c r="A8822" t="s">
        <v>439</v>
      </c>
      <c r="B8822" t="s">
        <v>4321</v>
      </c>
      <c r="C8822">
        <v>1</v>
      </c>
      <c r="D8822" s="1">
        <v>44256.773159722223</v>
      </c>
      <c r="E8822" t="s">
        <v>27642</v>
      </c>
      <c r="F8822" t="s">
        <v>442</v>
      </c>
      <c r="G8822" t="s">
        <v>27643</v>
      </c>
      <c r="H8822" t="s">
        <v>444</v>
      </c>
      <c r="I8822" t="s">
        <v>29</v>
      </c>
      <c r="J8822">
        <v>1</v>
      </c>
      <c r="K8822">
        <f>1-888-690-749</f>
        <v>-2326</v>
      </c>
      <c r="L8822" t="s">
        <v>27644</v>
      </c>
      <c r="M8822" t="s">
        <v>27645</v>
      </c>
      <c r="N8822" t="s">
        <v>213</v>
      </c>
      <c r="O8822" t="s">
        <v>28</v>
      </c>
      <c r="P8822" t="s">
        <v>29</v>
      </c>
      <c r="Q8822">
        <v>42</v>
      </c>
      <c r="R8822">
        <v>-87.629800000000003</v>
      </c>
    </row>
    <row r="8823" spans="1:18" x14ac:dyDescent="0.2">
      <c r="A8823" t="s">
        <v>439</v>
      </c>
      <c r="B8823" t="s">
        <v>4321</v>
      </c>
      <c r="C8823">
        <v>1</v>
      </c>
      <c r="D8823" s="1">
        <v>44256.792453703703</v>
      </c>
      <c r="E8823" t="s">
        <v>27646</v>
      </c>
      <c r="F8823" t="s">
        <v>442</v>
      </c>
      <c r="G8823" t="s">
        <v>27647</v>
      </c>
      <c r="H8823" t="s">
        <v>444</v>
      </c>
      <c r="I8823" t="s">
        <v>29</v>
      </c>
      <c r="J8823">
        <v>1</v>
      </c>
      <c r="K8823">
        <f>1-844-400-7827</f>
        <v>-9070</v>
      </c>
      <c r="L8823" t="s">
        <v>27648</v>
      </c>
      <c r="M8823" t="s">
        <v>27649</v>
      </c>
      <c r="N8823" t="s">
        <v>3441</v>
      </c>
      <c r="O8823" t="s">
        <v>28</v>
      </c>
      <c r="P8823" t="s">
        <v>29</v>
      </c>
      <c r="Q8823">
        <v>42</v>
      </c>
      <c r="R8823">
        <v>-87.629800000000003</v>
      </c>
    </row>
    <row r="8824" spans="1:18" x14ac:dyDescent="0.2">
      <c r="A8824" t="s">
        <v>439</v>
      </c>
      <c r="B8824" t="s">
        <v>4321</v>
      </c>
      <c r="C8824">
        <v>1</v>
      </c>
      <c r="D8824" s="1">
        <v>44256.81013888889</v>
      </c>
      <c r="E8824" t="s">
        <v>27650</v>
      </c>
      <c r="F8824" t="s">
        <v>442</v>
      </c>
      <c r="G8824" t="s">
        <v>27651</v>
      </c>
      <c r="H8824" t="s">
        <v>444</v>
      </c>
      <c r="I8824" t="s">
        <v>29</v>
      </c>
      <c r="J8824">
        <v>1</v>
      </c>
      <c r="K8824">
        <f>1-844-263-9774</f>
        <v>-10880</v>
      </c>
      <c r="L8824" t="s">
        <v>27652</v>
      </c>
      <c r="M8824" t="s">
        <v>27653</v>
      </c>
      <c r="N8824" t="s">
        <v>447</v>
      </c>
      <c r="O8824" t="s">
        <v>28</v>
      </c>
      <c r="P8824" t="s">
        <v>29</v>
      </c>
      <c r="Q8824">
        <v>42</v>
      </c>
      <c r="R8824">
        <v>-87.629800000000003</v>
      </c>
    </row>
    <row r="8825" spans="1:18" x14ac:dyDescent="0.2">
      <c r="A8825" t="s">
        <v>663</v>
      </c>
      <c r="B8825" t="s">
        <v>2500</v>
      </c>
      <c r="C8825">
        <v>1</v>
      </c>
      <c r="D8825" s="1">
        <v>44256.811736111114</v>
      </c>
      <c r="E8825" t="s">
        <v>27654</v>
      </c>
      <c r="F8825" t="s">
        <v>666</v>
      </c>
      <c r="G8825" t="s">
        <v>27654</v>
      </c>
      <c r="H8825" t="s">
        <v>667</v>
      </c>
      <c r="I8825" t="s">
        <v>29</v>
      </c>
      <c r="J8825">
        <v>1</v>
      </c>
      <c r="K8825">
        <f>1-844-390-317</f>
        <v>-1550</v>
      </c>
      <c r="L8825" t="s">
        <v>27655</v>
      </c>
      <c r="M8825" t="s">
        <v>27656</v>
      </c>
      <c r="N8825">
        <v>21</v>
      </c>
      <c r="O8825" t="s">
        <v>134</v>
      </c>
      <c r="P8825" t="s">
        <v>2500</v>
      </c>
      <c r="Q8825">
        <v>1</v>
      </c>
      <c r="R8825">
        <v>99.999999000000003</v>
      </c>
    </row>
    <row r="8826" spans="1:18" x14ac:dyDescent="0.2">
      <c r="A8826" t="s">
        <v>439</v>
      </c>
      <c r="B8826" t="s">
        <v>4321</v>
      </c>
      <c r="C8826">
        <v>1</v>
      </c>
      <c r="D8826" s="1">
        <v>44256.840358796297</v>
      </c>
      <c r="E8826" t="s">
        <v>27657</v>
      </c>
      <c r="F8826" t="s">
        <v>442</v>
      </c>
      <c r="G8826" t="s">
        <v>27658</v>
      </c>
      <c r="H8826" t="s">
        <v>444</v>
      </c>
      <c r="I8826" t="s">
        <v>29</v>
      </c>
      <c r="J8826">
        <v>1</v>
      </c>
      <c r="K8826">
        <f>1-844-400-18</f>
        <v>-1261</v>
      </c>
      <c r="L8826" t="s">
        <v>27659</v>
      </c>
      <c r="M8826" t="s">
        <v>27660</v>
      </c>
      <c r="N8826" t="s">
        <v>447</v>
      </c>
      <c r="O8826" t="s">
        <v>28</v>
      </c>
      <c r="P8826" t="s">
        <v>29</v>
      </c>
      <c r="Q8826">
        <v>42</v>
      </c>
      <c r="R8826">
        <v>-87.629800000000003</v>
      </c>
    </row>
    <row r="8827" spans="1:18" x14ac:dyDescent="0.2">
      <c r="A8827" t="s">
        <v>439</v>
      </c>
      <c r="B8827" t="s">
        <v>4321</v>
      </c>
      <c r="C8827">
        <v>1</v>
      </c>
      <c r="D8827" s="1">
        <v>44256.874351851853</v>
      </c>
      <c r="E8827" t="s">
        <v>27661</v>
      </c>
      <c r="F8827" t="s">
        <v>442</v>
      </c>
      <c r="G8827" t="s">
        <v>27662</v>
      </c>
      <c r="H8827" t="s">
        <v>444</v>
      </c>
      <c r="I8827" t="s">
        <v>29</v>
      </c>
      <c r="J8827">
        <v>1</v>
      </c>
      <c r="K8827">
        <f>1-844-267-1734</f>
        <v>-2844</v>
      </c>
      <c r="L8827" t="s">
        <v>27663</v>
      </c>
      <c r="M8827" t="s">
        <v>27664</v>
      </c>
      <c r="N8827" t="s">
        <v>3441</v>
      </c>
      <c r="O8827" t="s">
        <v>28</v>
      </c>
      <c r="P8827" t="s">
        <v>29</v>
      </c>
      <c r="Q8827">
        <v>42</v>
      </c>
      <c r="R8827">
        <v>-87.629800000000003</v>
      </c>
    </row>
    <row r="8828" spans="1:18" x14ac:dyDescent="0.2">
      <c r="A8828" t="s">
        <v>663</v>
      </c>
      <c r="B8828" t="s">
        <v>2500</v>
      </c>
      <c r="C8828">
        <v>1</v>
      </c>
      <c r="D8828" s="1">
        <v>44256.971678240741</v>
      </c>
      <c r="E8828" t="s">
        <v>27665</v>
      </c>
      <c r="F8828" t="s">
        <v>666</v>
      </c>
      <c r="G8828" t="s">
        <v>27665</v>
      </c>
      <c r="H8828" t="s">
        <v>667</v>
      </c>
      <c r="I8828" t="s">
        <v>29</v>
      </c>
      <c r="J8828">
        <v>1</v>
      </c>
      <c r="K8828">
        <f>1-844-389-8438</f>
        <v>-9670</v>
      </c>
      <c r="L8828" t="s">
        <v>27666</v>
      </c>
      <c r="M8828" t="s">
        <v>27667</v>
      </c>
      <c r="N8828">
        <v>164</v>
      </c>
      <c r="O8828" t="s">
        <v>134</v>
      </c>
      <c r="P8828" t="s">
        <v>2500</v>
      </c>
      <c r="Q8828">
        <v>1</v>
      </c>
      <c r="R8828">
        <v>99.999999000000003</v>
      </c>
    </row>
    <row r="8829" spans="1:18" x14ac:dyDescent="0.2">
      <c r="A8829" t="s">
        <v>663</v>
      </c>
      <c r="B8829" t="s">
        <v>2500</v>
      </c>
      <c r="C8829">
        <v>1</v>
      </c>
      <c r="D8829" s="1">
        <v>44256.959490740737</v>
      </c>
      <c r="E8829" t="s">
        <v>27665</v>
      </c>
      <c r="F8829" t="s">
        <v>666</v>
      </c>
      <c r="G8829" t="s">
        <v>27665</v>
      </c>
      <c r="H8829" t="s">
        <v>667</v>
      </c>
      <c r="I8829" t="s">
        <v>29</v>
      </c>
      <c r="J8829">
        <v>1</v>
      </c>
      <c r="K8829">
        <f>1-888-525-636</f>
        <v>-2048</v>
      </c>
      <c r="L8829" t="s">
        <v>27668</v>
      </c>
      <c r="M8829" t="s">
        <v>27669</v>
      </c>
      <c r="N8829">
        <v>164</v>
      </c>
      <c r="O8829" t="s">
        <v>134</v>
      </c>
      <c r="P8829" t="s">
        <v>2500</v>
      </c>
      <c r="Q8829">
        <v>1</v>
      </c>
      <c r="R8829">
        <v>99.999999000000003</v>
      </c>
    </row>
    <row r="8830" spans="1:18" x14ac:dyDescent="0.2">
      <c r="A8830" t="s">
        <v>2233</v>
      </c>
      <c r="B8830" t="s">
        <v>2234</v>
      </c>
      <c r="C8830">
        <v>1</v>
      </c>
      <c r="D8830" s="1">
        <v>44257.515428240738</v>
      </c>
      <c r="E8830" t="s">
        <v>27670</v>
      </c>
      <c r="F8830" t="s">
        <v>2236</v>
      </c>
      <c r="G8830" t="s">
        <v>27671</v>
      </c>
      <c r="H8830" t="s">
        <v>2237</v>
      </c>
      <c r="I8830" t="s">
        <v>29</v>
      </c>
      <c r="J8830">
        <v>1</v>
      </c>
      <c r="K8830">
        <f>1-888-993-5995</f>
        <v>-7875</v>
      </c>
      <c r="L8830" t="s">
        <v>27672</v>
      </c>
      <c r="M8830" t="s">
        <v>27673</v>
      </c>
      <c r="N8830" t="s">
        <v>5354</v>
      </c>
      <c r="O8830" t="s">
        <v>28</v>
      </c>
      <c r="P8830" t="s">
        <v>29</v>
      </c>
      <c r="Q8830">
        <v>40</v>
      </c>
      <c r="R8830">
        <v>-83.114099999999993</v>
      </c>
    </row>
    <row r="8831" spans="1:18" x14ac:dyDescent="0.2">
      <c r="A8831" t="s">
        <v>2233</v>
      </c>
      <c r="B8831" t="s">
        <v>440</v>
      </c>
      <c r="C8831">
        <v>1</v>
      </c>
      <c r="D8831" s="1">
        <v>44257.516111111108</v>
      </c>
      <c r="E8831" t="s">
        <v>27674</v>
      </c>
      <c r="F8831" t="s">
        <v>2236</v>
      </c>
      <c r="G8831" t="s">
        <v>27675</v>
      </c>
      <c r="H8831" t="s">
        <v>2237</v>
      </c>
      <c r="I8831" t="s">
        <v>29</v>
      </c>
      <c r="J8831">
        <v>1</v>
      </c>
      <c r="K8831">
        <f>1-833-996-3588</f>
        <v>-5416</v>
      </c>
      <c r="L8831" t="s">
        <v>27676</v>
      </c>
      <c r="M8831" t="s">
        <v>27677</v>
      </c>
      <c r="N8831" t="s">
        <v>5354</v>
      </c>
      <c r="O8831" t="s">
        <v>28</v>
      </c>
      <c r="P8831" t="s">
        <v>29</v>
      </c>
      <c r="Q8831">
        <v>39</v>
      </c>
      <c r="R8831">
        <v>-77.487399999999994</v>
      </c>
    </row>
    <row r="8832" spans="1:18" x14ac:dyDescent="0.2">
      <c r="A8832" t="s">
        <v>439</v>
      </c>
      <c r="B8832" t="s">
        <v>4321</v>
      </c>
      <c r="C8832">
        <v>1</v>
      </c>
      <c r="D8832" s="1">
        <v>44257.708483796298</v>
      </c>
      <c r="E8832" t="s">
        <v>27678</v>
      </c>
      <c r="F8832" t="s">
        <v>442</v>
      </c>
      <c r="G8832" t="s">
        <v>27679</v>
      </c>
      <c r="H8832" t="s">
        <v>444</v>
      </c>
      <c r="I8832" t="s">
        <v>29</v>
      </c>
      <c r="J8832">
        <v>1</v>
      </c>
      <c r="K8832">
        <f>1-844-304-5646</f>
        <v>-6793</v>
      </c>
      <c r="L8832" s="2" t="s">
        <v>27680</v>
      </c>
      <c r="M8832" t="s">
        <v>27681</v>
      </c>
      <c r="N8832" t="s">
        <v>25195</v>
      </c>
      <c r="O8832" t="s">
        <v>28</v>
      </c>
      <c r="P8832" t="s">
        <v>29</v>
      </c>
      <c r="Q8832">
        <v>42</v>
      </c>
      <c r="R8832">
        <v>-87.629800000000003</v>
      </c>
    </row>
    <row r="8833" spans="1:18" x14ac:dyDescent="0.2">
      <c r="A8833" t="s">
        <v>10660</v>
      </c>
      <c r="B8833" t="s">
        <v>1638</v>
      </c>
      <c r="C8833">
        <v>1</v>
      </c>
      <c r="D8833" s="1">
        <v>44299.841145833336</v>
      </c>
      <c r="E8833" t="s">
        <v>27682</v>
      </c>
      <c r="F8833" t="s">
        <v>11960</v>
      </c>
      <c r="G8833" t="s">
        <v>27683</v>
      </c>
      <c r="H8833" t="s">
        <v>10664</v>
      </c>
      <c r="I8833" t="s">
        <v>29</v>
      </c>
      <c r="J8833">
        <v>1</v>
      </c>
      <c r="K8833">
        <f>1-888-356-9416</f>
        <v>-10659</v>
      </c>
      <c r="L8833" t="s">
        <v>27684</v>
      </c>
      <c r="M8833" t="s">
        <v>27685</v>
      </c>
      <c r="N8833" t="s">
        <v>5468</v>
      </c>
      <c r="O8833" t="s">
        <v>28</v>
      </c>
      <c r="P8833" t="s">
        <v>292</v>
      </c>
      <c r="Q8833">
        <v>49</v>
      </c>
      <c r="R8833">
        <v>2.3281000000000001</v>
      </c>
    </row>
    <row r="8834" spans="1:18" x14ac:dyDescent="0.2">
      <c r="A8834" t="s">
        <v>10660</v>
      </c>
      <c r="B8834" t="s">
        <v>1638</v>
      </c>
      <c r="C8834">
        <v>1</v>
      </c>
      <c r="D8834" s="1">
        <v>44271.717233796298</v>
      </c>
      <c r="E8834" t="s">
        <v>27686</v>
      </c>
      <c r="F8834" t="s">
        <v>11960</v>
      </c>
      <c r="G8834" t="s">
        <v>27683</v>
      </c>
      <c r="H8834" t="s">
        <v>10664</v>
      </c>
      <c r="I8834" t="s">
        <v>29</v>
      </c>
      <c r="J8834">
        <v>1</v>
      </c>
      <c r="K8834">
        <f>1-888-226-290</f>
        <v>-1403</v>
      </c>
      <c r="L8834" t="s">
        <v>27687</v>
      </c>
      <c r="M8834" t="s">
        <v>27688</v>
      </c>
      <c r="N8834" t="s">
        <v>5468</v>
      </c>
      <c r="O8834" t="s">
        <v>28</v>
      </c>
      <c r="P8834" t="s">
        <v>292</v>
      </c>
      <c r="Q8834">
        <v>49</v>
      </c>
      <c r="R8834">
        <v>2.3281000000000001</v>
      </c>
    </row>
    <row r="8835" spans="1:18" x14ac:dyDescent="0.2">
      <c r="A8835" t="s">
        <v>10660</v>
      </c>
      <c r="B8835" t="s">
        <v>1638</v>
      </c>
      <c r="C8835">
        <v>1</v>
      </c>
      <c r="D8835" s="1">
        <v>44265.71502314815</v>
      </c>
      <c r="E8835" t="s">
        <v>27689</v>
      </c>
      <c r="F8835" t="s">
        <v>11960</v>
      </c>
      <c r="G8835" t="s">
        <v>27683</v>
      </c>
      <c r="H8835" t="s">
        <v>10664</v>
      </c>
      <c r="I8835" t="s">
        <v>29</v>
      </c>
      <c r="J8835">
        <v>1</v>
      </c>
      <c r="K8835">
        <f>1-888-202-546</f>
        <v>-1635</v>
      </c>
      <c r="L8835" t="s">
        <v>27690</v>
      </c>
      <c r="M8835" t="s">
        <v>27691</v>
      </c>
      <c r="N8835" t="s">
        <v>5468</v>
      </c>
      <c r="O8835" t="s">
        <v>28</v>
      </c>
      <c r="P8835" t="s">
        <v>292</v>
      </c>
      <c r="Q8835">
        <v>49</v>
      </c>
      <c r="R8835">
        <v>2.3281000000000001</v>
      </c>
    </row>
    <row r="8836" spans="1:18" x14ac:dyDescent="0.2">
      <c r="A8836" t="s">
        <v>10660</v>
      </c>
      <c r="B8836" t="s">
        <v>1638</v>
      </c>
      <c r="C8836">
        <v>1</v>
      </c>
      <c r="D8836" s="1">
        <v>44260.778877314813</v>
      </c>
      <c r="E8836" t="s">
        <v>27692</v>
      </c>
      <c r="F8836" t="s">
        <v>11960</v>
      </c>
      <c r="G8836" t="s">
        <v>27683</v>
      </c>
      <c r="H8836" t="s">
        <v>10664</v>
      </c>
      <c r="I8836" t="s">
        <v>29</v>
      </c>
      <c r="J8836">
        <v>1</v>
      </c>
      <c r="K8836">
        <f>1-888-216-2715</f>
        <v>-3818</v>
      </c>
      <c r="L8836" t="s">
        <v>27693</v>
      </c>
      <c r="M8836" t="s">
        <v>27694</v>
      </c>
      <c r="N8836" t="s">
        <v>5468</v>
      </c>
      <c r="O8836" t="s">
        <v>28</v>
      </c>
      <c r="P8836" t="s">
        <v>292</v>
      </c>
      <c r="Q8836">
        <v>49</v>
      </c>
      <c r="R8836">
        <v>2.3281000000000001</v>
      </c>
    </row>
    <row r="8837" spans="1:18" x14ac:dyDescent="0.2">
      <c r="A8837" t="s">
        <v>10660</v>
      </c>
      <c r="B8837" t="s">
        <v>1638</v>
      </c>
      <c r="C8837">
        <v>1</v>
      </c>
      <c r="D8837" s="1">
        <v>44257.784733796296</v>
      </c>
      <c r="E8837" t="s">
        <v>27695</v>
      </c>
      <c r="F8837" t="s">
        <v>11960</v>
      </c>
      <c r="G8837" t="s">
        <v>27683</v>
      </c>
      <c r="H8837" t="s">
        <v>10664</v>
      </c>
      <c r="I8837" t="s">
        <v>29</v>
      </c>
      <c r="J8837">
        <v>1</v>
      </c>
      <c r="K8837">
        <f>1-888-592-8059</f>
        <v>-9538</v>
      </c>
      <c r="L8837" t="s">
        <v>27696</v>
      </c>
      <c r="M8837" t="s">
        <v>27697</v>
      </c>
      <c r="N8837" t="s">
        <v>5468</v>
      </c>
      <c r="O8837" t="s">
        <v>28</v>
      </c>
      <c r="P8837" t="s">
        <v>292</v>
      </c>
      <c r="Q8837">
        <v>49</v>
      </c>
      <c r="R8837">
        <v>2.3281000000000001</v>
      </c>
    </row>
    <row r="8838" spans="1:18" x14ac:dyDescent="0.2">
      <c r="A8838" t="s">
        <v>439</v>
      </c>
      <c r="B8838" t="s">
        <v>4321</v>
      </c>
      <c r="C8838">
        <v>1</v>
      </c>
      <c r="D8838" s="1">
        <v>44257.794988425929</v>
      </c>
      <c r="E8838" t="s">
        <v>27698</v>
      </c>
      <c r="F8838" t="s">
        <v>442</v>
      </c>
      <c r="G8838" t="s">
        <v>27699</v>
      </c>
      <c r="H8838" t="s">
        <v>444</v>
      </c>
      <c r="I8838" t="s">
        <v>29</v>
      </c>
      <c r="J8838">
        <v>1</v>
      </c>
      <c r="K8838">
        <f>1-844-265-9202</f>
        <v>-10310</v>
      </c>
      <c r="L8838" t="s">
        <v>27700</v>
      </c>
      <c r="M8838" t="s">
        <v>27701</v>
      </c>
      <c r="N8838" t="s">
        <v>447</v>
      </c>
      <c r="O8838" t="s">
        <v>28</v>
      </c>
      <c r="P8838" t="s">
        <v>29</v>
      </c>
      <c r="Q8838">
        <v>42</v>
      </c>
      <c r="R8838">
        <v>-87.629800000000003</v>
      </c>
    </row>
    <row r="8839" spans="1:18" x14ac:dyDescent="0.2">
      <c r="A8839" t="s">
        <v>439</v>
      </c>
      <c r="B8839" t="s">
        <v>4321</v>
      </c>
      <c r="C8839">
        <v>1</v>
      </c>
      <c r="D8839" s="1">
        <v>44257.796967592592</v>
      </c>
      <c r="E8839" t="s">
        <v>27702</v>
      </c>
      <c r="F8839" t="s">
        <v>442</v>
      </c>
      <c r="G8839" t="s">
        <v>27703</v>
      </c>
      <c r="H8839" t="s">
        <v>444</v>
      </c>
      <c r="I8839" t="s">
        <v>29</v>
      </c>
      <c r="J8839">
        <v>1</v>
      </c>
      <c r="K8839">
        <f>1-888-470-1438</f>
        <v>-2795</v>
      </c>
      <c r="L8839" t="s">
        <v>27704</v>
      </c>
      <c r="M8839" t="s">
        <v>27705</v>
      </c>
      <c r="N8839" t="s">
        <v>25195</v>
      </c>
      <c r="O8839" t="s">
        <v>28</v>
      </c>
      <c r="P8839" t="s">
        <v>29</v>
      </c>
      <c r="Q8839">
        <v>42</v>
      </c>
      <c r="R8839">
        <v>-87.629800000000003</v>
      </c>
    </row>
    <row r="8840" spans="1:18" x14ac:dyDescent="0.2">
      <c r="A8840" t="s">
        <v>439</v>
      </c>
      <c r="B8840" t="s">
        <v>4321</v>
      </c>
      <c r="C8840">
        <v>1</v>
      </c>
      <c r="D8840" s="1">
        <v>44257.798958333333</v>
      </c>
      <c r="E8840" t="s">
        <v>27706</v>
      </c>
      <c r="F8840" t="s">
        <v>442</v>
      </c>
      <c r="G8840" t="s">
        <v>27707</v>
      </c>
      <c r="H8840" t="s">
        <v>444</v>
      </c>
      <c r="I8840" t="s">
        <v>29</v>
      </c>
      <c r="J8840">
        <v>1</v>
      </c>
      <c r="K8840">
        <f>1-844-409-906</f>
        <v>-2158</v>
      </c>
      <c r="L8840" t="s">
        <v>27708</v>
      </c>
      <c r="M8840" t="s">
        <v>27709</v>
      </c>
      <c r="N8840" t="s">
        <v>213</v>
      </c>
      <c r="O8840" t="s">
        <v>28</v>
      </c>
      <c r="P8840" t="s">
        <v>29</v>
      </c>
      <c r="Q8840">
        <v>42</v>
      </c>
      <c r="R8840">
        <v>-87.629800000000003</v>
      </c>
    </row>
    <row r="8841" spans="1:18" x14ac:dyDescent="0.2">
      <c r="A8841" t="s">
        <v>439</v>
      </c>
      <c r="B8841" t="s">
        <v>4321</v>
      </c>
      <c r="C8841">
        <v>1</v>
      </c>
      <c r="D8841" s="1">
        <v>44257.818090277775</v>
      </c>
      <c r="E8841" t="s">
        <v>27710</v>
      </c>
      <c r="F8841" t="s">
        <v>442</v>
      </c>
      <c r="G8841" t="s">
        <v>27711</v>
      </c>
      <c r="H8841" t="s">
        <v>444</v>
      </c>
      <c r="I8841" t="s">
        <v>29</v>
      </c>
      <c r="J8841">
        <v>1</v>
      </c>
      <c r="K8841">
        <f>1-844-255-9214</f>
        <v>-10312</v>
      </c>
      <c r="L8841" s="2" t="s">
        <v>27712</v>
      </c>
      <c r="M8841" t="s">
        <v>27713</v>
      </c>
      <c r="N8841" t="s">
        <v>447</v>
      </c>
      <c r="O8841" t="s">
        <v>28</v>
      </c>
      <c r="P8841" t="s">
        <v>29</v>
      </c>
      <c r="Q8841">
        <v>42</v>
      </c>
      <c r="R8841">
        <v>-87.629800000000003</v>
      </c>
    </row>
    <row r="8842" spans="1:18" x14ac:dyDescent="0.2">
      <c r="A8842" t="s">
        <v>10660</v>
      </c>
      <c r="B8842" t="s">
        <v>1638</v>
      </c>
      <c r="C8842">
        <v>1</v>
      </c>
      <c r="D8842" s="1">
        <v>44306.846446759257</v>
      </c>
      <c r="E8842" t="s">
        <v>27714</v>
      </c>
      <c r="F8842" t="s">
        <v>11960</v>
      </c>
      <c r="G8842" t="s">
        <v>27715</v>
      </c>
      <c r="H8842" t="s">
        <v>10664</v>
      </c>
      <c r="I8842" t="s">
        <v>29</v>
      </c>
      <c r="J8842">
        <v>1</v>
      </c>
      <c r="K8842">
        <f>1-888-729-4714</f>
        <v>-6330</v>
      </c>
      <c r="L8842" t="s">
        <v>27716</v>
      </c>
      <c r="M8842" t="s">
        <v>27717</v>
      </c>
      <c r="N8842" t="s">
        <v>5468</v>
      </c>
      <c r="O8842" t="s">
        <v>28</v>
      </c>
      <c r="P8842" t="s">
        <v>292</v>
      </c>
      <c r="Q8842">
        <v>49</v>
      </c>
      <c r="R8842">
        <v>2.3281000000000001</v>
      </c>
    </row>
    <row r="8843" spans="1:18" x14ac:dyDescent="0.2">
      <c r="A8843" t="s">
        <v>10660</v>
      </c>
      <c r="B8843" t="s">
        <v>1638</v>
      </c>
      <c r="C8843">
        <v>1</v>
      </c>
      <c r="D8843" s="1">
        <v>44305.877465277779</v>
      </c>
      <c r="E8843" t="s">
        <v>27718</v>
      </c>
      <c r="F8843" t="s">
        <v>11960</v>
      </c>
      <c r="G8843" t="s">
        <v>27715</v>
      </c>
      <c r="H8843" t="s">
        <v>10664</v>
      </c>
      <c r="I8843" t="s">
        <v>29</v>
      </c>
      <c r="J8843">
        <v>1</v>
      </c>
      <c r="K8843">
        <f>1-888-728-9294</f>
        <v>-10909</v>
      </c>
      <c r="L8843" t="s">
        <v>27719</v>
      </c>
      <c r="M8843" t="s">
        <v>27720</v>
      </c>
      <c r="N8843" t="s">
        <v>5468</v>
      </c>
      <c r="O8843" t="s">
        <v>28</v>
      </c>
      <c r="P8843" t="s">
        <v>292</v>
      </c>
      <c r="Q8843">
        <v>49</v>
      </c>
      <c r="R8843">
        <v>2.3281000000000001</v>
      </c>
    </row>
    <row r="8844" spans="1:18" x14ac:dyDescent="0.2">
      <c r="A8844" t="s">
        <v>10660</v>
      </c>
      <c r="B8844" t="s">
        <v>1638</v>
      </c>
      <c r="C8844">
        <v>1</v>
      </c>
      <c r="D8844" s="1">
        <v>44304.945821759262</v>
      </c>
      <c r="E8844" t="s">
        <v>27721</v>
      </c>
      <c r="F8844" t="s">
        <v>11960</v>
      </c>
      <c r="G8844" t="s">
        <v>27715</v>
      </c>
      <c r="H8844" t="s">
        <v>10664</v>
      </c>
      <c r="I8844" t="s">
        <v>29</v>
      </c>
      <c r="J8844">
        <v>1</v>
      </c>
      <c r="K8844">
        <f>1-888-727-1183</f>
        <v>-2797</v>
      </c>
      <c r="L8844" t="s">
        <v>27722</v>
      </c>
      <c r="M8844" t="s">
        <v>27723</v>
      </c>
      <c r="N8844" t="s">
        <v>5468</v>
      </c>
      <c r="O8844" t="s">
        <v>28</v>
      </c>
      <c r="P8844" t="s">
        <v>292</v>
      </c>
      <c r="Q8844">
        <v>49</v>
      </c>
      <c r="R8844">
        <v>2.3281000000000001</v>
      </c>
    </row>
    <row r="8845" spans="1:18" x14ac:dyDescent="0.2">
      <c r="A8845" t="s">
        <v>10660</v>
      </c>
      <c r="B8845" t="s">
        <v>1638</v>
      </c>
      <c r="C8845">
        <v>1</v>
      </c>
      <c r="D8845" s="1">
        <v>44302.790763888886</v>
      </c>
      <c r="E8845" t="s">
        <v>27510</v>
      </c>
      <c r="F8845" t="s">
        <v>11960</v>
      </c>
      <c r="G8845" t="s">
        <v>27715</v>
      </c>
      <c r="H8845" t="s">
        <v>10664</v>
      </c>
      <c r="I8845" t="s">
        <v>29</v>
      </c>
      <c r="J8845">
        <v>1</v>
      </c>
      <c r="K8845">
        <f>1-888-729-4906</f>
        <v>-6522</v>
      </c>
      <c r="L8845" t="s">
        <v>27724</v>
      </c>
      <c r="M8845" t="s">
        <v>27725</v>
      </c>
      <c r="N8845" t="s">
        <v>5468</v>
      </c>
      <c r="O8845" t="s">
        <v>28</v>
      </c>
      <c r="P8845" t="s">
        <v>292</v>
      </c>
      <c r="Q8845">
        <v>49</v>
      </c>
      <c r="R8845">
        <v>2.3281000000000001</v>
      </c>
    </row>
    <row r="8846" spans="1:18" x14ac:dyDescent="0.2">
      <c r="A8846" t="s">
        <v>10660</v>
      </c>
      <c r="B8846" t="s">
        <v>1638</v>
      </c>
      <c r="C8846">
        <v>1</v>
      </c>
      <c r="D8846" s="1">
        <v>44298.809756944444</v>
      </c>
      <c r="E8846" t="s">
        <v>27726</v>
      </c>
      <c r="F8846" t="s">
        <v>11960</v>
      </c>
      <c r="G8846" t="s">
        <v>27715</v>
      </c>
      <c r="H8846" t="s">
        <v>10664</v>
      </c>
      <c r="I8846" t="s">
        <v>29</v>
      </c>
      <c r="J8846">
        <v>1</v>
      </c>
      <c r="K8846">
        <f>1-888-334-9748</f>
        <v>-10969</v>
      </c>
      <c r="L8846" t="s">
        <v>27727</v>
      </c>
      <c r="M8846" t="s">
        <v>27728</v>
      </c>
      <c r="N8846" t="s">
        <v>5468</v>
      </c>
      <c r="O8846" t="s">
        <v>28</v>
      </c>
      <c r="P8846" t="s">
        <v>292</v>
      </c>
      <c r="Q8846">
        <v>49</v>
      </c>
      <c r="R8846">
        <v>2.3281000000000001</v>
      </c>
    </row>
    <row r="8847" spans="1:18" x14ac:dyDescent="0.2">
      <c r="A8847" t="s">
        <v>10660</v>
      </c>
      <c r="B8847" t="s">
        <v>1638</v>
      </c>
      <c r="C8847">
        <v>1</v>
      </c>
      <c r="D8847" s="1">
        <v>44277.825891203705</v>
      </c>
      <c r="E8847" t="s">
        <v>27729</v>
      </c>
      <c r="F8847" t="s">
        <v>11960</v>
      </c>
      <c r="G8847" t="s">
        <v>27715</v>
      </c>
      <c r="H8847" t="s">
        <v>10664</v>
      </c>
      <c r="I8847" t="s">
        <v>29</v>
      </c>
      <c r="J8847">
        <v>1</v>
      </c>
      <c r="K8847">
        <f>1-888-308-5921</f>
        <v>-7116</v>
      </c>
      <c r="L8847" t="s">
        <v>27730</v>
      </c>
      <c r="M8847" t="s">
        <v>27731</v>
      </c>
      <c r="N8847" t="s">
        <v>5468</v>
      </c>
      <c r="O8847" t="s">
        <v>28</v>
      </c>
      <c r="P8847" t="s">
        <v>292</v>
      </c>
      <c r="Q8847">
        <v>49</v>
      </c>
      <c r="R8847">
        <v>2.3281000000000001</v>
      </c>
    </row>
    <row r="8848" spans="1:18" x14ac:dyDescent="0.2">
      <c r="A8848" t="s">
        <v>10660</v>
      </c>
      <c r="B8848" t="s">
        <v>1638</v>
      </c>
      <c r="C8848">
        <v>1</v>
      </c>
      <c r="D8848" s="1">
        <v>44277.706412037034</v>
      </c>
      <c r="E8848" t="s">
        <v>27732</v>
      </c>
      <c r="F8848" t="s">
        <v>11960</v>
      </c>
      <c r="G8848" t="s">
        <v>27715</v>
      </c>
      <c r="H8848" t="s">
        <v>10664</v>
      </c>
      <c r="I8848" t="s">
        <v>29</v>
      </c>
      <c r="J8848">
        <v>1</v>
      </c>
      <c r="K8848">
        <f>1-888-705-927</f>
        <v>-2519</v>
      </c>
      <c r="L8848" t="s">
        <v>27733</v>
      </c>
      <c r="M8848" t="s">
        <v>27734</v>
      </c>
      <c r="N8848" t="s">
        <v>5468</v>
      </c>
      <c r="O8848" t="s">
        <v>28</v>
      </c>
      <c r="P8848" t="s">
        <v>292</v>
      </c>
      <c r="Q8848">
        <v>49</v>
      </c>
      <c r="R8848">
        <v>2.3281000000000001</v>
      </c>
    </row>
    <row r="8849" spans="1:18" x14ac:dyDescent="0.2">
      <c r="A8849" t="s">
        <v>10660</v>
      </c>
      <c r="B8849" t="s">
        <v>1638</v>
      </c>
      <c r="C8849">
        <v>1</v>
      </c>
      <c r="D8849" s="1">
        <v>44266.766377314816</v>
      </c>
      <c r="E8849" t="s">
        <v>27735</v>
      </c>
      <c r="F8849" t="s">
        <v>11960</v>
      </c>
      <c r="G8849" t="s">
        <v>27715</v>
      </c>
      <c r="H8849" t="s">
        <v>10664</v>
      </c>
      <c r="I8849" t="s">
        <v>29</v>
      </c>
      <c r="J8849">
        <v>1</v>
      </c>
      <c r="K8849">
        <f>1-888-248-5362</f>
        <v>-6497</v>
      </c>
      <c r="L8849" t="s">
        <v>27736</v>
      </c>
      <c r="M8849" t="s">
        <v>27737</v>
      </c>
      <c r="N8849" t="s">
        <v>5468</v>
      </c>
      <c r="O8849" t="s">
        <v>28</v>
      </c>
      <c r="P8849" t="s">
        <v>292</v>
      </c>
      <c r="Q8849">
        <v>49</v>
      </c>
      <c r="R8849">
        <v>2.3281000000000001</v>
      </c>
    </row>
    <row r="8850" spans="1:18" x14ac:dyDescent="0.2">
      <c r="A8850" t="s">
        <v>10660</v>
      </c>
      <c r="B8850" t="s">
        <v>1638</v>
      </c>
      <c r="C8850">
        <v>1</v>
      </c>
      <c r="D8850" s="1">
        <v>44266.761817129627</v>
      </c>
      <c r="E8850" t="s">
        <v>27517</v>
      </c>
      <c r="F8850" t="s">
        <v>11960</v>
      </c>
      <c r="G8850" t="s">
        <v>27715</v>
      </c>
      <c r="H8850" t="s">
        <v>10664</v>
      </c>
      <c r="I8850" t="s">
        <v>29</v>
      </c>
      <c r="J8850">
        <v>1</v>
      </c>
      <c r="K8850">
        <f>1-888-210-2666</f>
        <v>-3763</v>
      </c>
      <c r="L8850" t="s">
        <v>27738</v>
      </c>
      <c r="M8850" t="s">
        <v>27739</v>
      </c>
      <c r="N8850" t="s">
        <v>5468</v>
      </c>
      <c r="O8850" t="s">
        <v>28</v>
      </c>
      <c r="P8850" t="s">
        <v>292</v>
      </c>
      <c r="Q8850">
        <v>49</v>
      </c>
      <c r="R8850">
        <v>2.3281000000000001</v>
      </c>
    </row>
    <row r="8851" spans="1:18" x14ac:dyDescent="0.2">
      <c r="A8851" t="s">
        <v>10660</v>
      </c>
      <c r="B8851" t="s">
        <v>1638</v>
      </c>
      <c r="C8851">
        <v>1</v>
      </c>
      <c r="D8851" s="1">
        <v>44266.756319444445</v>
      </c>
      <c r="E8851" t="s">
        <v>27517</v>
      </c>
      <c r="F8851" t="s">
        <v>11960</v>
      </c>
      <c r="G8851" t="s">
        <v>27715</v>
      </c>
      <c r="H8851" t="s">
        <v>10664</v>
      </c>
      <c r="I8851" t="s">
        <v>29</v>
      </c>
      <c r="J8851">
        <v>1</v>
      </c>
      <c r="K8851">
        <f>1-888-250-3922</f>
        <v>-5059</v>
      </c>
      <c r="L8851" t="s">
        <v>27740</v>
      </c>
      <c r="M8851" t="s">
        <v>27741</v>
      </c>
      <c r="N8851" t="s">
        <v>5468</v>
      </c>
      <c r="O8851" t="s">
        <v>28</v>
      </c>
      <c r="P8851" t="s">
        <v>292</v>
      </c>
      <c r="Q8851">
        <v>49</v>
      </c>
      <c r="R8851">
        <v>2.3281000000000001</v>
      </c>
    </row>
    <row r="8852" spans="1:18" x14ac:dyDescent="0.2">
      <c r="A8852" t="s">
        <v>10660</v>
      </c>
      <c r="B8852" t="s">
        <v>1638</v>
      </c>
      <c r="C8852">
        <v>1</v>
      </c>
      <c r="D8852" s="1">
        <v>44257.832592592589</v>
      </c>
      <c r="E8852" t="s">
        <v>27742</v>
      </c>
      <c r="F8852" t="s">
        <v>11960</v>
      </c>
      <c r="G8852" t="s">
        <v>27715</v>
      </c>
      <c r="H8852" t="s">
        <v>10664</v>
      </c>
      <c r="I8852" t="s">
        <v>29</v>
      </c>
      <c r="J8852">
        <v>1</v>
      </c>
      <c r="K8852">
        <f>1-888-203-2793</f>
        <v>-3883</v>
      </c>
      <c r="L8852" t="s">
        <v>27743</v>
      </c>
      <c r="M8852" t="s">
        <v>27744</v>
      </c>
      <c r="N8852" t="s">
        <v>5468</v>
      </c>
      <c r="O8852" t="s">
        <v>28</v>
      </c>
      <c r="P8852" t="s">
        <v>292</v>
      </c>
      <c r="Q8852">
        <v>49</v>
      </c>
      <c r="R8852">
        <v>2.3281000000000001</v>
      </c>
    </row>
    <row r="8853" spans="1:18" x14ac:dyDescent="0.2">
      <c r="A8853" t="s">
        <v>663</v>
      </c>
      <c r="B8853" t="s">
        <v>2493</v>
      </c>
      <c r="C8853">
        <v>1</v>
      </c>
      <c r="D8853" s="1">
        <v>44257.841585648152</v>
      </c>
      <c r="E8853" t="s">
        <v>27745</v>
      </c>
      <c r="F8853" t="s">
        <v>666</v>
      </c>
      <c r="G8853" t="s">
        <v>27745</v>
      </c>
      <c r="H8853" t="s">
        <v>667</v>
      </c>
      <c r="I8853" t="s">
        <v>29</v>
      </c>
      <c r="J8853">
        <v>1</v>
      </c>
      <c r="K8853">
        <f>1-888-592-6554</f>
        <v>-8033</v>
      </c>
      <c r="L8853" t="s">
        <v>27746</v>
      </c>
      <c r="M8853" t="s">
        <v>27747</v>
      </c>
      <c r="N8853">
        <v>57</v>
      </c>
      <c r="O8853" t="s">
        <v>134</v>
      </c>
      <c r="P8853" t="s">
        <v>29</v>
      </c>
      <c r="Q8853">
        <v>41</v>
      </c>
      <c r="R8853">
        <v>-74.024699999999996</v>
      </c>
    </row>
    <row r="8854" spans="1:18" x14ac:dyDescent="0.2">
      <c r="A8854" t="s">
        <v>439</v>
      </c>
      <c r="B8854" t="s">
        <v>4321</v>
      </c>
      <c r="C8854">
        <v>81</v>
      </c>
      <c r="D8854" s="1">
        <v>44257.847210648149</v>
      </c>
      <c r="E8854" t="s">
        <v>27748</v>
      </c>
      <c r="F8854" t="s">
        <v>442</v>
      </c>
      <c r="G8854" t="s">
        <v>27749</v>
      </c>
      <c r="H8854" t="s">
        <v>444</v>
      </c>
      <c r="I8854" t="s">
        <v>53</v>
      </c>
      <c r="J8854">
        <v>81</v>
      </c>
      <c r="K8854">
        <f>81-50-3196-5619</f>
        <v>-8784</v>
      </c>
      <c r="L8854" t="s">
        <v>27750</v>
      </c>
      <c r="M8854" t="s">
        <v>27751</v>
      </c>
      <c r="N8854" t="s">
        <v>447</v>
      </c>
      <c r="O8854" t="s">
        <v>28</v>
      </c>
      <c r="P8854" t="s">
        <v>29</v>
      </c>
      <c r="Q8854">
        <v>42</v>
      </c>
      <c r="R8854">
        <v>-87.629800000000003</v>
      </c>
    </row>
    <row r="8855" spans="1:18" x14ac:dyDescent="0.2">
      <c r="A8855" t="s">
        <v>675</v>
      </c>
      <c r="B8855" t="s">
        <v>6310</v>
      </c>
      <c r="C8855">
        <v>1</v>
      </c>
      <c r="D8855" s="1">
        <v>44257.901562500003</v>
      </c>
      <c r="E8855" t="s">
        <v>27752</v>
      </c>
      <c r="F8855" t="s">
        <v>2987</v>
      </c>
      <c r="G8855" t="s">
        <v>27753</v>
      </c>
      <c r="H8855" t="s">
        <v>680</v>
      </c>
      <c r="I8855" t="s">
        <v>29</v>
      </c>
      <c r="J8855">
        <v>1</v>
      </c>
      <c r="K8855">
        <f>1-888-857-6749</f>
        <v>-8493</v>
      </c>
      <c r="L8855" t="s">
        <v>27754</v>
      </c>
      <c r="M8855" t="s">
        <v>27755</v>
      </c>
      <c r="N8855" t="s">
        <v>5354</v>
      </c>
      <c r="O8855" t="s">
        <v>28</v>
      </c>
      <c r="P8855" t="s">
        <v>29</v>
      </c>
      <c r="Q8855">
        <v>34</v>
      </c>
      <c r="R8855">
        <v>-84.392200000000003</v>
      </c>
    </row>
    <row r="8856" spans="1:18" x14ac:dyDescent="0.2">
      <c r="A8856" t="s">
        <v>10660</v>
      </c>
      <c r="B8856" t="s">
        <v>1638</v>
      </c>
      <c r="C8856">
        <v>1</v>
      </c>
      <c r="D8856" s="1">
        <v>44288.798182870371</v>
      </c>
      <c r="E8856" t="s">
        <v>27756</v>
      </c>
      <c r="F8856" t="s">
        <v>11960</v>
      </c>
      <c r="G8856" t="s">
        <v>27757</v>
      </c>
      <c r="H8856" t="s">
        <v>10664</v>
      </c>
      <c r="I8856" t="s">
        <v>29</v>
      </c>
      <c r="J8856">
        <v>1</v>
      </c>
      <c r="K8856">
        <f>1-888-308-5906</f>
        <v>-7101</v>
      </c>
      <c r="L8856" t="s">
        <v>27758</v>
      </c>
      <c r="M8856" t="s">
        <v>27759</v>
      </c>
      <c r="N8856" t="s">
        <v>5468</v>
      </c>
      <c r="O8856" t="s">
        <v>28</v>
      </c>
      <c r="P8856" t="s">
        <v>292</v>
      </c>
      <c r="Q8856">
        <v>49</v>
      </c>
      <c r="R8856">
        <v>2.3281000000000001</v>
      </c>
    </row>
    <row r="8857" spans="1:18" x14ac:dyDescent="0.2">
      <c r="A8857" t="s">
        <v>10660</v>
      </c>
      <c r="B8857" t="s">
        <v>1638</v>
      </c>
      <c r="C8857">
        <v>1</v>
      </c>
      <c r="D8857" s="1">
        <v>44288.773495370369</v>
      </c>
      <c r="E8857" t="s">
        <v>27760</v>
      </c>
      <c r="F8857" t="s">
        <v>11960</v>
      </c>
      <c r="G8857" t="s">
        <v>27757</v>
      </c>
      <c r="H8857" t="s">
        <v>10664</v>
      </c>
      <c r="I8857" t="s">
        <v>29</v>
      </c>
      <c r="J8857">
        <v>1</v>
      </c>
      <c r="K8857">
        <f>1-888-296-6994</f>
        <v>-8177</v>
      </c>
      <c r="L8857" t="s">
        <v>27761</v>
      </c>
      <c r="M8857" t="s">
        <v>27762</v>
      </c>
      <c r="N8857" t="s">
        <v>5468</v>
      </c>
      <c r="O8857" t="s">
        <v>28</v>
      </c>
      <c r="P8857" t="s">
        <v>292</v>
      </c>
      <c r="Q8857">
        <v>49</v>
      </c>
      <c r="R8857">
        <v>2.3281000000000001</v>
      </c>
    </row>
    <row r="8858" spans="1:18" x14ac:dyDescent="0.2">
      <c r="A8858" t="s">
        <v>10660</v>
      </c>
      <c r="B8858" t="s">
        <v>1638</v>
      </c>
      <c r="C8858">
        <v>1</v>
      </c>
      <c r="D8858" s="1">
        <v>44265.864745370367</v>
      </c>
      <c r="E8858" t="s">
        <v>27763</v>
      </c>
      <c r="F8858" t="s">
        <v>11960</v>
      </c>
      <c r="G8858" t="s">
        <v>27757</v>
      </c>
      <c r="H8858" t="s">
        <v>10664</v>
      </c>
      <c r="I8858" t="s">
        <v>29</v>
      </c>
      <c r="J8858">
        <v>1</v>
      </c>
      <c r="K8858">
        <f>1-888-259-6165</f>
        <v>-7311</v>
      </c>
      <c r="L8858" t="s">
        <v>27764</v>
      </c>
      <c r="M8858" t="s">
        <v>27765</v>
      </c>
      <c r="N8858" t="s">
        <v>5468</v>
      </c>
      <c r="O8858" t="s">
        <v>28</v>
      </c>
      <c r="P8858" t="s">
        <v>292</v>
      </c>
      <c r="Q8858">
        <v>49</v>
      </c>
      <c r="R8858">
        <v>2.3281000000000001</v>
      </c>
    </row>
    <row r="8859" spans="1:18" x14ac:dyDescent="0.2">
      <c r="A8859" t="s">
        <v>10660</v>
      </c>
      <c r="B8859" t="s">
        <v>1638</v>
      </c>
      <c r="C8859">
        <v>1</v>
      </c>
      <c r="D8859" s="1">
        <v>44257.949050925927</v>
      </c>
      <c r="E8859" t="s">
        <v>27766</v>
      </c>
      <c r="F8859" t="s">
        <v>11960</v>
      </c>
      <c r="G8859" t="s">
        <v>27757</v>
      </c>
      <c r="H8859" t="s">
        <v>10664</v>
      </c>
      <c r="I8859" t="s">
        <v>29</v>
      </c>
      <c r="J8859">
        <v>1</v>
      </c>
      <c r="K8859">
        <f>1-888-491-1224</f>
        <v>-2602</v>
      </c>
      <c r="L8859" t="s">
        <v>27767</v>
      </c>
      <c r="M8859" t="s">
        <v>27768</v>
      </c>
      <c r="N8859" t="s">
        <v>5468</v>
      </c>
      <c r="O8859" t="s">
        <v>28</v>
      </c>
      <c r="P8859" t="s">
        <v>292</v>
      </c>
      <c r="Q8859">
        <v>49</v>
      </c>
      <c r="R8859">
        <v>2.3281000000000001</v>
      </c>
    </row>
    <row r="8860" spans="1:18" x14ac:dyDescent="0.2">
      <c r="A8860" t="s">
        <v>439</v>
      </c>
      <c r="B8860" t="s">
        <v>4321</v>
      </c>
      <c r="C8860">
        <v>1</v>
      </c>
      <c r="D8860" s="1">
        <v>44257.951990740738</v>
      </c>
      <c r="E8860" t="s">
        <v>27769</v>
      </c>
      <c r="F8860" t="s">
        <v>442</v>
      </c>
      <c r="G8860" t="s">
        <v>27770</v>
      </c>
      <c r="H8860" t="s">
        <v>444</v>
      </c>
      <c r="I8860" t="s">
        <v>29</v>
      </c>
      <c r="J8860">
        <v>1</v>
      </c>
      <c r="K8860">
        <f>1-844-395-9140</f>
        <v>-10378</v>
      </c>
      <c r="L8860" t="s">
        <v>27771</v>
      </c>
      <c r="M8860" t="s">
        <v>27772</v>
      </c>
      <c r="N8860" t="s">
        <v>447</v>
      </c>
      <c r="O8860" t="s">
        <v>28</v>
      </c>
      <c r="P8860" t="s">
        <v>29</v>
      </c>
      <c r="Q8860">
        <v>42</v>
      </c>
      <c r="R8860">
        <v>-87.629800000000003</v>
      </c>
    </row>
    <row r="8861" spans="1:18" x14ac:dyDescent="0.2">
      <c r="A8861" t="s">
        <v>2233</v>
      </c>
      <c r="B8861" t="s">
        <v>440</v>
      </c>
      <c r="C8861">
        <v>1</v>
      </c>
      <c r="D8861" s="1">
        <v>44258.540775462963</v>
      </c>
      <c r="E8861" t="s">
        <v>27773</v>
      </c>
      <c r="F8861" t="s">
        <v>2236</v>
      </c>
      <c r="G8861" t="s">
        <v>27774</v>
      </c>
      <c r="H8861" t="s">
        <v>2237</v>
      </c>
      <c r="I8861" t="s">
        <v>29</v>
      </c>
      <c r="J8861">
        <v>1</v>
      </c>
      <c r="K8861">
        <f>1-877-762-299</f>
        <v>-1937</v>
      </c>
      <c r="L8861" t="s">
        <v>27775</v>
      </c>
      <c r="M8861" t="s">
        <v>27776</v>
      </c>
      <c r="N8861" t="s">
        <v>5354</v>
      </c>
      <c r="O8861" t="s">
        <v>28</v>
      </c>
      <c r="P8861" t="s">
        <v>29</v>
      </c>
      <c r="Q8861">
        <v>39</v>
      </c>
      <c r="R8861">
        <v>-77.487399999999994</v>
      </c>
    </row>
    <row r="8862" spans="1:18" x14ac:dyDescent="0.2">
      <c r="A8862" t="s">
        <v>439</v>
      </c>
      <c r="B8862" t="s">
        <v>4321</v>
      </c>
      <c r="C8862">
        <v>1</v>
      </c>
      <c r="D8862" s="1">
        <v>44258.713622685187</v>
      </c>
      <c r="E8862" t="s">
        <v>27777</v>
      </c>
      <c r="F8862" t="s">
        <v>442</v>
      </c>
      <c r="G8862" t="s">
        <v>27778</v>
      </c>
      <c r="H8862" t="s">
        <v>444</v>
      </c>
      <c r="I8862" t="s">
        <v>29</v>
      </c>
      <c r="J8862">
        <v>1</v>
      </c>
      <c r="K8862">
        <f>1-888-481-3349</f>
        <v>-4717</v>
      </c>
      <c r="L8862" t="s">
        <v>27779</v>
      </c>
      <c r="M8862" t="s">
        <v>27780</v>
      </c>
      <c r="N8862" t="s">
        <v>25195</v>
      </c>
      <c r="O8862" t="s">
        <v>28</v>
      </c>
      <c r="P8862" t="s">
        <v>29</v>
      </c>
      <c r="Q8862">
        <v>42</v>
      </c>
      <c r="R8862">
        <v>-87.629800000000003</v>
      </c>
    </row>
    <row r="8863" spans="1:18" x14ac:dyDescent="0.2">
      <c r="A8863" t="s">
        <v>10660</v>
      </c>
      <c r="B8863" t="s">
        <v>1638</v>
      </c>
      <c r="C8863">
        <v>1</v>
      </c>
      <c r="D8863" s="1">
        <v>44306.851469907408</v>
      </c>
      <c r="E8863" t="s">
        <v>27781</v>
      </c>
      <c r="F8863" t="s">
        <v>11960</v>
      </c>
      <c r="G8863" t="s">
        <v>27782</v>
      </c>
      <c r="H8863" t="s">
        <v>10664</v>
      </c>
      <c r="I8863" t="s">
        <v>29</v>
      </c>
      <c r="J8863">
        <v>1</v>
      </c>
      <c r="K8863">
        <f>1-888-727-1318</f>
        <v>-2932</v>
      </c>
      <c r="L8863" t="s">
        <v>27783</v>
      </c>
      <c r="M8863" t="s">
        <v>27784</v>
      </c>
      <c r="N8863" t="s">
        <v>5468</v>
      </c>
      <c r="O8863" t="s">
        <v>28</v>
      </c>
      <c r="P8863" t="s">
        <v>292</v>
      </c>
      <c r="Q8863">
        <v>49</v>
      </c>
      <c r="R8863">
        <v>2.3281000000000001</v>
      </c>
    </row>
    <row r="8864" spans="1:18" x14ac:dyDescent="0.2">
      <c r="A8864" t="s">
        <v>10660</v>
      </c>
      <c r="B8864" t="s">
        <v>1638</v>
      </c>
      <c r="C8864">
        <v>1</v>
      </c>
      <c r="D8864" s="1">
        <v>44304.949988425928</v>
      </c>
      <c r="E8864" t="s">
        <v>27785</v>
      </c>
      <c r="F8864" t="s">
        <v>11960</v>
      </c>
      <c r="G8864" t="s">
        <v>27782</v>
      </c>
      <c r="H8864" t="s">
        <v>10664</v>
      </c>
      <c r="I8864" t="s">
        <v>29</v>
      </c>
      <c r="J8864">
        <v>1</v>
      </c>
      <c r="K8864">
        <f>1-888-732-921</f>
        <v>-2540</v>
      </c>
      <c r="L8864" t="s">
        <v>27786</v>
      </c>
      <c r="M8864" t="s">
        <v>27787</v>
      </c>
      <c r="N8864" t="s">
        <v>5468</v>
      </c>
      <c r="O8864" t="s">
        <v>28</v>
      </c>
      <c r="P8864" t="s">
        <v>292</v>
      </c>
      <c r="Q8864">
        <v>49</v>
      </c>
      <c r="R8864">
        <v>2.3281000000000001</v>
      </c>
    </row>
    <row r="8865" spans="1:18" x14ac:dyDescent="0.2">
      <c r="A8865" t="s">
        <v>10660</v>
      </c>
      <c r="B8865" t="s">
        <v>1638</v>
      </c>
      <c r="C8865">
        <v>1</v>
      </c>
      <c r="D8865" s="1">
        <v>44302.792002314818</v>
      </c>
      <c r="E8865" t="s">
        <v>27510</v>
      </c>
      <c r="F8865" t="s">
        <v>11960</v>
      </c>
      <c r="G8865" t="s">
        <v>27782</v>
      </c>
      <c r="H8865" t="s">
        <v>10664</v>
      </c>
      <c r="I8865" t="s">
        <v>29</v>
      </c>
      <c r="J8865">
        <v>1</v>
      </c>
      <c r="K8865">
        <f>1-888-731-8921</f>
        <v>-10539</v>
      </c>
      <c r="L8865" t="s">
        <v>27788</v>
      </c>
      <c r="M8865" t="s">
        <v>27789</v>
      </c>
      <c r="N8865" t="s">
        <v>5468</v>
      </c>
      <c r="O8865" t="s">
        <v>28</v>
      </c>
      <c r="P8865" t="s">
        <v>292</v>
      </c>
      <c r="Q8865">
        <v>49</v>
      </c>
      <c r="R8865">
        <v>2.3281000000000001</v>
      </c>
    </row>
    <row r="8866" spans="1:18" x14ac:dyDescent="0.2">
      <c r="A8866" t="s">
        <v>10660</v>
      </c>
      <c r="B8866" t="s">
        <v>1638</v>
      </c>
      <c r="C8866">
        <v>1</v>
      </c>
      <c r="D8866" s="1">
        <v>44301.041412037041</v>
      </c>
      <c r="E8866" t="s">
        <v>27790</v>
      </c>
      <c r="F8866" t="s">
        <v>11960</v>
      </c>
      <c r="G8866" t="s">
        <v>27782</v>
      </c>
      <c r="H8866" t="s">
        <v>10664</v>
      </c>
      <c r="I8866" t="s">
        <v>29</v>
      </c>
      <c r="J8866">
        <v>1</v>
      </c>
      <c r="K8866">
        <f>1-888-616-5047</f>
        <v>-6550</v>
      </c>
      <c r="L8866" t="s">
        <v>27791</v>
      </c>
      <c r="M8866" t="s">
        <v>27792</v>
      </c>
      <c r="N8866" t="s">
        <v>5468</v>
      </c>
      <c r="O8866" t="s">
        <v>28</v>
      </c>
      <c r="P8866" t="s">
        <v>292</v>
      </c>
      <c r="Q8866">
        <v>49</v>
      </c>
      <c r="R8866">
        <v>2.3281000000000001</v>
      </c>
    </row>
    <row r="8867" spans="1:18" x14ac:dyDescent="0.2">
      <c r="A8867" t="s">
        <v>10660</v>
      </c>
      <c r="B8867" t="s">
        <v>1638</v>
      </c>
      <c r="C8867">
        <v>1</v>
      </c>
      <c r="D8867" s="1">
        <v>44258.844756944447</v>
      </c>
      <c r="E8867" t="s">
        <v>27793</v>
      </c>
      <c r="F8867" t="s">
        <v>11960</v>
      </c>
      <c r="G8867" t="s">
        <v>27782</v>
      </c>
      <c r="H8867" t="s">
        <v>10664</v>
      </c>
      <c r="I8867" t="s">
        <v>29</v>
      </c>
      <c r="J8867">
        <v>1</v>
      </c>
      <c r="K8867">
        <f>1-888-491-316</f>
        <v>-1694</v>
      </c>
      <c r="L8867" t="s">
        <v>27794</v>
      </c>
      <c r="M8867" t="s">
        <v>27795</v>
      </c>
      <c r="N8867" t="s">
        <v>5468</v>
      </c>
      <c r="O8867" t="s">
        <v>28</v>
      </c>
      <c r="P8867" t="s">
        <v>292</v>
      </c>
      <c r="Q8867">
        <v>49</v>
      </c>
      <c r="R8867">
        <v>2.3281000000000001</v>
      </c>
    </row>
    <row r="8868" spans="1:18" x14ac:dyDescent="0.2">
      <c r="A8868" t="s">
        <v>10660</v>
      </c>
      <c r="B8868" t="s">
        <v>1638</v>
      </c>
      <c r="C8868">
        <v>1</v>
      </c>
      <c r="D8868" s="1">
        <v>44258.719247685185</v>
      </c>
      <c r="E8868" t="s">
        <v>27796</v>
      </c>
      <c r="F8868" t="s">
        <v>11960</v>
      </c>
      <c r="G8868" t="s">
        <v>27782</v>
      </c>
      <c r="H8868" t="s">
        <v>10664</v>
      </c>
      <c r="I8868" t="s">
        <v>29</v>
      </c>
      <c r="J8868">
        <v>1</v>
      </c>
      <c r="K8868">
        <f>1-888-506-462</f>
        <v>-1855</v>
      </c>
      <c r="L8868" t="s">
        <v>27797</v>
      </c>
      <c r="M8868" t="s">
        <v>27798</v>
      </c>
      <c r="N8868" t="s">
        <v>5468</v>
      </c>
      <c r="O8868" t="s">
        <v>28</v>
      </c>
      <c r="P8868" t="s">
        <v>292</v>
      </c>
      <c r="Q8868">
        <v>49</v>
      </c>
      <c r="R8868">
        <v>2.3281000000000001</v>
      </c>
    </row>
    <row r="8869" spans="1:18" x14ac:dyDescent="0.2">
      <c r="A8869" t="s">
        <v>10660</v>
      </c>
      <c r="B8869" t="s">
        <v>1638</v>
      </c>
      <c r="C8869">
        <v>1</v>
      </c>
      <c r="D8869" s="1">
        <v>44305.765439814815</v>
      </c>
      <c r="E8869" t="s">
        <v>27799</v>
      </c>
      <c r="F8869" t="s">
        <v>11960</v>
      </c>
      <c r="G8869" t="s">
        <v>27800</v>
      </c>
      <c r="H8869" t="s">
        <v>10664</v>
      </c>
      <c r="I8869" t="s">
        <v>29</v>
      </c>
      <c r="J8869">
        <v>1</v>
      </c>
      <c r="K8869">
        <f>1-888-728-8715</f>
        <v>-10330</v>
      </c>
      <c r="L8869" t="s">
        <v>27801</v>
      </c>
      <c r="M8869" t="s">
        <v>27802</v>
      </c>
      <c r="N8869" t="s">
        <v>5468</v>
      </c>
      <c r="O8869" t="s">
        <v>28</v>
      </c>
      <c r="P8869" t="s">
        <v>292</v>
      </c>
      <c r="Q8869">
        <v>49</v>
      </c>
      <c r="R8869">
        <v>2.3281000000000001</v>
      </c>
    </row>
    <row r="8870" spans="1:18" x14ac:dyDescent="0.2">
      <c r="A8870" t="s">
        <v>10660</v>
      </c>
      <c r="B8870" t="s">
        <v>1638</v>
      </c>
      <c r="C8870">
        <v>1</v>
      </c>
      <c r="D8870" s="1">
        <v>44301.915381944447</v>
      </c>
      <c r="E8870" t="s">
        <v>27803</v>
      </c>
      <c r="F8870" t="s">
        <v>11960</v>
      </c>
      <c r="G8870" t="s">
        <v>27800</v>
      </c>
      <c r="H8870" t="s">
        <v>10664</v>
      </c>
      <c r="I8870" t="s">
        <v>29</v>
      </c>
      <c r="J8870">
        <v>1</v>
      </c>
      <c r="K8870">
        <f>1-888-728-1674</f>
        <v>-3289</v>
      </c>
      <c r="L8870" t="s">
        <v>27804</v>
      </c>
      <c r="M8870" t="s">
        <v>27805</v>
      </c>
      <c r="N8870" t="s">
        <v>5468</v>
      </c>
      <c r="O8870" t="s">
        <v>28</v>
      </c>
      <c r="P8870" t="s">
        <v>292</v>
      </c>
      <c r="Q8870">
        <v>49</v>
      </c>
      <c r="R8870">
        <v>2.3281000000000001</v>
      </c>
    </row>
    <row r="8871" spans="1:18" x14ac:dyDescent="0.2">
      <c r="A8871" t="s">
        <v>10660</v>
      </c>
      <c r="B8871" t="s">
        <v>1638</v>
      </c>
      <c r="C8871">
        <v>1</v>
      </c>
      <c r="D8871" s="1">
        <v>44301.81318287037</v>
      </c>
      <c r="E8871" t="s">
        <v>27806</v>
      </c>
      <c r="F8871" t="s">
        <v>11960</v>
      </c>
      <c r="G8871" t="s">
        <v>27800</v>
      </c>
      <c r="H8871" t="s">
        <v>10664</v>
      </c>
      <c r="I8871" t="s">
        <v>29</v>
      </c>
      <c r="J8871">
        <v>1</v>
      </c>
      <c r="K8871">
        <f>1-888-727-663</f>
        <v>-2277</v>
      </c>
      <c r="L8871" t="s">
        <v>27807</v>
      </c>
      <c r="M8871" t="s">
        <v>27808</v>
      </c>
      <c r="N8871" t="s">
        <v>5468</v>
      </c>
      <c r="O8871" t="s">
        <v>28</v>
      </c>
      <c r="P8871" t="s">
        <v>292</v>
      </c>
      <c r="Q8871">
        <v>49</v>
      </c>
      <c r="R8871">
        <v>2.3281000000000001</v>
      </c>
    </row>
    <row r="8872" spans="1:18" x14ac:dyDescent="0.2">
      <c r="A8872" t="s">
        <v>10660</v>
      </c>
      <c r="B8872" t="s">
        <v>1638</v>
      </c>
      <c r="C8872">
        <v>1</v>
      </c>
      <c r="D8872" s="1">
        <v>44299.865659722222</v>
      </c>
      <c r="E8872" t="s">
        <v>27809</v>
      </c>
      <c r="F8872" t="s">
        <v>11960</v>
      </c>
      <c r="G8872" t="s">
        <v>27800</v>
      </c>
      <c r="H8872" t="s">
        <v>10664</v>
      </c>
      <c r="I8872" t="s">
        <v>29</v>
      </c>
      <c r="J8872">
        <v>1</v>
      </c>
      <c r="K8872">
        <f>1-888-394-1535</f>
        <v>-2816</v>
      </c>
      <c r="L8872" s="2" t="s">
        <v>27810</v>
      </c>
      <c r="M8872" t="s">
        <v>27811</v>
      </c>
      <c r="N8872" t="s">
        <v>5468</v>
      </c>
      <c r="O8872" t="s">
        <v>28</v>
      </c>
      <c r="P8872" t="s">
        <v>292</v>
      </c>
      <c r="Q8872">
        <v>49</v>
      </c>
      <c r="R8872">
        <v>2.3281000000000001</v>
      </c>
    </row>
    <row r="8873" spans="1:18" x14ac:dyDescent="0.2">
      <c r="A8873" t="s">
        <v>10660</v>
      </c>
      <c r="B8873" t="s">
        <v>1638</v>
      </c>
      <c r="C8873">
        <v>1</v>
      </c>
      <c r="D8873" s="1">
        <v>44298.962430555555</v>
      </c>
      <c r="E8873" t="s">
        <v>27812</v>
      </c>
      <c r="F8873" t="s">
        <v>11960</v>
      </c>
      <c r="G8873" t="s">
        <v>27800</v>
      </c>
      <c r="H8873" t="s">
        <v>10664</v>
      </c>
      <c r="I8873" t="s">
        <v>29</v>
      </c>
      <c r="J8873">
        <v>1</v>
      </c>
      <c r="K8873">
        <f>1-888-321-1568</f>
        <v>-2776</v>
      </c>
      <c r="L8873" t="s">
        <v>27813</v>
      </c>
      <c r="M8873" t="s">
        <v>27814</v>
      </c>
      <c r="N8873" t="s">
        <v>5468</v>
      </c>
      <c r="O8873" t="s">
        <v>28</v>
      </c>
      <c r="P8873" t="s">
        <v>292</v>
      </c>
      <c r="Q8873">
        <v>49</v>
      </c>
      <c r="R8873">
        <v>2.3281000000000001</v>
      </c>
    </row>
    <row r="8874" spans="1:18" x14ac:dyDescent="0.2">
      <c r="A8874" t="s">
        <v>10660</v>
      </c>
      <c r="B8874" t="s">
        <v>1638</v>
      </c>
      <c r="C8874">
        <v>1</v>
      </c>
      <c r="D8874" s="1">
        <v>44258.756180555552</v>
      </c>
      <c r="E8874" t="s">
        <v>27815</v>
      </c>
      <c r="F8874" t="s">
        <v>11960</v>
      </c>
      <c r="G8874" t="s">
        <v>27800</v>
      </c>
      <c r="H8874" t="s">
        <v>10664</v>
      </c>
      <c r="I8874" t="s">
        <v>29</v>
      </c>
      <c r="J8874">
        <v>1</v>
      </c>
      <c r="K8874">
        <f>1-888-498-146</f>
        <v>-1531</v>
      </c>
      <c r="L8874" t="s">
        <v>27816</v>
      </c>
      <c r="M8874" t="s">
        <v>27817</v>
      </c>
      <c r="N8874" t="s">
        <v>5468</v>
      </c>
      <c r="O8874" t="s">
        <v>28</v>
      </c>
      <c r="P8874" t="s">
        <v>292</v>
      </c>
      <c r="Q8874">
        <v>49</v>
      </c>
      <c r="R8874">
        <v>2.3281000000000001</v>
      </c>
    </row>
    <row r="8875" spans="1:18" x14ac:dyDescent="0.2">
      <c r="A8875" t="s">
        <v>439</v>
      </c>
      <c r="B8875" t="s">
        <v>4321</v>
      </c>
      <c r="C8875">
        <v>1</v>
      </c>
      <c r="D8875" s="1">
        <v>44259.344722222224</v>
      </c>
      <c r="E8875" t="s">
        <v>21787</v>
      </c>
      <c r="F8875" t="s">
        <v>442</v>
      </c>
      <c r="G8875" t="s">
        <v>27818</v>
      </c>
      <c r="H8875" t="s">
        <v>444</v>
      </c>
      <c r="I8875" t="s">
        <v>29</v>
      </c>
      <c r="J8875">
        <v>1</v>
      </c>
      <c r="K8875">
        <f>1-844-401-7794</f>
        <v>-9038</v>
      </c>
      <c r="L8875" t="s">
        <v>27819</v>
      </c>
      <c r="M8875" t="s">
        <v>27820</v>
      </c>
      <c r="N8875" t="s">
        <v>5354</v>
      </c>
      <c r="O8875" t="s">
        <v>28</v>
      </c>
      <c r="P8875" t="s">
        <v>29</v>
      </c>
      <c r="Q8875">
        <v>42</v>
      </c>
      <c r="R8875">
        <v>-87.629800000000003</v>
      </c>
    </row>
    <row r="8876" spans="1:18" x14ac:dyDescent="0.2">
      <c r="A8876" t="s">
        <v>439</v>
      </c>
      <c r="B8876" t="s">
        <v>4321</v>
      </c>
      <c r="C8876">
        <v>1</v>
      </c>
      <c r="D8876" s="1">
        <v>44258.765034722222</v>
      </c>
      <c r="E8876" t="s">
        <v>21787</v>
      </c>
      <c r="F8876" t="s">
        <v>442</v>
      </c>
      <c r="G8876" t="s">
        <v>27818</v>
      </c>
      <c r="H8876" t="s">
        <v>444</v>
      </c>
      <c r="I8876" t="s">
        <v>29</v>
      </c>
      <c r="J8876">
        <v>1</v>
      </c>
      <c r="K8876">
        <f>1-844-390-2963</f>
        <v>-4196</v>
      </c>
      <c r="L8876" t="s">
        <v>27821</v>
      </c>
      <c r="M8876" t="s">
        <v>27822</v>
      </c>
      <c r="N8876" t="s">
        <v>5354</v>
      </c>
      <c r="O8876" t="s">
        <v>28</v>
      </c>
      <c r="P8876" t="s">
        <v>29</v>
      </c>
      <c r="Q8876">
        <v>42</v>
      </c>
      <c r="R8876">
        <v>-87.629800000000003</v>
      </c>
    </row>
    <row r="8877" spans="1:18" x14ac:dyDescent="0.2">
      <c r="A8877" t="s">
        <v>2233</v>
      </c>
      <c r="B8877" t="s">
        <v>2234</v>
      </c>
      <c r="C8877">
        <v>1</v>
      </c>
      <c r="D8877" s="1">
        <v>44258.958020833335</v>
      </c>
      <c r="E8877" t="s">
        <v>27823</v>
      </c>
      <c r="F8877" t="s">
        <v>2236</v>
      </c>
      <c r="G8877" t="s">
        <v>27823</v>
      </c>
      <c r="H8877" t="s">
        <v>2237</v>
      </c>
      <c r="I8877" t="s">
        <v>29</v>
      </c>
      <c r="J8877">
        <v>1</v>
      </c>
      <c r="K8877">
        <f>1-800-409-1628</f>
        <v>-2836</v>
      </c>
      <c r="L8877" t="s">
        <v>27824</v>
      </c>
      <c r="M8877" t="s">
        <v>27825</v>
      </c>
      <c r="N8877">
        <v>61</v>
      </c>
      <c r="O8877" t="s">
        <v>134</v>
      </c>
      <c r="P8877" t="s">
        <v>29</v>
      </c>
      <c r="Q8877">
        <v>40</v>
      </c>
      <c r="R8877">
        <v>-83.114099999999993</v>
      </c>
    </row>
    <row r="8878" spans="1:18" x14ac:dyDescent="0.2">
      <c r="A8878" t="s">
        <v>2233</v>
      </c>
      <c r="B8878" t="s">
        <v>2234</v>
      </c>
      <c r="C8878">
        <v>1</v>
      </c>
      <c r="D8878" s="1">
        <v>44258.766134259262</v>
      </c>
      <c r="E8878" t="s">
        <v>27823</v>
      </c>
      <c r="F8878" t="s">
        <v>2236</v>
      </c>
      <c r="G8878" t="s">
        <v>27823</v>
      </c>
      <c r="H8878" t="s">
        <v>2237</v>
      </c>
      <c r="I8878" t="s">
        <v>29</v>
      </c>
      <c r="J8878">
        <v>1</v>
      </c>
      <c r="K8878">
        <f>1-888-886-8953</f>
        <v>-10726</v>
      </c>
      <c r="L8878" t="s">
        <v>27826</v>
      </c>
      <c r="M8878" t="s">
        <v>27827</v>
      </c>
      <c r="N8878">
        <v>61</v>
      </c>
      <c r="O8878" t="s">
        <v>134</v>
      </c>
      <c r="P8878" t="s">
        <v>29</v>
      </c>
      <c r="Q8878">
        <v>40</v>
      </c>
      <c r="R8878">
        <v>-83.114099999999993</v>
      </c>
    </row>
    <row r="8879" spans="1:18" x14ac:dyDescent="0.2">
      <c r="A8879" t="s">
        <v>439</v>
      </c>
      <c r="B8879" t="s">
        <v>4321</v>
      </c>
      <c r="C8879">
        <v>1</v>
      </c>
      <c r="D8879" s="1">
        <v>44258.804085648146</v>
      </c>
      <c r="E8879" t="s">
        <v>27828</v>
      </c>
      <c r="F8879" t="s">
        <v>442</v>
      </c>
      <c r="G8879" t="s">
        <v>27829</v>
      </c>
      <c r="H8879" t="s">
        <v>444</v>
      </c>
      <c r="I8879" t="s">
        <v>29</v>
      </c>
      <c r="J8879">
        <v>1</v>
      </c>
      <c r="K8879">
        <f>1-844-303-6507</f>
        <v>-7653</v>
      </c>
      <c r="L8879" t="s">
        <v>27830</v>
      </c>
      <c r="M8879" t="s">
        <v>27831</v>
      </c>
      <c r="N8879" t="s">
        <v>213</v>
      </c>
      <c r="O8879" t="s">
        <v>28</v>
      </c>
      <c r="P8879" t="s">
        <v>29</v>
      </c>
      <c r="Q8879">
        <v>42</v>
      </c>
      <c r="R8879">
        <v>-87.629800000000003</v>
      </c>
    </row>
    <row r="8880" spans="1:18" x14ac:dyDescent="0.2">
      <c r="A8880" t="s">
        <v>10660</v>
      </c>
      <c r="B8880" t="s">
        <v>1638</v>
      </c>
      <c r="C8880">
        <v>1</v>
      </c>
      <c r="D8880" s="1">
        <v>44302.772465277776</v>
      </c>
      <c r="E8880" t="s">
        <v>27832</v>
      </c>
      <c r="F8880" t="s">
        <v>11960</v>
      </c>
      <c r="G8880" t="s">
        <v>27833</v>
      </c>
      <c r="H8880" t="s">
        <v>10664</v>
      </c>
      <c r="I8880" t="s">
        <v>29</v>
      </c>
      <c r="J8880">
        <v>1</v>
      </c>
      <c r="K8880">
        <f>1-888-728-4547</f>
        <v>-6162</v>
      </c>
      <c r="L8880" t="s">
        <v>27834</v>
      </c>
      <c r="M8880" t="s">
        <v>27835</v>
      </c>
      <c r="N8880" t="s">
        <v>5468</v>
      </c>
      <c r="O8880" t="s">
        <v>28</v>
      </c>
      <c r="P8880" t="s">
        <v>292</v>
      </c>
      <c r="Q8880">
        <v>49</v>
      </c>
      <c r="R8880">
        <v>2.3281000000000001</v>
      </c>
    </row>
    <row r="8881" spans="1:18" x14ac:dyDescent="0.2">
      <c r="A8881" t="s">
        <v>10660</v>
      </c>
      <c r="B8881" t="s">
        <v>1638</v>
      </c>
      <c r="C8881">
        <v>1</v>
      </c>
      <c r="D8881" s="1">
        <v>44288.926030092596</v>
      </c>
      <c r="E8881" t="s">
        <v>27836</v>
      </c>
      <c r="F8881" t="s">
        <v>11960</v>
      </c>
      <c r="G8881" t="s">
        <v>27833</v>
      </c>
      <c r="H8881" t="s">
        <v>10664</v>
      </c>
      <c r="I8881" t="s">
        <v>29</v>
      </c>
      <c r="J8881">
        <v>1</v>
      </c>
      <c r="K8881">
        <f>1-888-351-2534</f>
        <v>-3772</v>
      </c>
      <c r="L8881" t="s">
        <v>27837</v>
      </c>
      <c r="M8881" t="s">
        <v>27838</v>
      </c>
      <c r="N8881" t="s">
        <v>5468</v>
      </c>
      <c r="O8881" t="s">
        <v>28</v>
      </c>
      <c r="P8881" t="s">
        <v>292</v>
      </c>
      <c r="Q8881">
        <v>49</v>
      </c>
      <c r="R8881">
        <v>2.3281000000000001</v>
      </c>
    </row>
    <row r="8882" spans="1:18" x14ac:dyDescent="0.2">
      <c r="A8882" t="s">
        <v>10660</v>
      </c>
      <c r="B8882" t="s">
        <v>1638</v>
      </c>
      <c r="C8882">
        <v>1</v>
      </c>
      <c r="D8882" s="1">
        <v>44265.708425925928</v>
      </c>
      <c r="E8882" t="s">
        <v>27689</v>
      </c>
      <c r="F8882" t="s">
        <v>11960</v>
      </c>
      <c r="G8882" t="s">
        <v>27833</v>
      </c>
      <c r="H8882" t="s">
        <v>10664</v>
      </c>
      <c r="I8882" t="s">
        <v>29</v>
      </c>
      <c r="J8882">
        <v>1</v>
      </c>
      <c r="K8882">
        <f>1-888-524-859</f>
        <v>-2270</v>
      </c>
      <c r="L8882" t="s">
        <v>27839</v>
      </c>
      <c r="M8882" t="s">
        <v>27840</v>
      </c>
      <c r="N8882" t="s">
        <v>5468</v>
      </c>
      <c r="O8882" t="s">
        <v>28</v>
      </c>
      <c r="P8882" t="s">
        <v>292</v>
      </c>
      <c r="Q8882">
        <v>49</v>
      </c>
      <c r="R8882">
        <v>2.3281000000000001</v>
      </c>
    </row>
    <row r="8883" spans="1:18" x14ac:dyDescent="0.2">
      <c r="A8883" t="s">
        <v>10660</v>
      </c>
      <c r="B8883" t="s">
        <v>1638</v>
      </c>
      <c r="C8883">
        <v>1</v>
      </c>
      <c r="D8883" s="1">
        <v>44263.741574074076</v>
      </c>
      <c r="E8883" t="s">
        <v>27841</v>
      </c>
      <c r="F8883" t="s">
        <v>11960</v>
      </c>
      <c r="G8883" t="s">
        <v>27833</v>
      </c>
      <c r="H8883" t="s">
        <v>10664</v>
      </c>
      <c r="I8883" t="s">
        <v>29</v>
      </c>
      <c r="J8883">
        <v>1</v>
      </c>
      <c r="K8883">
        <f>1-888-592-7014</f>
        <v>-8493</v>
      </c>
      <c r="L8883" t="s">
        <v>27842</v>
      </c>
      <c r="M8883" t="s">
        <v>27843</v>
      </c>
      <c r="N8883" t="s">
        <v>5468</v>
      </c>
      <c r="O8883" t="s">
        <v>28</v>
      </c>
      <c r="P8883" t="s">
        <v>292</v>
      </c>
      <c r="Q8883">
        <v>49</v>
      </c>
      <c r="R8883">
        <v>2.3281000000000001</v>
      </c>
    </row>
    <row r="8884" spans="1:18" x14ac:dyDescent="0.2">
      <c r="A8884" t="s">
        <v>10660</v>
      </c>
      <c r="B8884" t="s">
        <v>1638</v>
      </c>
      <c r="C8884">
        <v>1</v>
      </c>
      <c r="D8884" s="1">
        <v>44263.734826388885</v>
      </c>
      <c r="E8884" t="s">
        <v>27841</v>
      </c>
      <c r="F8884" t="s">
        <v>11960</v>
      </c>
      <c r="G8884" t="s">
        <v>27833</v>
      </c>
      <c r="H8884" t="s">
        <v>10664</v>
      </c>
      <c r="I8884" t="s">
        <v>29</v>
      </c>
      <c r="J8884">
        <v>1</v>
      </c>
      <c r="K8884">
        <f>1-888-599-4298</f>
        <v>-5784</v>
      </c>
      <c r="L8884" t="s">
        <v>27844</v>
      </c>
      <c r="M8884" t="s">
        <v>27845</v>
      </c>
      <c r="N8884" t="s">
        <v>5468</v>
      </c>
      <c r="O8884" t="s">
        <v>28</v>
      </c>
      <c r="P8884" t="s">
        <v>292</v>
      </c>
      <c r="Q8884">
        <v>49</v>
      </c>
      <c r="R8884">
        <v>2.3281000000000001</v>
      </c>
    </row>
    <row r="8885" spans="1:18" x14ac:dyDescent="0.2">
      <c r="A8885" t="s">
        <v>10660</v>
      </c>
      <c r="B8885" t="s">
        <v>1638</v>
      </c>
      <c r="C8885">
        <v>1</v>
      </c>
      <c r="D8885" s="1">
        <v>44258.836377314816</v>
      </c>
      <c r="E8885" t="s">
        <v>27846</v>
      </c>
      <c r="F8885" t="s">
        <v>11960</v>
      </c>
      <c r="G8885" t="s">
        <v>27833</v>
      </c>
      <c r="H8885" t="s">
        <v>10664</v>
      </c>
      <c r="I8885" t="s">
        <v>29</v>
      </c>
      <c r="J8885">
        <v>1</v>
      </c>
      <c r="K8885">
        <f>1-888-712-696</f>
        <v>-2295</v>
      </c>
      <c r="L8885" t="s">
        <v>27847</v>
      </c>
      <c r="M8885" t="s">
        <v>27848</v>
      </c>
      <c r="N8885" t="s">
        <v>5468</v>
      </c>
      <c r="O8885" t="s">
        <v>28</v>
      </c>
      <c r="P8885" t="s">
        <v>292</v>
      </c>
      <c r="Q8885">
        <v>49</v>
      </c>
      <c r="R8885">
        <v>2.3281000000000001</v>
      </c>
    </row>
    <row r="8886" spans="1:18" x14ac:dyDescent="0.2">
      <c r="A8886" t="s">
        <v>10660</v>
      </c>
      <c r="B8886" t="s">
        <v>1638</v>
      </c>
      <c r="C8886">
        <v>1</v>
      </c>
      <c r="D8886" s="1">
        <v>44258.817060185182</v>
      </c>
      <c r="E8886" t="s">
        <v>27849</v>
      </c>
      <c r="F8886" t="s">
        <v>11960</v>
      </c>
      <c r="G8886" t="s">
        <v>27833</v>
      </c>
      <c r="H8886" t="s">
        <v>10664</v>
      </c>
      <c r="I8886" t="s">
        <v>29</v>
      </c>
      <c r="J8886">
        <v>1</v>
      </c>
      <c r="K8886">
        <f>1-888-660-1336</f>
        <v>-2883</v>
      </c>
      <c r="L8886" t="s">
        <v>27850</v>
      </c>
      <c r="M8886" t="s">
        <v>27851</v>
      </c>
      <c r="N8886" t="s">
        <v>5468</v>
      </c>
      <c r="O8886" t="s">
        <v>28</v>
      </c>
      <c r="P8886" t="s">
        <v>292</v>
      </c>
      <c r="Q8886">
        <v>49</v>
      </c>
      <c r="R8886">
        <v>2.3281000000000001</v>
      </c>
    </row>
    <row r="8887" spans="1:18" x14ac:dyDescent="0.2">
      <c r="A8887" t="s">
        <v>439</v>
      </c>
      <c r="B8887" t="s">
        <v>4321</v>
      </c>
      <c r="C8887">
        <v>1</v>
      </c>
      <c r="D8887" s="1">
        <v>44258.842256944445</v>
      </c>
      <c r="E8887" t="s">
        <v>27852</v>
      </c>
      <c r="F8887" t="s">
        <v>442</v>
      </c>
      <c r="G8887" t="s">
        <v>27853</v>
      </c>
      <c r="H8887" t="s">
        <v>444</v>
      </c>
      <c r="I8887" t="s">
        <v>29</v>
      </c>
      <c r="J8887">
        <v>1</v>
      </c>
      <c r="K8887">
        <f>1-833-220-3894</f>
        <v>-4946</v>
      </c>
      <c r="L8887" t="s">
        <v>27854</v>
      </c>
      <c r="M8887" t="s">
        <v>27855</v>
      </c>
      <c r="N8887" t="s">
        <v>3441</v>
      </c>
      <c r="O8887" t="s">
        <v>28</v>
      </c>
      <c r="P8887" t="s">
        <v>29</v>
      </c>
      <c r="Q8887">
        <v>42</v>
      </c>
      <c r="R8887">
        <v>-87.629800000000003</v>
      </c>
    </row>
    <row r="8888" spans="1:18" x14ac:dyDescent="0.2">
      <c r="A8888" t="s">
        <v>439</v>
      </c>
      <c r="B8888" t="s">
        <v>4321</v>
      </c>
      <c r="C8888">
        <v>81</v>
      </c>
      <c r="D8888" s="1">
        <v>44266.24690972222</v>
      </c>
      <c r="E8888" t="s">
        <v>27856</v>
      </c>
      <c r="F8888" t="s">
        <v>442</v>
      </c>
      <c r="G8888" t="s">
        <v>27857</v>
      </c>
      <c r="H8888" t="s">
        <v>444</v>
      </c>
      <c r="I8888" t="s">
        <v>53</v>
      </c>
      <c r="J8888">
        <v>81</v>
      </c>
      <c r="K8888">
        <f>81-50-3185-3620</f>
        <v>-6774</v>
      </c>
      <c r="L8888" t="s">
        <v>27858</v>
      </c>
      <c r="M8888" t="s">
        <v>27859</v>
      </c>
      <c r="N8888" t="s">
        <v>447</v>
      </c>
      <c r="O8888" t="s">
        <v>28</v>
      </c>
      <c r="P8888" t="s">
        <v>29</v>
      </c>
      <c r="Q8888">
        <v>42</v>
      </c>
      <c r="R8888">
        <v>-87.629800000000003</v>
      </c>
    </row>
    <row r="8889" spans="1:18" x14ac:dyDescent="0.2">
      <c r="A8889" t="s">
        <v>439</v>
      </c>
      <c r="B8889" t="s">
        <v>4321</v>
      </c>
      <c r="C8889">
        <v>1</v>
      </c>
      <c r="D8889" s="1">
        <v>44258.849247685182</v>
      </c>
      <c r="E8889" t="s">
        <v>27860</v>
      </c>
      <c r="F8889" t="s">
        <v>442</v>
      </c>
      <c r="G8889" t="s">
        <v>27857</v>
      </c>
      <c r="H8889" t="s">
        <v>444</v>
      </c>
      <c r="I8889" t="s">
        <v>29</v>
      </c>
      <c r="J8889">
        <v>1</v>
      </c>
      <c r="K8889">
        <f>1-888-481-3393</f>
        <v>-4761</v>
      </c>
      <c r="L8889" t="s">
        <v>27861</v>
      </c>
      <c r="M8889" t="s">
        <v>27862</v>
      </c>
      <c r="N8889" t="s">
        <v>25195</v>
      </c>
      <c r="O8889" t="s">
        <v>28</v>
      </c>
      <c r="P8889" t="s">
        <v>29</v>
      </c>
      <c r="Q8889">
        <v>42</v>
      </c>
      <c r="R8889">
        <v>-87.629800000000003</v>
      </c>
    </row>
    <row r="8890" spans="1:18" x14ac:dyDescent="0.2">
      <c r="A8890" t="s">
        <v>439</v>
      </c>
      <c r="B8890" t="s">
        <v>4321</v>
      </c>
      <c r="C8890">
        <v>1</v>
      </c>
      <c r="D8890" s="1">
        <v>44258.852581018517</v>
      </c>
      <c r="E8890" t="s">
        <v>27863</v>
      </c>
      <c r="F8890" t="s">
        <v>442</v>
      </c>
      <c r="G8890" t="s">
        <v>27864</v>
      </c>
      <c r="H8890" t="s">
        <v>444</v>
      </c>
      <c r="I8890" t="s">
        <v>29</v>
      </c>
      <c r="J8890">
        <v>1</v>
      </c>
      <c r="K8890">
        <f>1-844-281-8512</f>
        <v>-9636</v>
      </c>
      <c r="L8890" t="s">
        <v>27865</v>
      </c>
      <c r="M8890" t="s">
        <v>27866</v>
      </c>
      <c r="N8890" t="s">
        <v>213</v>
      </c>
      <c r="O8890" t="s">
        <v>28</v>
      </c>
      <c r="P8890" t="s">
        <v>29</v>
      </c>
      <c r="Q8890">
        <v>42</v>
      </c>
      <c r="R8890">
        <v>-87.629800000000003</v>
      </c>
    </row>
    <row r="8891" spans="1:18" x14ac:dyDescent="0.2">
      <c r="A8891" t="s">
        <v>439</v>
      </c>
      <c r="B8891" t="s">
        <v>4321</v>
      </c>
      <c r="C8891">
        <v>1</v>
      </c>
      <c r="D8891" s="1">
        <v>44258.876840277779</v>
      </c>
      <c r="E8891" t="s">
        <v>27867</v>
      </c>
      <c r="F8891" t="s">
        <v>442</v>
      </c>
      <c r="G8891" t="s">
        <v>27868</v>
      </c>
      <c r="H8891" t="s">
        <v>444</v>
      </c>
      <c r="I8891" t="s">
        <v>29</v>
      </c>
      <c r="J8891">
        <v>1</v>
      </c>
      <c r="K8891">
        <f>1-833-220-3903</f>
        <v>-4955</v>
      </c>
      <c r="L8891" t="s">
        <v>27869</v>
      </c>
      <c r="M8891" t="s">
        <v>27870</v>
      </c>
      <c r="N8891" t="s">
        <v>447</v>
      </c>
      <c r="O8891" t="s">
        <v>28</v>
      </c>
      <c r="P8891" t="s">
        <v>29</v>
      </c>
      <c r="Q8891">
        <v>42</v>
      </c>
      <c r="R8891">
        <v>-87.629800000000003</v>
      </c>
    </row>
    <row r="8892" spans="1:18" x14ac:dyDescent="0.2">
      <c r="A8892" t="s">
        <v>2233</v>
      </c>
      <c r="B8892" t="s">
        <v>17027</v>
      </c>
      <c r="C8892">
        <v>1</v>
      </c>
      <c r="D8892" s="1">
        <v>44259.515636574077</v>
      </c>
      <c r="E8892" t="s">
        <v>27871</v>
      </c>
      <c r="F8892" t="s">
        <v>2236</v>
      </c>
      <c r="G8892" t="s">
        <v>27872</v>
      </c>
      <c r="H8892" t="s">
        <v>2237</v>
      </c>
      <c r="I8892" t="s">
        <v>29</v>
      </c>
      <c r="J8892">
        <v>1</v>
      </c>
      <c r="K8892">
        <f>1-877-762-299</f>
        <v>-1937</v>
      </c>
      <c r="L8892" t="s">
        <v>27873</v>
      </c>
      <c r="M8892" t="s">
        <v>27874</v>
      </c>
      <c r="N8892" t="s">
        <v>5354</v>
      </c>
      <c r="O8892" t="s">
        <v>28</v>
      </c>
      <c r="P8892" t="s">
        <v>5789</v>
      </c>
      <c r="Q8892">
        <v>19</v>
      </c>
      <c r="R8892">
        <v>72.877700000000004</v>
      </c>
    </row>
    <row r="8893" spans="1:18" x14ac:dyDescent="0.2">
      <c r="A8893" t="s">
        <v>2233</v>
      </c>
      <c r="B8893" t="s">
        <v>440</v>
      </c>
      <c r="C8893">
        <v>1</v>
      </c>
      <c r="D8893" s="1">
        <v>44259.403356481482</v>
      </c>
      <c r="E8893" t="s">
        <v>27875</v>
      </c>
      <c r="F8893" t="s">
        <v>2236</v>
      </c>
      <c r="G8893" t="s">
        <v>27876</v>
      </c>
      <c r="H8893" t="s">
        <v>2237</v>
      </c>
      <c r="I8893" t="s">
        <v>29</v>
      </c>
      <c r="J8893">
        <v>1</v>
      </c>
      <c r="K8893">
        <f>1-877-762-299</f>
        <v>-1937</v>
      </c>
      <c r="L8893" t="s">
        <v>27877</v>
      </c>
      <c r="M8893" t="s">
        <v>27878</v>
      </c>
      <c r="N8893" t="s">
        <v>5354</v>
      </c>
      <c r="O8893" t="s">
        <v>28</v>
      </c>
      <c r="P8893" t="s">
        <v>29</v>
      </c>
      <c r="Q8893">
        <v>39</v>
      </c>
      <c r="R8893">
        <v>-77.487399999999994</v>
      </c>
    </row>
    <row r="8894" spans="1:18" x14ac:dyDescent="0.2">
      <c r="A8894" t="s">
        <v>2233</v>
      </c>
      <c r="B8894" t="s">
        <v>440</v>
      </c>
      <c r="C8894">
        <v>1</v>
      </c>
      <c r="D8894" s="1">
        <v>44259.63957175926</v>
      </c>
      <c r="E8894" t="s">
        <v>27879</v>
      </c>
      <c r="F8894" t="s">
        <v>2236</v>
      </c>
      <c r="G8894" t="s">
        <v>27880</v>
      </c>
      <c r="H8894" t="s">
        <v>2237</v>
      </c>
      <c r="I8894" t="s">
        <v>29</v>
      </c>
      <c r="J8894">
        <v>1</v>
      </c>
      <c r="K8894">
        <f>1-877-762-299</f>
        <v>-1937</v>
      </c>
      <c r="L8894" t="s">
        <v>27881</v>
      </c>
      <c r="M8894" t="s">
        <v>27882</v>
      </c>
      <c r="N8894" t="s">
        <v>5354</v>
      </c>
      <c r="O8894" t="s">
        <v>28</v>
      </c>
      <c r="P8894" t="s">
        <v>29</v>
      </c>
      <c r="Q8894">
        <v>39</v>
      </c>
      <c r="R8894">
        <v>-77.487399999999994</v>
      </c>
    </row>
    <row r="8895" spans="1:18" x14ac:dyDescent="0.2">
      <c r="A8895" t="s">
        <v>2233</v>
      </c>
      <c r="B8895" t="s">
        <v>440</v>
      </c>
      <c r="C8895">
        <v>1</v>
      </c>
      <c r="D8895" s="1">
        <v>44259.72896990741</v>
      </c>
      <c r="E8895" t="s">
        <v>27883</v>
      </c>
      <c r="F8895" t="s">
        <v>2236</v>
      </c>
      <c r="G8895" t="s">
        <v>27884</v>
      </c>
      <c r="H8895" t="s">
        <v>2237</v>
      </c>
      <c r="I8895" t="s">
        <v>29</v>
      </c>
      <c r="J8895">
        <v>1</v>
      </c>
      <c r="K8895">
        <f>1-833-996-3588</f>
        <v>-5416</v>
      </c>
      <c r="L8895" t="s">
        <v>27885</v>
      </c>
      <c r="M8895" t="s">
        <v>27886</v>
      </c>
      <c r="N8895" t="s">
        <v>5354</v>
      </c>
      <c r="O8895" t="s">
        <v>28</v>
      </c>
      <c r="P8895" t="s">
        <v>29</v>
      </c>
      <c r="Q8895">
        <v>39</v>
      </c>
      <c r="R8895">
        <v>-77.487399999999994</v>
      </c>
    </row>
    <row r="8896" spans="1:18" x14ac:dyDescent="0.2">
      <c r="A8896" t="s">
        <v>439</v>
      </c>
      <c r="B8896" t="s">
        <v>4321</v>
      </c>
      <c r="C8896">
        <v>81</v>
      </c>
      <c r="D8896" s="1">
        <v>44259.7340625</v>
      </c>
      <c r="E8896" t="s">
        <v>27887</v>
      </c>
      <c r="F8896" t="s">
        <v>442</v>
      </c>
      <c r="G8896" t="s">
        <v>27888</v>
      </c>
      <c r="H8896" t="s">
        <v>444</v>
      </c>
      <c r="I8896" t="s">
        <v>53</v>
      </c>
      <c r="J8896">
        <v>81</v>
      </c>
      <c r="K8896">
        <f>81-50-5539-8639</f>
        <v>-14147</v>
      </c>
      <c r="L8896" t="s">
        <v>27889</v>
      </c>
      <c r="M8896" t="s">
        <v>27890</v>
      </c>
      <c r="N8896" t="s">
        <v>674</v>
      </c>
      <c r="O8896" t="s">
        <v>28</v>
      </c>
      <c r="P8896" t="s">
        <v>29</v>
      </c>
      <c r="Q8896">
        <v>42</v>
      </c>
      <c r="R8896">
        <v>-87.629800000000003</v>
      </c>
    </row>
    <row r="8897" spans="1:18" x14ac:dyDescent="0.2">
      <c r="A8897" t="s">
        <v>439</v>
      </c>
      <c r="B8897" t="s">
        <v>4321</v>
      </c>
      <c r="C8897">
        <v>1</v>
      </c>
      <c r="D8897" s="1">
        <v>44259.775370370371</v>
      </c>
      <c r="E8897" t="s">
        <v>27891</v>
      </c>
      <c r="F8897" t="s">
        <v>442</v>
      </c>
      <c r="G8897" t="s">
        <v>27892</v>
      </c>
      <c r="H8897" t="s">
        <v>444</v>
      </c>
      <c r="I8897" t="s">
        <v>29</v>
      </c>
      <c r="J8897">
        <v>1</v>
      </c>
      <c r="K8897">
        <f>1-844-241-5303</f>
        <v>-6387</v>
      </c>
      <c r="L8897" t="s">
        <v>27893</v>
      </c>
      <c r="M8897" t="s">
        <v>27894</v>
      </c>
      <c r="N8897" t="s">
        <v>25195</v>
      </c>
      <c r="O8897" t="s">
        <v>28</v>
      </c>
      <c r="P8897" t="s">
        <v>29</v>
      </c>
      <c r="Q8897">
        <v>42</v>
      </c>
      <c r="R8897">
        <v>-87.629800000000003</v>
      </c>
    </row>
    <row r="8898" spans="1:18" x14ac:dyDescent="0.2">
      <c r="A8898" t="s">
        <v>439</v>
      </c>
      <c r="B8898" t="s">
        <v>4321</v>
      </c>
      <c r="C8898">
        <v>1</v>
      </c>
      <c r="D8898" s="1">
        <v>44259.78979166667</v>
      </c>
      <c r="E8898" t="s">
        <v>27895</v>
      </c>
      <c r="F8898" t="s">
        <v>442</v>
      </c>
      <c r="G8898" t="s">
        <v>27896</v>
      </c>
      <c r="H8898" t="s">
        <v>444</v>
      </c>
      <c r="I8898" t="s">
        <v>29</v>
      </c>
      <c r="J8898">
        <v>1</v>
      </c>
      <c r="K8898">
        <f>1-844-243-4124</f>
        <v>-5210</v>
      </c>
      <c r="L8898" t="s">
        <v>27897</v>
      </c>
      <c r="M8898" t="s">
        <v>27898</v>
      </c>
      <c r="N8898" t="s">
        <v>3441</v>
      </c>
      <c r="O8898" t="s">
        <v>28</v>
      </c>
      <c r="P8898" t="s">
        <v>29</v>
      </c>
      <c r="Q8898">
        <v>42</v>
      </c>
      <c r="R8898">
        <v>-87.629800000000003</v>
      </c>
    </row>
    <row r="8899" spans="1:18" x14ac:dyDescent="0.2">
      <c r="A8899" t="s">
        <v>10660</v>
      </c>
      <c r="B8899" t="s">
        <v>1638</v>
      </c>
      <c r="C8899">
        <v>1</v>
      </c>
      <c r="D8899" s="1">
        <v>44268.990856481483</v>
      </c>
      <c r="E8899" t="s">
        <v>27899</v>
      </c>
      <c r="F8899" t="s">
        <v>11960</v>
      </c>
      <c r="G8899" t="s">
        <v>27900</v>
      </c>
      <c r="H8899" t="s">
        <v>10664</v>
      </c>
      <c r="I8899" t="s">
        <v>29</v>
      </c>
      <c r="J8899">
        <v>1</v>
      </c>
      <c r="K8899">
        <f>1-888-231-5388</f>
        <v>-6506</v>
      </c>
      <c r="L8899" t="s">
        <v>27901</v>
      </c>
      <c r="M8899" t="s">
        <v>27902</v>
      </c>
      <c r="N8899" t="s">
        <v>5468</v>
      </c>
      <c r="O8899" t="s">
        <v>28</v>
      </c>
      <c r="P8899" t="s">
        <v>292</v>
      </c>
      <c r="Q8899">
        <v>49</v>
      </c>
      <c r="R8899">
        <v>2.3281000000000001</v>
      </c>
    </row>
    <row r="8900" spans="1:18" x14ac:dyDescent="0.2">
      <c r="A8900" t="s">
        <v>10660</v>
      </c>
      <c r="B8900" t="s">
        <v>1638</v>
      </c>
      <c r="C8900">
        <v>1</v>
      </c>
      <c r="D8900" s="1">
        <v>44259.791886574072</v>
      </c>
      <c r="E8900" t="s">
        <v>27903</v>
      </c>
      <c r="F8900" t="s">
        <v>11960</v>
      </c>
      <c r="G8900" t="s">
        <v>27900</v>
      </c>
      <c r="H8900" t="s">
        <v>10664</v>
      </c>
      <c r="I8900" t="s">
        <v>29</v>
      </c>
      <c r="J8900">
        <v>1</v>
      </c>
      <c r="K8900">
        <f>1-888-598-8199</f>
        <v>-9684</v>
      </c>
      <c r="L8900" t="s">
        <v>27904</v>
      </c>
      <c r="M8900" t="s">
        <v>27905</v>
      </c>
      <c r="N8900" t="s">
        <v>5468</v>
      </c>
      <c r="O8900" t="s">
        <v>28</v>
      </c>
      <c r="P8900" t="s">
        <v>292</v>
      </c>
      <c r="Q8900">
        <v>49</v>
      </c>
      <c r="R8900">
        <v>2.3281000000000001</v>
      </c>
    </row>
    <row r="8901" spans="1:18" x14ac:dyDescent="0.2">
      <c r="A8901" t="s">
        <v>439</v>
      </c>
      <c r="B8901" t="s">
        <v>4321</v>
      </c>
      <c r="C8901">
        <v>1</v>
      </c>
      <c r="D8901" s="1">
        <v>44259.803495370368</v>
      </c>
      <c r="E8901" t="s">
        <v>27906</v>
      </c>
      <c r="F8901" t="s">
        <v>442</v>
      </c>
      <c r="G8901" t="s">
        <v>27907</v>
      </c>
      <c r="H8901" t="s">
        <v>444</v>
      </c>
      <c r="I8901" t="s">
        <v>29</v>
      </c>
      <c r="J8901">
        <v>1</v>
      </c>
      <c r="K8901">
        <f>1-888-857-6749</f>
        <v>-8493</v>
      </c>
      <c r="L8901" t="s">
        <v>27908</v>
      </c>
      <c r="M8901" t="s">
        <v>27909</v>
      </c>
      <c r="N8901" t="s">
        <v>452</v>
      </c>
      <c r="O8901" t="s">
        <v>28</v>
      </c>
      <c r="P8901" t="s">
        <v>29</v>
      </c>
      <c r="Q8901">
        <v>42</v>
      </c>
      <c r="R8901">
        <v>-87.629800000000003</v>
      </c>
    </row>
    <row r="8902" spans="1:18" x14ac:dyDescent="0.2">
      <c r="A8902" t="s">
        <v>439</v>
      </c>
      <c r="B8902" t="s">
        <v>4321</v>
      </c>
      <c r="C8902">
        <v>1</v>
      </c>
      <c r="D8902" s="1">
        <v>44259.807175925926</v>
      </c>
      <c r="E8902" t="s">
        <v>27910</v>
      </c>
      <c r="F8902" t="s">
        <v>442</v>
      </c>
      <c r="G8902" t="s">
        <v>27911</v>
      </c>
      <c r="H8902" t="s">
        <v>444</v>
      </c>
      <c r="I8902" t="s">
        <v>29</v>
      </c>
      <c r="J8902">
        <v>1</v>
      </c>
      <c r="K8902">
        <f>1-844-400-803</f>
        <v>-2046</v>
      </c>
      <c r="L8902" t="s">
        <v>27912</v>
      </c>
      <c r="M8902" t="s">
        <v>27913</v>
      </c>
      <c r="N8902" t="s">
        <v>447</v>
      </c>
      <c r="O8902" t="s">
        <v>28</v>
      </c>
      <c r="P8902" t="s">
        <v>29</v>
      </c>
      <c r="Q8902">
        <v>42</v>
      </c>
      <c r="R8902">
        <v>-87.629800000000003</v>
      </c>
    </row>
    <row r="8903" spans="1:18" x14ac:dyDescent="0.2">
      <c r="A8903" t="s">
        <v>663</v>
      </c>
      <c r="B8903" t="s">
        <v>3245</v>
      </c>
      <c r="C8903">
        <v>1</v>
      </c>
      <c r="D8903" s="1">
        <v>44259.812673611108</v>
      </c>
      <c r="E8903" t="s">
        <v>27914</v>
      </c>
      <c r="F8903" t="s">
        <v>666</v>
      </c>
      <c r="G8903" t="s">
        <v>27914</v>
      </c>
      <c r="H8903" t="s">
        <v>667</v>
      </c>
      <c r="I8903" t="s">
        <v>29</v>
      </c>
      <c r="J8903">
        <v>1</v>
      </c>
      <c r="K8903">
        <f>1-844-303-6507</f>
        <v>-7653</v>
      </c>
      <c r="L8903" t="s">
        <v>27915</v>
      </c>
      <c r="M8903" t="s">
        <v>27916</v>
      </c>
      <c r="N8903">
        <v>206</v>
      </c>
      <c r="O8903" t="s">
        <v>134</v>
      </c>
      <c r="P8903" t="s">
        <v>29</v>
      </c>
      <c r="Q8903">
        <v>41</v>
      </c>
      <c r="R8903">
        <v>-74.140299999999996</v>
      </c>
    </row>
    <row r="8904" spans="1:18" x14ac:dyDescent="0.2">
      <c r="A8904" t="s">
        <v>439</v>
      </c>
      <c r="B8904" t="s">
        <v>4321</v>
      </c>
      <c r="C8904">
        <v>1</v>
      </c>
      <c r="D8904" s="1">
        <v>44259.822650462964</v>
      </c>
      <c r="E8904" t="s">
        <v>27917</v>
      </c>
      <c r="F8904" t="s">
        <v>442</v>
      </c>
      <c r="G8904" t="s">
        <v>27918</v>
      </c>
      <c r="H8904" t="s">
        <v>444</v>
      </c>
      <c r="I8904" t="s">
        <v>29</v>
      </c>
      <c r="J8904">
        <v>1</v>
      </c>
      <c r="K8904">
        <f>1-888-383-7830</f>
        <v>-9100</v>
      </c>
      <c r="L8904" t="s">
        <v>27919</v>
      </c>
      <c r="M8904" t="s">
        <v>27920</v>
      </c>
      <c r="N8904" t="s">
        <v>452</v>
      </c>
      <c r="O8904" t="s">
        <v>28</v>
      </c>
      <c r="P8904" t="s">
        <v>29</v>
      </c>
      <c r="Q8904">
        <v>42</v>
      </c>
      <c r="R8904">
        <v>-87.629800000000003</v>
      </c>
    </row>
    <row r="8905" spans="1:18" x14ac:dyDescent="0.2">
      <c r="A8905" t="s">
        <v>663</v>
      </c>
      <c r="B8905" t="s">
        <v>2500</v>
      </c>
      <c r="C8905">
        <v>1</v>
      </c>
      <c r="D8905" s="1">
        <v>44259.846041666664</v>
      </c>
      <c r="E8905" t="s">
        <v>27921</v>
      </c>
      <c r="F8905" t="s">
        <v>666</v>
      </c>
      <c r="G8905" t="s">
        <v>27921</v>
      </c>
      <c r="H8905" t="s">
        <v>667</v>
      </c>
      <c r="I8905" t="s">
        <v>29</v>
      </c>
      <c r="J8905">
        <v>1</v>
      </c>
      <c r="K8905">
        <f>1-844-276-567</f>
        <v>-1686</v>
      </c>
      <c r="L8905" t="s">
        <v>27922</v>
      </c>
      <c r="M8905" t="s">
        <v>27923</v>
      </c>
      <c r="N8905">
        <v>74</v>
      </c>
      <c r="O8905" t="s">
        <v>134</v>
      </c>
      <c r="P8905" t="s">
        <v>2500</v>
      </c>
      <c r="Q8905">
        <v>1</v>
      </c>
      <c r="R8905">
        <v>99.999999000000003</v>
      </c>
    </row>
    <row r="8906" spans="1:18" x14ac:dyDescent="0.2">
      <c r="A8906" t="s">
        <v>663</v>
      </c>
      <c r="B8906" t="s">
        <v>2500</v>
      </c>
      <c r="C8906">
        <v>1</v>
      </c>
      <c r="D8906" s="1">
        <v>44259.842094907406</v>
      </c>
      <c r="E8906" t="s">
        <v>27921</v>
      </c>
      <c r="F8906" t="s">
        <v>666</v>
      </c>
      <c r="G8906" t="s">
        <v>27921</v>
      </c>
      <c r="H8906" t="s">
        <v>667</v>
      </c>
      <c r="I8906" t="s">
        <v>29</v>
      </c>
      <c r="J8906">
        <v>1</v>
      </c>
      <c r="K8906">
        <f>1-888-339-1694</f>
        <v>-2920</v>
      </c>
      <c r="L8906" t="s">
        <v>27924</v>
      </c>
      <c r="M8906" t="s">
        <v>27923</v>
      </c>
      <c r="N8906">
        <v>74</v>
      </c>
      <c r="O8906" t="s">
        <v>134</v>
      </c>
      <c r="P8906" t="s">
        <v>2500</v>
      </c>
      <c r="Q8906">
        <v>1</v>
      </c>
      <c r="R8906">
        <v>99.999999000000003</v>
      </c>
    </row>
    <row r="8907" spans="1:18" x14ac:dyDescent="0.2">
      <c r="A8907" t="s">
        <v>439</v>
      </c>
      <c r="B8907" t="s">
        <v>4321</v>
      </c>
      <c r="C8907">
        <v>1</v>
      </c>
      <c r="D8907" s="1">
        <v>44259.9062962963</v>
      </c>
      <c r="E8907" t="s">
        <v>27925</v>
      </c>
      <c r="F8907" t="s">
        <v>442</v>
      </c>
      <c r="G8907" t="s">
        <v>27926</v>
      </c>
      <c r="H8907" t="s">
        <v>444</v>
      </c>
      <c r="I8907" t="s">
        <v>29</v>
      </c>
      <c r="J8907">
        <v>1</v>
      </c>
      <c r="K8907">
        <f>1-844-233-5619</f>
        <v>-6695</v>
      </c>
      <c r="L8907" t="s">
        <v>27927</v>
      </c>
      <c r="M8907" t="s">
        <v>27928</v>
      </c>
      <c r="N8907" t="s">
        <v>3441</v>
      </c>
      <c r="O8907" t="s">
        <v>28</v>
      </c>
      <c r="P8907" t="s">
        <v>29</v>
      </c>
      <c r="Q8907">
        <v>42</v>
      </c>
      <c r="R8907">
        <v>-87.629800000000003</v>
      </c>
    </row>
    <row r="8908" spans="1:18" x14ac:dyDescent="0.2">
      <c r="A8908" t="s">
        <v>439</v>
      </c>
      <c r="B8908" t="s">
        <v>4321</v>
      </c>
      <c r="C8908">
        <v>1</v>
      </c>
      <c r="D8908" s="1">
        <v>44259.944293981483</v>
      </c>
      <c r="E8908" t="s">
        <v>27929</v>
      </c>
      <c r="F8908" t="s">
        <v>442</v>
      </c>
      <c r="G8908" t="s">
        <v>27930</v>
      </c>
      <c r="H8908" t="s">
        <v>444</v>
      </c>
      <c r="I8908" t="s">
        <v>29</v>
      </c>
      <c r="J8908">
        <v>1</v>
      </c>
      <c r="K8908">
        <f>1-844-243-5134</f>
        <v>-6220</v>
      </c>
      <c r="L8908" t="s">
        <v>27931</v>
      </c>
      <c r="M8908" t="s">
        <v>27932</v>
      </c>
      <c r="N8908" t="s">
        <v>447</v>
      </c>
      <c r="O8908" t="s">
        <v>28</v>
      </c>
      <c r="P8908" t="s">
        <v>29</v>
      </c>
      <c r="Q8908">
        <v>42</v>
      </c>
      <c r="R8908">
        <v>-87.629800000000003</v>
      </c>
    </row>
    <row r="8909" spans="1:18" x14ac:dyDescent="0.2">
      <c r="A8909" t="s">
        <v>439</v>
      </c>
      <c r="B8909" t="s">
        <v>4321</v>
      </c>
      <c r="C8909">
        <v>1</v>
      </c>
      <c r="D8909" s="1">
        <v>44259.946215277778</v>
      </c>
      <c r="E8909" t="s">
        <v>27929</v>
      </c>
      <c r="F8909" t="s">
        <v>442</v>
      </c>
      <c r="G8909" t="s">
        <v>27933</v>
      </c>
      <c r="H8909" t="s">
        <v>444</v>
      </c>
      <c r="I8909" t="s">
        <v>29</v>
      </c>
      <c r="J8909">
        <v>1</v>
      </c>
      <c r="K8909">
        <f>1-844-396-9656</f>
        <v>-10895</v>
      </c>
      <c r="L8909" t="s">
        <v>27934</v>
      </c>
      <c r="M8909" t="s">
        <v>27935</v>
      </c>
      <c r="N8909" t="s">
        <v>447</v>
      </c>
      <c r="O8909" t="s">
        <v>28</v>
      </c>
      <c r="P8909" t="s">
        <v>29</v>
      </c>
      <c r="Q8909">
        <v>42</v>
      </c>
      <c r="R8909">
        <v>-87.629800000000003</v>
      </c>
    </row>
    <row r="8910" spans="1:18" x14ac:dyDescent="0.2">
      <c r="A8910" t="s">
        <v>439</v>
      </c>
      <c r="B8910" t="s">
        <v>4321</v>
      </c>
      <c r="C8910">
        <v>1</v>
      </c>
      <c r="D8910" s="1">
        <v>44260.742731481485</v>
      </c>
      <c r="E8910" t="s">
        <v>27936</v>
      </c>
      <c r="F8910" t="s">
        <v>442</v>
      </c>
      <c r="G8910" t="s">
        <v>27937</v>
      </c>
      <c r="H8910" t="s">
        <v>444</v>
      </c>
      <c r="I8910" t="s">
        <v>29</v>
      </c>
      <c r="J8910">
        <v>1</v>
      </c>
      <c r="K8910">
        <f>1-888-383-7830</f>
        <v>-9100</v>
      </c>
      <c r="L8910" t="s">
        <v>27938</v>
      </c>
      <c r="M8910" t="s">
        <v>27939</v>
      </c>
      <c r="N8910" t="s">
        <v>452</v>
      </c>
      <c r="O8910" t="s">
        <v>28</v>
      </c>
      <c r="P8910" t="s">
        <v>29</v>
      </c>
      <c r="Q8910">
        <v>42</v>
      </c>
      <c r="R8910">
        <v>-87.629800000000003</v>
      </c>
    </row>
    <row r="8911" spans="1:18" x14ac:dyDescent="0.2">
      <c r="A8911" t="s">
        <v>2233</v>
      </c>
      <c r="B8911" t="s">
        <v>440</v>
      </c>
      <c r="C8911">
        <v>1</v>
      </c>
      <c r="D8911" s="1">
        <v>44260.394780092596</v>
      </c>
      <c r="E8911" t="s">
        <v>27940</v>
      </c>
      <c r="F8911" t="s">
        <v>2236</v>
      </c>
      <c r="G8911" t="s">
        <v>27941</v>
      </c>
      <c r="H8911" t="s">
        <v>2237</v>
      </c>
      <c r="I8911" t="s">
        <v>29</v>
      </c>
      <c r="J8911">
        <v>1</v>
      </c>
      <c r="K8911">
        <f>1-877-762-299</f>
        <v>-1937</v>
      </c>
      <c r="L8911" t="s">
        <v>27942</v>
      </c>
      <c r="M8911" t="s">
        <v>27943</v>
      </c>
      <c r="N8911" t="s">
        <v>5354</v>
      </c>
      <c r="O8911" t="s">
        <v>28</v>
      </c>
      <c r="P8911" t="s">
        <v>29</v>
      </c>
      <c r="Q8911">
        <v>39</v>
      </c>
      <c r="R8911">
        <v>-77.487399999999994</v>
      </c>
    </row>
    <row r="8912" spans="1:18" x14ac:dyDescent="0.2">
      <c r="A8912" t="s">
        <v>2233</v>
      </c>
      <c r="B8912" t="s">
        <v>17027</v>
      </c>
      <c r="C8912">
        <v>1</v>
      </c>
      <c r="D8912" s="1">
        <v>44260.531458333331</v>
      </c>
      <c r="E8912" t="s">
        <v>27944</v>
      </c>
      <c r="F8912" t="s">
        <v>2236</v>
      </c>
      <c r="G8912" t="s">
        <v>27945</v>
      </c>
      <c r="H8912" t="s">
        <v>2237</v>
      </c>
      <c r="I8912" t="s">
        <v>29</v>
      </c>
      <c r="J8912">
        <v>1</v>
      </c>
      <c r="K8912">
        <f>1-877-762-299</f>
        <v>-1937</v>
      </c>
      <c r="L8912" t="s">
        <v>27946</v>
      </c>
      <c r="M8912" t="s">
        <v>27947</v>
      </c>
      <c r="N8912" t="s">
        <v>5354</v>
      </c>
      <c r="O8912" t="s">
        <v>28</v>
      </c>
      <c r="P8912" t="s">
        <v>5789</v>
      </c>
      <c r="Q8912">
        <v>19</v>
      </c>
      <c r="R8912">
        <v>72.877700000000004</v>
      </c>
    </row>
    <row r="8913" spans="1:18" x14ac:dyDescent="0.2">
      <c r="A8913" t="s">
        <v>663</v>
      </c>
      <c r="B8913" t="s">
        <v>4281</v>
      </c>
      <c r="C8913">
        <v>1</v>
      </c>
      <c r="D8913" s="1">
        <v>44260.541319444441</v>
      </c>
      <c r="E8913" t="s">
        <v>27948</v>
      </c>
      <c r="F8913" t="s">
        <v>666</v>
      </c>
      <c r="G8913" t="s">
        <v>27949</v>
      </c>
      <c r="H8913" t="s">
        <v>667</v>
      </c>
      <c r="I8913" t="s">
        <v>29</v>
      </c>
      <c r="J8913">
        <v>1</v>
      </c>
      <c r="K8913">
        <f>1-877-762-299</f>
        <v>-1937</v>
      </c>
      <c r="L8913" t="s">
        <v>27950</v>
      </c>
      <c r="M8913" t="s">
        <v>27951</v>
      </c>
      <c r="N8913" t="s">
        <v>36</v>
      </c>
      <c r="O8913" t="s">
        <v>28</v>
      </c>
      <c r="P8913" t="s">
        <v>24</v>
      </c>
      <c r="Q8913">
        <v>50</v>
      </c>
      <c r="R8913">
        <v>8.6843000000000004</v>
      </c>
    </row>
    <row r="8914" spans="1:18" x14ac:dyDescent="0.2">
      <c r="A8914" t="s">
        <v>2233</v>
      </c>
      <c r="B8914" t="s">
        <v>440</v>
      </c>
      <c r="C8914">
        <v>1</v>
      </c>
      <c r="D8914" s="1">
        <v>44260.542881944442</v>
      </c>
      <c r="E8914" t="s">
        <v>27952</v>
      </c>
      <c r="F8914" t="s">
        <v>2236</v>
      </c>
      <c r="G8914" t="s">
        <v>27953</v>
      </c>
      <c r="H8914" t="s">
        <v>2237</v>
      </c>
      <c r="I8914" t="s">
        <v>29</v>
      </c>
      <c r="J8914">
        <v>1</v>
      </c>
      <c r="K8914">
        <f>1-877-762-299</f>
        <v>-1937</v>
      </c>
      <c r="L8914" t="s">
        <v>27954</v>
      </c>
      <c r="M8914" t="s">
        <v>27955</v>
      </c>
      <c r="N8914" t="s">
        <v>5354</v>
      </c>
      <c r="O8914" t="s">
        <v>28</v>
      </c>
      <c r="P8914" t="s">
        <v>29</v>
      </c>
      <c r="Q8914">
        <v>39</v>
      </c>
      <c r="R8914">
        <v>-77.487399999999994</v>
      </c>
    </row>
    <row r="8915" spans="1:18" x14ac:dyDescent="0.2">
      <c r="A8915" t="s">
        <v>2233</v>
      </c>
      <c r="B8915" t="s">
        <v>440</v>
      </c>
      <c r="C8915">
        <v>1</v>
      </c>
      <c r="D8915" s="1">
        <v>44260.598414351851</v>
      </c>
      <c r="E8915" t="s">
        <v>27956</v>
      </c>
      <c r="F8915" t="s">
        <v>2236</v>
      </c>
      <c r="G8915" t="s">
        <v>27957</v>
      </c>
      <c r="H8915" t="s">
        <v>2237</v>
      </c>
      <c r="I8915" t="s">
        <v>29</v>
      </c>
      <c r="J8915">
        <v>1</v>
      </c>
      <c r="K8915">
        <f>1-855-335-1047</f>
        <v>-2236</v>
      </c>
      <c r="L8915">
        <v>6042306534870</v>
      </c>
      <c r="M8915" t="s">
        <v>27958</v>
      </c>
      <c r="N8915" t="s">
        <v>5354</v>
      </c>
      <c r="O8915" t="s">
        <v>28</v>
      </c>
      <c r="P8915" t="s">
        <v>29</v>
      </c>
      <c r="Q8915">
        <v>39</v>
      </c>
      <c r="R8915">
        <v>-77.487399999999994</v>
      </c>
    </row>
    <row r="8916" spans="1:18" x14ac:dyDescent="0.2">
      <c r="A8916" t="s">
        <v>439</v>
      </c>
      <c r="B8916" t="s">
        <v>4321</v>
      </c>
      <c r="C8916">
        <v>1</v>
      </c>
      <c r="D8916" s="1">
        <v>44260.713750000003</v>
      </c>
      <c r="E8916" t="s">
        <v>27959</v>
      </c>
      <c r="F8916" t="s">
        <v>442</v>
      </c>
      <c r="G8916" t="s">
        <v>27960</v>
      </c>
      <c r="H8916" t="s">
        <v>444</v>
      </c>
      <c r="I8916" t="s">
        <v>29</v>
      </c>
      <c r="J8916">
        <v>1</v>
      </c>
      <c r="K8916">
        <f>1-888-383-7830</f>
        <v>-9100</v>
      </c>
      <c r="L8916" t="s">
        <v>27961</v>
      </c>
      <c r="M8916" t="s">
        <v>27962</v>
      </c>
      <c r="N8916" t="s">
        <v>452</v>
      </c>
      <c r="O8916" t="s">
        <v>28</v>
      </c>
      <c r="P8916" t="s">
        <v>29</v>
      </c>
      <c r="Q8916">
        <v>42</v>
      </c>
      <c r="R8916">
        <v>-87.629800000000003</v>
      </c>
    </row>
    <row r="8917" spans="1:18" x14ac:dyDescent="0.2">
      <c r="A8917" t="s">
        <v>663</v>
      </c>
      <c r="B8917" t="s">
        <v>3245</v>
      </c>
      <c r="C8917">
        <v>1</v>
      </c>
      <c r="D8917" s="1">
        <v>44260.784583333334</v>
      </c>
      <c r="E8917" t="s">
        <v>27963</v>
      </c>
      <c r="F8917" t="s">
        <v>666</v>
      </c>
      <c r="G8917" t="s">
        <v>27963</v>
      </c>
      <c r="H8917" t="s">
        <v>667</v>
      </c>
      <c r="I8917" t="s">
        <v>29</v>
      </c>
      <c r="J8917">
        <v>1</v>
      </c>
      <c r="K8917">
        <f>1-888-594-478</f>
        <v>-1959</v>
      </c>
      <c r="L8917" t="s">
        <v>27964</v>
      </c>
      <c r="M8917" t="s">
        <v>27965</v>
      </c>
      <c r="N8917">
        <v>77</v>
      </c>
      <c r="O8917" t="s">
        <v>134</v>
      </c>
      <c r="P8917" t="s">
        <v>29</v>
      </c>
      <c r="Q8917">
        <v>41</v>
      </c>
      <c r="R8917">
        <v>-74.140299999999996</v>
      </c>
    </row>
    <row r="8918" spans="1:18" x14ac:dyDescent="0.2">
      <c r="A8918" t="s">
        <v>439</v>
      </c>
      <c r="B8918" t="s">
        <v>4321</v>
      </c>
      <c r="C8918">
        <v>81</v>
      </c>
      <c r="D8918" s="1">
        <v>44260.80059027778</v>
      </c>
      <c r="E8918" t="s">
        <v>27966</v>
      </c>
      <c r="F8918" t="s">
        <v>442</v>
      </c>
      <c r="G8918" t="s">
        <v>27967</v>
      </c>
      <c r="H8918" t="s">
        <v>444</v>
      </c>
      <c r="I8918" t="s">
        <v>53</v>
      </c>
      <c r="J8918">
        <v>81</v>
      </c>
      <c r="K8918">
        <f>81-50-3198-9318</f>
        <v>-12485</v>
      </c>
      <c r="L8918" t="s">
        <v>27968</v>
      </c>
      <c r="M8918" t="s">
        <v>27969</v>
      </c>
      <c r="N8918" t="s">
        <v>674</v>
      </c>
      <c r="O8918" t="s">
        <v>28</v>
      </c>
      <c r="P8918" t="s">
        <v>29</v>
      </c>
      <c r="Q8918">
        <v>42</v>
      </c>
      <c r="R8918">
        <v>-87.629800000000003</v>
      </c>
    </row>
    <row r="8919" spans="1:18" x14ac:dyDescent="0.2">
      <c r="A8919" t="s">
        <v>439</v>
      </c>
      <c r="B8919" t="s">
        <v>4321</v>
      </c>
      <c r="C8919">
        <v>1</v>
      </c>
      <c r="D8919" s="1">
        <v>44260.807708333334</v>
      </c>
      <c r="E8919" t="s">
        <v>27970</v>
      </c>
      <c r="F8919" t="s">
        <v>442</v>
      </c>
      <c r="G8919" t="s">
        <v>27971</v>
      </c>
      <c r="H8919" t="s">
        <v>444</v>
      </c>
      <c r="I8919" t="s">
        <v>29</v>
      </c>
      <c r="J8919">
        <v>1</v>
      </c>
      <c r="K8919">
        <f>1-833-220-3836</f>
        <v>-4888</v>
      </c>
      <c r="L8919">
        <v>6042770886726</v>
      </c>
      <c r="M8919" t="s">
        <v>27972</v>
      </c>
      <c r="N8919" t="s">
        <v>452</v>
      </c>
      <c r="O8919" t="s">
        <v>28</v>
      </c>
      <c r="P8919" t="s">
        <v>29</v>
      </c>
      <c r="Q8919">
        <v>42</v>
      </c>
      <c r="R8919">
        <v>-87.629800000000003</v>
      </c>
    </row>
    <row r="8920" spans="1:18" x14ac:dyDescent="0.2">
      <c r="A8920" t="s">
        <v>439</v>
      </c>
      <c r="B8920" t="s">
        <v>4321</v>
      </c>
      <c r="C8920">
        <v>1</v>
      </c>
      <c r="D8920" s="1">
        <v>44260.831030092595</v>
      </c>
      <c r="E8920" t="s">
        <v>27973</v>
      </c>
      <c r="F8920" t="s">
        <v>442</v>
      </c>
      <c r="G8920" t="s">
        <v>27974</v>
      </c>
      <c r="H8920" t="s">
        <v>444</v>
      </c>
      <c r="I8920" t="s">
        <v>29</v>
      </c>
      <c r="J8920">
        <v>1</v>
      </c>
      <c r="K8920">
        <f>1-844-342-787</f>
        <v>-1972</v>
      </c>
      <c r="L8920" t="s">
        <v>27975</v>
      </c>
      <c r="M8920" t="s">
        <v>27976</v>
      </c>
      <c r="N8920" t="s">
        <v>3441</v>
      </c>
      <c r="O8920" t="s">
        <v>28</v>
      </c>
      <c r="P8920" t="s">
        <v>29</v>
      </c>
      <c r="Q8920">
        <v>42</v>
      </c>
      <c r="R8920">
        <v>-87.629800000000003</v>
      </c>
    </row>
    <row r="8921" spans="1:18" x14ac:dyDescent="0.2">
      <c r="A8921" t="s">
        <v>439</v>
      </c>
      <c r="B8921" t="s">
        <v>4321</v>
      </c>
      <c r="C8921">
        <v>1</v>
      </c>
      <c r="D8921" s="1">
        <v>44260.852754629632</v>
      </c>
      <c r="E8921" t="s">
        <v>27977</v>
      </c>
      <c r="F8921" t="s">
        <v>442</v>
      </c>
      <c r="G8921" t="s">
        <v>27978</v>
      </c>
      <c r="H8921" t="s">
        <v>444</v>
      </c>
      <c r="I8921" t="s">
        <v>29</v>
      </c>
      <c r="J8921">
        <v>1</v>
      </c>
      <c r="K8921">
        <f>1-844-318-4343</f>
        <v>-5504</v>
      </c>
      <c r="L8921" t="s">
        <v>27979</v>
      </c>
      <c r="M8921" t="s">
        <v>27980</v>
      </c>
      <c r="N8921" t="s">
        <v>447</v>
      </c>
      <c r="O8921" t="s">
        <v>28</v>
      </c>
      <c r="P8921" t="s">
        <v>29</v>
      </c>
      <c r="Q8921">
        <v>42</v>
      </c>
      <c r="R8921">
        <v>-87.629800000000003</v>
      </c>
    </row>
    <row r="8922" spans="1:18" x14ac:dyDescent="0.2">
      <c r="A8922" t="s">
        <v>439</v>
      </c>
      <c r="B8922" t="s">
        <v>4321</v>
      </c>
      <c r="C8922">
        <v>1</v>
      </c>
      <c r="D8922" s="1">
        <v>44260.83630787037</v>
      </c>
      <c r="E8922" t="s">
        <v>27977</v>
      </c>
      <c r="F8922" t="s">
        <v>442</v>
      </c>
      <c r="G8922" t="s">
        <v>27978</v>
      </c>
      <c r="H8922" t="s">
        <v>444</v>
      </c>
      <c r="I8922" t="s">
        <v>29</v>
      </c>
      <c r="J8922">
        <v>1</v>
      </c>
      <c r="K8922">
        <f>1-844-325-3348</f>
        <v>-4516</v>
      </c>
      <c r="L8922" t="s">
        <v>27981</v>
      </c>
      <c r="M8922" t="s">
        <v>27982</v>
      </c>
      <c r="N8922" t="s">
        <v>447</v>
      </c>
      <c r="O8922" t="s">
        <v>28</v>
      </c>
      <c r="P8922" t="s">
        <v>29</v>
      </c>
      <c r="Q8922">
        <v>42</v>
      </c>
      <c r="R8922">
        <v>-87.629800000000003</v>
      </c>
    </row>
    <row r="8923" spans="1:18" x14ac:dyDescent="0.2">
      <c r="A8923" t="s">
        <v>439</v>
      </c>
      <c r="B8923" t="s">
        <v>4321</v>
      </c>
      <c r="C8923">
        <v>1</v>
      </c>
      <c r="D8923" s="1">
        <v>44260.837245370371</v>
      </c>
      <c r="E8923" t="s">
        <v>27983</v>
      </c>
      <c r="F8923" t="s">
        <v>442</v>
      </c>
      <c r="G8923" t="s">
        <v>27984</v>
      </c>
      <c r="H8923" t="s">
        <v>444</v>
      </c>
      <c r="I8923" t="s">
        <v>29</v>
      </c>
      <c r="J8923">
        <v>1</v>
      </c>
      <c r="K8923">
        <f>1-844-381-6580</f>
        <v>-7804</v>
      </c>
      <c r="L8923" t="s">
        <v>27985</v>
      </c>
      <c r="M8923" t="s">
        <v>27986</v>
      </c>
      <c r="N8923" t="s">
        <v>447</v>
      </c>
      <c r="O8923" t="s">
        <v>28</v>
      </c>
      <c r="P8923" t="s">
        <v>29</v>
      </c>
      <c r="Q8923">
        <v>42</v>
      </c>
      <c r="R8923">
        <v>-87.629800000000003</v>
      </c>
    </row>
    <row r="8924" spans="1:18" x14ac:dyDescent="0.2">
      <c r="A8924" t="s">
        <v>439</v>
      </c>
      <c r="B8924" t="s">
        <v>4321</v>
      </c>
      <c r="C8924">
        <v>1</v>
      </c>
      <c r="D8924" s="1">
        <v>44260.841481481482</v>
      </c>
      <c r="E8924" t="s">
        <v>27987</v>
      </c>
      <c r="F8924" t="s">
        <v>442</v>
      </c>
      <c r="G8924" t="s">
        <v>27988</v>
      </c>
      <c r="H8924" t="s">
        <v>444</v>
      </c>
      <c r="I8924" t="s">
        <v>29</v>
      </c>
      <c r="J8924">
        <v>1</v>
      </c>
      <c r="K8924">
        <f>1-888-633-483</f>
        <v>-2003</v>
      </c>
      <c r="L8924" s="2" t="s">
        <v>27989</v>
      </c>
      <c r="M8924" t="s">
        <v>27990</v>
      </c>
      <c r="N8924" t="s">
        <v>452</v>
      </c>
      <c r="O8924" t="s">
        <v>28</v>
      </c>
      <c r="P8924" t="s">
        <v>29</v>
      </c>
      <c r="Q8924">
        <v>42</v>
      </c>
      <c r="R8924">
        <v>-87.629800000000003</v>
      </c>
    </row>
    <row r="8925" spans="1:18" x14ac:dyDescent="0.2">
      <c r="A8925" t="s">
        <v>439</v>
      </c>
      <c r="B8925" t="s">
        <v>4321</v>
      </c>
      <c r="C8925">
        <v>1</v>
      </c>
      <c r="D8925" s="1">
        <v>44260.845358796294</v>
      </c>
      <c r="E8925" t="s">
        <v>27977</v>
      </c>
      <c r="F8925" t="s">
        <v>442</v>
      </c>
      <c r="G8925" t="s">
        <v>27991</v>
      </c>
      <c r="H8925" t="s">
        <v>444</v>
      </c>
      <c r="I8925" t="s">
        <v>29</v>
      </c>
      <c r="J8925">
        <v>1</v>
      </c>
      <c r="K8925">
        <f>1-844-248-119</f>
        <v>-1210</v>
      </c>
      <c r="L8925" t="s">
        <v>27992</v>
      </c>
      <c r="M8925" t="s">
        <v>27993</v>
      </c>
      <c r="N8925" t="s">
        <v>447</v>
      </c>
      <c r="O8925" t="s">
        <v>28</v>
      </c>
      <c r="P8925" t="s">
        <v>29</v>
      </c>
      <c r="Q8925">
        <v>42</v>
      </c>
      <c r="R8925">
        <v>-87.629800000000003</v>
      </c>
    </row>
    <row r="8926" spans="1:18" x14ac:dyDescent="0.2">
      <c r="A8926" t="s">
        <v>663</v>
      </c>
      <c r="B8926" t="s">
        <v>2500</v>
      </c>
      <c r="C8926">
        <v>1</v>
      </c>
      <c r="D8926" s="1">
        <v>44260.856620370374</v>
      </c>
      <c r="E8926" t="s">
        <v>27994</v>
      </c>
      <c r="F8926" t="s">
        <v>666</v>
      </c>
      <c r="G8926" t="s">
        <v>27994</v>
      </c>
      <c r="H8926" t="s">
        <v>667</v>
      </c>
      <c r="I8926" t="s">
        <v>29</v>
      </c>
      <c r="J8926">
        <v>1</v>
      </c>
      <c r="K8926">
        <f>1-844-276-6402</f>
        <v>-7521</v>
      </c>
      <c r="L8926" t="s">
        <v>27995</v>
      </c>
      <c r="M8926" t="s">
        <v>27996</v>
      </c>
      <c r="N8926">
        <v>193</v>
      </c>
      <c r="O8926" t="s">
        <v>134</v>
      </c>
      <c r="P8926" t="s">
        <v>2500</v>
      </c>
      <c r="Q8926">
        <v>1</v>
      </c>
      <c r="R8926">
        <v>99.999999000000003</v>
      </c>
    </row>
    <row r="8927" spans="1:18" x14ac:dyDescent="0.2">
      <c r="A8927" t="s">
        <v>663</v>
      </c>
      <c r="B8927" t="s">
        <v>2500</v>
      </c>
      <c r="C8927">
        <v>1</v>
      </c>
      <c r="D8927" s="1">
        <v>44260.855752314812</v>
      </c>
      <c r="E8927" t="s">
        <v>27994</v>
      </c>
      <c r="F8927" t="s">
        <v>666</v>
      </c>
      <c r="G8927" t="s">
        <v>27994</v>
      </c>
      <c r="H8927" t="s">
        <v>667</v>
      </c>
      <c r="I8927" t="s">
        <v>29</v>
      </c>
      <c r="J8927">
        <v>1</v>
      </c>
      <c r="K8927">
        <f>1-888-298-106</f>
        <v>-1291</v>
      </c>
      <c r="L8927" t="s">
        <v>27997</v>
      </c>
      <c r="M8927" t="s">
        <v>27996</v>
      </c>
      <c r="N8927">
        <v>193</v>
      </c>
      <c r="O8927" t="s">
        <v>134</v>
      </c>
      <c r="P8927" t="s">
        <v>2500</v>
      </c>
      <c r="Q8927">
        <v>1</v>
      </c>
      <c r="R8927">
        <v>99.999999000000003</v>
      </c>
    </row>
    <row r="8928" spans="1:18" x14ac:dyDescent="0.2">
      <c r="A8928" t="s">
        <v>439</v>
      </c>
      <c r="B8928" t="s">
        <v>4321</v>
      </c>
      <c r="C8928">
        <v>1</v>
      </c>
      <c r="D8928" s="1">
        <v>44260.902870370373</v>
      </c>
      <c r="E8928" t="s">
        <v>27998</v>
      </c>
      <c r="F8928" t="s">
        <v>442</v>
      </c>
      <c r="G8928" t="s">
        <v>27999</v>
      </c>
      <c r="H8928" t="s">
        <v>444</v>
      </c>
      <c r="I8928" t="s">
        <v>29</v>
      </c>
      <c r="J8928">
        <v>1</v>
      </c>
      <c r="K8928">
        <f>1-833-220-3995</f>
        <v>-5047</v>
      </c>
      <c r="L8928" t="s">
        <v>28000</v>
      </c>
      <c r="M8928" t="s">
        <v>28001</v>
      </c>
      <c r="N8928" t="s">
        <v>3441</v>
      </c>
      <c r="O8928" t="s">
        <v>28</v>
      </c>
      <c r="P8928" t="s">
        <v>29</v>
      </c>
      <c r="Q8928">
        <v>42</v>
      </c>
      <c r="R8928">
        <v>-87.629800000000003</v>
      </c>
    </row>
    <row r="8929" spans="1:18" x14ac:dyDescent="0.2">
      <c r="A8929" t="s">
        <v>439</v>
      </c>
      <c r="B8929" t="s">
        <v>4321</v>
      </c>
      <c r="C8929">
        <v>1</v>
      </c>
      <c r="D8929" s="1">
        <v>44261.795081018521</v>
      </c>
      <c r="E8929" t="s">
        <v>28002</v>
      </c>
      <c r="F8929" t="s">
        <v>442</v>
      </c>
      <c r="G8929" t="s">
        <v>28003</v>
      </c>
      <c r="H8929" t="s">
        <v>444</v>
      </c>
      <c r="I8929" t="s">
        <v>29</v>
      </c>
      <c r="J8929">
        <v>1</v>
      </c>
      <c r="K8929">
        <f>1-888-633-483</f>
        <v>-2003</v>
      </c>
      <c r="L8929" t="s">
        <v>28004</v>
      </c>
      <c r="M8929" t="s">
        <v>28005</v>
      </c>
      <c r="N8929" t="s">
        <v>452</v>
      </c>
      <c r="O8929" t="s">
        <v>28</v>
      </c>
      <c r="P8929" t="s">
        <v>29</v>
      </c>
      <c r="Q8929">
        <v>42</v>
      </c>
      <c r="R8929">
        <v>-87.629800000000003</v>
      </c>
    </row>
    <row r="8930" spans="1:18" x14ac:dyDescent="0.2">
      <c r="A8930" t="s">
        <v>6287</v>
      </c>
      <c r="B8930" t="s">
        <v>3426</v>
      </c>
      <c r="C8930">
        <v>1</v>
      </c>
      <c r="D8930" s="1">
        <v>44270.748263888891</v>
      </c>
      <c r="E8930" t="s">
        <v>28006</v>
      </c>
      <c r="F8930" t="s">
        <v>6289</v>
      </c>
      <c r="G8930" t="s">
        <v>28007</v>
      </c>
      <c r="H8930" t="s">
        <v>466</v>
      </c>
      <c r="I8930" t="s">
        <v>29</v>
      </c>
      <c r="J8930">
        <v>1</v>
      </c>
      <c r="K8930">
        <f>1-734-328-2308</f>
        <v>-3369</v>
      </c>
      <c r="L8930" t="s">
        <v>28008</v>
      </c>
      <c r="M8930" t="s">
        <v>28009</v>
      </c>
      <c r="N8930" t="s">
        <v>27</v>
      </c>
      <c r="O8930" t="s">
        <v>134</v>
      </c>
      <c r="P8930" t="s">
        <v>29</v>
      </c>
      <c r="Q8930">
        <v>42</v>
      </c>
      <c r="R8930">
        <v>-71.1935</v>
      </c>
    </row>
    <row r="8931" spans="1:18" x14ac:dyDescent="0.2">
      <c r="A8931" t="s">
        <v>6287</v>
      </c>
      <c r="B8931" t="s">
        <v>3426</v>
      </c>
      <c r="C8931">
        <v>44</v>
      </c>
      <c r="D8931" s="1">
        <v>44267.509317129632</v>
      </c>
      <c r="E8931" t="s">
        <v>28010</v>
      </c>
      <c r="F8931" t="s">
        <v>6289</v>
      </c>
      <c r="G8931" t="s">
        <v>28007</v>
      </c>
      <c r="H8931" t="s">
        <v>466</v>
      </c>
      <c r="I8931" t="s">
        <v>618</v>
      </c>
      <c r="J8931">
        <v>44</v>
      </c>
      <c r="K8931">
        <f>44-12-4494-1016</f>
        <v>-5478</v>
      </c>
      <c r="L8931" t="s">
        <v>28011</v>
      </c>
      <c r="M8931" t="s">
        <v>28012</v>
      </c>
      <c r="N8931" t="s">
        <v>3454</v>
      </c>
      <c r="O8931" t="s">
        <v>134</v>
      </c>
      <c r="P8931" t="s">
        <v>29</v>
      </c>
      <c r="Q8931">
        <v>42</v>
      </c>
      <c r="R8931">
        <v>-71.1935</v>
      </c>
    </row>
    <row r="8932" spans="1:18" x14ac:dyDescent="0.2">
      <c r="A8932" t="s">
        <v>6287</v>
      </c>
      <c r="B8932" t="s">
        <v>3426</v>
      </c>
      <c r="C8932">
        <v>43</v>
      </c>
      <c r="D8932" s="1">
        <v>44261.819803240738</v>
      </c>
      <c r="E8932" t="s">
        <v>28013</v>
      </c>
      <c r="F8932" t="s">
        <v>6289</v>
      </c>
      <c r="G8932" t="s">
        <v>28007</v>
      </c>
      <c r="H8932" t="s">
        <v>466</v>
      </c>
      <c r="I8932" t="s">
        <v>3432</v>
      </c>
      <c r="J8932">
        <v>43</v>
      </c>
      <c r="K8932">
        <f>43-670-308-237</f>
        <v>-1172</v>
      </c>
      <c r="L8932" t="s">
        <v>28014</v>
      </c>
      <c r="M8932" t="s">
        <v>28015</v>
      </c>
      <c r="N8932" t="s">
        <v>674</v>
      </c>
      <c r="O8932" t="s">
        <v>134</v>
      </c>
      <c r="P8932" t="s">
        <v>29</v>
      </c>
      <c r="Q8932">
        <v>42</v>
      </c>
      <c r="R8932">
        <v>-71.1935</v>
      </c>
    </row>
    <row r="8933" spans="1:18" x14ac:dyDescent="0.2">
      <c r="A8933" t="s">
        <v>439</v>
      </c>
      <c r="B8933" t="s">
        <v>4321</v>
      </c>
      <c r="C8933">
        <v>1</v>
      </c>
      <c r="D8933" s="1">
        <v>44261.820590277777</v>
      </c>
      <c r="E8933" t="s">
        <v>28016</v>
      </c>
      <c r="F8933" t="s">
        <v>442</v>
      </c>
      <c r="G8933" t="s">
        <v>28017</v>
      </c>
      <c r="H8933" t="s">
        <v>444</v>
      </c>
      <c r="I8933" t="s">
        <v>29</v>
      </c>
      <c r="J8933">
        <v>1</v>
      </c>
      <c r="K8933">
        <f>1-833-220-3978</f>
        <v>-5030</v>
      </c>
      <c r="L8933" t="s">
        <v>28018</v>
      </c>
      <c r="M8933" t="s">
        <v>28019</v>
      </c>
      <c r="N8933" t="s">
        <v>213</v>
      </c>
      <c r="O8933" t="s">
        <v>28</v>
      </c>
      <c r="P8933" t="s">
        <v>29</v>
      </c>
      <c r="Q8933">
        <v>42</v>
      </c>
      <c r="R8933">
        <v>-87.629800000000003</v>
      </c>
    </row>
    <row r="8934" spans="1:18" x14ac:dyDescent="0.2">
      <c r="A8934" t="s">
        <v>663</v>
      </c>
      <c r="B8934" t="s">
        <v>1412</v>
      </c>
      <c r="C8934">
        <v>81</v>
      </c>
      <c r="D8934" s="1">
        <v>44261.897581018522</v>
      </c>
      <c r="E8934" t="s">
        <v>28020</v>
      </c>
      <c r="F8934" t="s">
        <v>2495</v>
      </c>
      <c r="G8934" t="s">
        <v>28021</v>
      </c>
      <c r="H8934" t="s">
        <v>667</v>
      </c>
      <c r="I8934" t="s">
        <v>53</v>
      </c>
      <c r="J8934">
        <v>81</v>
      </c>
      <c r="K8934">
        <f>81-50-5534-9436</f>
        <v>-14939</v>
      </c>
      <c r="L8934" t="s">
        <v>28022</v>
      </c>
      <c r="M8934" t="s">
        <v>28023</v>
      </c>
      <c r="N8934" t="s">
        <v>452</v>
      </c>
      <c r="O8934" t="s">
        <v>28</v>
      </c>
      <c r="P8934" t="s">
        <v>29</v>
      </c>
      <c r="Q8934">
        <v>41</v>
      </c>
      <c r="R8934">
        <v>-74.172399999999996</v>
      </c>
    </row>
    <row r="8935" spans="1:18" x14ac:dyDescent="0.2">
      <c r="A8935" t="s">
        <v>439</v>
      </c>
      <c r="B8935" t="s">
        <v>4321</v>
      </c>
      <c r="C8935">
        <v>81</v>
      </c>
      <c r="D8935" s="1">
        <v>44261.897696759261</v>
      </c>
      <c r="E8935" t="s">
        <v>28024</v>
      </c>
      <c r="F8935" t="s">
        <v>442</v>
      </c>
      <c r="G8935" t="s">
        <v>28025</v>
      </c>
      <c r="H8935" t="s">
        <v>444</v>
      </c>
      <c r="I8935" t="s">
        <v>53</v>
      </c>
      <c r="J8935">
        <v>81</v>
      </c>
      <c r="K8935">
        <f>81-50-5539-1021</f>
        <v>-6529</v>
      </c>
      <c r="L8935" t="s">
        <v>28026</v>
      </c>
      <c r="M8935" t="s">
        <v>28027</v>
      </c>
      <c r="N8935" t="s">
        <v>213</v>
      </c>
      <c r="O8935" t="s">
        <v>28</v>
      </c>
      <c r="P8935" t="s">
        <v>29</v>
      </c>
      <c r="Q8935">
        <v>42</v>
      </c>
      <c r="R8935">
        <v>-87.629800000000003</v>
      </c>
    </row>
    <row r="8936" spans="1:18" x14ac:dyDescent="0.2">
      <c r="A8936" t="s">
        <v>439</v>
      </c>
      <c r="B8936" t="s">
        <v>4321</v>
      </c>
      <c r="C8936">
        <v>81</v>
      </c>
      <c r="D8936" s="1">
        <v>44261.897731481484</v>
      </c>
      <c r="E8936" t="s">
        <v>28028</v>
      </c>
      <c r="F8936" t="s">
        <v>442</v>
      </c>
      <c r="G8936" t="s">
        <v>28029</v>
      </c>
      <c r="H8936" t="s">
        <v>444</v>
      </c>
      <c r="I8936" t="s">
        <v>53</v>
      </c>
      <c r="J8936">
        <v>81</v>
      </c>
      <c r="K8936">
        <f>81-50-3137-1499</f>
        <v>-4605</v>
      </c>
      <c r="L8936" t="s">
        <v>28030</v>
      </c>
      <c r="M8936" t="s">
        <v>28031</v>
      </c>
      <c r="N8936" t="s">
        <v>447</v>
      </c>
      <c r="O8936" t="s">
        <v>28</v>
      </c>
      <c r="P8936" t="s">
        <v>29</v>
      </c>
      <c r="Q8936">
        <v>42</v>
      </c>
      <c r="R8936">
        <v>-87.629800000000003</v>
      </c>
    </row>
    <row r="8937" spans="1:18" x14ac:dyDescent="0.2">
      <c r="A8937" t="s">
        <v>439</v>
      </c>
      <c r="B8937" t="s">
        <v>4321</v>
      </c>
      <c r="C8937">
        <v>81</v>
      </c>
      <c r="D8937" s="1">
        <v>44262.756145833337</v>
      </c>
      <c r="E8937" t="s">
        <v>28032</v>
      </c>
      <c r="F8937" t="s">
        <v>442</v>
      </c>
      <c r="G8937" t="s">
        <v>28033</v>
      </c>
      <c r="H8937" t="s">
        <v>444</v>
      </c>
      <c r="I8937" t="s">
        <v>53</v>
      </c>
      <c r="J8937">
        <v>81</v>
      </c>
      <c r="K8937">
        <f>81-50-5539-9383</f>
        <v>-14891</v>
      </c>
      <c r="L8937" t="s">
        <v>28034</v>
      </c>
      <c r="M8937" t="s">
        <v>28035</v>
      </c>
      <c r="N8937" t="s">
        <v>452</v>
      </c>
      <c r="O8937" t="s">
        <v>134</v>
      </c>
      <c r="P8937" t="s">
        <v>29</v>
      </c>
      <c r="Q8937">
        <v>42</v>
      </c>
      <c r="R8937">
        <v>-87.629800000000003</v>
      </c>
    </row>
    <row r="8938" spans="1:18" x14ac:dyDescent="0.2">
      <c r="A8938" t="s">
        <v>439</v>
      </c>
      <c r="B8938" t="s">
        <v>4321</v>
      </c>
      <c r="C8938">
        <v>81</v>
      </c>
      <c r="D8938" s="1">
        <v>44262.643738425926</v>
      </c>
      <c r="E8938" t="s">
        <v>28032</v>
      </c>
      <c r="F8938" t="s">
        <v>442</v>
      </c>
      <c r="G8938" t="s">
        <v>28033</v>
      </c>
      <c r="H8938" t="s">
        <v>444</v>
      </c>
      <c r="I8938" t="s">
        <v>53</v>
      </c>
      <c r="J8938">
        <v>81</v>
      </c>
      <c r="K8938">
        <f>81-50-5534-9663</f>
        <v>-15166</v>
      </c>
      <c r="L8938" t="s">
        <v>28036</v>
      </c>
      <c r="M8938" t="s">
        <v>28037</v>
      </c>
      <c r="N8938" t="s">
        <v>452</v>
      </c>
      <c r="O8938" t="s">
        <v>134</v>
      </c>
      <c r="P8938" t="s">
        <v>29</v>
      </c>
      <c r="Q8938">
        <v>42</v>
      </c>
      <c r="R8938">
        <v>-87.629800000000003</v>
      </c>
    </row>
    <row r="8939" spans="1:18" x14ac:dyDescent="0.2">
      <c r="A8939" t="s">
        <v>439</v>
      </c>
      <c r="B8939" t="s">
        <v>4321</v>
      </c>
      <c r="C8939">
        <v>81</v>
      </c>
      <c r="D8939" s="1">
        <v>44262.637465277781</v>
      </c>
      <c r="E8939" t="s">
        <v>28032</v>
      </c>
      <c r="F8939" t="s">
        <v>442</v>
      </c>
      <c r="G8939" t="s">
        <v>28033</v>
      </c>
      <c r="H8939" t="s">
        <v>444</v>
      </c>
      <c r="I8939" t="s">
        <v>53</v>
      </c>
      <c r="J8939">
        <v>81</v>
      </c>
      <c r="K8939">
        <f>81-505-806-1324</f>
        <v>-2554</v>
      </c>
      <c r="L8939" t="s">
        <v>28038</v>
      </c>
      <c r="M8939" t="s">
        <v>28039</v>
      </c>
      <c r="N8939" t="s">
        <v>452</v>
      </c>
      <c r="O8939" t="s">
        <v>134</v>
      </c>
      <c r="P8939" t="s">
        <v>29</v>
      </c>
      <c r="Q8939">
        <v>42</v>
      </c>
      <c r="R8939">
        <v>-87.629800000000003</v>
      </c>
    </row>
    <row r="8940" spans="1:18" x14ac:dyDescent="0.2">
      <c r="A8940" t="s">
        <v>439</v>
      </c>
      <c r="B8940" t="s">
        <v>4321</v>
      </c>
      <c r="C8940">
        <v>81</v>
      </c>
      <c r="D8940" s="1">
        <v>44262.636134259257</v>
      </c>
      <c r="E8940" t="s">
        <v>28032</v>
      </c>
      <c r="F8940" t="s">
        <v>442</v>
      </c>
      <c r="G8940" t="s">
        <v>28033</v>
      </c>
      <c r="H8940" t="s">
        <v>444</v>
      </c>
      <c r="I8940" t="s">
        <v>53</v>
      </c>
      <c r="J8940">
        <v>81</v>
      </c>
      <c r="K8940">
        <f>81-505-806-1324</f>
        <v>-2554</v>
      </c>
      <c r="L8940" t="s">
        <v>28040</v>
      </c>
      <c r="M8940" t="s">
        <v>28041</v>
      </c>
      <c r="N8940" t="s">
        <v>452</v>
      </c>
      <c r="O8940" t="s">
        <v>134</v>
      </c>
      <c r="P8940" t="s">
        <v>29</v>
      </c>
      <c r="Q8940">
        <v>42</v>
      </c>
      <c r="R8940">
        <v>-87.629800000000003</v>
      </c>
    </row>
    <row r="8941" spans="1:18" x14ac:dyDescent="0.2">
      <c r="A8941" t="s">
        <v>439</v>
      </c>
      <c r="B8941" t="s">
        <v>4321</v>
      </c>
      <c r="C8941">
        <v>81</v>
      </c>
      <c r="D8941" s="1">
        <v>44262.638032407405</v>
      </c>
      <c r="E8941" t="s">
        <v>28042</v>
      </c>
      <c r="F8941" t="s">
        <v>442</v>
      </c>
      <c r="G8941" t="s">
        <v>28043</v>
      </c>
      <c r="H8941" t="s">
        <v>444</v>
      </c>
      <c r="I8941" t="s">
        <v>53</v>
      </c>
      <c r="J8941">
        <v>81</v>
      </c>
      <c r="K8941">
        <f>81-50-5539-1021</f>
        <v>-6529</v>
      </c>
      <c r="L8941" t="s">
        <v>28044</v>
      </c>
      <c r="M8941" t="s">
        <v>28045</v>
      </c>
      <c r="N8941" t="s">
        <v>447</v>
      </c>
      <c r="O8941" t="s">
        <v>28</v>
      </c>
      <c r="P8941" t="s">
        <v>29</v>
      </c>
      <c r="Q8941">
        <v>42</v>
      </c>
      <c r="R8941">
        <v>-87.629800000000003</v>
      </c>
    </row>
    <row r="8942" spans="1:18" x14ac:dyDescent="0.2">
      <c r="A8942" t="s">
        <v>439</v>
      </c>
      <c r="B8942" t="s">
        <v>4321</v>
      </c>
      <c r="C8942">
        <v>81</v>
      </c>
      <c r="D8942" s="1">
        <v>44262.638680555552</v>
      </c>
      <c r="E8942" t="s">
        <v>28046</v>
      </c>
      <c r="F8942" t="s">
        <v>442</v>
      </c>
      <c r="G8942" t="s">
        <v>28047</v>
      </c>
      <c r="H8942" t="s">
        <v>444</v>
      </c>
      <c r="I8942" t="s">
        <v>53</v>
      </c>
      <c r="J8942">
        <v>81</v>
      </c>
      <c r="K8942">
        <f>81-50-3198-9316</f>
        <v>-12483</v>
      </c>
      <c r="L8942" t="s">
        <v>28048</v>
      </c>
      <c r="M8942" t="s">
        <v>28049</v>
      </c>
      <c r="N8942" t="s">
        <v>213</v>
      </c>
      <c r="O8942" t="s">
        <v>28</v>
      </c>
      <c r="P8942" t="s">
        <v>29</v>
      </c>
      <c r="Q8942">
        <v>42</v>
      </c>
      <c r="R8942">
        <v>-87.629800000000003</v>
      </c>
    </row>
    <row r="8943" spans="1:18" x14ac:dyDescent="0.2">
      <c r="A8943" t="s">
        <v>7005</v>
      </c>
      <c r="B8943" t="s">
        <v>7006</v>
      </c>
      <c r="C8943">
        <v>1</v>
      </c>
      <c r="D8943" s="1">
        <v>44346.501319444447</v>
      </c>
      <c r="E8943" t="s">
        <v>28050</v>
      </c>
      <c r="F8943" t="s">
        <v>7008</v>
      </c>
      <c r="G8943" t="s">
        <v>28051</v>
      </c>
      <c r="H8943" t="s">
        <v>7010</v>
      </c>
      <c r="I8943" t="s">
        <v>29</v>
      </c>
      <c r="J8943">
        <v>1</v>
      </c>
      <c r="K8943">
        <f>1-213-357-5218</f>
        <v>-5787</v>
      </c>
      <c r="L8943" t="s">
        <v>28052</v>
      </c>
      <c r="M8943" t="s">
        <v>28053</v>
      </c>
      <c r="N8943" t="s">
        <v>5354</v>
      </c>
      <c r="O8943" t="s">
        <v>134</v>
      </c>
      <c r="P8943" t="s">
        <v>292</v>
      </c>
      <c r="Q8943">
        <v>51</v>
      </c>
      <c r="R8943">
        <v>2.12554</v>
      </c>
    </row>
    <row r="8944" spans="1:18" x14ac:dyDescent="0.2">
      <c r="A8944" t="s">
        <v>7005</v>
      </c>
      <c r="B8944" t="s">
        <v>7006</v>
      </c>
      <c r="C8944">
        <v>1</v>
      </c>
      <c r="D8944" s="1">
        <v>44262.760023148148</v>
      </c>
      <c r="E8944" t="s">
        <v>28054</v>
      </c>
      <c r="F8944" t="s">
        <v>7008</v>
      </c>
      <c r="G8944" t="s">
        <v>28051</v>
      </c>
      <c r="H8944" t="s">
        <v>7010</v>
      </c>
      <c r="I8944" t="s">
        <v>29</v>
      </c>
      <c r="J8944">
        <v>1</v>
      </c>
      <c r="K8944">
        <f>1-213-357-5218</f>
        <v>-5787</v>
      </c>
      <c r="L8944" t="s">
        <v>28055</v>
      </c>
      <c r="M8944" t="s">
        <v>28056</v>
      </c>
      <c r="N8944" t="s">
        <v>5354</v>
      </c>
      <c r="O8944" t="s">
        <v>134</v>
      </c>
      <c r="P8944" t="s">
        <v>292</v>
      </c>
      <c r="Q8944">
        <v>51</v>
      </c>
      <c r="R8944">
        <v>2.12554</v>
      </c>
    </row>
    <row r="8945" spans="1:18" x14ac:dyDescent="0.2">
      <c r="A8945" t="s">
        <v>7005</v>
      </c>
      <c r="B8945" t="s">
        <v>7006</v>
      </c>
      <c r="C8945">
        <v>33</v>
      </c>
      <c r="D8945" s="1">
        <v>44262.759664351855</v>
      </c>
      <c r="E8945" t="s">
        <v>28054</v>
      </c>
      <c r="F8945" t="s">
        <v>7008</v>
      </c>
      <c r="G8945" t="s">
        <v>28051</v>
      </c>
      <c r="H8945" t="s">
        <v>7010</v>
      </c>
      <c r="I8945" t="s">
        <v>292</v>
      </c>
      <c r="J8945">
        <v>33</v>
      </c>
      <c r="K8945">
        <f>33-1-76-21-44-71</f>
        <v>-180</v>
      </c>
      <c r="L8945" t="s">
        <v>28057</v>
      </c>
      <c r="M8945" t="s">
        <v>28058</v>
      </c>
      <c r="N8945" t="s">
        <v>5354</v>
      </c>
      <c r="O8945" t="s">
        <v>134</v>
      </c>
      <c r="P8945" t="s">
        <v>292</v>
      </c>
      <c r="Q8945">
        <v>51</v>
      </c>
      <c r="R8945">
        <v>2.12554</v>
      </c>
    </row>
    <row r="8946" spans="1:18" x14ac:dyDescent="0.2">
      <c r="A8946" t="s">
        <v>663</v>
      </c>
      <c r="B8946" t="s">
        <v>2500</v>
      </c>
      <c r="C8946">
        <v>1</v>
      </c>
      <c r="D8946" s="1">
        <v>44262.89472222222</v>
      </c>
      <c r="E8946" t="s">
        <v>28059</v>
      </c>
      <c r="F8946" t="s">
        <v>666</v>
      </c>
      <c r="G8946" t="s">
        <v>28059</v>
      </c>
      <c r="H8946" t="s">
        <v>667</v>
      </c>
      <c r="I8946" t="s">
        <v>29</v>
      </c>
      <c r="J8946">
        <v>1</v>
      </c>
      <c r="K8946">
        <f>1-888-394-1081</f>
        <v>-2362</v>
      </c>
      <c r="L8946" t="s">
        <v>28060</v>
      </c>
      <c r="M8946" t="s">
        <v>28061</v>
      </c>
      <c r="N8946">
        <v>189</v>
      </c>
      <c r="O8946" t="s">
        <v>134</v>
      </c>
      <c r="P8946" t="s">
        <v>2500</v>
      </c>
      <c r="Q8946">
        <v>1</v>
      </c>
      <c r="R8946">
        <v>99.999999000000003</v>
      </c>
    </row>
    <row r="8947" spans="1:18" x14ac:dyDescent="0.2">
      <c r="A8947" t="s">
        <v>663</v>
      </c>
      <c r="B8947" t="s">
        <v>2500</v>
      </c>
      <c r="C8947">
        <v>1</v>
      </c>
      <c r="D8947" s="1">
        <v>44262.88989583333</v>
      </c>
      <c r="E8947" t="s">
        <v>28059</v>
      </c>
      <c r="F8947" t="s">
        <v>666</v>
      </c>
      <c r="G8947" t="s">
        <v>28059</v>
      </c>
      <c r="H8947" t="s">
        <v>667</v>
      </c>
      <c r="I8947" t="s">
        <v>29</v>
      </c>
      <c r="J8947">
        <v>1</v>
      </c>
      <c r="K8947">
        <f>1-888-399-4995</f>
        <v>-6281</v>
      </c>
      <c r="L8947" t="s">
        <v>28062</v>
      </c>
      <c r="M8947" t="s">
        <v>28063</v>
      </c>
      <c r="N8947">
        <v>189</v>
      </c>
      <c r="O8947" t="s">
        <v>134</v>
      </c>
      <c r="P8947" t="s">
        <v>2500</v>
      </c>
      <c r="Q8947">
        <v>1</v>
      </c>
      <c r="R8947">
        <v>99.999999000000003</v>
      </c>
    </row>
    <row r="8948" spans="1:18" x14ac:dyDescent="0.2">
      <c r="A8948" t="s">
        <v>439</v>
      </c>
      <c r="B8948" t="s">
        <v>4321</v>
      </c>
      <c r="C8948">
        <v>1</v>
      </c>
      <c r="D8948" s="1">
        <v>44262.907754629632</v>
      </c>
      <c r="E8948" t="s">
        <v>28064</v>
      </c>
      <c r="F8948" t="s">
        <v>442</v>
      </c>
      <c r="G8948" t="s">
        <v>28065</v>
      </c>
      <c r="H8948" t="s">
        <v>444</v>
      </c>
      <c r="I8948" t="s">
        <v>29</v>
      </c>
      <c r="J8948">
        <v>1</v>
      </c>
      <c r="K8948">
        <f>1-833-220-3864</f>
        <v>-4916</v>
      </c>
      <c r="L8948" t="s">
        <v>28066</v>
      </c>
      <c r="M8948" t="s">
        <v>28067</v>
      </c>
      <c r="N8948" t="s">
        <v>674</v>
      </c>
      <c r="O8948" t="s">
        <v>28</v>
      </c>
      <c r="P8948" t="s">
        <v>29</v>
      </c>
      <c r="Q8948">
        <v>42</v>
      </c>
      <c r="R8948">
        <v>-87.629800000000003</v>
      </c>
    </row>
    <row r="8949" spans="1:18" x14ac:dyDescent="0.2">
      <c r="A8949" t="s">
        <v>439</v>
      </c>
      <c r="B8949" t="s">
        <v>4321</v>
      </c>
      <c r="C8949">
        <v>1</v>
      </c>
      <c r="D8949" s="1">
        <v>44262.934791666667</v>
      </c>
      <c r="E8949" t="s">
        <v>28068</v>
      </c>
      <c r="F8949" t="s">
        <v>442</v>
      </c>
      <c r="G8949" t="s">
        <v>28069</v>
      </c>
      <c r="H8949" t="s">
        <v>444</v>
      </c>
      <c r="I8949" t="s">
        <v>29</v>
      </c>
      <c r="J8949">
        <v>1</v>
      </c>
      <c r="K8949">
        <f>1-844-303-3386</f>
        <v>-4532</v>
      </c>
      <c r="L8949" t="s">
        <v>28070</v>
      </c>
      <c r="M8949" t="s">
        <v>28071</v>
      </c>
      <c r="N8949" t="s">
        <v>447</v>
      </c>
      <c r="O8949" t="s">
        <v>28</v>
      </c>
      <c r="P8949" t="s">
        <v>29</v>
      </c>
      <c r="Q8949">
        <v>42</v>
      </c>
      <c r="R8949">
        <v>-87.629800000000003</v>
      </c>
    </row>
    <row r="8950" spans="1:18" x14ac:dyDescent="0.2">
      <c r="A8950" t="s">
        <v>439</v>
      </c>
      <c r="B8950" t="s">
        <v>4321</v>
      </c>
      <c r="C8950">
        <v>1</v>
      </c>
      <c r="D8950" s="1">
        <v>44263.634479166663</v>
      </c>
      <c r="E8950" t="s">
        <v>28072</v>
      </c>
      <c r="F8950" t="s">
        <v>442</v>
      </c>
      <c r="G8950" t="s">
        <v>28073</v>
      </c>
      <c r="H8950" t="s">
        <v>444</v>
      </c>
      <c r="I8950" t="s">
        <v>29</v>
      </c>
      <c r="J8950">
        <v>1</v>
      </c>
      <c r="K8950">
        <f>1-844-304-5062</f>
        <v>-6209</v>
      </c>
      <c r="L8950" t="s">
        <v>28074</v>
      </c>
      <c r="M8950" t="s">
        <v>28075</v>
      </c>
      <c r="N8950" t="s">
        <v>447</v>
      </c>
      <c r="O8950" t="s">
        <v>28</v>
      </c>
      <c r="P8950" t="s">
        <v>29</v>
      </c>
      <c r="Q8950">
        <v>42</v>
      </c>
      <c r="R8950">
        <v>-87.629800000000003</v>
      </c>
    </row>
    <row r="8951" spans="1:18" x14ac:dyDescent="0.2">
      <c r="A8951" t="s">
        <v>439</v>
      </c>
      <c r="B8951" t="s">
        <v>4321</v>
      </c>
      <c r="C8951">
        <v>81</v>
      </c>
      <c r="D8951" s="1">
        <v>44263.660925925928</v>
      </c>
      <c r="E8951" t="s">
        <v>28076</v>
      </c>
      <c r="F8951" t="s">
        <v>442</v>
      </c>
      <c r="G8951" t="s">
        <v>28077</v>
      </c>
      <c r="H8951" t="s">
        <v>444</v>
      </c>
      <c r="I8951" t="s">
        <v>53</v>
      </c>
      <c r="J8951">
        <v>81</v>
      </c>
      <c r="K8951">
        <f>81-50-5809-6956</f>
        <v>-12734</v>
      </c>
      <c r="L8951" t="s">
        <v>28078</v>
      </c>
      <c r="M8951" t="s">
        <v>28079</v>
      </c>
      <c r="N8951" t="s">
        <v>213</v>
      </c>
      <c r="O8951" t="s">
        <v>28</v>
      </c>
      <c r="P8951" t="s">
        <v>29</v>
      </c>
      <c r="Q8951">
        <v>42</v>
      </c>
      <c r="R8951">
        <v>-87.629800000000003</v>
      </c>
    </row>
    <row r="8952" spans="1:18" x14ac:dyDescent="0.2">
      <c r="A8952" t="s">
        <v>663</v>
      </c>
      <c r="B8952" t="s">
        <v>1412</v>
      </c>
      <c r="C8952">
        <v>49</v>
      </c>
      <c r="D8952" s="1">
        <v>44263.679756944446</v>
      </c>
      <c r="E8952" t="s">
        <v>28080</v>
      </c>
      <c r="F8952" t="s">
        <v>2495</v>
      </c>
      <c r="G8952" t="s">
        <v>28080</v>
      </c>
      <c r="H8952" t="s">
        <v>667</v>
      </c>
      <c r="I8952" t="s">
        <v>24</v>
      </c>
      <c r="J8952">
        <v>49</v>
      </c>
      <c r="K8952">
        <f>49-71317749952</f>
        <v>-71317749903</v>
      </c>
      <c r="L8952" s="2">
        <v>6.0464058429999999E+94</v>
      </c>
      <c r="M8952" t="s">
        <v>28081</v>
      </c>
      <c r="N8952">
        <v>91</v>
      </c>
      <c r="O8952" t="s">
        <v>134</v>
      </c>
      <c r="P8952" t="s">
        <v>29</v>
      </c>
      <c r="Q8952">
        <v>41</v>
      </c>
      <c r="R8952">
        <v>-74.172399999999996</v>
      </c>
    </row>
    <row r="8953" spans="1:18" x14ac:dyDescent="0.2">
      <c r="A8953" t="s">
        <v>439</v>
      </c>
      <c r="B8953" t="s">
        <v>4321</v>
      </c>
      <c r="C8953">
        <v>1</v>
      </c>
      <c r="D8953" s="1">
        <v>44263.732546296298</v>
      </c>
      <c r="E8953" t="s">
        <v>28082</v>
      </c>
      <c r="F8953" t="s">
        <v>442</v>
      </c>
      <c r="G8953" t="s">
        <v>28083</v>
      </c>
      <c r="H8953" t="s">
        <v>444</v>
      </c>
      <c r="I8953" t="s">
        <v>29</v>
      </c>
      <c r="J8953">
        <v>1</v>
      </c>
      <c r="K8953">
        <f>1-844-239-8264</f>
        <v>-9346</v>
      </c>
      <c r="L8953" t="s">
        <v>28084</v>
      </c>
      <c r="M8953" t="s">
        <v>28085</v>
      </c>
      <c r="N8953" t="s">
        <v>25195</v>
      </c>
      <c r="O8953" t="s">
        <v>28</v>
      </c>
      <c r="P8953" t="s">
        <v>29</v>
      </c>
      <c r="Q8953">
        <v>42</v>
      </c>
      <c r="R8953">
        <v>-87.629800000000003</v>
      </c>
    </row>
    <row r="8954" spans="1:18" x14ac:dyDescent="0.2">
      <c r="A8954" t="s">
        <v>270</v>
      </c>
      <c r="B8954" t="s">
        <v>454</v>
      </c>
      <c r="C8954">
        <v>1</v>
      </c>
      <c r="D8954" s="1">
        <v>44263.748333333337</v>
      </c>
      <c r="E8954" t="s">
        <v>28086</v>
      </c>
      <c r="F8954" t="s">
        <v>273</v>
      </c>
      <c r="G8954" t="s">
        <v>28087</v>
      </c>
      <c r="H8954" t="s">
        <v>275</v>
      </c>
      <c r="I8954" t="s">
        <v>29</v>
      </c>
      <c r="J8954">
        <v>1</v>
      </c>
      <c r="K8954">
        <f>1-844-316-991</f>
        <v>-2150</v>
      </c>
      <c r="L8954" t="s">
        <v>28088</v>
      </c>
      <c r="M8954" t="s">
        <v>28089</v>
      </c>
      <c r="N8954" t="s">
        <v>278</v>
      </c>
      <c r="O8954" t="s">
        <v>28</v>
      </c>
      <c r="P8954" t="s">
        <v>461</v>
      </c>
      <c r="Q8954">
        <v>52</v>
      </c>
      <c r="R8954">
        <v>4.9000000000000004</v>
      </c>
    </row>
    <row r="8955" spans="1:18" x14ac:dyDescent="0.2">
      <c r="A8955" t="s">
        <v>439</v>
      </c>
      <c r="B8955" t="s">
        <v>4321</v>
      </c>
      <c r="C8955">
        <v>1</v>
      </c>
      <c r="D8955" s="1">
        <v>44263.757800925923</v>
      </c>
      <c r="E8955" t="s">
        <v>28090</v>
      </c>
      <c r="F8955" t="s">
        <v>442</v>
      </c>
      <c r="G8955" t="s">
        <v>28091</v>
      </c>
      <c r="H8955" t="s">
        <v>444</v>
      </c>
      <c r="I8955" t="s">
        <v>29</v>
      </c>
      <c r="J8955">
        <v>1</v>
      </c>
      <c r="K8955">
        <f>1-888-308-1194</f>
        <v>-2389</v>
      </c>
      <c r="L8955" t="s">
        <v>28092</v>
      </c>
      <c r="M8955" t="s">
        <v>28093</v>
      </c>
      <c r="N8955" t="s">
        <v>452</v>
      </c>
      <c r="O8955" t="s">
        <v>28</v>
      </c>
      <c r="P8955" t="s">
        <v>29</v>
      </c>
      <c r="Q8955">
        <v>42</v>
      </c>
      <c r="R8955">
        <v>-87.629800000000003</v>
      </c>
    </row>
    <row r="8956" spans="1:18" x14ac:dyDescent="0.2">
      <c r="A8956" t="s">
        <v>439</v>
      </c>
      <c r="B8956" t="s">
        <v>4321</v>
      </c>
      <c r="C8956">
        <v>1</v>
      </c>
      <c r="D8956" s="1">
        <v>44263.775300925925</v>
      </c>
      <c r="E8956" t="s">
        <v>28094</v>
      </c>
      <c r="F8956" t="s">
        <v>442</v>
      </c>
      <c r="G8956" t="s">
        <v>28095</v>
      </c>
      <c r="H8956" t="s">
        <v>444</v>
      </c>
      <c r="I8956" t="s">
        <v>29</v>
      </c>
      <c r="J8956">
        <v>1</v>
      </c>
      <c r="K8956">
        <f>1-844-312-3228</f>
        <v>-4383</v>
      </c>
      <c r="L8956" t="s">
        <v>28096</v>
      </c>
      <c r="M8956" t="s">
        <v>28097</v>
      </c>
      <c r="N8956" t="s">
        <v>3441</v>
      </c>
      <c r="O8956" t="s">
        <v>28</v>
      </c>
      <c r="P8956" t="s">
        <v>29</v>
      </c>
      <c r="Q8956">
        <v>42</v>
      </c>
      <c r="R8956">
        <v>-87.629800000000003</v>
      </c>
    </row>
    <row r="8957" spans="1:18" x14ac:dyDescent="0.2">
      <c r="A8957" t="s">
        <v>439</v>
      </c>
      <c r="B8957" t="s">
        <v>4321</v>
      </c>
      <c r="C8957">
        <v>1</v>
      </c>
      <c r="D8957" s="1">
        <v>44263.773680555554</v>
      </c>
      <c r="E8957" t="s">
        <v>28094</v>
      </c>
      <c r="F8957" t="s">
        <v>442</v>
      </c>
      <c r="G8957" t="s">
        <v>28095</v>
      </c>
      <c r="H8957" t="s">
        <v>444</v>
      </c>
      <c r="I8957" t="s">
        <v>29</v>
      </c>
      <c r="J8957">
        <v>1</v>
      </c>
      <c r="K8957">
        <f>1-844-313-7811</f>
        <v>-8967</v>
      </c>
      <c r="L8957" t="s">
        <v>28098</v>
      </c>
      <c r="M8957" t="s">
        <v>28099</v>
      </c>
      <c r="N8957" t="s">
        <v>3441</v>
      </c>
      <c r="O8957" t="s">
        <v>28</v>
      </c>
      <c r="P8957" t="s">
        <v>29</v>
      </c>
      <c r="Q8957">
        <v>42</v>
      </c>
      <c r="R8957">
        <v>-87.629800000000003</v>
      </c>
    </row>
    <row r="8958" spans="1:18" x14ac:dyDescent="0.2">
      <c r="A8958" t="s">
        <v>439</v>
      </c>
      <c r="B8958" t="s">
        <v>4321</v>
      </c>
      <c r="C8958">
        <v>1</v>
      </c>
      <c r="D8958" s="1">
        <v>44263.775266203702</v>
      </c>
      <c r="E8958" t="s">
        <v>28100</v>
      </c>
      <c r="F8958" t="s">
        <v>442</v>
      </c>
      <c r="G8958" t="s">
        <v>28101</v>
      </c>
      <c r="H8958" t="s">
        <v>444</v>
      </c>
      <c r="I8958" t="s">
        <v>29</v>
      </c>
      <c r="J8958">
        <v>1</v>
      </c>
      <c r="K8958">
        <f>1-888-308-1194</f>
        <v>-2389</v>
      </c>
      <c r="L8958">
        <v>6046609591431</v>
      </c>
      <c r="M8958" t="s">
        <v>28102</v>
      </c>
      <c r="N8958" t="s">
        <v>452</v>
      </c>
      <c r="O8958" t="s">
        <v>28</v>
      </c>
      <c r="P8958" t="s">
        <v>29</v>
      </c>
      <c r="Q8958">
        <v>42</v>
      </c>
      <c r="R8958">
        <v>-87.629800000000003</v>
      </c>
    </row>
    <row r="8959" spans="1:18" x14ac:dyDescent="0.2">
      <c r="A8959" t="s">
        <v>270</v>
      </c>
      <c r="B8959" t="s">
        <v>271</v>
      </c>
      <c r="C8959">
        <v>1</v>
      </c>
      <c r="D8959" s="1">
        <v>44337.823506944442</v>
      </c>
      <c r="E8959" t="s">
        <v>28103</v>
      </c>
      <c r="F8959" t="s">
        <v>273</v>
      </c>
      <c r="G8959" t="s">
        <v>28104</v>
      </c>
      <c r="H8959" t="s">
        <v>275</v>
      </c>
      <c r="I8959" t="s">
        <v>29</v>
      </c>
      <c r="J8959">
        <v>1</v>
      </c>
      <c r="K8959">
        <f>1-844-390-424</f>
        <v>-1657</v>
      </c>
      <c r="L8959" t="s">
        <v>28105</v>
      </c>
      <c r="M8959" t="s">
        <v>28106</v>
      </c>
      <c r="N8959" t="s">
        <v>278</v>
      </c>
      <c r="O8959" t="s">
        <v>28</v>
      </c>
      <c r="P8959" t="s">
        <v>29</v>
      </c>
      <c r="Q8959">
        <v>42</v>
      </c>
      <c r="R8959">
        <v>-93.620800000000003</v>
      </c>
    </row>
    <row r="8960" spans="1:18" x14ac:dyDescent="0.2">
      <c r="A8960" t="s">
        <v>270</v>
      </c>
      <c r="B8960" t="s">
        <v>271</v>
      </c>
      <c r="C8960">
        <v>1</v>
      </c>
      <c r="D8960" s="1">
        <v>44333.692280092589</v>
      </c>
      <c r="E8960" t="s">
        <v>28107</v>
      </c>
      <c r="F8960" t="s">
        <v>273</v>
      </c>
      <c r="G8960" t="s">
        <v>28104</v>
      </c>
      <c r="H8960" t="s">
        <v>275</v>
      </c>
      <c r="I8960" t="s">
        <v>29</v>
      </c>
      <c r="J8960">
        <v>1</v>
      </c>
      <c r="K8960">
        <f>1-888-348-5746</f>
        <v>-6981</v>
      </c>
      <c r="L8960" t="s">
        <v>28108</v>
      </c>
      <c r="M8960" t="s">
        <v>28109</v>
      </c>
      <c r="N8960" t="s">
        <v>278</v>
      </c>
      <c r="O8960" t="s">
        <v>28</v>
      </c>
      <c r="P8960" t="s">
        <v>29</v>
      </c>
      <c r="Q8960">
        <v>42</v>
      </c>
      <c r="R8960">
        <v>-93.620800000000003</v>
      </c>
    </row>
    <row r="8961" spans="1:18" x14ac:dyDescent="0.2">
      <c r="A8961" t="s">
        <v>270</v>
      </c>
      <c r="B8961" t="s">
        <v>271</v>
      </c>
      <c r="C8961">
        <v>1</v>
      </c>
      <c r="D8961" s="1">
        <v>44279.810347222221</v>
      </c>
      <c r="E8961" t="s">
        <v>28110</v>
      </c>
      <c r="F8961" t="s">
        <v>273</v>
      </c>
      <c r="G8961" t="s">
        <v>28104</v>
      </c>
      <c r="H8961" t="s">
        <v>275</v>
      </c>
      <c r="I8961" t="s">
        <v>29</v>
      </c>
      <c r="J8961">
        <v>1</v>
      </c>
      <c r="K8961">
        <f>1-844-400-360</f>
        <v>-1603</v>
      </c>
      <c r="L8961" t="s">
        <v>28111</v>
      </c>
      <c r="M8961" t="s">
        <v>28112</v>
      </c>
      <c r="N8961" t="s">
        <v>278</v>
      </c>
      <c r="O8961" t="s">
        <v>28</v>
      </c>
      <c r="P8961" t="s">
        <v>29</v>
      </c>
      <c r="Q8961">
        <v>42</v>
      </c>
      <c r="R8961">
        <v>-93.620800000000003</v>
      </c>
    </row>
    <row r="8962" spans="1:18" x14ac:dyDescent="0.2">
      <c r="A8962" t="s">
        <v>270</v>
      </c>
      <c r="B8962" t="s">
        <v>271</v>
      </c>
      <c r="C8962">
        <v>1</v>
      </c>
      <c r="D8962" s="1">
        <v>44263.777905092589</v>
      </c>
      <c r="E8962" t="s">
        <v>28113</v>
      </c>
      <c r="F8962" t="s">
        <v>273</v>
      </c>
      <c r="G8962" t="s">
        <v>28104</v>
      </c>
      <c r="H8962" t="s">
        <v>275</v>
      </c>
      <c r="I8962" t="s">
        <v>29</v>
      </c>
      <c r="J8962">
        <v>1</v>
      </c>
      <c r="K8962">
        <f>1-844-304-7275</f>
        <v>-8422</v>
      </c>
      <c r="L8962" t="s">
        <v>28114</v>
      </c>
      <c r="M8962" t="s">
        <v>28115</v>
      </c>
      <c r="N8962" t="s">
        <v>278</v>
      </c>
      <c r="O8962" t="s">
        <v>28</v>
      </c>
      <c r="P8962" t="s">
        <v>29</v>
      </c>
      <c r="Q8962">
        <v>42</v>
      </c>
      <c r="R8962">
        <v>-93.620800000000003</v>
      </c>
    </row>
    <row r="8963" spans="1:18" x14ac:dyDescent="0.2">
      <c r="A8963" t="s">
        <v>439</v>
      </c>
      <c r="B8963" t="s">
        <v>4321</v>
      </c>
      <c r="C8963">
        <v>1</v>
      </c>
      <c r="D8963" s="1">
        <v>44263.790231481478</v>
      </c>
      <c r="E8963" t="s">
        <v>28116</v>
      </c>
      <c r="F8963" t="s">
        <v>442</v>
      </c>
      <c r="G8963" t="s">
        <v>28117</v>
      </c>
      <c r="H8963" t="s">
        <v>444</v>
      </c>
      <c r="I8963" t="s">
        <v>29</v>
      </c>
      <c r="J8963">
        <v>1</v>
      </c>
      <c r="K8963">
        <f>1-888-308-1194</f>
        <v>-2389</v>
      </c>
      <c r="L8963" t="s">
        <v>28118</v>
      </c>
      <c r="M8963" t="s">
        <v>28119</v>
      </c>
      <c r="N8963" t="s">
        <v>452</v>
      </c>
      <c r="O8963" t="s">
        <v>28</v>
      </c>
      <c r="P8963" t="s">
        <v>29</v>
      </c>
      <c r="Q8963">
        <v>42</v>
      </c>
      <c r="R8963">
        <v>-87.629800000000003</v>
      </c>
    </row>
    <row r="8964" spans="1:18" x14ac:dyDescent="0.2">
      <c r="A8964" t="s">
        <v>270</v>
      </c>
      <c r="B8964" t="s">
        <v>454</v>
      </c>
      <c r="C8964">
        <v>1</v>
      </c>
      <c r="D8964" s="1">
        <v>44263.791365740741</v>
      </c>
      <c r="E8964" t="s">
        <v>28120</v>
      </c>
      <c r="F8964" t="s">
        <v>273</v>
      </c>
      <c r="G8964" t="s">
        <v>28121</v>
      </c>
      <c r="H8964" t="s">
        <v>275</v>
      </c>
      <c r="I8964" t="s">
        <v>29</v>
      </c>
      <c r="J8964">
        <v>1</v>
      </c>
      <c r="K8964">
        <f>1-844-319-538</f>
        <v>-1700</v>
      </c>
      <c r="L8964" t="s">
        <v>28122</v>
      </c>
      <c r="M8964" t="s">
        <v>28123</v>
      </c>
      <c r="N8964" t="s">
        <v>278</v>
      </c>
      <c r="O8964" t="s">
        <v>28</v>
      </c>
      <c r="P8964" t="s">
        <v>461</v>
      </c>
      <c r="Q8964">
        <v>52</v>
      </c>
      <c r="R8964">
        <v>4.9000000000000004</v>
      </c>
    </row>
    <row r="8965" spans="1:18" x14ac:dyDescent="0.2">
      <c r="A8965" t="s">
        <v>439</v>
      </c>
      <c r="B8965" t="s">
        <v>4321</v>
      </c>
      <c r="C8965">
        <v>1</v>
      </c>
      <c r="D8965" s="1">
        <v>44263.863402777781</v>
      </c>
      <c r="E8965" t="s">
        <v>28124</v>
      </c>
      <c r="F8965" t="s">
        <v>442</v>
      </c>
      <c r="G8965" t="s">
        <v>28125</v>
      </c>
      <c r="H8965" t="s">
        <v>444</v>
      </c>
      <c r="I8965" t="s">
        <v>29</v>
      </c>
      <c r="J8965">
        <v>1</v>
      </c>
      <c r="K8965">
        <f>1-888-881-5761</f>
        <v>-7529</v>
      </c>
      <c r="L8965" s="2" t="s">
        <v>28126</v>
      </c>
      <c r="M8965" t="s">
        <v>28127</v>
      </c>
      <c r="N8965" t="s">
        <v>452</v>
      </c>
      <c r="O8965" t="s">
        <v>28</v>
      </c>
      <c r="P8965" t="s">
        <v>29</v>
      </c>
      <c r="Q8965">
        <v>42</v>
      </c>
      <c r="R8965">
        <v>-87.629800000000003</v>
      </c>
    </row>
    <row r="8966" spans="1:18" x14ac:dyDescent="0.2">
      <c r="A8966" t="s">
        <v>439</v>
      </c>
      <c r="B8966" t="s">
        <v>4321</v>
      </c>
      <c r="C8966">
        <v>1</v>
      </c>
      <c r="D8966" s="1">
        <v>44263.867222222223</v>
      </c>
      <c r="E8966" t="s">
        <v>28128</v>
      </c>
      <c r="F8966" t="s">
        <v>442</v>
      </c>
      <c r="G8966" t="s">
        <v>28129</v>
      </c>
      <c r="H8966" t="s">
        <v>444</v>
      </c>
      <c r="I8966" t="s">
        <v>29</v>
      </c>
      <c r="J8966">
        <v>1</v>
      </c>
      <c r="K8966">
        <f>1-888-207-5830</f>
        <v>-6924</v>
      </c>
      <c r="L8966" t="s">
        <v>28130</v>
      </c>
      <c r="M8966" t="s">
        <v>28131</v>
      </c>
      <c r="N8966" t="s">
        <v>452</v>
      </c>
      <c r="O8966" t="s">
        <v>28</v>
      </c>
      <c r="P8966" t="s">
        <v>29</v>
      </c>
      <c r="Q8966">
        <v>42</v>
      </c>
      <c r="R8966">
        <v>-87.629800000000003</v>
      </c>
    </row>
    <row r="8967" spans="1:18" x14ac:dyDescent="0.2">
      <c r="A8967" t="s">
        <v>2233</v>
      </c>
      <c r="B8967" t="s">
        <v>2234</v>
      </c>
      <c r="C8967">
        <v>1</v>
      </c>
      <c r="D8967" s="1">
        <v>44263.883113425924</v>
      </c>
      <c r="E8967" t="s">
        <v>28132</v>
      </c>
      <c r="F8967" t="s">
        <v>2236</v>
      </c>
      <c r="G8967" t="s">
        <v>28133</v>
      </c>
      <c r="H8967" t="s">
        <v>2237</v>
      </c>
      <c r="I8967" t="s">
        <v>29</v>
      </c>
      <c r="J8967">
        <v>1</v>
      </c>
      <c r="K8967">
        <f>1-800-972-4731</f>
        <v>-6502</v>
      </c>
      <c r="L8967" t="s">
        <v>28134</v>
      </c>
      <c r="M8967" t="s">
        <v>28135</v>
      </c>
      <c r="N8967" t="s">
        <v>5354</v>
      </c>
      <c r="O8967" t="s">
        <v>28</v>
      </c>
      <c r="P8967" t="s">
        <v>29</v>
      </c>
      <c r="Q8967">
        <v>40</v>
      </c>
      <c r="R8967">
        <v>-83.114099999999993</v>
      </c>
    </row>
    <row r="8968" spans="1:18" x14ac:dyDescent="0.2">
      <c r="A8968" t="s">
        <v>439</v>
      </c>
      <c r="B8968" t="s">
        <v>4321</v>
      </c>
      <c r="C8968">
        <v>1</v>
      </c>
      <c r="D8968" s="1">
        <v>44263.886817129627</v>
      </c>
      <c r="E8968" t="s">
        <v>28136</v>
      </c>
      <c r="F8968" t="s">
        <v>442</v>
      </c>
      <c r="G8968" t="s">
        <v>28137</v>
      </c>
      <c r="H8968" t="s">
        <v>444</v>
      </c>
      <c r="I8968" t="s">
        <v>29</v>
      </c>
      <c r="J8968">
        <v>1</v>
      </c>
      <c r="K8968">
        <f>1-888-381-8315</f>
        <v>-9583</v>
      </c>
      <c r="L8968" t="s">
        <v>28138</v>
      </c>
      <c r="M8968" t="s">
        <v>28139</v>
      </c>
      <c r="N8968" t="s">
        <v>452</v>
      </c>
      <c r="O8968" t="s">
        <v>28</v>
      </c>
      <c r="P8968" t="s">
        <v>29</v>
      </c>
      <c r="Q8968">
        <v>42</v>
      </c>
      <c r="R8968">
        <v>-87.629800000000003</v>
      </c>
    </row>
    <row r="8969" spans="1:18" x14ac:dyDescent="0.2">
      <c r="A8969" t="s">
        <v>2233</v>
      </c>
      <c r="B8969" t="s">
        <v>2234</v>
      </c>
      <c r="C8969">
        <v>1</v>
      </c>
      <c r="D8969" s="1">
        <v>44263.906168981484</v>
      </c>
      <c r="E8969" t="s">
        <v>28140</v>
      </c>
      <c r="F8969" t="s">
        <v>2236</v>
      </c>
      <c r="G8969" t="s">
        <v>28140</v>
      </c>
      <c r="H8969" t="s">
        <v>2237</v>
      </c>
      <c r="I8969" t="s">
        <v>29</v>
      </c>
      <c r="J8969">
        <v>1</v>
      </c>
      <c r="K8969">
        <f>1-888-321-3492</f>
        <v>-4700</v>
      </c>
      <c r="L8969" t="s">
        <v>28141</v>
      </c>
      <c r="M8969" t="s">
        <v>28142</v>
      </c>
      <c r="N8969">
        <v>128</v>
      </c>
      <c r="O8969" t="s">
        <v>134</v>
      </c>
      <c r="P8969" t="s">
        <v>29</v>
      </c>
      <c r="Q8969">
        <v>40</v>
      </c>
      <c r="R8969">
        <v>-83.114099999999993</v>
      </c>
    </row>
    <row r="8970" spans="1:18" x14ac:dyDescent="0.2">
      <c r="A8970" t="s">
        <v>2233</v>
      </c>
      <c r="B8970" t="s">
        <v>17027</v>
      </c>
      <c r="C8970">
        <v>1</v>
      </c>
      <c r="D8970" s="1">
        <v>44264.025972222225</v>
      </c>
      <c r="E8970" t="s">
        <v>28143</v>
      </c>
      <c r="F8970" t="s">
        <v>2236</v>
      </c>
      <c r="G8970" t="s">
        <v>28144</v>
      </c>
      <c r="H8970" t="s">
        <v>2237</v>
      </c>
      <c r="I8970" t="s">
        <v>29</v>
      </c>
      <c r="J8970">
        <v>1</v>
      </c>
      <c r="K8970">
        <f>1-844-325-1451</f>
        <v>-2619</v>
      </c>
      <c r="L8970" t="s">
        <v>28145</v>
      </c>
      <c r="M8970" t="s">
        <v>28146</v>
      </c>
      <c r="N8970" t="s">
        <v>5354</v>
      </c>
      <c r="O8970" t="s">
        <v>28</v>
      </c>
      <c r="P8970" t="s">
        <v>5789</v>
      </c>
      <c r="Q8970">
        <v>19</v>
      </c>
      <c r="R8970">
        <v>72.877700000000004</v>
      </c>
    </row>
    <row r="8971" spans="1:18" x14ac:dyDescent="0.2">
      <c r="A8971" t="s">
        <v>2233</v>
      </c>
      <c r="B8971" t="s">
        <v>440</v>
      </c>
      <c r="C8971">
        <v>1</v>
      </c>
      <c r="D8971" s="1">
        <v>44264.518831018519</v>
      </c>
      <c r="E8971" t="s">
        <v>28147</v>
      </c>
      <c r="F8971" t="s">
        <v>2236</v>
      </c>
      <c r="G8971" t="s">
        <v>28148</v>
      </c>
      <c r="H8971" t="s">
        <v>2237</v>
      </c>
      <c r="I8971" t="s">
        <v>29</v>
      </c>
      <c r="J8971">
        <v>1</v>
      </c>
      <c r="K8971">
        <f>1-833-996-3570</f>
        <v>-5398</v>
      </c>
      <c r="L8971" t="s">
        <v>28149</v>
      </c>
      <c r="M8971" t="s">
        <v>28150</v>
      </c>
      <c r="N8971" t="s">
        <v>5354</v>
      </c>
      <c r="O8971" t="s">
        <v>28</v>
      </c>
      <c r="P8971" t="s">
        <v>29</v>
      </c>
      <c r="Q8971">
        <v>39</v>
      </c>
      <c r="R8971">
        <v>-77.487399999999994</v>
      </c>
    </row>
    <row r="8972" spans="1:18" x14ac:dyDescent="0.2">
      <c r="A8972" t="s">
        <v>439</v>
      </c>
      <c r="B8972" t="s">
        <v>4321</v>
      </c>
      <c r="C8972">
        <v>81</v>
      </c>
      <c r="D8972" s="1">
        <v>44264.544409722221</v>
      </c>
      <c r="E8972" t="s">
        <v>28151</v>
      </c>
      <c r="F8972" t="s">
        <v>442</v>
      </c>
      <c r="G8972" t="s">
        <v>28152</v>
      </c>
      <c r="H8972" t="s">
        <v>444</v>
      </c>
      <c r="I8972" t="s">
        <v>53</v>
      </c>
      <c r="J8972">
        <v>81</v>
      </c>
      <c r="K8972">
        <f>81-50-5809-7818</f>
        <v>-13596</v>
      </c>
      <c r="L8972" t="s">
        <v>28153</v>
      </c>
      <c r="M8972" t="s">
        <v>28154</v>
      </c>
      <c r="N8972" t="s">
        <v>674</v>
      </c>
      <c r="O8972" t="s">
        <v>28</v>
      </c>
      <c r="P8972" t="s">
        <v>29</v>
      </c>
      <c r="Q8972">
        <v>42</v>
      </c>
      <c r="R8972">
        <v>-87.629800000000003</v>
      </c>
    </row>
    <row r="8973" spans="1:18" x14ac:dyDescent="0.2">
      <c r="A8973" t="s">
        <v>439</v>
      </c>
      <c r="B8973" t="s">
        <v>4321</v>
      </c>
      <c r="C8973">
        <v>81</v>
      </c>
      <c r="D8973" s="1">
        <v>44264.545300925929</v>
      </c>
      <c r="E8973" t="s">
        <v>28155</v>
      </c>
      <c r="F8973" t="s">
        <v>442</v>
      </c>
      <c r="G8973" t="s">
        <v>28156</v>
      </c>
      <c r="H8973" t="s">
        <v>444</v>
      </c>
      <c r="I8973" t="s">
        <v>53</v>
      </c>
      <c r="J8973">
        <v>81</v>
      </c>
      <c r="K8973">
        <f>81-50-3198-9316</f>
        <v>-12483</v>
      </c>
      <c r="L8973" s="2" t="s">
        <v>28157</v>
      </c>
      <c r="M8973" t="s">
        <v>28158</v>
      </c>
      <c r="N8973" t="s">
        <v>213</v>
      </c>
      <c r="O8973" t="s">
        <v>28</v>
      </c>
      <c r="P8973" t="s">
        <v>29</v>
      </c>
      <c r="Q8973">
        <v>42</v>
      </c>
      <c r="R8973">
        <v>-87.629800000000003</v>
      </c>
    </row>
    <row r="8974" spans="1:18" x14ac:dyDescent="0.2">
      <c r="A8974" t="s">
        <v>439</v>
      </c>
      <c r="B8974" t="s">
        <v>4321</v>
      </c>
      <c r="C8974">
        <v>81</v>
      </c>
      <c r="D8974" s="1">
        <v>44264.54482638889</v>
      </c>
      <c r="E8974" t="s">
        <v>28155</v>
      </c>
      <c r="F8974" t="s">
        <v>442</v>
      </c>
      <c r="G8974" t="s">
        <v>28156</v>
      </c>
      <c r="H8974" t="s">
        <v>444</v>
      </c>
      <c r="I8974" t="s">
        <v>53</v>
      </c>
      <c r="J8974">
        <v>81</v>
      </c>
      <c r="K8974">
        <f>81-50-3198-9316</f>
        <v>-12483</v>
      </c>
      <c r="L8974" t="s">
        <v>28159</v>
      </c>
      <c r="M8974" t="s">
        <v>28160</v>
      </c>
      <c r="N8974" t="s">
        <v>213</v>
      </c>
      <c r="O8974" t="s">
        <v>28</v>
      </c>
      <c r="P8974" t="s">
        <v>29</v>
      </c>
      <c r="Q8974">
        <v>42</v>
      </c>
      <c r="R8974">
        <v>-87.629800000000003</v>
      </c>
    </row>
    <row r="8975" spans="1:18" x14ac:dyDescent="0.2">
      <c r="A8975" t="s">
        <v>439</v>
      </c>
      <c r="B8975" t="s">
        <v>4321</v>
      </c>
      <c r="C8975">
        <v>1</v>
      </c>
      <c r="D8975" s="1">
        <v>44264.683344907404</v>
      </c>
      <c r="E8975" t="s">
        <v>28161</v>
      </c>
      <c r="F8975" t="s">
        <v>442</v>
      </c>
      <c r="G8975" t="s">
        <v>28162</v>
      </c>
      <c r="H8975" t="s">
        <v>444</v>
      </c>
      <c r="I8975" t="s">
        <v>29</v>
      </c>
      <c r="J8975">
        <v>1</v>
      </c>
      <c r="K8975">
        <f>1-888-881-5761</f>
        <v>-7529</v>
      </c>
      <c r="L8975" t="s">
        <v>28163</v>
      </c>
      <c r="M8975" t="s">
        <v>28164</v>
      </c>
      <c r="N8975" t="s">
        <v>452</v>
      </c>
      <c r="O8975" t="s">
        <v>28</v>
      </c>
      <c r="P8975" t="s">
        <v>29</v>
      </c>
      <c r="Q8975">
        <v>42</v>
      </c>
      <c r="R8975">
        <v>-87.629800000000003</v>
      </c>
    </row>
    <row r="8976" spans="1:18" x14ac:dyDescent="0.2">
      <c r="A8976" t="s">
        <v>439</v>
      </c>
      <c r="B8976" t="s">
        <v>4321</v>
      </c>
      <c r="C8976">
        <v>1</v>
      </c>
      <c r="D8976" s="1">
        <v>44264.741643518515</v>
      </c>
      <c r="E8976" t="s">
        <v>28165</v>
      </c>
      <c r="F8976" t="s">
        <v>442</v>
      </c>
      <c r="G8976" t="s">
        <v>28166</v>
      </c>
      <c r="H8976" t="s">
        <v>444</v>
      </c>
      <c r="I8976" t="s">
        <v>29</v>
      </c>
      <c r="J8976">
        <v>1</v>
      </c>
      <c r="K8976">
        <f>1-888-881-5761</f>
        <v>-7529</v>
      </c>
      <c r="L8976" t="s">
        <v>28167</v>
      </c>
      <c r="M8976" t="s">
        <v>28168</v>
      </c>
      <c r="N8976" t="s">
        <v>452</v>
      </c>
      <c r="O8976" t="s">
        <v>28</v>
      </c>
      <c r="P8976" t="s">
        <v>29</v>
      </c>
      <c r="Q8976">
        <v>42</v>
      </c>
      <c r="R8976">
        <v>-87.629800000000003</v>
      </c>
    </row>
    <row r="8977" spans="1:18" x14ac:dyDescent="0.2">
      <c r="A8977" t="s">
        <v>439</v>
      </c>
      <c r="B8977" t="s">
        <v>4321</v>
      </c>
      <c r="C8977">
        <v>1</v>
      </c>
      <c r="D8977" s="1">
        <v>44264.747581018521</v>
      </c>
      <c r="E8977" t="s">
        <v>28169</v>
      </c>
      <c r="F8977" t="s">
        <v>442</v>
      </c>
      <c r="G8977" t="s">
        <v>28170</v>
      </c>
      <c r="H8977" t="s">
        <v>444</v>
      </c>
      <c r="I8977" t="s">
        <v>29</v>
      </c>
      <c r="J8977">
        <v>1</v>
      </c>
      <c r="K8977">
        <f>1-844-250-7346</f>
        <v>-8439</v>
      </c>
      <c r="L8977" t="s">
        <v>28171</v>
      </c>
      <c r="M8977" t="s">
        <v>28172</v>
      </c>
      <c r="N8977" t="s">
        <v>25195</v>
      </c>
      <c r="O8977" t="s">
        <v>28</v>
      </c>
      <c r="P8977" t="s">
        <v>29</v>
      </c>
      <c r="Q8977">
        <v>42</v>
      </c>
      <c r="R8977">
        <v>-87.629800000000003</v>
      </c>
    </row>
    <row r="8978" spans="1:18" x14ac:dyDescent="0.2">
      <c r="A8978" t="s">
        <v>6586</v>
      </c>
      <c r="B8978" t="s">
        <v>20854</v>
      </c>
      <c r="C8978">
        <v>1</v>
      </c>
      <c r="D8978" s="1">
        <v>44264.749120370368</v>
      </c>
      <c r="E8978" t="s">
        <v>28173</v>
      </c>
      <c r="F8978" t="s">
        <v>6588</v>
      </c>
      <c r="G8978" t="s">
        <v>28174</v>
      </c>
      <c r="H8978" t="s">
        <v>6590</v>
      </c>
      <c r="I8978" t="s">
        <v>29</v>
      </c>
      <c r="J8978">
        <v>1</v>
      </c>
      <c r="K8978">
        <f>1-888-597-1345</f>
        <v>-2829</v>
      </c>
      <c r="L8978" t="s">
        <v>28175</v>
      </c>
      <c r="M8978" t="s">
        <v>28176</v>
      </c>
      <c r="N8978" t="s">
        <v>25263</v>
      </c>
      <c r="O8978" t="s">
        <v>28</v>
      </c>
      <c r="P8978" t="s">
        <v>29</v>
      </c>
      <c r="Q8978">
        <v>38</v>
      </c>
      <c r="R8978">
        <v>-99.999999000000003</v>
      </c>
    </row>
    <row r="8979" spans="1:18" x14ac:dyDescent="0.2">
      <c r="A8979" t="s">
        <v>10660</v>
      </c>
      <c r="B8979" t="s">
        <v>1638</v>
      </c>
      <c r="C8979">
        <v>1</v>
      </c>
      <c r="D8979" s="1">
        <v>44299.819236111114</v>
      </c>
      <c r="E8979" t="s">
        <v>28177</v>
      </c>
      <c r="F8979" t="s">
        <v>11960</v>
      </c>
      <c r="G8979" t="s">
        <v>28178</v>
      </c>
      <c r="H8979" t="s">
        <v>10664</v>
      </c>
      <c r="I8979" t="s">
        <v>29</v>
      </c>
      <c r="J8979">
        <v>1</v>
      </c>
      <c r="K8979">
        <f>1-888-395-482</f>
        <v>-1764</v>
      </c>
      <c r="L8979" t="s">
        <v>28179</v>
      </c>
      <c r="M8979" t="s">
        <v>28180</v>
      </c>
      <c r="N8979" t="s">
        <v>5468</v>
      </c>
      <c r="O8979" t="s">
        <v>28</v>
      </c>
      <c r="P8979" t="s">
        <v>292</v>
      </c>
      <c r="Q8979">
        <v>49</v>
      </c>
      <c r="R8979">
        <v>2.3281000000000001</v>
      </c>
    </row>
    <row r="8980" spans="1:18" x14ac:dyDescent="0.2">
      <c r="A8980" t="s">
        <v>10660</v>
      </c>
      <c r="B8980" t="s">
        <v>1638</v>
      </c>
      <c r="C8980">
        <v>1</v>
      </c>
      <c r="D8980" s="1">
        <v>44280.030891203707</v>
      </c>
      <c r="E8980" t="s">
        <v>28181</v>
      </c>
      <c r="F8980" t="s">
        <v>11960</v>
      </c>
      <c r="G8980" t="s">
        <v>28178</v>
      </c>
      <c r="H8980" t="s">
        <v>10664</v>
      </c>
      <c r="I8980" t="s">
        <v>29</v>
      </c>
      <c r="J8980">
        <v>1</v>
      </c>
      <c r="K8980">
        <f>1-888-596-5682</f>
        <v>-7165</v>
      </c>
      <c r="L8980" t="s">
        <v>28182</v>
      </c>
      <c r="M8980" t="s">
        <v>28183</v>
      </c>
      <c r="N8980" t="s">
        <v>5468</v>
      </c>
      <c r="O8980" t="s">
        <v>134</v>
      </c>
      <c r="P8980" t="s">
        <v>292</v>
      </c>
      <c r="Q8980">
        <v>49</v>
      </c>
      <c r="R8980">
        <v>2.3281000000000001</v>
      </c>
    </row>
    <row r="8981" spans="1:18" x14ac:dyDescent="0.2">
      <c r="A8981" t="s">
        <v>10660</v>
      </c>
      <c r="B8981" t="s">
        <v>1638</v>
      </c>
      <c r="C8981">
        <v>1</v>
      </c>
      <c r="D8981" s="1">
        <v>44264.784363425926</v>
      </c>
      <c r="E8981" t="s">
        <v>28184</v>
      </c>
      <c r="F8981" t="s">
        <v>11960</v>
      </c>
      <c r="G8981" t="s">
        <v>28178</v>
      </c>
      <c r="H8981" t="s">
        <v>10664</v>
      </c>
      <c r="I8981" t="s">
        <v>29</v>
      </c>
      <c r="J8981">
        <v>1</v>
      </c>
      <c r="K8981">
        <f>1-888-270-3356</f>
        <v>-4513</v>
      </c>
      <c r="L8981" t="s">
        <v>28185</v>
      </c>
      <c r="M8981" t="s">
        <v>28186</v>
      </c>
      <c r="N8981" t="s">
        <v>5468</v>
      </c>
      <c r="O8981" t="s">
        <v>28</v>
      </c>
      <c r="P8981" t="s">
        <v>292</v>
      </c>
      <c r="Q8981">
        <v>49</v>
      </c>
      <c r="R8981">
        <v>2.3281000000000001</v>
      </c>
    </row>
    <row r="8982" spans="1:18" x14ac:dyDescent="0.2">
      <c r="A8982" t="s">
        <v>10660</v>
      </c>
      <c r="B8982" t="s">
        <v>1638</v>
      </c>
      <c r="C8982">
        <v>1</v>
      </c>
      <c r="D8982" s="1">
        <v>44264.749988425923</v>
      </c>
      <c r="E8982" t="s">
        <v>28187</v>
      </c>
      <c r="F8982" t="s">
        <v>11960</v>
      </c>
      <c r="G8982" t="s">
        <v>28178</v>
      </c>
      <c r="H8982" t="s">
        <v>10664</v>
      </c>
      <c r="I8982" t="s">
        <v>29</v>
      </c>
      <c r="J8982">
        <v>1</v>
      </c>
      <c r="K8982">
        <f>1-888-210-6693</f>
        <v>-7790</v>
      </c>
      <c r="L8982" t="s">
        <v>28188</v>
      </c>
      <c r="M8982" t="s">
        <v>28189</v>
      </c>
      <c r="N8982" t="s">
        <v>5468</v>
      </c>
      <c r="O8982" t="s">
        <v>28</v>
      </c>
      <c r="P8982" t="s">
        <v>292</v>
      </c>
      <c r="Q8982">
        <v>49</v>
      </c>
      <c r="R8982">
        <v>2.3281000000000001</v>
      </c>
    </row>
    <row r="8983" spans="1:18" x14ac:dyDescent="0.2">
      <c r="A8983" t="s">
        <v>2349</v>
      </c>
      <c r="B8983" t="s">
        <v>454</v>
      </c>
      <c r="C8983">
        <v>1</v>
      </c>
      <c r="D8983" s="1">
        <v>44264.778101851851</v>
      </c>
      <c r="E8983" t="s">
        <v>28190</v>
      </c>
      <c r="F8983" t="s">
        <v>2352</v>
      </c>
      <c r="G8983" t="s">
        <v>28190</v>
      </c>
      <c r="H8983" t="s">
        <v>2353</v>
      </c>
      <c r="I8983" t="s">
        <v>29</v>
      </c>
      <c r="J8983">
        <v>1</v>
      </c>
      <c r="K8983">
        <f>1-844-347-1425</f>
        <v>-2615</v>
      </c>
      <c r="L8983" t="s">
        <v>28191</v>
      </c>
      <c r="M8983" t="s">
        <v>28192</v>
      </c>
      <c r="N8983">
        <v>26</v>
      </c>
      <c r="O8983" t="s">
        <v>134</v>
      </c>
      <c r="P8983" t="s">
        <v>461</v>
      </c>
      <c r="Q8983">
        <v>52</v>
      </c>
      <c r="R8983">
        <v>4.6562999999999999</v>
      </c>
    </row>
    <row r="8984" spans="1:18" x14ac:dyDescent="0.2">
      <c r="A8984" t="s">
        <v>2349</v>
      </c>
      <c r="B8984" t="s">
        <v>4281</v>
      </c>
      <c r="C8984">
        <v>1</v>
      </c>
      <c r="D8984" s="1">
        <v>44264.778402777774</v>
      </c>
      <c r="E8984" t="s">
        <v>28193</v>
      </c>
      <c r="F8984" t="s">
        <v>4584</v>
      </c>
      <c r="G8984" t="s">
        <v>28193</v>
      </c>
      <c r="H8984" t="s">
        <v>2353</v>
      </c>
      <c r="I8984" t="s">
        <v>29</v>
      </c>
      <c r="J8984">
        <v>1</v>
      </c>
      <c r="K8984">
        <f>1-844-347-1425</f>
        <v>-2615</v>
      </c>
      <c r="L8984" t="s">
        <v>28194</v>
      </c>
      <c r="M8984" t="s">
        <v>28195</v>
      </c>
      <c r="N8984">
        <v>199</v>
      </c>
      <c r="O8984" t="s">
        <v>134</v>
      </c>
      <c r="P8984" t="s">
        <v>24</v>
      </c>
      <c r="Q8984">
        <v>50</v>
      </c>
      <c r="R8984">
        <v>8.7147000000000006</v>
      </c>
    </row>
    <row r="8985" spans="1:18" x14ac:dyDescent="0.2">
      <c r="A8985" t="s">
        <v>439</v>
      </c>
      <c r="B8985" t="s">
        <v>4321</v>
      </c>
      <c r="C8985">
        <v>1</v>
      </c>
      <c r="D8985" s="1">
        <v>44264.830648148149</v>
      </c>
      <c r="E8985" t="s">
        <v>28196</v>
      </c>
      <c r="F8985" t="s">
        <v>442</v>
      </c>
      <c r="G8985" t="s">
        <v>28197</v>
      </c>
      <c r="H8985" t="s">
        <v>444</v>
      </c>
      <c r="I8985" t="s">
        <v>29</v>
      </c>
      <c r="J8985">
        <v>1</v>
      </c>
      <c r="K8985">
        <f>1-844-309-2195</f>
        <v>-3347</v>
      </c>
      <c r="L8985" t="s">
        <v>28198</v>
      </c>
      <c r="M8985" t="s">
        <v>28199</v>
      </c>
      <c r="N8985" t="s">
        <v>3441</v>
      </c>
      <c r="O8985" t="s">
        <v>28</v>
      </c>
      <c r="P8985" t="s">
        <v>29</v>
      </c>
      <c r="Q8985">
        <v>42</v>
      </c>
      <c r="R8985">
        <v>-87.629800000000003</v>
      </c>
    </row>
    <row r="8986" spans="1:18" x14ac:dyDescent="0.2">
      <c r="A8986" t="s">
        <v>6586</v>
      </c>
      <c r="B8986" t="s">
        <v>24593</v>
      </c>
      <c r="C8986">
        <v>1</v>
      </c>
      <c r="D8986" s="1">
        <v>44264.824004629627</v>
      </c>
      <c r="E8986" t="s">
        <v>28200</v>
      </c>
      <c r="F8986" t="s">
        <v>6588</v>
      </c>
      <c r="G8986" t="s">
        <v>28201</v>
      </c>
      <c r="H8986" t="s">
        <v>6590</v>
      </c>
      <c r="I8986" t="s">
        <v>29</v>
      </c>
      <c r="J8986">
        <v>1</v>
      </c>
      <c r="K8986">
        <f>1-888-706-1229</f>
        <v>-2822</v>
      </c>
      <c r="L8986" t="s">
        <v>28202</v>
      </c>
      <c r="M8986" t="s">
        <v>28203</v>
      </c>
      <c r="N8986" t="s">
        <v>25263</v>
      </c>
      <c r="O8986" t="s">
        <v>28</v>
      </c>
      <c r="P8986" t="s">
        <v>29</v>
      </c>
      <c r="Q8986">
        <v>41</v>
      </c>
      <c r="R8986">
        <v>-74.459199999999996</v>
      </c>
    </row>
    <row r="8987" spans="1:18" x14ac:dyDescent="0.2">
      <c r="A8987" t="s">
        <v>439</v>
      </c>
      <c r="B8987" t="s">
        <v>4321</v>
      </c>
      <c r="C8987">
        <v>1</v>
      </c>
      <c r="D8987" s="1">
        <v>44264.838842592595</v>
      </c>
      <c r="E8987" t="s">
        <v>28204</v>
      </c>
      <c r="F8987" t="s">
        <v>442</v>
      </c>
      <c r="G8987" t="s">
        <v>28205</v>
      </c>
      <c r="H8987" t="s">
        <v>444</v>
      </c>
      <c r="I8987" t="s">
        <v>29</v>
      </c>
      <c r="J8987">
        <v>1</v>
      </c>
      <c r="K8987">
        <f>1-830-313-9941</f>
        <v>-11083</v>
      </c>
      <c r="L8987" t="s">
        <v>28206</v>
      </c>
      <c r="M8987" t="s">
        <v>28207</v>
      </c>
      <c r="N8987" t="s">
        <v>452</v>
      </c>
      <c r="O8987" t="s">
        <v>28</v>
      </c>
      <c r="P8987" t="s">
        <v>29</v>
      </c>
      <c r="Q8987">
        <v>42</v>
      </c>
      <c r="R8987">
        <v>-87.629800000000003</v>
      </c>
    </row>
    <row r="8988" spans="1:18" x14ac:dyDescent="0.2">
      <c r="A8988" t="s">
        <v>439</v>
      </c>
      <c r="B8988" t="s">
        <v>4321</v>
      </c>
      <c r="C8988">
        <v>1</v>
      </c>
      <c r="D8988" s="1">
        <v>44264.839861111112</v>
      </c>
      <c r="E8988" t="s">
        <v>28208</v>
      </c>
      <c r="F8988" t="s">
        <v>442</v>
      </c>
      <c r="G8988" t="s">
        <v>28209</v>
      </c>
      <c r="H8988" t="s">
        <v>444</v>
      </c>
      <c r="I8988" t="s">
        <v>29</v>
      </c>
      <c r="J8988">
        <v>1</v>
      </c>
      <c r="K8988">
        <f>1-833-220-3028</f>
        <v>-4080</v>
      </c>
      <c r="L8988" t="s">
        <v>28210</v>
      </c>
      <c r="M8988" t="s">
        <v>28211</v>
      </c>
      <c r="N8988" t="s">
        <v>447</v>
      </c>
      <c r="O8988" t="s">
        <v>28</v>
      </c>
      <c r="P8988" t="s">
        <v>29</v>
      </c>
      <c r="Q8988">
        <v>42</v>
      </c>
      <c r="R8988">
        <v>-87.629800000000003</v>
      </c>
    </row>
    <row r="8989" spans="1:18" x14ac:dyDescent="0.2">
      <c r="A8989" t="s">
        <v>439</v>
      </c>
      <c r="B8989" t="s">
        <v>4321</v>
      </c>
      <c r="C8989">
        <v>1</v>
      </c>
      <c r="D8989" s="1">
        <v>44264.842719907407</v>
      </c>
      <c r="E8989" t="s">
        <v>28212</v>
      </c>
      <c r="F8989" t="s">
        <v>442</v>
      </c>
      <c r="G8989" t="s">
        <v>28213</v>
      </c>
      <c r="H8989" t="s">
        <v>444</v>
      </c>
      <c r="I8989" t="s">
        <v>29</v>
      </c>
      <c r="J8989">
        <v>1</v>
      </c>
      <c r="K8989">
        <f>1-888-258-8646</f>
        <v>-9791</v>
      </c>
      <c r="L8989" t="s">
        <v>28214</v>
      </c>
      <c r="M8989" t="s">
        <v>28215</v>
      </c>
      <c r="N8989" t="s">
        <v>452</v>
      </c>
      <c r="O8989" t="s">
        <v>28</v>
      </c>
      <c r="P8989" t="s">
        <v>29</v>
      </c>
      <c r="Q8989">
        <v>42</v>
      </c>
      <c r="R8989">
        <v>-87.629800000000003</v>
      </c>
    </row>
    <row r="8990" spans="1:18" x14ac:dyDescent="0.2">
      <c r="A8990" t="s">
        <v>10660</v>
      </c>
      <c r="B8990" t="s">
        <v>1638</v>
      </c>
      <c r="C8990">
        <v>1</v>
      </c>
      <c r="D8990" s="1">
        <v>44305.050115740742</v>
      </c>
      <c r="E8990" t="s">
        <v>28216</v>
      </c>
      <c r="F8990" t="s">
        <v>11960</v>
      </c>
      <c r="G8990" t="s">
        <v>28217</v>
      </c>
      <c r="H8990" t="s">
        <v>10664</v>
      </c>
      <c r="I8990" t="s">
        <v>29</v>
      </c>
      <c r="J8990">
        <v>1</v>
      </c>
      <c r="K8990">
        <f>1-888-732-1062</f>
        <v>-2681</v>
      </c>
      <c r="L8990" t="s">
        <v>28218</v>
      </c>
      <c r="M8990" t="s">
        <v>28219</v>
      </c>
      <c r="N8990" t="s">
        <v>5468</v>
      </c>
      <c r="O8990" t="s">
        <v>28</v>
      </c>
      <c r="P8990" t="s">
        <v>292</v>
      </c>
      <c r="Q8990">
        <v>49</v>
      </c>
      <c r="R8990">
        <v>2.3281000000000001</v>
      </c>
    </row>
    <row r="8991" spans="1:18" x14ac:dyDescent="0.2">
      <c r="A8991" t="s">
        <v>10660</v>
      </c>
      <c r="B8991" t="s">
        <v>1638</v>
      </c>
      <c r="C8991">
        <v>1</v>
      </c>
      <c r="D8991" s="1">
        <v>44302.836817129632</v>
      </c>
      <c r="E8991" t="s">
        <v>28220</v>
      </c>
      <c r="F8991" t="s">
        <v>11960</v>
      </c>
      <c r="G8991" t="s">
        <v>28217</v>
      </c>
      <c r="H8991" t="s">
        <v>10664</v>
      </c>
      <c r="I8991" t="s">
        <v>29</v>
      </c>
      <c r="J8991">
        <v>1</v>
      </c>
      <c r="K8991">
        <f>1-888-727-7076</f>
        <v>-8690</v>
      </c>
      <c r="L8991" t="s">
        <v>28221</v>
      </c>
      <c r="M8991" t="s">
        <v>28222</v>
      </c>
      <c r="N8991" t="s">
        <v>5468</v>
      </c>
      <c r="O8991" t="s">
        <v>28</v>
      </c>
      <c r="P8991" t="s">
        <v>292</v>
      </c>
      <c r="Q8991">
        <v>49</v>
      </c>
      <c r="R8991">
        <v>2.3281000000000001</v>
      </c>
    </row>
    <row r="8992" spans="1:18" x14ac:dyDescent="0.2">
      <c r="A8992" t="s">
        <v>10660</v>
      </c>
      <c r="B8992" t="s">
        <v>1638</v>
      </c>
      <c r="C8992">
        <v>1</v>
      </c>
      <c r="D8992" s="1">
        <v>44301.904305555552</v>
      </c>
      <c r="E8992" t="s">
        <v>27803</v>
      </c>
      <c r="F8992" t="s">
        <v>11960</v>
      </c>
      <c r="G8992" t="s">
        <v>28217</v>
      </c>
      <c r="H8992" t="s">
        <v>10664</v>
      </c>
      <c r="I8992" t="s">
        <v>29</v>
      </c>
      <c r="J8992">
        <v>1</v>
      </c>
      <c r="K8992">
        <f>1-888-732-1477</f>
        <v>-3096</v>
      </c>
      <c r="L8992" t="s">
        <v>28223</v>
      </c>
      <c r="M8992" t="s">
        <v>28224</v>
      </c>
      <c r="N8992" t="s">
        <v>5468</v>
      </c>
      <c r="O8992" t="s">
        <v>28</v>
      </c>
      <c r="P8992" t="s">
        <v>292</v>
      </c>
      <c r="Q8992">
        <v>49</v>
      </c>
      <c r="R8992">
        <v>2.3281000000000001</v>
      </c>
    </row>
    <row r="8993" spans="1:18" x14ac:dyDescent="0.2">
      <c r="A8993" t="s">
        <v>10660</v>
      </c>
      <c r="B8993" t="s">
        <v>1638</v>
      </c>
      <c r="C8993">
        <v>1</v>
      </c>
      <c r="D8993" s="1">
        <v>44285.960520833331</v>
      </c>
      <c r="E8993" t="s">
        <v>28225</v>
      </c>
      <c r="F8993" t="s">
        <v>11960</v>
      </c>
      <c r="G8993" t="s">
        <v>28217</v>
      </c>
      <c r="H8993" t="s">
        <v>10664</v>
      </c>
      <c r="I8993" t="s">
        <v>29</v>
      </c>
      <c r="J8993">
        <v>1</v>
      </c>
      <c r="K8993">
        <f>1-888-425-1375</f>
        <v>-2687</v>
      </c>
      <c r="L8993" t="s">
        <v>28226</v>
      </c>
      <c r="M8993" t="s">
        <v>28227</v>
      </c>
      <c r="N8993" t="s">
        <v>5468</v>
      </c>
      <c r="O8993" t="s">
        <v>28</v>
      </c>
      <c r="P8993" t="s">
        <v>292</v>
      </c>
      <c r="Q8993">
        <v>49</v>
      </c>
      <c r="R8993">
        <v>2.3281000000000001</v>
      </c>
    </row>
    <row r="8994" spans="1:18" x14ac:dyDescent="0.2">
      <c r="A8994" t="s">
        <v>10660</v>
      </c>
      <c r="B8994" t="s">
        <v>1638</v>
      </c>
      <c r="C8994">
        <v>1</v>
      </c>
      <c r="D8994" s="1">
        <v>44286.764074074075</v>
      </c>
      <c r="E8994" t="s">
        <v>28228</v>
      </c>
      <c r="F8994" t="s">
        <v>11960</v>
      </c>
      <c r="G8994" t="s">
        <v>28217</v>
      </c>
      <c r="H8994" t="s">
        <v>10664</v>
      </c>
      <c r="I8994" t="s">
        <v>29</v>
      </c>
      <c r="J8994">
        <v>1</v>
      </c>
      <c r="K8994">
        <f>1-888-360-6162</f>
        <v>-7409</v>
      </c>
      <c r="L8994" t="s">
        <v>28229</v>
      </c>
      <c r="M8994" t="s">
        <v>28230</v>
      </c>
      <c r="N8994" t="s">
        <v>5468</v>
      </c>
      <c r="O8994" t="s">
        <v>28</v>
      </c>
      <c r="P8994" t="s">
        <v>292</v>
      </c>
      <c r="Q8994">
        <v>49</v>
      </c>
      <c r="R8994">
        <v>2.3281000000000001</v>
      </c>
    </row>
    <row r="8995" spans="1:18" x14ac:dyDescent="0.2">
      <c r="A8995" t="s">
        <v>10660</v>
      </c>
      <c r="B8995" t="s">
        <v>1638</v>
      </c>
      <c r="C8995">
        <v>1</v>
      </c>
      <c r="D8995" s="1">
        <v>44264.912581018521</v>
      </c>
      <c r="E8995" t="s">
        <v>27603</v>
      </c>
      <c r="F8995" t="s">
        <v>11960</v>
      </c>
      <c r="G8995" t="s">
        <v>28217</v>
      </c>
      <c r="H8995" t="s">
        <v>10664</v>
      </c>
      <c r="I8995" t="s">
        <v>29</v>
      </c>
      <c r="J8995">
        <v>1</v>
      </c>
      <c r="K8995">
        <f>1-888-534-7134</f>
        <v>-8555</v>
      </c>
      <c r="L8995" t="s">
        <v>28231</v>
      </c>
      <c r="M8995" t="s">
        <v>28232</v>
      </c>
      <c r="N8995" t="s">
        <v>5468</v>
      </c>
      <c r="O8995" t="s">
        <v>28</v>
      </c>
      <c r="P8995" t="s">
        <v>292</v>
      </c>
      <c r="Q8995">
        <v>49</v>
      </c>
      <c r="R8995">
        <v>2.3281000000000001</v>
      </c>
    </row>
    <row r="8996" spans="1:18" x14ac:dyDescent="0.2">
      <c r="A8996" t="s">
        <v>10660</v>
      </c>
      <c r="B8996" t="s">
        <v>1638</v>
      </c>
      <c r="C8996">
        <v>1</v>
      </c>
      <c r="D8996" s="1">
        <v>44264.845902777779</v>
      </c>
      <c r="E8996" t="s">
        <v>28233</v>
      </c>
      <c r="F8996" t="s">
        <v>11960</v>
      </c>
      <c r="G8996" t="s">
        <v>28217</v>
      </c>
      <c r="H8996" t="s">
        <v>10664</v>
      </c>
      <c r="I8996" t="s">
        <v>29</v>
      </c>
      <c r="J8996">
        <v>1</v>
      </c>
      <c r="K8996">
        <f>1-888-210-5955</f>
        <v>-7052</v>
      </c>
      <c r="L8996" t="s">
        <v>28234</v>
      </c>
      <c r="M8996" t="s">
        <v>28235</v>
      </c>
      <c r="N8996" t="s">
        <v>5468</v>
      </c>
      <c r="O8996" t="s">
        <v>28</v>
      </c>
      <c r="P8996" t="s">
        <v>292</v>
      </c>
      <c r="Q8996">
        <v>49</v>
      </c>
      <c r="R8996">
        <v>2.3281000000000001</v>
      </c>
    </row>
    <row r="8997" spans="1:18" x14ac:dyDescent="0.2">
      <c r="A8997" t="s">
        <v>439</v>
      </c>
      <c r="B8997" t="s">
        <v>4321</v>
      </c>
      <c r="C8997">
        <v>1</v>
      </c>
      <c r="D8997" s="1">
        <v>44264.850381944445</v>
      </c>
      <c r="E8997" t="s">
        <v>28236</v>
      </c>
      <c r="F8997" t="s">
        <v>442</v>
      </c>
      <c r="G8997" t="s">
        <v>28237</v>
      </c>
      <c r="H8997" t="s">
        <v>444</v>
      </c>
      <c r="I8997" t="s">
        <v>29</v>
      </c>
      <c r="J8997">
        <v>1</v>
      </c>
      <c r="K8997">
        <f>1-833-220-3689</f>
        <v>-4741</v>
      </c>
      <c r="L8997" t="s">
        <v>28238</v>
      </c>
      <c r="M8997" t="s">
        <v>28239</v>
      </c>
      <c r="N8997" t="s">
        <v>25195</v>
      </c>
      <c r="O8997" t="s">
        <v>28</v>
      </c>
      <c r="P8997" t="s">
        <v>29</v>
      </c>
      <c r="Q8997">
        <v>42</v>
      </c>
      <c r="R8997">
        <v>-87.629800000000003</v>
      </c>
    </row>
    <row r="8998" spans="1:18" x14ac:dyDescent="0.2">
      <c r="A8998" t="s">
        <v>439</v>
      </c>
      <c r="B8998" t="s">
        <v>4321</v>
      </c>
      <c r="C8998">
        <v>1</v>
      </c>
      <c r="D8998" s="1">
        <v>44264.866736111115</v>
      </c>
      <c r="E8998" t="s">
        <v>28240</v>
      </c>
      <c r="F8998" t="s">
        <v>442</v>
      </c>
      <c r="G8998" t="s">
        <v>28241</v>
      </c>
      <c r="H8998" t="s">
        <v>444</v>
      </c>
      <c r="I8998" t="s">
        <v>29</v>
      </c>
      <c r="J8998">
        <v>1</v>
      </c>
      <c r="K8998">
        <f>1-888-585-4281</f>
        <v>-5753</v>
      </c>
      <c r="L8998" t="s">
        <v>28242</v>
      </c>
      <c r="M8998" t="s">
        <v>28243</v>
      </c>
      <c r="N8998" t="s">
        <v>452</v>
      </c>
      <c r="O8998" t="s">
        <v>28</v>
      </c>
      <c r="P8998" t="s">
        <v>29</v>
      </c>
      <c r="Q8998">
        <v>42</v>
      </c>
      <c r="R8998">
        <v>-87.629800000000003</v>
      </c>
    </row>
    <row r="8999" spans="1:18" x14ac:dyDescent="0.2">
      <c r="A8999" t="s">
        <v>2233</v>
      </c>
      <c r="B8999" t="s">
        <v>4672</v>
      </c>
      <c r="C8999">
        <v>1</v>
      </c>
      <c r="D8999" s="1">
        <v>44264.889120370368</v>
      </c>
      <c r="E8999" t="s">
        <v>28244</v>
      </c>
      <c r="F8999" t="s">
        <v>2236</v>
      </c>
      <c r="G8999" t="s">
        <v>28245</v>
      </c>
      <c r="H8999" t="s">
        <v>2237</v>
      </c>
      <c r="I8999" t="s">
        <v>29</v>
      </c>
      <c r="J8999">
        <v>1</v>
      </c>
      <c r="K8999">
        <f>1-833-220-3017</f>
        <v>-4069</v>
      </c>
      <c r="L8999" t="s">
        <v>28246</v>
      </c>
      <c r="M8999" t="s">
        <v>28247</v>
      </c>
      <c r="O8999" t="s">
        <v>134</v>
      </c>
      <c r="P8999" t="s">
        <v>782</v>
      </c>
      <c r="Q8999">
        <v>-34</v>
      </c>
      <c r="R8999">
        <v>99.999999000000003</v>
      </c>
    </row>
    <row r="9000" spans="1:18" x14ac:dyDescent="0.2">
      <c r="A9000" t="s">
        <v>439</v>
      </c>
      <c r="B9000" t="s">
        <v>4321</v>
      </c>
      <c r="C9000">
        <v>1</v>
      </c>
      <c r="D9000" s="1">
        <v>44264.912824074076</v>
      </c>
      <c r="E9000" t="s">
        <v>28248</v>
      </c>
      <c r="F9000" t="s">
        <v>442</v>
      </c>
      <c r="G9000" t="s">
        <v>28249</v>
      </c>
      <c r="H9000" t="s">
        <v>444</v>
      </c>
      <c r="I9000" t="s">
        <v>29</v>
      </c>
      <c r="J9000">
        <v>1</v>
      </c>
      <c r="K9000">
        <f>1-844-684-1548</f>
        <v>-3075</v>
      </c>
      <c r="L9000" t="s">
        <v>28250</v>
      </c>
      <c r="M9000" t="s">
        <v>28251</v>
      </c>
      <c r="N9000" t="s">
        <v>213</v>
      </c>
      <c r="O9000" t="s">
        <v>28</v>
      </c>
      <c r="P9000" t="s">
        <v>29</v>
      </c>
      <c r="Q9000">
        <v>42</v>
      </c>
      <c r="R9000">
        <v>-87.629800000000003</v>
      </c>
    </row>
    <row r="9001" spans="1:18" x14ac:dyDescent="0.2">
      <c r="A9001" t="s">
        <v>1637</v>
      </c>
      <c r="B9001" t="s">
        <v>1638</v>
      </c>
      <c r="C9001">
        <v>1</v>
      </c>
      <c r="D9001" s="1">
        <v>44265.758055555554</v>
      </c>
      <c r="E9001" t="s">
        <v>28252</v>
      </c>
      <c r="F9001" t="s">
        <v>5753</v>
      </c>
      <c r="G9001" t="s">
        <v>28253</v>
      </c>
      <c r="H9001" t="s">
        <v>1642</v>
      </c>
      <c r="I9001" t="s">
        <v>29</v>
      </c>
      <c r="J9001">
        <v>1</v>
      </c>
      <c r="K9001">
        <f>1-888-490-4530</f>
        <v>-5907</v>
      </c>
      <c r="L9001" t="s">
        <v>28254</v>
      </c>
      <c r="M9001" t="s">
        <v>28255</v>
      </c>
      <c r="N9001" t="s">
        <v>3282</v>
      </c>
      <c r="O9001" t="s">
        <v>134</v>
      </c>
      <c r="P9001" t="s">
        <v>292</v>
      </c>
      <c r="Q9001">
        <v>49</v>
      </c>
      <c r="R9001">
        <v>2.32131</v>
      </c>
    </row>
    <row r="9002" spans="1:18" x14ac:dyDescent="0.2">
      <c r="A9002" t="s">
        <v>1637</v>
      </c>
      <c r="B9002" t="s">
        <v>1638</v>
      </c>
      <c r="C9002">
        <v>1</v>
      </c>
      <c r="D9002" s="1">
        <v>44264.918773148151</v>
      </c>
      <c r="E9002" t="s">
        <v>28256</v>
      </c>
      <c r="F9002" t="s">
        <v>5753</v>
      </c>
      <c r="G9002" t="s">
        <v>28253</v>
      </c>
      <c r="H9002" t="s">
        <v>1642</v>
      </c>
      <c r="I9002" t="s">
        <v>29</v>
      </c>
      <c r="J9002">
        <v>1</v>
      </c>
      <c r="K9002">
        <f>1-888-448-6668</f>
        <v>-8003</v>
      </c>
      <c r="L9002" s="2" t="s">
        <v>28257</v>
      </c>
      <c r="M9002" t="s">
        <v>28258</v>
      </c>
      <c r="N9002" t="s">
        <v>3282</v>
      </c>
      <c r="O9002" t="s">
        <v>134</v>
      </c>
      <c r="P9002" t="s">
        <v>292</v>
      </c>
      <c r="Q9002">
        <v>49</v>
      </c>
      <c r="R9002">
        <v>2.32131</v>
      </c>
    </row>
    <row r="9003" spans="1:18" x14ac:dyDescent="0.2">
      <c r="A9003" t="s">
        <v>663</v>
      </c>
      <c r="B9003" t="s">
        <v>2493</v>
      </c>
      <c r="C9003">
        <v>1</v>
      </c>
      <c r="D9003" s="1">
        <v>44264.925451388888</v>
      </c>
      <c r="E9003" t="s">
        <v>28259</v>
      </c>
      <c r="F9003" t="s">
        <v>666</v>
      </c>
      <c r="G9003" t="s">
        <v>28260</v>
      </c>
      <c r="H9003" t="s">
        <v>667</v>
      </c>
      <c r="I9003" t="s">
        <v>29</v>
      </c>
      <c r="J9003">
        <v>1</v>
      </c>
      <c r="K9003">
        <f>1-833-402-6</f>
        <v>-1240</v>
      </c>
      <c r="L9003" t="s">
        <v>28261</v>
      </c>
      <c r="M9003" t="s">
        <v>28262</v>
      </c>
      <c r="N9003" t="s">
        <v>3454</v>
      </c>
      <c r="O9003" t="s">
        <v>28</v>
      </c>
      <c r="P9003" t="s">
        <v>29</v>
      </c>
      <c r="Q9003">
        <v>41</v>
      </c>
      <c r="R9003">
        <v>-74.024699999999996</v>
      </c>
    </row>
    <row r="9004" spans="1:18" x14ac:dyDescent="0.2">
      <c r="A9004" t="s">
        <v>2233</v>
      </c>
      <c r="B9004" t="s">
        <v>4281</v>
      </c>
      <c r="C9004">
        <v>32</v>
      </c>
      <c r="D9004" s="1">
        <v>44265.512800925928</v>
      </c>
      <c r="E9004" t="s">
        <v>28263</v>
      </c>
      <c r="F9004" t="s">
        <v>7023</v>
      </c>
      <c r="G9004" t="s">
        <v>28263</v>
      </c>
      <c r="H9004" t="s">
        <v>2237</v>
      </c>
      <c r="I9004" t="s">
        <v>4288</v>
      </c>
      <c r="J9004">
        <v>32</v>
      </c>
      <c r="K9004">
        <f>32-2-808-5-71</f>
        <v>-854</v>
      </c>
      <c r="L9004" t="s">
        <v>28264</v>
      </c>
      <c r="M9004" t="s">
        <v>28265</v>
      </c>
      <c r="N9004">
        <v>20</v>
      </c>
      <c r="O9004" t="s">
        <v>134</v>
      </c>
      <c r="P9004" t="s">
        <v>24</v>
      </c>
      <c r="Q9004">
        <v>50</v>
      </c>
      <c r="R9004">
        <v>8.6821300000000008</v>
      </c>
    </row>
    <row r="9005" spans="1:18" x14ac:dyDescent="0.2">
      <c r="A9005" t="s">
        <v>2233</v>
      </c>
      <c r="B9005" t="s">
        <v>4672</v>
      </c>
      <c r="C9005">
        <v>44</v>
      </c>
      <c r="D9005" s="1">
        <v>44265.528333333335</v>
      </c>
      <c r="E9005" t="s">
        <v>28266</v>
      </c>
      <c r="F9005" t="s">
        <v>7023</v>
      </c>
      <c r="G9005" t="s">
        <v>28267</v>
      </c>
      <c r="H9005" t="s">
        <v>2237</v>
      </c>
      <c r="I9005" t="s">
        <v>618</v>
      </c>
      <c r="J9005">
        <v>44</v>
      </c>
      <c r="K9005">
        <f>44-744-144-9483</f>
        <v>-10327</v>
      </c>
      <c r="L9005" t="s">
        <v>28268</v>
      </c>
      <c r="M9005" t="s">
        <v>28269</v>
      </c>
      <c r="N9005" t="s">
        <v>28270</v>
      </c>
      <c r="O9005" t="s">
        <v>134</v>
      </c>
      <c r="P9005" t="s">
        <v>782</v>
      </c>
      <c r="Q9005">
        <v>-34</v>
      </c>
      <c r="R9005">
        <v>99.999999000000003</v>
      </c>
    </row>
    <row r="9006" spans="1:18" x14ac:dyDescent="0.2">
      <c r="A9006" t="s">
        <v>439</v>
      </c>
      <c r="B9006" t="s">
        <v>4321</v>
      </c>
      <c r="C9006">
        <v>81</v>
      </c>
      <c r="D9006" s="1">
        <v>44265.643807870372</v>
      </c>
      <c r="E9006" t="s">
        <v>28271</v>
      </c>
      <c r="F9006" t="s">
        <v>442</v>
      </c>
      <c r="G9006" t="s">
        <v>28272</v>
      </c>
      <c r="H9006" t="s">
        <v>444</v>
      </c>
      <c r="I9006" t="s">
        <v>53</v>
      </c>
      <c r="J9006">
        <v>81</v>
      </c>
      <c r="K9006">
        <f>81-50-3196-4208</f>
        <v>-7373</v>
      </c>
      <c r="L9006" t="s">
        <v>28273</v>
      </c>
      <c r="M9006" t="s">
        <v>28274</v>
      </c>
      <c r="N9006" t="s">
        <v>213</v>
      </c>
      <c r="O9006" t="s">
        <v>28</v>
      </c>
      <c r="P9006" t="s">
        <v>29</v>
      </c>
      <c r="Q9006">
        <v>42</v>
      </c>
      <c r="R9006">
        <v>-87.629800000000003</v>
      </c>
    </row>
    <row r="9007" spans="1:18" x14ac:dyDescent="0.2">
      <c r="A9007" t="s">
        <v>439</v>
      </c>
      <c r="B9007" t="s">
        <v>4321</v>
      </c>
      <c r="C9007">
        <v>81</v>
      </c>
      <c r="D9007" s="1">
        <v>44265.709814814814</v>
      </c>
      <c r="E9007" t="s">
        <v>28275</v>
      </c>
      <c r="F9007" t="s">
        <v>442</v>
      </c>
      <c r="G9007" t="s">
        <v>28276</v>
      </c>
      <c r="H9007" t="s">
        <v>444</v>
      </c>
      <c r="I9007" t="s">
        <v>53</v>
      </c>
      <c r="J9007">
        <v>81</v>
      </c>
      <c r="K9007">
        <f>81-50-3185-3620</f>
        <v>-6774</v>
      </c>
      <c r="L9007" t="s">
        <v>28277</v>
      </c>
      <c r="M9007" t="s">
        <v>28278</v>
      </c>
      <c r="N9007" t="s">
        <v>447</v>
      </c>
      <c r="O9007" t="s">
        <v>28</v>
      </c>
      <c r="P9007" t="s">
        <v>29</v>
      </c>
      <c r="Q9007">
        <v>42</v>
      </c>
      <c r="R9007">
        <v>-87.629800000000003</v>
      </c>
    </row>
    <row r="9008" spans="1:18" x14ac:dyDescent="0.2">
      <c r="A9008" t="s">
        <v>439</v>
      </c>
      <c r="B9008" t="s">
        <v>4321</v>
      </c>
      <c r="C9008">
        <v>81</v>
      </c>
      <c r="D9008" s="1">
        <v>44265.64502314815</v>
      </c>
      <c r="E9008" t="s">
        <v>28275</v>
      </c>
      <c r="F9008" t="s">
        <v>442</v>
      </c>
      <c r="G9008" t="s">
        <v>28276</v>
      </c>
      <c r="H9008" t="s">
        <v>444</v>
      </c>
      <c r="I9008" t="s">
        <v>53</v>
      </c>
      <c r="J9008">
        <v>81</v>
      </c>
      <c r="K9008">
        <f>81-50-3185-3620</f>
        <v>-6774</v>
      </c>
      <c r="L9008" t="s">
        <v>28279</v>
      </c>
      <c r="M9008" t="s">
        <v>28280</v>
      </c>
      <c r="N9008" t="s">
        <v>447</v>
      </c>
      <c r="O9008" t="s">
        <v>28</v>
      </c>
      <c r="P9008" t="s">
        <v>29</v>
      </c>
      <c r="Q9008">
        <v>42</v>
      </c>
      <c r="R9008">
        <v>-87.629800000000003</v>
      </c>
    </row>
    <row r="9009" spans="1:18" x14ac:dyDescent="0.2">
      <c r="A9009" t="s">
        <v>439</v>
      </c>
      <c r="B9009" t="s">
        <v>4321</v>
      </c>
      <c r="C9009">
        <v>81</v>
      </c>
      <c r="D9009" s="1">
        <v>44265.71025462963</v>
      </c>
      <c r="E9009" t="s">
        <v>28281</v>
      </c>
      <c r="F9009" t="s">
        <v>442</v>
      </c>
      <c r="G9009" t="s">
        <v>28282</v>
      </c>
      <c r="H9009" t="s">
        <v>444</v>
      </c>
      <c r="I9009" t="s">
        <v>53</v>
      </c>
      <c r="J9009">
        <v>81</v>
      </c>
      <c r="K9009">
        <f>81-50-5809-7818</f>
        <v>-13596</v>
      </c>
      <c r="L9009" t="s">
        <v>28283</v>
      </c>
      <c r="M9009" t="s">
        <v>28284</v>
      </c>
      <c r="N9009" t="s">
        <v>447</v>
      </c>
      <c r="O9009" t="s">
        <v>28</v>
      </c>
      <c r="P9009" t="s">
        <v>29</v>
      </c>
      <c r="Q9009">
        <v>42</v>
      </c>
      <c r="R9009">
        <v>-87.629800000000003</v>
      </c>
    </row>
    <row r="9010" spans="1:18" x14ac:dyDescent="0.2">
      <c r="A9010" t="s">
        <v>439</v>
      </c>
      <c r="B9010" t="s">
        <v>4321</v>
      </c>
      <c r="C9010">
        <v>81</v>
      </c>
      <c r="D9010" s="1">
        <v>44265.645532407405</v>
      </c>
      <c r="E9010" t="s">
        <v>28281</v>
      </c>
      <c r="F9010" t="s">
        <v>442</v>
      </c>
      <c r="G9010" t="s">
        <v>28282</v>
      </c>
      <c r="H9010" t="s">
        <v>444</v>
      </c>
      <c r="I9010" t="s">
        <v>53</v>
      </c>
      <c r="J9010">
        <v>81</v>
      </c>
      <c r="K9010">
        <f>81-50-5809-7818</f>
        <v>-13596</v>
      </c>
      <c r="L9010" t="s">
        <v>28285</v>
      </c>
      <c r="M9010" t="s">
        <v>28286</v>
      </c>
      <c r="N9010" t="s">
        <v>447</v>
      </c>
      <c r="O9010" t="s">
        <v>28</v>
      </c>
      <c r="P9010" t="s">
        <v>29</v>
      </c>
      <c r="Q9010">
        <v>42</v>
      </c>
      <c r="R9010">
        <v>-87.629800000000003</v>
      </c>
    </row>
    <row r="9011" spans="1:18" x14ac:dyDescent="0.2">
      <c r="A9011" t="s">
        <v>439</v>
      </c>
      <c r="B9011" t="s">
        <v>4321</v>
      </c>
      <c r="C9011">
        <v>81</v>
      </c>
      <c r="D9011" s="1">
        <v>44265.708101851851</v>
      </c>
      <c r="E9011" t="s">
        <v>28271</v>
      </c>
      <c r="F9011" t="s">
        <v>442</v>
      </c>
      <c r="G9011" t="s">
        <v>28287</v>
      </c>
      <c r="H9011" t="s">
        <v>444</v>
      </c>
      <c r="I9011" t="s">
        <v>53</v>
      </c>
      <c r="J9011">
        <v>81</v>
      </c>
      <c r="K9011">
        <f>81-50-3196-4208</f>
        <v>-7373</v>
      </c>
      <c r="L9011" t="s">
        <v>28288</v>
      </c>
      <c r="M9011" t="s">
        <v>28289</v>
      </c>
      <c r="N9011" t="s">
        <v>213</v>
      </c>
      <c r="O9011" t="s">
        <v>28</v>
      </c>
      <c r="P9011" t="s">
        <v>29</v>
      </c>
      <c r="Q9011">
        <v>42</v>
      </c>
      <c r="R9011">
        <v>-87.629800000000003</v>
      </c>
    </row>
    <row r="9012" spans="1:18" x14ac:dyDescent="0.2">
      <c r="A9012" t="s">
        <v>6586</v>
      </c>
      <c r="B9012" t="s">
        <v>24593</v>
      </c>
      <c r="C9012">
        <v>1</v>
      </c>
      <c r="D9012" s="1">
        <v>44265.745775462965</v>
      </c>
      <c r="E9012" t="s">
        <v>28290</v>
      </c>
      <c r="F9012" t="s">
        <v>6588</v>
      </c>
      <c r="G9012" t="s">
        <v>28291</v>
      </c>
      <c r="H9012" t="s">
        <v>6590</v>
      </c>
      <c r="I9012" t="s">
        <v>29</v>
      </c>
      <c r="J9012">
        <v>1</v>
      </c>
      <c r="K9012">
        <f>1-888-206-4030</f>
        <v>-5123</v>
      </c>
      <c r="L9012" t="s">
        <v>28292</v>
      </c>
      <c r="M9012" t="s">
        <v>28293</v>
      </c>
      <c r="N9012" t="s">
        <v>25263</v>
      </c>
      <c r="O9012" t="s">
        <v>28</v>
      </c>
      <c r="P9012" t="s">
        <v>29</v>
      </c>
      <c r="Q9012">
        <v>41</v>
      </c>
      <c r="R9012">
        <v>-74.459199999999996</v>
      </c>
    </row>
    <row r="9013" spans="1:18" x14ac:dyDescent="0.2">
      <c r="A9013" t="s">
        <v>439</v>
      </c>
      <c r="B9013" t="s">
        <v>4321</v>
      </c>
      <c r="C9013">
        <v>1</v>
      </c>
      <c r="D9013" s="1">
        <v>44265.759791666664</v>
      </c>
      <c r="E9013" t="s">
        <v>28294</v>
      </c>
      <c r="F9013" t="s">
        <v>442</v>
      </c>
      <c r="G9013" t="s">
        <v>28295</v>
      </c>
      <c r="H9013" t="s">
        <v>444</v>
      </c>
      <c r="I9013" t="s">
        <v>29</v>
      </c>
      <c r="J9013">
        <v>1</v>
      </c>
      <c r="K9013">
        <f>1-833-220-3860</f>
        <v>-4912</v>
      </c>
      <c r="L9013" t="s">
        <v>28296</v>
      </c>
      <c r="M9013" t="s">
        <v>28297</v>
      </c>
      <c r="N9013" t="s">
        <v>25195</v>
      </c>
      <c r="O9013" t="s">
        <v>28</v>
      </c>
      <c r="P9013" t="s">
        <v>29</v>
      </c>
      <c r="Q9013">
        <v>42</v>
      </c>
      <c r="R9013">
        <v>-87.629800000000003</v>
      </c>
    </row>
    <row r="9014" spans="1:18" x14ac:dyDescent="0.2">
      <c r="A9014" t="s">
        <v>439</v>
      </c>
      <c r="B9014" t="s">
        <v>4321</v>
      </c>
      <c r="C9014">
        <v>1</v>
      </c>
      <c r="D9014" s="1">
        <v>44265.760671296295</v>
      </c>
      <c r="E9014" t="s">
        <v>28298</v>
      </c>
      <c r="F9014" t="s">
        <v>442</v>
      </c>
      <c r="G9014" t="s">
        <v>28299</v>
      </c>
      <c r="H9014" t="s">
        <v>444</v>
      </c>
      <c r="I9014" t="s">
        <v>29</v>
      </c>
      <c r="J9014">
        <v>1</v>
      </c>
      <c r="K9014">
        <f>1-844-684-1548</f>
        <v>-3075</v>
      </c>
      <c r="L9014" t="s">
        <v>28300</v>
      </c>
      <c r="M9014" t="s">
        <v>28301</v>
      </c>
      <c r="N9014" t="s">
        <v>447</v>
      </c>
      <c r="O9014" t="s">
        <v>28</v>
      </c>
      <c r="P9014" t="s">
        <v>29</v>
      </c>
      <c r="Q9014">
        <v>42</v>
      </c>
      <c r="R9014">
        <v>-87.629800000000003</v>
      </c>
    </row>
    <row r="9015" spans="1:18" x14ac:dyDescent="0.2">
      <c r="A9015" t="s">
        <v>439</v>
      </c>
      <c r="B9015" t="s">
        <v>4321</v>
      </c>
      <c r="C9015">
        <v>1</v>
      </c>
      <c r="D9015" s="1">
        <v>44265.817719907405</v>
      </c>
      <c r="E9015" t="s">
        <v>28302</v>
      </c>
      <c r="F9015" t="s">
        <v>442</v>
      </c>
      <c r="G9015" t="s">
        <v>28303</v>
      </c>
      <c r="H9015" t="s">
        <v>444</v>
      </c>
      <c r="I9015" t="s">
        <v>29</v>
      </c>
      <c r="J9015">
        <v>1</v>
      </c>
      <c r="K9015">
        <f>1-844-216-845</f>
        <v>-1904</v>
      </c>
      <c r="L9015" t="s">
        <v>28304</v>
      </c>
      <c r="M9015" t="s">
        <v>28305</v>
      </c>
      <c r="N9015" t="s">
        <v>3441</v>
      </c>
      <c r="O9015" t="s">
        <v>28</v>
      </c>
      <c r="P9015" t="s">
        <v>29</v>
      </c>
      <c r="Q9015">
        <v>42</v>
      </c>
      <c r="R9015">
        <v>-87.629800000000003</v>
      </c>
    </row>
    <row r="9016" spans="1:18" x14ac:dyDescent="0.2">
      <c r="A9016" t="s">
        <v>2233</v>
      </c>
      <c r="B9016" t="s">
        <v>1638</v>
      </c>
      <c r="C9016">
        <v>33</v>
      </c>
      <c r="D9016" s="1">
        <v>44265.83662037037</v>
      </c>
      <c r="E9016" t="s">
        <v>28306</v>
      </c>
      <c r="F9016" t="s">
        <v>2236</v>
      </c>
      <c r="G9016" t="s">
        <v>28307</v>
      </c>
      <c r="H9016" t="s">
        <v>2237</v>
      </c>
      <c r="I9016" t="s">
        <v>292</v>
      </c>
      <c r="J9016">
        <v>33</v>
      </c>
      <c r="K9016">
        <f>33-9-70-18-15-11</f>
        <v>-90</v>
      </c>
      <c r="L9016" t="s">
        <v>28308</v>
      </c>
      <c r="M9016" t="s">
        <v>28309</v>
      </c>
      <c r="N9016" t="s">
        <v>278</v>
      </c>
      <c r="O9016" t="s">
        <v>28</v>
      </c>
      <c r="P9016" t="s">
        <v>292</v>
      </c>
      <c r="Q9016">
        <v>49</v>
      </c>
      <c r="R9016">
        <v>2.35222</v>
      </c>
    </row>
    <row r="9017" spans="1:18" x14ac:dyDescent="0.2">
      <c r="A9017" t="s">
        <v>439</v>
      </c>
      <c r="B9017" t="s">
        <v>4321</v>
      </c>
      <c r="C9017">
        <v>1</v>
      </c>
      <c r="D9017" s="1">
        <v>44265.889293981483</v>
      </c>
      <c r="E9017" t="s">
        <v>28310</v>
      </c>
      <c r="F9017" t="s">
        <v>442</v>
      </c>
      <c r="G9017" t="s">
        <v>28311</v>
      </c>
      <c r="H9017" t="s">
        <v>444</v>
      </c>
      <c r="I9017" t="s">
        <v>29</v>
      </c>
      <c r="J9017">
        <v>1</v>
      </c>
      <c r="K9017">
        <f>1-844-476-135</f>
        <v>-1454</v>
      </c>
      <c r="L9017" t="s">
        <v>28312</v>
      </c>
      <c r="M9017" t="s">
        <v>28313</v>
      </c>
      <c r="N9017" t="s">
        <v>447</v>
      </c>
      <c r="O9017" t="s">
        <v>28</v>
      </c>
      <c r="P9017" t="s">
        <v>29</v>
      </c>
      <c r="Q9017">
        <v>42</v>
      </c>
      <c r="R9017">
        <v>-87.629800000000003</v>
      </c>
    </row>
    <row r="9018" spans="1:18" x14ac:dyDescent="0.2">
      <c r="A9018" t="s">
        <v>439</v>
      </c>
      <c r="B9018" t="s">
        <v>4321</v>
      </c>
      <c r="C9018">
        <v>1</v>
      </c>
      <c r="D9018" s="1">
        <v>44265.897245370368</v>
      </c>
      <c r="E9018" t="s">
        <v>28310</v>
      </c>
      <c r="F9018" t="s">
        <v>442</v>
      </c>
      <c r="G9018" t="s">
        <v>28314</v>
      </c>
      <c r="H9018" t="s">
        <v>444</v>
      </c>
      <c r="I9018" t="s">
        <v>29</v>
      </c>
      <c r="J9018">
        <v>1</v>
      </c>
      <c r="K9018">
        <f>1-844-309-2698</f>
        <v>-3850</v>
      </c>
      <c r="L9018" t="s">
        <v>28315</v>
      </c>
      <c r="M9018" t="s">
        <v>28316</v>
      </c>
      <c r="N9018" t="s">
        <v>447</v>
      </c>
      <c r="O9018" t="s">
        <v>28</v>
      </c>
      <c r="P9018" t="s">
        <v>29</v>
      </c>
      <c r="Q9018">
        <v>42</v>
      </c>
      <c r="R9018">
        <v>-87.629800000000003</v>
      </c>
    </row>
    <row r="9019" spans="1:18" x14ac:dyDescent="0.2">
      <c r="A9019" t="s">
        <v>675</v>
      </c>
      <c r="B9019" t="s">
        <v>1412</v>
      </c>
      <c r="C9019">
        <v>81</v>
      </c>
      <c r="D9019" s="1">
        <v>44307.42800925926</v>
      </c>
      <c r="E9019" t="s">
        <v>28317</v>
      </c>
      <c r="F9019" t="s">
        <v>678</v>
      </c>
      <c r="G9019" t="s">
        <v>28318</v>
      </c>
      <c r="H9019" t="s">
        <v>680</v>
      </c>
      <c r="I9019" t="s">
        <v>53</v>
      </c>
      <c r="J9019">
        <v>81</v>
      </c>
      <c r="K9019">
        <f>81-50-5534-2911</f>
        <v>-8414</v>
      </c>
      <c r="L9019" t="s">
        <v>28319</v>
      </c>
      <c r="M9019" t="s">
        <v>28320</v>
      </c>
      <c r="N9019" t="s">
        <v>36</v>
      </c>
      <c r="O9019" t="s">
        <v>134</v>
      </c>
      <c r="P9019" t="s">
        <v>29</v>
      </c>
      <c r="Q9019">
        <v>41</v>
      </c>
      <c r="R9019">
        <v>-74.172399999999996</v>
      </c>
    </row>
    <row r="9020" spans="1:18" x14ac:dyDescent="0.2">
      <c r="A9020" t="s">
        <v>675</v>
      </c>
      <c r="B9020" t="s">
        <v>1412</v>
      </c>
      <c r="C9020">
        <v>1</v>
      </c>
      <c r="D9020" s="1">
        <v>44307.427361111113</v>
      </c>
      <c r="E9020" t="s">
        <v>28317</v>
      </c>
      <c r="F9020" t="s">
        <v>678</v>
      </c>
      <c r="G9020" t="s">
        <v>28318</v>
      </c>
      <c r="H9020" t="s">
        <v>680</v>
      </c>
      <c r="I9020" t="s">
        <v>29</v>
      </c>
      <c r="J9020">
        <v>1</v>
      </c>
      <c r="K9020">
        <f>1-805-467-282</f>
        <v>-1553</v>
      </c>
      <c r="L9020" t="s">
        <v>28321</v>
      </c>
      <c r="M9020" t="s">
        <v>28322</v>
      </c>
      <c r="N9020" t="s">
        <v>36</v>
      </c>
      <c r="O9020" t="s">
        <v>134</v>
      </c>
      <c r="P9020" t="s">
        <v>29</v>
      </c>
      <c r="Q9020">
        <v>41</v>
      </c>
      <c r="R9020">
        <v>-74.172399999999996</v>
      </c>
    </row>
    <row r="9021" spans="1:18" x14ac:dyDescent="0.2">
      <c r="A9021" t="s">
        <v>675</v>
      </c>
      <c r="B9021" t="s">
        <v>1412</v>
      </c>
      <c r="C9021">
        <v>81</v>
      </c>
      <c r="D9021" s="1">
        <v>44302.446828703702</v>
      </c>
      <c r="E9021" t="s">
        <v>28317</v>
      </c>
      <c r="F9021" t="s">
        <v>678</v>
      </c>
      <c r="G9021" t="s">
        <v>28318</v>
      </c>
      <c r="H9021" t="s">
        <v>680</v>
      </c>
      <c r="I9021" t="s">
        <v>53</v>
      </c>
      <c r="J9021">
        <v>81</v>
      </c>
      <c r="K9021">
        <f>81-50-5534-7937</f>
        <v>-13440</v>
      </c>
      <c r="L9021" t="s">
        <v>28323</v>
      </c>
      <c r="M9021" t="s">
        <v>28324</v>
      </c>
      <c r="N9021" t="s">
        <v>36</v>
      </c>
      <c r="O9021" t="s">
        <v>134</v>
      </c>
      <c r="P9021" t="s">
        <v>29</v>
      </c>
      <c r="Q9021">
        <v>41</v>
      </c>
      <c r="R9021">
        <v>-74.172399999999996</v>
      </c>
    </row>
    <row r="9022" spans="1:18" x14ac:dyDescent="0.2">
      <c r="A9022" t="s">
        <v>675</v>
      </c>
      <c r="B9022" t="s">
        <v>1412</v>
      </c>
      <c r="C9022">
        <v>81</v>
      </c>
      <c r="D9022" s="1">
        <v>44302.446400462963</v>
      </c>
      <c r="E9022" t="s">
        <v>28317</v>
      </c>
      <c r="F9022" t="s">
        <v>678</v>
      </c>
      <c r="G9022" t="s">
        <v>28318</v>
      </c>
      <c r="H9022" t="s">
        <v>680</v>
      </c>
      <c r="I9022" t="s">
        <v>53</v>
      </c>
      <c r="J9022">
        <v>81</v>
      </c>
      <c r="K9022">
        <f>81-50-3198-9058</f>
        <v>-12225</v>
      </c>
      <c r="L9022" s="2" t="s">
        <v>28325</v>
      </c>
      <c r="M9022" t="s">
        <v>28326</v>
      </c>
      <c r="N9022" t="s">
        <v>36</v>
      </c>
      <c r="O9022" t="s">
        <v>134</v>
      </c>
      <c r="P9022" t="s">
        <v>29</v>
      </c>
      <c r="Q9022">
        <v>41</v>
      </c>
      <c r="R9022">
        <v>-74.172399999999996</v>
      </c>
    </row>
    <row r="9023" spans="1:18" x14ac:dyDescent="0.2">
      <c r="A9023" t="s">
        <v>675</v>
      </c>
      <c r="B9023" t="s">
        <v>1412</v>
      </c>
      <c r="C9023">
        <v>81</v>
      </c>
      <c r="D9023" s="1">
        <v>44297.712187500001</v>
      </c>
      <c r="E9023" t="s">
        <v>28327</v>
      </c>
      <c r="F9023" t="s">
        <v>678</v>
      </c>
      <c r="G9023" t="s">
        <v>28318</v>
      </c>
      <c r="H9023" t="s">
        <v>680</v>
      </c>
      <c r="I9023" t="s">
        <v>53</v>
      </c>
      <c r="J9023">
        <v>81</v>
      </c>
      <c r="K9023">
        <f>81-50-3198-9058</f>
        <v>-12225</v>
      </c>
      <c r="L9023" t="s">
        <v>28328</v>
      </c>
      <c r="M9023" t="s">
        <v>28329</v>
      </c>
      <c r="N9023" t="s">
        <v>447</v>
      </c>
      <c r="O9023" t="s">
        <v>28</v>
      </c>
      <c r="P9023" t="s">
        <v>29</v>
      </c>
      <c r="Q9023">
        <v>41</v>
      </c>
      <c r="R9023">
        <v>-74.172399999999996</v>
      </c>
    </row>
    <row r="9024" spans="1:18" x14ac:dyDescent="0.2">
      <c r="A9024" t="s">
        <v>675</v>
      </c>
      <c r="B9024" t="s">
        <v>1412</v>
      </c>
      <c r="C9024">
        <v>81</v>
      </c>
      <c r="D9024" s="1">
        <v>44279.72934027778</v>
      </c>
      <c r="E9024" t="s">
        <v>28330</v>
      </c>
      <c r="F9024" t="s">
        <v>678</v>
      </c>
      <c r="G9024" t="s">
        <v>28318</v>
      </c>
      <c r="H9024" t="s">
        <v>680</v>
      </c>
      <c r="I9024" t="s">
        <v>53</v>
      </c>
      <c r="J9024">
        <v>81</v>
      </c>
      <c r="K9024">
        <f>81-50-5809-675</f>
        <v>-6453</v>
      </c>
      <c r="L9024" t="s">
        <v>28331</v>
      </c>
      <c r="M9024" t="s">
        <v>28332</v>
      </c>
      <c r="N9024" t="s">
        <v>213</v>
      </c>
      <c r="O9024" t="s">
        <v>28</v>
      </c>
      <c r="P9024" t="s">
        <v>29</v>
      </c>
      <c r="Q9024">
        <v>41</v>
      </c>
      <c r="R9024">
        <v>-74.172399999999996</v>
      </c>
    </row>
    <row r="9025" spans="1:18" x14ac:dyDescent="0.2">
      <c r="A9025" t="s">
        <v>675</v>
      </c>
      <c r="B9025" t="s">
        <v>1412</v>
      </c>
      <c r="C9025">
        <v>81</v>
      </c>
      <c r="D9025" s="1">
        <v>44266.046574074076</v>
      </c>
      <c r="E9025" t="s">
        <v>28333</v>
      </c>
      <c r="F9025" t="s">
        <v>678</v>
      </c>
      <c r="G9025" t="s">
        <v>28318</v>
      </c>
      <c r="H9025" t="s">
        <v>680</v>
      </c>
      <c r="I9025" t="s">
        <v>53</v>
      </c>
      <c r="J9025">
        <v>81</v>
      </c>
      <c r="K9025">
        <f>81-50-5809-675</f>
        <v>-6453</v>
      </c>
      <c r="L9025" t="s">
        <v>28334</v>
      </c>
      <c r="M9025" t="s">
        <v>28335</v>
      </c>
      <c r="N9025" t="s">
        <v>3454</v>
      </c>
      <c r="O9025" t="s">
        <v>28</v>
      </c>
      <c r="P9025" t="s">
        <v>29</v>
      </c>
      <c r="Q9025">
        <v>41</v>
      </c>
      <c r="R9025">
        <v>-74.172399999999996</v>
      </c>
    </row>
    <row r="9026" spans="1:18" x14ac:dyDescent="0.2">
      <c r="A9026" t="s">
        <v>675</v>
      </c>
      <c r="B9026" t="s">
        <v>1412</v>
      </c>
      <c r="C9026">
        <v>81</v>
      </c>
      <c r="D9026" s="1">
        <v>44266.163090277776</v>
      </c>
      <c r="E9026" t="s">
        <v>28336</v>
      </c>
      <c r="F9026" t="s">
        <v>678</v>
      </c>
      <c r="G9026" t="s">
        <v>28337</v>
      </c>
      <c r="H9026" t="s">
        <v>680</v>
      </c>
      <c r="I9026" t="s">
        <v>53</v>
      </c>
      <c r="J9026">
        <v>81</v>
      </c>
      <c r="K9026">
        <f>81-50-5539-7186</f>
        <v>-12694</v>
      </c>
      <c r="L9026" t="s">
        <v>28338</v>
      </c>
      <c r="M9026" t="s">
        <v>28339</v>
      </c>
      <c r="N9026" t="s">
        <v>2475</v>
      </c>
      <c r="O9026" t="s">
        <v>28</v>
      </c>
      <c r="P9026" t="s">
        <v>29</v>
      </c>
      <c r="Q9026">
        <v>41</v>
      </c>
      <c r="R9026">
        <v>-74.172399999999996</v>
      </c>
    </row>
    <row r="9027" spans="1:18" x14ac:dyDescent="0.2">
      <c r="A9027" t="s">
        <v>439</v>
      </c>
      <c r="B9027" t="s">
        <v>4321</v>
      </c>
      <c r="C9027">
        <v>81</v>
      </c>
      <c r="D9027" s="1">
        <v>44266.724108796298</v>
      </c>
      <c r="E9027" t="s">
        <v>28340</v>
      </c>
      <c r="F9027" t="s">
        <v>442</v>
      </c>
      <c r="G9027" t="s">
        <v>28341</v>
      </c>
      <c r="H9027" t="s">
        <v>444</v>
      </c>
      <c r="I9027" t="s">
        <v>53</v>
      </c>
      <c r="J9027">
        <v>81</v>
      </c>
      <c r="K9027">
        <f>81-50-5809-7818</f>
        <v>-13596</v>
      </c>
      <c r="L9027" t="s">
        <v>28342</v>
      </c>
      <c r="M9027" t="s">
        <v>28343</v>
      </c>
      <c r="N9027" t="s">
        <v>213</v>
      </c>
      <c r="O9027" t="s">
        <v>28</v>
      </c>
      <c r="P9027" t="s">
        <v>29</v>
      </c>
      <c r="Q9027">
        <v>42</v>
      </c>
      <c r="R9027">
        <v>-87.629800000000003</v>
      </c>
    </row>
    <row r="9028" spans="1:18" x14ac:dyDescent="0.2">
      <c r="A9028" t="s">
        <v>439</v>
      </c>
      <c r="B9028" t="s">
        <v>4321</v>
      </c>
      <c r="C9028">
        <v>81</v>
      </c>
      <c r="D9028" s="1">
        <v>44266.214583333334</v>
      </c>
      <c r="E9028" t="s">
        <v>28340</v>
      </c>
      <c r="F9028" t="s">
        <v>442</v>
      </c>
      <c r="G9028" t="s">
        <v>28341</v>
      </c>
      <c r="H9028" t="s">
        <v>444</v>
      </c>
      <c r="I9028" t="s">
        <v>53</v>
      </c>
      <c r="J9028">
        <v>81</v>
      </c>
      <c r="K9028">
        <f>81-50-5809-7818</f>
        <v>-13596</v>
      </c>
      <c r="L9028" t="s">
        <v>28344</v>
      </c>
      <c r="M9028" t="s">
        <v>28345</v>
      </c>
      <c r="N9028" t="s">
        <v>213</v>
      </c>
      <c r="O9028" t="s">
        <v>28</v>
      </c>
      <c r="P9028" t="s">
        <v>29</v>
      </c>
      <c r="Q9028">
        <v>42</v>
      </c>
      <c r="R9028">
        <v>-87.629800000000003</v>
      </c>
    </row>
    <row r="9029" spans="1:18" x14ac:dyDescent="0.2">
      <c r="A9029" t="s">
        <v>439</v>
      </c>
      <c r="B9029" t="s">
        <v>4321</v>
      </c>
      <c r="C9029">
        <v>81</v>
      </c>
      <c r="D9029" s="1">
        <v>44266.248206018521</v>
      </c>
      <c r="E9029" t="s">
        <v>28346</v>
      </c>
      <c r="F9029" t="s">
        <v>442</v>
      </c>
      <c r="G9029" t="s">
        <v>28347</v>
      </c>
      <c r="H9029" t="s">
        <v>444</v>
      </c>
      <c r="I9029" t="s">
        <v>53</v>
      </c>
      <c r="J9029">
        <v>81</v>
      </c>
      <c r="K9029">
        <f>81-50-3196-4208</f>
        <v>-7373</v>
      </c>
      <c r="L9029" t="s">
        <v>28348</v>
      </c>
      <c r="M9029" t="s">
        <v>28349</v>
      </c>
      <c r="N9029" t="s">
        <v>447</v>
      </c>
      <c r="O9029" t="s">
        <v>28</v>
      </c>
      <c r="P9029" t="s">
        <v>29</v>
      </c>
      <c r="Q9029">
        <v>42</v>
      </c>
      <c r="R9029">
        <v>-87.629800000000003</v>
      </c>
    </row>
    <row r="9030" spans="1:18" x14ac:dyDescent="0.2">
      <c r="A9030" t="s">
        <v>439</v>
      </c>
      <c r="B9030" t="s">
        <v>4321</v>
      </c>
      <c r="C9030">
        <v>1</v>
      </c>
      <c r="D9030" s="1">
        <v>44266.748865740738</v>
      </c>
      <c r="E9030" t="s">
        <v>28350</v>
      </c>
      <c r="F9030" t="s">
        <v>442</v>
      </c>
      <c r="G9030" t="s">
        <v>28351</v>
      </c>
      <c r="H9030" t="s">
        <v>444</v>
      </c>
      <c r="I9030" t="s">
        <v>29</v>
      </c>
      <c r="J9030">
        <v>1</v>
      </c>
      <c r="K9030">
        <f>1-609-531-4605</f>
        <v>-5744</v>
      </c>
      <c r="L9030" t="s">
        <v>28352</v>
      </c>
      <c r="M9030" t="s">
        <v>28353</v>
      </c>
      <c r="N9030" t="s">
        <v>447</v>
      </c>
      <c r="O9030" t="s">
        <v>28</v>
      </c>
      <c r="P9030" t="s">
        <v>29</v>
      </c>
      <c r="Q9030">
        <v>42</v>
      </c>
      <c r="R9030">
        <v>-87.629800000000003</v>
      </c>
    </row>
    <row r="9031" spans="1:18" x14ac:dyDescent="0.2">
      <c r="A9031" t="s">
        <v>439</v>
      </c>
      <c r="B9031" t="s">
        <v>4321</v>
      </c>
      <c r="C9031">
        <v>1</v>
      </c>
      <c r="D9031" s="1">
        <v>44266.90221064815</v>
      </c>
      <c r="E9031" t="s">
        <v>28354</v>
      </c>
      <c r="F9031" t="s">
        <v>442</v>
      </c>
      <c r="G9031" t="s">
        <v>28355</v>
      </c>
      <c r="H9031" t="s">
        <v>444</v>
      </c>
      <c r="I9031" t="s">
        <v>29</v>
      </c>
      <c r="J9031">
        <v>1</v>
      </c>
      <c r="K9031">
        <f>1-844-240-6799</f>
        <v>-7882</v>
      </c>
      <c r="L9031" t="s">
        <v>28356</v>
      </c>
      <c r="M9031" t="s">
        <v>28357</v>
      </c>
      <c r="N9031" t="s">
        <v>1645</v>
      </c>
      <c r="O9031" t="s">
        <v>28</v>
      </c>
      <c r="P9031" t="s">
        <v>29</v>
      </c>
      <c r="Q9031">
        <v>42</v>
      </c>
      <c r="R9031">
        <v>-87.629800000000003</v>
      </c>
    </row>
    <row r="9032" spans="1:18" x14ac:dyDescent="0.2">
      <c r="A9032" t="s">
        <v>439</v>
      </c>
      <c r="B9032" t="s">
        <v>4321</v>
      </c>
      <c r="C9032">
        <v>1</v>
      </c>
      <c r="D9032" s="1">
        <v>44266.762349537035</v>
      </c>
      <c r="E9032" t="s">
        <v>28354</v>
      </c>
      <c r="F9032" t="s">
        <v>442</v>
      </c>
      <c r="G9032" t="s">
        <v>28355</v>
      </c>
      <c r="H9032" t="s">
        <v>444</v>
      </c>
      <c r="I9032" t="s">
        <v>29</v>
      </c>
      <c r="J9032">
        <v>1</v>
      </c>
      <c r="K9032">
        <f>1-844-323-7048</f>
        <v>-8214</v>
      </c>
      <c r="L9032" t="s">
        <v>28358</v>
      </c>
      <c r="M9032" t="s">
        <v>28359</v>
      </c>
      <c r="N9032" t="s">
        <v>1645</v>
      </c>
      <c r="O9032" t="s">
        <v>28</v>
      </c>
      <c r="P9032" t="s">
        <v>29</v>
      </c>
      <c r="Q9032">
        <v>42</v>
      </c>
      <c r="R9032">
        <v>-87.629800000000003</v>
      </c>
    </row>
    <row r="9033" spans="1:18" x14ac:dyDescent="0.2">
      <c r="A9033" t="s">
        <v>6660</v>
      </c>
      <c r="B9033" t="s">
        <v>11304</v>
      </c>
      <c r="C9033">
        <v>1</v>
      </c>
      <c r="D9033" s="1">
        <v>44266.831122685187</v>
      </c>
      <c r="E9033" t="s">
        <v>28360</v>
      </c>
      <c r="F9033" t="s">
        <v>28361</v>
      </c>
      <c r="G9033" t="s">
        <v>28362</v>
      </c>
      <c r="H9033" t="s">
        <v>6665</v>
      </c>
      <c r="I9033" t="s">
        <v>29</v>
      </c>
      <c r="J9033">
        <v>1</v>
      </c>
      <c r="K9033">
        <f>1-833-381-613</f>
        <v>-1826</v>
      </c>
      <c r="L9033" t="s">
        <v>28363</v>
      </c>
      <c r="M9033" t="s">
        <v>28364</v>
      </c>
      <c r="N9033" t="s">
        <v>5354</v>
      </c>
      <c r="O9033" t="s">
        <v>28</v>
      </c>
      <c r="P9033" t="s">
        <v>29</v>
      </c>
      <c r="Q9033">
        <v>35</v>
      </c>
      <c r="R9033">
        <v>-82.394000000000005</v>
      </c>
    </row>
    <row r="9034" spans="1:18" x14ac:dyDescent="0.2">
      <c r="A9034" t="s">
        <v>663</v>
      </c>
      <c r="B9034" t="s">
        <v>2500</v>
      </c>
      <c r="C9034">
        <v>1</v>
      </c>
      <c r="D9034" s="1">
        <v>44266.866840277777</v>
      </c>
      <c r="E9034" t="s">
        <v>28365</v>
      </c>
      <c r="F9034" t="s">
        <v>666</v>
      </c>
      <c r="G9034" t="s">
        <v>28365</v>
      </c>
      <c r="H9034" t="s">
        <v>667</v>
      </c>
      <c r="I9034" t="s">
        <v>29</v>
      </c>
      <c r="J9034">
        <v>1</v>
      </c>
      <c r="K9034">
        <f>1-888-525-670</f>
        <v>-2082</v>
      </c>
      <c r="L9034" t="s">
        <v>28366</v>
      </c>
      <c r="M9034" t="s">
        <v>28367</v>
      </c>
      <c r="N9034">
        <v>140</v>
      </c>
      <c r="O9034" t="s">
        <v>134</v>
      </c>
      <c r="P9034" t="s">
        <v>2500</v>
      </c>
      <c r="Q9034">
        <v>1</v>
      </c>
      <c r="R9034">
        <v>99.999999000000003</v>
      </c>
    </row>
    <row r="9035" spans="1:18" x14ac:dyDescent="0.2">
      <c r="A9035" t="s">
        <v>439</v>
      </c>
      <c r="B9035" t="s">
        <v>4321</v>
      </c>
      <c r="C9035">
        <v>1</v>
      </c>
      <c r="D9035" s="1">
        <v>44266.894756944443</v>
      </c>
      <c r="E9035" t="s">
        <v>28368</v>
      </c>
      <c r="F9035" t="s">
        <v>442</v>
      </c>
      <c r="G9035" t="s">
        <v>28369</v>
      </c>
      <c r="H9035" t="s">
        <v>444</v>
      </c>
      <c r="I9035" t="s">
        <v>29</v>
      </c>
      <c r="J9035">
        <v>1</v>
      </c>
      <c r="K9035">
        <f>1-844-254-8448</f>
        <v>-9545</v>
      </c>
      <c r="L9035" t="s">
        <v>28370</v>
      </c>
      <c r="M9035" t="s">
        <v>28371</v>
      </c>
      <c r="N9035" t="s">
        <v>447</v>
      </c>
      <c r="O9035" t="s">
        <v>28</v>
      </c>
      <c r="P9035" t="s">
        <v>29</v>
      </c>
      <c r="Q9035">
        <v>42</v>
      </c>
      <c r="R9035">
        <v>-87.629800000000003</v>
      </c>
    </row>
    <row r="9036" spans="1:18" x14ac:dyDescent="0.2">
      <c r="A9036" t="s">
        <v>439</v>
      </c>
      <c r="B9036" t="s">
        <v>4321</v>
      </c>
      <c r="C9036">
        <v>81</v>
      </c>
      <c r="D9036" s="1">
        <v>44267.694016203706</v>
      </c>
      <c r="E9036" t="s">
        <v>28372</v>
      </c>
      <c r="F9036" t="s">
        <v>442</v>
      </c>
      <c r="G9036" t="s">
        <v>28373</v>
      </c>
      <c r="H9036" t="s">
        <v>444</v>
      </c>
      <c r="I9036" t="s">
        <v>53</v>
      </c>
      <c r="J9036">
        <v>81</v>
      </c>
      <c r="K9036">
        <f>81-50-3198-9276</f>
        <v>-12443</v>
      </c>
      <c r="L9036" t="s">
        <v>28374</v>
      </c>
      <c r="M9036" t="s">
        <v>28375</v>
      </c>
      <c r="N9036" t="s">
        <v>447</v>
      </c>
      <c r="O9036" t="s">
        <v>28</v>
      </c>
      <c r="P9036" t="s">
        <v>29</v>
      </c>
      <c r="Q9036">
        <v>42</v>
      </c>
      <c r="R9036">
        <v>-87.629800000000003</v>
      </c>
    </row>
    <row r="9037" spans="1:18" x14ac:dyDescent="0.2">
      <c r="A9037" t="s">
        <v>1637</v>
      </c>
      <c r="B9037" t="s">
        <v>454</v>
      </c>
      <c r="C9037">
        <v>1</v>
      </c>
      <c r="D9037" s="1">
        <v>44266.97824074074</v>
      </c>
      <c r="E9037" t="s">
        <v>28376</v>
      </c>
      <c r="F9037" t="s">
        <v>1640</v>
      </c>
      <c r="G9037" t="s">
        <v>28377</v>
      </c>
      <c r="H9037" t="s">
        <v>1642</v>
      </c>
      <c r="I9037" t="s">
        <v>29</v>
      </c>
      <c r="J9037">
        <v>1</v>
      </c>
      <c r="K9037">
        <f>1-888-491-8820</f>
        <v>-10198</v>
      </c>
      <c r="L9037" t="s">
        <v>28378</v>
      </c>
      <c r="M9037" t="s">
        <v>28379</v>
      </c>
      <c r="N9037" t="s">
        <v>452</v>
      </c>
      <c r="O9037" t="s">
        <v>134</v>
      </c>
      <c r="P9037" t="s">
        <v>461</v>
      </c>
      <c r="Q9037">
        <v>52</v>
      </c>
      <c r="R9037">
        <v>4.8883000000000001</v>
      </c>
    </row>
    <row r="9038" spans="1:18" x14ac:dyDescent="0.2">
      <c r="A9038" t="s">
        <v>10660</v>
      </c>
      <c r="B9038" t="s">
        <v>1638</v>
      </c>
      <c r="C9038">
        <v>1</v>
      </c>
      <c r="D9038" s="1">
        <v>44296.79965277778</v>
      </c>
      <c r="E9038" t="s">
        <v>28380</v>
      </c>
      <c r="F9038" t="s">
        <v>11960</v>
      </c>
      <c r="G9038" t="s">
        <v>28381</v>
      </c>
      <c r="H9038" t="s">
        <v>10664</v>
      </c>
      <c r="I9038" t="s">
        <v>29</v>
      </c>
      <c r="J9038">
        <v>1</v>
      </c>
      <c r="K9038">
        <f>1-888-341-796</f>
        <v>-2024</v>
      </c>
      <c r="L9038" t="s">
        <v>28382</v>
      </c>
      <c r="M9038" t="s">
        <v>28383</v>
      </c>
      <c r="N9038" t="s">
        <v>5468</v>
      </c>
      <c r="O9038" t="s">
        <v>28</v>
      </c>
      <c r="P9038" t="s">
        <v>292</v>
      </c>
      <c r="Q9038">
        <v>49</v>
      </c>
      <c r="R9038">
        <v>2.3281000000000001</v>
      </c>
    </row>
    <row r="9039" spans="1:18" x14ac:dyDescent="0.2">
      <c r="A9039" t="s">
        <v>10660</v>
      </c>
      <c r="B9039" t="s">
        <v>1638</v>
      </c>
      <c r="C9039">
        <v>1</v>
      </c>
      <c r="D9039" s="1">
        <v>44277.824502314812</v>
      </c>
      <c r="E9039" t="s">
        <v>28384</v>
      </c>
      <c r="F9039" t="s">
        <v>11960</v>
      </c>
      <c r="G9039" t="s">
        <v>28381</v>
      </c>
      <c r="H9039" t="s">
        <v>10664</v>
      </c>
      <c r="I9039" t="s">
        <v>29</v>
      </c>
      <c r="J9039">
        <v>1</v>
      </c>
      <c r="K9039">
        <f>1-888-373-3294</f>
        <v>-4554</v>
      </c>
      <c r="L9039" s="2" t="s">
        <v>28385</v>
      </c>
      <c r="M9039" t="s">
        <v>28386</v>
      </c>
      <c r="N9039" t="s">
        <v>5468</v>
      </c>
      <c r="O9039" t="s">
        <v>28</v>
      </c>
      <c r="P9039" t="s">
        <v>292</v>
      </c>
      <c r="Q9039">
        <v>49</v>
      </c>
      <c r="R9039">
        <v>2.3281000000000001</v>
      </c>
    </row>
    <row r="9040" spans="1:18" x14ac:dyDescent="0.2">
      <c r="A9040" t="s">
        <v>10660</v>
      </c>
      <c r="B9040" t="s">
        <v>1638</v>
      </c>
      <c r="C9040">
        <v>1</v>
      </c>
      <c r="D9040" s="1">
        <v>44277.824120370373</v>
      </c>
      <c r="E9040" t="s">
        <v>28384</v>
      </c>
      <c r="F9040" t="s">
        <v>11960</v>
      </c>
      <c r="G9040" t="s">
        <v>28381</v>
      </c>
      <c r="H9040" t="s">
        <v>10664</v>
      </c>
      <c r="I9040" t="s">
        <v>29</v>
      </c>
      <c r="J9040">
        <v>1</v>
      </c>
      <c r="K9040">
        <f>1-888-308-5921</f>
        <v>-7116</v>
      </c>
      <c r="L9040" s="2" t="s">
        <v>28387</v>
      </c>
      <c r="M9040" t="s">
        <v>28388</v>
      </c>
      <c r="N9040" t="s">
        <v>5468</v>
      </c>
      <c r="O9040" t="s">
        <v>28</v>
      </c>
      <c r="P9040" t="s">
        <v>292</v>
      </c>
      <c r="Q9040">
        <v>49</v>
      </c>
      <c r="R9040">
        <v>2.3281000000000001</v>
      </c>
    </row>
    <row r="9041" spans="1:18" x14ac:dyDescent="0.2">
      <c r="A9041" t="s">
        <v>10660</v>
      </c>
      <c r="B9041" t="s">
        <v>1638</v>
      </c>
      <c r="C9041">
        <v>1</v>
      </c>
      <c r="D9041" s="1">
        <v>44266.997569444444</v>
      </c>
      <c r="E9041" t="s">
        <v>28389</v>
      </c>
      <c r="F9041" t="s">
        <v>11960</v>
      </c>
      <c r="G9041" t="s">
        <v>28381</v>
      </c>
      <c r="H9041" t="s">
        <v>10664</v>
      </c>
      <c r="I9041" t="s">
        <v>29</v>
      </c>
      <c r="J9041">
        <v>1</v>
      </c>
      <c r="K9041">
        <f>1-888-231-4495</f>
        <v>-5613</v>
      </c>
      <c r="L9041" t="s">
        <v>28390</v>
      </c>
      <c r="M9041" t="s">
        <v>28391</v>
      </c>
      <c r="N9041" t="s">
        <v>5468</v>
      </c>
      <c r="O9041" t="s">
        <v>28</v>
      </c>
      <c r="P9041" t="s">
        <v>292</v>
      </c>
      <c r="Q9041">
        <v>49</v>
      </c>
      <c r="R9041">
        <v>2.3281000000000001</v>
      </c>
    </row>
    <row r="9042" spans="1:18" x14ac:dyDescent="0.2">
      <c r="A9042" t="s">
        <v>439</v>
      </c>
      <c r="B9042" t="s">
        <v>4321</v>
      </c>
      <c r="C9042">
        <v>81</v>
      </c>
      <c r="D9042" s="1">
        <v>44267.694305555553</v>
      </c>
      <c r="E9042" t="s">
        <v>28392</v>
      </c>
      <c r="F9042" t="s">
        <v>442</v>
      </c>
      <c r="G9042" t="s">
        <v>28393</v>
      </c>
      <c r="H9042" t="s">
        <v>444</v>
      </c>
      <c r="I9042" t="s">
        <v>53</v>
      </c>
      <c r="J9042">
        <v>81</v>
      </c>
      <c r="K9042">
        <f>81-50-5809-7818</f>
        <v>-13596</v>
      </c>
      <c r="L9042" t="s">
        <v>28394</v>
      </c>
      <c r="M9042" t="s">
        <v>28395</v>
      </c>
      <c r="N9042" t="s">
        <v>447</v>
      </c>
      <c r="O9042" t="s">
        <v>28</v>
      </c>
      <c r="P9042" t="s">
        <v>29</v>
      </c>
      <c r="Q9042">
        <v>42</v>
      </c>
      <c r="R9042">
        <v>-87.629800000000003</v>
      </c>
    </row>
    <row r="9043" spans="1:18" x14ac:dyDescent="0.2">
      <c r="A9043" t="s">
        <v>10660</v>
      </c>
      <c r="B9043" t="s">
        <v>1638</v>
      </c>
      <c r="C9043">
        <v>1</v>
      </c>
      <c r="D9043" s="1">
        <v>44306.04891203704</v>
      </c>
      <c r="E9043" t="s">
        <v>28396</v>
      </c>
      <c r="F9043" t="s">
        <v>11960</v>
      </c>
      <c r="G9043" t="s">
        <v>28397</v>
      </c>
      <c r="H9043" t="s">
        <v>10664</v>
      </c>
      <c r="I9043" t="s">
        <v>29</v>
      </c>
      <c r="J9043">
        <v>1</v>
      </c>
      <c r="K9043">
        <f>1-888-729-8023</f>
        <v>-9639</v>
      </c>
      <c r="L9043" t="s">
        <v>28398</v>
      </c>
      <c r="M9043" t="s">
        <v>28399</v>
      </c>
      <c r="N9043" t="s">
        <v>5468</v>
      </c>
      <c r="O9043" t="s">
        <v>28</v>
      </c>
      <c r="P9043" t="s">
        <v>292</v>
      </c>
      <c r="Q9043">
        <v>49</v>
      </c>
      <c r="R9043">
        <v>2.3281000000000001</v>
      </c>
    </row>
    <row r="9044" spans="1:18" x14ac:dyDescent="0.2">
      <c r="A9044" t="s">
        <v>10660</v>
      </c>
      <c r="B9044" t="s">
        <v>1638</v>
      </c>
      <c r="C9044">
        <v>1</v>
      </c>
      <c r="D9044" s="1">
        <v>44303.997789351852</v>
      </c>
      <c r="E9044" t="s">
        <v>28400</v>
      </c>
      <c r="F9044" t="s">
        <v>11960</v>
      </c>
      <c r="G9044" t="s">
        <v>28397</v>
      </c>
      <c r="H9044" t="s">
        <v>10664</v>
      </c>
      <c r="I9044" t="s">
        <v>29</v>
      </c>
      <c r="J9044">
        <v>1</v>
      </c>
      <c r="K9044">
        <f>1-888-725-4059</f>
        <v>-5671</v>
      </c>
      <c r="L9044" t="s">
        <v>28401</v>
      </c>
      <c r="M9044" t="s">
        <v>28402</v>
      </c>
      <c r="N9044" t="s">
        <v>5468</v>
      </c>
      <c r="O9044" t="s">
        <v>28</v>
      </c>
      <c r="P9044" t="s">
        <v>292</v>
      </c>
      <c r="Q9044">
        <v>49</v>
      </c>
      <c r="R9044">
        <v>2.3281000000000001</v>
      </c>
    </row>
    <row r="9045" spans="1:18" x14ac:dyDescent="0.2">
      <c r="A9045" t="s">
        <v>10660</v>
      </c>
      <c r="B9045" t="s">
        <v>1638</v>
      </c>
      <c r="C9045">
        <v>1</v>
      </c>
      <c r="D9045" s="1">
        <v>44303.937534722223</v>
      </c>
      <c r="E9045" t="s">
        <v>28403</v>
      </c>
      <c r="F9045" t="s">
        <v>11960</v>
      </c>
      <c r="G9045" t="s">
        <v>28397</v>
      </c>
      <c r="H9045" t="s">
        <v>10664</v>
      </c>
      <c r="I9045" t="s">
        <v>29</v>
      </c>
      <c r="J9045">
        <v>1</v>
      </c>
      <c r="K9045">
        <f>1-888-728-9617</f>
        <v>-11232</v>
      </c>
      <c r="L9045" t="s">
        <v>28404</v>
      </c>
      <c r="M9045" t="s">
        <v>28405</v>
      </c>
      <c r="N9045" t="s">
        <v>5468</v>
      </c>
      <c r="O9045" t="s">
        <v>28</v>
      </c>
      <c r="P9045" t="s">
        <v>292</v>
      </c>
      <c r="Q9045">
        <v>49</v>
      </c>
      <c r="R9045">
        <v>2.3281000000000001</v>
      </c>
    </row>
    <row r="9046" spans="1:18" x14ac:dyDescent="0.2">
      <c r="A9046" t="s">
        <v>10660</v>
      </c>
      <c r="B9046" t="s">
        <v>1638</v>
      </c>
      <c r="C9046">
        <v>1</v>
      </c>
      <c r="D9046" s="1">
        <v>44302.836388888885</v>
      </c>
      <c r="E9046" t="s">
        <v>28220</v>
      </c>
      <c r="F9046" t="s">
        <v>11960</v>
      </c>
      <c r="G9046" t="s">
        <v>28397</v>
      </c>
      <c r="H9046" t="s">
        <v>10664</v>
      </c>
      <c r="I9046" t="s">
        <v>29</v>
      </c>
      <c r="J9046">
        <v>1</v>
      </c>
      <c r="K9046">
        <f>1-888-726-325</f>
        <v>-1938</v>
      </c>
      <c r="L9046" t="s">
        <v>28406</v>
      </c>
      <c r="M9046" t="s">
        <v>28407</v>
      </c>
      <c r="N9046" t="s">
        <v>5468</v>
      </c>
      <c r="O9046" t="s">
        <v>28</v>
      </c>
      <c r="P9046" t="s">
        <v>292</v>
      </c>
      <c r="Q9046">
        <v>49</v>
      </c>
      <c r="R9046">
        <v>2.3281000000000001</v>
      </c>
    </row>
    <row r="9047" spans="1:18" x14ac:dyDescent="0.2">
      <c r="A9047" t="s">
        <v>10660</v>
      </c>
      <c r="B9047" t="s">
        <v>1638</v>
      </c>
      <c r="C9047">
        <v>1</v>
      </c>
      <c r="D9047" s="1">
        <v>44301.785891203705</v>
      </c>
      <c r="E9047" t="s">
        <v>28408</v>
      </c>
      <c r="F9047" t="s">
        <v>11960</v>
      </c>
      <c r="G9047" t="s">
        <v>28397</v>
      </c>
      <c r="H9047" t="s">
        <v>10664</v>
      </c>
      <c r="I9047" t="s">
        <v>29</v>
      </c>
      <c r="J9047">
        <v>1</v>
      </c>
      <c r="K9047">
        <f>1-888-532-1937</f>
        <v>-3356</v>
      </c>
      <c r="L9047" t="s">
        <v>28409</v>
      </c>
      <c r="M9047" t="s">
        <v>28410</v>
      </c>
      <c r="N9047" t="s">
        <v>5468</v>
      </c>
      <c r="O9047" t="s">
        <v>28</v>
      </c>
      <c r="P9047" t="s">
        <v>292</v>
      </c>
      <c r="Q9047">
        <v>49</v>
      </c>
      <c r="R9047">
        <v>2.3281000000000001</v>
      </c>
    </row>
    <row r="9048" spans="1:18" x14ac:dyDescent="0.2">
      <c r="A9048" t="s">
        <v>10660</v>
      </c>
      <c r="B9048" t="s">
        <v>1638</v>
      </c>
      <c r="C9048">
        <v>1</v>
      </c>
      <c r="D9048" s="1">
        <v>44273.751226851855</v>
      </c>
      <c r="E9048" t="s">
        <v>28411</v>
      </c>
      <c r="F9048" t="s">
        <v>11960</v>
      </c>
      <c r="G9048" t="s">
        <v>28397</v>
      </c>
      <c r="H9048" t="s">
        <v>10664</v>
      </c>
      <c r="I9048" t="s">
        <v>29</v>
      </c>
      <c r="J9048">
        <v>1</v>
      </c>
      <c r="K9048">
        <f>1-888-382-2106</f>
        <v>-3375</v>
      </c>
      <c r="L9048">
        <v>6053877887207</v>
      </c>
      <c r="M9048" t="s">
        <v>28412</v>
      </c>
      <c r="N9048" t="s">
        <v>5468</v>
      </c>
      <c r="O9048" t="s">
        <v>28</v>
      </c>
      <c r="P9048" t="s">
        <v>292</v>
      </c>
      <c r="Q9048">
        <v>49</v>
      </c>
      <c r="R9048">
        <v>2.3281000000000001</v>
      </c>
    </row>
    <row r="9049" spans="1:18" x14ac:dyDescent="0.2">
      <c r="A9049" t="s">
        <v>10660</v>
      </c>
      <c r="B9049" t="s">
        <v>1638</v>
      </c>
      <c r="C9049">
        <v>1</v>
      </c>
      <c r="D9049" s="1">
        <v>44274.818194444444</v>
      </c>
      <c r="E9049" t="s">
        <v>28413</v>
      </c>
      <c r="F9049" t="s">
        <v>11960</v>
      </c>
      <c r="G9049" t="s">
        <v>28397</v>
      </c>
      <c r="H9049" t="s">
        <v>10664</v>
      </c>
      <c r="I9049" t="s">
        <v>29</v>
      </c>
      <c r="J9049">
        <v>1</v>
      </c>
      <c r="K9049">
        <f>1-888-260-9396</f>
        <v>-10543</v>
      </c>
      <c r="L9049" t="s">
        <v>28414</v>
      </c>
      <c r="M9049" t="s">
        <v>28415</v>
      </c>
      <c r="N9049" t="s">
        <v>5468</v>
      </c>
      <c r="O9049" t="s">
        <v>28</v>
      </c>
      <c r="P9049" t="s">
        <v>292</v>
      </c>
      <c r="Q9049">
        <v>49</v>
      </c>
      <c r="R9049">
        <v>2.3281000000000001</v>
      </c>
    </row>
    <row r="9050" spans="1:18" x14ac:dyDescent="0.2">
      <c r="A9050" t="s">
        <v>10660</v>
      </c>
      <c r="B9050" t="s">
        <v>1638</v>
      </c>
      <c r="C9050">
        <v>1</v>
      </c>
      <c r="D9050" s="1">
        <v>44273.842349537037</v>
      </c>
      <c r="E9050" t="s">
        <v>28416</v>
      </c>
      <c r="F9050" t="s">
        <v>11960</v>
      </c>
      <c r="G9050" t="s">
        <v>28397</v>
      </c>
      <c r="H9050" t="s">
        <v>10664</v>
      </c>
      <c r="I9050" t="s">
        <v>29</v>
      </c>
      <c r="J9050">
        <v>1</v>
      </c>
      <c r="K9050">
        <f>1-888-269-1890</f>
        <v>-3046</v>
      </c>
      <c r="L9050" t="s">
        <v>28417</v>
      </c>
      <c r="M9050" t="s">
        <v>28418</v>
      </c>
      <c r="N9050" t="s">
        <v>5468</v>
      </c>
      <c r="O9050" t="s">
        <v>28</v>
      </c>
      <c r="P9050" t="s">
        <v>292</v>
      </c>
      <c r="Q9050">
        <v>49</v>
      </c>
      <c r="R9050">
        <v>2.3281000000000001</v>
      </c>
    </row>
    <row r="9051" spans="1:18" x14ac:dyDescent="0.2">
      <c r="A9051" t="s">
        <v>10660</v>
      </c>
      <c r="B9051" t="s">
        <v>1638</v>
      </c>
      <c r="C9051">
        <v>1</v>
      </c>
      <c r="D9051" s="1">
        <v>44267.694641203707</v>
      </c>
      <c r="E9051" t="s">
        <v>28419</v>
      </c>
      <c r="F9051" t="s">
        <v>11960</v>
      </c>
      <c r="G9051" t="s">
        <v>28397</v>
      </c>
      <c r="H9051" t="s">
        <v>10664</v>
      </c>
      <c r="I9051" t="s">
        <v>29</v>
      </c>
      <c r="J9051">
        <v>1</v>
      </c>
      <c r="K9051">
        <f>1-888-585-8041</f>
        <v>-9513</v>
      </c>
      <c r="L9051" t="s">
        <v>28420</v>
      </c>
      <c r="M9051" t="s">
        <v>28421</v>
      </c>
      <c r="N9051" t="s">
        <v>5468</v>
      </c>
      <c r="O9051" t="s">
        <v>28</v>
      </c>
      <c r="P9051" t="s">
        <v>292</v>
      </c>
      <c r="Q9051">
        <v>49</v>
      </c>
      <c r="R9051">
        <v>2.3281000000000001</v>
      </c>
    </row>
    <row r="9052" spans="1:18" x14ac:dyDescent="0.2">
      <c r="A9052" t="s">
        <v>10660</v>
      </c>
      <c r="B9052" t="s">
        <v>1638</v>
      </c>
      <c r="C9052">
        <v>1</v>
      </c>
      <c r="D9052" s="1">
        <v>44303.904930555553</v>
      </c>
      <c r="E9052" t="s">
        <v>27590</v>
      </c>
      <c r="F9052" t="s">
        <v>11960</v>
      </c>
      <c r="G9052" t="s">
        <v>28422</v>
      </c>
      <c r="H9052" t="s">
        <v>10664</v>
      </c>
      <c r="I9052" t="s">
        <v>29</v>
      </c>
      <c r="J9052">
        <v>1</v>
      </c>
      <c r="K9052">
        <f>1-888-729-588</f>
        <v>-2204</v>
      </c>
      <c r="L9052" t="s">
        <v>28423</v>
      </c>
      <c r="M9052" t="s">
        <v>28424</v>
      </c>
      <c r="N9052" t="s">
        <v>5468</v>
      </c>
      <c r="O9052" t="s">
        <v>28</v>
      </c>
      <c r="P9052" t="s">
        <v>292</v>
      </c>
      <c r="Q9052">
        <v>49</v>
      </c>
      <c r="R9052">
        <v>2.3281000000000001</v>
      </c>
    </row>
    <row r="9053" spans="1:18" x14ac:dyDescent="0.2">
      <c r="A9053" t="s">
        <v>10660</v>
      </c>
      <c r="B9053" t="s">
        <v>1638</v>
      </c>
      <c r="C9053">
        <v>1</v>
      </c>
      <c r="D9053" s="1">
        <v>44267.725162037037</v>
      </c>
      <c r="E9053" t="s">
        <v>28425</v>
      </c>
      <c r="F9053" t="s">
        <v>11960</v>
      </c>
      <c r="G9053" t="s">
        <v>28422</v>
      </c>
      <c r="H9053" t="s">
        <v>10664</v>
      </c>
      <c r="I9053" t="s">
        <v>29</v>
      </c>
      <c r="J9053">
        <v>1</v>
      </c>
      <c r="K9053">
        <f>1-888-242-1708</f>
        <v>-2837</v>
      </c>
      <c r="L9053" t="s">
        <v>28426</v>
      </c>
      <c r="M9053" t="s">
        <v>28427</v>
      </c>
      <c r="N9053" t="s">
        <v>5468</v>
      </c>
      <c r="O9053" t="s">
        <v>28</v>
      </c>
      <c r="P9053" t="s">
        <v>292</v>
      </c>
      <c r="Q9053">
        <v>49</v>
      </c>
      <c r="R9053">
        <v>2.3281000000000001</v>
      </c>
    </row>
    <row r="9054" spans="1:18" x14ac:dyDescent="0.2">
      <c r="A9054" t="s">
        <v>663</v>
      </c>
      <c r="B9054" t="s">
        <v>1212</v>
      </c>
      <c r="C9054">
        <v>1</v>
      </c>
      <c r="D9054" s="1">
        <v>44272.752430555556</v>
      </c>
      <c r="E9054" t="s">
        <v>28428</v>
      </c>
      <c r="F9054" t="s">
        <v>666</v>
      </c>
      <c r="G9054" t="s">
        <v>28429</v>
      </c>
      <c r="H9054" t="s">
        <v>667</v>
      </c>
      <c r="I9054" t="s">
        <v>29</v>
      </c>
      <c r="J9054">
        <v>1</v>
      </c>
      <c r="K9054">
        <f>1-256-693-2911</f>
        <v>-3859</v>
      </c>
      <c r="L9054" t="s">
        <v>28430</v>
      </c>
      <c r="M9054" t="s">
        <v>28431</v>
      </c>
      <c r="N9054" t="s">
        <v>3454</v>
      </c>
      <c r="O9054" t="s">
        <v>134</v>
      </c>
      <c r="P9054" t="s">
        <v>618</v>
      </c>
      <c r="Q9054">
        <v>52</v>
      </c>
      <c r="R9054">
        <v>-0.62150000000000005</v>
      </c>
    </row>
    <row r="9055" spans="1:18" x14ac:dyDescent="0.2">
      <c r="A9055" t="s">
        <v>663</v>
      </c>
      <c r="B9055" t="s">
        <v>1212</v>
      </c>
      <c r="C9055">
        <v>1</v>
      </c>
      <c r="D9055" s="1">
        <v>44267.807071759256</v>
      </c>
      <c r="E9055" t="s">
        <v>28432</v>
      </c>
      <c r="F9055" t="s">
        <v>666</v>
      </c>
      <c r="G9055" t="s">
        <v>28429</v>
      </c>
      <c r="H9055" t="s">
        <v>667</v>
      </c>
      <c r="I9055" t="s">
        <v>29</v>
      </c>
      <c r="J9055">
        <v>1</v>
      </c>
      <c r="K9055">
        <f>1-256-693-2911</f>
        <v>-3859</v>
      </c>
      <c r="L9055" t="s">
        <v>28433</v>
      </c>
      <c r="M9055" t="s">
        <v>28434</v>
      </c>
      <c r="N9055" t="s">
        <v>3454</v>
      </c>
      <c r="O9055" t="s">
        <v>28</v>
      </c>
      <c r="P9055" t="s">
        <v>618</v>
      </c>
      <c r="Q9055">
        <v>52</v>
      </c>
      <c r="R9055">
        <v>-0.62150000000000005</v>
      </c>
    </row>
    <row r="9056" spans="1:18" x14ac:dyDescent="0.2">
      <c r="A9056" t="s">
        <v>2233</v>
      </c>
      <c r="B9056" t="s">
        <v>4672</v>
      </c>
      <c r="C9056">
        <v>1</v>
      </c>
      <c r="D9056" s="1">
        <v>44267.861967592595</v>
      </c>
      <c r="E9056" t="s">
        <v>28435</v>
      </c>
      <c r="F9056" t="s">
        <v>7023</v>
      </c>
      <c r="G9056" t="s">
        <v>28436</v>
      </c>
      <c r="H9056" t="s">
        <v>2237</v>
      </c>
      <c r="I9056" t="s">
        <v>29</v>
      </c>
      <c r="J9056">
        <v>1</v>
      </c>
      <c r="K9056">
        <f>1-844-306-9663</f>
        <v>-10812</v>
      </c>
      <c r="L9056" t="s">
        <v>28437</v>
      </c>
      <c r="M9056" t="s">
        <v>28438</v>
      </c>
      <c r="O9056" t="s">
        <v>134</v>
      </c>
      <c r="P9056" t="s">
        <v>782</v>
      </c>
      <c r="Q9056">
        <v>-34</v>
      </c>
      <c r="R9056">
        <v>99.999999000000003</v>
      </c>
    </row>
    <row r="9057" spans="1:18" x14ac:dyDescent="0.2">
      <c r="A9057" t="s">
        <v>439</v>
      </c>
      <c r="B9057" t="s">
        <v>4321</v>
      </c>
      <c r="C9057">
        <v>1</v>
      </c>
      <c r="D9057" s="1">
        <v>44267.862141203703</v>
      </c>
      <c r="E9057" t="s">
        <v>28439</v>
      </c>
      <c r="F9057" t="s">
        <v>442</v>
      </c>
      <c r="G9057" t="s">
        <v>28440</v>
      </c>
      <c r="H9057" t="s">
        <v>444</v>
      </c>
      <c r="I9057" t="s">
        <v>29</v>
      </c>
      <c r="J9057">
        <v>1</v>
      </c>
      <c r="K9057">
        <f>1-609-531-4605</f>
        <v>-5744</v>
      </c>
      <c r="L9057" t="s">
        <v>28441</v>
      </c>
      <c r="M9057" t="s">
        <v>28442</v>
      </c>
      <c r="N9057" t="s">
        <v>447</v>
      </c>
      <c r="O9057" t="s">
        <v>28</v>
      </c>
      <c r="P9057" t="s">
        <v>29</v>
      </c>
      <c r="Q9057">
        <v>42</v>
      </c>
      <c r="R9057">
        <v>-87.629800000000003</v>
      </c>
    </row>
    <row r="9058" spans="1:18" x14ac:dyDescent="0.2">
      <c r="A9058" t="s">
        <v>2233</v>
      </c>
      <c r="B9058" t="s">
        <v>17027</v>
      </c>
      <c r="C9058">
        <v>1</v>
      </c>
      <c r="D9058" s="1">
        <v>44267.994780092595</v>
      </c>
      <c r="E9058" t="s">
        <v>28443</v>
      </c>
      <c r="F9058" t="s">
        <v>2236</v>
      </c>
      <c r="G9058" t="s">
        <v>28444</v>
      </c>
      <c r="H9058" t="s">
        <v>2237</v>
      </c>
      <c r="I9058" t="s">
        <v>29</v>
      </c>
      <c r="J9058">
        <v>1</v>
      </c>
      <c r="K9058">
        <f>1-844-271-293</f>
        <v>-1407</v>
      </c>
      <c r="L9058" t="s">
        <v>28445</v>
      </c>
      <c r="M9058" t="s">
        <v>28446</v>
      </c>
      <c r="N9058" t="s">
        <v>5354</v>
      </c>
      <c r="O9058" t="s">
        <v>28</v>
      </c>
      <c r="P9058" t="s">
        <v>5789</v>
      </c>
      <c r="Q9058">
        <v>19</v>
      </c>
      <c r="R9058">
        <v>72.877700000000004</v>
      </c>
    </row>
    <row r="9059" spans="1:18" x14ac:dyDescent="0.2">
      <c r="A9059" t="s">
        <v>663</v>
      </c>
      <c r="B9059" t="s">
        <v>2500</v>
      </c>
      <c r="C9059">
        <v>1</v>
      </c>
      <c r="D9059" s="1">
        <v>44268.11246527778</v>
      </c>
      <c r="E9059" t="s">
        <v>28447</v>
      </c>
      <c r="F9059" t="s">
        <v>666</v>
      </c>
      <c r="G9059" t="s">
        <v>28447</v>
      </c>
      <c r="H9059" t="s">
        <v>667</v>
      </c>
      <c r="I9059" t="s">
        <v>29</v>
      </c>
      <c r="J9059">
        <v>1</v>
      </c>
      <c r="K9059">
        <f>1-888-352-9488</f>
        <v>-10727</v>
      </c>
      <c r="L9059" t="s">
        <v>28448</v>
      </c>
      <c r="M9059" t="s">
        <v>28449</v>
      </c>
      <c r="N9059">
        <v>148</v>
      </c>
      <c r="O9059" t="s">
        <v>134</v>
      </c>
      <c r="P9059" t="s">
        <v>2500</v>
      </c>
      <c r="Q9059">
        <v>1</v>
      </c>
      <c r="R9059">
        <v>99.999999000000003</v>
      </c>
    </row>
    <row r="9060" spans="1:18" x14ac:dyDescent="0.2">
      <c r="A9060" t="s">
        <v>27081</v>
      </c>
      <c r="B9060" t="s">
        <v>1201</v>
      </c>
      <c r="C9060">
        <v>1</v>
      </c>
      <c r="D9060" s="1">
        <v>44268.151469907411</v>
      </c>
      <c r="E9060" t="s">
        <v>28450</v>
      </c>
      <c r="F9060" t="s">
        <v>1203</v>
      </c>
      <c r="G9060" t="s">
        <v>28451</v>
      </c>
      <c r="H9060" t="s">
        <v>1205</v>
      </c>
      <c r="I9060" t="s">
        <v>29</v>
      </c>
      <c r="J9060">
        <v>1</v>
      </c>
      <c r="K9060">
        <f>1-850-846-3124</f>
        <v>-4819</v>
      </c>
      <c r="L9060" t="s">
        <v>28452</v>
      </c>
      <c r="M9060" t="s">
        <v>28453</v>
      </c>
      <c r="N9060" t="s">
        <v>452</v>
      </c>
      <c r="O9060" t="s">
        <v>134</v>
      </c>
      <c r="P9060" t="s">
        <v>29</v>
      </c>
      <c r="Q9060">
        <v>34</v>
      </c>
      <c r="R9060">
        <v>-99.999999000000003</v>
      </c>
    </row>
    <row r="9061" spans="1:18" x14ac:dyDescent="0.2">
      <c r="A9061" t="s">
        <v>439</v>
      </c>
      <c r="B9061" t="s">
        <v>4321</v>
      </c>
      <c r="C9061">
        <v>81</v>
      </c>
      <c r="D9061" s="1">
        <v>44268.671354166669</v>
      </c>
      <c r="E9061" t="s">
        <v>28454</v>
      </c>
      <c r="F9061" t="s">
        <v>442</v>
      </c>
      <c r="G9061" t="s">
        <v>28455</v>
      </c>
      <c r="H9061" t="s">
        <v>444</v>
      </c>
      <c r="I9061" t="s">
        <v>53</v>
      </c>
      <c r="J9061">
        <v>81</v>
      </c>
      <c r="K9061">
        <f>81-50-5534-9776</f>
        <v>-15279</v>
      </c>
      <c r="L9061" t="s">
        <v>28456</v>
      </c>
      <c r="M9061" t="s">
        <v>28457</v>
      </c>
      <c r="N9061" t="s">
        <v>213</v>
      </c>
      <c r="O9061" t="s">
        <v>28</v>
      </c>
      <c r="P9061" t="s">
        <v>29</v>
      </c>
      <c r="Q9061">
        <v>42</v>
      </c>
      <c r="R9061">
        <v>-87.629800000000003</v>
      </c>
    </row>
    <row r="9062" spans="1:18" x14ac:dyDescent="0.2">
      <c r="A9062" t="s">
        <v>439</v>
      </c>
      <c r="B9062" t="s">
        <v>4321</v>
      </c>
      <c r="C9062">
        <v>81</v>
      </c>
      <c r="D9062" s="1">
        <v>44268.968715277777</v>
      </c>
      <c r="E9062" t="s">
        <v>28458</v>
      </c>
      <c r="F9062" t="s">
        <v>442</v>
      </c>
      <c r="G9062" t="s">
        <v>28459</v>
      </c>
      <c r="H9062" t="s">
        <v>444</v>
      </c>
      <c r="I9062" t="s">
        <v>53</v>
      </c>
      <c r="J9062">
        <v>81</v>
      </c>
      <c r="K9062">
        <f>81-50-3198-9276</f>
        <v>-12443</v>
      </c>
      <c r="L9062" t="s">
        <v>28460</v>
      </c>
      <c r="M9062" t="s">
        <v>28461</v>
      </c>
      <c r="N9062" t="s">
        <v>447</v>
      </c>
      <c r="O9062" t="s">
        <v>28</v>
      </c>
      <c r="P9062" t="s">
        <v>29</v>
      </c>
      <c r="Q9062">
        <v>42</v>
      </c>
      <c r="R9062">
        <v>-87.629800000000003</v>
      </c>
    </row>
    <row r="9063" spans="1:18" x14ac:dyDescent="0.2">
      <c r="A9063" t="s">
        <v>439</v>
      </c>
      <c r="B9063" t="s">
        <v>4321</v>
      </c>
      <c r="C9063">
        <v>81</v>
      </c>
      <c r="D9063" s="1">
        <v>44268.671898148146</v>
      </c>
      <c r="E9063" t="s">
        <v>28458</v>
      </c>
      <c r="F9063" t="s">
        <v>442</v>
      </c>
      <c r="G9063" t="s">
        <v>28459</v>
      </c>
      <c r="H9063" t="s">
        <v>444</v>
      </c>
      <c r="I9063" t="s">
        <v>53</v>
      </c>
      <c r="J9063">
        <v>81</v>
      </c>
      <c r="K9063">
        <f>81-50-3198-9276</f>
        <v>-12443</v>
      </c>
      <c r="L9063" t="s">
        <v>28462</v>
      </c>
      <c r="M9063" t="s">
        <v>28463</v>
      </c>
      <c r="N9063" t="s">
        <v>447</v>
      </c>
      <c r="O9063" t="s">
        <v>28</v>
      </c>
      <c r="P9063" t="s">
        <v>29</v>
      </c>
      <c r="Q9063">
        <v>42</v>
      </c>
      <c r="R9063">
        <v>-87.629800000000003</v>
      </c>
    </row>
    <row r="9064" spans="1:18" x14ac:dyDescent="0.2">
      <c r="A9064" t="s">
        <v>439</v>
      </c>
      <c r="B9064" t="s">
        <v>4321</v>
      </c>
      <c r="C9064">
        <v>1</v>
      </c>
      <c r="D9064" s="1">
        <v>44268.721678240741</v>
      </c>
      <c r="E9064" t="s">
        <v>28464</v>
      </c>
      <c r="F9064" t="s">
        <v>442</v>
      </c>
      <c r="G9064" t="s">
        <v>28465</v>
      </c>
      <c r="H9064" t="s">
        <v>444</v>
      </c>
      <c r="I9064" t="s">
        <v>29</v>
      </c>
      <c r="J9064">
        <v>1</v>
      </c>
      <c r="K9064">
        <f>1-844-313-2841</f>
        <v>-3997</v>
      </c>
      <c r="L9064" t="s">
        <v>28466</v>
      </c>
      <c r="M9064" t="s">
        <v>28467</v>
      </c>
      <c r="N9064" t="s">
        <v>447</v>
      </c>
      <c r="O9064" t="s">
        <v>28</v>
      </c>
      <c r="P9064" t="s">
        <v>29</v>
      </c>
      <c r="Q9064">
        <v>42</v>
      </c>
      <c r="R9064">
        <v>-87.629800000000003</v>
      </c>
    </row>
    <row r="9065" spans="1:18" x14ac:dyDescent="0.2">
      <c r="A9065" t="s">
        <v>10660</v>
      </c>
      <c r="B9065" t="s">
        <v>1638</v>
      </c>
      <c r="C9065">
        <v>1</v>
      </c>
      <c r="D9065" s="1">
        <v>44300.93141203704</v>
      </c>
      <c r="E9065" t="s">
        <v>28468</v>
      </c>
      <c r="F9065" t="s">
        <v>11960</v>
      </c>
      <c r="G9065" t="s">
        <v>28469</v>
      </c>
      <c r="H9065" t="s">
        <v>10664</v>
      </c>
      <c r="I9065" t="s">
        <v>29</v>
      </c>
      <c r="J9065">
        <v>1</v>
      </c>
      <c r="K9065">
        <f>1-888-397-6726</f>
        <v>-8010</v>
      </c>
      <c r="L9065" t="s">
        <v>28470</v>
      </c>
      <c r="M9065" t="s">
        <v>28471</v>
      </c>
      <c r="N9065" t="s">
        <v>5468</v>
      </c>
      <c r="O9065" t="s">
        <v>28</v>
      </c>
      <c r="P9065" t="s">
        <v>292</v>
      </c>
      <c r="Q9065">
        <v>49</v>
      </c>
      <c r="R9065">
        <v>2.3281000000000001</v>
      </c>
    </row>
    <row r="9066" spans="1:18" x14ac:dyDescent="0.2">
      <c r="A9066" t="s">
        <v>10660</v>
      </c>
      <c r="B9066" t="s">
        <v>1638</v>
      </c>
      <c r="C9066">
        <v>1</v>
      </c>
      <c r="D9066" s="1">
        <v>44298.917384259257</v>
      </c>
      <c r="E9066" t="s">
        <v>28472</v>
      </c>
      <c r="F9066" t="s">
        <v>11960</v>
      </c>
      <c r="G9066" t="s">
        <v>28469</v>
      </c>
      <c r="H9066" t="s">
        <v>10664</v>
      </c>
      <c r="I9066" t="s">
        <v>29</v>
      </c>
      <c r="J9066">
        <v>1</v>
      </c>
      <c r="K9066">
        <f>1-888-355-638</f>
        <v>-1880</v>
      </c>
      <c r="L9066" t="s">
        <v>28473</v>
      </c>
      <c r="M9066" t="s">
        <v>28474</v>
      </c>
      <c r="N9066" t="s">
        <v>5468</v>
      </c>
      <c r="O9066" t="s">
        <v>28</v>
      </c>
      <c r="P9066" t="s">
        <v>292</v>
      </c>
      <c r="Q9066">
        <v>49</v>
      </c>
      <c r="R9066">
        <v>2.3281000000000001</v>
      </c>
    </row>
    <row r="9067" spans="1:18" x14ac:dyDescent="0.2">
      <c r="A9067" t="s">
        <v>10660</v>
      </c>
      <c r="B9067" t="s">
        <v>1638</v>
      </c>
      <c r="C9067">
        <v>1</v>
      </c>
      <c r="D9067" s="1">
        <v>44293.011018518519</v>
      </c>
      <c r="E9067" t="s">
        <v>28475</v>
      </c>
      <c r="F9067" t="s">
        <v>11960</v>
      </c>
      <c r="G9067" t="s">
        <v>28469</v>
      </c>
      <c r="H9067" t="s">
        <v>10664</v>
      </c>
      <c r="I9067" t="s">
        <v>29</v>
      </c>
      <c r="J9067">
        <v>1</v>
      </c>
      <c r="K9067">
        <f>1-888-463-325</f>
        <v>-1675</v>
      </c>
      <c r="L9067" t="s">
        <v>28476</v>
      </c>
      <c r="M9067" t="s">
        <v>28477</v>
      </c>
      <c r="N9067" t="s">
        <v>5468</v>
      </c>
      <c r="O9067" t="s">
        <v>28</v>
      </c>
      <c r="P9067" t="s">
        <v>292</v>
      </c>
      <c r="Q9067">
        <v>49</v>
      </c>
      <c r="R9067">
        <v>2.3281000000000001</v>
      </c>
    </row>
    <row r="9068" spans="1:18" x14ac:dyDescent="0.2">
      <c r="A9068" t="s">
        <v>10660</v>
      </c>
      <c r="B9068" t="s">
        <v>1638</v>
      </c>
      <c r="C9068">
        <v>1</v>
      </c>
      <c r="D9068" s="1">
        <v>44293.005208333336</v>
      </c>
      <c r="E9068" t="s">
        <v>28475</v>
      </c>
      <c r="F9068" t="s">
        <v>11960</v>
      </c>
      <c r="G9068" t="s">
        <v>28469</v>
      </c>
      <c r="H9068" t="s">
        <v>10664</v>
      </c>
      <c r="I9068" t="s">
        <v>29</v>
      </c>
      <c r="J9068">
        <v>1</v>
      </c>
      <c r="K9068">
        <f>1-888-264-344</f>
        <v>-1495</v>
      </c>
      <c r="L9068" t="s">
        <v>28478</v>
      </c>
      <c r="M9068" t="s">
        <v>28479</v>
      </c>
      <c r="N9068" t="s">
        <v>5468</v>
      </c>
      <c r="O9068" t="s">
        <v>28</v>
      </c>
      <c r="P9068" t="s">
        <v>292</v>
      </c>
      <c r="Q9068">
        <v>49</v>
      </c>
      <c r="R9068">
        <v>2.3281000000000001</v>
      </c>
    </row>
    <row r="9069" spans="1:18" x14ac:dyDescent="0.2">
      <c r="A9069" t="s">
        <v>10660</v>
      </c>
      <c r="B9069" t="s">
        <v>1638</v>
      </c>
      <c r="C9069">
        <v>1</v>
      </c>
      <c r="D9069" s="1">
        <v>44280.713680555556</v>
      </c>
      <c r="E9069" t="s">
        <v>28480</v>
      </c>
      <c r="F9069" t="s">
        <v>11960</v>
      </c>
      <c r="G9069" t="s">
        <v>28469</v>
      </c>
      <c r="H9069" t="s">
        <v>10664</v>
      </c>
      <c r="I9069" t="s">
        <v>29</v>
      </c>
      <c r="J9069">
        <v>1</v>
      </c>
      <c r="K9069">
        <f>1-888-351-2161</f>
        <v>-3399</v>
      </c>
      <c r="L9069" t="s">
        <v>28481</v>
      </c>
      <c r="M9069" t="s">
        <v>28482</v>
      </c>
      <c r="N9069" t="s">
        <v>5468</v>
      </c>
      <c r="O9069" t="s">
        <v>28</v>
      </c>
      <c r="P9069" t="s">
        <v>292</v>
      </c>
      <c r="Q9069">
        <v>49</v>
      </c>
      <c r="R9069">
        <v>2.3281000000000001</v>
      </c>
    </row>
    <row r="9070" spans="1:18" x14ac:dyDescent="0.2">
      <c r="A9070" t="s">
        <v>10660</v>
      </c>
      <c r="B9070" t="s">
        <v>1638</v>
      </c>
      <c r="C9070">
        <v>1</v>
      </c>
      <c r="D9070" s="1">
        <v>44268.954050925924</v>
      </c>
      <c r="E9070" t="s">
        <v>28483</v>
      </c>
      <c r="F9070" t="s">
        <v>11960</v>
      </c>
      <c r="G9070" t="s">
        <v>28469</v>
      </c>
      <c r="H9070" t="s">
        <v>10664</v>
      </c>
      <c r="I9070" t="s">
        <v>29</v>
      </c>
      <c r="J9070">
        <v>1</v>
      </c>
      <c r="K9070">
        <f>1-888-257-6424</f>
        <v>-7568</v>
      </c>
      <c r="L9070" t="s">
        <v>28484</v>
      </c>
      <c r="M9070" t="s">
        <v>28485</v>
      </c>
      <c r="N9070" t="s">
        <v>5468</v>
      </c>
      <c r="O9070" t="s">
        <v>28</v>
      </c>
      <c r="P9070" t="s">
        <v>292</v>
      </c>
      <c r="Q9070">
        <v>49</v>
      </c>
      <c r="R9070">
        <v>2.3281000000000001</v>
      </c>
    </row>
    <row r="9071" spans="1:18" x14ac:dyDescent="0.2">
      <c r="A9071" t="s">
        <v>663</v>
      </c>
      <c r="B9071" t="s">
        <v>5784</v>
      </c>
      <c r="C9071">
        <v>1</v>
      </c>
      <c r="D9071" s="1">
        <v>44269.863888888889</v>
      </c>
      <c r="E9071" t="s">
        <v>28486</v>
      </c>
      <c r="F9071" t="s">
        <v>666</v>
      </c>
      <c r="G9071" t="s">
        <v>28487</v>
      </c>
      <c r="H9071" t="s">
        <v>667</v>
      </c>
      <c r="I9071" t="s">
        <v>29</v>
      </c>
      <c r="J9071">
        <v>1</v>
      </c>
      <c r="K9071">
        <f>1-833-220-4066</f>
        <v>-5118</v>
      </c>
      <c r="L9071" s="2" t="s">
        <v>28488</v>
      </c>
      <c r="M9071" t="s">
        <v>28489</v>
      </c>
      <c r="N9071" t="s">
        <v>25263</v>
      </c>
      <c r="O9071" t="s">
        <v>28</v>
      </c>
      <c r="P9071" t="s">
        <v>5789</v>
      </c>
      <c r="Q9071">
        <v>13</v>
      </c>
      <c r="R9071">
        <v>77.585499999999996</v>
      </c>
    </row>
    <row r="9072" spans="1:18" x14ac:dyDescent="0.2">
      <c r="A9072" t="s">
        <v>439</v>
      </c>
      <c r="B9072" t="s">
        <v>4321</v>
      </c>
      <c r="C9072">
        <v>49</v>
      </c>
      <c r="D9072" s="1">
        <v>44270.641793981478</v>
      </c>
      <c r="E9072" t="s">
        <v>28490</v>
      </c>
      <c r="F9072" t="s">
        <v>442</v>
      </c>
      <c r="G9072" t="s">
        <v>28491</v>
      </c>
      <c r="H9072" t="s">
        <v>444</v>
      </c>
      <c r="I9072" t="s">
        <v>24</v>
      </c>
      <c r="J9072">
        <v>49</v>
      </c>
      <c r="K9072">
        <f>49-800-181-4587</f>
        <v>-5519</v>
      </c>
      <c r="L9072" t="s">
        <v>28492</v>
      </c>
      <c r="M9072" t="s">
        <v>28493</v>
      </c>
      <c r="N9072" t="s">
        <v>213</v>
      </c>
      <c r="O9072" t="s">
        <v>28</v>
      </c>
      <c r="P9072" t="s">
        <v>29</v>
      </c>
      <c r="Q9072">
        <v>42</v>
      </c>
      <c r="R9072">
        <v>-87.629800000000003</v>
      </c>
    </row>
    <row r="9073" spans="1:18" x14ac:dyDescent="0.2">
      <c r="A9073" t="s">
        <v>6586</v>
      </c>
      <c r="B9073" t="s">
        <v>24593</v>
      </c>
      <c r="C9073">
        <v>1</v>
      </c>
      <c r="D9073" s="1">
        <v>44270.845497685186</v>
      </c>
      <c r="E9073" t="s">
        <v>28494</v>
      </c>
      <c r="F9073" t="s">
        <v>6588</v>
      </c>
      <c r="G9073" t="s">
        <v>28495</v>
      </c>
      <c r="H9073" t="s">
        <v>6590</v>
      </c>
      <c r="I9073" t="s">
        <v>29</v>
      </c>
      <c r="J9073">
        <v>1</v>
      </c>
      <c r="K9073">
        <f>1-888-256-3583</f>
        <v>-4726</v>
      </c>
      <c r="L9073" t="s">
        <v>28496</v>
      </c>
      <c r="M9073" t="s">
        <v>28497</v>
      </c>
      <c r="N9073" t="s">
        <v>25263</v>
      </c>
      <c r="O9073" t="s">
        <v>28</v>
      </c>
      <c r="P9073" t="s">
        <v>29</v>
      </c>
      <c r="Q9073">
        <v>41</v>
      </c>
      <c r="R9073">
        <v>-74.459199999999996</v>
      </c>
    </row>
    <row r="9074" spans="1:18" x14ac:dyDescent="0.2">
      <c r="A9074" t="s">
        <v>663</v>
      </c>
      <c r="B9074" t="s">
        <v>1212</v>
      </c>
      <c r="C9074">
        <v>1</v>
      </c>
      <c r="D9074" s="1">
        <v>44270.836944444447</v>
      </c>
      <c r="E9074" t="s">
        <v>28498</v>
      </c>
      <c r="F9074" t="s">
        <v>666</v>
      </c>
      <c r="G9074" t="s">
        <v>28499</v>
      </c>
      <c r="H9074" t="s">
        <v>667</v>
      </c>
      <c r="I9074" t="s">
        <v>29</v>
      </c>
      <c r="J9074">
        <v>1</v>
      </c>
      <c r="K9074">
        <f>1-888-501-943</f>
        <v>-2331</v>
      </c>
      <c r="L9074" t="s">
        <v>28500</v>
      </c>
      <c r="M9074" t="s">
        <v>28501</v>
      </c>
      <c r="N9074" t="s">
        <v>2475</v>
      </c>
      <c r="O9074" t="s">
        <v>28</v>
      </c>
      <c r="P9074" t="s">
        <v>618</v>
      </c>
      <c r="Q9074">
        <v>52</v>
      </c>
      <c r="R9074">
        <v>-0.62150000000000005</v>
      </c>
    </row>
    <row r="9075" spans="1:18" x14ac:dyDescent="0.2">
      <c r="A9075" t="s">
        <v>675</v>
      </c>
      <c r="B9075" t="s">
        <v>1412</v>
      </c>
      <c r="C9075">
        <v>1</v>
      </c>
      <c r="D9075" s="1">
        <v>44270.842326388891</v>
      </c>
      <c r="E9075" t="s">
        <v>28502</v>
      </c>
      <c r="F9075" t="s">
        <v>678</v>
      </c>
      <c r="G9075" t="s">
        <v>28503</v>
      </c>
      <c r="H9075" t="s">
        <v>680</v>
      </c>
      <c r="I9075" t="s">
        <v>29</v>
      </c>
      <c r="J9075">
        <v>1</v>
      </c>
      <c r="K9075">
        <f>1-888-379-1568</f>
        <v>-2834</v>
      </c>
      <c r="L9075" t="s">
        <v>28504</v>
      </c>
      <c r="M9075" t="s">
        <v>28505</v>
      </c>
      <c r="N9075" t="s">
        <v>5354</v>
      </c>
      <c r="O9075" t="s">
        <v>28</v>
      </c>
      <c r="P9075" t="s">
        <v>29</v>
      </c>
      <c r="Q9075">
        <v>41</v>
      </c>
      <c r="R9075">
        <v>-74.172399999999996</v>
      </c>
    </row>
    <row r="9076" spans="1:18" x14ac:dyDescent="0.2">
      <c r="A9076" t="s">
        <v>439</v>
      </c>
      <c r="B9076" t="s">
        <v>4321</v>
      </c>
      <c r="C9076">
        <v>49</v>
      </c>
      <c r="D9076" s="1">
        <v>44270.861793981479</v>
      </c>
      <c r="E9076" t="s">
        <v>28506</v>
      </c>
      <c r="F9076" t="s">
        <v>442</v>
      </c>
      <c r="G9076" t="s">
        <v>28507</v>
      </c>
      <c r="H9076" t="s">
        <v>444</v>
      </c>
      <c r="I9076" t="s">
        <v>24</v>
      </c>
      <c r="J9076">
        <v>49</v>
      </c>
      <c r="K9076">
        <f>49-800-181-4587</f>
        <v>-5519</v>
      </c>
      <c r="L9076" t="s">
        <v>28508</v>
      </c>
      <c r="M9076" t="s">
        <v>28509</v>
      </c>
      <c r="N9076" t="s">
        <v>213</v>
      </c>
      <c r="O9076" t="s">
        <v>28</v>
      </c>
      <c r="P9076" t="s">
        <v>29</v>
      </c>
      <c r="Q9076">
        <v>42</v>
      </c>
      <c r="R9076">
        <v>-87.629800000000003</v>
      </c>
    </row>
    <row r="9077" spans="1:18" x14ac:dyDescent="0.2">
      <c r="A9077" t="s">
        <v>439</v>
      </c>
      <c r="B9077" t="s">
        <v>4321</v>
      </c>
      <c r="C9077">
        <v>1</v>
      </c>
      <c r="D9077" s="1">
        <v>44270.806331018517</v>
      </c>
      <c r="E9077" t="s">
        <v>28510</v>
      </c>
      <c r="F9077" t="s">
        <v>442</v>
      </c>
      <c r="G9077" t="s">
        <v>28511</v>
      </c>
      <c r="H9077" t="s">
        <v>444</v>
      </c>
      <c r="I9077" t="s">
        <v>29</v>
      </c>
      <c r="J9077">
        <v>1</v>
      </c>
      <c r="K9077">
        <f>1-866-217-8956</f>
        <v>-10038</v>
      </c>
      <c r="L9077" t="s">
        <v>28512</v>
      </c>
      <c r="M9077" t="s">
        <v>28513</v>
      </c>
      <c r="N9077" t="s">
        <v>213</v>
      </c>
      <c r="O9077" t="s">
        <v>28</v>
      </c>
      <c r="P9077" t="s">
        <v>29</v>
      </c>
      <c r="Q9077">
        <v>42</v>
      </c>
      <c r="R9077">
        <v>-87.629800000000003</v>
      </c>
    </row>
    <row r="9078" spans="1:18" x14ac:dyDescent="0.2">
      <c r="A9078" t="s">
        <v>663</v>
      </c>
      <c r="B9078" t="s">
        <v>5784</v>
      </c>
      <c r="C9078">
        <v>1</v>
      </c>
      <c r="D9078" s="1">
        <v>44270.95890046296</v>
      </c>
      <c r="E9078" t="s">
        <v>28514</v>
      </c>
      <c r="F9078" t="s">
        <v>666</v>
      </c>
      <c r="G9078" t="s">
        <v>28515</v>
      </c>
      <c r="H9078" t="s">
        <v>667</v>
      </c>
      <c r="I9078" t="s">
        <v>29</v>
      </c>
      <c r="J9078">
        <v>1</v>
      </c>
      <c r="K9078">
        <f>1-833-220-3915</f>
        <v>-4967</v>
      </c>
      <c r="L9078" t="s">
        <v>28516</v>
      </c>
      <c r="M9078" t="s">
        <v>28517</v>
      </c>
      <c r="N9078" t="s">
        <v>25263</v>
      </c>
      <c r="O9078" t="s">
        <v>28</v>
      </c>
      <c r="P9078" t="s">
        <v>5789</v>
      </c>
      <c r="Q9078">
        <v>13</v>
      </c>
      <c r="R9078">
        <v>77.585499999999996</v>
      </c>
    </row>
    <row r="9079" spans="1:18" x14ac:dyDescent="0.2">
      <c r="A9079" t="s">
        <v>2233</v>
      </c>
      <c r="B9079" t="s">
        <v>28518</v>
      </c>
      <c r="C9079">
        <v>81</v>
      </c>
      <c r="D9079" s="1">
        <v>44271.399699074071</v>
      </c>
      <c r="E9079" t="s">
        <v>28519</v>
      </c>
      <c r="F9079" t="s">
        <v>7023</v>
      </c>
      <c r="G9079" t="s">
        <v>28520</v>
      </c>
      <c r="H9079" t="s">
        <v>2237</v>
      </c>
      <c r="I9079" t="s">
        <v>53</v>
      </c>
      <c r="J9079">
        <v>81</v>
      </c>
      <c r="K9079">
        <f>81-50-3196-4484</f>
        <v>-7649</v>
      </c>
      <c r="L9079" t="s">
        <v>28521</v>
      </c>
      <c r="M9079" t="s">
        <v>28522</v>
      </c>
      <c r="N9079" t="s">
        <v>6329</v>
      </c>
      <c r="O9079" t="s">
        <v>134</v>
      </c>
      <c r="P9079" t="s">
        <v>53</v>
      </c>
      <c r="Q9079">
        <v>36</v>
      </c>
      <c r="R9079">
        <v>99.999999000000003</v>
      </c>
    </row>
    <row r="9080" spans="1:18" x14ac:dyDescent="0.2">
      <c r="A9080" t="s">
        <v>675</v>
      </c>
      <c r="B9080" t="s">
        <v>6310</v>
      </c>
      <c r="C9080">
        <v>81</v>
      </c>
      <c r="D9080" s="1">
        <v>44271.403854166667</v>
      </c>
      <c r="E9080" t="s">
        <v>28523</v>
      </c>
      <c r="F9080" t="s">
        <v>2987</v>
      </c>
      <c r="G9080" t="s">
        <v>28524</v>
      </c>
      <c r="H9080" t="s">
        <v>680</v>
      </c>
      <c r="I9080" t="s">
        <v>53</v>
      </c>
      <c r="J9080">
        <v>81</v>
      </c>
      <c r="K9080">
        <f>81-50-5539-7186</f>
        <v>-12694</v>
      </c>
      <c r="L9080" t="s">
        <v>28525</v>
      </c>
      <c r="M9080" t="s">
        <v>28526</v>
      </c>
      <c r="N9080" t="s">
        <v>2475</v>
      </c>
      <c r="O9080" t="s">
        <v>28</v>
      </c>
      <c r="P9080" t="s">
        <v>29</v>
      </c>
      <c r="Q9080">
        <v>34</v>
      </c>
      <c r="R9080">
        <v>-84.425700000000006</v>
      </c>
    </row>
    <row r="9081" spans="1:18" x14ac:dyDescent="0.2">
      <c r="A9081" t="s">
        <v>439</v>
      </c>
      <c r="B9081" t="s">
        <v>4321</v>
      </c>
      <c r="C9081">
        <v>81</v>
      </c>
      <c r="D9081" s="1">
        <v>44271.40520833333</v>
      </c>
      <c r="E9081" t="s">
        <v>28527</v>
      </c>
      <c r="F9081" t="s">
        <v>442</v>
      </c>
      <c r="G9081" t="s">
        <v>28528</v>
      </c>
      <c r="H9081" t="s">
        <v>444</v>
      </c>
      <c r="I9081" t="s">
        <v>53</v>
      </c>
      <c r="J9081">
        <v>81</v>
      </c>
      <c r="K9081">
        <f>81-50-5534-9776</f>
        <v>-15279</v>
      </c>
      <c r="L9081" t="s">
        <v>28529</v>
      </c>
      <c r="M9081" t="s">
        <v>28530</v>
      </c>
      <c r="N9081" t="s">
        <v>447</v>
      </c>
      <c r="O9081" t="s">
        <v>28</v>
      </c>
      <c r="P9081" t="s">
        <v>29</v>
      </c>
      <c r="Q9081">
        <v>42</v>
      </c>
      <c r="R9081">
        <v>-87.629800000000003</v>
      </c>
    </row>
    <row r="9082" spans="1:18" x14ac:dyDescent="0.2">
      <c r="A9082" t="s">
        <v>2349</v>
      </c>
      <c r="B9082" t="s">
        <v>4667</v>
      </c>
      <c r="C9082">
        <v>81</v>
      </c>
      <c r="D9082" s="1">
        <v>44271.405995370369</v>
      </c>
      <c r="E9082" t="s">
        <v>28531</v>
      </c>
      <c r="F9082" t="s">
        <v>2352</v>
      </c>
      <c r="G9082" t="s">
        <v>28532</v>
      </c>
      <c r="H9082" t="s">
        <v>2353</v>
      </c>
      <c r="I9082" t="s">
        <v>53</v>
      </c>
      <c r="J9082">
        <v>81</v>
      </c>
      <c r="K9082">
        <f>81-50-5806-4193</f>
        <v>-9968</v>
      </c>
      <c r="L9082" t="s">
        <v>28533</v>
      </c>
      <c r="M9082" t="s">
        <v>28534</v>
      </c>
      <c r="N9082" t="s">
        <v>5354</v>
      </c>
      <c r="O9082" t="s">
        <v>134</v>
      </c>
      <c r="P9082" t="s">
        <v>53</v>
      </c>
      <c r="Q9082">
        <v>36</v>
      </c>
      <c r="R9082">
        <v>99.999999000000003</v>
      </c>
    </row>
    <row r="9083" spans="1:18" x14ac:dyDescent="0.2">
      <c r="A9083" t="s">
        <v>439</v>
      </c>
      <c r="B9083" t="s">
        <v>4321</v>
      </c>
      <c r="C9083">
        <v>81</v>
      </c>
      <c r="D9083" s="1">
        <v>44271.407025462962</v>
      </c>
      <c r="E9083" t="s">
        <v>28535</v>
      </c>
      <c r="F9083" t="s">
        <v>442</v>
      </c>
      <c r="G9083" t="s">
        <v>28536</v>
      </c>
      <c r="H9083" t="s">
        <v>444</v>
      </c>
      <c r="I9083" t="s">
        <v>53</v>
      </c>
      <c r="J9083">
        <v>81</v>
      </c>
      <c r="K9083">
        <f>81-50-3196-4828</f>
        <v>-7993</v>
      </c>
      <c r="L9083" s="2" t="s">
        <v>28537</v>
      </c>
      <c r="M9083" t="s">
        <v>28538</v>
      </c>
      <c r="N9083" t="s">
        <v>213</v>
      </c>
      <c r="O9083" t="s">
        <v>28</v>
      </c>
      <c r="P9083" t="s">
        <v>29</v>
      </c>
      <c r="Q9083">
        <v>42</v>
      </c>
      <c r="R9083">
        <v>-87.629800000000003</v>
      </c>
    </row>
    <row r="9084" spans="1:18" x14ac:dyDescent="0.2">
      <c r="A9084" t="s">
        <v>439</v>
      </c>
      <c r="B9084" t="s">
        <v>4321</v>
      </c>
      <c r="C9084">
        <v>81</v>
      </c>
      <c r="D9084" s="1">
        <v>44271.41201388889</v>
      </c>
      <c r="E9084" t="s">
        <v>28539</v>
      </c>
      <c r="F9084" t="s">
        <v>442</v>
      </c>
      <c r="G9084" t="s">
        <v>28540</v>
      </c>
      <c r="H9084" t="s">
        <v>444</v>
      </c>
      <c r="I9084" t="s">
        <v>53</v>
      </c>
      <c r="J9084">
        <v>81</v>
      </c>
      <c r="K9084">
        <f>81-50-3196-4828</f>
        <v>-7993</v>
      </c>
      <c r="L9084" t="s">
        <v>28541</v>
      </c>
      <c r="M9084" t="s">
        <v>28542</v>
      </c>
      <c r="N9084" t="s">
        <v>213</v>
      </c>
      <c r="O9084" t="s">
        <v>134</v>
      </c>
      <c r="P9084" t="s">
        <v>29</v>
      </c>
      <c r="Q9084">
        <v>42</v>
      </c>
      <c r="R9084">
        <v>-87.629800000000003</v>
      </c>
    </row>
    <row r="9085" spans="1:18" x14ac:dyDescent="0.2">
      <c r="A9085" t="s">
        <v>663</v>
      </c>
      <c r="B9085" t="s">
        <v>5784</v>
      </c>
      <c r="C9085">
        <v>1</v>
      </c>
      <c r="D9085" s="1">
        <v>44273.843032407407</v>
      </c>
      <c r="E9085" t="s">
        <v>28543</v>
      </c>
      <c r="F9085" t="s">
        <v>666</v>
      </c>
      <c r="G9085" t="s">
        <v>28544</v>
      </c>
      <c r="H9085" t="s">
        <v>667</v>
      </c>
      <c r="I9085" t="s">
        <v>29</v>
      </c>
      <c r="J9085">
        <v>1</v>
      </c>
      <c r="K9085">
        <f>1-888-318-4660</f>
        <v>-5865</v>
      </c>
      <c r="L9085" t="s">
        <v>28545</v>
      </c>
      <c r="M9085" t="s">
        <v>28546</v>
      </c>
      <c r="N9085" t="s">
        <v>25263</v>
      </c>
      <c r="O9085" t="s">
        <v>28</v>
      </c>
      <c r="P9085" t="s">
        <v>5789</v>
      </c>
      <c r="Q9085">
        <v>13</v>
      </c>
      <c r="R9085">
        <v>77.585499999999996</v>
      </c>
    </row>
    <row r="9086" spans="1:18" x14ac:dyDescent="0.2">
      <c r="A9086" t="s">
        <v>663</v>
      </c>
      <c r="B9086" t="s">
        <v>2500</v>
      </c>
      <c r="C9086">
        <v>1</v>
      </c>
      <c r="D9086" s="1">
        <v>44275.815335648149</v>
      </c>
      <c r="E9086" t="s">
        <v>28547</v>
      </c>
      <c r="F9086" t="s">
        <v>666</v>
      </c>
      <c r="G9086" t="s">
        <v>28547</v>
      </c>
      <c r="H9086" t="s">
        <v>667</v>
      </c>
      <c r="I9086" t="s">
        <v>29</v>
      </c>
      <c r="J9086">
        <v>1</v>
      </c>
      <c r="K9086">
        <f>1-888-339-5280</f>
        <v>-6506</v>
      </c>
      <c r="L9086" t="s">
        <v>28548</v>
      </c>
      <c r="M9086" t="s">
        <v>28549</v>
      </c>
      <c r="N9086">
        <v>58</v>
      </c>
      <c r="O9086" t="s">
        <v>134</v>
      </c>
      <c r="P9086" t="s">
        <v>2500</v>
      </c>
      <c r="Q9086">
        <v>1</v>
      </c>
      <c r="R9086">
        <v>99.999999000000003</v>
      </c>
    </row>
    <row r="9087" spans="1:18" x14ac:dyDescent="0.2">
      <c r="A9087" t="s">
        <v>663</v>
      </c>
      <c r="B9087" t="s">
        <v>2500</v>
      </c>
      <c r="C9087">
        <v>1</v>
      </c>
      <c r="D9087" s="1">
        <v>44275.81521990741</v>
      </c>
      <c r="E9087" t="s">
        <v>28547</v>
      </c>
      <c r="F9087" t="s">
        <v>666</v>
      </c>
      <c r="G9087" t="s">
        <v>28547</v>
      </c>
      <c r="H9087" t="s">
        <v>667</v>
      </c>
      <c r="I9087" t="s">
        <v>29</v>
      </c>
      <c r="J9087">
        <v>1</v>
      </c>
      <c r="K9087">
        <f>1-888-357-2845</f>
        <v>-4089</v>
      </c>
      <c r="L9087" t="s">
        <v>28550</v>
      </c>
      <c r="M9087" t="s">
        <v>28549</v>
      </c>
      <c r="N9087">
        <v>58</v>
      </c>
      <c r="O9087" t="s">
        <v>134</v>
      </c>
      <c r="P9087" t="s">
        <v>2500</v>
      </c>
      <c r="Q9087">
        <v>1</v>
      </c>
      <c r="R9087">
        <v>99.999999000000003</v>
      </c>
    </row>
    <row r="9088" spans="1:18" x14ac:dyDescent="0.2">
      <c r="A9088" t="s">
        <v>663</v>
      </c>
      <c r="B9088" t="s">
        <v>2500</v>
      </c>
      <c r="C9088">
        <v>1</v>
      </c>
      <c r="D9088" s="1">
        <v>44275.815127314818</v>
      </c>
      <c r="E9088" t="s">
        <v>28547</v>
      </c>
      <c r="F9088" t="s">
        <v>666</v>
      </c>
      <c r="G9088" t="s">
        <v>28547</v>
      </c>
      <c r="H9088" t="s">
        <v>667</v>
      </c>
      <c r="I9088" t="s">
        <v>29</v>
      </c>
      <c r="J9088">
        <v>1</v>
      </c>
      <c r="K9088">
        <f>1-844-385-6261</f>
        <v>-7489</v>
      </c>
      <c r="L9088" t="s">
        <v>28551</v>
      </c>
      <c r="M9088" t="s">
        <v>28549</v>
      </c>
      <c r="N9088">
        <v>58</v>
      </c>
      <c r="O9088" t="s">
        <v>134</v>
      </c>
      <c r="P9088" t="s">
        <v>2500</v>
      </c>
      <c r="Q9088">
        <v>1</v>
      </c>
      <c r="R9088">
        <v>99.999999000000003</v>
      </c>
    </row>
    <row r="9089" spans="1:18" x14ac:dyDescent="0.2">
      <c r="A9089" t="s">
        <v>663</v>
      </c>
      <c r="B9089" t="s">
        <v>2500</v>
      </c>
      <c r="C9089">
        <v>1</v>
      </c>
      <c r="D9089" s="1">
        <v>44275.815034722225</v>
      </c>
      <c r="E9089" t="s">
        <v>28547</v>
      </c>
      <c r="F9089" t="s">
        <v>666</v>
      </c>
      <c r="G9089" t="s">
        <v>28547</v>
      </c>
      <c r="H9089" t="s">
        <v>667</v>
      </c>
      <c r="I9089" t="s">
        <v>29</v>
      </c>
      <c r="J9089">
        <v>1</v>
      </c>
      <c r="K9089">
        <f>1-844-391-1646</f>
        <v>-2880</v>
      </c>
      <c r="L9089" t="s">
        <v>28552</v>
      </c>
      <c r="M9089" t="s">
        <v>28549</v>
      </c>
      <c r="N9089">
        <v>58</v>
      </c>
      <c r="O9089" t="s">
        <v>134</v>
      </c>
      <c r="P9089" t="s">
        <v>2500</v>
      </c>
      <c r="Q9089">
        <v>1</v>
      </c>
      <c r="R9089">
        <v>99.999999000000003</v>
      </c>
    </row>
    <row r="9090" spans="1:18" x14ac:dyDescent="0.2">
      <c r="A9090" t="s">
        <v>663</v>
      </c>
      <c r="B9090" t="s">
        <v>2500</v>
      </c>
      <c r="C9090">
        <v>1</v>
      </c>
      <c r="D9090" s="1">
        <v>44275.814930555556</v>
      </c>
      <c r="E9090" t="s">
        <v>28547</v>
      </c>
      <c r="F9090" t="s">
        <v>666</v>
      </c>
      <c r="G9090" t="s">
        <v>28547</v>
      </c>
      <c r="H9090" t="s">
        <v>667</v>
      </c>
      <c r="I9090" t="s">
        <v>29</v>
      </c>
      <c r="J9090">
        <v>1</v>
      </c>
      <c r="K9090">
        <f>1-888-272-3456</f>
        <v>-4615</v>
      </c>
      <c r="L9090" t="s">
        <v>28553</v>
      </c>
      <c r="M9090" t="s">
        <v>28549</v>
      </c>
      <c r="N9090">
        <v>58</v>
      </c>
      <c r="O9090" t="s">
        <v>134</v>
      </c>
      <c r="P9090" t="s">
        <v>2500</v>
      </c>
      <c r="Q9090">
        <v>1</v>
      </c>
      <c r="R9090">
        <v>99.999999000000003</v>
      </c>
    </row>
    <row r="9091" spans="1:18" x14ac:dyDescent="0.2">
      <c r="A9091" t="s">
        <v>663</v>
      </c>
      <c r="B9091" t="s">
        <v>2500</v>
      </c>
      <c r="C9091">
        <v>1</v>
      </c>
      <c r="D9091" s="1">
        <v>44275.814826388887</v>
      </c>
      <c r="E9091" t="s">
        <v>28547</v>
      </c>
      <c r="F9091" t="s">
        <v>666</v>
      </c>
      <c r="G9091" t="s">
        <v>28547</v>
      </c>
      <c r="H9091" t="s">
        <v>667</v>
      </c>
      <c r="I9091" t="s">
        <v>29</v>
      </c>
      <c r="J9091">
        <v>1</v>
      </c>
      <c r="K9091">
        <f>1-888-341-8189</f>
        <v>-9417</v>
      </c>
      <c r="L9091" t="s">
        <v>28554</v>
      </c>
      <c r="M9091" t="s">
        <v>28549</v>
      </c>
      <c r="N9091">
        <v>58</v>
      </c>
      <c r="O9091" t="s">
        <v>134</v>
      </c>
      <c r="P9091" t="s">
        <v>2500</v>
      </c>
      <c r="Q9091">
        <v>1</v>
      </c>
      <c r="R9091">
        <v>99.999999000000003</v>
      </c>
    </row>
    <row r="9092" spans="1:18" x14ac:dyDescent="0.2">
      <c r="A9092" t="s">
        <v>663</v>
      </c>
      <c r="B9092" t="s">
        <v>2500</v>
      </c>
      <c r="C9092">
        <v>1</v>
      </c>
      <c r="D9092" s="1">
        <v>44275.814479166664</v>
      </c>
      <c r="E9092" t="s">
        <v>28547</v>
      </c>
      <c r="F9092" t="s">
        <v>666</v>
      </c>
      <c r="G9092" t="s">
        <v>28547</v>
      </c>
      <c r="H9092" t="s">
        <v>667</v>
      </c>
      <c r="I9092" t="s">
        <v>29</v>
      </c>
      <c r="J9092">
        <v>1</v>
      </c>
      <c r="K9092">
        <f>1-844-333-4882</f>
        <v>-6058</v>
      </c>
      <c r="L9092" t="s">
        <v>28555</v>
      </c>
      <c r="M9092" t="s">
        <v>28549</v>
      </c>
      <c r="N9092">
        <v>58</v>
      </c>
      <c r="O9092" t="s">
        <v>134</v>
      </c>
      <c r="P9092" t="s">
        <v>2500</v>
      </c>
      <c r="Q9092">
        <v>1</v>
      </c>
      <c r="R9092">
        <v>99.999999000000003</v>
      </c>
    </row>
    <row r="9093" spans="1:18" x14ac:dyDescent="0.2">
      <c r="A9093" t="s">
        <v>663</v>
      </c>
      <c r="B9093" t="s">
        <v>2500</v>
      </c>
      <c r="C9093">
        <v>1</v>
      </c>
      <c r="D9093" s="1">
        <v>44275.814375000002</v>
      </c>
      <c r="E9093" t="s">
        <v>28547</v>
      </c>
      <c r="F9093" t="s">
        <v>666</v>
      </c>
      <c r="G9093" t="s">
        <v>28547</v>
      </c>
      <c r="H9093" t="s">
        <v>667</v>
      </c>
      <c r="I9093" t="s">
        <v>29</v>
      </c>
      <c r="J9093">
        <v>1</v>
      </c>
      <c r="K9093">
        <f>1-844-470-9948</f>
        <v>-11261</v>
      </c>
      <c r="L9093" t="s">
        <v>28556</v>
      </c>
      <c r="M9093" t="s">
        <v>28549</v>
      </c>
      <c r="N9093">
        <v>58</v>
      </c>
      <c r="O9093" t="s">
        <v>134</v>
      </c>
      <c r="P9093" t="s">
        <v>2500</v>
      </c>
      <c r="Q9093">
        <v>1</v>
      </c>
      <c r="R9093">
        <v>99.999999000000003</v>
      </c>
    </row>
    <row r="9094" spans="1:18" x14ac:dyDescent="0.2">
      <c r="A9094" t="s">
        <v>663</v>
      </c>
      <c r="B9094" t="s">
        <v>2500</v>
      </c>
      <c r="C9094">
        <v>1</v>
      </c>
      <c r="D9094" s="1">
        <v>44275.814282407409</v>
      </c>
      <c r="E9094" t="s">
        <v>28547</v>
      </c>
      <c r="F9094" t="s">
        <v>666</v>
      </c>
      <c r="G9094" t="s">
        <v>28547</v>
      </c>
      <c r="H9094" t="s">
        <v>667</v>
      </c>
      <c r="I9094" t="s">
        <v>29</v>
      </c>
      <c r="J9094">
        <v>1</v>
      </c>
      <c r="K9094">
        <f>1-844-283-9845</f>
        <v>-10971</v>
      </c>
      <c r="L9094" t="s">
        <v>28557</v>
      </c>
      <c r="M9094" t="s">
        <v>28549</v>
      </c>
      <c r="N9094">
        <v>58</v>
      </c>
      <c r="O9094" t="s">
        <v>134</v>
      </c>
      <c r="P9094" t="s">
        <v>2500</v>
      </c>
      <c r="Q9094">
        <v>1</v>
      </c>
      <c r="R9094">
        <v>99.999999000000003</v>
      </c>
    </row>
    <row r="9095" spans="1:18" x14ac:dyDescent="0.2">
      <c r="A9095" t="s">
        <v>663</v>
      </c>
      <c r="B9095" t="s">
        <v>2500</v>
      </c>
      <c r="C9095">
        <v>1</v>
      </c>
      <c r="D9095" s="1">
        <v>44275.813437500001</v>
      </c>
      <c r="E9095" t="s">
        <v>28547</v>
      </c>
      <c r="F9095" t="s">
        <v>666</v>
      </c>
      <c r="G9095" t="s">
        <v>28547</v>
      </c>
      <c r="H9095" t="s">
        <v>667</v>
      </c>
      <c r="I9095" t="s">
        <v>29</v>
      </c>
      <c r="J9095">
        <v>1</v>
      </c>
      <c r="K9095">
        <f>1-844-389-9106</f>
        <v>-10338</v>
      </c>
      <c r="L9095" t="s">
        <v>28558</v>
      </c>
      <c r="M9095" t="s">
        <v>28549</v>
      </c>
      <c r="N9095">
        <v>58</v>
      </c>
      <c r="O9095" t="s">
        <v>134</v>
      </c>
      <c r="P9095" t="s">
        <v>2500</v>
      </c>
      <c r="Q9095">
        <v>1</v>
      </c>
      <c r="R9095">
        <v>99.999999000000003</v>
      </c>
    </row>
    <row r="9096" spans="1:18" x14ac:dyDescent="0.2">
      <c r="A9096" t="s">
        <v>663</v>
      </c>
      <c r="B9096" t="s">
        <v>2500</v>
      </c>
      <c r="C9096">
        <v>1</v>
      </c>
      <c r="D9096" s="1">
        <v>44275.813344907408</v>
      </c>
      <c r="E9096" t="s">
        <v>28547</v>
      </c>
      <c r="F9096" t="s">
        <v>666</v>
      </c>
      <c r="G9096" t="s">
        <v>28547</v>
      </c>
      <c r="H9096" t="s">
        <v>667</v>
      </c>
      <c r="I9096" t="s">
        <v>29</v>
      </c>
      <c r="J9096">
        <v>1</v>
      </c>
      <c r="K9096">
        <f>1-844-318-9238</f>
        <v>-10399</v>
      </c>
      <c r="L9096" t="s">
        <v>28559</v>
      </c>
      <c r="M9096" t="s">
        <v>28549</v>
      </c>
      <c r="N9096">
        <v>58</v>
      </c>
      <c r="O9096" t="s">
        <v>134</v>
      </c>
      <c r="P9096" t="s">
        <v>2500</v>
      </c>
      <c r="Q9096">
        <v>1</v>
      </c>
      <c r="R9096">
        <v>99.999999000000003</v>
      </c>
    </row>
    <row r="9097" spans="1:18" x14ac:dyDescent="0.2">
      <c r="A9097" t="s">
        <v>663</v>
      </c>
      <c r="B9097" t="s">
        <v>2500</v>
      </c>
      <c r="C9097">
        <v>1</v>
      </c>
      <c r="D9097" s="1">
        <v>44275.813263888886</v>
      </c>
      <c r="E9097" t="s">
        <v>28547</v>
      </c>
      <c r="F9097" t="s">
        <v>666</v>
      </c>
      <c r="G9097" t="s">
        <v>28547</v>
      </c>
      <c r="H9097" t="s">
        <v>667</v>
      </c>
      <c r="I9097" t="s">
        <v>29</v>
      </c>
      <c r="J9097">
        <v>1</v>
      </c>
      <c r="K9097">
        <f>1-888-302-3241</f>
        <v>-4430</v>
      </c>
      <c r="L9097" t="s">
        <v>28560</v>
      </c>
      <c r="M9097" t="s">
        <v>28549</v>
      </c>
      <c r="N9097">
        <v>58</v>
      </c>
      <c r="O9097" t="s">
        <v>134</v>
      </c>
      <c r="P9097" t="s">
        <v>2500</v>
      </c>
      <c r="Q9097">
        <v>1</v>
      </c>
      <c r="R9097">
        <v>99.999999000000003</v>
      </c>
    </row>
    <row r="9098" spans="1:18" x14ac:dyDescent="0.2">
      <c r="A9098" t="s">
        <v>663</v>
      </c>
      <c r="B9098" t="s">
        <v>2500</v>
      </c>
      <c r="C9098">
        <v>1</v>
      </c>
      <c r="D9098" s="1">
        <v>44275.81354166667</v>
      </c>
      <c r="E9098" t="s">
        <v>28547</v>
      </c>
      <c r="F9098" t="s">
        <v>666</v>
      </c>
      <c r="G9098" t="s">
        <v>28547</v>
      </c>
      <c r="H9098" t="s">
        <v>667</v>
      </c>
      <c r="I9098" t="s">
        <v>29</v>
      </c>
      <c r="J9098">
        <v>1</v>
      </c>
      <c r="K9098">
        <f>1-888-373-7342</f>
        <v>-8602</v>
      </c>
      <c r="L9098" t="s">
        <v>28561</v>
      </c>
      <c r="M9098" t="s">
        <v>28549</v>
      </c>
      <c r="N9098">
        <v>58</v>
      </c>
      <c r="O9098" t="s">
        <v>134</v>
      </c>
      <c r="P9098" t="s">
        <v>2500</v>
      </c>
      <c r="Q9098">
        <v>1</v>
      </c>
      <c r="R9098">
        <v>99.999999000000003</v>
      </c>
    </row>
    <row r="9099" spans="1:18" x14ac:dyDescent="0.2">
      <c r="A9099" t="s">
        <v>663</v>
      </c>
      <c r="B9099" t="s">
        <v>2500</v>
      </c>
      <c r="C9099">
        <v>1</v>
      </c>
      <c r="D9099" s="1">
        <v>44275.813136574077</v>
      </c>
      <c r="E9099" t="s">
        <v>28547</v>
      </c>
      <c r="F9099" t="s">
        <v>666</v>
      </c>
      <c r="G9099" t="s">
        <v>28547</v>
      </c>
      <c r="H9099" t="s">
        <v>667</v>
      </c>
      <c r="I9099" t="s">
        <v>29</v>
      </c>
      <c r="J9099">
        <v>1</v>
      </c>
      <c r="K9099">
        <f>1-888-380-5234</f>
        <v>-6501</v>
      </c>
      <c r="L9099" t="s">
        <v>28562</v>
      </c>
      <c r="M9099" t="s">
        <v>28549</v>
      </c>
      <c r="N9099">
        <v>58</v>
      </c>
      <c r="O9099" t="s">
        <v>134</v>
      </c>
      <c r="P9099" t="s">
        <v>2500</v>
      </c>
      <c r="Q9099">
        <v>1</v>
      </c>
      <c r="R9099">
        <v>99.999999000000003</v>
      </c>
    </row>
    <row r="9100" spans="1:18" x14ac:dyDescent="0.2">
      <c r="A9100" t="s">
        <v>663</v>
      </c>
      <c r="B9100" t="s">
        <v>2500</v>
      </c>
      <c r="C9100">
        <v>1</v>
      </c>
      <c r="D9100" s="1">
        <v>44275.812847222223</v>
      </c>
      <c r="E9100" t="s">
        <v>28547</v>
      </c>
      <c r="F9100" t="s">
        <v>666</v>
      </c>
      <c r="G9100" t="s">
        <v>28547</v>
      </c>
      <c r="H9100" t="s">
        <v>667</v>
      </c>
      <c r="I9100" t="s">
        <v>29</v>
      </c>
      <c r="J9100">
        <v>1</v>
      </c>
      <c r="K9100">
        <f>1-844-328-2136</f>
        <v>-3307</v>
      </c>
      <c r="L9100" t="s">
        <v>28563</v>
      </c>
      <c r="M9100" t="s">
        <v>28549</v>
      </c>
      <c r="N9100">
        <v>58</v>
      </c>
      <c r="O9100" t="s">
        <v>134</v>
      </c>
      <c r="P9100" t="s">
        <v>2500</v>
      </c>
      <c r="Q9100">
        <v>1</v>
      </c>
      <c r="R9100">
        <v>99.999999000000003</v>
      </c>
    </row>
    <row r="9101" spans="1:18" x14ac:dyDescent="0.2">
      <c r="A9101" t="s">
        <v>663</v>
      </c>
      <c r="B9101" t="s">
        <v>2500</v>
      </c>
      <c r="C9101">
        <v>1</v>
      </c>
      <c r="D9101" s="1">
        <v>44275.812418981484</v>
      </c>
      <c r="E9101" t="s">
        <v>28547</v>
      </c>
      <c r="F9101" t="s">
        <v>666</v>
      </c>
      <c r="G9101" t="s">
        <v>28547</v>
      </c>
      <c r="H9101" t="s">
        <v>667</v>
      </c>
      <c r="I9101" t="s">
        <v>29</v>
      </c>
      <c r="J9101">
        <v>1</v>
      </c>
      <c r="K9101">
        <f>1-844-385-3851</f>
        <v>-5079</v>
      </c>
      <c r="L9101" t="s">
        <v>28564</v>
      </c>
      <c r="M9101" t="s">
        <v>28549</v>
      </c>
      <c r="N9101">
        <v>58</v>
      </c>
      <c r="O9101" t="s">
        <v>134</v>
      </c>
      <c r="P9101" t="s">
        <v>2500</v>
      </c>
      <c r="Q9101">
        <v>1</v>
      </c>
      <c r="R9101">
        <v>99.999999000000003</v>
      </c>
    </row>
    <row r="9102" spans="1:18" x14ac:dyDescent="0.2">
      <c r="A9102" t="s">
        <v>663</v>
      </c>
      <c r="B9102" t="s">
        <v>2500</v>
      </c>
      <c r="C9102">
        <v>1</v>
      </c>
      <c r="D9102" s="1">
        <v>44275.799432870372</v>
      </c>
      <c r="E9102" t="s">
        <v>28547</v>
      </c>
      <c r="F9102" t="s">
        <v>666</v>
      </c>
      <c r="G9102" t="s">
        <v>28547</v>
      </c>
      <c r="H9102" t="s">
        <v>667</v>
      </c>
      <c r="I9102" t="s">
        <v>29</v>
      </c>
      <c r="J9102">
        <v>1</v>
      </c>
      <c r="K9102">
        <f>1-888-345-3923</f>
        <v>-5155</v>
      </c>
      <c r="L9102" t="s">
        <v>28565</v>
      </c>
      <c r="M9102" t="s">
        <v>28549</v>
      </c>
      <c r="N9102">
        <v>58</v>
      </c>
      <c r="O9102" t="s">
        <v>134</v>
      </c>
      <c r="P9102" t="s">
        <v>2500</v>
      </c>
      <c r="Q9102">
        <v>1</v>
      </c>
      <c r="R9102">
        <v>99.999999000000003</v>
      </c>
    </row>
    <row r="9103" spans="1:18" x14ac:dyDescent="0.2">
      <c r="A9103" t="s">
        <v>663</v>
      </c>
      <c r="B9103" t="s">
        <v>2500</v>
      </c>
      <c r="C9103">
        <v>1</v>
      </c>
      <c r="D9103" s="1">
        <v>44275.799259259256</v>
      </c>
      <c r="E9103" t="s">
        <v>28547</v>
      </c>
      <c r="F9103" t="s">
        <v>666</v>
      </c>
      <c r="G9103" t="s">
        <v>28547</v>
      </c>
      <c r="H9103" t="s">
        <v>667</v>
      </c>
      <c r="I9103" t="s">
        <v>29</v>
      </c>
      <c r="J9103">
        <v>1</v>
      </c>
      <c r="K9103">
        <f>1-888-401-5360</f>
        <v>-6648</v>
      </c>
      <c r="L9103" t="s">
        <v>28566</v>
      </c>
      <c r="M9103" t="s">
        <v>28549</v>
      </c>
      <c r="N9103">
        <v>58</v>
      </c>
      <c r="O9103" t="s">
        <v>134</v>
      </c>
      <c r="P9103" t="s">
        <v>2500</v>
      </c>
      <c r="Q9103">
        <v>1</v>
      </c>
      <c r="R9103">
        <v>99.999999000000003</v>
      </c>
    </row>
    <row r="9104" spans="1:18" x14ac:dyDescent="0.2">
      <c r="A9104" t="s">
        <v>663</v>
      </c>
      <c r="B9104" t="s">
        <v>2500</v>
      </c>
      <c r="C9104">
        <v>1</v>
      </c>
      <c r="D9104" s="1">
        <v>44275.799247685187</v>
      </c>
      <c r="E9104" t="s">
        <v>28547</v>
      </c>
      <c r="F9104" t="s">
        <v>666</v>
      </c>
      <c r="G9104" t="s">
        <v>28547</v>
      </c>
      <c r="H9104" t="s">
        <v>667</v>
      </c>
      <c r="I9104" t="s">
        <v>29</v>
      </c>
      <c r="J9104">
        <v>1</v>
      </c>
      <c r="K9104">
        <f>1-888-690-743</f>
        <v>-2320</v>
      </c>
      <c r="L9104" t="s">
        <v>28567</v>
      </c>
      <c r="M9104" t="s">
        <v>28549</v>
      </c>
      <c r="N9104">
        <v>58</v>
      </c>
      <c r="O9104" t="s">
        <v>134</v>
      </c>
      <c r="P9104" t="s">
        <v>2500</v>
      </c>
      <c r="Q9104">
        <v>1</v>
      </c>
      <c r="R9104">
        <v>99.999999000000003</v>
      </c>
    </row>
    <row r="9105" spans="1:18" x14ac:dyDescent="0.2">
      <c r="A9105" t="s">
        <v>663</v>
      </c>
      <c r="B9105" t="s">
        <v>2500</v>
      </c>
      <c r="C9105">
        <v>1</v>
      </c>
      <c r="D9105" s="1">
        <v>44275.79923611111</v>
      </c>
      <c r="E9105" t="s">
        <v>28547</v>
      </c>
      <c r="F9105" t="s">
        <v>666</v>
      </c>
      <c r="G9105" t="s">
        <v>28547</v>
      </c>
      <c r="H9105" t="s">
        <v>667</v>
      </c>
      <c r="I9105" t="s">
        <v>29</v>
      </c>
      <c r="J9105">
        <v>1</v>
      </c>
      <c r="K9105">
        <f>1-888-389-6243</f>
        <v>-7519</v>
      </c>
      <c r="L9105" t="s">
        <v>28568</v>
      </c>
      <c r="M9105" t="s">
        <v>28549</v>
      </c>
      <c r="N9105">
        <v>58</v>
      </c>
      <c r="O9105" t="s">
        <v>134</v>
      </c>
      <c r="P9105" t="s">
        <v>2500</v>
      </c>
      <c r="Q9105">
        <v>1</v>
      </c>
      <c r="R9105">
        <v>99.999999000000003</v>
      </c>
    </row>
    <row r="9106" spans="1:18" x14ac:dyDescent="0.2">
      <c r="A9106" t="s">
        <v>663</v>
      </c>
      <c r="B9106" t="s">
        <v>2500</v>
      </c>
      <c r="C9106">
        <v>1</v>
      </c>
      <c r="D9106" s="1">
        <v>44275.799259259256</v>
      </c>
      <c r="E9106" t="s">
        <v>28547</v>
      </c>
      <c r="F9106" t="s">
        <v>666</v>
      </c>
      <c r="G9106" t="s">
        <v>28547</v>
      </c>
      <c r="H9106" t="s">
        <v>667</v>
      </c>
      <c r="I9106" t="s">
        <v>29</v>
      </c>
      <c r="J9106">
        <v>1</v>
      </c>
      <c r="K9106">
        <f>1-888-401-4469</f>
        <v>-5757</v>
      </c>
      <c r="L9106" t="s">
        <v>28569</v>
      </c>
      <c r="M9106" t="s">
        <v>28549</v>
      </c>
      <c r="N9106">
        <v>58</v>
      </c>
      <c r="O9106" t="s">
        <v>134</v>
      </c>
      <c r="P9106" t="s">
        <v>2500</v>
      </c>
      <c r="Q9106">
        <v>1</v>
      </c>
      <c r="R9106">
        <v>99.999999000000003</v>
      </c>
    </row>
    <row r="9107" spans="1:18" x14ac:dyDescent="0.2">
      <c r="A9107" t="s">
        <v>663</v>
      </c>
      <c r="B9107" t="s">
        <v>2500</v>
      </c>
      <c r="C9107">
        <v>1</v>
      </c>
      <c r="D9107" s="1">
        <v>44275.799340277779</v>
      </c>
      <c r="E9107" t="s">
        <v>28547</v>
      </c>
      <c r="F9107" t="s">
        <v>666</v>
      </c>
      <c r="G9107" t="s">
        <v>28547</v>
      </c>
      <c r="H9107" t="s">
        <v>667</v>
      </c>
      <c r="I9107" t="s">
        <v>29</v>
      </c>
      <c r="J9107">
        <v>1</v>
      </c>
      <c r="K9107">
        <f>1-888-392-259</f>
        <v>-1538</v>
      </c>
      <c r="L9107" t="s">
        <v>28570</v>
      </c>
      <c r="M9107" t="s">
        <v>28549</v>
      </c>
      <c r="N9107">
        <v>58</v>
      </c>
      <c r="O9107" t="s">
        <v>134</v>
      </c>
      <c r="P9107" t="s">
        <v>2500</v>
      </c>
      <c r="Q9107">
        <v>1</v>
      </c>
      <c r="R9107">
        <v>99.999999000000003</v>
      </c>
    </row>
    <row r="9108" spans="1:18" x14ac:dyDescent="0.2">
      <c r="A9108" t="s">
        <v>663</v>
      </c>
      <c r="B9108" t="s">
        <v>2500</v>
      </c>
      <c r="C9108">
        <v>1</v>
      </c>
      <c r="D9108" s="1">
        <v>44275.811678240738</v>
      </c>
      <c r="E9108" t="s">
        <v>28547</v>
      </c>
      <c r="F9108" t="s">
        <v>666</v>
      </c>
      <c r="G9108" t="s">
        <v>28547</v>
      </c>
      <c r="H9108" t="s">
        <v>667</v>
      </c>
      <c r="I9108" t="s">
        <v>29</v>
      </c>
      <c r="J9108">
        <v>1</v>
      </c>
      <c r="K9108">
        <f>1-844-389-9880</f>
        <v>-11112</v>
      </c>
      <c r="L9108" t="s">
        <v>28571</v>
      </c>
      <c r="M9108" t="s">
        <v>28549</v>
      </c>
      <c r="N9108">
        <v>58</v>
      </c>
      <c r="O9108" t="s">
        <v>134</v>
      </c>
      <c r="P9108" t="s">
        <v>2500</v>
      </c>
      <c r="Q9108">
        <v>1</v>
      </c>
      <c r="R9108">
        <v>99.999999000000003</v>
      </c>
    </row>
    <row r="9109" spans="1:18" x14ac:dyDescent="0.2">
      <c r="A9109" t="s">
        <v>663</v>
      </c>
      <c r="B9109" t="s">
        <v>2500</v>
      </c>
      <c r="C9109">
        <v>1</v>
      </c>
      <c r="D9109" s="1">
        <v>44275.811481481483</v>
      </c>
      <c r="E9109" t="s">
        <v>28547</v>
      </c>
      <c r="F9109" t="s">
        <v>666</v>
      </c>
      <c r="G9109" t="s">
        <v>28547</v>
      </c>
      <c r="H9109" t="s">
        <v>667</v>
      </c>
      <c r="I9109" t="s">
        <v>29</v>
      </c>
      <c r="J9109">
        <v>1</v>
      </c>
      <c r="K9109">
        <f>1-888-314-5569</f>
        <v>-6770</v>
      </c>
      <c r="L9109" t="s">
        <v>28572</v>
      </c>
      <c r="M9109" t="s">
        <v>28549</v>
      </c>
      <c r="N9109">
        <v>58</v>
      </c>
      <c r="O9109" t="s">
        <v>134</v>
      </c>
      <c r="P9109" t="s">
        <v>2500</v>
      </c>
      <c r="Q9109">
        <v>1</v>
      </c>
      <c r="R9109">
        <v>99.999999000000003</v>
      </c>
    </row>
    <row r="9110" spans="1:18" x14ac:dyDescent="0.2">
      <c r="A9110" t="s">
        <v>663</v>
      </c>
      <c r="B9110" t="s">
        <v>2500</v>
      </c>
      <c r="C9110">
        <v>1</v>
      </c>
      <c r="D9110" s="1">
        <v>44275.81212962963</v>
      </c>
      <c r="E9110" t="s">
        <v>28547</v>
      </c>
      <c r="F9110" t="s">
        <v>666</v>
      </c>
      <c r="G9110" t="s">
        <v>28547</v>
      </c>
      <c r="H9110" t="s">
        <v>667</v>
      </c>
      <c r="I9110" t="s">
        <v>29</v>
      </c>
      <c r="J9110">
        <v>1</v>
      </c>
      <c r="K9110">
        <f>1-888-417-4087</f>
        <v>-5391</v>
      </c>
      <c r="L9110" t="s">
        <v>28573</v>
      </c>
      <c r="M9110" t="s">
        <v>28549</v>
      </c>
      <c r="N9110">
        <v>58</v>
      </c>
      <c r="O9110" t="s">
        <v>134</v>
      </c>
      <c r="P9110" t="s">
        <v>2500</v>
      </c>
      <c r="Q9110">
        <v>1</v>
      </c>
      <c r="R9110">
        <v>99.999999000000003</v>
      </c>
    </row>
    <row r="9111" spans="1:18" x14ac:dyDescent="0.2">
      <c r="A9111" t="s">
        <v>663</v>
      </c>
      <c r="B9111" t="s">
        <v>2500</v>
      </c>
      <c r="C9111">
        <v>1</v>
      </c>
      <c r="D9111" s="1">
        <v>44275.799328703702</v>
      </c>
      <c r="E9111" t="s">
        <v>28547</v>
      </c>
      <c r="F9111" t="s">
        <v>666</v>
      </c>
      <c r="G9111" t="s">
        <v>28547</v>
      </c>
      <c r="H9111" t="s">
        <v>667</v>
      </c>
      <c r="I9111" t="s">
        <v>29</v>
      </c>
      <c r="J9111">
        <v>1</v>
      </c>
      <c r="K9111">
        <f>1-888-393-4019</f>
        <v>-5299</v>
      </c>
      <c r="L9111" t="s">
        <v>28574</v>
      </c>
      <c r="M9111" t="s">
        <v>28549</v>
      </c>
      <c r="N9111">
        <v>58</v>
      </c>
      <c r="O9111" t="s">
        <v>134</v>
      </c>
      <c r="P9111" t="s">
        <v>2500</v>
      </c>
      <c r="Q9111">
        <v>1</v>
      </c>
      <c r="R9111">
        <v>99.999999000000003</v>
      </c>
    </row>
    <row r="9112" spans="1:18" x14ac:dyDescent="0.2">
      <c r="A9112" t="s">
        <v>663</v>
      </c>
      <c r="B9112" t="s">
        <v>2500</v>
      </c>
      <c r="C9112">
        <v>1</v>
      </c>
      <c r="D9112" s="1">
        <v>44275.79928240741</v>
      </c>
      <c r="E9112" t="s">
        <v>28547</v>
      </c>
      <c r="F9112" t="s">
        <v>666</v>
      </c>
      <c r="G9112" t="s">
        <v>28547</v>
      </c>
      <c r="H9112" t="s">
        <v>667</v>
      </c>
      <c r="I9112" t="s">
        <v>29</v>
      </c>
      <c r="J9112">
        <v>1</v>
      </c>
      <c r="K9112">
        <f>1-888-398-7421</f>
        <v>-8706</v>
      </c>
      <c r="L9112" t="s">
        <v>28575</v>
      </c>
      <c r="M9112" t="s">
        <v>28549</v>
      </c>
      <c r="N9112">
        <v>58</v>
      </c>
      <c r="O9112" t="s">
        <v>134</v>
      </c>
      <c r="P9112" t="s">
        <v>2500</v>
      </c>
      <c r="Q9112">
        <v>1</v>
      </c>
      <c r="R9112">
        <v>99.999999000000003</v>
      </c>
    </row>
    <row r="9113" spans="1:18" x14ac:dyDescent="0.2">
      <c r="A9113" t="s">
        <v>663</v>
      </c>
      <c r="B9113" t="s">
        <v>2500</v>
      </c>
      <c r="C9113">
        <v>1</v>
      </c>
      <c r="D9113" s="1">
        <v>44275.799456018518</v>
      </c>
      <c r="E9113" t="s">
        <v>28547</v>
      </c>
      <c r="F9113" t="s">
        <v>666</v>
      </c>
      <c r="G9113" t="s">
        <v>28547</v>
      </c>
      <c r="H9113" t="s">
        <v>667</v>
      </c>
      <c r="I9113" t="s">
        <v>29</v>
      </c>
      <c r="J9113">
        <v>1</v>
      </c>
      <c r="K9113">
        <f>1-888-335-651</f>
        <v>-1873</v>
      </c>
      <c r="L9113" t="s">
        <v>28576</v>
      </c>
      <c r="M9113" t="s">
        <v>28549</v>
      </c>
      <c r="N9113">
        <v>58</v>
      </c>
      <c r="O9113" t="s">
        <v>134</v>
      </c>
      <c r="P9113" t="s">
        <v>2500</v>
      </c>
      <c r="Q9113">
        <v>1</v>
      </c>
      <c r="R9113">
        <v>99.999999000000003</v>
      </c>
    </row>
    <row r="9114" spans="1:18" x14ac:dyDescent="0.2">
      <c r="A9114" t="s">
        <v>663</v>
      </c>
      <c r="B9114" t="s">
        <v>2500</v>
      </c>
      <c r="C9114">
        <v>1</v>
      </c>
      <c r="D9114" s="1">
        <v>44275.811099537037</v>
      </c>
      <c r="E9114" t="s">
        <v>28547</v>
      </c>
      <c r="F9114" t="s">
        <v>666</v>
      </c>
      <c r="G9114" t="s">
        <v>28547</v>
      </c>
      <c r="H9114" t="s">
        <v>667</v>
      </c>
      <c r="I9114" t="s">
        <v>29</v>
      </c>
      <c r="J9114">
        <v>1</v>
      </c>
      <c r="K9114">
        <f>1-888-383-4540</f>
        <v>-5810</v>
      </c>
      <c r="L9114" t="s">
        <v>28577</v>
      </c>
      <c r="M9114" t="s">
        <v>28549</v>
      </c>
      <c r="N9114">
        <v>58</v>
      </c>
      <c r="O9114" t="s">
        <v>134</v>
      </c>
      <c r="P9114" t="s">
        <v>2500</v>
      </c>
      <c r="Q9114">
        <v>1</v>
      </c>
      <c r="R9114">
        <v>99.999999000000003</v>
      </c>
    </row>
    <row r="9115" spans="1:18" x14ac:dyDescent="0.2">
      <c r="A9115" t="s">
        <v>663</v>
      </c>
      <c r="B9115" t="s">
        <v>2500</v>
      </c>
      <c r="C9115">
        <v>1</v>
      </c>
      <c r="D9115" s="1">
        <v>44275.799421296295</v>
      </c>
      <c r="E9115" t="s">
        <v>28547</v>
      </c>
      <c r="F9115" t="s">
        <v>666</v>
      </c>
      <c r="G9115" t="s">
        <v>28547</v>
      </c>
      <c r="H9115" t="s">
        <v>667</v>
      </c>
      <c r="I9115" t="s">
        <v>29</v>
      </c>
      <c r="J9115">
        <v>1</v>
      </c>
      <c r="K9115">
        <f>1-888-354-1142</f>
        <v>-2383</v>
      </c>
      <c r="L9115" t="s">
        <v>28578</v>
      </c>
      <c r="M9115" t="s">
        <v>28549</v>
      </c>
      <c r="N9115">
        <v>58</v>
      </c>
      <c r="O9115" t="s">
        <v>134</v>
      </c>
      <c r="P9115" t="s">
        <v>2500</v>
      </c>
      <c r="Q9115">
        <v>1</v>
      </c>
      <c r="R9115">
        <v>99.999999000000003</v>
      </c>
    </row>
    <row r="9116" spans="1:18" x14ac:dyDescent="0.2">
      <c r="A9116" t="s">
        <v>663</v>
      </c>
      <c r="B9116" t="s">
        <v>2500</v>
      </c>
      <c r="C9116">
        <v>1</v>
      </c>
      <c r="D9116" s="1">
        <v>44275.799375000002</v>
      </c>
      <c r="E9116" t="s">
        <v>28547</v>
      </c>
      <c r="F9116" t="s">
        <v>666</v>
      </c>
      <c r="G9116" t="s">
        <v>28547</v>
      </c>
      <c r="H9116" t="s">
        <v>667</v>
      </c>
      <c r="I9116" t="s">
        <v>29</v>
      </c>
      <c r="J9116">
        <v>1</v>
      </c>
      <c r="K9116">
        <f>1-888-383-525</f>
        <v>-1795</v>
      </c>
      <c r="L9116" t="s">
        <v>28579</v>
      </c>
      <c r="M9116" t="s">
        <v>28549</v>
      </c>
      <c r="N9116">
        <v>58</v>
      </c>
      <c r="O9116" t="s">
        <v>134</v>
      </c>
      <c r="P9116" t="s">
        <v>2500</v>
      </c>
      <c r="Q9116">
        <v>1</v>
      </c>
      <c r="R9116">
        <v>99.999999000000003</v>
      </c>
    </row>
    <row r="9117" spans="1:18" x14ac:dyDescent="0.2">
      <c r="A9117" t="s">
        <v>663</v>
      </c>
      <c r="B9117" t="s">
        <v>2500</v>
      </c>
      <c r="C9117">
        <v>1</v>
      </c>
      <c r="D9117" s="1">
        <v>44275.799363425926</v>
      </c>
      <c r="E9117" t="s">
        <v>28547</v>
      </c>
      <c r="F9117" t="s">
        <v>666</v>
      </c>
      <c r="G9117" t="s">
        <v>28547</v>
      </c>
      <c r="H9117" t="s">
        <v>667</v>
      </c>
      <c r="I9117" t="s">
        <v>29</v>
      </c>
      <c r="J9117">
        <v>1</v>
      </c>
      <c r="K9117">
        <f>1-888-386-934</f>
        <v>-2207</v>
      </c>
      <c r="L9117" t="s">
        <v>28580</v>
      </c>
      <c r="M9117" t="s">
        <v>28549</v>
      </c>
      <c r="N9117">
        <v>58</v>
      </c>
      <c r="O9117" t="s">
        <v>134</v>
      </c>
      <c r="P9117" t="s">
        <v>2500</v>
      </c>
      <c r="Q9117">
        <v>1</v>
      </c>
      <c r="R9117">
        <v>99.999999000000003</v>
      </c>
    </row>
    <row r="9118" spans="1:18" x14ac:dyDescent="0.2">
      <c r="A9118" t="s">
        <v>663</v>
      </c>
      <c r="B9118" t="s">
        <v>2500</v>
      </c>
      <c r="C9118">
        <v>1</v>
      </c>
      <c r="D9118" s="1">
        <v>44275.799363425926</v>
      </c>
      <c r="E9118" t="s">
        <v>28547</v>
      </c>
      <c r="F9118" t="s">
        <v>666</v>
      </c>
      <c r="G9118" t="s">
        <v>28547</v>
      </c>
      <c r="H9118" t="s">
        <v>667</v>
      </c>
      <c r="I9118" t="s">
        <v>29</v>
      </c>
      <c r="J9118">
        <v>1</v>
      </c>
      <c r="K9118">
        <f>1-888-387-8180</f>
        <v>-9454</v>
      </c>
      <c r="L9118" t="s">
        <v>28581</v>
      </c>
      <c r="M9118" t="s">
        <v>28549</v>
      </c>
      <c r="N9118">
        <v>58</v>
      </c>
      <c r="O9118" t="s">
        <v>134</v>
      </c>
      <c r="P9118" t="s">
        <v>2500</v>
      </c>
      <c r="Q9118">
        <v>1</v>
      </c>
      <c r="R9118">
        <v>99.999999000000003</v>
      </c>
    </row>
    <row r="9119" spans="1:18" x14ac:dyDescent="0.2">
      <c r="A9119" t="s">
        <v>663</v>
      </c>
      <c r="B9119" t="s">
        <v>2500</v>
      </c>
      <c r="C9119">
        <v>1</v>
      </c>
      <c r="D9119" s="1">
        <v>44275.798935185187</v>
      </c>
      <c r="E9119" t="s">
        <v>28547</v>
      </c>
      <c r="F9119" t="s">
        <v>666</v>
      </c>
      <c r="G9119" t="s">
        <v>28547</v>
      </c>
      <c r="H9119" t="s">
        <v>667</v>
      </c>
      <c r="I9119" t="s">
        <v>29</v>
      </c>
      <c r="J9119">
        <v>1</v>
      </c>
      <c r="K9119">
        <f>1-844-285-2502</f>
        <v>-3630</v>
      </c>
      <c r="L9119" t="s">
        <v>28582</v>
      </c>
      <c r="M9119" t="s">
        <v>28549</v>
      </c>
      <c r="N9119">
        <v>58</v>
      </c>
      <c r="O9119" t="s">
        <v>134</v>
      </c>
      <c r="P9119" t="s">
        <v>2500</v>
      </c>
      <c r="Q9119">
        <v>1</v>
      </c>
      <c r="R9119">
        <v>99.999999000000003</v>
      </c>
    </row>
    <row r="9120" spans="1:18" x14ac:dyDescent="0.2">
      <c r="A9120" t="s">
        <v>663</v>
      </c>
      <c r="B9120" t="s">
        <v>2500</v>
      </c>
      <c r="C9120">
        <v>1</v>
      </c>
      <c r="D9120" s="1">
        <v>44273.85701388889</v>
      </c>
      <c r="E9120" t="s">
        <v>28547</v>
      </c>
      <c r="F9120" t="s">
        <v>666</v>
      </c>
      <c r="G9120" t="s">
        <v>28547</v>
      </c>
      <c r="H9120" t="s">
        <v>667</v>
      </c>
      <c r="I9120" t="s">
        <v>29</v>
      </c>
      <c r="J9120">
        <v>1</v>
      </c>
      <c r="K9120">
        <f>1-844-351-7622</f>
        <v>-8816</v>
      </c>
      <c r="L9120" t="s">
        <v>28583</v>
      </c>
      <c r="M9120" t="s">
        <v>28584</v>
      </c>
      <c r="N9120">
        <v>58</v>
      </c>
      <c r="O9120" t="s">
        <v>134</v>
      </c>
      <c r="P9120" t="s">
        <v>2500</v>
      </c>
      <c r="Q9120">
        <v>1</v>
      </c>
      <c r="R9120">
        <v>99.999999000000003</v>
      </c>
    </row>
    <row r="9121" spans="1:18" x14ac:dyDescent="0.2">
      <c r="A9121" t="s">
        <v>663</v>
      </c>
      <c r="B9121" t="s">
        <v>2500</v>
      </c>
      <c r="C9121">
        <v>1</v>
      </c>
      <c r="D9121" s="1">
        <v>44273.856886574074</v>
      </c>
      <c r="E9121" t="s">
        <v>28547</v>
      </c>
      <c r="F9121" t="s">
        <v>666</v>
      </c>
      <c r="G9121" t="s">
        <v>28547</v>
      </c>
      <c r="H9121" t="s">
        <v>667</v>
      </c>
      <c r="I9121" t="s">
        <v>29</v>
      </c>
      <c r="J9121">
        <v>1</v>
      </c>
      <c r="K9121">
        <f>1-844-337-2954</f>
        <v>-4134</v>
      </c>
      <c r="L9121" t="s">
        <v>28585</v>
      </c>
      <c r="M9121" t="s">
        <v>28584</v>
      </c>
      <c r="N9121">
        <v>58</v>
      </c>
      <c r="O9121" t="s">
        <v>134</v>
      </c>
      <c r="P9121" t="s">
        <v>2500</v>
      </c>
      <c r="Q9121">
        <v>1</v>
      </c>
      <c r="R9121">
        <v>99.999999000000003</v>
      </c>
    </row>
    <row r="9122" spans="1:18" x14ac:dyDescent="0.2">
      <c r="A9122" t="s">
        <v>663</v>
      </c>
      <c r="B9122" t="s">
        <v>2500</v>
      </c>
      <c r="C9122">
        <v>1</v>
      </c>
      <c r="D9122" s="1">
        <v>44273.856782407405</v>
      </c>
      <c r="E9122" t="s">
        <v>28547</v>
      </c>
      <c r="F9122" t="s">
        <v>666</v>
      </c>
      <c r="G9122" t="s">
        <v>28547</v>
      </c>
      <c r="H9122" t="s">
        <v>667</v>
      </c>
      <c r="I9122" t="s">
        <v>29</v>
      </c>
      <c r="J9122">
        <v>1</v>
      </c>
      <c r="K9122">
        <f>1-888-314-9495</f>
        <v>-10696</v>
      </c>
      <c r="L9122" t="s">
        <v>28586</v>
      </c>
      <c r="M9122" t="s">
        <v>28584</v>
      </c>
      <c r="N9122">
        <v>58</v>
      </c>
      <c r="O9122" t="s">
        <v>134</v>
      </c>
      <c r="P9122" t="s">
        <v>2500</v>
      </c>
      <c r="Q9122">
        <v>1</v>
      </c>
      <c r="R9122">
        <v>99.999999000000003</v>
      </c>
    </row>
    <row r="9123" spans="1:18" x14ac:dyDescent="0.2">
      <c r="A9123" t="s">
        <v>663</v>
      </c>
      <c r="B9123" t="s">
        <v>2500</v>
      </c>
      <c r="C9123">
        <v>1</v>
      </c>
      <c r="D9123" s="1">
        <v>44273.856446759259</v>
      </c>
      <c r="E9123" t="s">
        <v>28547</v>
      </c>
      <c r="F9123" t="s">
        <v>666</v>
      </c>
      <c r="G9123" t="s">
        <v>28547</v>
      </c>
      <c r="H9123" t="s">
        <v>667</v>
      </c>
      <c r="I9123" t="s">
        <v>29</v>
      </c>
      <c r="J9123">
        <v>1</v>
      </c>
      <c r="K9123">
        <f>1-888-329-82</f>
        <v>-1298</v>
      </c>
      <c r="L9123" t="s">
        <v>28587</v>
      </c>
      <c r="M9123" t="s">
        <v>28584</v>
      </c>
      <c r="N9123">
        <v>58</v>
      </c>
      <c r="O9123" t="s">
        <v>134</v>
      </c>
      <c r="P9123" t="s">
        <v>2500</v>
      </c>
      <c r="Q9123">
        <v>1</v>
      </c>
      <c r="R9123">
        <v>99.999999000000003</v>
      </c>
    </row>
    <row r="9124" spans="1:18" x14ac:dyDescent="0.2">
      <c r="A9124" t="s">
        <v>663</v>
      </c>
      <c r="B9124" t="s">
        <v>2500</v>
      </c>
      <c r="C9124">
        <v>1</v>
      </c>
      <c r="D9124" s="1">
        <v>44273.855428240742</v>
      </c>
      <c r="E9124" t="s">
        <v>28547</v>
      </c>
      <c r="F9124" t="s">
        <v>666</v>
      </c>
      <c r="G9124" t="s">
        <v>28547</v>
      </c>
      <c r="H9124" t="s">
        <v>667</v>
      </c>
      <c r="I9124" t="s">
        <v>29</v>
      </c>
      <c r="J9124">
        <v>1</v>
      </c>
      <c r="K9124">
        <f>1-888-401-5139</f>
        <v>-6427</v>
      </c>
      <c r="L9124" t="s">
        <v>28588</v>
      </c>
      <c r="M9124" t="s">
        <v>28584</v>
      </c>
      <c r="N9124">
        <v>58</v>
      </c>
      <c r="O9124" t="s">
        <v>134</v>
      </c>
      <c r="P9124" t="s">
        <v>2500</v>
      </c>
      <c r="Q9124">
        <v>1</v>
      </c>
      <c r="R9124">
        <v>99.999999000000003</v>
      </c>
    </row>
    <row r="9125" spans="1:18" x14ac:dyDescent="0.2">
      <c r="A9125" t="s">
        <v>663</v>
      </c>
      <c r="B9125" t="s">
        <v>2500</v>
      </c>
      <c r="C9125">
        <v>1</v>
      </c>
      <c r="D9125" s="1">
        <v>44273.856666666667</v>
      </c>
      <c r="E9125" t="s">
        <v>28547</v>
      </c>
      <c r="F9125" t="s">
        <v>666</v>
      </c>
      <c r="G9125" t="s">
        <v>28547</v>
      </c>
      <c r="H9125" t="s">
        <v>667</v>
      </c>
      <c r="I9125" t="s">
        <v>29</v>
      </c>
      <c r="J9125">
        <v>1</v>
      </c>
      <c r="K9125">
        <f>1-888-368-1687</f>
        <v>-2942</v>
      </c>
      <c r="L9125" t="s">
        <v>28589</v>
      </c>
      <c r="M9125" t="s">
        <v>28584</v>
      </c>
      <c r="N9125">
        <v>58</v>
      </c>
      <c r="O9125" t="s">
        <v>134</v>
      </c>
      <c r="P9125" t="s">
        <v>2500</v>
      </c>
      <c r="Q9125">
        <v>1</v>
      </c>
      <c r="R9125">
        <v>99.999999000000003</v>
      </c>
    </row>
    <row r="9126" spans="1:18" x14ac:dyDescent="0.2">
      <c r="A9126" t="s">
        <v>663</v>
      </c>
      <c r="B9126" t="s">
        <v>2500</v>
      </c>
      <c r="C9126">
        <v>1</v>
      </c>
      <c r="D9126" s="1">
        <v>44273.856550925928</v>
      </c>
      <c r="E9126" t="s">
        <v>28547</v>
      </c>
      <c r="F9126" t="s">
        <v>666</v>
      </c>
      <c r="G9126" t="s">
        <v>28547</v>
      </c>
      <c r="H9126" t="s">
        <v>667</v>
      </c>
      <c r="I9126" t="s">
        <v>29</v>
      </c>
      <c r="J9126">
        <v>1</v>
      </c>
      <c r="K9126">
        <f>1-888-404-2528</f>
        <v>-3819</v>
      </c>
      <c r="L9126" t="s">
        <v>28590</v>
      </c>
      <c r="M9126" t="s">
        <v>28584</v>
      </c>
      <c r="N9126">
        <v>58</v>
      </c>
      <c r="O9126" t="s">
        <v>134</v>
      </c>
      <c r="P9126" t="s">
        <v>2500</v>
      </c>
      <c r="Q9126">
        <v>1</v>
      </c>
      <c r="R9126">
        <v>99.999999000000003</v>
      </c>
    </row>
    <row r="9127" spans="1:18" x14ac:dyDescent="0.2">
      <c r="A9127" t="s">
        <v>663</v>
      </c>
      <c r="B9127" t="s">
        <v>2500</v>
      </c>
      <c r="C9127">
        <v>1</v>
      </c>
      <c r="D9127" s="1">
        <v>44273.855219907404</v>
      </c>
      <c r="E9127" t="s">
        <v>28547</v>
      </c>
      <c r="F9127" t="s">
        <v>666</v>
      </c>
      <c r="G9127" t="s">
        <v>28547</v>
      </c>
      <c r="H9127" t="s">
        <v>667</v>
      </c>
      <c r="I9127" t="s">
        <v>29</v>
      </c>
      <c r="J9127">
        <v>1</v>
      </c>
      <c r="K9127">
        <f>1-833-325-7609</f>
        <v>-8766</v>
      </c>
      <c r="L9127" t="s">
        <v>28591</v>
      </c>
      <c r="M9127" t="s">
        <v>28584</v>
      </c>
      <c r="N9127">
        <v>58</v>
      </c>
      <c r="O9127" t="s">
        <v>134</v>
      </c>
      <c r="P9127" t="s">
        <v>2500</v>
      </c>
      <c r="Q9127">
        <v>1</v>
      </c>
      <c r="R9127">
        <v>99.999999000000003</v>
      </c>
    </row>
    <row r="9128" spans="1:18" x14ac:dyDescent="0.2">
      <c r="A9128" t="s">
        <v>663</v>
      </c>
      <c r="B9128" t="s">
        <v>2500</v>
      </c>
      <c r="C9128">
        <v>1</v>
      </c>
      <c r="D9128" s="1">
        <v>44275.799178240741</v>
      </c>
      <c r="E9128" t="s">
        <v>28547</v>
      </c>
      <c r="F9128" t="s">
        <v>666</v>
      </c>
      <c r="G9128" t="s">
        <v>28547</v>
      </c>
      <c r="H9128" t="s">
        <v>667</v>
      </c>
      <c r="I9128" t="s">
        <v>29</v>
      </c>
      <c r="J9128">
        <v>1</v>
      </c>
      <c r="K9128">
        <f>1-844-340-5595</f>
        <v>-6778</v>
      </c>
      <c r="L9128" t="s">
        <v>28592</v>
      </c>
      <c r="M9128" t="s">
        <v>28549</v>
      </c>
      <c r="N9128">
        <v>58</v>
      </c>
      <c r="O9128" t="s">
        <v>134</v>
      </c>
      <c r="P9128" t="s">
        <v>2500</v>
      </c>
      <c r="Q9128">
        <v>1</v>
      </c>
      <c r="R9128">
        <v>99.999999000000003</v>
      </c>
    </row>
    <row r="9129" spans="1:18" x14ac:dyDescent="0.2">
      <c r="A9129" t="s">
        <v>663</v>
      </c>
      <c r="B9129" t="s">
        <v>2500</v>
      </c>
      <c r="C9129">
        <v>1</v>
      </c>
      <c r="D9129" s="1">
        <v>44275.798900462964</v>
      </c>
      <c r="E9129" t="s">
        <v>28547</v>
      </c>
      <c r="F9129" t="s">
        <v>666</v>
      </c>
      <c r="G9129" t="s">
        <v>28547</v>
      </c>
      <c r="H9129" t="s">
        <v>667</v>
      </c>
      <c r="I9129" t="s">
        <v>29</v>
      </c>
      <c r="J9129">
        <v>1</v>
      </c>
      <c r="K9129">
        <f>1-888-295-4022</f>
        <v>-5204</v>
      </c>
      <c r="L9129" t="s">
        <v>28593</v>
      </c>
      <c r="M9129" t="s">
        <v>28549</v>
      </c>
      <c r="N9129">
        <v>58</v>
      </c>
      <c r="O9129" t="s">
        <v>134</v>
      </c>
      <c r="P9129" t="s">
        <v>2500</v>
      </c>
      <c r="Q9129">
        <v>1</v>
      </c>
      <c r="R9129">
        <v>99.999999000000003</v>
      </c>
    </row>
    <row r="9130" spans="1:18" x14ac:dyDescent="0.2">
      <c r="A9130" t="s">
        <v>663</v>
      </c>
      <c r="B9130" t="s">
        <v>2500</v>
      </c>
      <c r="C9130">
        <v>1</v>
      </c>
      <c r="D9130" s="1">
        <v>44273.85496527778</v>
      </c>
      <c r="E9130" t="s">
        <v>28547</v>
      </c>
      <c r="F9130" t="s">
        <v>666</v>
      </c>
      <c r="G9130" t="s">
        <v>28547</v>
      </c>
      <c r="H9130" t="s">
        <v>667</v>
      </c>
      <c r="I9130" t="s">
        <v>29</v>
      </c>
      <c r="J9130">
        <v>1</v>
      </c>
      <c r="K9130">
        <f>1-844-385-3601</f>
        <v>-4829</v>
      </c>
      <c r="L9130" t="s">
        <v>28594</v>
      </c>
      <c r="M9130" t="s">
        <v>28584</v>
      </c>
      <c r="N9130">
        <v>58</v>
      </c>
      <c r="O9130" t="s">
        <v>134</v>
      </c>
      <c r="P9130" t="s">
        <v>2500</v>
      </c>
      <c r="Q9130">
        <v>1</v>
      </c>
      <c r="R9130">
        <v>99.999999000000003</v>
      </c>
    </row>
    <row r="9131" spans="1:18" x14ac:dyDescent="0.2">
      <c r="A9131" t="s">
        <v>663</v>
      </c>
      <c r="B9131" t="s">
        <v>2500</v>
      </c>
      <c r="C9131">
        <v>1</v>
      </c>
      <c r="D9131" s="1">
        <v>44273.854837962965</v>
      </c>
      <c r="E9131" t="s">
        <v>28547</v>
      </c>
      <c r="F9131" t="s">
        <v>666</v>
      </c>
      <c r="G9131" t="s">
        <v>28547</v>
      </c>
      <c r="H9131" t="s">
        <v>667</v>
      </c>
      <c r="I9131" t="s">
        <v>29</v>
      </c>
      <c r="J9131">
        <v>1</v>
      </c>
      <c r="K9131">
        <f>1-888-364-6327</f>
        <v>-7578</v>
      </c>
      <c r="L9131" t="s">
        <v>28595</v>
      </c>
      <c r="M9131" t="s">
        <v>28584</v>
      </c>
      <c r="N9131">
        <v>58</v>
      </c>
      <c r="O9131" t="s">
        <v>134</v>
      </c>
      <c r="P9131" t="s">
        <v>2500</v>
      </c>
      <c r="Q9131">
        <v>1</v>
      </c>
      <c r="R9131">
        <v>99.999999000000003</v>
      </c>
    </row>
    <row r="9132" spans="1:18" x14ac:dyDescent="0.2">
      <c r="A9132" t="s">
        <v>663</v>
      </c>
      <c r="B9132" t="s">
        <v>2500</v>
      </c>
      <c r="C9132">
        <v>1</v>
      </c>
      <c r="D9132" s="1">
        <v>44275.798645833333</v>
      </c>
      <c r="E9132" t="s">
        <v>28547</v>
      </c>
      <c r="F9132" t="s">
        <v>666</v>
      </c>
      <c r="G9132" t="s">
        <v>28547</v>
      </c>
      <c r="H9132" t="s">
        <v>667</v>
      </c>
      <c r="I9132" t="s">
        <v>29</v>
      </c>
      <c r="J9132">
        <v>1</v>
      </c>
      <c r="K9132">
        <f>1-888-335-4870</f>
        <v>-6092</v>
      </c>
      <c r="L9132" t="s">
        <v>28596</v>
      </c>
      <c r="M9132" t="s">
        <v>28549</v>
      </c>
      <c r="N9132">
        <v>58</v>
      </c>
      <c r="O9132" t="s">
        <v>134</v>
      </c>
      <c r="P9132" t="s">
        <v>2500</v>
      </c>
      <c r="Q9132">
        <v>1</v>
      </c>
      <c r="R9132">
        <v>99.999999000000003</v>
      </c>
    </row>
    <row r="9133" spans="1:18" x14ac:dyDescent="0.2">
      <c r="A9133" t="s">
        <v>663</v>
      </c>
      <c r="B9133" t="s">
        <v>2500</v>
      </c>
      <c r="C9133">
        <v>1</v>
      </c>
      <c r="D9133" s="1">
        <v>44273.855381944442</v>
      </c>
      <c r="E9133" t="s">
        <v>28547</v>
      </c>
      <c r="F9133" t="s">
        <v>666</v>
      </c>
      <c r="G9133" t="s">
        <v>28547</v>
      </c>
      <c r="H9133" t="s">
        <v>667</v>
      </c>
      <c r="I9133" t="s">
        <v>29</v>
      </c>
      <c r="J9133">
        <v>1</v>
      </c>
      <c r="K9133">
        <f>1-888-337-3136</f>
        <v>-4360</v>
      </c>
      <c r="L9133" t="s">
        <v>28597</v>
      </c>
      <c r="M9133" t="s">
        <v>28584</v>
      </c>
      <c r="N9133">
        <v>58</v>
      </c>
      <c r="O9133" t="s">
        <v>134</v>
      </c>
      <c r="P9133" t="s">
        <v>2500</v>
      </c>
      <c r="Q9133">
        <v>1</v>
      </c>
      <c r="R9133">
        <v>99.999999000000003</v>
      </c>
    </row>
    <row r="9134" spans="1:18" x14ac:dyDescent="0.2">
      <c r="A9134" t="s">
        <v>663</v>
      </c>
      <c r="B9134" t="s">
        <v>2500</v>
      </c>
      <c r="C9134">
        <v>1</v>
      </c>
      <c r="D9134" s="1">
        <v>44273.85528935185</v>
      </c>
      <c r="E9134" t="s">
        <v>28547</v>
      </c>
      <c r="F9134" t="s">
        <v>666</v>
      </c>
      <c r="G9134" t="s">
        <v>28547</v>
      </c>
      <c r="H9134" t="s">
        <v>667</v>
      </c>
      <c r="I9134" t="s">
        <v>29</v>
      </c>
      <c r="J9134">
        <v>1</v>
      </c>
      <c r="K9134">
        <f>1-844-304-5988</f>
        <v>-7135</v>
      </c>
      <c r="L9134" t="s">
        <v>28598</v>
      </c>
      <c r="M9134" t="s">
        <v>28584</v>
      </c>
      <c r="N9134">
        <v>58</v>
      </c>
      <c r="O9134" t="s">
        <v>134</v>
      </c>
      <c r="P9134" t="s">
        <v>2500</v>
      </c>
      <c r="Q9134">
        <v>1</v>
      </c>
      <c r="R9134">
        <v>99.999999000000003</v>
      </c>
    </row>
    <row r="9135" spans="1:18" x14ac:dyDescent="0.2">
      <c r="A9135" t="s">
        <v>663</v>
      </c>
      <c r="B9135" t="s">
        <v>2500</v>
      </c>
      <c r="C9135">
        <v>1</v>
      </c>
      <c r="D9135" s="1">
        <v>44273.855347222219</v>
      </c>
      <c r="E9135" t="s">
        <v>28547</v>
      </c>
      <c r="F9135" t="s">
        <v>666</v>
      </c>
      <c r="G9135" t="s">
        <v>28547</v>
      </c>
      <c r="H9135" t="s">
        <v>667</v>
      </c>
      <c r="I9135" t="s">
        <v>29</v>
      </c>
      <c r="J9135">
        <v>1</v>
      </c>
      <c r="K9135">
        <f>1-844-325-4201</f>
        <v>-5369</v>
      </c>
      <c r="L9135" t="s">
        <v>28599</v>
      </c>
      <c r="M9135" t="s">
        <v>28584</v>
      </c>
      <c r="N9135">
        <v>58</v>
      </c>
      <c r="O9135" t="s">
        <v>134</v>
      </c>
      <c r="P9135" t="s">
        <v>2500</v>
      </c>
      <c r="Q9135">
        <v>1</v>
      </c>
      <c r="R9135">
        <v>99.999999000000003</v>
      </c>
    </row>
    <row r="9136" spans="1:18" x14ac:dyDescent="0.2">
      <c r="A9136" t="s">
        <v>663</v>
      </c>
      <c r="B9136" t="s">
        <v>2500</v>
      </c>
      <c r="C9136">
        <v>1</v>
      </c>
      <c r="D9136" s="1">
        <v>44273.85533564815</v>
      </c>
      <c r="E9136" t="s">
        <v>28547</v>
      </c>
      <c r="F9136" t="s">
        <v>666</v>
      </c>
      <c r="G9136" t="s">
        <v>28547</v>
      </c>
      <c r="H9136" t="s">
        <v>667</v>
      </c>
      <c r="I9136" t="s">
        <v>29</v>
      </c>
      <c r="J9136">
        <v>1</v>
      </c>
      <c r="K9136">
        <f>1-844-327-5270</f>
        <v>-6440</v>
      </c>
      <c r="L9136" t="s">
        <v>28600</v>
      </c>
      <c r="M9136" t="s">
        <v>28584</v>
      </c>
      <c r="N9136">
        <v>58</v>
      </c>
      <c r="O9136" t="s">
        <v>134</v>
      </c>
      <c r="P9136" t="s">
        <v>2500</v>
      </c>
      <c r="Q9136">
        <v>1</v>
      </c>
      <c r="R9136">
        <v>99.999999000000003</v>
      </c>
    </row>
    <row r="9137" spans="1:18" x14ac:dyDescent="0.2">
      <c r="A9137" t="s">
        <v>663</v>
      </c>
      <c r="B9137" t="s">
        <v>2500</v>
      </c>
      <c r="C9137">
        <v>1</v>
      </c>
      <c r="D9137" s="1">
        <v>44273.855312500003</v>
      </c>
      <c r="E9137" t="s">
        <v>28547</v>
      </c>
      <c r="F9137" t="s">
        <v>666</v>
      </c>
      <c r="G9137" t="s">
        <v>28547</v>
      </c>
      <c r="H9137" t="s">
        <v>667</v>
      </c>
      <c r="I9137" t="s">
        <v>29</v>
      </c>
      <c r="J9137">
        <v>1</v>
      </c>
      <c r="K9137">
        <f>1-844-260-2167</f>
        <v>-3270</v>
      </c>
      <c r="L9137" t="s">
        <v>28601</v>
      </c>
      <c r="M9137" t="s">
        <v>28584</v>
      </c>
      <c r="N9137">
        <v>58</v>
      </c>
      <c r="O9137" t="s">
        <v>134</v>
      </c>
      <c r="P9137" t="s">
        <v>2500</v>
      </c>
      <c r="Q9137">
        <v>1</v>
      </c>
      <c r="R9137">
        <v>99.999999000000003</v>
      </c>
    </row>
    <row r="9138" spans="1:18" x14ac:dyDescent="0.2">
      <c r="A9138" t="s">
        <v>663</v>
      </c>
      <c r="B9138" t="s">
        <v>2500</v>
      </c>
      <c r="C9138">
        <v>1</v>
      </c>
      <c r="D9138" s="1">
        <v>44273.854641203703</v>
      </c>
      <c r="E9138" t="s">
        <v>28547</v>
      </c>
      <c r="F9138" t="s">
        <v>666</v>
      </c>
      <c r="G9138" t="s">
        <v>28547</v>
      </c>
      <c r="H9138" t="s">
        <v>667</v>
      </c>
      <c r="I9138" t="s">
        <v>29</v>
      </c>
      <c r="J9138">
        <v>1</v>
      </c>
      <c r="K9138">
        <f>1-888-335-1751</f>
        <v>-2973</v>
      </c>
      <c r="L9138" t="s">
        <v>28602</v>
      </c>
      <c r="M9138" t="s">
        <v>28584</v>
      </c>
      <c r="N9138">
        <v>58</v>
      </c>
      <c r="O9138" t="s">
        <v>134</v>
      </c>
      <c r="P9138" t="s">
        <v>2500</v>
      </c>
      <c r="Q9138">
        <v>1</v>
      </c>
      <c r="R9138">
        <v>99.999999000000003</v>
      </c>
    </row>
    <row r="9139" spans="1:18" x14ac:dyDescent="0.2">
      <c r="A9139" t="s">
        <v>663</v>
      </c>
      <c r="B9139" t="s">
        <v>2500</v>
      </c>
      <c r="C9139">
        <v>1</v>
      </c>
      <c r="D9139" s="1">
        <v>44273.854432870372</v>
      </c>
      <c r="E9139" t="s">
        <v>28547</v>
      </c>
      <c r="F9139" t="s">
        <v>666</v>
      </c>
      <c r="G9139" t="s">
        <v>28547</v>
      </c>
      <c r="H9139" t="s">
        <v>667</v>
      </c>
      <c r="I9139" t="s">
        <v>29</v>
      </c>
      <c r="J9139">
        <v>1</v>
      </c>
      <c r="K9139">
        <f>1-844-385-4415</f>
        <v>-5643</v>
      </c>
      <c r="L9139" t="s">
        <v>28603</v>
      </c>
      <c r="M9139" t="s">
        <v>28584</v>
      </c>
      <c r="N9139">
        <v>58</v>
      </c>
      <c r="O9139" t="s">
        <v>134</v>
      </c>
      <c r="P9139" t="s">
        <v>2500</v>
      </c>
      <c r="Q9139">
        <v>1</v>
      </c>
      <c r="R9139">
        <v>99.999999000000003</v>
      </c>
    </row>
    <row r="9140" spans="1:18" x14ac:dyDescent="0.2">
      <c r="A9140" t="s">
        <v>663</v>
      </c>
      <c r="B9140" t="s">
        <v>2500</v>
      </c>
      <c r="C9140">
        <v>1</v>
      </c>
      <c r="D9140" s="1">
        <v>44273.854212962964</v>
      </c>
      <c r="E9140" t="s">
        <v>28547</v>
      </c>
      <c r="F9140" t="s">
        <v>666</v>
      </c>
      <c r="G9140" t="s">
        <v>28547</v>
      </c>
      <c r="H9140" t="s">
        <v>667</v>
      </c>
      <c r="I9140" t="s">
        <v>29</v>
      </c>
      <c r="J9140">
        <v>1</v>
      </c>
      <c r="K9140">
        <f>1-888-291-8765</f>
        <v>-9943</v>
      </c>
      <c r="L9140" t="s">
        <v>28604</v>
      </c>
      <c r="M9140" t="s">
        <v>28584</v>
      </c>
      <c r="N9140">
        <v>58</v>
      </c>
      <c r="O9140" t="s">
        <v>134</v>
      </c>
      <c r="P9140" t="s">
        <v>2500</v>
      </c>
      <c r="Q9140">
        <v>1</v>
      </c>
      <c r="R9140">
        <v>99.999999000000003</v>
      </c>
    </row>
    <row r="9141" spans="1:18" x14ac:dyDescent="0.2">
      <c r="A9141" t="s">
        <v>663</v>
      </c>
      <c r="B9141" t="s">
        <v>2500</v>
      </c>
      <c r="C9141">
        <v>1</v>
      </c>
      <c r="D9141" s="1">
        <v>44273.85396990741</v>
      </c>
      <c r="E9141" t="s">
        <v>28547</v>
      </c>
      <c r="F9141" t="s">
        <v>666</v>
      </c>
      <c r="G9141" t="s">
        <v>28547</v>
      </c>
      <c r="H9141" t="s">
        <v>667</v>
      </c>
      <c r="I9141" t="s">
        <v>29</v>
      </c>
      <c r="J9141">
        <v>1</v>
      </c>
      <c r="K9141">
        <f>1-888-381-4698</f>
        <v>-5966</v>
      </c>
      <c r="L9141" t="s">
        <v>28605</v>
      </c>
      <c r="M9141" t="s">
        <v>28584</v>
      </c>
      <c r="N9141">
        <v>58</v>
      </c>
      <c r="O9141" t="s">
        <v>134</v>
      </c>
      <c r="P9141" t="s">
        <v>2500</v>
      </c>
      <c r="Q9141">
        <v>1</v>
      </c>
      <c r="R9141">
        <v>99.999999000000003</v>
      </c>
    </row>
    <row r="9142" spans="1:18" x14ac:dyDescent="0.2">
      <c r="A9142" t="s">
        <v>663</v>
      </c>
      <c r="B9142" t="s">
        <v>2500</v>
      </c>
      <c r="C9142">
        <v>1</v>
      </c>
      <c r="D9142" s="1">
        <v>44273.853680555556</v>
      </c>
      <c r="E9142" t="s">
        <v>28547</v>
      </c>
      <c r="F9142" t="s">
        <v>666</v>
      </c>
      <c r="G9142" t="s">
        <v>28547</v>
      </c>
      <c r="H9142" t="s">
        <v>667</v>
      </c>
      <c r="I9142" t="s">
        <v>29</v>
      </c>
      <c r="J9142">
        <v>1</v>
      </c>
      <c r="K9142">
        <f>1-888-605-9968</f>
        <v>-11460</v>
      </c>
      <c r="L9142" t="s">
        <v>28606</v>
      </c>
      <c r="M9142" t="s">
        <v>28584</v>
      </c>
      <c r="N9142">
        <v>58</v>
      </c>
      <c r="O9142" t="s">
        <v>134</v>
      </c>
      <c r="P9142" t="s">
        <v>2500</v>
      </c>
      <c r="Q9142">
        <v>1</v>
      </c>
      <c r="R9142">
        <v>99.999999000000003</v>
      </c>
    </row>
    <row r="9143" spans="1:18" x14ac:dyDescent="0.2">
      <c r="A9143" t="s">
        <v>663</v>
      </c>
      <c r="B9143" t="s">
        <v>2500</v>
      </c>
      <c r="C9143">
        <v>1</v>
      </c>
      <c r="D9143" s="1">
        <v>44273.8515625</v>
      </c>
      <c r="E9143" t="s">
        <v>28547</v>
      </c>
      <c r="F9143" t="s">
        <v>666</v>
      </c>
      <c r="G9143" t="s">
        <v>28547</v>
      </c>
      <c r="H9143" t="s">
        <v>667</v>
      </c>
      <c r="I9143" t="s">
        <v>29</v>
      </c>
      <c r="J9143">
        <v>1</v>
      </c>
      <c r="K9143">
        <f>1-888-272-5820</f>
        <v>-6979</v>
      </c>
      <c r="L9143" t="s">
        <v>28607</v>
      </c>
      <c r="M9143" t="s">
        <v>28608</v>
      </c>
      <c r="N9143">
        <v>58</v>
      </c>
      <c r="O9143" t="s">
        <v>134</v>
      </c>
      <c r="P9143" t="s">
        <v>2500</v>
      </c>
      <c r="Q9143">
        <v>1</v>
      </c>
      <c r="R9143">
        <v>99.999999000000003</v>
      </c>
    </row>
    <row r="9144" spans="1:18" x14ac:dyDescent="0.2">
      <c r="A9144" t="s">
        <v>663</v>
      </c>
      <c r="B9144" t="s">
        <v>2500</v>
      </c>
      <c r="C9144">
        <v>1</v>
      </c>
      <c r="D9144" s="1">
        <v>44273.84983796296</v>
      </c>
      <c r="E9144" t="s">
        <v>28547</v>
      </c>
      <c r="F9144" t="s">
        <v>666</v>
      </c>
      <c r="G9144" t="s">
        <v>28547</v>
      </c>
      <c r="H9144" t="s">
        <v>667</v>
      </c>
      <c r="I9144" t="s">
        <v>29</v>
      </c>
      <c r="J9144">
        <v>1</v>
      </c>
      <c r="K9144">
        <f>1-888-409-9569</f>
        <v>-10865</v>
      </c>
      <c r="L9144" t="s">
        <v>28609</v>
      </c>
      <c r="M9144" t="s">
        <v>28610</v>
      </c>
      <c r="N9144">
        <v>58</v>
      </c>
      <c r="O9144" t="s">
        <v>134</v>
      </c>
      <c r="P9144" t="s">
        <v>2500</v>
      </c>
      <c r="Q9144">
        <v>1</v>
      </c>
      <c r="R9144">
        <v>99.999999000000003</v>
      </c>
    </row>
    <row r="9145" spans="1:18" x14ac:dyDescent="0.2">
      <c r="A9145" t="s">
        <v>439</v>
      </c>
      <c r="B9145" t="s">
        <v>4321</v>
      </c>
      <c r="C9145">
        <v>1</v>
      </c>
      <c r="D9145" s="1">
        <v>44274.705682870372</v>
      </c>
      <c r="E9145" t="s">
        <v>28611</v>
      </c>
      <c r="F9145" t="s">
        <v>442</v>
      </c>
      <c r="G9145" t="s">
        <v>28612</v>
      </c>
      <c r="H9145" t="s">
        <v>444</v>
      </c>
      <c r="I9145" t="s">
        <v>29</v>
      </c>
      <c r="J9145">
        <v>1</v>
      </c>
      <c r="K9145">
        <f>1-844-684-1548</f>
        <v>-3075</v>
      </c>
      <c r="L9145" t="s">
        <v>28613</v>
      </c>
      <c r="M9145" t="s">
        <v>28614</v>
      </c>
      <c r="N9145" t="s">
        <v>213</v>
      </c>
      <c r="O9145" t="s">
        <v>28</v>
      </c>
      <c r="P9145" t="s">
        <v>29</v>
      </c>
      <c r="Q9145">
        <v>42</v>
      </c>
      <c r="R9145">
        <v>-87.629800000000003</v>
      </c>
    </row>
    <row r="9146" spans="1:18" x14ac:dyDescent="0.2">
      <c r="A9146" t="s">
        <v>663</v>
      </c>
      <c r="B9146" t="s">
        <v>1412</v>
      </c>
      <c r="C9146">
        <v>1</v>
      </c>
      <c r="D9146" s="1">
        <v>44274.713402777779</v>
      </c>
      <c r="E9146" t="s">
        <v>28615</v>
      </c>
      <c r="F9146" t="s">
        <v>2495</v>
      </c>
      <c r="G9146" t="s">
        <v>28616</v>
      </c>
      <c r="H9146" t="s">
        <v>667</v>
      </c>
      <c r="I9146" t="s">
        <v>29</v>
      </c>
      <c r="J9146">
        <v>1</v>
      </c>
      <c r="K9146">
        <f>1-855-574-1736</f>
        <v>-3164</v>
      </c>
      <c r="L9146" t="s">
        <v>28617</v>
      </c>
      <c r="M9146" t="s">
        <v>28618</v>
      </c>
      <c r="N9146" t="s">
        <v>36</v>
      </c>
      <c r="O9146" t="s">
        <v>28</v>
      </c>
      <c r="P9146" t="s">
        <v>29</v>
      </c>
      <c r="Q9146">
        <v>41</v>
      </c>
      <c r="R9146">
        <v>-74.172399999999996</v>
      </c>
    </row>
    <row r="9147" spans="1:18" x14ac:dyDescent="0.2">
      <c r="A9147" t="s">
        <v>663</v>
      </c>
      <c r="B9147" t="s">
        <v>5784</v>
      </c>
      <c r="C9147">
        <v>1</v>
      </c>
      <c r="D9147" s="1">
        <v>44274.698113425926</v>
      </c>
      <c r="E9147" t="s">
        <v>28619</v>
      </c>
      <c r="F9147" t="s">
        <v>666</v>
      </c>
      <c r="G9147" t="s">
        <v>28620</v>
      </c>
      <c r="H9147" t="s">
        <v>667</v>
      </c>
      <c r="I9147" t="s">
        <v>29</v>
      </c>
      <c r="J9147">
        <v>1</v>
      </c>
      <c r="K9147">
        <f>1-888-210-3847</f>
        <v>-4944</v>
      </c>
      <c r="L9147" t="s">
        <v>28621</v>
      </c>
      <c r="M9147" t="s">
        <v>28622</v>
      </c>
      <c r="N9147" t="s">
        <v>25263</v>
      </c>
      <c r="O9147" t="s">
        <v>28</v>
      </c>
      <c r="P9147" t="s">
        <v>5789</v>
      </c>
      <c r="Q9147">
        <v>13</v>
      </c>
      <c r="R9147">
        <v>77.585499999999996</v>
      </c>
    </row>
    <row r="9148" spans="1:18" x14ac:dyDescent="0.2">
      <c r="A9148" t="s">
        <v>663</v>
      </c>
      <c r="B9148" t="s">
        <v>5784</v>
      </c>
      <c r="C9148">
        <v>1</v>
      </c>
      <c r="D9148" s="1">
        <v>44273.792245370372</v>
      </c>
      <c r="E9148" t="s">
        <v>28623</v>
      </c>
      <c r="F9148" t="s">
        <v>666</v>
      </c>
      <c r="G9148" t="s">
        <v>28624</v>
      </c>
      <c r="H9148" t="s">
        <v>667</v>
      </c>
      <c r="I9148" t="s">
        <v>29</v>
      </c>
      <c r="J9148">
        <v>1</v>
      </c>
      <c r="K9148">
        <f>1-888-655-2067</f>
        <v>-3609</v>
      </c>
      <c r="L9148" t="s">
        <v>28625</v>
      </c>
      <c r="M9148" t="s">
        <v>28626</v>
      </c>
      <c r="N9148" t="s">
        <v>25263</v>
      </c>
      <c r="O9148" t="s">
        <v>28</v>
      </c>
      <c r="P9148" t="s">
        <v>5789</v>
      </c>
      <c r="Q9148">
        <v>13</v>
      </c>
      <c r="R9148">
        <v>77.585499999999996</v>
      </c>
    </row>
    <row r="9149" spans="1:18" x14ac:dyDescent="0.2">
      <c r="A9149" t="s">
        <v>663</v>
      </c>
      <c r="B9149" t="s">
        <v>5784</v>
      </c>
      <c r="C9149">
        <v>1</v>
      </c>
      <c r="D9149" s="1">
        <v>44274.680196759262</v>
      </c>
      <c r="E9149" t="s">
        <v>28623</v>
      </c>
      <c r="F9149" t="s">
        <v>666</v>
      </c>
      <c r="G9149" t="s">
        <v>28624</v>
      </c>
      <c r="H9149" t="s">
        <v>667</v>
      </c>
      <c r="I9149" t="s">
        <v>29</v>
      </c>
      <c r="J9149">
        <v>1</v>
      </c>
      <c r="K9149">
        <f>1-888-248-6337</f>
        <v>-7472</v>
      </c>
      <c r="L9149" t="s">
        <v>28627</v>
      </c>
      <c r="M9149" t="s">
        <v>28628</v>
      </c>
      <c r="N9149" t="s">
        <v>25263</v>
      </c>
      <c r="O9149" t="s">
        <v>28</v>
      </c>
      <c r="P9149" t="s">
        <v>5789</v>
      </c>
      <c r="Q9149">
        <v>13</v>
      </c>
      <c r="R9149">
        <v>77.585499999999996</v>
      </c>
    </row>
    <row r="9150" spans="1:18" x14ac:dyDescent="0.2">
      <c r="A9150" t="s">
        <v>663</v>
      </c>
      <c r="B9150" t="s">
        <v>3245</v>
      </c>
      <c r="C9150">
        <v>1</v>
      </c>
      <c r="D9150" s="1">
        <v>44271.82471064815</v>
      </c>
      <c r="E9150" t="s">
        <v>28629</v>
      </c>
      <c r="F9150" t="s">
        <v>666</v>
      </c>
      <c r="G9150" t="s">
        <v>28630</v>
      </c>
      <c r="H9150" t="s">
        <v>667</v>
      </c>
      <c r="I9150" t="s">
        <v>29</v>
      </c>
      <c r="J9150">
        <v>1</v>
      </c>
      <c r="K9150">
        <f>1-833-220-3940</f>
        <v>-4992</v>
      </c>
      <c r="L9150" t="s">
        <v>28631</v>
      </c>
      <c r="M9150" t="s">
        <v>28632</v>
      </c>
      <c r="N9150" t="s">
        <v>25195</v>
      </c>
      <c r="O9150" t="s">
        <v>134</v>
      </c>
      <c r="P9150" t="s">
        <v>29</v>
      </c>
      <c r="Q9150">
        <v>41</v>
      </c>
      <c r="R9150">
        <v>-74.140299999999996</v>
      </c>
    </row>
    <row r="9151" spans="1:18" x14ac:dyDescent="0.2">
      <c r="A9151" t="s">
        <v>439</v>
      </c>
      <c r="B9151" t="s">
        <v>4321</v>
      </c>
      <c r="C9151">
        <v>1</v>
      </c>
      <c r="D9151" s="1">
        <v>44274.895821759259</v>
      </c>
      <c r="E9151" t="s">
        <v>28633</v>
      </c>
      <c r="F9151" t="s">
        <v>442</v>
      </c>
      <c r="G9151" t="s">
        <v>28634</v>
      </c>
      <c r="H9151" t="s">
        <v>444</v>
      </c>
      <c r="I9151" t="s">
        <v>29</v>
      </c>
      <c r="J9151">
        <v>1</v>
      </c>
      <c r="K9151">
        <f>1-888-627-7909</f>
        <v>-9423</v>
      </c>
      <c r="L9151" t="s">
        <v>28635</v>
      </c>
      <c r="M9151" t="s">
        <v>28636</v>
      </c>
      <c r="N9151" t="s">
        <v>447</v>
      </c>
      <c r="O9151" t="s">
        <v>28</v>
      </c>
      <c r="P9151" t="s">
        <v>29</v>
      </c>
      <c r="Q9151">
        <v>42</v>
      </c>
      <c r="R9151">
        <v>-87.629800000000003</v>
      </c>
    </row>
    <row r="9152" spans="1:18" x14ac:dyDescent="0.2">
      <c r="A9152" t="s">
        <v>439</v>
      </c>
      <c r="B9152" t="s">
        <v>4321</v>
      </c>
      <c r="C9152">
        <v>81</v>
      </c>
      <c r="D9152" s="1">
        <v>44277.683622685188</v>
      </c>
      <c r="E9152" t="s">
        <v>28637</v>
      </c>
      <c r="F9152" t="s">
        <v>442</v>
      </c>
      <c r="G9152" t="s">
        <v>28638</v>
      </c>
      <c r="H9152" t="s">
        <v>444</v>
      </c>
      <c r="I9152" t="s">
        <v>53</v>
      </c>
      <c r="J9152">
        <v>81</v>
      </c>
      <c r="K9152">
        <f>81-50-5532-609</f>
        <v>-6110</v>
      </c>
      <c r="L9152" t="s">
        <v>28639</v>
      </c>
      <c r="M9152" t="s">
        <v>28640</v>
      </c>
      <c r="N9152" t="s">
        <v>447</v>
      </c>
      <c r="O9152" t="s">
        <v>28</v>
      </c>
      <c r="P9152" t="s">
        <v>29</v>
      </c>
      <c r="Q9152">
        <v>42</v>
      </c>
      <c r="R9152">
        <v>-87.629800000000003</v>
      </c>
    </row>
    <row r="9153" spans="1:18" x14ac:dyDescent="0.2">
      <c r="A9153" t="s">
        <v>663</v>
      </c>
      <c r="B9153" t="s">
        <v>2493</v>
      </c>
      <c r="C9153">
        <v>81</v>
      </c>
      <c r="D9153" s="1">
        <v>44282.729108796295</v>
      </c>
      <c r="E9153" t="s">
        <v>28641</v>
      </c>
      <c r="F9153" t="s">
        <v>666</v>
      </c>
      <c r="G9153" t="s">
        <v>28642</v>
      </c>
      <c r="H9153" t="s">
        <v>667</v>
      </c>
      <c r="I9153" t="s">
        <v>53</v>
      </c>
      <c r="J9153">
        <v>81</v>
      </c>
      <c r="K9153">
        <f>81-50-5534-7373</f>
        <v>-12876</v>
      </c>
      <c r="L9153" t="s">
        <v>28643</v>
      </c>
      <c r="M9153" t="s">
        <v>28644</v>
      </c>
      <c r="N9153" t="s">
        <v>452</v>
      </c>
      <c r="O9153" t="s">
        <v>28</v>
      </c>
      <c r="P9153" t="s">
        <v>29</v>
      </c>
      <c r="Q9153">
        <v>41</v>
      </c>
      <c r="R9153">
        <v>-74.024699999999996</v>
      </c>
    </row>
    <row r="9154" spans="1:18" x14ac:dyDescent="0.2">
      <c r="A9154" t="s">
        <v>663</v>
      </c>
      <c r="B9154" t="s">
        <v>2493</v>
      </c>
      <c r="C9154">
        <v>81</v>
      </c>
      <c r="D9154" s="1">
        <v>44274.394432870373</v>
      </c>
      <c r="E9154" t="s">
        <v>28645</v>
      </c>
      <c r="F9154" t="s">
        <v>666</v>
      </c>
      <c r="G9154" t="s">
        <v>28642</v>
      </c>
      <c r="H9154" t="s">
        <v>667</v>
      </c>
      <c r="I9154" t="s">
        <v>53</v>
      </c>
      <c r="J9154">
        <v>81</v>
      </c>
      <c r="K9154">
        <f>81-50-5532-5209</f>
        <v>-10710</v>
      </c>
      <c r="L9154" t="s">
        <v>28646</v>
      </c>
      <c r="M9154" t="s">
        <v>28647</v>
      </c>
      <c r="N9154" t="s">
        <v>452</v>
      </c>
      <c r="O9154" t="s">
        <v>134</v>
      </c>
      <c r="P9154" t="s">
        <v>29</v>
      </c>
      <c r="Q9154">
        <v>41</v>
      </c>
      <c r="R9154">
        <v>-74.024699999999996</v>
      </c>
    </row>
    <row r="9155" spans="1:18" x14ac:dyDescent="0.2">
      <c r="A9155" t="s">
        <v>663</v>
      </c>
      <c r="B9155" t="s">
        <v>2493</v>
      </c>
      <c r="C9155">
        <v>81</v>
      </c>
      <c r="D9155" s="1">
        <v>44277.684016203704</v>
      </c>
      <c r="E9155" t="s">
        <v>28648</v>
      </c>
      <c r="F9155" t="s">
        <v>666</v>
      </c>
      <c r="G9155" t="s">
        <v>28642</v>
      </c>
      <c r="H9155" t="s">
        <v>667</v>
      </c>
      <c r="I9155" t="s">
        <v>53</v>
      </c>
      <c r="J9155">
        <v>81</v>
      </c>
      <c r="K9155">
        <f>81-50-5532-5209</f>
        <v>-10710</v>
      </c>
      <c r="L9155" t="s">
        <v>28649</v>
      </c>
      <c r="M9155" t="s">
        <v>28650</v>
      </c>
      <c r="N9155" t="s">
        <v>452</v>
      </c>
      <c r="O9155" t="s">
        <v>28</v>
      </c>
      <c r="P9155" t="s">
        <v>29</v>
      </c>
      <c r="Q9155">
        <v>41</v>
      </c>
      <c r="R9155">
        <v>-74.024699999999996</v>
      </c>
    </row>
    <row r="9156" spans="1:18" x14ac:dyDescent="0.2">
      <c r="A9156" t="s">
        <v>6586</v>
      </c>
      <c r="B9156" t="s">
        <v>28651</v>
      </c>
      <c r="C9156">
        <v>1</v>
      </c>
      <c r="D9156" s="1">
        <v>44277.708229166667</v>
      </c>
      <c r="E9156" t="s">
        <v>28652</v>
      </c>
      <c r="F9156" t="s">
        <v>6588</v>
      </c>
      <c r="G9156" t="s">
        <v>28653</v>
      </c>
      <c r="H9156" t="s">
        <v>6590</v>
      </c>
      <c r="I9156" t="s">
        <v>29</v>
      </c>
      <c r="J9156">
        <v>1</v>
      </c>
      <c r="K9156">
        <f>1-888-210-2928</f>
        <v>-4025</v>
      </c>
      <c r="L9156" t="s">
        <v>28654</v>
      </c>
      <c r="M9156" t="s">
        <v>28655</v>
      </c>
      <c r="N9156" t="s">
        <v>25263</v>
      </c>
      <c r="O9156" t="s">
        <v>28</v>
      </c>
      <c r="P9156" t="s">
        <v>29</v>
      </c>
      <c r="Q9156">
        <v>33</v>
      </c>
      <c r="R9156">
        <v>-96.702799999999996</v>
      </c>
    </row>
    <row r="9157" spans="1:18" x14ac:dyDescent="0.2">
      <c r="A9157" t="s">
        <v>439</v>
      </c>
      <c r="B9157" t="s">
        <v>4321</v>
      </c>
      <c r="C9157">
        <v>1</v>
      </c>
      <c r="D9157" s="1">
        <v>44277.708634259259</v>
      </c>
      <c r="E9157" t="s">
        <v>28656</v>
      </c>
      <c r="F9157" t="s">
        <v>442</v>
      </c>
      <c r="G9157" t="s">
        <v>28657</v>
      </c>
      <c r="H9157" t="s">
        <v>444</v>
      </c>
      <c r="I9157" t="s">
        <v>29</v>
      </c>
      <c r="J9157">
        <v>1</v>
      </c>
      <c r="K9157">
        <f>1-844-256-4669</f>
        <v>-5768</v>
      </c>
      <c r="L9157" t="s">
        <v>28658</v>
      </c>
      <c r="M9157" t="s">
        <v>28659</v>
      </c>
      <c r="N9157" t="s">
        <v>452</v>
      </c>
      <c r="O9157" t="s">
        <v>28</v>
      </c>
      <c r="P9157" t="s">
        <v>29</v>
      </c>
      <c r="Q9157">
        <v>42</v>
      </c>
      <c r="R9157">
        <v>-87.629800000000003</v>
      </c>
    </row>
    <row r="9158" spans="1:18" x14ac:dyDescent="0.2">
      <c r="A9158" t="s">
        <v>439</v>
      </c>
      <c r="B9158" t="s">
        <v>4321</v>
      </c>
      <c r="C9158">
        <v>1</v>
      </c>
      <c r="D9158" s="1">
        <v>44277.724699074075</v>
      </c>
      <c r="E9158" t="s">
        <v>28660</v>
      </c>
      <c r="F9158" t="s">
        <v>442</v>
      </c>
      <c r="G9158" t="s">
        <v>28661</v>
      </c>
      <c r="H9158" t="s">
        <v>444</v>
      </c>
      <c r="I9158" t="s">
        <v>29</v>
      </c>
      <c r="J9158">
        <v>1</v>
      </c>
      <c r="K9158">
        <f>1-315-217-1600</f>
        <v>-2131</v>
      </c>
      <c r="L9158" t="s">
        <v>28662</v>
      </c>
      <c r="M9158" t="s">
        <v>28663</v>
      </c>
      <c r="N9158" t="s">
        <v>447</v>
      </c>
      <c r="O9158" t="s">
        <v>28</v>
      </c>
      <c r="P9158" t="s">
        <v>29</v>
      </c>
      <c r="Q9158">
        <v>42</v>
      </c>
      <c r="R9158">
        <v>-87.629800000000003</v>
      </c>
    </row>
    <row r="9159" spans="1:18" x14ac:dyDescent="0.2">
      <c r="A9159" t="s">
        <v>439</v>
      </c>
      <c r="B9159" t="s">
        <v>4321</v>
      </c>
      <c r="C9159">
        <v>1</v>
      </c>
      <c r="D9159" s="1">
        <v>44277.797291666669</v>
      </c>
      <c r="E9159" t="s">
        <v>28664</v>
      </c>
      <c r="F9159" t="s">
        <v>442</v>
      </c>
      <c r="G9159" t="s">
        <v>28665</v>
      </c>
      <c r="H9159" t="s">
        <v>444</v>
      </c>
      <c r="I9159" t="s">
        <v>29</v>
      </c>
      <c r="J9159">
        <v>1</v>
      </c>
      <c r="K9159">
        <f>1-801-874-2772</f>
        <v>-4446</v>
      </c>
      <c r="L9159" t="s">
        <v>28666</v>
      </c>
      <c r="M9159" t="s">
        <v>28667</v>
      </c>
      <c r="N9159" t="s">
        <v>25195</v>
      </c>
      <c r="O9159" t="s">
        <v>28</v>
      </c>
      <c r="P9159" t="s">
        <v>29</v>
      </c>
      <c r="Q9159">
        <v>42</v>
      </c>
      <c r="R9159">
        <v>-87.629800000000003</v>
      </c>
    </row>
    <row r="9160" spans="1:18" x14ac:dyDescent="0.2">
      <c r="A9160" t="s">
        <v>663</v>
      </c>
      <c r="B9160" t="s">
        <v>2500</v>
      </c>
      <c r="C9160">
        <v>1</v>
      </c>
      <c r="D9160" s="1">
        <v>44272.045393518521</v>
      </c>
      <c r="E9160" t="s">
        <v>28668</v>
      </c>
      <c r="F9160" t="s">
        <v>666</v>
      </c>
      <c r="G9160" t="s">
        <v>28668</v>
      </c>
      <c r="H9160" t="s">
        <v>667</v>
      </c>
      <c r="I9160" t="s">
        <v>29</v>
      </c>
      <c r="J9160">
        <v>1</v>
      </c>
      <c r="K9160">
        <f>1-888-308-5860</f>
        <v>-7055</v>
      </c>
      <c r="L9160" t="s">
        <v>28669</v>
      </c>
      <c r="M9160" t="s">
        <v>28670</v>
      </c>
      <c r="N9160">
        <v>90</v>
      </c>
      <c r="O9160" t="s">
        <v>134</v>
      </c>
      <c r="P9160" t="s">
        <v>2500</v>
      </c>
      <c r="Q9160">
        <v>1</v>
      </c>
      <c r="R9160">
        <v>99.999999000000003</v>
      </c>
    </row>
    <row r="9161" spans="1:18" x14ac:dyDescent="0.2">
      <c r="A9161" t="s">
        <v>663</v>
      </c>
      <c r="B9161" t="s">
        <v>2500</v>
      </c>
      <c r="C9161">
        <v>1</v>
      </c>
      <c r="D9161" s="1">
        <v>44272.038124999999</v>
      </c>
      <c r="E9161" t="s">
        <v>28668</v>
      </c>
      <c r="F9161" t="s">
        <v>666</v>
      </c>
      <c r="G9161" t="s">
        <v>28668</v>
      </c>
      <c r="H9161" t="s">
        <v>667</v>
      </c>
      <c r="I9161" t="s">
        <v>29</v>
      </c>
      <c r="J9161">
        <v>1</v>
      </c>
      <c r="K9161">
        <f>1-888-384-1803</f>
        <v>-3074</v>
      </c>
      <c r="L9161" t="s">
        <v>28671</v>
      </c>
      <c r="M9161" t="s">
        <v>28670</v>
      </c>
      <c r="N9161">
        <v>90</v>
      </c>
      <c r="O9161" t="s">
        <v>134</v>
      </c>
      <c r="P9161" t="s">
        <v>2500</v>
      </c>
      <c r="Q9161">
        <v>1</v>
      </c>
      <c r="R9161">
        <v>99.999999000000003</v>
      </c>
    </row>
    <row r="9162" spans="1:18" x14ac:dyDescent="0.2">
      <c r="A9162" t="s">
        <v>663</v>
      </c>
      <c r="B9162" t="s">
        <v>2500</v>
      </c>
      <c r="C9162">
        <v>1</v>
      </c>
      <c r="D9162" s="1">
        <v>44272.037465277775</v>
      </c>
      <c r="E9162" t="s">
        <v>28668</v>
      </c>
      <c r="F9162" t="s">
        <v>666</v>
      </c>
      <c r="G9162" t="s">
        <v>28668</v>
      </c>
      <c r="H9162" t="s">
        <v>667</v>
      </c>
      <c r="I9162" t="s">
        <v>29</v>
      </c>
      <c r="J9162">
        <v>1</v>
      </c>
      <c r="K9162">
        <f>1-888-396-2918</f>
        <v>-4201</v>
      </c>
      <c r="L9162" t="s">
        <v>28672</v>
      </c>
      <c r="M9162" t="s">
        <v>28670</v>
      </c>
      <c r="N9162">
        <v>90</v>
      </c>
      <c r="O9162" t="s">
        <v>134</v>
      </c>
      <c r="P9162" t="s">
        <v>2500</v>
      </c>
      <c r="Q9162">
        <v>1</v>
      </c>
      <c r="R9162">
        <v>99.999999000000003</v>
      </c>
    </row>
    <row r="9163" spans="1:18" x14ac:dyDescent="0.2">
      <c r="A9163" t="s">
        <v>663</v>
      </c>
      <c r="B9163" t="s">
        <v>2500</v>
      </c>
      <c r="C9163">
        <v>1</v>
      </c>
      <c r="D9163" s="1">
        <v>44272.037106481483</v>
      </c>
      <c r="E9163" t="s">
        <v>28668</v>
      </c>
      <c r="F9163" t="s">
        <v>666</v>
      </c>
      <c r="G9163" t="s">
        <v>28668</v>
      </c>
      <c r="H9163" t="s">
        <v>667</v>
      </c>
      <c r="I9163" t="s">
        <v>29</v>
      </c>
      <c r="J9163">
        <v>1</v>
      </c>
      <c r="K9163">
        <f>1-888-404-2528</f>
        <v>-3819</v>
      </c>
      <c r="L9163" t="s">
        <v>28673</v>
      </c>
      <c r="M9163" t="s">
        <v>28670</v>
      </c>
      <c r="N9163">
        <v>90</v>
      </c>
      <c r="O9163" t="s">
        <v>134</v>
      </c>
      <c r="P9163" t="s">
        <v>2500</v>
      </c>
      <c r="Q9163">
        <v>1</v>
      </c>
      <c r="R9163">
        <v>99.999999000000003</v>
      </c>
    </row>
    <row r="9164" spans="1:18" x14ac:dyDescent="0.2">
      <c r="A9164" t="s">
        <v>663</v>
      </c>
      <c r="B9164" t="s">
        <v>2500</v>
      </c>
      <c r="C9164">
        <v>1</v>
      </c>
      <c r="D9164" s="1">
        <v>44272.03701388889</v>
      </c>
      <c r="E9164" t="s">
        <v>28668</v>
      </c>
      <c r="F9164" t="s">
        <v>666</v>
      </c>
      <c r="G9164" t="s">
        <v>28668</v>
      </c>
      <c r="H9164" t="s">
        <v>667</v>
      </c>
      <c r="I9164" t="s">
        <v>29</v>
      </c>
      <c r="J9164">
        <v>1</v>
      </c>
      <c r="K9164">
        <f>1-888-413-2476</f>
        <v>-3776</v>
      </c>
      <c r="L9164" s="2" t="s">
        <v>28674</v>
      </c>
      <c r="M9164" t="s">
        <v>28670</v>
      </c>
      <c r="N9164">
        <v>90</v>
      </c>
      <c r="O9164" t="s">
        <v>134</v>
      </c>
      <c r="P9164" t="s">
        <v>2500</v>
      </c>
      <c r="Q9164">
        <v>1</v>
      </c>
      <c r="R9164">
        <v>99.999999000000003</v>
      </c>
    </row>
    <row r="9165" spans="1:18" x14ac:dyDescent="0.2">
      <c r="A9165" t="s">
        <v>663</v>
      </c>
      <c r="B9165" t="s">
        <v>2500</v>
      </c>
      <c r="C9165">
        <v>1</v>
      </c>
      <c r="D9165" s="1">
        <v>44272.036909722221</v>
      </c>
      <c r="E9165" t="s">
        <v>28668</v>
      </c>
      <c r="F9165" t="s">
        <v>666</v>
      </c>
      <c r="G9165" t="s">
        <v>28668</v>
      </c>
      <c r="H9165" t="s">
        <v>667</v>
      </c>
      <c r="I9165" t="s">
        <v>29</v>
      </c>
      <c r="J9165">
        <v>1</v>
      </c>
      <c r="K9165">
        <f>1-888-532-471</f>
        <v>-1890</v>
      </c>
      <c r="L9165" t="s">
        <v>28675</v>
      </c>
      <c r="M9165" t="s">
        <v>28670</v>
      </c>
      <c r="N9165">
        <v>90</v>
      </c>
      <c r="O9165" t="s">
        <v>134</v>
      </c>
      <c r="P9165" t="s">
        <v>2500</v>
      </c>
      <c r="Q9165">
        <v>1</v>
      </c>
      <c r="R9165">
        <v>99.999999000000003</v>
      </c>
    </row>
    <row r="9166" spans="1:18" x14ac:dyDescent="0.2">
      <c r="A9166" t="s">
        <v>663</v>
      </c>
      <c r="B9166" t="s">
        <v>2500</v>
      </c>
      <c r="C9166">
        <v>1</v>
      </c>
      <c r="D9166" s="1">
        <v>44272.036840277775</v>
      </c>
      <c r="E9166" t="s">
        <v>28668</v>
      </c>
      <c r="F9166" t="s">
        <v>666</v>
      </c>
      <c r="G9166" t="s">
        <v>28668</v>
      </c>
      <c r="H9166" t="s">
        <v>667</v>
      </c>
      <c r="I9166" t="s">
        <v>29</v>
      </c>
      <c r="J9166">
        <v>1</v>
      </c>
      <c r="K9166">
        <f>1-888-304-1408</f>
        <v>-2599</v>
      </c>
      <c r="L9166" t="s">
        <v>28676</v>
      </c>
      <c r="M9166" t="s">
        <v>28670</v>
      </c>
      <c r="N9166">
        <v>90</v>
      </c>
      <c r="O9166" t="s">
        <v>134</v>
      </c>
      <c r="P9166" t="s">
        <v>2500</v>
      </c>
      <c r="Q9166">
        <v>1</v>
      </c>
      <c r="R9166">
        <v>99.999999000000003</v>
      </c>
    </row>
    <row r="9167" spans="1:18" x14ac:dyDescent="0.2">
      <c r="A9167" t="s">
        <v>663</v>
      </c>
      <c r="B9167" t="s">
        <v>2500</v>
      </c>
      <c r="C9167">
        <v>1</v>
      </c>
      <c r="D9167" s="1">
        <v>44272.036817129629</v>
      </c>
      <c r="E9167" t="s">
        <v>28668</v>
      </c>
      <c r="F9167" t="s">
        <v>666</v>
      </c>
      <c r="G9167" t="s">
        <v>28668</v>
      </c>
      <c r="H9167" t="s">
        <v>667</v>
      </c>
      <c r="I9167" t="s">
        <v>29</v>
      </c>
      <c r="J9167">
        <v>1</v>
      </c>
      <c r="K9167">
        <f>1-888-525-646</f>
        <v>-2058</v>
      </c>
      <c r="L9167" t="s">
        <v>28677</v>
      </c>
      <c r="M9167" t="s">
        <v>28670</v>
      </c>
      <c r="N9167">
        <v>90</v>
      </c>
      <c r="O9167" t="s">
        <v>134</v>
      </c>
      <c r="P9167" t="s">
        <v>2500</v>
      </c>
      <c r="Q9167">
        <v>1</v>
      </c>
      <c r="R9167">
        <v>99.999999000000003</v>
      </c>
    </row>
    <row r="9168" spans="1:18" x14ac:dyDescent="0.2">
      <c r="A9168" t="s">
        <v>663</v>
      </c>
      <c r="B9168" t="s">
        <v>2500</v>
      </c>
      <c r="C9168">
        <v>1</v>
      </c>
      <c r="D9168" s="1">
        <v>44272.036724537036</v>
      </c>
      <c r="E9168" t="s">
        <v>28668</v>
      </c>
      <c r="F9168" t="s">
        <v>666</v>
      </c>
      <c r="G9168" t="s">
        <v>28668</v>
      </c>
      <c r="H9168" t="s">
        <v>667</v>
      </c>
      <c r="I9168" t="s">
        <v>29</v>
      </c>
      <c r="J9168">
        <v>1</v>
      </c>
      <c r="K9168">
        <f>1-888-385-1751</f>
        <v>-3023</v>
      </c>
      <c r="L9168" t="s">
        <v>28678</v>
      </c>
      <c r="M9168" t="s">
        <v>28670</v>
      </c>
      <c r="N9168">
        <v>90</v>
      </c>
      <c r="O9168" t="s">
        <v>134</v>
      </c>
      <c r="P9168" t="s">
        <v>2500</v>
      </c>
      <c r="Q9168">
        <v>1</v>
      </c>
      <c r="R9168">
        <v>99.999999000000003</v>
      </c>
    </row>
    <row r="9169" spans="1:18" x14ac:dyDescent="0.2">
      <c r="A9169" t="s">
        <v>663</v>
      </c>
      <c r="B9169" t="s">
        <v>2500</v>
      </c>
      <c r="C9169">
        <v>1</v>
      </c>
      <c r="D9169" s="1">
        <v>44272.03638888889</v>
      </c>
      <c r="E9169" t="s">
        <v>28668</v>
      </c>
      <c r="F9169" t="s">
        <v>666</v>
      </c>
      <c r="G9169" t="s">
        <v>28668</v>
      </c>
      <c r="H9169" t="s">
        <v>667</v>
      </c>
      <c r="I9169" t="s">
        <v>29</v>
      </c>
      <c r="J9169">
        <v>1</v>
      </c>
      <c r="K9169">
        <f>1-888-330-3967</f>
        <v>-5184</v>
      </c>
      <c r="L9169" t="s">
        <v>28679</v>
      </c>
      <c r="M9169" t="s">
        <v>28670</v>
      </c>
      <c r="N9169">
        <v>90</v>
      </c>
      <c r="O9169" t="s">
        <v>134</v>
      </c>
      <c r="P9169" t="s">
        <v>2500</v>
      </c>
      <c r="Q9169">
        <v>1</v>
      </c>
      <c r="R9169">
        <v>99.999999000000003</v>
      </c>
    </row>
    <row r="9170" spans="1:18" x14ac:dyDescent="0.2">
      <c r="A9170" t="s">
        <v>663</v>
      </c>
      <c r="B9170" t="s">
        <v>2500</v>
      </c>
      <c r="C9170">
        <v>1</v>
      </c>
      <c r="D9170" s="1">
        <v>44272.036180555559</v>
      </c>
      <c r="E9170" t="s">
        <v>28668</v>
      </c>
      <c r="F9170" t="s">
        <v>666</v>
      </c>
      <c r="G9170" t="s">
        <v>28668</v>
      </c>
      <c r="H9170" t="s">
        <v>667</v>
      </c>
      <c r="I9170" t="s">
        <v>29</v>
      </c>
      <c r="J9170">
        <v>1</v>
      </c>
      <c r="K9170">
        <f>1-888-334-1267</f>
        <v>-2488</v>
      </c>
      <c r="L9170" t="s">
        <v>28680</v>
      </c>
      <c r="M9170" t="s">
        <v>28670</v>
      </c>
      <c r="N9170">
        <v>90</v>
      </c>
      <c r="O9170" t="s">
        <v>134</v>
      </c>
      <c r="P9170" t="s">
        <v>2500</v>
      </c>
      <c r="Q9170">
        <v>1</v>
      </c>
      <c r="R9170">
        <v>99.999999000000003</v>
      </c>
    </row>
    <row r="9171" spans="1:18" x14ac:dyDescent="0.2">
      <c r="A9171" t="s">
        <v>663</v>
      </c>
      <c r="B9171" t="s">
        <v>2500</v>
      </c>
      <c r="C9171">
        <v>1</v>
      </c>
      <c r="D9171" s="1">
        <v>44272.035995370374</v>
      </c>
      <c r="E9171" t="s">
        <v>28668</v>
      </c>
      <c r="F9171" t="s">
        <v>666</v>
      </c>
      <c r="G9171" t="s">
        <v>28668</v>
      </c>
      <c r="H9171" t="s">
        <v>667</v>
      </c>
      <c r="I9171" t="s">
        <v>29</v>
      </c>
      <c r="J9171">
        <v>1</v>
      </c>
      <c r="K9171">
        <f>1-888-337-6443</f>
        <v>-7667</v>
      </c>
      <c r="L9171" t="s">
        <v>28681</v>
      </c>
      <c r="M9171" t="s">
        <v>28670</v>
      </c>
      <c r="N9171">
        <v>90</v>
      </c>
      <c r="O9171" t="s">
        <v>134</v>
      </c>
      <c r="P9171" t="s">
        <v>2500</v>
      </c>
      <c r="Q9171">
        <v>1</v>
      </c>
      <c r="R9171">
        <v>99.999999000000003</v>
      </c>
    </row>
    <row r="9172" spans="1:18" x14ac:dyDescent="0.2">
      <c r="A9172" t="s">
        <v>663</v>
      </c>
      <c r="B9172" t="s">
        <v>2500</v>
      </c>
      <c r="C9172">
        <v>1</v>
      </c>
      <c r="D9172" s="1">
        <v>44272.035798611112</v>
      </c>
      <c r="E9172" t="s">
        <v>28668</v>
      </c>
      <c r="F9172" t="s">
        <v>666</v>
      </c>
      <c r="G9172" t="s">
        <v>28668</v>
      </c>
      <c r="H9172" t="s">
        <v>667</v>
      </c>
      <c r="I9172" t="s">
        <v>29</v>
      </c>
      <c r="J9172">
        <v>1</v>
      </c>
      <c r="K9172">
        <f>1-888-340-6996</f>
        <v>-8223</v>
      </c>
      <c r="L9172" t="s">
        <v>28682</v>
      </c>
      <c r="M9172" t="s">
        <v>28670</v>
      </c>
      <c r="N9172">
        <v>90</v>
      </c>
      <c r="O9172" t="s">
        <v>134</v>
      </c>
      <c r="P9172" t="s">
        <v>2500</v>
      </c>
      <c r="Q9172">
        <v>1</v>
      </c>
      <c r="R9172">
        <v>99.999999000000003</v>
      </c>
    </row>
    <row r="9173" spans="1:18" x14ac:dyDescent="0.2">
      <c r="A9173" t="s">
        <v>663</v>
      </c>
      <c r="B9173" t="s">
        <v>2500</v>
      </c>
      <c r="C9173">
        <v>1</v>
      </c>
      <c r="D9173" s="1">
        <v>44272.035486111112</v>
      </c>
      <c r="E9173" t="s">
        <v>28668</v>
      </c>
      <c r="F9173" t="s">
        <v>666</v>
      </c>
      <c r="G9173" t="s">
        <v>28668</v>
      </c>
      <c r="H9173" t="s">
        <v>667</v>
      </c>
      <c r="I9173" t="s">
        <v>29</v>
      </c>
      <c r="J9173">
        <v>1</v>
      </c>
      <c r="K9173">
        <f>1-888-348-5746</f>
        <v>-6981</v>
      </c>
      <c r="L9173">
        <v>6051446532211</v>
      </c>
      <c r="M9173" t="s">
        <v>28670</v>
      </c>
      <c r="N9173">
        <v>90</v>
      </c>
      <c r="O9173" t="s">
        <v>134</v>
      </c>
      <c r="P9173" t="s">
        <v>2500</v>
      </c>
      <c r="Q9173">
        <v>1</v>
      </c>
      <c r="R9173">
        <v>99.999999000000003</v>
      </c>
    </row>
    <row r="9174" spans="1:18" x14ac:dyDescent="0.2">
      <c r="A9174" t="s">
        <v>663</v>
      </c>
      <c r="B9174" t="s">
        <v>2500</v>
      </c>
      <c r="C9174">
        <v>1</v>
      </c>
      <c r="D9174" s="1">
        <v>44272.03528935185</v>
      </c>
      <c r="E9174" t="s">
        <v>28668</v>
      </c>
      <c r="F9174" t="s">
        <v>666</v>
      </c>
      <c r="G9174" t="s">
        <v>28668</v>
      </c>
      <c r="H9174" t="s">
        <v>667</v>
      </c>
      <c r="I9174" t="s">
        <v>29</v>
      </c>
      <c r="J9174">
        <v>1</v>
      </c>
      <c r="K9174">
        <f>1-888-355-4595</f>
        <v>-5837</v>
      </c>
      <c r="L9174" t="s">
        <v>28683</v>
      </c>
      <c r="M9174" t="s">
        <v>28670</v>
      </c>
      <c r="N9174">
        <v>90</v>
      </c>
      <c r="O9174" t="s">
        <v>134</v>
      </c>
      <c r="P9174" t="s">
        <v>2500</v>
      </c>
      <c r="Q9174">
        <v>1</v>
      </c>
      <c r="R9174">
        <v>99.999999000000003</v>
      </c>
    </row>
    <row r="9175" spans="1:18" x14ac:dyDescent="0.2">
      <c r="A9175" t="s">
        <v>663</v>
      </c>
      <c r="B9175" t="s">
        <v>2500</v>
      </c>
      <c r="C9175">
        <v>1</v>
      </c>
      <c r="D9175" s="1">
        <v>44272.033553240741</v>
      </c>
      <c r="E9175" t="s">
        <v>28668</v>
      </c>
      <c r="F9175" t="s">
        <v>666</v>
      </c>
      <c r="G9175" t="s">
        <v>28668</v>
      </c>
      <c r="H9175" t="s">
        <v>667</v>
      </c>
      <c r="I9175" t="s">
        <v>29</v>
      </c>
      <c r="J9175">
        <v>1</v>
      </c>
      <c r="K9175">
        <f>1-844-337-2420</f>
        <v>-3600</v>
      </c>
      <c r="L9175" t="s">
        <v>28684</v>
      </c>
      <c r="M9175" t="s">
        <v>28670</v>
      </c>
      <c r="N9175">
        <v>90</v>
      </c>
      <c r="O9175" t="s">
        <v>134</v>
      </c>
      <c r="P9175" t="s">
        <v>2500</v>
      </c>
      <c r="Q9175">
        <v>1</v>
      </c>
      <c r="R9175">
        <v>99.999999000000003</v>
      </c>
    </row>
    <row r="9176" spans="1:18" x14ac:dyDescent="0.2">
      <c r="A9176" t="s">
        <v>663</v>
      </c>
      <c r="B9176" t="s">
        <v>2500</v>
      </c>
      <c r="C9176">
        <v>1</v>
      </c>
      <c r="D9176" s="1">
        <v>44272.031006944446</v>
      </c>
      <c r="E9176" t="s">
        <v>28668</v>
      </c>
      <c r="F9176" t="s">
        <v>666</v>
      </c>
      <c r="G9176" t="s">
        <v>28668</v>
      </c>
      <c r="H9176" t="s">
        <v>667</v>
      </c>
      <c r="I9176" t="s">
        <v>29</v>
      </c>
      <c r="J9176">
        <v>1</v>
      </c>
      <c r="K9176">
        <f>1-888-225-8916</f>
        <v>-10028</v>
      </c>
      <c r="L9176" s="2" t="s">
        <v>28685</v>
      </c>
      <c r="M9176" t="s">
        <v>28670</v>
      </c>
      <c r="N9176">
        <v>90</v>
      </c>
      <c r="O9176" t="s">
        <v>134</v>
      </c>
      <c r="P9176" t="s">
        <v>2500</v>
      </c>
      <c r="Q9176">
        <v>1</v>
      </c>
      <c r="R9176">
        <v>99.999999000000003</v>
      </c>
    </row>
    <row r="9177" spans="1:18" x14ac:dyDescent="0.2">
      <c r="A9177" t="s">
        <v>439</v>
      </c>
      <c r="B9177" t="s">
        <v>4321</v>
      </c>
      <c r="C9177">
        <v>81</v>
      </c>
      <c r="D9177" s="1">
        <v>44275.638333333336</v>
      </c>
      <c r="E9177" t="s">
        <v>28686</v>
      </c>
      <c r="F9177" t="s">
        <v>442</v>
      </c>
      <c r="G9177" t="s">
        <v>28687</v>
      </c>
      <c r="H9177" t="s">
        <v>444</v>
      </c>
      <c r="I9177" t="s">
        <v>53</v>
      </c>
      <c r="J9177">
        <v>81</v>
      </c>
      <c r="K9177">
        <f>81-50-5539-6170</f>
        <v>-11678</v>
      </c>
      <c r="L9177" t="s">
        <v>28688</v>
      </c>
      <c r="M9177" t="s">
        <v>28689</v>
      </c>
      <c r="N9177" t="s">
        <v>447</v>
      </c>
      <c r="O9177" t="s">
        <v>28</v>
      </c>
      <c r="P9177" t="s">
        <v>29</v>
      </c>
      <c r="Q9177">
        <v>42</v>
      </c>
      <c r="R9177">
        <v>-87.629800000000003</v>
      </c>
    </row>
    <row r="9178" spans="1:18" x14ac:dyDescent="0.2">
      <c r="A9178" t="s">
        <v>439</v>
      </c>
      <c r="B9178" t="s">
        <v>4321</v>
      </c>
      <c r="C9178">
        <v>81</v>
      </c>
      <c r="D9178" s="1">
        <v>44275.627233796295</v>
      </c>
      <c r="E9178" t="s">
        <v>28686</v>
      </c>
      <c r="F9178" t="s">
        <v>442</v>
      </c>
      <c r="G9178" t="s">
        <v>28687</v>
      </c>
      <c r="H9178" t="s">
        <v>444</v>
      </c>
      <c r="I9178" t="s">
        <v>53</v>
      </c>
      <c r="J9178">
        <v>81</v>
      </c>
      <c r="K9178">
        <f>81-50-5539-6170</f>
        <v>-11678</v>
      </c>
      <c r="L9178" t="s">
        <v>28690</v>
      </c>
      <c r="M9178" t="s">
        <v>28691</v>
      </c>
      <c r="N9178" t="s">
        <v>447</v>
      </c>
      <c r="O9178" t="s">
        <v>28</v>
      </c>
      <c r="P9178" t="s">
        <v>29</v>
      </c>
      <c r="Q9178">
        <v>42</v>
      </c>
      <c r="R9178">
        <v>-87.629800000000003</v>
      </c>
    </row>
    <row r="9179" spans="1:18" x14ac:dyDescent="0.2">
      <c r="A9179" t="s">
        <v>439</v>
      </c>
      <c r="B9179" t="s">
        <v>4321</v>
      </c>
      <c r="C9179">
        <v>1</v>
      </c>
      <c r="D9179" s="1">
        <v>44274.769942129627</v>
      </c>
      <c r="E9179" t="s">
        <v>28692</v>
      </c>
      <c r="F9179" t="s">
        <v>442</v>
      </c>
      <c r="G9179" t="s">
        <v>28693</v>
      </c>
      <c r="H9179" t="s">
        <v>444</v>
      </c>
      <c r="I9179" t="s">
        <v>29</v>
      </c>
      <c r="J9179">
        <v>1</v>
      </c>
      <c r="K9179">
        <f>1-844-885-6601</f>
        <v>-8329</v>
      </c>
      <c r="L9179" t="s">
        <v>28694</v>
      </c>
      <c r="M9179" t="s">
        <v>28695</v>
      </c>
      <c r="N9179" t="s">
        <v>447</v>
      </c>
      <c r="O9179" t="s">
        <v>28</v>
      </c>
      <c r="P9179" t="s">
        <v>29</v>
      </c>
      <c r="Q9179">
        <v>42</v>
      </c>
      <c r="R9179">
        <v>-87.629800000000003</v>
      </c>
    </row>
    <row r="9180" spans="1:18" x14ac:dyDescent="0.2">
      <c r="A9180" t="s">
        <v>6586</v>
      </c>
      <c r="B9180" t="s">
        <v>20854</v>
      </c>
      <c r="C9180">
        <v>1</v>
      </c>
      <c r="D9180" s="1">
        <v>44277.852592592593</v>
      </c>
      <c r="E9180" t="s">
        <v>28696</v>
      </c>
      <c r="F9180" t="s">
        <v>6588</v>
      </c>
      <c r="G9180" t="s">
        <v>28697</v>
      </c>
      <c r="H9180" t="s">
        <v>6590</v>
      </c>
      <c r="I9180" t="s">
        <v>29</v>
      </c>
      <c r="J9180">
        <v>1</v>
      </c>
      <c r="K9180">
        <f>1-888-308-5118</f>
        <v>-6313</v>
      </c>
      <c r="L9180" t="s">
        <v>28698</v>
      </c>
      <c r="M9180" t="s">
        <v>28699</v>
      </c>
      <c r="N9180" t="s">
        <v>25263</v>
      </c>
      <c r="O9180" t="s">
        <v>28</v>
      </c>
      <c r="P9180" t="s">
        <v>29</v>
      </c>
      <c r="Q9180">
        <v>38</v>
      </c>
      <c r="R9180">
        <v>-99.999999000000003</v>
      </c>
    </row>
    <row r="9181" spans="1:18" x14ac:dyDescent="0.2">
      <c r="A9181" t="s">
        <v>270</v>
      </c>
      <c r="B9181" t="s">
        <v>454</v>
      </c>
      <c r="C9181">
        <v>1</v>
      </c>
      <c r="D9181" s="1">
        <v>44277.853182870371</v>
      </c>
      <c r="E9181" t="s">
        <v>28700</v>
      </c>
      <c r="F9181" t="s">
        <v>273</v>
      </c>
      <c r="G9181" t="s">
        <v>28701</v>
      </c>
      <c r="H9181" t="s">
        <v>275</v>
      </c>
      <c r="I9181" t="s">
        <v>29</v>
      </c>
      <c r="J9181">
        <v>1</v>
      </c>
      <c r="K9181">
        <f>1-844-359-7425</f>
        <v>-8627</v>
      </c>
      <c r="L9181" t="s">
        <v>28702</v>
      </c>
      <c r="M9181" t="s">
        <v>28703</v>
      </c>
      <c r="N9181" t="s">
        <v>278</v>
      </c>
      <c r="O9181" t="s">
        <v>28</v>
      </c>
      <c r="P9181" t="s">
        <v>461</v>
      </c>
      <c r="Q9181">
        <v>52</v>
      </c>
      <c r="R9181">
        <v>4.9000000000000004</v>
      </c>
    </row>
    <row r="9182" spans="1:18" x14ac:dyDescent="0.2">
      <c r="A9182" t="s">
        <v>663</v>
      </c>
      <c r="B9182" t="s">
        <v>5784</v>
      </c>
      <c r="C9182">
        <v>1</v>
      </c>
      <c r="D9182" s="1">
        <v>44274.968831018516</v>
      </c>
      <c r="E9182" t="s">
        <v>28704</v>
      </c>
      <c r="F9182" t="s">
        <v>666</v>
      </c>
      <c r="G9182" t="s">
        <v>28705</v>
      </c>
      <c r="H9182" t="s">
        <v>667</v>
      </c>
      <c r="I9182" t="s">
        <v>29</v>
      </c>
      <c r="J9182">
        <v>1</v>
      </c>
      <c r="K9182">
        <f>1-888-224-3015</f>
        <v>-4126</v>
      </c>
      <c r="L9182" s="2">
        <v>6.0552268199999995E+251</v>
      </c>
      <c r="M9182" t="s">
        <v>28706</v>
      </c>
      <c r="N9182" t="s">
        <v>25263</v>
      </c>
      <c r="O9182" t="s">
        <v>28</v>
      </c>
      <c r="P9182" t="s">
        <v>5789</v>
      </c>
      <c r="Q9182">
        <v>13</v>
      </c>
      <c r="R9182">
        <v>77.585499999999996</v>
      </c>
    </row>
    <row r="9183" spans="1:18" x14ac:dyDescent="0.2">
      <c r="A9183" t="s">
        <v>663</v>
      </c>
      <c r="B9183" t="s">
        <v>5784</v>
      </c>
      <c r="C9183">
        <v>1</v>
      </c>
      <c r="D9183" s="1">
        <v>44275.635995370372</v>
      </c>
      <c r="E9183" t="s">
        <v>28707</v>
      </c>
      <c r="F9183" t="s">
        <v>23451</v>
      </c>
      <c r="G9183" t="s">
        <v>28708</v>
      </c>
      <c r="H9183" t="s">
        <v>667</v>
      </c>
      <c r="I9183" t="s">
        <v>29</v>
      </c>
      <c r="J9183">
        <v>1</v>
      </c>
      <c r="K9183">
        <f>1-844-258-8390</f>
        <v>-9491</v>
      </c>
      <c r="L9183" t="s">
        <v>28709</v>
      </c>
      <c r="M9183" t="s">
        <v>28710</v>
      </c>
      <c r="N9183" t="s">
        <v>25263</v>
      </c>
      <c r="O9183" t="s">
        <v>28</v>
      </c>
      <c r="P9183" t="s">
        <v>5789</v>
      </c>
      <c r="Q9183">
        <v>13</v>
      </c>
      <c r="R9183">
        <v>77.585499999999996</v>
      </c>
    </row>
    <row r="9184" spans="1:18" x14ac:dyDescent="0.2">
      <c r="A9184" t="s">
        <v>675</v>
      </c>
      <c r="B9184" t="s">
        <v>676</v>
      </c>
      <c r="C9184">
        <v>81</v>
      </c>
      <c r="D9184" s="1">
        <v>44274.357303240744</v>
      </c>
      <c r="E9184" t="s">
        <v>28711</v>
      </c>
      <c r="F9184" t="s">
        <v>2987</v>
      </c>
      <c r="G9184" t="s">
        <v>28712</v>
      </c>
      <c r="H9184" t="s">
        <v>680</v>
      </c>
      <c r="I9184" t="s">
        <v>53</v>
      </c>
      <c r="J9184">
        <v>81</v>
      </c>
      <c r="K9184">
        <f>81-50-5532-1379</f>
        <v>-6880</v>
      </c>
      <c r="L9184" t="s">
        <v>28713</v>
      </c>
      <c r="M9184" t="s">
        <v>28714</v>
      </c>
      <c r="N9184" t="s">
        <v>2475</v>
      </c>
      <c r="O9184" t="s">
        <v>28</v>
      </c>
      <c r="P9184" t="s">
        <v>29</v>
      </c>
      <c r="Q9184">
        <v>33</v>
      </c>
      <c r="R9184">
        <v>-99.999999000000003</v>
      </c>
    </row>
    <row r="9185" spans="1:18" x14ac:dyDescent="0.2">
      <c r="A9185" t="s">
        <v>675</v>
      </c>
      <c r="B9185" t="s">
        <v>676</v>
      </c>
      <c r="C9185">
        <v>81</v>
      </c>
      <c r="D9185" s="1">
        <v>44275.637013888889</v>
      </c>
      <c r="E9185" t="s">
        <v>28715</v>
      </c>
      <c r="F9185" t="s">
        <v>2987</v>
      </c>
      <c r="G9185" t="s">
        <v>28712</v>
      </c>
      <c r="H9185" t="s">
        <v>680</v>
      </c>
      <c r="I9185" t="s">
        <v>53</v>
      </c>
      <c r="J9185">
        <v>81</v>
      </c>
      <c r="K9185">
        <f>81-50-5539-5166</f>
        <v>-10674</v>
      </c>
      <c r="L9185" t="s">
        <v>28716</v>
      </c>
      <c r="M9185" t="s">
        <v>28717</v>
      </c>
      <c r="N9185" t="s">
        <v>5354</v>
      </c>
      <c r="O9185" t="s">
        <v>28</v>
      </c>
      <c r="P9185" t="s">
        <v>29</v>
      </c>
      <c r="Q9185">
        <v>33</v>
      </c>
      <c r="R9185">
        <v>-99.999999000000003</v>
      </c>
    </row>
    <row r="9186" spans="1:18" x14ac:dyDescent="0.2">
      <c r="A9186" t="s">
        <v>6586</v>
      </c>
      <c r="B9186" t="s">
        <v>24593</v>
      </c>
      <c r="C9186">
        <v>1</v>
      </c>
      <c r="D9186" s="1">
        <v>44278.881712962961</v>
      </c>
      <c r="E9186" t="s">
        <v>28718</v>
      </c>
      <c r="F9186" t="s">
        <v>6588</v>
      </c>
      <c r="G9186" t="s">
        <v>28719</v>
      </c>
      <c r="H9186" t="s">
        <v>6590</v>
      </c>
      <c r="I9186" t="s">
        <v>29</v>
      </c>
      <c r="J9186">
        <v>1</v>
      </c>
      <c r="K9186">
        <f>1-888-314-9118</f>
        <v>-10319</v>
      </c>
      <c r="L9186" t="s">
        <v>28720</v>
      </c>
      <c r="M9186" t="s">
        <v>28721</v>
      </c>
      <c r="N9186" t="s">
        <v>25263</v>
      </c>
      <c r="O9186" t="s">
        <v>28</v>
      </c>
      <c r="P9186" t="s">
        <v>29</v>
      </c>
      <c r="Q9186">
        <v>41</v>
      </c>
      <c r="R9186">
        <v>-74.459199999999996</v>
      </c>
    </row>
    <row r="9187" spans="1:18" x14ac:dyDescent="0.2">
      <c r="A9187" t="s">
        <v>6586</v>
      </c>
      <c r="B9187" t="s">
        <v>24593</v>
      </c>
      <c r="C9187">
        <v>1</v>
      </c>
      <c r="D9187" s="1">
        <v>44275.711018518516</v>
      </c>
      <c r="E9187" t="s">
        <v>28722</v>
      </c>
      <c r="F9187" t="s">
        <v>6588</v>
      </c>
      <c r="G9187" t="s">
        <v>28719</v>
      </c>
      <c r="H9187" t="s">
        <v>6590</v>
      </c>
      <c r="I9187" t="s">
        <v>29</v>
      </c>
      <c r="J9187">
        <v>1</v>
      </c>
      <c r="K9187">
        <f>1-888-374-1885</f>
        <v>-3146</v>
      </c>
      <c r="L9187" t="s">
        <v>28723</v>
      </c>
      <c r="M9187" t="s">
        <v>28724</v>
      </c>
      <c r="N9187" t="s">
        <v>25263</v>
      </c>
      <c r="O9187" t="s">
        <v>28</v>
      </c>
      <c r="P9187" t="s">
        <v>29</v>
      </c>
      <c r="Q9187">
        <v>41</v>
      </c>
      <c r="R9187">
        <v>-74.459199999999996</v>
      </c>
    </row>
    <row r="9188" spans="1:18" x14ac:dyDescent="0.2">
      <c r="A9188" t="s">
        <v>10660</v>
      </c>
      <c r="B9188" t="s">
        <v>1638</v>
      </c>
      <c r="C9188">
        <v>1</v>
      </c>
      <c r="D9188" s="1">
        <v>44304.878449074073</v>
      </c>
      <c r="E9188" t="s">
        <v>28725</v>
      </c>
      <c r="F9188" t="s">
        <v>11960</v>
      </c>
      <c r="G9188" t="s">
        <v>28726</v>
      </c>
      <c r="H9188" t="s">
        <v>10664</v>
      </c>
      <c r="I9188" t="s">
        <v>29</v>
      </c>
      <c r="J9188">
        <v>1</v>
      </c>
      <c r="K9188">
        <f>1-888-728-4591</f>
        <v>-6206</v>
      </c>
      <c r="L9188" t="s">
        <v>28727</v>
      </c>
      <c r="M9188" t="s">
        <v>28728</v>
      </c>
      <c r="N9188" t="s">
        <v>5468</v>
      </c>
      <c r="O9188" t="s">
        <v>28</v>
      </c>
      <c r="P9188" t="s">
        <v>292</v>
      </c>
      <c r="Q9188">
        <v>49</v>
      </c>
      <c r="R9188">
        <v>2.3281000000000001</v>
      </c>
    </row>
    <row r="9189" spans="1:18" x14ac:dyDescent="0.2">
      <c r="A9189" t="s">
        <v>10660</v>
      </c>
      <c r="B9189" t="s">
        <v>1638</v>
      </c>
      <c r="C9189">
        <v>1</v>
      </c>
      <c r="D9189" s="1">
        <v>44301.883981481478</v>
      </c>
      <c r="E9189" t="s">
        <v>28729</v>
      </c>
      <c r="F9189" t="s">
        <v>11960</v>
      </c>
      <c r="G9189" t="s">
        <v>28726</v>
      </c>
      <c r="H9189" t="s">
        <v>10664</v>
      </c>
      <c r="I9189" t="s">
        <v>29</v>
      </c>
      <c r="J9189">
        <v>1</v>
      </c>
      <c r="K9189">
        <f>1-888-726-467</f>
        <v>-2080</v>
      </c>
      <c r="L9189" t="s">
        <v>28730</v>
      </c>
      <c r="M9189" t="s">
        <v>28731</v>
      </c>
      <c r="N9189" t="s">
        <v>5468</v>
      </c>
      <c r="O9189" t="s">
        <v>28</v>
      </c>
      <c r="P9189" t="s">
        <v>292</v>
      </c>
      <c r="Q9189">
        <v>49</v>
      </c>
      <c r="R9189">
        <v>2.3281000000000001</v>
      </c>
    </row>
    <row r="9190" spans="1:18" x14ac:dyDescent="0.2">
      <c r="A9190" t="s">
        <v>10660</v>
      </c>
      <c r="B9190" t="s">
        <v>1638</v>
      </c>
      <c r="C9190">
        <v>1</v>
      </c>
      <c r="D9190" s="1">
        <v>44300.938067129631</v>
      </c>
      <c r="E9190" t="s">
        <v>28468</v>
      </c>
      <c r="F9190" t="s">
        <v>11960</v>
      </c>
      <c r="G9190" t="s">
        <v>28726</v>
      </c>
      <c r="H9190" t="s">
        <v>10664</v>
      </c>
      <c r="I9190" t="s">
        <v>29</v>
      </c>
      <c r="J9190">
        <v>1</v>
      </c>
      <c r="K9190">
        <f>1-888-589-3646</f>
        <v>-5122</v>
      </c>
      <c r="L9190" t="s">
        <v>28732</v>
      </c>
      <c r="M9190" t="s">
        <v>28733</v>
      </c>
      <c r="N9190" t="s">
        <v>5468</v>
      </c>
      <c r="O9190" t="s">
        <v>28</v>
      </c>
      <c r="P9190" t="s">
        <v>292</v>
      </c>
      <c r="Q9190">
        <v>49</v>
      </c>
      <c r="R9190">
        <v>2.3281000000000001</v>
      </c>
    </row>
    <row r="9191" spans="1:18" x14ac:dyDescent="0.2">
      <c r="A9191" t="s">
        <v>10660</v>
      </c>
      <c r="B9191" t="s">
        <v>1638</v>
      </c>
      <c r="C9191">
        <v>1</v>
      </c>
      <c r="D9191" s="1">
        <v>44274.726041666669</v>
      </c>
      <c r="E9191" t="s">
        <v>28734</v>
      </c>
      <c r="F9191" t="s">
        <v>11960</v>
      </c>
      <c r="G9191" t="s">
        <v>28726</v>
      </c>
      <c r="H9191" t="s">
        <v>10664</v>
      </c>
      <c r="I9191" t="s">
        <v>29</v>
      </c>
      <c r="J9191">
        <v>1</v>
      </c>
      <c r="K9191">
        <f>1-888-308-5980</f>
        <v>-7175</v>
      </c>
      <c r="L9191" t="s">
        <v>28735</v>
      </c>
      <c r="M9191" t="s">
        <v>28736</v>
      </c>
      <c r="N9191" t="s">
        <v>5468</v>
      </c>
      <c r="O9191" t="s">
        <v>28</v>
      </c>
      <c r="P9191" t="s">
        <v>292</v>
      </c>
      <c r="Q9191">
        <v>49</v>
      </c>
      <c r="R9191">
        <v>2.3281000000000001</v>
      </c>
    </row>
    <row r="9192" spans="1:18" x14ac:dyDescent="0.2">
      <c r="A9192" t="s">
        <v>10660</v>
      </c>
      <c r="B9192" t="s">
        <v>1638</v>
      </c>
      <c r="C9192">
        <v>1</v>
      </c>
      <c r="D9192" s="1">
        <v>44274.725925925923</v>
      </c>
      <c r="E9192" t="s">
        <v>28734</v>
      </c>
      <c r="F9192" t="s">
        <v>11960</v>
      </c>
      <c r="G9192" t="s">
        <v>28726</v>
      </c>
      <c r="H9192" t="s">
        <v>10664</v>
      </c>
      <c r="I9192" t="s">
        <v>29</v>
      </c>
      <c r="J9192">
        <v>1</v>
      </c>
      <c r="K9192">
        <f>1-888-260-8269</f>
        <v>-9416</v>
      </c>
      <c r="L9192" t="s">
        <v>28737</v>
      </c>
      <c r="M9192" t="s">
        <v>28738</v>
      </c>
      <c r="N9192" t="s">
        <v>5468</v>
      </c>
      <c r="O9192" t="s">
        <v>28</v>
      </c>
      <c r="P9192" t="s">
        <v>292</v>
      </c>
      <c r="Q9192">
        <v>49</v>
      </c>
      <c r="R9192">
        <v>2.3281000000000001</v>
      </c>
    </row>
    <row r="9193" spans="1:18" x14ac:dyDescent="0.2">
      <c r="A9193" t="s">
        <v>439</v>
      </c>
      <c r="B9193" t="s">
        <v>4321</v>
      </c>
      <c r="C9193">
        <v>1</v>
      </c>
      <c r="D9193" s="1">
        <v>44275.79409722222</v>
      </c>
      <c r="E9193" t="s">
        <v>28739</v>
      </c>
      <c r="F9193" t="s">
        <v>442</v>
      </c>
      <c r="G9193" t="s">
        <v>28740</v>
      </c>
      <c r="H9193" t="s">
        <v>444</v>
      </c>
      <c r="I9193" t="s">
        <v>29</v>
      </c>
      <c r="J9193">
        <v>1</v>
      </c>
      <c r="K9193">
        <f>1-888-251-7219</f>
        <v>-8357</v>
      </c>
      <c r="L9193" t="s">
        <v>28741</v>
      </c>
      <c r="M9193" t="s">
        <v>28742</v>
      </c>
      <c r="N9193" t="s">
        <v>447</v>
      </c>
      <c r="O9193" t="s">
        <v>28</v>
      </c>
      <c r="P9193" t="s">
        <v>29</v>
      </c>
      <c r="Q9193">
        <v>42</v>
      </c>
      <c r="R9193">
        <v>-87.629800000000003</v>
      </c>
    </row>
    <row r="9194" spans="1:18" x14ac:dyDescent="0.2">
      <c r="A9194" t="s">
        <v>2233</v>
      </c>
      <c r="B9194" t="s">
        <v>440</v>
      </c>
      <c r="C9194">
        <v>1</v>
      </c>
      <c r="D9194" s="1">
        <v>44275.715624999997</v>
      </c>
      <c r="E9194" t="s">
        <v>28743</v>
      </c>
      <c r="F9194" t="s">
        <v>2236</v>
      </c>
      <c r="G9194" t="s">
        <v>28744</v>
      </c>
      <c r="H9194" t="s">
        <v>2237</v>
      </c>
      <c r="I9194" t="s">
        <v>29</v>
      </c>
      <c r="J9194">
        <v>1</v>
      </c>
      <c r="K9194">
        <f>1-833-996-3570</f>
        <v>-5398</v>
      </c>
      <c r="L9194" s="2" t="s">
        <v>28745</v>
      </c>
      <c r="M9194" t="s">
        <v>28746</v>
      </c>
      <c r="N9194" t="s">
        <v>5354</v>
      </c>
      <c r="O9194" t="s">
        <v>28</v>
      </c>
      <c r="P9194" t="s">
        <v>29</v>
      </c>
      <c r="Q9194">
        <v>39</v>
      </c>
      <c r="R9194">
        <v>-77.487399999999994</v>
      </c>
    </row>
    <row r="9195" spans="1:18" x14ac:dyDescent="0.2">
      <c r="A9195" t="s">
        <v>663</v>
      </c>
      <c r="B9195" t="s">
        <v>2493</v>
      </c>
      <c r="C9195">
        <v>1</v>
      </c>
      <c r="D9195" s="1">
        <v>44275.779583333337</v>
      </c>
      <c r="E9195" t="s">
        <v>28747</v>
      </c>
      <c r="F9195" t="s">
        <v>666</v>
      </c>
      <c r="G9195" t="s">
        <v>28747</v>
      </c>
      <c r="H9195" t="s">
        <v>667</v>
      </c>
      <c r="I9195" t="s">
        <v>29</v>
      </c>
      <c r="J9195">
        <v>1</v>
      </c>
      <c r="K9195">
        <f>1-844-283-1508</f>
        <v>-2634</v>
      </c>
      <c r="L9195" t="s">
        <v>28748</v>
      </c>
      <c r="M9195" t="s">
        <v>28749</v>
      </c>
      <c r="N9195">
        <v>26</v>
      </c>
      <c r="O9195" t="s">
        <v>134</v>
      </c>
      <c r="P9195" t="s">
        <v>29</v>
      </c>
      <c r="Q9195">
        <v>41</v>
      </c>
      <c r="R9195">
        <v>-74.024699999999996</v>
      </c>
    </row>
    <row r="9196" spans="1:18" x14ac:dyDescent="0.2">
      <c r="A9196" t="s">
        <v>439</v>
      </c>
      <c r="B9196" t="s">
        <v>4321</v>
      </c>
      <c r="C9196">
        <v>1</v>
      </c>
      <c r="D9196" s="1">
        <v>44275.790358796294</v>
      </c>
      <c r="E9196" t="s">
        <v>28750</v>
      </c>
      <c r="F9196" t="s">
        <v>442</v>
      </c>
      <c r="G9196" t="s">
        <v>28751</v>
      </c>
      <c r="H9196" t="s">
        <v>444</v>
      </c>
      <c r="I9196" t="s">
        <v>29</v>
      </c>
      <c r="J9196">
        <v>1</v>
      </c>
      <c r="K9196">
        <f>1-888-335-8119</f>
        <v>-9341</v>
      </c>
      <c r="L9196" t="s">
        <v>28752</v>
      </c>
      <c r="M9196" t="s">
        <v>28753</v>
      </c>
      <c r="N9196" t="s">
        <v>447</v>
      </c>
      <c r="O9196" t="s">
        <v>28</v>
      </c>
      <c r="P9196" t="s">
        <v>29</v>
      </c>
      <c r="Q9196">
        <v>42</v>
      </c>
      <c r="R9196">
        <v>-87.629800000000003</v>
      </c>
    </row>
    <row r="9197" spans="1:18" x14ac:dyDescent="0.2">
      <c r="A9197" t="s">
        <v>663</v>
      </c>
      <c r="B9197" t="s">
        <v>2493</v>
      </c>
      <c r="C9197">
        <v>1</v>
      </c>
      <c r="D9197" s="1">
        <v>44277.761087962965</v>
      </c>
      <c r="E9197" t="s">
        <v>28754</v>
      </c>
      <c r="F9197" t="s">
        <v>666</v>
      </c>
      <c r="G9197" t="s">
        <v>28754</v>
      </c>
      <c r="H9197" t="s">
        <v>667</v>
      </c>
      <c r="I9197" t="s">
        <v>29</v>
      </c>
      <c r="J9197">
        <v>1</v>
      </c>
      <c r="K9197">
        <f>1-844-310-4770</f>
        <v>-5923</v>
      </c>
      <c r="L9197" t="s">
        <v>28755</v>
      </c>
      <c r="M9197" t="s">
        <v>28756</v>
      </c>
      <c r="N9197">
        <v>80</v>
      </c>
      <c r="O9197" t="s">
        <v>134</v>
      </c>
      <c r="P9197" t="s">
        <v>29</v>
      </c>
      <c r="Q9197">
        <v>41</v>
      </c>
      <c r="R9197">
        <v>-74.024699999999996</v>
      </c>
    </row>
    <row r="9198" spans="1:18" x14ac:dyDescent="0.2">
      <c r="A9198" t="s">
        <v>439</v>
      </c>
      <c r="B9198" t="s">
        <v>4321</v>
      </c>
      <c r="C9198">
        <v>1</v>
      </c>
      <c r="D9198" s="1">
        <v>44277.842152777775</v>
      </c>
      <c r="E9198" t="s">
        <v>28757</v>
      </c>
      <c r="F9198" t="s">
        <v>442</v>
      </c>
      <c r="G9198" t="s">
        <v>28758</v>
      </c>
      <c r="H9198" t="s">
        <v>444</v>
      </c>
      <c r="I9198" t="s">
        <v>29</v>
      </c>
      <c r="J9198">
        <v>1</v>
      </c>
      <c r="K9198">
        <f>1-888-241-5082</f>
        <v>-6210</v>
      </c>
      <c r="L9198" t="s">
        <v>28759</v>
      </c>
      <c r="M9198" t="s">
        <v>28760</v>
      </c>
      <c r="N9198" t="s">
        <v>447</v>
      </c>
      <c r="O9198" t="s">
        <v>28</v>
      </c>
      <c r="P9198" t="s">
        <v>29</v>
      </c>
      <c r="Q9198">
        <v>42</v>
      </c>
      <c r="R9198">
        <v>-87.629800000000003</v>
      </c>
    </row>
    <row r="9199" spans="1:18" x14ac:dyDescent="0.2">
      <c r="A9199" t="s">
        <v>663</v>
      </c>
      <c r="B9199" t="s">
        <v>664</v>
      </c>
      <c r="C9199">
        <v>1</v>
      </c>
      <c r="D9199" s="1">
        <v>44277.844293981485</v>
      </c>
      <c r="E9199" t="s">
        <v>28761</v>
      </c>
      <c r="F9199" t="s">
        <v>666</v>
      </c>
      <c r="G9199" t="s">
        <v>28762</v>
      </c>
      <c r="H9199" t="s">
        <v>667</v>
      </c>
      <c r="I9199" t="s">
        <v>29</v>
      </c>
      <c r="J9199">
        <v>1</v>
      </c>
      <c r="K9199">
        <f>1-855-574-1736</f>
        <v>-3164</v>
      </c>
      <c r="L9199" t="s">
        <v>28763</v>
      </c>
      <c r="M9199" t="s">
        <v>28764</v>
      </c>
      <c r="N9199" t="s">
        <v>36</v>
      </c>
      <c r="O9199" t="s">
        <v>28</v>
      </c>
      <c r="P9199" t="s">
        <v>29</v>
      </c>
      <c r="Q9199">
        <v>37</v>
      </c>
      <c r="R9199">
        <v>-99.999999000000003</v>
      </c>
    </row>
    <row r="9200" spans="1:18" x14ac:dyDescent="0.2">
      <c r="A9200" t="s">
        <v>663</v>
      </c>
      <c r="B9200" t="s">
        <v>2493</v>
      </c>
      <c r="C9200">
        <v>1</v>
      </c>
      <c r="D9200" s="1">
        <v>44280.752928240741</v>
      </c>
      <c r="E9200" t="s">
        <v>28765</v>
      </c>
      <c r="F9200" t="s">
        <v>666</v>
      </c>
      <c r="G9200" t="s">
        <v>28766</v>
      </c>
      <c r="H9200" t="s">
        <v>667</v>
      </c>
      <c r="I9200" t="s">
        <v>29</v>
      </c>
      <c r="J9200">
        <v>1</v>
      </c>
      <c r="K9200">
        <f>1-844-723-39</f>
        <v>-1605</v>
      </c>
      <c r="L9200" t="s">
        <v>28767</v>
      </c>
      <c r="M9200" t="s">
        <v>28768</v>
      </c>
      <c r="N9200" t="s">
        <v>28769</v>
      </c>
      <c r="O9200" t="s">
        <v>28</v>
      </c>
      <c r="P9200" t="s">
        <v>29</v>
      </c>
      <c r="Q9200">
        <v>41</v>
      </c>
      <c r="R9200">
        <v>-74.024699999999996</v>
      </c>
    </row>
    <row r="9201" spans="1:18" x14ac:dyDescent="0.2">
      <c r="A9201" t="s">
        <v>663</v>
      </c>
      <c r="B9201" t="s">
        <v>2493</v>
      </c>
      <c r="C9201">
        <v>1</v>
      </c>
      <c r="D9201" s="1">
        <v>44278.735000000001</v>
      </c>
      <c r="E9201" t="s">
        <v>28770</v>
      </c>
      <c r="F9201" t="s">
        <v>666</v>
      </c>
      <c r="G9201" t="s">
        <v>28766</v>
      </c>
      <c r="H9201" t="s">
        <v>667</v>
      </c>
      <c r="I9201" t="s">
        <v>29</v>
      </c>
      <c r="J9201">
        <v>1</v>
      </c>
      <c r="K9201">
        <f>1-833-674-1946</f>
        <v>-3452</v>
      </c>
      <c r="L9201" t="s">
        <v>28771</v>
      </c>
      <c r="M9201" t="s">
        <v>28772</v>
      </c>
      <c r="N9201" t="s">
        <v>28769</v>
      </c>
      <c r="O9201" t="s">
        <v>28</v>
      </c>
      <c r="P9201" t="s">
        <v>29</v>
      </c>
      <c r="Q9201">
        <v>41</v>
      </c>
      <c r="R9201">
        <v>-74.024699999999996</v>
      </c>
    </row>
    <row r="9202" spans="1:18" x14ac:dyDescent="0.2">
      <c r="A9202" t="s">
        <v>663</v>
      </c>
      <c r="B9202" t="s">
        <v>2493</v>
      </c>
      <c r="C9202">
        <v>1</v>
      </c>
      <c r="D9202" s="1">
        <v>44278.86078703704</v>
      </c>
      <c r="E9202" t="s">
        <v>28773</v>
      </c>
      <c r="F9202" t="s">
        <v>666</v>
      </c>
      <c r="G9202" t="s">
        <v>28766</v>
      </c>
      <c r="H9202" t="s">
        <v>667</v>
      </c>
      <c r="I9202" t="s">
        <v>29</v>
      </c>
      <c r="J9202">
        <v>1</v>
      </c>
      <c r="K9202">
        <f>1-844-723-39</f>
        <v>-1605</v>
      </c>
      <c r="L9202" t="s">
        <v>28774</v>
      </c>
      <c r="M9202" t="s">
        <v>28775</v>
      </c>
      <c r="N9202" t="s">
        <v>28769</v>
      </c>
      <c r="O9202" t="s">
        <v>28</v>
      </c>
      <c r="P9202" t="s">
        <v>29</v>
      </c>
      <c r="Q9202">
        <v>41</v>
      </c>
      <c r="R9202">
        <v>-74.024699999999996</v>
      </c>
    </row>
    <row r="9203" spans="1:18" x14ac:dyDescent="0.2">
      <c r="A9203" t="s">
        <v>663</v>
      </c>
      <c r="B9203" t="s">
        <v>2493</v>
      </c>
      <c r="C9203">
        <v>1</v>
      </c>
      <c r="D9203" s="1">
        <v>44278.761840277781</v>
      </c>
      <c r="E9203" t="s">
        <v>28776</v>
      </c>
      <c r="F9203" t="s">
        <v>666</v>
      </c>
      <c r="G9203" t="s">
        <v>28766</v>
      </c>
      <c r="H9203" t="s">
        <v>667</v>
      </c>
      <c r="I9203" t="s">
        <v>29</v>
      </c>
      <c r="J9203">
        <v>1</v>
      </c>
      <c r="K9203">
        <f>1-844-723-39</f>
        <v>-1605</v>
      </c>
      <c r="L9203" t="s">
        <v>28777</v>
      </c>
      <c r="M9203" t="s">
        <v>28778</v>
      </c>
      <c r="N9203" t="s">
        <v>28769</v>
      </c>
      <c r="O9203" t="s">
        <v>28</v>
      </c>
      <c r="P9203" t="s">
        <v>29</v>
      </c>
      <c r="Q9203">
        <v>41</v>
      </c>
      <c r="R9203">
        <v>-74.024699999999996</v>
      </c>
    </row>
    <row r="9204" spans="1:18" x14ac:dyDescent="0.2">
      <c r="A9204" t="s">
        <v>439</v>
      </c>
      <c r="B9204" t="s">
        <v>4321</v>
      </c>
      <c r="C9204">
        <v>1</v>
      </c>
      <c r="D9204" s="1">
        <v>44272.741840277777</v>
      </c>
      <c r="E9204" t="s">
        <v>28779</v>
      </c>
      <c r="F9204" t="s">
        <v>442</v>
      </c>
      <c r="G9204" t="s">
        <v>28780</v>
      </c>
      <c r="H9204" t="s">
        <v>444</v>
      </c>
      <c r="I9204" t="s">
        <v>29</v>
      </c>
      <c r="J9204">
        <v>1</v>
      </c>
      <c r="K9204">
        <f>1-310-598-7303</f>
        <v>-8210</v>
      </c>
      <c r="L9204" t="s">
        <v>28781</v>
      </c>
      <c r="M9204" t="s">
        <v>28782</v>
      </c>
      <c r="N9204" t="s">
        <v>674</v>
      </c>
      <c r="O9204" t="s">
        <v>28</v>
      </c>
      <c r="P9204" t="s">
        <v>29</v>
      </c>
      <c r="Q9204">
        <v>42</v>
      </c>
      <c r="R9204">
        <v>-87.629800000000003</v>
      </c>
    </row>
    <row r="9205" spans="1:18" x14ac:dyDescent="0.2">
      <c r="A9205" t="s">
        <v>663</v>
      </c>
      <c r="B9205" t="s">
        <v>5784</v>
      </c>
      <c r="C9205">
        <v>1</v>
      </c>
      <c r="D9205" s="1">
        <v>44272.845254629632</v>
      </c>
      <c r="E9205" t="s">
        <v>28783</v>
      </c>
      <c r="F9205" t="s">
        <v>23451</v>
      </c>
      <c r="G9205" t="s">
        <v>28784</v>
      </c>
      <c r="H9205" t="s">
        <v>667</v>
      </c>
      <c r="I9205" t="s">
        <v>29</v>
      </c>
      <c r="J9205">
        <v>1</v>
      </c>
      <c r="K9205">
        <f>1-888-521-2456</f>
        <v>-3864</v>
      </c>
      <c r="L9205" t="s">
        <v>28785</v>
      </c>
      <c r="M9205" t="s">
        <v>28786</v>
      </c>
      <c r="N9205" t="s">
        <v>25263</v>
      </c>
      <c r="O9205" t="s">
        <v>28</v>
      </c>
      <c r="P9205" t="s">
        <v>5789</v>
      </c>
      <c r="Q9205">
        <v>13</v>
      </c>
      <c r="R9205">
        <v>77.585499999999996</v>
      </c>
    </row>
    <row r="9206" spans="1:18" x14ac:dyDescent="0.2">
      <c r="A9206" t="s">
        <v>439</v>
      </c>
      <c r="B9206" t="s">
        <v>4321</v>
      </c>
      <c r="C9206">
        <v>1</v>
      </c>
      <c r="D9206" s="1">
        <v>44272.854791666665</v>
      </c>
      <c r="E9206" t="s">
        <v>28787</v>
      </c>
      <c r="F9206" t="s">
        <v>442</v>
      </c>
      <c r="G9206" t="s">
        <v>28788</v>
      </c>
      <c r="H9206" t="s">
        <v>444</v>
      </c>
      <c r="I9206" t="s">
        <v>29</v>
      </c>
      <c r="J9206">
        <v>1</v>
      </c>
      <c r="K9206">
        <f>1-833-419-1543</f>
        <v>-2794</v>
      </c>
      <c r="L9206" t="s">
        <v>28789</v>
      </c>
      <c r="M9206" t="s">
        <v>28790</v>
      </c>
      <c r="N9206" t="s">
        <v>447</v>
      </c>
      <c r="O9206" t="s">
        <v>28</v>
      </c>
      <c r="P9206" t="s">
        <v>29</v>
      </c>
      <c r="Q9206">
        <v>42</v>
      </c>
      <c r="R9206">
        <v>-87.629800000000003</v>
      </c>
    </row>
    <row r="9207" spans="1:18" x14ac:dyDescent="0.2">
      <c r="A9207" t="s">
        <v>439</v>
      </c>
      <c r="B9207" t="s">
        <v>4321</v>
      </c>
      <c r="C9207">
        <v>1</v>
      </c>
      <c r="D9207" s="1">
        <v>44272.857349537036</v>
      </c>
      <c r="E9207" t="s">
        <v>28791</v>
      </c>
      <c r="F9207" t="s">
        <v>442</v>
      </c>
      <c r="G9207" t="s">
        <v>28792</v>
      </c>
      <c r="H9207" t="s">
        <v>444</v>
      </c>
      <c r="I9207" t="s">
        <v>29</v>
      </c>
      <c r="J9207">
        <v>1</v>
      </c>
      <c r="K9207">
        <f>1-833-220-3029</f>
        <v>-4081</v>
      </c>
      <c r="L9207" t="s">
        <v>28793</v>
      </c>
      <c r="M9207" t="s">
        <v>28794</v>
      </c>
      <c r="N9207" t="s">
        <v>213</v>
      </c>
      <c r="O9207" t="s">
        <v>28</v>
      </c>
      <c r="P9207" t="s">
        <v>29</v>
      </c>
      <c r="Q9207">
        <v>42</v>
      </c>
      <c r="R9207">
        <v>-87.629800000000003</v>
      </c>
    </row>
    <row r="9208" spans="1:18" x14ac:dyDescent="0.2">
      <c r="A9208" t="s">
        <v>439</v>
      </c>
      <c r="B9208" t="s">
        <v>4321</v>
      </c>
      <c r="C9208">
        <v>1</v>
      </c>
      <c r="D9208" s="1">
        <v>44272.859375</v>
      </c>
      <c r="E9208" t="s">
        <v>28795</v>
      </c>
      <c r="F9208" t="s">
        <v>442</v>
      </c>
      <c r="G9208" t="s">
        <v>28796</v>
      </c>
      <c r="H9208" t="s">
        <v>444</v>
      </c>
      <c r="I9208" t="s">
        <v>29</v>
      </c>
      <c r="J9208">
        <v>1</v>
      </c>
      <c r="K9208">
        <f>1-833-220-3734</f>
        <v>-4786</v>
      </c>
      <c r="L9208" t="s">
        <v>28797</v>
      </c>
      <c r="M9208" t="s">
        <v>28798</v>
      </c>
      <c r="N9208" t="s">
        <v>3441</v>
      </c>
      <c r="O9208" t="s">
        <v>28</v>
      </c>
      <c r="P9208" t="s">
        <v>29</v>
      </c>
      <c r="Q9208">
        <v>42</v>
      </c>
      <c r="R9208">
        <v>-87.629800000000003</v>
      </c>
    </row>
    <row r="9209" spans="1:18" x14ac:dyDescent="0.2">
      <c r="A9209" t="s">
        <v>439</v>
      </c>
      <c r="B9209" t="s">
        <v>4321</v>
      </c>
      <c r="C9209">
        <v>1</v>
      </c>
      <c r="D9209" s="1">
        <v>44272.861006944448</v>
      </c>
      <c r="E9209" t="s">
        <v>28799</v>
      </c>
      <c r="F9209" t="s">
        <v>442</v>
      </c>
      <c r="G9209" t="s">
        <v>28800</v>
      </c>
      <c r="H9209" t="s">
        <v>444</v>
      </c>
      <c r="I9209" t="s">
        <v>29</v>
      </c>
      <c r="J9209">
        <v>1</v>
      </c>
      <c r="K9209">
        <f>1-844-885-6601</f>
        <v>-8329</v>
      </c>
      <c r="L9209" t="s">
        <v>28801</v>
      </c>
      <c r="M9209" t="s">
        <v>28802</v>
      </c>
      <c r="N9209" t="s">
        <v>447</v>
      </c>
      <c r="O9209" t="s">
        <v>28</v>
      </c>
      <c r="P9209" t="s">
        <v>29</v>
      </c>
      <c r="Q9209">
        <v>42</v>
      </c>
      <c r="R9209">
        <v>-87.629800000000003</v>
      </c>
    </row>
    <row r="9210" spans="1:18" x14ac:dyDescent="0.2">
      <c r="A9210" t="s">
        <v>663</v>
      </c>
      <c r="B9210" t="s">
        <v>3245</v>
      </c>
      <c r="C9210">
        <v>1</v>
      </c>
      <c r="D9210" s="1">
        <v>44272.881423611114</v>
      </c>
      <c r="E9210" t="s">
        <v>28803</v>
      </c>
      <c r="F9210" t="s">
        <v>666</v>
      </c>
      <c r="G9210" t="s">
        <v>28804</v>
      </c>
      <c r="H9210" t="s">
        <v>667</v>
      </c>
      <c r="I9210" t="s">
        <v>29</v>
      </c>
      <c r="J9210">
        <v>1</v>
      </c>
      <c r="K9210">
        <f>1-855-574-1736</f>
        <v>-3164</v>
      </c>
      <c r="L9210" s="2" t="s">
        <v>28805</v>
      </c>
      <c r="M9210" t="s">
        <v>28806</v>
      </c>
      <c r="N9210" t="s">
        <v>447</v>
      </c>
      <c r="O9210" t="s">
        <v>28</v>
      </c>
      <c r="P9210" t="s">
        <v>29</v>
      </c>
      <c r="Q9210">
        <v>41</v>
      </c>
      <c r="R9210">
        <v>-74.140299999999996</v>
      </c>
    </row>
    <row r="9211" spans="1:18" x14ac:dyDescent="0.2">
      <c r="A9211" t="s">
        <v>439</v>
      </c>
      <c r="B9211" t="s">
        <v>4321</v>
      </c>
      <c r="C9211">
        <v>1</v>
      </c>
      <c r="D9211" s="1">
        <v>44274.860844907409</v>
      </c>
      <c r="E9211" t="s">
        <v>28807</v>
      </c>
      <c r="F9211" t="s">
        <v>442</v>
      </c>
      <c r="G9211" t="s">
        <v>28808</v>
      </c>
      <c r="H9211" t="s">
        <v>444</v>
      </c>
      <c r="I9211" t="s">
        <v>29</v>
      </c>
      <c r="J9211">
        <v>1</v>
      </c>
      <c r="K9211">
        <f>1-833-220-3053</f>
        <v>-4105</v>
      </c>
      <c r="L9211" t="s">
        <v>28809</v>
      </c>
      <c r="M9211" t="s">
        <v>28810</v>
      </c>
      <c r="N9211" t="s">
        <v>447</v>
      </c>
      <c r="O9211" t="s">
        <v>28</v>
      </c>
      <c r="P9211" t="s">
        <v>29</v>
      </c>
      <c r="Q9211">
        <v>42</v>
      </c>
      <c r="R9211">
        <v>-87.629800000000003</v>
      </c>
    </row>
    <row r="9212" spans="1:18" x14ac:dyDescent="0.2">
      <c r="A9212" t="s">
        <v>439</v>
      </c>
      <c r="B9212" t="s">
        <v>4321</v>
      </c>
      <c r="C9212">
        <v>1</v>
      </c>
      <c r="D9212" s="1">
        <v>44277.655162037037</v>
      </c>
      <c r="E9212" t="s">
        <v>28811</v>
      </c>
      <c r="F9212" t="s">
        <v>442</v>
      </c>
      <c r="G9212" t="s">
        <v>28812</v>
      </c>
      <c r="H9212" t="s">
        <v>444</v>
      </c>
      <c r="I9212" t="s">
        <v>29</v>
      </c>
      <c r="J9212">
        <v>1</v>
      </c>
      <c r="K9212">
        <f>1-844-243-4064</f>
        <v>-5150</v>
      </c>
      <c r="L9212" t="s">
        <v>28813</v>
      </c>
      <c r="M9212" t="s">
        <v>28814</v>
      </c>
      <c r="N9212" t="s">
        <v>3441</v>
      </c>
      <c r="O9212" t="s">
        <v>28</v>
      </c>
      <c r="P9212" t="s">
        <v>29</v>
      </c>
      <c r="Q9212">
        <v>42</v>
      </c>
      <c r="R9212">
        <v>-87.629800000000003</v>
      </c>
    </row>
    <row r="9213" spans="1:18" x14ac:dyDescent="0.2">
      <c r="A9213" t="s">
        <v>439</v>
      </c>
      <c r="B9213" t="s">
        <v>4321</v>
      </c>
      <c r="C9213">
        <v>1</v>
      </c>
      <c r="D9213" s="1">
        <v>44277.654918981483</v>
      </c>
      <c r="E9213" t="s">
        <v>28811</v>
      </c>
      <c r="F9213" t="s">
        <v>442</v>
      </c>
      <c r="G9213" t="s">
        <v>28812</v>
      </c>
      <c r="H9213" t="s">
        <v>444</v>
      </c>
      <c r="I9213" t="s">
        <v>29</v>
      </c>
      <c r="J9213">
        <v>1</v>
      </c>
      <c r="K9213">
        <f>1-888-340-4348</f>
        <v>-5575</v>
      </c>
      <c r="L9213" t="s">
        <v>28815</v>
      </c>
      <c r="M9213" t="s">
        <v>28816</v>
      </c>
      <c r="N9213" t="s">
        <v>3441</v>
      </c>
      <c r="O9213" t="s">
        <v>28</v>
      </c>
      <c r="P9213" t="s">
        <v>29</v>
      </c>
      <c r="Q9213">
        <v>42</v>
      </c>
      <c r="R9213">
        <v>-87.629800000000003</v>
      </c>
    </row>
    <row r="9214" spans="1:18" x14ac:dyDescent="0.2">
      <c r="A9214" t="s">
        <v>663</v>
      </c>
      <c r="B9214" t="s">
        <v>2493</v>
      </c>
      <c r="C9214">
        <v>1</v>
      </c>
      <c r="D9214" s="1">
        <v>44277.664976851855</v>
      </c>
      <c r="E9214" t="s">
        <v>28817</v>
      </c>
      <c r="F9214" t="s">
        <v>666</v>
      </c>
      <c r="G9214" t="s">
        <v>28817</v>
      </c>
      <c r="H9214" t="s">
        <v>667</v>
      </c>
      <c r="I9214" t="s">
        <v>29</v>
      </c>
      <c r="J9214">
        <v>1</v>
      </c>
      <c r="K9214">
        <f>1-888-308-5938</f>
        <v>-7133</v>
      </c>
      <c r="L9214" t="s">
        <v>28818</v>
      </c>
      <c r="M9214" t="s">
        <v>28819</v>
      </c>
      <c r="N9214">
        <v>198</v>
      </c>
      <c r="O9214" t="s">
        <v>134</v>
      </c>
      <c r="P9214" t="s">
        <v>29</v>
      </c>
      <c r="Q9214">
        <v>41</v>
      </c>
      <c r="R9214">
        <v>-74.024699999999996</v>
      </c>
    </row>
    <row r="9215" spans="1:18" x14ac:dyDescent="0.2">
      <c r="A9215" t="s">
        <v>439</v>
      </c>
      <c r="B9215" t="s">
        <v>4321</v>
      </c>
      <c r="C9215">
        <v>1</v>
      </c>
      <c r="D9215" s="1">
        <v>44277.829768518517</v>
      </c>
      <c r="E9215" t="s">
        <v>28820</v>
      </c>
      <c r="F9215" t="s">
        <v>442</v>
      </c>
      <c r="G9215" t="s">
        <v>28821</v>
      </c>
      <c r="H9215" t="s">
        <v>444</v>
      </c>
      <c r="I9215" t="s">
        <v>29</v>
      </c>
      <c r="J9215">
        <v>1</v>
      </c>
      <c r="K9215">
        <f>1-888-340-4348</f>
        <v>-5575</v>
      </c>
      <c r="L9215" t="s">
        <v>28822</v>
      </c>
      <c r="M9215" t="s">
        <v>28823</v>
      </c>
      <c r="N9215" t="s">
        <v>3441</v>
      </c>
      <c r="O9215" t="s">
        <v>28</v>
      </c>
      <c r="P9215" t="s">
        <v>29</v>
      </c>
      <c r="Q9215">
        <v>42</v>
      </c>
      <c r="R9215">
        <v>-87.629800000000003</v>
      </c>
    </row>
    <row r="9216" spans="1:18" x14ac:dyDescent="0.2">
      <c r="A9216" t="s">
        <v>663</v>
      </c>
      <c r="B9216" t="s">
        <v>2500</v>
      </c>
      <c r="C9216">
        <v>1</v>
      </c>
      <c r="D9216" s="1">
        <v>44272.930625000001</v>
      </c>
      <c r="E9216" t="s">
        <v>28824</v>
      </c>
      <c r="F9216" t="s">
        <v>666</v>
      </c>
      <c r="G9216" t="s">
        <v>28824</v>
      </c>
      <c r="H9216" t="s">
        <v>667</v>
      </c>
      <c r="I9216" t="s">
        <v>29</v>
      </c>
      <c r="J9216">
        <v>1</v>
      </c>
      <c r="K9216">
        <f>1-888-381-8405</f>
        <v>-9673</v>
      </c>
      <c r="L9216" t="s">
        <v>28825</v>
      </c>
      <c r="M9216" t="s">
        <v>28826</v>
      </c>
      <c r="N9216">
        <v>186</v>
      </c>
      <c r="O9216" t="s">
        <v>134</v>
      </c>
      <c r="P9216" t="s">
        <v>2500</v>
      </c>
      <c r="Q9216">
        <v>1</v>
      </c>
      <c r="R9216">
        <v>99.999999000000003</v>
      </c>
    </row>
    <row r="9217" spans="1:18" x14ac:dyDescent="0.2">
      <c r="A9217" t="s">
        <v>663</v>
      </c>
      <c r="B9217" t="s">
        <v>2500</v>
      </c>
      <c r="C9217">
        <v>1</v>
      </c>
      <c r="D9217" s="1">
        <v>44272.930486111109</v>
      </c>
      <c r="E9217" t="s">
        <v>28824</v>
      </c>
      <c r="F9217" t="s">
        <v>666</v>
      </c>
      <c r="G9217" t="s">
        <v>28824</v>
      </c>
      <c r="H9217" t="s">
        <v>667</v>
      </c>
      <c r="I9217" t="s">
        <v>29</v>
      </c>
      <c r="J9217">
        <v>1</v>
      </c>
      <c r="K9217">
        <f>1-888-336-9601</f>
        <v>-10824</v>
      </c>
      <c r="L9217" t="s">
        <v>28827</v>
      </c>
      <c r="M9217" t="s">
        <v>28826</v>
      </c>
      <c r="N9217">
        <v>186</v>
      </c>
      <c r="O9217" t="s">
        <v>134</v>
      </c>
      <c r="P9217" t="s">
        <v>2500</v>
      </c>
      <c r="Q9217">
        <v>1</v>
      </c>
      <c r="R9217">
        <v>99.999999000000003</v>
      </c>
    </row>
    <row r="9218" spans="1:18" x14ac:dyDescent="0.2">
      <c r="A9218" t="s">
        <v>663</v>
      </c>
      <c r="B9218" t="s">
        <v>2500</v>
      </c>
      <c r="C9218">
        <v>1</v>
      </c>
      <c r="D9218" s="1">
        <v>44272.930347222224</v>
      </c>
      <c r="E9218" t="s">
        <v>28824</v>
      </c>
      <c r="F9218" t="s">
        <v>666</v>
      </c>
      <c r="G9218" t="s">
        <v>28824</v>
      </c>
      <c r="H9218" t="s">
        <v>667</v>
      </c>
      <c r="I9218" t="s">
        <v>29</v>
      </c>
      <c r="J9218">
        <v>1</v>
      </c>
      <c r="K9218">
        <f>1-888-347-4016</f>
        <v>-5250</v>
      </c>
      <c r="L9218" t="s">
        <v>28828</v>
      </c>
      <c r="M9218" t="s">
        <v>28826</v>
      </c>
      <c r="N9218">
        <v>186</v>
      </c>
      <c r="O9218" t="s">
        <v>134</v>
      </c>
      <c r="P9218" t="s">
        <v>2500</v>
      </c>
      <c r="Q9218">
        <v>1</v>
      </c>
      <c r="R9218">
        <v>99.999999000000003</v>
      </c>
    </row>
    <row r="9219" spans="1:18" x14ac:dyDescent="0.2">
      <c r="A9219" t="s">
        <v>663</v>
      </c>
      <c r="B9219" t="s">
        <v>2500</v>
      </c>
      <c r="C9219">
        <v>1</v>
      </c>
      <c r="D9219" s="1">
        <v>44272.930173611108</v>
      </c>
      <c r="E9219" t="s">
        <v>28824</v>
      </c>
      <c r="F9219" t="s">
        <v>666</v>
      </c>
      <c r="G9219" t="s">
        <v>28824</v>
      </c>
      <c r="H9219" t="s">
        <v>667</v>
      </c>
      <c r="I9219" t="s">
        <v>29</v>
      </c>
      <c r="J9219">
        <v>1</v>
      </c>
      <c r="K9219">
        <f>1-844-385-4415</f>
        <v>-5643</v>
      </c>
      <c r="L9219" t="s">
        <v>28829</v>
      </c>
      <c r="M9219" t="s">
        <v>28826</v>
      </c>
      <c r="N9219">
        <v>186</v>
      </c>
      <c r="O9219" t="s">
        <v>134</v>
      </c>
      <c r="P9219" t="s">
        <v>2500</v>
      </c>
      <c r="Q9219">
        <v>1</v>
      </c>
      <c r="R9219">
        <v>99.999999000000003</v>
      </c>
    </row>
    <row r="9220" spans="1:18" x14ac:dyDescent="0.2">
      <c r="A9220" t="s">
        <v>663</v>
      </c>
      <c r="B9220" t="s">
        <v>2500</v>
      </c>
      <c r="C9220">
        <v>1</v>
      </c>
      <c r="D9220" s="1">
        <v>44272.930150462962</v>
      </c>
      <c r="E9220" t="s">
        <v>28824</v>
      </c>
      <c r="F9220" t="s">
        <v>666</v>
      </c>
      <c r="G9220" t="s">
        <v>28824</v>
      </c>
      <c r="H9220" t="s">
        <v>667</v>
      </c>
      <c r="I9220" t="s">
        <v>29</v>
      </c>
      <c r="J9220">
        <v>1</v>
      </c>
      <c r="K9220">
        <f>1-844-385-5806</f>
        <v>-7034</v>
      </c>
      <c r="L9220" t="s">
        <v>28830</v>
      </c>
      <c r="M9220" t="s">
        <v>28826</v>
      </c>
      <c r="N9220">
        <v>186</v>
      </c>
      <c r="O9220" t="s">
        <v>134</v>
      </c>
      <c r="P9220" t="s">
        <v>2500</v>
      </c>
      <c r="Q9220">
        <v>1</v>
      </c>
      <c r="R9220">
        <v>99.999999000000003</v>
      </c>
    </row>
    <row r="9221" spans="1:18" x14ac:dyDescent="0.2">
      <c r="A9221" t="s">
        <v>663</v>
      </c>
      <c r="B9221" t="s">
        <v>2500</v>
      </c>
      <c r="C9221">
        <v>1</v>
      </c>
      <c r="D9221" s="1">
        <v>44272.929895833331</v>
      </c>
      <c r="E9221" t="s">
        <v>28824</v>
      </c>
      <c r="F9221" t="s">
        <v>666</v>
      </c>
      <c r="G9221" t="s">
        <v>28824</v>
      </c>
      <c r="H9221" t="s">
        <v>667</v>
      </c>
      <c r="I9221" t="s">
        <v>29</v>
      </c>
      <c r="J9221">
        <v>1</v>
      </c>
      <c r="K9221">
        <f>1-888-346-5814</f>
        <v>-7047</v>
      </c>
      <c r="L9221" t="s">
        <v>28831</v>
      </c>
      <c r="M9221" t="s">
        <v>28826</v>
      </c>
      <c r="N9221">
        <v>186</v>
      </c>
      <c r="O9221" t="s">
        <v>134</v>
      </c>
      <c r="P9221" t="s">
        <v>2500</v>
      </c>
      <c r="Q9221">
        <v>1</v>
      </c>
      <c r="R9221">
        <v>99.999999000000003</v>
      </c>
    </row>
    <row r="9222" spans="1:18" x14ac:dyDescent="0.2">
      <c r="A9222" t="s">
        <v>663</v>
      </c>
      <c r="B9222" t="s">
        <v>2500</v>
      </c>
      <c r="C9222">
        <v>1</v>
      </c>
      <c r="D9222" s="1">
        <v>44272.924618055556</v>
      </c>
      <c r="E9222" t="s">
        <v>28824</v>
      </c>
      <c r="F9222" t="s">
        <v>666</v>
      </c>
      <c r="G9222" t="s">
        <v>28824</v>
      </c>
      <c r="H9222" t="s">
        <v>667</v>
      </c>
      <c r="I9222" t="s">
        <v>29</v>
      </c>
      <c r="J9222">
        <v>1</v>
      </c>
      <c r="K9222">
        <f>1-888-332-9179</f>
        <v>-10398</v>
      </c>
      <c r="L9222" t="s">
        <v>28832</v>
      </c>
      <c r="M9222" t="s">
        <v>28826</v>
      </c>
      <c r="N9222">
        <v>186</v>
      </c>
      <c r="O9222" t="s">
        <v>134</v>
      </c>
      <c r="P9222" t="s">
        <v>2500</v>
      </c>
      <c r="Q9222">
        <v>1</v>
      </c>
      <c r="R9222">
        <v>99.999999000000003</v>
      </c>
    </row>
    <row r="9223" spans="1:18" x14ac:dyDescent="0.2">
      <c r="A9223" t="s">
        <v>663</v>
      </c>
      <c r="B9223" t="s">
        <v>2500</v>
      </c>
      <c r="C9223">
        <v>1</v>
      </c>
      <c r="D9223" s="1">
        <v>44272.924537037034</v>
      </c>
      <c r="E9223" t="s">
        <v>28824</v>
      </c>
      <c r="F9223" t="s">
        <v>666</v>
      </c>
      <c r="G9223" t="s">
        <v>28824</v>
      </c>
      <c r="H9223" t="s">
        <v>667</v>
      </c>
      <c r="I9223" t="s">
        <v>29</v>
      </c>
      <c r="J9223">
        <v>1</v>
      </c>
      <c r="K9223">
        <f>1-888-342-4361</f>
        <v>-5590</v>
      </c>
      <c r="L9223" s="2" t="s">
        <v>28833</v>
      </c>
      <c r="M9223" t="s">
        <v>28826</v>
      </c>
      <c r="N9223">
        <v>186</v>
      </c>
      <c r="O9223" t="s">
        <v>134</v>
      </c>
      <c r="P9223" t="s">
        <v>2500</v>
      </c>
      <c r="Q9223">
        <v>1</v>
      </c>
      <c r="R9223">
        <v>99.999999000000003</v>
      </c>
    </row>
    <row r="9224" spans="1:18" x14ac:dyDescent="0.2">
      <c r="A9224" t="s">
        <v>663</v>
      </c>
      <c r="B9224" t="s">
        <v>2500</v>
      </c>
      <c r="C9224">
        <v>1</v>
      </c>
      <c r="D9224" s="1">
        <v>44272.924513888887</v>
      </c>
      <c r="E9224" t="s">
        <v>28824</v>
      </c>
      <c r="F9224" t="s">
        <v>666</v>
      </c>
      <c r="G9224" t="s">
        <v>28824</v>
      </c>
      <c r="H9224" t="s">
        <v>667</v>
      </c>
      <c r="I9224" t="s">
        <v>29</v>
      </c>
      <c r="J9224">
        <v>1</v>
      </c>
      <c r="K9224">
        <f>1-888-346-7472</f>
        <v>-8705</v>
      </c>
      <c r="L9224" t="s">
        <v>28834</v>
      </c>
      <c r="M9224" t="s">
        <v>28826</v>
      </c>
      <c r="N9224">
        <v>186</v>
      </c>
      <c r="O9224" t="s">
        <v>134</v>
      </c>
      <c r="P9224" t="s">
        <v>2500</v>
      </c>
      <c r="Q9224">
        <v>1</v>
      </c>
      <c r="R9224">
        <v>99.999999000000003</v>
      </c>
    </row>
    <row r="9225" spans="1:18" x14ac:dyDescent="0.2">
      <c r="A9225" t="s">
        <v>663</v>
      </c>
      <c r="B9225" t="s">
        <v>2500</v>
      </c>
      <c r="C9225">
        <v>1</v>
      </c>
      <c r="D9225" s="1">
        <v>44272.924490740741</v>
      </c>
      <c r="E9225" t="s">
        <v>28824</v>
      </c>
      <c r="F9225" t="s">
        <v>666</v>
      </c>
      <c r="G9225" t="s">
        <v>28824</v>
      </c>
      <c r="H9225" t="s">
        <v>667</v>
      </c>
      <c r="I9225" t="s">
        <v>29</v>
      </c>
      <c r="J9225">
        <v>1</v>
      </c>
      <c r="K9225">
        <f>1-888-348-9121</f>
        <v>-10356</v>
      </c>
      <c r="L9225" t="s">
        <v>28835</v>
      </c>
      <c r="M9225" t="s">
        <v>28826</v>
      </c>
      <c r="N9225">
        <v>186</v>
      </c>
      <c r="O9225" t="s">
        <v>134</v>
      </c>
      <c r="P9225" t="s">
        <v>2500</v>
      </c>
      <c r="Q9225">
        <v>1</v>
      </c>
      <c r="R9225">
        <v>99.999999000000003</v>
      </c>
    </row>
    <row r="9226" spans="1:18" x14ac:dyDescent="0.2">
      <c r="A9226" t="s">
        <v>663</v>
      </c>
      <c r="B9226" t="s">
        <v>2500</v>
      </c>
      <c r="C9226">
        <v>1</v>
      </c>
      <c r="D9226" s="1">
        <v>44272.924444444441</v>
      </c>
      <c r="E9226" t="s">
        <v>28824</v>
      </c>
      <c r="F9226" t="s">
        <v>666</v>
      </c>
      <c r="G9226" t="s">
        <v>28824</v>
      </c>
      <c r="H9226" t="s">
        <v>667</v>
      </c>
      <c r="I9226" t="s">
        <v>29</v>
      </c>
      <c r="J9226">
        <v>1</v>
      </c>
      <c r="K9226">
        <f>1-888-355-9304</f>
        <v>-10546</v>
      </c>
      <c r="L9226" t="s">
        <v>28836</v>
      </c>
      <c r="M9226" t="s">
        <v>28826</v>
      </c>
      <c r="N9226">
        <v>186</v>
      </c>
      <c r="O9226" t="s">
        <v>134</v>
      </c>
      <c r="P9226" t="s">
        <v>2500</v>
      </c>
      <c r="Q9226">
        <v>1</v>
      </c>
      <c r="R9226">
        <v>99.999999000000003</v>
      </c>
    </row>
    <row r="9227" spans="1:18" x14ac:dyDescent="0.2">
      <c r="A9227" t="s">
        <v>663</v>
      </c>
      <c r="B9227" t="s">
        <v>2500</v>
      </c>
      <c r="C9227">
        <v>1</v>
      </c>
      <c r="D9227" s="1">
        <v>44272.924432870372</v>
      </c>
      <c r="E9227" t="s">
        <v>28824</v>
      </c>
      <c r="F9227" t="s">
        <v>666</v>
      </c>
      <c r="G9227" t="s">
        <v>28824</v>
      </c>
      <c r="H9227" t="s">
        <v>667</v>
      </c>
      <c r="I9227" t="s">
        <v>29</v>
      </c>
      <c r="J9227">
        <v>1</v>
      </c>
      <c r="K9227">
        <f>1-888-356-9684</f>
        <v>-10927</v>
      </c>
      <c r="L9227" t="s">
        <v>28837</v>
      </c>
      <c r="M9227" t="s">
        <v>28826</v>
      </c>
      <c r="N9227">
        <v>186</v>
      </c>
      <c r="O9227" t="s">
        <v>134</v>
      </c>
      <c r="P9227" t="s">
        <v>2500</v>
      </c>
      <c r="Q9227">
        <v>1</v>
      </c>
      <c r="R9227">
        <v>99.999999000000003</v>
      </c>
    </row>
    <row r="9228" spans="1:18" x14ac:dyDescent="0.2">
      <c r="A9228" t="s">
        <v>663</v>
      </c>
      <c r="B9228" t="s">
        <v>2500</v>
      </c>
      <c r="C9228">
        <v>1</v>
      </c>
      <c r="D9228" s="1">
        <v>44272.924432870372</v>
      </c>
      <c r="E9228" t="s">
        <v>28824</v>
      </c>
      <c r="F9228" t="s">
        <v>666</v>
      </c>
      <c r="G9228" t="s">
        <v>28824</v>
      </c>
      <c r="H9228" t="s">
        <v>667</v>
      </c>
      <c r="I9228" t="s">
        <v>29</v>
      </c>
      <c r="J9228">
        <v>1</v>
      </c>
      <c r="K9228">
        <f>1-888-357-1363</f>
        <v>-2607</v>
      </c>
      <c r="L9228" t="s">
        <v>28838</v>
      </c>
      <c r="M9228" t="s">
        <v>28826</v>
      </c>
      <c r="N9228">
        <v>186</v>
      </c>
      <c r="O9228" t="s">
        <v>134</v>
      </c>
      <c r="P9228" t="s">
        <v>2500</v>
      </c>
      <c r="Q9228">
        <v>1</v>
      </c>
      <c r="R9228">
        <v>99.999999000000003</v>
      </c>
    </row>
    <row r="9229" spans="1:18" x14ac:dyDescent="0.2">
      <c r="A9229" t="s">
        <v>663</v>
      </c>
      <c r="B9229" t="s">
        <v>2500</v>
      </c>
      <c r="C9229">
        <v>1</v>
      </c>
      <c r="D9229" s="1">
        <v>44272.924421296295</v>
      </c>
      <c r="E9229" t="s">
        <v>28824</v>
      </c>
      <c r="F9229" t="s">
        <v>666</v>
      </c>
      <c r="G9229" t="s">
        <v>28824</v>
      </c>
      <c r="H9229" t="s">
        <v>667</v>
      </c>
      <c r="I9229" t="s">
        <v>29</v>
      </c>
      <c r="J9229">
        <v>1</v>
      </c>
      <c r="K9229">
        <f>1-888-363-2849</f>
        <v>-4099</v>
      </c>
      <c r="L9229">
        <v>6052706993025</v>
      </c>
      <c r="M9229" t="s">
        <v>28826</v>
      </c>
      <c r="N9229">
        <v>186</v>
      </c>
      <c r="O9229" t="s">
        <v>134</v>
      </c>
      <c r="P9229" t="s">
        <v>2500</v>
      </c>
      <c r="Q9229">
        <v>1</v>
      </c>
      <c r="R9229">
        <v>99.999999000000003</v>
      </c>
    </row>
    <row r="9230" spans="1:18" x14ac:dyDescent="0.2">
      <c r="A9230" t="s">
        <v>663</v>
      </c>
      <c r="B9230" t="s">
        <v>2500</v>
      </c>
      <c r="C9230">
        <v>1</v>
      </c>
      <c r="D9230" s="1">
        <v>44272.924386574072</v>
      </c>
      <c r="E9230" t="s">
        <v>28824</v>
      </c>
      <c r="F9230" t="s">
        <v>666</v>
      </c>
      <c r="G9230" t="s">
        <v>28824</v>
      </c>
      <c r="H9230" t="s">
        <v>667</v>
      </c>
      <c r="I9230" t="s">
        <v>29</v>
      </c>
      <c r="J9230">
        <v>1</v>
      </c>
      <c r="K9230">
        <f>1-888-372-8693</f>
        <v>-9952</v>
      </c>
      <c r="L9230" t="s">
        <v>28839</v>
      </c>
      <c r="M9230" t="s">
        <v>28826</v>
      </c>
      <c r="N9230">
        <v>186</v>
      </c>
      <c r="O9230" t="s">
        <v>134</v>
      </c>
      <c r="P9230" t="s">
        <v>2500</v>
      </c>
      <c r="Q9230">
        <v>1</v>
      </c>
      <c r="R9230">
        <v>99.999999000000003</v>
      </c>
    </row>
    <row r="9231" spans="1:18" x14ac:dyDescent="0.2">
      <c r="A9231" t="s">
        <v>663</v>
      </c>
      <c r="B9231" t="s">
        <v>2500</v>
      </c>
      <c r="C9231">
        <v>1</v>
      </c>
      <c r="D9231" s="1">
        <v>44272.924351851849</v>
      </c>
      <c r="E9231" t="s">
        <v>28824</v>
      </c>
      <c r="F9231" t="s">
        <v>666</v>
      </c>
      <c r="G9231" t="s">
        <v>28824</v>
      </c>
      <c r="H9231" t="s">
        <v>667</v>
      </c>
      <c r="I9231" t="s">
        <v>29</v>
      </c>
      <c r="J9231">
        <v>1</v>
      </c>
      <c r="K9231">
        <f>1-888-592-9798</f>
        <v>-11277</v>
      </c>
      <c r="L9231" t="s">
        <v>28840</v>
      </c>
      <c r="M9231" t="s">
        <v>28826</v>
      </c>
      <c r="N9231">
        <v>186</v>
      </c>
      <c r="O9231" t="s">
        <v>134</v>
      </c>
      <c r="P9231" t="s">
        <v>2500</v>
      </c>
      <c r="Q9231">
        <v>1</v>
      </c>
      <c r="R9231">
        <v>99.999999000000003</v>
      </c>
    </row>
    <row r="9232" spans="1:18" x14ac:dyDescent="0.2">
      <c r="A9232" t="s">
        <v>663</v>
      </c>
      <c r="B9232" t="s">
        <v>2500</v>
      </c>
      <c r="C9232">
        <v>1</v>
      </c>
      <c r="D9232" s="1">
        <v>44272.924340277779</v>
      </c>
      <c r="E9232" t="s">
        <v>28824</v>
      </c>
      <c r="F9232" t="s">
        <v>666</v>
      </c>
      <c r="G9232" t="s">
        <v>28824</v>
      </c>
      <c r="H9232" t="s">
        <v>667</v>
      </c>
      <c r="I9232" t="s">
        <v>29</v>
      </c>
      <c r="J9232">
        <v>1</v>
      </c>
      <c r="K9232">
        <f>1-844-385-4415</f>
        <v>-5643</v>
      </c>
      <c r="L9232" t="s">
        <v>28841</v>
      </c>
      <c r="M9232" t="s">
        <v>28826</v>
      </c>
      <c r="N9232">
        <v>186</v>
      </c>
      <c r="O9232" t="s">
        <v>134</v>
      </c>
      <c r="P9232" t="s">
        <v>2500</v>
      </c>
      <c r="Q9232">
        <v>1</v>
      </c>
      <c r="R9232">
        <v>99.999999000000003</v>
      </c>
    </row>
    <row r="9233" spans="1:18" x14ac:dyDescent="0.2">
      <c r="A9233" t="s">
        <v>663</v>
      </c>
      <c r="B9233" t="s">
        <v>2500</v>
      </c>
      <c r="C9233">
        <v>1</v>
      </c>
      <c r="D9233" s="1">
        <v>44272.924328703702</v>
      </c>
      <c r="E9233" t="s">
        <v>28824</v>
      </c>
      <c r="F9233" t="s">
        <v>666</v>
      </c>
      <c r="G9233" t="s">
        <v>28824</v>
      </c>
      <c r="H9233" t="s">
        <v>667</v>
      </c>
      <c r="I9233" t="s">
        <v>29</v>
      </c>
      <c r="J9233">
        <v>1</v>
      </c>
      <c r="K9233">
        <f>1-844-385-4468</f>
        <v>-5696</v>
      </c>
      <c r="L9233" t="s">
        <v>28842</v>
      </c>
      <c r="M9233" t="s">
        <v>28826</v>
      </c>
      <c r="N9233">
        <v>186</v>
      </c>
      <c r="O9233" t="s">
        <v>134</v>
      </c>
      <c r="P9233" t="s">
        <v>2500</v>
      </c>
      <c r="Q9233">
        <v>1</v>
      </c>
      <c r="R9233">
        <v>99.999999000000003</v>
      </c>
    </row>
    <row r="9234" spans="1:18" x14ac:dyDescent="0.2">
      <c r="A9234" t="s">
        <v>663</v>
      </c>
      <c r="B9234" t="s">
        <v>2500</v>
      </c>
      <c r="C9234">
        <v>1</v>
      </c>
      <c r="D9234" s="1">
        <v>44272.924328703702</v>
      </c>
      <c r="E9234" t="s">
        <v>28824</v>
      </c>
      <c r="F9234" t="s">
        <v>666</v>
      </c>
      <c r="G9234" t="s">
        <v>28824</v>
      </c>
      <c r="H9234" t="s">
        <v>667</v>
      </c>
      <c r="I9234" t="s">
        <v>29</v>
      </c>
      <c r="J9234">
        <v>1</v>
      </c>
      <c r="K9234">
        <f>1-844-385-5591</f>
        <v>-6819</v>
      </c>
      <c r="L9234" t="s">
        <v>28843</v>
      </c>
      <c r="M9234" t="s">
        <v>28826</v>
      </c>
      <c r="N9234">
        <v>186</v>
      </c>
      <c r="O9234" t="s">
        <v>134</v>
      </c>
      <c r="P9234" t="s">
        <v>2500</v>
      </c>
      <c r="Q9234">
        <v>1</v>
      </c>
      <c r="R9234">
        <v>99.999999000000003</v>
      </c>
    </row>
    <row r="9235" spans="1:18" x14ac:dyDescent="0.2">
      <c r="A9235" t="s">
        <v>663</v>
      </c>
      <c r="B9235" t="s">
        <v>2500</v>
      </c>
      <c r="C9235">
        <v>1</v>
      </c>
      <c r="D9235" s="1">
        <v>44272.924293981479</v>
      </c>
      <c r="E9235" t="s">
        <v>28824</v>
      </c>
      <c r="F9235" t="s">
        <v>666</v>
      </c>
      <c r="G9235" t="s">
        <v>28824</v>
      </c>
      <c r="H9235" t="s">
        <v>667</v>
      </c>
      <c r="I9235" t="s">
        <v>29</v>
      </c>
      <c r="J9235">
        <v>1</v>
      </c>
      <c r="K9235">
        <f>1-844-389-9883</f>
        <v>-11115</v>
      </c>
      <c r="L9235" t="s">
        <v>28844</v>
      </c>
      <c r="M9235" t="s">
        <v>28826</v>
      </c>
      <c r="N9235">
        <v>186</v>
      </c>
      <c r="O9235" t="s">
        <v>134</v>
      </c>
      <c r="P9235" t="s">
        <v>2500</v>
      </c>
      <c r="Q9235">
        <v>1</v>
      </c>
      <c r="R9235">
        <v>99.999999000000003</v>
      </c>
    </row>
    <row r="9236" spans="1:18" x14ac:dyDescent="0.2">
      <c r="A9236" t="s">
        <v>663</v>
      </c>
      <c r="B9236" t="s">
        <v>2500</v>
      </c>
      <c r="C9236">
        <v>1</v>
      </c>
      <c r="D9236" s="1">
        <v>44272.924259259256</v>
      </c>
      <c r="E9236" t="s">
        <v>28824</v>
      </c>
      <c r="F9236" t="s">
        <v>666</v>
      </c>
      <c r="G9236" t="s">
        <v>28824</v>
      </c>
      <c r="H9236" t="s">
        <v>667</v>
      </c>
      <c r="I9236" t="s">
        <v>29</v>
      </c>
      <c r="J9236">
        <v>1</v>
      </c>
      <c r="K9236">
        <f>1-844-390-5188</f>
        <v>-6421</v>
      </c>
      <c r="L9236" t="s">
        <v>28845</v>
      </c>
      <c r="M9236" t="s">
        <v>28826</v>
      </c>
      <c r="N9236">
        <v>186</v>
      </c>
      <c r="O9236" t="s">
        <v>134</v>
      </c>
      <c r="P9236" t="s">
        <v>2500</v>
      </c>
      <c r="Q9236">
        <v>1</v>
      </c>
      <c r="R9236">
        <v>99.999999000000003</v>
      </c>
    </row>
    <row r="9237" spans="1:18" x14ac:dyDescent="0.2">
      <c r="A9237" t="s">
        <v>663</v>
      </c>
      <c r="B9237" t="s">
        <v>2500</v>
      </c>
      <c r="C9237">
        <v>1</v>
      </c>
      <c r="D9237" s="1">
        <v>44272.924155092594</v>
      </c>
      <c r="E9237" t="s">
        <v>28824</v>
      </c>
      <c r="F9237" t="s">
        <v>666</v>
      </c>
      <c r="G9237" t="s">
        <v>28824</v>
      </c>
      <c r="H9237" t="s">
        <v>667</v>
      </c>
      <c r="I9237" t="s">
        <v>29</v>
      </c>
      <c r="J9237">
        <v>1</v>
      </c>
      <c r="K9237">
        <f>1-888-360-6169</f>
        <v>-7416</v>
      </c>
      <c r="L9237" t="s">
        <v>28846</v>
      </c>
      <c r="M9237" t="s">
        <v>28826</v>
      </c>
      <c r="N9237">
        <v>186</v>
      </c>
      <c r="O9237" t="s">
        <v>134</v>
      </c>
      <c r="P9237" t="s">
        <v>2500</v>
      </c>
      <c r="Q9237">
        <v>1</v>
      </c>
      <c r="R9237">
        <v>99.999999000000003</v>
      </c>
    </row>
    <row r="9238" spans="1:18" x14ac:dyDescent="0.2">
      <c r="A9238" t="s">
        <v>663</v>
      </c>
      <c r="B9238" t="s">
        <v>2500</v>
      </c>
      <c r="C9238">
        <v>1</v>
      </c>
      <c r="D9238" s="1">
        <v>44272.92391203704</v>
      </c>
      <c r="E9238" t="s">
        <v>28824</v>
      </c>
      <c r="F9238" t="s">
        <v>666</v>
      </c>
      <c r="G9238" t="s">
        <v>28824</v>
      </c>
      <c r="H9238" t="s">
        <v>667</v>
      </c>
      <c r="I9238" t="s">
        <v>29</v>
      </c>
      <c r="J9238">
        <v>1</v>
      </c>
      <c r="K9238">
        <f>1-888-388-3346</f>
        <v>-4621</v>
      </c>
      <c r="L9238" t="s">
        <v>28847</v>
      </c>
      <c r="M9238" t="s">
        <v>28826</v>
      </c>
      <c r="N9238">
        <v>186</v>
      </c>
      <c r="O9238" t="s">
        <v>134</v>
      </c>
      <c r="P9238" t="s">
        <v>2500</v>
      </c>
      <c r="Q9238">
        <v>1</v>
      </c>
      <c r="R9238">
        <v>99.999999000000003</v>
      </c>
    </row>
    <row r="9239" spans="1:18" x14ac:dyDescent="0.2">
      <c r="A9239" t="s">
        <v>663</v>
      </c>
      <c r="B9239" t="s">
        <v>2500</v>
      </c>
      <c r="C9239">
        <v>1</v>
      </c>
      <c r="D9239" s="1">
        <v>44272.922164351854</v>
      </c>
      <c r="E9239" t="s">
        <v>28824</v>
      </c>
      <c r="F9239" t="s">
        <v>666</v>
      </c>
      <c r="G9239" t="s">
        <v>28824</v>
      </c>
      <c r="H9239" t="s">
        <v>667</v>
      </c>
      <c r="I9239" t="s">
        <v>29</v>
      </c>
      <c r="J9239">
        <v>1</v>
      </c>
      <c r="K9239">
        <f>1-888-355-9737</f>
        <v>-10979</v>
      </c>
      <c r="L9239" t="s">
        <v>28848</v>
      </c>
      <c r="M9239" t="s">
        <v>28826</v>
      </c>
      <c r="N9239">
        <v>186</v>
      </c>
      <c r="O9239" t="s">
        <v>134</v>
      </c>
      <c r="P9239" t="s">
        <v>2500</v>
      </c>
      <c r="Q9239">
        <v>1</v>
      </c>
      <c r="R9239">
        <v>99.999999000000003</v>
      </c>
    </row>
    <row r="9240" spans="1:18" x14ac:dyDescent="0.2">
      <c r="A9240" t="s">
        <v>663</v>
      </c>
      <c r="B9240" t="s">
        <v>2500</v>
      </c>
      <c r="C9240">
        <v>1</v>
      </c>
      <c r="D9240" s="1">
        <v>44272.922060185185</v>
      </c>
      <c r="E9240" t="s">
        <v>28824</v>
      </c>
      <c r="F9240" t="s">
        <v>666</v>
      </c>
      <c r="G9240" t="s">
        <v>28824</v>
      </c>
      <c r="H9240" t="s">
        <v>667</v>
      </c>
      <c r="I9240" t="s">
        <v>29</v>
      </c>
      <c r="J9240">
        <v>1</v>
      </c>
      <c r="K9240">
        <f>1-888-381-9313</f>
        <v>-10581</v>
      </c>
      <c r="L9240" t="s">
        <v>28849</v>
      </c>
      <c r="M9240" t="s">
        <v>28826</v>
      </c>
      <c r="N9240">
        <v>186</v>
      </c>
      <c r="O9240" t="s">
        <v>134</v>
      </c>
      <c r="P9240" t="s">
        <v>2500</v>
      </c>
      <c r="Q9240">
        <v>1</v>
      </c>
      <c r="R9240">
        <v>99.999999000000003</v>
      </c>
    </row>
    <row r="9241" spans="1:18" x14ac:dyDescent="0.2">
      <c r="A9241" t="s">
        <v>663</v>
      </c>
      <c r="B9241" t="s">
        <v>2500</v>
      </c>
      <c r="C9241">
        <v>1</v>
      </c>
      <c r="D9241" s="1">
        <v>44272.921967592592</v>
      </c>
      <c r="E9241" t="s">
        <v>28824</v>
      </c>
      <c r="F9241" t="s">
        <v>666</v>
      </c>
      <c r="G9241" t="s">
        <v>28824</v>
      </c>
      <c r="H9241" t="s">
        <v>667</v>
      </c>
      <c r="I9241" t="s">
        <v>29</v>
      </c>
      <c r="J9241">
        <v>1</v>
      </c>
      <c r="K9241">
        <f>1-844-389-8199</f>
        <v>-9431</v>
      </c>
      <c r="L9241" t="s">
        <v>28850</v>
      </c>
      <c r="M9241" t="s">
        <v>28826</v>
      </c>
      <c r="N9241">
        <v>186</v>
      </c>
      <c r="O9241" t="s">
        <v>134</v>
      </c>
      <c r="P9241" t="s">
        <v>2500</v>
      </c>
      <c r="Q9241">
        <v>1</v>
      </c>
      <c r="R9241">
        <v>99.999999000000003</v>
      </c>
    </row>
    <row r="9242" spans="1:18" x14ac:dyDescent="0.2">
      <c r="A9242" t="s">
        <v>663</v>
      </c>
      <c r="B9242" t="s">
        <v>2500</v>
      </c>
      <c r="C9242">
        <v>1</v>
      </c>
      <c r="D9242" s="1">
        <v>44272.921944444446</v>
      </c>
      <c r="E9242" t="s">
        <v>28824</v>
      </c>
      <c r="F9242" t="s">
        <v>666</v>
      </c>
      <c r="G9242" t="s">
        <v>28824</v>
      </c>
      <c r="H9242" t="s">
        <v>667</v>
      </c>
      <c r="I9242" t="s">
        <v>29</v>
      </c>
      <c r="J9242">
        <v>1</v>
      </c>
      <c r="K9242">
        <f>1-844-389-9870</f>
        <v>-11102</v>
      </c>
      <c r="L9242" t="s">
        <v>28851</v>
      </c>
      <c r="M9242" t="s">
        <v>28826</v>
      </c>
      <c r="N9242">
        <v>186</v>
      </c>
      <c r="O9242" t="s">
        <v>134</v>
      </c>
      <c r="P9242" t="s">
        <v>2500</v>
      </c>
      <c r="Q9242">
        <v>1</v>
      </c>
      <c r="R9242">
        <v>99.999999000000003</v>
      </c>
    </row>
    <row r="9243" spans="1:18" x14ac:dyDescent="0.2">
      <c r="A9243" t="s">
        <v>663</v>
      </c>
      <c r="B9243" t="s">
        <v>2500</v>
      </c>
      <c r="C9243">
        <v>1</v>
      </c>
      <c r="D9243" s="1">
        <v>44272.921701388892</v>
      </c>
      <c r="E9243" t="s">
        <v>28824</v>
      </c>
      <c r="F9243" t="s">
        <v>666</v>
      </c>
      <c r="G9243" t="s">
        <v>28824</v>
      </c>
      <c r="H9243" t="s">
        <v>667</v>
      </c>
      <c r="I9243" t="s">
        <v>29</v>
      </c>
      <c r="J9243">
        <v>1</v>
      </c>
      <c r="K9243">
        <f>1-888-319-9154</f>
        <v>-10360</v>
      </c>
      <c r="L9243" t="s">
        <v>28852</v>
      </c>
      <c r="M9243" t="s">
        <v>28826</v>
      </c>
      <c r="N9243">
        <v>186</v>
      </c>
      <c r="O9243" t="s">
        <v>134</v>
      </c>
      <c r="P9243" t="s">
        <v>2500</v>
      </c>
      <c r="Q9243">
        <v>1</v>
      </c>
      <c r="R9243">
        <v>99.999999000000003</v>
      </c>
    </row>
    <row r="9244" spans="1:18" x14ac:dyDescent="0.2">
      <c r="A9244" t="s">
        <v>663</v>
      </c>
      <c r="B9244" t="s">
        <v>2500</v>
      </c>
      <c r="C9244">
        <v>1</v>
      </c>
      <c r="D9244" s="1">
        <v>44272.921354166669</v>
      </c>
      <c r="E9244" t="s">
        <v>28824</v>
      </c>
      <c r="F9244" t="s">
        <v>666</v>
      </c>
      <c r="G9244" t="s">
        <v>28824</v>
      </c>
      <c r="H9244" t="s">
        <v>667</v>
      </c>
      <c r="I9244" t="s">
        <v>29</v>
      </c>
      <c r="J9244">
        <v>1</v>
      </c>
      <c r="K9244">
        <f>1-888-401-3297</f>
        <v>-4585</v>
      </c>
      <c r="L9244" t="s">
        <v>28853</v>
      </c>
      <c r="M9244" t="s">
        <v>28826</v>
      </c>
      <c r="N9244">
        <v>186</v>
      </c>
      <c r="O9244" t="s">
        <v>134</v>
      </c>
      <c r="P9244" t="s">
        <v>2500</v>
      </c>
      <c r="Q9244">
        <v>1</v>
      </c>
      <c r="R9244">
        <v>99.999999000000003</v>
      </c>
    </row>
    <row r="9245" spans="1:18" x14ac:dyDescent="0.2">
      <c r="A9245" t="s">
        <v>663</v>
      </c>
      <c r="B9245" t="s">
        <v>2500</v>
      </c>
      <c r="C9245">
        <v>1</v>
      </c>
      <c r="D9245" s="1">
        <v>44272.921261574076</v>
      </c>
      <c r="E9245" t="s">
        <v>28824</v>
      </c>
      <c r="F9245" t="s">
        <v>666</v>
      </c>
      <c r="G9245" t="s">
        <v>28824</v>
      </c>
      <c r="H9245" t="s">
        <v>667</v>
      </c>
      <c r="I9245" t="s">
        <v>29</v>
      </c>
      <c r="J9245">
        <v>1</v>
      </c>
      <c r="K9245">
        <f>1-888-331-9245</f>
        <v>-10463</v>
      </c>
      <c r="L9245" t="s">
        <v>28854</v>
      </c>
      <c r="M9245" t="s">
        <v>28826</v>
      </c>
      <c r="N9245">
        <v>186</v>
      </c>
      <c r="O9245" t="s">
        <v>134</v>
      </c>
      <c r="P9245" t="s">
        <v>2500</v>
      </c>
      <c r="Q9245">
        <v>1</v>
      </c>
      <c r="R9245">
        <v>99.999999000000003</v>
      </c>
    </row>
    <row r="9246" spans="1:18" x14ac:dyDescent="0.2">
      <c r="A9246" t="s">
        <v>663</v>
      </c>
      <c r="B9246" t="s">
        <v>2500</v>
      </c>
      <c r="C9246">
        <v>1</v>
      </c>
      <c r="D9246" s="1">
        <v>44272.921099537038</v>
      </c>
      <c r="E9246" t="s">
        <v>28824</v>
      </c>
      <c r="F9246" t="s">
        <v>666</v>
      </c>
      <c r="G9246" t="s">
        <v>28824</v>
      </c>
      <c r="H9246" t="s">
        <v>667</v>
      </c>
      <c r="I9246" t="s">
        <v>29</v>
      </c>
      <c r="J9246">
        <v>1</v>
      </c>
      <c r="K9246">
        <f>1-844-473-5213</f>
        <v>-6529</v>
      </c>
      <c r="L9246" t="s">
        <v>28855</v>
      </c>
      <c r="M9246" t="s">
        <v>28826</v>
      </c>
      <c r="N9246">
        <v>186</v>
      </c>
      <c r="O9246" t="s">
        <v>134</v>
      </c>
      <c r="P9246" t="s">
        <v>2500</v>
      </c>
      <c r="Q9246">
        <v>1</v>
      </c>
      <c r="R9246">
        <v>99.999999000000003</v>
      </c>
    </row>
    <row r="9247" spans="1:18" x14ac:dyDescent="0.2">
      <c r="A9247" t="s">
        <v>663</v>
      </c>
      <c r="B9247" t="s">
        <v>2500</v>
      </c>
      <c r="C9247">
        <v>1</v>
      </c>
      <c r="D9247" s="1">
        <v>44272.92087962963</v>
      </c>
      <c r="E9247" t="s">
        <v>28824</v>
      </c>
      <c r="F9247" t="s">
        <v>666</v>
      </c>
      <c r="G9247" t="s">
        <v>28824</v>
      </c>
      <c r="H9247" t="s">
        <v>667</v>
      </c>
      <c r="I9247" t="s">
        <v>29</v>
      </c>
      <c r="J9247">
        <v>1</v>
      </c>
      <c r="K9247">
        <f>1-833-313-2697</f>
        <v>-3842</v>
      </c>
      <c r="L9247" t="s">
        <v>28856</v>
      </c>
      <c r="M9247" t="s">
        <v>28826</v>
      </c>
      <c r="N9247">
        <v>186</v>
      </c>
      <c r="O9247" t="s">
        <v>134</v>
      </c>
      <c r="P9247" t="s">
        <v>2500</v>
      </c>
      <c r="Q9247">
        <v>1</v>
      </c>
      <c r="R9247">
        <v>99.999999000000003</v>
      </c>
    </row>
    <row r="9248" spans="1:18" x14ac:dyDescent="0.2">
      <c r="A9248" t="s">
        <v>663</v>
      </c>
      <c r="B9248" t="s">
        <v>2500</v>
      </c>
      <c r="C9248">
        <v>1</v>
      </c>
      <c r="D9248" s="1">
        <v>44272.920659722222</v>
      </c>
      <c r="E9248" t="s">
        <v>28824</v>
      </c>
      <c r="F9248" t="s">
        <v>666</v>
      </c>
      <c r="G9248" t="s">
        <v>28824</v>
      </c>
      <c r="H9248" t="s">
        <v>667</v>
      </c>
      <c r="I9248" t="s">
        <v>29</v>
      </c>
      <c r="J9248">
        <v>1</v>
      </c>
      <c r="K9248">
        <f>1-888-326-8910</f>
        <v>-10123</v>
      </c>
      <c r="L9248" t="s">
        <v>28857</v>
      </c>
      <c r="M9248" t="s">
        <v>28826</v>
      </c>
      <c r="N9248">
        <v>186</v>
      </c>
      <c r="O9248" t="s">
        <v>134</v>
      </c>
      <c r="P9248" t="s">
        <v>2500</v>
      </c>
      <c r="Q9248">
        <v>1</v>
      </c>
      <c r="R9248">
        <v>99.999999000000003</v>
      </c>
    </row>
    <row r="9249" spans="1:18" x14ac:dyDescent="0.2">
      <c r="A9249" t="s">
        <v>663</v>
      </c>
      <c r="B9249" t="s">
        <v>2500</v>
      </c>
      <c r="C9249">
        <v>1</v>
      </c>
      <c r="D9249" s="1">
        <v>44272.920393518521</v>
      </c>
      <c r="E9249" t="s">
        <v>28824</v>
      </c>
      <c r="F9249" t="s">
        <v>666</v>
      </c>
      <c r="G9249" t="s">
        <v>28824</v>
      </c>
      <c r="H9249" t="s">
        <v>667</v>
      </c>
      <c r="I9249" t="s">
        <v>29</v>
      </c>
      <c r="J9249">
        <v>1</v>
      </c>
      <c r="K9249">
        <f>1-888-334-1105</f>
        <v>-2326</v>
      </c>
      <c r="L9249" t="s">
        <v>28858</v>
      </c>
      <c r="M9249" t="s">
        <v>28826</v>
      </c>
      <c r="N9249">
        <v>186</v>
      </c>
      <c r="O9249" t="s">
        <v>134</v>
      </c>
      <c r="P9249" t="s">
        <v>2500</v>
      </c>
      <c r="Q9249">
        <v>1</v>
      </c>
      <c r="R9249">
        <v>99.999999000000003</v>
      </c>
    </row>
    <row r="9250" spans="1:18" x14ac:dyDescent="0.2">
      <c r="A9250" t="s">
        <v>663</v>
      </c>
      <c r="B9250" t="s">
        <v>2500</v>
      </c>
      <c r="C9250">
        <v>1</v>
      </c>
      <c r="D9250" s="1">
        <v>44272.920173611114</v>
      </c>
      <c r="E9250" t="s">
        <v>28824</v>
      </c>
      <c r="F9250" t="s">
        <v>666</v>
      </c>
      <c r="G9250" t="s">
        <v>28824</v>
      </c>
      <c r="H9250" t="s">
        <v>667</v>
      </c>
      <c r="I9250" t="s">
        <v>29</v>
      </c>
      <c r="J9250">
        <v>1</v>
      </c>
      <c r="K9250">
        <f>1-888-353-4558</f>
        <v>-5798</v>
      </c>
      <c r="L9250" t="s">
        <v>28859</v>
      </c>
      <c r="M9250" t="s">
        <v>28826</v>
      </c>
      <c r="N9250">
        <v>186</v>
      </c>
      <c r="O9250" t="s">
        <v>134</v>
      </c>
      <c r="P9250" t="s">
        <v>2500</v>
      </c>
      <c r="Q9250">
        <v>1</v>
      </c>
      <c r="R9250">
        <v>99.999999000000003</v>
      </c>
    </row>
    <row r="9251" spans="1:18" x14ac:dyDescent="0.2">
      <c r="A9251" t="s">
        <v>663</v>
      </c>
      <c r="B9251" t="s">
        <v>2500</v>
      </c>
      <c r="C9251">
        <v>1</v>
      </c>
      <c r="D9251" s="1">
        <v>44272.92</v>
      </c>
      <c r="E9251" t="s">
        <v>28824</v>
      </c>
      <c r="F9251" t="s">
        <v>666</v>
      </c>
      <c r="G9251" t="s">
        <v>28824</v>
      </c>
      <c r="H9251" t="s">
        <v>667</v>
      </c>
      <c r="I9251" t="s">
        <v>29</v>
      </c>
      <c r="J9251">
        <v>1</v>
      </c>
      <c r="K9251">
        <f>1-844-385-4386</f>
        <v>-5614</v>
      </c>
      <c r="L9251" t="s">
        <v>28860</v>
      </c>
      <c r="M9251" t="s">
        <v>28826</v>
      </c>
      <c r="N9251">
        <v>186</v>
      </c>
      <c r="O9251" t="s">
        <v>134</v>
      </c>
      <c r="P9251" t="s">
        <v>2500</v>
      </c>
      <c r="Q9251">
        <v>1</v>
      </c>
      <c r="R9251">
        <v>99.999999000000003</v>
      </c>
    </row>
    <row r="9252" spans="1:18" x14ac:dyDescent="0.2">
      <c r="A9252" t="s">
        <v>663</v>
      </c>
      <c r="B9252" t="s">
        <v>2500</v>
      </c>
      <c r="C9252">
        <v>1</v>
      </c>
      <c r="D9252" s="1">
        <v>44272.919768518521</v>
      </c>
      <c r="E9252" t="s">
        <v>28824</v>
      </c>
      <c r="F9252" t="s">
        <v>666</v>
      </c>
      <c r="G9252" t="s">
        <v>28824</v>
      </c>
      <c r="H9252" t="s">
        <v>667</v>
      </c>
      <c r="I9252" t="s">
        <v>29</v>
      </c>
      <c r="J9252">
        <v>1</v>
      </c>
      <c r="K9252">
        <f>1-888-243-1590</f>
        <v>-2720</v>
      </c>
      <c r="L9252" t="s">
        <v>28861</v>
      </c>
      <c r="M9252" t="s">
        <v>28826</v>
      </c>
      <c r="N9252">
        <v>186</v>
      </c>
      <c r="O9252" t="s">
        <v>134</v>
      </c>
      <c r="P9252" t="s">
        <v>2500</v>
      </c>
      <c r="Q9252">
        <v>1</v>
      </c>
      <c r="R9252">
        <v>99.999999000000003</v>
      </c>
    </row>
    <row r="9253" spans="1:18" x14ac:dyDescent="0.2">
      <c r="A9253" t="s">
        <v>663</v>
      </c>
      <c r="B9253" t="s">
        <v>2500</v>
      </c>
      <c r="C9253">
        <v>1</v>
      </c>
      <c r="D9253" s="1">
        <v>44272.919537037036</v>
      </c>
      <c r="E9253" t="s">
        <v>28824</v>
      </c>
      <c r="F9253" t="s">
        <v>666</v>
      </c>
      <c r="G9253" t="s">
        <v>28824</v>
      </c>
      <c r="H9253" t="s">
        <v>667</v>
      </c>
      <c r="I9253" t="s">
        <v>29</v>
      </c>
      <c r="J9253">
        <v>1</v>
      </c>
      <c r="K9253">
        <f>1-888-367-6073</f>
        <v>-7327</v>
      </c>
      <c r="L9253" t="s">
        <v>28862</v>
      </c>
      <c r="M9253" t="s">
        <v>28826</v>
      </c>
      <c r="N9253">
        <v>186</v>
      </c>
      <c r="O9253" t="s">
        <v>134</v>
      </c>
      <c r="P9253" t="s">
        <v>2500</v>
      </c>
      <c r="Q9253">
        <v>1</v>
      </c>
      <c r="R9253">
        <v>99.999999000000003</v>
      </c>
    </row>
    <row r="9254" spans="1:18" x14ac:dyDescent="0.2">
      <c r="A9254" t="s">
        <v>663</v>
      </c>
      <c r="B9254" t="s">
        <v>2500</v>
      </c>
      <c r="C9254">
        <v>1</v>
      </c>
      <c r="D9254" s="1">
        <v>44272.919328703705</v>
      </c>
      <c r="E9254" t="s">
        <v>28824</v>
      </c>
      <c r="F9254" t="s">
        <v>666</v>
      </c>
      <c r="G9254" t="s">
        <v>28824</v>
      </c>
      <c r="H9254" t="s">
        <v>667</v>
      </c>
      <c r="I9254" t="s">
        <v>29</v>
      </c>
      <c r="J9254">
        <v>1</v>
      </c>
      <c r="K9254">
        <f>1-888-398-1167</f>
        <v>-2452</v>
      </c>
      <c r="L9254" t="s">
        <v>28863</v>
      </c>
      <c r="M9254" t="s">
        <v>28826</v>
      </c>
      <c r="N9254">
        <v>186</v>
      </c>
      <c r="O9254" t="s">
        <v>134</v>
      </c>
      <c r="P9254" t="s">
        <v>2500</v>
      </c>
      <c r="Q9254">
        <v>1</v>
      </c>
      <c r="R9254">
        <v>99.999999000000003</v>
      </c>
    </row>
    <row r="9255" spans="1:18" x14ac:dyDescent="0.2">
      <c r="A9255" t="s">
        <v>439</v>
      </c>
      <c r="B9255" t="s">
        <v>4321</v>
      </c>
      <c r="C9255">
        <v>1</v>
      </c>
      <c r="D9255" s="1">
        <v>44273.867858796293</v>
      </c>
      <c r="E9255" t="s">
        <v>28864</v>
      </c>
      <c r="F9255" t="s">
        <v>442</v>
      </c>
      <c r="G9255" t="s">
        <v>28865</v>
      </c>
      <c r="H9255" t="s">
        <v>444</v>
      </c>
      <c r="I9255" t="s">
        <v>29</v>
      </c>
      <c r="J9255">
        <v>1</v>
      </c>
      <c r="K9255">
        <f>1-844-684-1548</f>
        <v>-3075</v>
      </c>
      <c r="L9255" t="s">
        <v>28866</v>
      </c>
      <c r="M9255" t="s">
        <v>28867</v>
      </c>
      <c r="N9255" t="s">
        <v>447</v>
      </c>
      <c r="O9255" t="s">
        <v>28</v>
      </c>
      <c r="P9255" t="s">
        <v>29</v>
      </c>
      <c r="Q9255">
        <v>42</v>
      </c>
      <c r="R9255">
        <v>-87.629800000000003</v>
      </c>
    </row>
    <row r="9256" spans="1:18" x14ac:dyDescent="0.2">
      <c r="A9256" t="s">
        <v>663</v>
      </c>
      <c r="B9256" t="s">
        <v>2500</v>
      </c>
      <c r="C9256">
        <v>1</v>
      </c>
      <c r="D9256" s="1">
        <v>44273.885983796295</v>
      </c>
      <c r="E9256" t="s">
        <v>28868</v>
      </c>
      <c r="F9256" t="s">
        <v>666</v>
      </c>
      <c r="G9256" t="s">
        <v>28868</v>
      </c>
      <c r="H9256" t="s">
        <v>667</v>
      </c>
      <c r="I9256" t="s">
        <v>29</v>
      </c>
      <c r="J9256">
        <v>1</v>
      </c>
      <c r="K9256">
        <f>1-833-400-167</f>
        <v>-1399</v>
      </c>
      <c r="L9256" t="s">
        <v>28869</v>
      </c>
      <c r="M9256" t="s">
        <v>28870</v>
      </c>
      <c r="N9256">
        <v>49</v>
      </c>
      <c r="O9256" t="s">
        <v>134</v>
      </c>
      <c r="P9256" t="s">
        <v>2500</v>
      </c>
      <c r="Q9256">
        <v>1</v>
      </c>
      <c r="R9256">
        <v>99.999999000000003</v>
      </c>
    </row>
    <row r="9257" spans="1:18" x14ac:dyDescent="0.2">
      <c r="A9257" t="s">
        <v>663</v>
      </c>
      <c r="B9257" t="s">
        <v>2500</v>
      </c>
      <c r="C9257">
        <v>1</v>
      </c>
      <c r="D9257" s="1">
        <v>44273.885972222219</v>
      </c>
      <c r="E9257" t="s">
        <v>28868</v>
      </c>
      <c r="F9257" t="s">
        <v>666</v>
      </c>
      <c r="G9257" t="s">
        <v>28868</v>
      </c>
      <c r="H9257" t="s">
        <v>667</v>
      </c>
      <c r="I9257" t="s">
        <v>29</v>
      </c>
      <c r="J9257">
        <v>1</v>
      </c>
      <c r="K9257">
        <f>1-833-220-2975</f>
        <v>-4027</v>
      </c>
      <c r="L9257" t="s">
        <v>28871</v>
      </c>
      <c r="M9257" t="s">
        <v>28870</v>
      </c>
      <c r="N9257">
        <v>49</v>
      </c>
      <c r="O9257" t="s">
        <v>134</v>
      </c>
      <c r="P9257" t="s">
        <v>2500</v>
      </c>
      <c r="Q9257">
        <v>1</v>
      </c>
      <c r="R9257">
        <v>99.999999000000003</v>
      </c>
    </row>
    <row r="9258" spans="1:18" x14ac:dyDescent="0.2">
      <c r="A9258" t="s">
        <v>663</v>
      </c>
      <c r="B9258" t="s">
        <v>2500</v>
      </c>
      <c r="C9258">
        <v>1</v>
      </c>
      <c r="D9258" s="1">
        <v>44273.885868055557</v>
      </c>
      <c r="E9258" t="s">
        <v>28868</v>
      </c>
      <c r="F9258" t="s">
        <v>666</v>
      </c>
      <c r="G9258" t="s">
        <v>28868</v>
      </c>
      <c r="H9258" t="s">
        <v>667</v>
      </c>
      <c r="I9258" t="s">
        <v>29</v>
      </c>
      <c r="J9258">
        <v>1</v>
      </c>
      <c r="K9258">
        <f>1-844-333-4927</f>
        <v>-6103</v>
      </c>
      <c r="L9258" t="s">
        <v>28872</v>
      </c>
      <c r="M9258" t="s">
        <v>28870</v>
      </c>
      <c r="N9258">
        <v>49</v>
      </c>
      <c r="O9258" t="s">
        <v>134</v>
      </c>
      <c r="P9258" t="s">
        <v>2500</v>
      </c>
      <c r="Q9258">
        <v>1</v>
      </c>
      <c r="R9258">
        <v>99.999999000000003</v>
      </c>
    </row>
    <row r="9259" spans="1:18" x14ac:dyDescent="0.2">
      <c r="A9259" t="s">
        <v>663</v>
      </c>
      <c r="B9259" t="s">
        <v>2500</v>
      </c>
      <c r="C9259">
        <v>1</v>
      </c>
      <c r="D9259" s="1">
        <v>44273.885868055557</v>
      </c>
      <c r="E9259" t="s">
        <v>28868</v>
      </c>
      <c r="F9259" t="s">
        <v>666</v>
      </c>
      <c r="G9259" t="s">
        <v>28868</v>
      </c>
      <c r="H9259" t="s">
        <v>667</v>
      </c>
      <c r="I9259" t="s">
        <v>29</v>
      </c>
      <c r="J9259">
        <v>1</v>
      </c>
      <c r="K9259">
        <f>1-844-333-4795</f>
        <v>-5971</v>
      </c>
      <c r="L9259" t="s">
        <v>28873</v>
      </c>
      <c r="M9259" t="s">
        <v>28870</v>
      </c>
      <c r="N9259">
        <v>49</v>
      </c>
      <c r="O9259" t="s">
        <v>134</v>
      </c>
      <c r="P9259" t="s">
        <v>2500</v>
      </c>
      <c r="Q9259">
        <v>1</v>
      </c>
      <c r="R9259">
        <v>99.999999000000003</v>
      </c>
    </row>
    <row r="9260" spans="1:18" x14ac:dyDescent="0.2">
      <c r="A9260" t="s">
        <v>663</v>
      </c>
      <c r="B9260" t="s">
        <v>2500</v>
      </c>
      <c r="C9260">
        <v>1</v>
      </c>
      <c r="D9260" s="1">
        <v>44273.88585648148</v>
      </c>
      <c r="E9260" t="s">
        <v>28868</v>
      </c>
      <c r="F9260" t="s">
        <v>666</v>
      </c>
      <c r="G9260" t="s">
        <v>28868</v>
      </c>
      <c r="H9260" t="s">
        <v>667</v>
      </c>
      <c r="I9260" t="s">
        <v>29</v>
      </c>
      <c r="J9260">
        <v>1</v>
      </c>
      <c r="K9260">
        <f>1-888-308-5924</f>
        <v>-7119</v>
      </c>
      <c r="L9260" t="s">
        <v>28874</v>
      </c>
      <c r="M9260" t="s">
        <v>28870</v>
      </c>
      <c r="N9260">
        <v>49</v>
      </c>
      <c r="O9260" t="s">
        <v>134</v>
      </c>
      <c r="P9260" t="s">
        <v>2500</v>
      </c>
      <c r="Q9260">
        <v>1</v>
      </c>
      <c r="R9260">
        <v>99.999999000000003</v>
      </c>
    </row>
    <row r="9261" spans="1:18" x14ac:dyDescent="0.2">
      <c r="A9261" t="s">
        <v>663</v>
      </c>
      <c r="B9261" t="s">
        <v>2500</v>
      </c>
      <c r="C9261">
        <v>1</v>
      </c>
      <c r="D9261" s="1">
        <v>44273.88585648148</v>
      </c>
      <c r="E9261" t="s">
        <v>28868</v>
      </c>
      <c r="F9261" t="s">
        <v>666</v>
      </c>
      <c r="G9261" t="s">
        <v>28868</v>
      </c>
      <c r="H9261" t="s">
        <v>667</v>
      </c>
      <c r="I9261" t="s">
        <v>29</v>
      </c>
      <c r="J9261">
        <v>1</v>
      </c>
      <c r="K9261">
        <f>1-888-314-2474</f>
        <v>-3675</v>
      </c>
      <c r="L9261" t="s">
        <v>28875</v>
      </c>
      <c r="M9261" t="s">
        <v>28870</v>
      </c>
      <c r="N9261">
        <v>49</v>
      </c>
      <c r="O9261" t="s">
        <v>134</v>
      </c>
      <c r="P9261" t="s">
        <v>2500</v>
      </c>
      <c r="Q9261">
        <v>1</v>
      </c>
      <c r="R9261">
        <v>99.999999000000003</v>
      </c>
    </row>
    <row r="9262" spans="1:18" x14ac:dyDescent="0.2">
      <c r="A9262" t="s">
        <v>663</v>
      </c>
      <c r="B9262" t="s">
        <v>2500</v>
      </c>
      <c r="C9262">
        <v>1</v>
      </c>
      <c r="D9262" s="1">
        <v>44273.885682870372</v>
      </c>
      <c r="E9262" t="s">
        <v>28868</v>
      </c>
      <c r="F9262" t="s">
        <v>666</v>
      </c>
      <c r="G9262" t="s">
        <v>28868</v>
      </c>
      <c r="H9262" t="s">
        <v>667</v>
      </c>
      <c r="I9262" t="s">
        <v>29</v>
      </c>
      <c r="J9262">
        <v>1</v>
      </c>
      <c r="K9262">
        <f>1-888-314-9495</f>
        <v>-10696</v>
      </c>
      <c r="L9262" t="s">
        <v>28876</v>
      </c>
      <c r="M9262" t="s">
        <v>28870</v>
      </c>
      <c r="N9262">
        <v>49</v>
      </c>
      <c r="O9262" t="s">
        <v>134</v>
      </c>
      <c r="P9262" t="s">
        <v>2500</v>
      </c>
      <c r="Q9262">
        <v>1</v>
      </c>
      <c r="R9262">
        <v>99.999999000000003</v>
      </c>
    </row>
    <row r="9263" spans="1:18" x14ac:dyDescent="0.2">
      <c r="A9263" t="s">
        <v>663</v>
      </c>
      <c r="B9263" t="s">
        <v>2500</v>
      </c>
      <c r="C9263">
        <v>1</v>
      </c>
      <c r="D9263" s="1">
        <v>44273.885868055557</v>
      </c>
      <c r="E9263" t="s">
        <v>28868</v>
      </c>
      <c r="F9263" t="s">
        <v>666</v>
      </c>
      <c r="G9263" t="s">
        <v>28868</v>
      </c>
      <c r="H9263" t="s">
        <v>667</v>
      </c>
      <c r="I9263" t="s">
        <v>29</v>
      </c>
      <c r="J9263">
        <v>1</v>
      </c>
      <c r="K9263">
        <f>1-888-308-4664</f>
        <v>-5859</v>
      </c>
      <c r="L9263" t="s">
        <v>28877</v>
      </c>
      <c r="M9263" t="s">
        <v>28870</v>
      </c>
      <c r="N9263">
        <v>49</v>
      </c>
      <c r="O9263" t="s">
        <v>134</v>
      </c>
      <c r="P9263" t="s">
        <v>2500</v>
      </c>
      <c r="Q9263">
        <v>1</v>
      </c>
      <c r="R9263">
        <v>99.999999000000003</v>
      </c>
    </row>
    <row r="9264" spans="1:18" x14ac:dyDescent="0.2">
      <c r="A9264" t="s">
        <v>663</v>
      </c>
      <c r="B9264" t="s">
        <v>2500</v>
      </c>
      <c r="C9264">
        <v>1</v>
      </c>
      <c r="D9264" s="1">
        <v>44273.885682870372</v>
      </c>
      <c r="E9264" t="s">
        <v>28868</v>
      </c>
      <c r="F9264" t="s">
        <v>666</v>
      </c>
      <c r="G9264" t="s">
        <v>28868</v>
      </c>
      <c r="H9264" t="s">
        <v>667</v>
      </c>
      <c r="I9264" t="s">
        <v>29</v>
      </c>
      <c r="J9264">
        <v>1</v>
      </c>
      <c r="K9264">
        <f>1-888-322-6804</f>
        <v>-8013</v>
      </c>
      <c r="L9264" t="s">
        <v>28878</v>
      </c>
      <c r="M9264" t="s">
        <v>28870</v>
      </c>
      <c r="N9264">
        <v>49</v>
      </c>
      <c r="O9264" t="s">
        <v>134</v>
      </c>
      <c r="P9264" t="s">
        <v>2500</v>
      </c>
      <c r="Q9264">
        <v>1</v>
      </c>
      <c r="R9264">
        <v>99.999999000000003</v>
      </c>
    </row>
    <row r="9265" spans="1:18" x14ac:dyDescent="0.2">
      <c r="A9265" t="s">
        <v>663</v>
      </c>
      <c r="B9265" t="s">
        <v>2500</v>
      </c>
      <c r="C9265">
        <v>1</v>
      </c>
      <c r="D9265" s="1">
        <v>44273.885625000003</v>
      </c>
      <c r="E9265" t="s">
        <v>28868</v>
      </c>
      <c r="F9265" t="s">
        <v>666</v>
      </c>
      <c r="G9265" t="s">
        <v>28868</v>
      </c>
      <c r="H9265" t="s">
        <v>667</v>
      </c>
      <c r="I9265" t="s">
        <v>29</v>
      </c>
      <c r="J9265">
        <v>1</v>
      </c>
      <c r="K9265">
        <f>1-888-348-7994</f>
        <v>-9229</v>
      </c>
      <c r="L9265" t="s">
        <v>28879</v>
      </c>
      <c r="M9265" t="s">
        <v>28870</v>
      </c>
      <c r="N9265">
        <v>49</v>
      </c>
      <c r="O9265" t="s">
        <v>134</v>
      </c>
      <c r="P9265" t="s">
        <v>2500</v>
      </c>
      <c r="Q9265">
        <v>1</v>
      </c>
      <c r="R9265">
        <v>99.999999000000003</v>
      </c>
    </row>
    <row r="9266" spans="1:18" x14ac:dyDescent="0.2">
      <c r="A9266" t="s">
        <v>663</v>
      </c>
      <c r="B9266" t="s">
        <v>2500</v>
      </c>
      <c r="C9266">
        <v>1</v>
      </c>
      <c r="D9266" s="1">
        <v>44273.885335648149</v>
      </c>
      <c r="E9266" t="s">
        <v>28868</v>
      </c>
      <c r="F9266" t="s">
        <v>666</v>
      </c>
      <c r="G9266" t="s">
        <v>28868</v>
      </c>
      <c r="H9266" t="s">
        <v>667</v>
      </c>
      <c r="I9266" t="s">
        <v>29</v>
      </c>
      <c r="J9266">
        <v>1</v>
      </c>
      <c r="K9266">
        <f>1-888-351-4525</f>
        <v>-5763</v>
      </c>
      <c r="L9266" t="s">
        <v>28880</v>
      </c>
      <c r="M9266" t="s">
        <v>28870</v>
      </c>
      <c r="N9266">
        <v>49</v>
      </c>
      <c r="O9266" t="s">
        <v>134</v>
      </c>
      <c r="P9266" t="s">
        <v>2500</v>
      </c>
      <c r="Q9266">
        <v>1</v>
      </c>
      <c r="R9266">
        <v>99.999999000000003</v>
      </c>
    </row>
    <row r="9267" spans="1:18" x14ac:dyDescent="0.2">
      <c r="A9267" t="s">
        <v>663</v>
      </c>
      <c r="B9267" t="s">
        <v>2500</v>
      </c>
      <c r="C9267">
        <v>1</v>
      </c>
      <c r="D9267" s="1">
        <v>44273.885150462964</v>
      </c>
      <c r="E9267" t="s">
        <v>28868</v>
      </c>
      <c r="F9267" t="s">
        <v>666</v>
      </c>
      <c r="G9267" t="s">
        <v>28868</v>
      </c>
      <c r="H9267" t="s">
        <v>667</v>
      </c>
      <c r="I9267" t="s">
        <v>29</v>
      </c>
      <c r="J9267">
        <v>1</v>
      </c>
      <c r="K9267">
        <f>1-888-385-1625</f>
        <v>-2897</v>
      </c>
      <c r="L9267" t="s">
        <v>28881</v>
      </c>
      <c r="M9267" t="s">
        <v>28870</v>
      </c>
      <c r="N9267">
        <v>49</v>
      </c>
      <c r="O9267" t="s">
        <v>134</v>
      </c>
      <c r="P9267" t="s">
        <v>2500</v>
      </c>
      <c r="Q9267">
        <v>1</v>
      </c>
      <c r="R9267">
        <v>99.999999000000003</v>
      </c>
    </row>
    <row r="9268" spans="1:18" x14ac:dyDescent="0.2">
      <c r="A9268" t="s">
        <v>663</v>
      </c>
      <c r="B9268" t="s">
        <v>2500</v>
      </c>
      <c r="C9268">
        <v>1</v>
      </c>
      <c r="D9268" s="1">
        <v>44273.88480324074</v>
      </c>
      <c r="E9268" t="s">
        <v>28868</v>
      </c>
      <c r="F9268" t="s">
        <v>666</v>
      </c>
      <c r="G9268" t="s">
        <v>28868</v>
      </c>
      <c r="H9268" t="s">
        <v>667</v>
      </c>
      <c r="I9268" t="s">
        <v>29</v>
      </c>
      <c r="J9268">
        <v>1</v>
      </c>
      <c r="K9268">
        <f>1-888-392-125</f>
        <v>-1404</v>
      </c>
      <c r="L9268" t="s">
        <v>28882</v>
      </c>
      <c r="M9268" t="s">
        <v>28870</v>
      </c>
      <c r="N9268">
        <v>49</v>
      </c>
      <c r="O9268" t="s">
        <v>134</v>
      </c>
      <c r="P9268" t="s">
        <v>2500</v>
      </c>
      <c r="Q9268">
        <v>1</v>
      </c>
      <c r="R9268">
        <v>99.999999000000003</v>
      </c>
    </row>
    <row r="9269" spans="1:18" x14ac:dyDescent="0.2">
      <c r="A9269" t="s">
        <v>663</v>
      </c>
      <c r="B9269" t="s">
        <v>2500</v>
      </c>
      <c r="C9269">
        <v>1</v>
      </c>
      <c r="D9269" s="1">
        <v>44273.883958333332</v>
      </c>
      <c r="E9269" t="s">
        <v>28868</v>
      </c>
      <c r="F9269" t="s">
        <v>666</v>
      </c>
      <c r="G9269" t="s">
        <v>28868</v>
      </c>
      <c r="H9269" t="s">
        <v>667</v>
      </c>
      <c r="I9269" t="s">
        <v>29</v>
      </c>
      <c r="J9269">
        <v>1</v>
      </c>
      <c r="K9269">
        <f>1-888-383-5157</f>
        <v>-6427</v>
      </c>
      <c r="L9269" t="s">
        <v>28883</v>
      </c>
      <c r="M9269" t="s">
        <v>28870</v>
      </c>
      <c r="N9269">
        <v>49</v>
      </c>
      <c r="O9269" t="s">
        <v>134</v>
      </c>
      <c r="P9269" t="s">
        <v>2500</v>
      </c>
      <c r="Q9269">
        <v>1</v>
      </c>
      <c r="R9269">
        <v>99.999999000000003</v>
      </c>
    </row>
    <row r="9270" spans="1:18" x14ac:dyDescent="0.2">
      <c r="A9270" t="s">
        <v>663</v>
      </c>
      <c r="B9270" t="s">
        <v>2500</v>
      </c>
      <c r="C9270">
        <v>1</v>
      </c>
      <c r="D9270" s="1">
        <v>44273.884652777779</v>
      </c>
      <c r="E9270" t="s">
        <v>28868</v>
      </c>
      <c r="F9270" t="s">
        <v>666</v>
      </c>
      <c r="G9270" t="s">
        <v>28868</v>
      </c>
      <c r="H9270" t="s">
        <v>667</v>
      </c>
      <c r="I9270" t="s">
        <v>29</v>
      </c>
      <c r="J9270">
        <v>1</v>
      </c>
      <c r="K9270">
        <f>1-844-325-2280</f>
        <v>-3448</v>
      </c>
      <c r="L9270" t="s">
        <v>28884</v>
      </c>
      <c r="M9270" t="s">
        <v>28870</v>
      </c>
      <c r="N9270">
        <v>49</v>
      </c>
      <c r="O9270" t="s">
        <v>134</v>
      </c>
      <c r="P9270" t="s">
        <v>2500</v>
      </c>
      <c r="Q9270">
        <v>1</v>
      </c>
      <c r="R9270">
        <v>99.999999000000003</v>
      </c>
    </row>
    <row r="9271" spans="1:18" x14ac:dyDescent="0.2">
      <c r="A9271" t="s">
        <v>663</v>
      </c>
      <c r="B9271" t="s">
        <v>2500</v>
      </c>
      <c r="C9271">
        <v>1</v>
      </c>
      <c r="D9271" s="1">
        <v>44273.884074074071</v>
      </c>
      <c r="E9271" t="s">
        <v>28868</v>
      </c>
      <c r="F9271" t="s">
        <v>666</v>
      </c>
      <c r="G9271" t="s">
        <v>28868</v>
      </c>
      <c r="H9271" t="s">
        <v>667</v>
      </c>
      <c r="I9271" t="s">
        <v>29</v>
      </c>
      <c r="J9271">
        <v>1</v>
      </c>
      <c r="K9271">
        <f>1-888-348-5502</f>
        <v>-6737</v>
      </c>
      <c r="L9271" t="s">
        <v>28885</v>
      </c>
      <c r="M9271" t="s">
        <v>28870</v>
      </c>
      <c r="N9271">
        <v>49</v>
      </c>
      <c r="O9271" t="s">
        <v>134</v>
      </c>
      <c r="P9271" t="s">
        <v>2500</v>
      </c>
      <c r="Q9271">
        <v>1</v>
      </c>
      <c r="R9271">
        <v>99.999999000000003</v>
      </c>
    </row>
    <row r="9272" spans="1:18" x14ac:dyDescent="0.2">
      <c r="A9272" t="s">
        <v>663</v>
      </c>
      <c r="B9272" t="s">
        <v>2500</v>
      </c>
      <c r="C9272">
        <v>1</v>
      </c>
      <c r="D9272" s="1">
        <v>44273.884074074071</v>
      </c>
      <c r="E9272" t="s">
        <v>28868</v>
      </c>
      <c r="F9272" t="s">
        <v>666</v>
      </c>
      <c r="G9272" t="s">
        <v>28868</v>
      </c>
      <c r="H9272" t="s">
        <v>667</v>
      </c>
      <c r="I9272" t="s">
        <v>29</v>
      </c>
      <c r="J9272">
        <v>1</v>
      </c>
      <c r="K9272">
        <f>1-888-353-5021</f>
        <v>-6261</v>
      </c>
      <c r="L9272" t="s">
        <v>28886</v>
      </c>
      <c r="M9272" t="s">
        <v>28870</v>
      </c>
      <c r="N9272">
        <v>49</v>
      </c>
      <c r="O9272" t="s">
        <v>134</v>
      </c>
      <c r="P9272" t="s">
        <v>2500</v>
      </c>
      <c r="Q9272">
        <v>1</v>
      </c>
      <c r="R9272">
        <v>99.999999000000003</v>
      </c>
    </row>
    <row r="9273" spans="1:18" x14ac:dyDescent="0.2">
      <c r="A9273" t="s">
        <v>663</v>
      </c>
      <c r="B9273" t="s">
        <v>2500</v>
      </c>
      <c r="C9273">
        <v>1</v>
      </c>
      <c r="D9273" s="1">
        <v>44273.883738425924</v>
      </c>
      <c r="E9273" t="s">
        <v>28868</v>
      </c>
      <c r="F9273" t="s">
        <v>666</v>
      </c>
      <c r="G9273" t="s">
        <v>28868</v>
      </c>
      <c r="H9273" t="s">
        <v>667</v>
      </c>
      <c r="I9273" t="s">
        <v>29</v>
      </c>
      <c r="J9273">
        <v>1</v>
      </c>
      <c r="K9273">
        <f>1-888-655-2012</f>
        <v>-3554</v>
      </c>
      <c r="L9273" t="s">
        <v>28887</v>
      </c>
      <c r="M9273" t="s">
        <v>28870</v>
      </c>
      <c r="N9273">
        <v>49</v>
      </c>
      <c r="O9273" t="s">
        <v>134</v>
      </c>
      <c r="P9273" t="s">
        <v>2500</v>
      </c>
      <c r="Q9273">
        <v>1</v>
      </c>
      <c r="R9273">
        <v>99.999999000000003</v>
      </c>
    </row>
    <row r="9274" spans="1:18" x14ac:dyDescent="0.2">
      <c r="A9274" t="s">
        <v>663</v>
      </c>
      <c r="B9274" t="s">
        <v>2500</v>
      </c>
      <c r="C9274">
        <v>1</v>
      </c>
      <c r="D9274" s="1">
        <v>44273.88349537037</v>
      </c>
      <c r="E9274" t="s">
        <v>28868</v>
      </c>
      <c r="F9274" t="s">
        <v>666</v>
      </c>
      <c r="G9274" t="s">
        <v>28868</v>
      </c>
      <c r="H9274" t="s">
        <v>667</v>
      </c>
      <c r="I9274" t="s">
        <v>29</v>
      </c>
      <c r="J9274">
        <v>1</v>
      </c>
      <c r="K9274">
        <f>1-844-319-6562</f>
        <v>-7724</v>
      </c>
      <c r="L9274" t="s">
        <v>28888</v>
      </c>
      <c r="M9274" t="s">
        <v>28870</v>
      </c>
      <c r="N9274">
        <v>49</v>
      </c>
      <c r="O9274" t="s">
        <v>134</v>
      </c>
      <c r="P9274" t="s">
        <v>2500</v>
      </c>
      <c r="Q9274">
        <v>1</v>
      </c>
      <c r="R9274">
        <v>99.999999000000003</v>
      </c>
    </row>
    <row r="9275" spans="1:18" x14ac:dyDescent="0.2">
      <c r="A9275" t="s">
        <v>663</v>
      </c>
      <c r="B9275" t="s">
        <v>2500</v>
      </c>
      <c r="C9275">
        <v>1</v>
      </c>
      <c r="D9275" s="1">
        <v>44273.882777777777</v>
      </c>
      <c r="E9275" t="s">
        <v>28868</v>
      </c>
      <c r="F9275" t="s">
        <v>666</v>
      </c>
      <c r="G9275" t="s">
        <v>28868</v>
      </c>
      <c r="H9275" t="s">
        <v>667</v>
      </c>
      <c r="I9275" t="s">
        <v>29</v>
      </c>
      <c r="J9275">
        <v>1</v>
      </c>
      <c r="K9275">
        <f>1-833-277-1216</f>
        <v>-2325</v>
      </c>
      <c r="L9275" t="s">
        <v>28889</v>
      </c>
      <c r="M9275" t="s">
        <v>28870</v>
      </c>
      <c r="N9275">
        <v>49</v>
      </c>
      <c r="O9275" t="s">
        <v>134</v>
      </c>
      <c r="P9275" t="s">
        <v>2500</v>
      </c>
      <c r="Q9275">
        <v>1</v>
      </c>
      <c r="R9275">
        <v>99.999999000000003</v>
      </c>
    </row>
    <row r="9276" spans="1:18" x14ac:dyDescent="0.2">
      <c r="A9276" t="s">
        <v>663</v>
      </c>
      <c r="B9276" t="s">
        <v>2500</v>
      </c>
      <c r="C9276">
        <v>1</v>
      </c>
      <c r="D9276" s="1">
        <v>44273.883240740739</v>
      </c>
      <c r="E9276" t="s">
        <v>28868</v>
      </c>
      <c r="F9276" t="s">
        <v>666</v>
      </c>
      <c r="G9276" t="s">
        <v>28868</v>
      </c>
      <c r="H9276" t="s">
        <v>667</v>
      </c>
      <c r="I9276" t="s">
        <v>29</v>
      </c>
      <c r="J9276">
        <v>1</v>
      </c>
      <c r="K9276">
        <f>1-888-391-2610</f>
        <v>-3888</v>
      </c>
      <c r="L9276" t="s">
        <v>28890</v>
      </c>
      <c r="M9276" t="s">
        <v>28870</v>
      </c>
      <c r="N9276">
        <v>49</v>
      </c>
      <c r="O9276" t="s">
        <v>134</v>
      </c>
      <c r="P9276" t="s">
        <v>2500</v>
      </c>
      <c r="Q9276">
        <v>1</v>
      </c>
      <c r="R9276">
        <v>99.999999000000003</v>
      </c>
    </row>
    <row r="9277" spans="1:18" x14ac:dyDescent="0.2">
      <c r="A9277" t="s">
        <v>663</v>
      </c>
      <c r="B9277" t="s">
        <v>2500</v>
      </c>
      <c r="C9277">
        <v>1</v>
      </c>
      <c r="D9277" s="1">
        <v>44273.882962962962</v>
      </c>
      <c r="E9277" t="s">
        <v>28868</v>
      </c>
      <c r="F9277" t="s">
        <v>666</v>
      </c>
      <c r="G9277" t="s">
        <v>28868</v>
      </c>
      <c r="H9277" t="s">
        <v>667</v>
      </c>
      <c r="I9277" t="s">
        <v>29</v>
      </c>
      <c r="J9277">
        <v>1</v>
      </c>
      <c r="K9277">
        <f>1-844-467-9992</f>
        <v>-11302</v>
      </c>
      <c r="L9277" t="s">
        <v>28891</v>
      </c>
      <c r="M9277" t="s">
        <v>28870</v>
      </c>
      <c r="N9277">
        <v>49</v>
      </c>
      <c r="O9277" t="s">
        <v>134</v>
      </c>
      <c r="P9277" t="s">
        <v>2500</v>
      </c>
      <c r="Q9277">
        <v>1</v>
      </c>
      <c r="R9277">
        <v>99.999999000000003</v>
      </c>
    </row>
    <row r="9278" spans="1:18" x14ac:dyDescent="0.2">
      <c r="A9278" t="s">
        <v>663</v>
      </c>
      <c r="B9278" t="s">
        <v>2500</v>
      </c>
      <c r="C9278">
        <v>1</v>
      </c>
      <c r="D9278" s="1">
        <v>44273.882453703707</v>
      </c>
      <c r="E9278" t="s">
        <v>28868</v>
      </c>
      <c r="F9278" t="s">
        <v>666</v>
      </c>
      <c r="G9278" t="s">
        <v>28868</v>
      </c>
      <c r="H9278" t="s">
        <v>667</v>
      </c>
      <c r="I9278" t="s">
        <v>29</v>
      </c>
      <c r="J9278">
        <v>1</v>
      </c>
      <c r="K9278">
        <f>1-888-398-5150</f>
        <v>-6435</v>
      </c>
      <c r="L9278" t="s">
        <v>28892</v>
      </c>
      <c r="M9278" t="s">
        <v>28870</v>
      </c>
      <c r="N9278">
        <v>49</v>
      </c>
      <c r="O9278" t="s">
        <v>134</v>
      </c>
      <c r="P9278" t="s">
        <v>2500</v>
      </c>
      <c r="Q9278">
        <v>1</v>
      </c>
      <c r="R9278">
        <v>99.999999000000003</v>
      </c>
    </row>
    <row r="9279" spans="1:18" x14ac:dyDescent="0.2">
      <c r="A9279" t="s">
        <v>439</v>
      </c>
      <c r="B9279" t="s">
        <v>4321</v>
      </c>
      <c r="C9279">
        <v>1</v>
      </c>
      <c r="D9279" s="1">
        <v>44278.721585648149</v>
      </c>
      <c r="E9279" t="s">
        <v>28893</v>
      </c>
      <c r="F9279" t="s">
        <v>442</v>
      </c>
      <c r="G9279" t="s">
        <v>28894</v>
      </c>
      <c r="H9279" t="s">
        <v>444</v>
      </c>
      <c r="I9279" t="s">
        <v>29</v>
      </c>
      <c r="J9279">
        <v>1</v>
      </c>
      <c r="K9279">
        <f>1-844-308-5904</f>
        <v>-7055</v>
      </c>
      <c r="L9279" t="s">
        <v>28895</v>
      </c>
      <c r="M9279" t="s">
        <v>28896</v>
      </c>
      <c r="N9279" t="s">
        <v>452</v>
      </c>
      <c r="O9279" t="s">
        <v>28</v>
      </c>
      <c r="P9279" t="s">
        <v>29</v>
      </c>
      <c r="Q9279">
        <v>42</v>
      </c>
      <c r="R9279">
        <v>-87.629800000000003</v>
      </c>
    </row>
    <row r="9280" spans="1:18" x14ac:dyDescent="0.2">
      <c r="A9280" t="s">
        <v>2233</v>
      </c>
      <c r="B9280" t="s">
        <v>2234</v>
      </c>
      <c r="C9280">
        <v>1</v>
      </c>
      <c r="D9280" s="1">
        <v>44277.850162037037</v>
      </c>
      <c r="E9280" t="s">
        <v>28897</v>
      </c>
      <c r="F9280" t="s">
        <v>2236</v>
      </c>
      <c r="G9280" t="s">
        <v>28897</v>
      </c>
      <c r="H9280" t="s">
        <v>2237</v>
      </c>
      <c r="I9280" t="s">
        <v>29</v>
      </c>
      <c r="J9280">
        <v>1</v>
      </c>
      <c r="K9280">
        <f>1-855-915-3032</f>
        <v>-4801</v>
      </c>
      <c r="L9280" t="s">
        <v>28898</v>
      </c>
      <c r="M9280" t="s">
        <v>28899</v>
      </c>
      <c r="N9280">
        <v>161</v>
      </c>
      <c r="O9280" t="s">
        <v>134</v>
      </c>
      <c r="P9280" t="s">
        <v>29</v>
      </c>
      <c r="Q9280">
        <v>40</v>
      </c>
      <c r="R9280">
        <v>-83.114099999999993</v>
      </c>
    </row>
    <row r="9281" spans="1:18" x14ac:dyDescent="0.2">
      <c r="A9281" t="s">
        <v>2233</v>
      </c>
      <c r="B9281" t="s">
        <v>2234</v>
      </c>
      <c r="C9281">
        <v>1</v>
      </c>
      <c r="D9281" s="1">
        <v>44277.979618055557</v>
      </c>
      <c r="E9281" t="s">
        <v>28900</v>
      </c>
      <c r="F9281" t="s">
        <v>2236</v>
      </c>
      <c r="G9281" t="s">
        <v>28900</v>
      </c>
      <c r="H9281" t="s">
        <v>2237</v>
      </c>
      <c r="I9281" t="s">
        <v>29</v>
      </c>
      <c r="J9281">
        <v>1</v>
      </c>
      <c r="K9281">
        <f>1-855-915-3032</f>
        <v>-4801</v>
      </c>
      <c r="L9281" t="s">
        <v>28901</v>
      </c>
      <c r="M9281" t="s">
        <v>28902</v>
      </c>
      <c r="N9281">
        <v>184</v>
      </c>
      <c r="O9281" t="s">
        <v>134</v>
      </c>
      <c r="P9281" t="s">
        <v>29</v>
      </c>
      <c r="Q9281">
        <v>40</v>
      </c>
      <c r="R9281">
        <v>-83.114099999999993</v>
      </c>
    </row>
    <row r="9282" spans="1:18" x14ac:dyDescent="0.2">
      <c r="A9282" t="s">
        <v>663</v>
      </c>
      <c r="B9282" t="s">
        <v>2500</v>
      </c>
      <c r="C9282">
        <v>1</v>
      </c>
      <c r="D9282" s="1">
        <v>44274.868657407409</v>
      </c>
      <c r="E9282" t="s">
        <v>28903</v>
      </c>
      <c r="F9282" t="s">
        <v>666</v>
      </c>
      <c r="G9282" t="s">
        <v>28903</v>
      </c>
      <c r="H9282" t="s">
        <v>667</v>
      </c>
      <c r="I9282" t="s">
        <v>29</v>
      </c>
      <c r="J9282">
        <v>1</v>
      </c>
      <c r="K9282">
        <f>1-844-229-9584</f>
        <v>-10656</v>
      </c>
      <c r="L9282" t="s">
        <v>28904</v>
      </c>
      <c r="M9282" t="s">
        <v>28905</v>
      </c>
      <c r="N9282">
        <v>154</v>
      </c>
      <c r="O9282" t="s">
        <v>134</v>
      </c>
      <c r="P9282" t="s">
        <v>2500</v>
      </c>
      <c r="Q9282">
        <v>1</v>
      </c>
      <c r="R9282">
        <v>99.999999000000003</v>
      </c>
    </row>
    <row r="9283" spans="1:18" x14ac:dyDescent="0.2">
      <c r="A9283" t="s">
        <v>663</v>
      </c>
      <c r="B9283" t="s">
        <v>2500</v>
      </c>
      <c r="C9283">
        <v>1</v>
      </c>
      <c r="D9283" s="1">
        <v>44274.868645833332</v>
      </c>
      <c r="E9283" t="s">
        <v>28903</v>
      </c>
      <c r="F9283" t="s">
        <v>666</v>
      </c>
      <c r="G9283" t="s">
        <v>28903</v>
      </c>
      <c r="H9283" t="s">
        <v>667</v>
      </c>
      <c r="I9283" t="s">
        <v>29</v>
      </c>
      <c r="J9283">
        <v>1</v>
      </c>
      <c r="K9283">
        <f>1-844-271-9738</f>
        <v>-10852</v>
      </c>
      <c r="L9283" s="2" t="s">
        <v>28906</v>
      </c>
      <c r="M9283" t="s">
        <v>28905</v>
      </c>
      <c r="N9283">
        <v>154</v>
      </c>
      <c r="O9283" t="s">
        <v>134</v>
      </c>
      <c r="P9283" t="s">
        <v>2500</v>
      </c>
      <c r="Q9283">
        <v>1</v>
      </c>
      <c r="R9283">
        <v>99.999999000000003</v>
      </c>
    </row>
    <row r="9284" spans="1:18" x14ac:dyDescent="0.2">
      <c r="A9284" t="s">
        <v>663</v>
      </c>
      <c r="B9284" t="s">
        <v>2500</v>
      </c>
      <c r="C9284">
        <v>1</v>
      </c>
      <c r="D9284" s="1">
        <v>44274.868634259263</v>
      </c>
      <c r="E9284" t="s">
        <v>28903</v>
      </c>
      <c r="F9284" t="s">
        <v>666</v>
      </c>
      <c r="G9284" t="s">
        <v>28903</v>
      </c>
      <c r="H9284" t="s">
        <v>667</v>
      </c>
      <c r="I9284" t="s">
        <v>29</v>
      </c>
      <c r="J9284">
        <v>1</v>
      </c>
      <c r="K9284">
        <f>1-844-294-3201</f>
        <v>-4338</v>
      </c>
      <c r="L9284" t="s">
        <v>28907</v>
      </c>
      <c r="M9284" t="s">
        <v>28905</v>
      </c>
      <c r="N9284">
        <v>154</v>
      </c>
      <c r="O9284" t="s">
        <v>134</v>
      </c>
      <c r="P9284" t="s">
        <v>2500</v>
      </c>
      <c r="Q9284">
        <v>1</v>
      </c>
      <c r="R9284">
        <v>99.999999000000003</v>
      </c>
    </row>
    <row r="9285" spans="1:18" x14ac:dyDescent="0.2">
      <c r="A9285" t="s">
        <v>663</v>
      </c>
      <c r="B9285" t="s">
        <v>2500</v>
      </c>
      <c r="C9285">
        <v>1</v>
      </c>
      <c r="D9285" s="1">
        <v>44274.868622685186</v>
      </c>
      <c r="E9285" t="s">
        <v>28903</v>
      </c>
      <c r="F9285" t="s">
        <v>666</v>
      </c>
      <c r="G9285" t="s">
        <v>28903</v>
      </c>
      <c r="H9285" t="s">
        <v>667</v>
      </c>
      <c r="I9285" t="s">
        <v>29</v>
      </c>
      <c r="J9285">
        <v>1</v>
      </c>
      <c r="K9285">
        <f>1-844-292-4250</f>
        <v>-5385</v>
      </c>
      <c r="L9285" t="s">
        <v>28908</v>
      </c>
      <c r="M9285" t="s">
        <v>28905</v>
      </c>
      <c r="N9285">
        <v>154</v>
      </c>
      <c r="O9285" t="s">
        <v>134</v>
      </c>
      <c r="P9285" t="s">
        <v>2500</v>
      </c>
      <c r="Q9285">
        <v>1</v>
      </c>
      <c r="R9285">
        <v>99.999999000000003</v>
      </c>
    </row>
    <row r="9286" spans="1:18" x14ac:dyDescent="0.2">
      <c r="A9286" t="s">
        <v>663</v>
      </c>
      <c r="B9286" t="s">
        <v>2500</v>
      </c>
      <c r="C9286">
        <v>1</v>
      </c>
      <c r="D9286" s="1">
        <v>44274.868587962963</v>
      </c>
      <c r="E9286" t="s">
        <v>28903</v>
      </c>
      <c r="F9286" t="s">
        <v>666</v>
      </c>
      <c r="G9286" t="s">
        <v>28903</v>
      </c>
      <c r="H9286" t="s">
        <v>667</v>
      </c>
      <c r="I9286" t="s">
        <v>29</v>
      </c>
      <c r="J9286">
        <v>1</v>
      </c>
      <c r="K9286">
        <f>1-844-318-5961</f>
        <v>-7122</v>
      </c>
      <c r="L9286">
        <v>6055009251314</v>
      </c>
      <c r="M9286" t="s">
        <v>28905</v>
      </c>
      <c r="N9286">
        <v>154</v>
      </c>
      <c r="O9286" t="s">
        <v>134</v>
      </c>
      <c r="P9286" t="s">
        <v>2500</v>
      </c>
      <c r="Q9286">
        <v>1</v>
      </c>
      <c r="R9286">
        <v>99.999999000000003</v>
      </c>
    </row>
    <row r="9287" spans="1:18" x14ac:dyDescent="0.2">
      <c r="A9287" t="s">
        <v>663</v>
      </c>
      <c r="B9287" t="s">
        <v>2500</v>
      </c>
      <c r="C9287">
        <v>1</v>
      </c>
      <c r="D9287" s="1">
        <v>44274.868564814817</v>
      </c>
      <c r="E9287" t="s">
        <v>28903</v>
      </c>
      <c r="F9287" t="s">
        <v>666</v>
      </c>
      <c r="G9287" t="s">
        <v>28903</v>
      </c>
      <c r="H9287" t="s">
        <v>667</v>
      </c>
      <c r="I9287" t="s">
        <v>29</v>
      </c>
      <c r="J9287">
        <v>1</v>
      </c>
      <c r="K9287">
        <f>1-844-468-192</f>
        <v>-1503</v>
      </c>
      <c r="L9287" t="s">
        <v>28909</v>
      </c>
      <c r="M9287" t="s">
        <v>28905</v>
      </c>
      <c r="N9287">
        <v>154</v>
      </c>
      <c r="O9287" t="s">
        <v>134</v>
      </c>
      <c r="P9287" t="s">
        <v>2500</v>
      </c>
      <c r="Q9287">
        <v>1</v>
      </c>
      <c r="R9287">
        <v>99.999999000000003</v>
      </c>
    </row>
    <row r="9288" spans="1:18" x14ac:dyDescent="0.2">
      <c r="A9288" t="s">
        <v>663</v>
      </c>
      <c r="B9288" t="s">
        <v>2500</v>
      </c>
      <c r="C9288">
        <v>1</v>
      </c>
      <c r="D9288" s="1">
        <v>44274.868564814817</v>
      </c>
      <c r="E9288" t="s">
        <v>28903</v>
      </c>
      <c r="F9288" t="s">
        <v>666</v>
      </c>
      <c r="G9288" t="s">
        <v>28903</v>
      </c>
      <c r="H9288" t="s">
        <v>667</v>
      </c>
      <c r="I9288" t="s">
        <v>29</v>
      </c>
      <c r="J9288">
        <v>1</v>
      </c>
      <c r="K9288">
        <f>1-844-468-504</f>
        <v>-1815</v>
      </c>
      <c r="L9288" t="s">
        <v>28910</v>
      </c>
      <c r="M9288" t="s">
        <v>28905</v>
      </c>
      <c r="N9288">
        <v>154</v>
      </c>
      <c r="O9288" t="s">
        <v>134</v>
      </c>
      <c r="P9288" t="s">
        <v>2500</v>
      </c>
      <c r="Q9288">
        <v>1</v>
      </c>
      <c r="R9288">
        <v>99.999999000000003</v>
      </c>
    </row>
    <row r="9289" spans="1:18" x14ac:dyDescent="0.2">
      <c r="A9289" t="s">
        <v>663</v>
      </c>
      <c r="B9289" t="s">
        <v>2500</v>
      </c>
      <c r="C9289">
        <v>1</v>
      </c>
      <c r="D9289" s="1">
        <v>44274.86855324074</v>
      </c>
      <c r="E9289" t="s">
        <v>28903</v>
      </c>
      <c r="F9289" t="s">
        <v>666</v>
      </c>
      <c r="G9289" t="s">
        <v>28903</v>
      </c>
      <c r="H9289" t="s">
        <v>667</v>
      </c>
      <c r="I9289" t="s">
        <v>29</v>
      </c>
      <c r="J9289">
        <v>1</v>
      </c>
      <c r="K9289">
        <f>1-844-472-3136</f>
        <v>-4451</v>
      </c>
      <c r="L9289" t="s">
        <v>28911</v>
      </c>
      <c r="M9289" t="s">
        <v>28905</v>
      </c>
      <c r="N9289">
        <v>154</v>
      </c>
      <c r="O9289" t="s">
        <v>134</v>
      </c>
      <c r="P9289" t="s">
        <v>2500</v>
      </c>
      <c r="Q9289">
        <v>1</v>
      </c>
      <c r="R9289">
        <v>99.999999000000003</v>
      </c>
    </row>
    <row r="9290" spans="1:18" x14ac:dyDescent="0.2">
      <c r="A9290" t="s">
        <v>663</v>
      </c>
      <c r="B9290" t="s">
        <v>2500</v>
      </c>
      <c r="C9290">
        <v>1</v>
      </c>
      <c r="D9290" s="1">
        <v>44274.868425925924</v>
      </c>
      <c r="E9290" t="s">
        <v>28903</v>
      </c>
      <c r="F9290" t="s">
        <v>666</v>
      </c>
      <c r="G9290" t="s">
        <v>28903</v>
      </c>
      <c r="H9290" t="s">
        <v>667</v>
      </c>
      <c r="I9290" t="s">
        <v>29</v>
      </c>
      <c r="J9290">
        <v>1</v>
      </c>
      <c r="K9290">
        <f>1-844-307-1056</f>
        <v>-2206</v>
      </c>
      <c r="L9290" t="s">
        <v>28912</v>
      </c>
      <c r="M9290" t="s">
        <v>28905</v>
      </c>
      <c r="N9290">
        <v>154</v>
      </c>
      <c r="O9290" t="s">
        <v>134</v>
      </c>
      <c r="P9290" t="s">
        <v>2500</v>
      </c>
      <c r="Q9290">
        <v>1</v>
      </c>
      <c r="R9290">
        <v>99.999999000000003</v>
      </c>
    </row>
    <row r="9291" spans="1:18" x14ac:dyDescent="0.2">
      <c r="A9291" t="s">
        <v>663</v>
      </c>
      <c r="B9291" t="s">
        <v>2500</v>
      </c>
      <c r="C9291">
        <v>1</v>
      </c>
      <c r="D9291" s="1">
        <v>44274.868541666663</v>
      </c>
      <c r="E9291" t="s">
        <v>28903</v>
      </c>
      <c r="F9291" t="s">
        <v>666</v>
      </c>
      <c r="G9291" t="s">
        <v>28903</v>
      </c>
      <c r="H9291" t="s">
        <v>667</v>
      </c>
      <c r="I9291" t="s">
        <v>29</v>
      </c>
      <c r="J9291">
        <v>1</v>
      </c>
      <c r="K9291">
        <f>1-844-475-1142</f>
        <v>-2460</v>
      </c>
      <c r="L9291" t="s">
        <v>28913</v>
      </c>
      <c r="M9291" t="s">
        <v>28905</v>
      </c>
      <c r="N9291">
        <v>154</v>
      </c>
      <c r="O9291" t="s">
        <v>134</v>
      </c>
      <c r="P9291" t="s">
        <v>2500</v>
      </c>
      <c r="Q9291">
        <v>1</v>
      </c>
      <c r="R9291">
        <v>99.999999000000003</v>
      </c>
    </row>
    <row r="9292" spans="1:18" x14ac:dyDescent="0.2">
      <c r="A9292" t="s">
        <v>663</v>
      </c>
      <c r="B9292" t="s">
        <v>2500</v>
      </c>
      <c r="C9292">
        <v>1</v>
      </c>
      <c r="D9292" s="1">
        <v>44274.868506944447</v>
      </c>
      <c r="E9292" t="s">
        <v>28903</v>
      </c>
      <c r="F9292" t="s">
        <v>666</v>
      </c>
      <c r="G9292" t="s">
        <v>28903</v>
      </c>
      <c r="H9292" t="s">
        <v>667</v>
      </c>
      <c r="I9292" t="s">
        <v>29</v>
      </c>
      <c r="J9292">
        <v>1</v>
      </c>
      <c r="K9292">
        <f>1-833-395-8783</f>
        <v>-10010</v>
      </c>
      <c r="L9292" t="s">
        <v>28914</v>
      </c>
      <c r="M9292" t="s">
        <v>28905</v>
      </c>
      <c r="N9292">
        <v>154</v>
      </c>
      <c r="O9292" t="s">
        <v>134</v>
      </c>
      <c r="P9292" t="s">
        <v>2500</v>
      </c>
      <c r="Q9292">
        <v>1</v>
      </c>
      <c r="R9292">
        <v>99.999999000000003</v>
      </c>
    </row>
    <row r="9293" spans="1:18" x14ac:dyDescent="0.2">
      <c r="A9293" t="s">
        <v>663</v>
      </c>
      <c r="B9293" t="s">
        <v>2500</v>
      </c>
      <c r="C9293">
        <v>1</v>
      </c>
      <c r="D9293" s="1">
        <v>44274.868483796294</v>
      </c>
      <c r="E9293" t="s">
        <v>28903</v>
      </c>
      <c r="F9293" t="s">
        <v>666</v>
      </c>
      <c r="G9293" t="s">
        <v>28903</v>
      </c>
      <c r="H9293" t="s">
        <v>667</v>
      </c>
      <c r="I9293" t="s">
        <v>29</v>
      </c>
      <c r="J9293">
        <v>1</v>
      </c>
      <c r="K9293">
        <f>1-833-220-3111</f>
        <v>-4163</v>
      </c>
      <c r="L9293" t="s">
        <v>28915</v>
      </c>
      <c r="M9293" t="s">
        <v>28905</v>
      </c>
      <c r="N9293">
        <v>154</v>
      </c>
      <c r="O9293" t="s">
        <v>134</v>
      </c>
      <c r="P9293" t="s">
        <v>2500</v>
      </c>
      <c r="Q9293">
        <v>1</v>
      </c>
      <c r="R9293">
        <v>99.999999000000003</v>
      </c>
    </row>
    <row r="9294" spans="1:18" x14ac:dyDescent="0.2">
      <c r="A9294" t="s">
        <v>663</v>
      </c>
      <c r="B9294" t="s">
        <v>2500</v>
      </c>
      <c r="C9294">
        <v>1</v>
      </c>
      <c r="D9294" s="1">
        <v>44274.868460648147</v>
      </c>
      <c r="E9294" t="s">
        <v>28903</v>
      </c>
      <c r="F9294" t="s">
        <v>666</v>
      </c>
      <c r="G9294" t="s">
        <v>28903</v>
      </c>
      <c r="H9294" t="s">
        <v>667</v>
      </c>
      <c r="I9294" t="s">
        <v>29</v>
      </c>
      <c r="J9294">
        <v>1</v>
      </c>
      <c r="K9294">
        <f>1-833-220-3905</f>
        <v>-4957</v>
      </c>
      <c r="L9294" t="s">
        <v>28916</v>
      </c>
      <c r="M9294" t="s">
        <v>28905</v>
      </c>
      <c r="N9294">
        <v>154</v>
      </c>
      <c r="O9294" t="s">
        <v>134</v>
      </c>
      <c r="P9294" t="s">
        <v>2500</v>
      </c>
      <c r="Q9294">
        <v>1</v>
      </c>
      <c r="R9294">
        <v>99.999999000000003</v>
      </c>
    </row>
    <row r="9295" spans="1:18" x14ac:dyDescent="0.2">
      <c r="A9295" t="s">
        <v>663</v>
      </c>
      <c r="B9295" t="s">
        <v>2500</v>
      </c>
      <c r="C9295">
        <v>1</v>
      </c>
      <c r="D9295" s="1">
        <v>44274.868460648147</v>
      </c>
      <c r="E9295" t="s">
        <v>28903</v>
      </c>
      <c r="F9295" t="s">
        <v>666</v>
      </c>
      <c r="G9295" t="s">
        <v>28903</v>
      </c>
      <c r="H9295" t="s">
        <v>667</v>
      </c>
      <c r="I9295" t="s">
        <v>29</v>
      </c>
      <c r="J9295">
        <v>1</v>
      </c>
      <c r="K9295">
        <f>1-833-220-3970</f>
        <v>-5022</v>
      </c>
      <c r="L9295" t="s">
        <v>28917</v>
      </c>
      <c r="M9295" t="s">
        <v>28905</v>
      </c>
      <c r="N9295">
        <v>154</v>
      </c>
      <c r="O9295" t="s">
        <v>134</v>
      </c>
      <c r="P9295" t="s">
        <v>2500</v>
      </c>
      <c r="Q9295">
        <v>1</v>
      </c>
      <c r="R9295">
        <v>99.999999000000003</v>
      </c>
    </row>
    <row r="9296" spans="1:18" x14ac:dyDescent="0.2">
      <c r="A9296" t="s">
        <v>663</v>
      </c>
      <c r="B9296" t="s">
        <v>2500</v>
      </c>
      <c r="C9296">
        <v>1</v>
      </c>
      <c r="D9296" s="1">
        <v>44274.868460648147</v>
      </c>
      <c r="E9296" t="s">
        <v>28903</v>
      </c>
      <c r="F9296" t="s">
        <v>666</v>
      </c>
      <c r="G9296" t="s">
        <v>28903</v>
      </c>
      <c r="H9296" t="s">
        <v>667</v>
      </c>
      <c r="I9296" t="s">
        <v>29</v>
      </c>
      <c r="J9296">
        <v>1</v>
      </c>
      <c r="K9296">
        <f>1-833-220-3987</f>
        <v>-5039</v>
      </c>
      <c r="L9296" t="s">
        <v>28918</v>
      </c>
      <c r="M9296" t="s">
        <v>28905</v>
      </c>
      <c r="N9296">
        <v>154</v>
      </c>
      <c r="O9296" t="s">
        <v>134</v>
      </c>
      <c r="P9296" t="s">
        <v>2500</v>
      </c>
      <c r="Q9296">
        <v>1</v>
      </c>
      <c r="R9296">
        <v>99.999999000000003</v>
      </c>
    </row>
    <row r="9297" spans="1:18" x14ac:dyDescent="0.2">
      <c r="A9297" t="s">
        <v>663</v>
      </c>
      <c r="B9297" t="s">
        <v>2500</v>
      </c>
      <c r="C9297">
        <v>1</v>
      </c>
      <c r="D9297" s="1">
        <v>44274.868298611109</v>
      </c>
      <c r="E9297" t="s">
        <v>28903</v>
      </c>
      <c r="F9297" t="s">
        <v>666</v>
      </c>
      <c r="G9297" t="s">
        <v>28903</v>
      </c>
      <c r="H9297" t="s">
        <v>667</v>
      </c>
      <c r="I9297" t="s">
        <v>29</v>
      </c>
      <c r="J9297">
        <v>1</v>
      </c>
      <c r="K9297">
        <f>1-833-256-2771</f>
        <v>-3859</v>
      </c>
      <c r="L9297" t="s">
        <v>28919</v>
      </c>
      <c r="M9297" t="s">
        <v>28905</v>
      </c>
      <c r="N9297">
        <v>154</v>
      </c>
      <c r="O9297" t="s">
        <v>134</v>
      </c>
      <c r="P9297" t="s">
        <v>2500</v>
      </c>
      <c r="Q9297">
        <v>1</v>
      </c>
      <c r="R9297">
        <v>99.999999000000003</v>
      </c>
    </row>
    <row r="9298" spans="1:18" x14ac:dyDescent="0.2">
      <c r="A9298" t="s">
        <v>663</v>
      </c>
      <c r="B9298" t="s">
        <v>2500</v>
      </c>
      <c r="C9298">
        <v>1</v>
      </c>
      <c r="D9298" s="1">
        <v>44274.868391203701</v>
      </c>
      <c r="E9298" t="s">
        <v>28903</v>
      </c>
      <c r="F9298" t="s">
        <v>666</v>
      </c>
      <c r="G9298" t="s">
        <v>28903</v>
      </c>
      <c r="H9298" t="s">
        <v>667</v>
      </c>
      <c r="I9298" t="s">
        <v>29</v>
      </c>
      <c r="J9298">
        <v>1</v>
      </c>
      <c r="K9298">
        <f>1-844-325-276</f>
        <v>-1444</v>
      </c>
      <c r="L9298" t="s">
        <v>28920</v>
      </c>
      <c r="M9298" t="s">
        <v>28905</v>
      </c>
      <c r="N9298">
        <v>154</v>
      </c>
      <c r="O9298" t="s">
        <v>134</v>
      </c>
      <c r="P9298" t="s">
        <v>2500</v>
      </c>
      <c r="Q9298">
        <v>1</v>
      </c>
      <c r="R9298">
        <v>99.999999000000003</v>
      </c>
    </row>
    <row r="9299" spans="1:18" x14ac:dyDescent="0.2">
      <c r="A9299" t="s">
        <v>439</v>
      </c>
      <c r="B9299" t="s">
        <v>4321</v>
      </c>
      <c r="C9299">
        <v>1</v>
      </c>
      <c r="D9299" s="1">
        <v>44278.727118055554</v>
      </c>
      <c r="E9299" t="s">
        <v>28921</v>
      </c>
      <c r="F9299" t="s">
        <v>442</v>
      </c>
      <c r="G9299" t="s">
        <v>28922</v>
      </c>
      <c r="H9299" t="s">
        <v>444</v>
      </c>
      <c r="I9299" t="s">
        <v>29</v>
      </c>
      <c r="J9299">
        <v>1</v>
      </c>
      <c r="K9299">
        <f>1-833-486-1398</f>
        <v>-2716</v>
      </c>
      <c r="L9299" t="s">
        <v>28923</v>
      </c>
      <c r="M9299" t="s">
        <v>28924</v>
      </c>
      <c r="N9299" t="s">
        <v>213</v>
      </c>
      <c r="O9299" t="s">
        <v>28</v>
      </c>
      <c r="P9299" t="s">
        <v>29</v>
      </c>
      <c r="Q9299">
        <v>42</v>
      </c>
      <c r="R9299">
        <v>-87.629800000000003</v>
      </c>
    </row>
    <row r="9300" spans="1:18" x14ac:dyDescent="0.2">
      <c r="A9300" t="s">
        <v>10660</v>
      </c>
      <c r="B9300" t="s">
        <v>1638</v>
      </c>
      <c r="C9300">
        <v>1</v>
      </c>
      <c r="D9300" s="1">
        <v>44305.824930555558</v>
      </c>
      <c r="E9300" t="s">
        <v>28925</v>
      </c>
      <c r="F9300" t="s">
        <v>11960</v>
      </c>
      <c r="G9300" t="s">
        <v>28926</v>
      </c>
      <c r="H9300" t="s">
        <v>10664</v>
      </c>
      <c r="I9300" t="s">
        <v>29</v>
      </c>
      <c r="J9300">
        <v>1</v>
      </c>
      <c r="K9300">
        <f>1-888-731-360</f>
        <v>-1978</v>
      </c>
      <c r="L9300" t="s">
        <v>28927</v>
      </c>
      <c r="M9300" t="s">
        <v>28928</v>
      </c>
      <c r="N9300" t="s">
        <v>5468</v>
      </c>
      <c r="O9300" t="s">
        <v>28</v>
      </c>
      <c r="P9300" t="s">
        <v>292</v>
      </c>
      <c r="Q9300">
        <v>49</v>
      </c>
      <c r="R9300">
        <v>2.3281000000000001</v>
      </c>
    </row>
    <row r="9301" spans="1:18" x14ac:dyDescent="0.2">
      <c r="A9301" t="s">
        <v>10660</v>
      </c>
      <c r="B9301" t="s">
        <v>1638</v>
      </c>
      <c r="C9301">
        <v>1</v>
      </c>
      <c r="D9301" s="1">
        <v>44302.043495370373</v>
      </c>
      <c r="E9301" t="s">
        <v>28929</v>
      </c>
      <c r="F9301" t="s">
        <v>11960</v>
      </c>
      <c r="G9301" t="s">
        <v>28926</v>
      </c>
      <c r="H9301" t="s">
        <v>10664</v>
      </c>
      <c r="I9301" t="s">
        <v>29</v>
      </c>
      <c r="J9301">
        <v>1</v>
      </c>
      <c r="K9301">
        <f>1-888-729-42</f>
        <v>-1658</v>
      </c>
      <c r="L9301" t="s">
        <v>28930</v>
      </c>
      <c r="M9301" t="s">
        <v>28931</v>
      </c>
      <c r="N9301" t="s">
        <v>5468</v>
      </c>
      <c r="O9301" t="s">
        <v>28</v>
      </c>
      <c r="P9301" t="s">
        <v>292</v>
      </c>
      <c r="Q9301">
        <v>49</v>
      </c>
      <c r="R9301">
        <v>2.3281000000000001</v>
      </c>
    </row>
    <row r="9302" spans="1:18" x14ac:dyDescent="0.2">
      <c r="A9302" t="s">
        <v>10660</v>
      </c>
      <c r="B9302" t="s">
        <v>1638</v>
      </c>
      <c r="C9302">
        <v>1</v>
      </c>
      <c r="D9302" s="1">
        <v>44299.780509259261</v>
      </c>
      <c r="E9302" t="s">
        <v>27597</v>
      </c>
      <c r="F9302" t="s">
        <v>11960</v>
      </c>
      <c r="G9302" t="s">
        <v>28926</v>
      </c>
      <c r="H9302" t="s">
        <v>10664</v>
      </c>
      <c r="I9302" t="s">
        <v>29</v>
      </c>
      <c r="J9302">
        <v>1</v>
      </c>
      <c r="K9302">
        <f>1-888-383-4657</f>
        <v>-5927</v>
      </c>
      <c r="L9302" t="s">
        <v>28932</v>
      </c>
      <c r="M9302" t="s">
        <v>28933</v>
      </c>
      <c r="N9302" t="s">
        <v>5468</v>
      </c>
      <c r="O9302" t="s">
        <v>28</v>
      </c>
      <c r="P9302" t="s">
        <v>292</v>
      </c>
      <c r="Q9302">
        <v>49</v>
      </c>
      <c r="R9302">
        <v>2.3281000000000001</v>
      </c>
    </row>
    <row r="9303" spans="1:18" x14ac:dyDescent="0.2">
      <c r="A9303" t="s">
        <v>10660</v>
      </c>
      <c r="B9303" t="s">
        <v>1638</v>
      </c>
      <c r="C9303">
        <v>1</v>
      </c>
      <c r="D9303" s="1">
        <v>44279.69971064815</v>
      </c>
      <c r="E9303" t="s">
        <v>28934</v>
      </c>
      <c r="F9303" t="s">
        <v>11960</v>
      </c>
      <c r="G9303" t="s">
        <v>28926</v>
      </c>
      <c r="H9303" t="s">
        <v>10664</v>
      </c>
      <c r="I9303" t="s">
        <v>29</v>
      </c>
      <c r="J9303">
        <v>1</v>
      </c>
      <c r="K9303">
        <f>1-888-381-781</f>
        <v>-2049</v>
      </c>
      <c r="L9303" t="s">
        <v>28935</v>
      </c>
      <c r="M9303" t="s">
        <v>28936</v>
      </c>
      <c r="N9303" t="s">
        <v>5468</v>
      </c>
      <c r="O9303" t="s">
        <v>28</v>
      </c>
      <c r="P9303" t="s">
        <v>292</v>
      </c>
      <c r="Q9303">
        <v>49</v>
      </c>
      <c r="R9303">
        <v>2.3281000000000001</v>
      </c>
    </row>
    <row r="9304" spans="1:18" x14ac:dyDescent="0.2">
      <c r="A9304" t="s">
        <v>10660</v>
      </c>
      <c r="B9304" t="s">
        <v>1638</v>
      </c>
      <c r="C9304">
        <v>1</v>
      </c>
      <c r="D9304" s="1">
        <v>44278.723402777781</v>
      </c>
      <c r="E9304" t="s">
        <v>28937</v>
      </c>
      <c r="F9304" t="s">
        <v>11960</v>
      </c>
      <c r="G9304" t="s">
        <v>28926</v>
      </c>
      <c r="H9304" t="s">
        <v>10664</v>
      </c>
      <c r="I9304" t="s">
        <v>29</v>
      </c>
      <c r="J9304">
        <v>1</v>
      </c>
      <c r="K9304">
        <f>1-888-413-7604</f>
        <v>-8904</v>
      </c>
      <c r="L9304" t="s">
        <v>28938</v>
      </c>
      <c r="M9304" t="s">
        <v>28939</v>
      </c>
      <c r="N9304" t="s">
        <v>5468</v>
      </c>
      <c r="O9304" t="s">
        <v>28</v>
      </c>
      <c r="P9304" t="s">
        <v>292</v>
      </c>
      <c r="Q9304">
        <v>49</v>
      </c>
      <c r="R9304">
        <v>2.3281000000000001</v>
      </c>
    </row>
    <row r="9305" spans="1:18" x14ac:dyDescent="0.2">
      <c r="A9305" t="s">
        <v>663</v>
      </c>
      <c r="B9305" t="s">
        <v>2500</v>
      </c>
      <c r="C9305">
        <v>1</v>
      </c>
      <c r="D9305" s="1">
        <v>44274.844097222223</v>
      </c>
      <c r="E9305" t="s">
        <v>28940</v>
      </c>
      <c r="F9305" t="s">
        <v>666</v>
      </c>
      <c r="G9305" t="s">
        <v>28940</v>
      </c>
      <c r="H9305" t="s">
        <v>667</v>
      </c>
      <c r="I9305" t="s">
        <v>29</v>
      </c>
      <c r="J9305">
        <v>1</v>
      </c>
      <c r="K9305">
        <f>1-844-393-7725</f>
        <v>-8961</v>
      </c>
      <c r="L9305" t="s">
        <v>28941</v>
      </c>
      <c r="M9305" t="s">
        <v>28942</v>
      </c>
      <c r="N9305">
        <v>185</v>
      </c>
      <c r="O9305" t="s">
        <v>134</v>
      </c>
      <c r="P9305" t="s">
        <v>2500</v>
      </c>
      <c r="Q9305">
        <v>1</v>
      </c>
      <c r="R9305">
        <v>99.999999000000003</v>
      </c>
    </row>
    <row r="9306" spans="1:18" x14ac:dyDescent="0.2">
      <c r="A9306" t="s">
        <v>663</v>
      </c>
      <c r="B9306" t="s">
        <v>2500</v>
      </c>
      <c r="C9306">
        <v>1</v>
      </c>
      <c r="D9306" s="1">
        <v>44274.8440625</v>
      </c>
      <c r="E9306" t="s">
        <v>28940</v>
      </c>
      <c r="F9306" t="s">
        <v>666</v>
      </c>
      <c r="G9306" t="s">
        <v>28940</v>
      </c>
      <c r="H9306" t="s">
        <v>667</v>
      </c>
      <c r="I9306" t="s">
        <v>29</v>
      </c>
      <c r="J9306">
        <v>1</v>
      </c>
      <c r="K9306">
        <f>1-844-321-9554</f>
        <v>-10718</v>
      </c>
      <c r="L9306" t="s">
        <v>28943</v>
      </c>
      <c r="M9306" t="s">
        <v>28942</v>
      </c>
      <c r="N9306">
        <v>185</v>
      </c>
      <c r="O9306" t="s">
        <v>134</v>
      </c>
      <c r="P9306" t="s">
        <v>2500</v>
      </c>
      <c r="Q9306">
        <v>1</v>
      </c>
      <c r="R9306">
        <v>99.999999000000003</v>
      </c>
    </row>
    <row r="9307" spans="1:18" x14ac:dyDescent="0.2">
      <c r="A9307" t="s">
        <v>663</v>
      </c>
      <c r="B9307" t="s">
        <v>2500</v>
      </c>
      <c r="C9307">
        <v>1</v>
      </c>
      <c r="D9307" s="1">
        <v>44274.844074074077</v>
      </c>
      <c r="E9307" t="s">
        <v>28940</v>
      </c>
      <c r="F9307" t="s">
        <v>666</v>
      </c>
      <c r="G9307" t="s">
        <v>28940</v>
      </c>
      <c r="H9307" t="s">
        <v>667</v>
      </c>
      <c r="I9307" t="s">
        <v>29</v>
      </c>
      <c r="J9307">
        <v>1</v>
      </c>
      <c r="K9307">
        <f>1-844-304-9513</f>
        <v>-10660</v>
      </c>
      <c r="L9307" t="s">
        <v>28944</v>
      </c>
      <c r="M9307" t="s">
        <v>28942</v>
      </c>
      <c r="N9307">
        <v>185</v>
      </c>
      <c r="O9307" t="s">
        <v>134</v>
      </c>
      <c r="P9307" t="s">
        <v>2500</v>
      </c>
      <c r="Q9307">
        <v>1</v>
      </c>
      <c r="R9307">
        <v>99.999999000000003</v>
      </c>
    </row>
    <row r="9308" spans="1:18" x14ac:dyDescent="0.2">
      <c r="A9308" t="s">
        <v>663</v>
      </c>
      <c r="B9308" t="s">
        <v>2500</v>
      </c>
      <c r="C9308">
        <v>1</v>
      </c>
      <c r="D9308" s="1">
        <v>44274.844131944446</v>
      </c>
      <c r="E9308" t="s">
        <v>28940</v>
      </c>
      <c r="F9308" t="s">
        <v>666</v>
      </c>
      <c r="G9308" t="s">
        <v>28940</v>
      </c>
      <c r="H9308" t="s">
        <v>667</v>
      </c>
      <c r="I9308" t="s">
        <v>29</v>
      </c>
      <c r="J9308">
        <v>1</v>
      </c>
      <c r="K9308">
        <f>1-844-390-5827</f>
        <v>-7060</v>
      </c>
      <c r="L9308" t="s">
        <v>28945</v>
      </c>
      <c r="M9308" t="s">
        <v>28942</v>
      </c>
      <c r="N9308">
        <v>185</v>
      </c>
      <c r="O9308" t="s">
        <v>134</v>
      </c>
      <c r="P9308" t="s">
        <v>2500</v>
      </c>
      <c r="Q9308">
        <v>1</v>
      </c>
      <c r="R9308">
        <v>99.999999000000003</v>
      </c>
    </row>
    <row r="9309" spans="1:18" x14ac:dyDescent="0.2">
      <c r="A9309" t="s">
        <v>663</v>
      </c>
      <c r="B9309" t="s">
        <v>2500</v>
      </c>
      <c r="C9309">
        <v>1</v>
      </c>
      <c r="D9309" s="1">
        <v>44274.844108796293</v>
      </c>
      <c r="E9309" t="s">
        <v>28940</v>
      </c>
      <c r="F9309" t="s">
        <v>666</v>
      </c>
      <c r="G9309" t="s">
        <v>28940</v>
      </c>
      <c r="H9309" t="s">
        <v>667</v>
      </c>
      <c r="I9309" t="s">
        <v>29</v>
      </c>
      <c r="J9309">
        <v>1</v>
      </c>
      <c r="K9309">
        <f>1-844-391-1646</f>
        <v>-2880</v>
      </c>
      <c r="L9309" t="s">
        <v>28946</v>
      </c>
      <c r="M9309" t="s">
        <v>28942</v>
      </c>
      <c r="N9309">
        <v>185</v>
      </c>
      <c r="O9309" t="s">
        <v>134</v>
      </c>
      <c r="P9309" t="s">
        <v>2500</v>
      </c>
      <c r="Q9309">
        <v>1</v>
      </c>
      <c r="R9309">
        <v>99.999999000000003</v>
      </c>
    </row>
    <row r="9310" spans="1:18" x14ac:dyDescent="0.2">
      <c r="A9310" t="s">
        <v>663</v>
      </c>
      <c r="B9310" t="s">
        <v>2500</v>
      </c>
      <c r="C9310">
        <v>1</v>
      </c>
      <c r="D9310" s="1">
        <v>44274.844155092593</v>
      </c>
      <c r="E9310" t="s">
        <v>28940</v>
      </c>
      <c r="F9310" t="s">
        <v>666</v>
      </c>
      <c r="G9310" t="s">
        <v>28940</v>
      </c>
      <c r="H9310" t="s">
        <v>667</v>
      </c>
      <c r="I9310" t="s">
        <v>29</v>
      </c>
      <c r="J9310">
        <v>1</v>
      </c>
      <c r="K9310">
        <f>1-844-390-4041</f>
        <v>-5274</v>
      </c>
      <c r="L9310" t="s">
        <v>28947</v>
      </c>
      <c r="M9310" t="s">
        <v>28942</v>
      </c>
      <c r="N9310">
        <v>185</v>
      </c>
      <c r="O9310" t="s">
        <v>134</v>
      </c>
      <c r="P9310" t="s">
        <v>2500</v>
      </c>
      <c r="Q9310">
        <v>1</v>
      </c>
      <c r="R9310">
        <v>99.999999000000003</v>
      </c>
    </row>
    <row r="9311" spans="1:18" x14ac:dyDescent="0.2">
      <c r="A9311" t="s">
        <v>663</v>
      </c>
      <c r="B9311" t="s">
        <v>2500</v>
      </c>
      <c r="C9311">
        <v>1</v>
      </c>
      <c r="D9311" s="1">
        <v>44274.802893518521</v>
      </c>
      <c r="E9311" t="s">
        <v>28940</v>
      </c>
      <c r="F9311" t="s">
        <v>666</v>
      </c>
      <c r="G9311" t="s">
        <v>28940</v>
      </c>
      <c r="H9311" t="s">
        <v>667</v>
      </c>
      <c r="I9311" t="s">
        <v>29</v>
      </c>
      <c r="J9311">
        <v>1</v>
      </c>
      <c r="K9311">
        <f>1-844-344-4999</f>
        <v>-6186</v>
      </c>
      <c r="L9311" t="s">
        <v>28948</v>
      </c>
      <c r="M9311" t="s">
        <v>28949</v>
      </c>
      <c r="N9311">
        <v>185</v>
      </c>
      <c r="O9311" t="s">
        <v>134</v>
      </c>
      <c r="P9311" t="s">
        <v>2500</v>
      </c>
      <c r="Q9311">
        <v>1</v>
      </c>
      <c r="R9311">
        <v>99.999999000000003</v>
      </c>
    </row>
    <row r="9312" spans="1:18" x14ac:dyDescent="0.2">
      <c r="A9312" t="s">
        <v>663</v>
      </c>
      <c r="B9312" t="s">
        <v>2500</v>
      </c>
      <c r="C9312">
        <v>1</v>
      </c>
      <c r="D9312" s="1">
        <v>44274.80265046296</v>
      </c>
      <c r="E9312" t="s">
        <v>28940</v>
      </c>
      <c r="F9312" t="s">
        <v>666</v>
      </c>
      <c r="G9312" t="s">
        <v>28940</v>
      </c>
      <c r="H9312" t="s">
        <v>667</v>
      </c>
      <c r="I9312" t="s">
        <v>29</v>
      </c>
      <c r="J9312">
        <v>1</v>
      </c>
      <c r="K9312">
        <f>1-888-382-2498</f>
        <v>-3767</v>
      </c>
      <c r="L9312" t="s">
        <v>28950</v>
      </c>
      <c r="M9312" t="s">
        <v>28949</v>
      </c>
      <c r="N9312">
        <v>185</v>
      </c>
      <c r="O9312" t="s">
        <v>134</v>
      </c>
      <c r="P9312" t="s">
        <v>2500</v>
      </c>
      <c r="Q9312">
        <v>1</v>
      </c>
      <c r="R9312">
        <v>99.999999000000003</v>
      </c>
    </row>
    <row r="9313" spans="1:18" x14ac:dyDescent="0.2">
      <c r="A9313" t="s">
        <v>663</v>
      </c>
      <c r="B9313" t="s">
        <v>2500</v>
      </c>
      <c r="C9313">
        <v>1</v>
      </c>
      <c r="D9313" s="1">
        <v>44274.844050925924</v>
      </c>
      <c r="E9313" t="s">
        <v>28940</v>
      </c>
      <c r="F9313" t="s">
        <v>666</v>
      </c>
      <c r="G9313" t="s">
        <v>28940</v>
      </c>
      <c r="H9313" t="s">
        <v>667</v>
      </c>
      <c r="I9313" t="s">
        <v>29</v>
      </c>
      <c r="J9313">
        <v>1</v>
      </c>
      <c r="K9313">
        <f>1-844-321-3916</f>
        <v>-5080</v>
      </c>
      <c r="L9313" t="s">
        <v>28951</v>
      </c>
      <c r="M9313" t="s">
        <v>28942</v>
      </c>
      <c r="N9313">
        <v>185</v>
      </c>
      <c r="O9313" t="s">
        <v>134</v>
      </c>
      <c r="P9313" t="s">
        <v>2500</v>
      </c>
      <c r="Q9313">
        <v>1</v>
      </c>
      <c r="R9313">
        <v>99.999999000000003</v>
      </c>
    </row>
    <row r="9314" spans="1:18" x14ac:dyDescent="0.2">
      <c r="A9314" t="s">
        <v>663</v>
      </c>
      <c r="B9314" t="s">
        <v>2500</v>
      </c>
      <c r="C9314">
        <v>1</v>
      </c>
      <c r="D9314" s="1">
        <v>44274.82366898148</v>
      </c>
      <c r="E9314" t="s">
        <v>28940</v>
      </c>
      <c r="F9314" t="s">
        <v>666</v>
      </c>
      <c r="G9314" t="s">
        <v>28940</v>
      </c>
      <c r="H9314" t="s">
        <v>667</v>
      </c>
      <c r="I9314" t="s">
        <v>29</v>
      </c>
      <c r="J9314">
        <v>1</v>
      </c>
      <c r="K9314">
        <f>1-888-655-2431</f>
        <v>-3973</v>
      </c>
      <c r="L9314" t="s">
        <v>28952</v>
      </c>
      <c r="M9314" t="s">
        <v>28949</v>
      </c>
      <c r="N9314">
        <v>185</v>
      </c>
      <c r="O9314" t="s">
        <v>134</v>
      </c>
      <c r="P9314" t="s">
        <v>2500</v>
      </c>
      <c r="Q9314">
        <v>1</v>
      </c>
      <c r="R9314">
        <v>99.999999000000003</v>
      </c>
    </row>
    <row r="9315" spans="1:18" x14ac:dyDescent="0.2">
      <c r="A9315" t="s">
        <v>663</v>
      </c>
      <c r="B9315" t="s">
        <v>2500</v>
      </c>
      <c r="C9315">
        <v>1</v>
      </c>
      <c r="D9315" s="1">
        <v>44274.802407407406</v>
      </c>
      <c r="E9315" t="s">
        <v>28940</v>
      </c>
      <c r="F9315" t="s">
        <v>666</v>
      </c>
      <c r="G9315" t="s">
        <v>28940</v>
      </c>
      <c r="H9315" t="s">
        <v>667</v>
      </c>
      <c r="I9315" t="s">
        <v>29</v>
      </c>
      <c r="J9315">
        <v>1</v>
      </c>
      <c r="K9315">
        <f>1-888-352-8587</f>
        <v>-9826</v>
      </c>
      <c r="L9315" t="s">
        <v>28953</v>
      </c>
      <c r="M9315" t="s">
        <v>28949</v>
      </c>
      <c r="N9315">
        <v>185</v>
      </c>
      <c r="O9315" t="s">
        <v>134</v>
      </c>
      <c r="P9315" t="s">
        <v>2500</v>
      </c>
      <c r="Q9315">
        <v>1</v>
      </c>
      <c r="R9315">
        <v>99.999999000000003</v>
      </c>
    </row>
    <row r="9316" spans="1:18" x14ac:dyDescent="0.2">
      <c r="A9316" t="s">
        <v>663</v>
      </c>
      <c r="B9316" t="s">
        <v>2500</v>
      </c>
      <c r="C9316">
        <v>1</v>
      </c>
      <c r="D9316" s="1">
        <v>44274.800046296295</v>
      </c>
      <c r="E9316" t="s">
        <v>28940</v>
      </c>
      <c r="F9316" t="s">
        <v>666</v>
      </c>
      <c r="G9316" t="s">
        <v>28940</v>
      </c>
      <c r="H9316" t="s">
        <v>667</v>
      </c>
      <c r="I9316" t="s">
        <v>29</v>
      </c>
      <c r="J9316">
        <v>1</v>
      </c>
      <c r="K9316">
        <f>1-844-348-9249</f>
        <v>-10440</v>
      </c>
      <c r="L9316" t="s">
        <v>28954</v>
      </c>
      <c r="M9316" t="s">
        <v>28949</v>
      </c>
      <c r="N9316">
        <v>185</v>
      </c>
      <c r="O9316" t="s">
        <v>134</v>
      </c>
      <c r="P9316" t="s">
        <v>2500</v>
      </c>
      <c r="Q9316">
        <v>1</v>
      </c>
      <c r="R9316">
        <v>99.999999000000003</v>
      </c>
    </row>
    <row r="9317" spans="1:18" x14ac:dyDescent="0.2">
      <c r="A9317" t="s">
        <v>663</v>
      </c>
      <c r="B9317" t="s">
        <v>2500</v>
      </c>
      <c r="C9317">
        <v>1</v>
      </c>
      <c r="D9317" s="1">
        <v>44274.800034722219</v>
      </c>
      <c r="E9317" t="s">
        <v>28940</v>
      </c>
      <c r="F9317" t="s">
        <v>666</v>
      </c>
      <c r="G9317" t="s">
        <v>28940</v>
      </c>
      <c r="H9317" t="s">
        <v>667</v>
      </c>
      <c r="I9317" t="s">
        <v>29</v>
      </c>
      <c r="J9317">
        <v>1</v>
      </c>
      <c r="K9317">
        <f>1-844-351-7847</f>
        <v>-9041</v>
      </c>
      <c r="L9317" t="s">
        <v>28955</v>
      </c>
      <c r="M9317" t="s">
        <v>28949</v>
      </c>
      <c r="N9317">
        <v>185</v>
      </c>
      <c r="O9317" t="s">
        <v>134</v>
      </c>
      <c r="P9317" t="s">
        <v>2500</v>
      </c>
      <c r="Q9317">
        <v>1</v>
      </c>
      <c r="R9317">
        <v>99.999999000000003</v>
      </c>
    </row>
    <row r="9318" spans="1:18" x14ac:dyDescent="0.2">
      <c r="A9318" t="s">
        <v>663</v>
      </c>
      <c r="B9318" t="s">
        <v>2500</v>
      </c>
      <c r="C9318">
        <v>1</v>
      </c>
      <c r="D9318" s="1">
        <v>44274.802534722221</v>
      </c>
      <c r="E9318" t="s">
        <v>28940</v>
      </c>
      <c r="F9318" t="s">
        <v>666</v>
      </c>
      <c r="G9318" t="s">
        <v>28940</v>
      </c>
      <c r="H9318" t="s">
        <v>667</v>
      </c>
      <c r="I9318" t="s">
        <v>29</v>
      </c>
      <c r="J9318">
        <v>1</v>
      </c>
      <c r="K9318">
        <f>1-888-686-430</f>
        <v>-2003</v>
      </c>
      <c r="L9318" t="s">
        <v>28956</v>
      </c>
      <c r="M9318" t="s">
        <v>28949</v>
      </c>
      <c r="N9318">
        <v>185</v>
      </c>
      <c r="O9318" t="s">
        <v>134</v>
      </c>
      <c r="P9318" t="s">
        <v>2500</v>
      </c>
      <c r="Q9318">
        <v>1</v>
      </c>
      <c r="R9318">
        <v>99.999999000000003</v>
      </c>
    </row>
    <row r="9319" spans="1:18" x14ac:dyDescent="0.2">
      <c r="A9319" t="s">
        <v>663</v>
      </c>
      <c r="B9319" t="s">
        <v>2500</v>
      </c>
      <c r="C9319">
        <v>1</v>
      </c>
      <c r="D9319" s="1">
        <v>44274.802615740744</v>
      </c>
      <c r="E9319" t="s">
        <v>28940</v>
      </c>
      <c r="F9319" t="s">
        <v>666</v>
      </c>
      <c r="G9319" t="s">
        <v>28940</v>
      </c>
      <c r="H9319" t="s">
        <v>667</v>
      </c>
      <c r="I9319" t="s">
        <v>29</v>
      </c>
      <c r="J9319">
        <v>1</v>
      </c>
      <c r="K9319">
        <f>1-888-397-7703</f>
        <v>-8987</v>
      </c>
      <c r="L9319" t="s">
        <v>28957</v>
      </c>
      <c r="M9319" t="s">
        <v>28949</v>
      </c>
      <c r="N9319">
        <v>185</v>
      </c>
      <c r="O9319" t="s">
        <v>134</v>
      </c>
      <c r="P9319" t="s">
        <v>2500</v>
      </c>
      <c r="Q9319">
        <v>1</v>
      </c>
      <c r="R9319">
        <v>99.999999000000003</v>
      </c>
    </row>
    <row r="9320" spans="1:18" x14ac:dyDescent="0.2">
      <c r="A9320" t="s">
        <v>663</v>
      </c>
      <c r="B9320" t="s">
        <v>2500</v>
      </c>
      <c r="C9320">
        <v>1</v>
      </c>
      <c r="D9320" s="1">
        <v>44274.802569444444</v>
      </c>
      <c r="E9320" t="s">
        <v>28940</v>
      </c>
      <c r="F9320" t="s">
        <v>666</v>
      </c>
      <c r="G9320" t="s">
        <v>28940</v>
      </c>
      <c r="H9320" t="s">
        <v>667</v>
      </c>
      <c r="I9320" t="s">
        <v>29</v>
      </c>
      <c r="J9320">
        <v>1</v>
      </c>
      <c r="K9320">
        <f>1-888-413-5841</f>
        <v>-7141</v>
      </c>
      <c r="L9320" t="s">
        <v>28958</v>
      </c>
      <c r="M9320" t="s">
        <v>28949</v>
      </c>
      <c r="N9320">
        <v>185</v>
      </c>
      <c r="O9320" t="s">
        <v>134</v>
      </c>
      <c r="P9320" t="s">
        <v>2500</v>
      </c>
      <c r="Q9320">
        <v>1</v>
      </c>
      <c r="R9320">
        <v>99.999999000000003</v>
      </c>
    </row>
    <row r="9321" spans="1:18" x14ac:dyDescent="0.2">
      <c r="A9321" t="s">
        <v>663</v>
      </c>
      <c r="B9321" t="s">
        <v>2500</v>
      </c>
      <c r="C9321">
        <v>1</v>
      </c>
      <c r="D9321" s="1">
        <v>44274.8</v>
      </c>
      <c r="E9321" t="s">
        <v>28940</v>
      </c>
      <c r="F9321" t="s">
        <v>666</v>
      </c>
      <c r="G9321" t="s">
        <v>28940</v>
      </c>
      <c r="H9321" t="s">
        <v>667</v>
      </c>
      <c r="I9321" t="s">
        <v>29</v>
      </c>
      <c r="J9321">
        <v>1</v>
      </c>
      <c r="K9321">
        <f>1-833-462-7713</f>
        <v>-9007</v>
      </c>
      <c r="L9321" t="s">
        <v>28959</v>
      </c>
      <c r="M9321" t="s">
        <v>28949</v>
      </c>
      <c r="N9321">
        <v>185</v>
      </c>
      <c r="O9321" t="s">
        <v>134</v>
      </c>
      <c r="P9321" t="s">
        <v>2500</v>
      </c>
      <c r="Q9321">
        <v>1</v>
      </c>
      <c r="R9321">
        <v>99.999999000000003</v>
      </c>
    </row>
    <row r="9322" spans="1:18" x14ac:dyDescent="0.2">
      <c r="A9322" t="s">
        <v>663</v>
      </c>
      <c r="B9322" t="s">
        <v>2500</v>
      </c>
      <c r="C9322">
        <v>1</v>
      </c>
      <c r="D9322" s="1">
        <v>44274.800034722219</v>
      </c>
      <c r="E9322" t="s">
        <v>28940</v>
      </c>
      <c r="F9322" t="s">
        <v>666</v>
      </c>
      <c r="G9322" t="s">
        <v>28940</v>
      </c>
      <c r="H9322" t="s">
        <v>667</v>
      </c>
      <c r="I9322" t="s">
        <v>29</v>
      </c>
      <c r="J9322">
        <v>1</v>
      </c>
      <c r="K9322">
        <f>1-844-362-7630</f>
        <v>-8835</v>
      </c>
      <c r="L9322" t="s">
        <v>28960</v>
      </c>
      <c r="M9322" t="s">
        <v>28949</v>
      </c>
      <c r="N9322">
        <v>185</v>
      </c>
      <c r="O9322" t="s">
        <v>134</v>
      </c>
      <c r="P9322" t="s">
        <v>2500</v>
      </c>
      <c r="Q9322">
        <v>1</v>
      </c>
      <c r="R9322">
        <v>99.999999000000003</v>
      </c>
    </row>
    <row r="9323" spans="1:18" x14ac:dyDescent="0.2">
      <c r="A9323" t="s">
        <v>663</v>
      </c>
      <c r="B9323" t="s">
        <v>2500</v>
      </c>
      <c r="C9323">
        <v>1</v>
      </c>
      <c r="D9323" s="1">
        <v>44274.800034722219</v>
      </c>
      <c r="E9323" t="s">
        <v>28940</v>
      </c>
      <c r="F9323" t="s">
        <v>666</v>
      </c>
      <c r="G9323" t="s">
        <v>28940</v>
      </c>
      <c r="H9323" t="s">
        <v>667</v>
      </c>
      <c r="I9323" t="s">
        <v>29</v>
      </c>
      <c r="J9323">
        <v>1</v>
      </c>
      <c r="K9323">
        <f>1-844-357-6299</f>
        <v>-7499</v>
      </c>
      <c r="L9323" t="s">
        <v>28961</v>
      </c>
      <c r="M9323" t="s">
        <v>28949</v>
      </c>
      <c r="N9323">
        <v>185</v>
      </c>
      <c r="O9323" t="s">
        <v>134</v>
      </c>
      <c r="P9323" t="s">
        <v>2500</v>
      </c>
      <c r="Q9323">
        <v>1</v>
      </c>
      <c r="R9323">
        <v>99.999999000000003</v>
      </c>
    </row>
    <row r="9324" spans="1:18" x14ac:dyDescent="0.2">
      <c r="A9324" t="s">
        <v>663</v>
      </c>
      <c r="B9324" t="s">
        <v>5784</v>
      </c>
      <c r="C9324">
        <v>1</v>
      </c>
      <c r="D9324" s="1">
        <v>44278.764756944445</v>
      </c>
      <c r="E9324" t="s">
        <v>28962</v>
      </c>
      <c r="F9324" t="s">
        <v>666</v>
      </c>
      <c r="G9324" t="s">
        <v>28963</v>
      </c>
      <c r="H9324" t="s">
        <v>667</v>
      </c>
      <c r="I9324" t="s">
        <v>29</v>
      </c>
      <c r="J9324">
        <v>1</v>
      </c>
      <c r="K9324">
        <f>1-833-220-3098</f>
        <v>-4150</v>
      </c>
      <c r="L9324" t="s">
        <v>28964</v>
      </c>
      <c r="M9324" t="s">
        <v>28965</v>
      </c>
      <c r="N9324" t="s">
        <v>25263</v>
      </c>
      <c r="O9324" t="s">
        <v>28</v>
      </c>
      <c r="P9324" t="s">
        <v>5789</v>
      </c>
      <c r="Q9324">
        <v>13</v>
      </c>
      <c r="R9324">
        <v>77.585499999999996</v>
      </c>
    </row>
    <row r="9325" spans="1:18" x14ac:dyDescent="0.2">
      <c r="A9325" t="s">
        <v>439</v>
      </c>
      <c r="B9325" t="s">
        <v>4321</v>
      </c>
      <c r="C9325">
        <v>1</v>
      </c>
      <c r="D9325" s="1">
        <v>44274.794525462959</v>
      </c>
      <c r="E9325" t="s">
        <v>28966</v>
      </c>
      <c r="F9325" t="s">
        <v>442</v>
      </c>
      <c r="G9325" t="s">
        <v>28967</v>
      </c>
      <c r="H9325" t="s">
        <v>444</v>
      </c>
      <c r="I9325" t="s">
        <v>29</v>
      </c>
      <c r="J9325">
        <v>1</v>
      </c>
      <c r="K9325">
        <f>1-609-232-2612</f>
        <v>-3452</v>
      </c>
      <c r="L9325" s="2" t="s">
        <v>28968</v>
      </c>
      <c r="M9325" t="s">
        <v>28969</v>
      </c>
      <c r="N9325" t="s">
        <v>447</v>
      </c>
      <c r="O9325" t="s">
        <v>28</v>
      </c>
      <c r="P9325" t="s">
        <v>29</v>
      </c>
      <c r="Q9325">
        <v>42</v>
      </c>
      <c r="R9325">
        <v>-87.629800000000003</v>
      </c>
    </row>
    <row r="9326" spans="1:18" x14ac:dyDescent="0.2">
      <c r="A9326" t="s">
        <v>675</v>
      </c>
      <c r="B9326" t="s">
        <v>1412</v>
      </c>
      <c r="C9326">
        <v>1</v>
      </c>
      <c r="D9326" s="1">
        <v>44274.881828703707</v>
      </c>
      <c r="E9326" t="s">
        <v>28970</v>
      </c>
      <c r="F9326" t="s">
        <v>678</v>
      </c>
      <c r="G9326" t="s">
        <v>28971</v>
      </c>
      <c r="H9326" t="s">
        <v>680</v>
      </c>
      <c r="I9326" t="s">
        <v>29</v>
      </c>
      <c r="J9326">
        <v>1</v>
      </c>
      <c r="K9326">
        <f>1-877-322-2969</f>
        <v>-4167</v>
      </c>
      <c r="L9326" t="s">
        <v>28972</v>
      </c>
      <c r="M9326" t="s">
        <v>28973</v>
      </c>
      <c r="N9326" t="s">
        <v>3295</v>
      </c>
      <c r="O9326" t="s">
        <v>28</v>
      </c>
      <c r="P9326" t="s">
        <v>29</v>
      </c>
      <c r="Q9326">
        <v>41</v>
      </c>
      <c r="R9326">
        <v>-74.172399999999996</v>
      </c>
    </row>
    <row r="9327" spans="1:18" x14ac:dyDescent="0.2">
      <c r="A9327" t="s">
        <v>675</v>
      </c>
      <c r="B9327" t="s">
        <v>1412</v>
      </c>
      <c r="C9327">
        <v>1</v>
      </c>
      <c r="D9327" s="1">
        <v>44274.839513888888</v>
      </c>
      <c r="E9327" t="s">
        <v>28970</v>
      </c>
      <c r="F9327" t="s">
        <v>678</v>
      </c>
      <c r="G9327" t="s">
        <v>28971</v>
      </c>
      <c r="H9327" t="s">
        <v>680</v>
      </c>
      <c r="I9327" t="s">
        <v>29</v>
      </c>
      <c r="J9327">
        <v>1</v>
      </c>
      <c r="K9327">
        <f>1-833-451-228</f>
        <v>-1511</v>
      </c>
      <c r="L9327" t="s">
        <v>28974</v>
      </c>
      <c r="M9327" t="s">
        <v>28975</v>
      </c>
      <c r="N9327" t="s">
        <v>3295</v>
      </c>
      <c r="O9327" t="s">
        <v>28</v>
      </c>
      <c r="P9327" t="s">
        <v>29</v>
      </c>
      <c r="Q9327">
        <v>41</v>
      </c>
      <c r="R9327">
        <v>-74.172399999999996</v>
      </c>
    </row>
    <row r="9328" spans="1:18" x14ac:dyDescent="0.2">
      <c r="A9328" t="s">
        <v>663</v>
      </c>
      <c r="B9328" t="s">
        <v>1412</v>
      </c>
      <c r="C9328">
        <v>1</v>
      </c>
      <c r="D9328" s="1">
        <v>44274.841111111113</v>
      </c>
      <c r="E9328" t="s">
        <v>28976</v>
      </c>
      <c r="F9328" t="s">
        <v>2495</v>
      </c>
      <c r="G9328" t="s">
        <v>28976</v>
      </c>
      <c r="H9328" t="s">
        <v>667</v>
      </c>
      <c r="I9328" t="s">
        <v>29</v>
      </c>
      <c r="J9328">
        <v>1</v>
      </c>
      <c r="K9328">
        <f>1-844-283-1508</f>
        <v>-2634</v>
      </c>
      <c r="L9328" t="s">
        <v>28977</v>
      </c>
      <c r="M9328" t="s">
        <v>28978</v>
      </c>
      <c r="N9328">
        <v>227</v>
      </c>
      <c r="O9328" t="s">
        <v>134</v>
      </c>
      <c r="P9328" t="s">
        <v>29</v>
      </c>
      <c r="Q9328">
        <v>41</v>
      </c>
      <c r="R9328">
        <v>-74.172399999999996</v>
      </c>
    </row>
    <row r="9329" spans="1:18" x14ac:dyDescent="0.2">
      <c r="A9329" t="s">
        <v>1650</v>
      </c>
      <c r="B9329" t="s">
        <v>1651</v>
      </c>
      <c r="C9329">
        <v>1</v>
      </c>
      <c r="D9329" s="1">
        <v>44273.062164351853</v>
      </c>
      <c r="E9329" t="s">
        <v>28979</v>
      </c>
      <c r="F9329" t="s">
        <v>1653</v>
      </c>
      <c r="G9329" t="s">
        <v>28980</v>
      </c>
      <c r="H9329" t="s">
        <v>1655</v>
      </c>
      <c r="I9329" t="s">
        <v>29</v>
      </c>
      <c r="J9329">
        <v>1</v>
      </c>
      <c r="K9329">
        <f>1-888-210-1945</f>
        <v>-3042</v>
      </c>
      <c r="L9329" t="s">
        <v>28981</v>
      </c>
      <c r="M9329" t="s">
        <v>28982</v>
      </c>
      <c r="N9329" t="s">
        <v>452</v>
      </c>
      <c r="O9329" t="s">
        <v>28</v>
      </c>
      <c r="P9329" t="s">
        <v>29</v>
      </c>
      <c r="Q9329">
        <v>47</v>
      </c>
      <c r="R9329">
        <v>-99.999999000000003</v>
      </c>
    </row>
    <row r="9330" spans="1:18" x14ac:dyDescent="0.2">
      <c r="A9330" t="s">
        <v>1650</v>
      </c>
      <c r="B9330" t="s">
        <v>1651</v>
      </c>
      <c r="C9330">
        <v>1</v>
      </c>
      <c r="D9330" s="1">
        <v>44273.044004629628</v>
      </c>
      <c r="E9330" t="s">
        <v>28983</v>
      </c>
      <c r="F9330" t="s">
        <v>1653</v>
      </c>
      <c r="G9330" t="s">
        <v>28980</v>
      </c>
      <c r="H9330" t="s">
        <v>1655</v>
      </c>
      <c r="I9330" t="s">
        <v>29</v>
      </c>
      <c r="J9330">
        <v>1</v>
      </c>
      <c r="K9330">
        <f>1-888-615-3934</f>
        <v>-5436</v>
      </c>
      <c r="L9330" t="s">
        <v>28984</v>
      </c>
      <c r="M9330" t="s">
        <v>28985</v>
      </c>
      <c r="N9330" t="s">
        <v>452</v>
      </c>
      <c r="O9330" t="s">
        <v>28</v>
      </c>
      <c r="P9330" t="s">
        <v>29</v>
      </c>
      <c r="Q9330">
        <v>47</v>
      </c>
      <c r="R9330">
        <v>-99.999999000000003</v>
      </c>
    </row>
    <row r="9331" spans="1:18" x14ac:dyDescent="0.2">
      <c r="A9331" t="s">
        <v>1650</v>
      </c>
      <c r="B9331" t="s">
        <v>1651</v>
      </c>
      <c r="C9331">
        <v>1</v>
      </c>
      <c r="D9331" s="1">
        <v>44279.002164351848</v>
      </c>
      <c r="E9331" t="s">
        <v>28986</v>
      </c>
      <c r="F9331" t="s">
        <v>1653</v>
      </c>
      <c r="G9331" t="s">
        <v>28980</v>
      </c>
      <c r="H9331" t="s">
        <v>1655</v>
      </c>
      <c r="I9331" t="s">
        <v>29</v>
      </c>
      <c r="J9331">
        <v>1</v>
      </c>
      <c r="K9331">
        <f>1-888-298-9544</f>
        <v>-10729</v>
      </c>
      <c r="L9331" t="s">
        <v>28987</v>
      </c>
      <c r="M9331" t="s">
        <v>28988</v>
      </c>
      <c r="N9331" t="s">
        <v>452</v>
      </c>
      <c r="O9331" t="s">
        <v>28</v>
      </c>
      <c r="P9331" t="s">
        <v>29</v>
      </c>
      <c r="Q9331">
        <v>47</v>
      </c>
      <c r="R9331">
        <v>-99.999999000000003</v>
      </c>
    </row>
    <row r="9332" spans="1:18" x14ac:dyDescent="0.2">
      <c r="A9332" t="s">
        <v>1650</v>
      </c>
      <c r="B9332" t="s">
        <v>1651</v>
      </c>
      <c r="C9332">
        <v>1</v>
      </c>
      <c r="D9332" s="1">
        <v>44274.820381944446</v>
      </c>
      <c r="E9332" t="s">
        <v>28989</v>
      </c>
      <c r="F9332" t="s">
        <v>1653</v>
      </c>
      <c r="G9332" t="s">
        <v>28980</v>
      </c>
      <c r="H9332" t="s">
        <v>1655</v>
      </c>
      <c r="I9332" t="s">
        <v>29</v>
      </c>
      <c r="J9332">
        <v>1</v>
      </c>
      <c r="K9332">
        <f>1-888-210-573</f>
        <v>-1670</v>
      </c>
      <c r="L9332" t="s">
        <v>28990</v>
      </c>
      <c r="M9332" t="s">
        <v>28991</v>
      </c>
      <c r="N9332" t="s">
        <v>452</v>
      </c>
      <c r="O9332" t="s">
        <v>28</v>
      </c>
      <c r="P9332" t="s">
        <v>29</v>
      </c>
      <c r="Q9332">
        <v>47</v>
      </c>
      <c r="R9332">
        <v>-99.999999000000003</v>
      </c>
    </row>
    <row r="9333" spans="1:18" x14ac:dyDescent="0.2">
      <c r="A9333" t="s">
        <v>663</v>
      </c>
      <c r="B9333" t="s">
        <v>664</v>
      </c>
      <c r="C9333">
        <v>1</v>
      </c>
      <c r="D9333" s="1">
        <v>44302.077511574076</v>
      </c>
      <c r="E9333" t="s">
        <v>28992</v>
      </c>
      <c r="F9333" t="s">
        <v>666</v>
      </c>
      <c r="G9333" t="s">
        <v>28993</v>
      </c>
      <c r="H9333" t="s">
        <v>667</v>
      </c>
      <c r="I9333" t="s">
        <v>29</v>
      </c>
      <c r="J9333">
        <v>1</v>
      </c>
      <c r="K9333">
        <f>1-888-345-9827</f>
        <v>-11059</v>
      </c>
      <c r="L9333" t="s">
        <v>28994</v>
      </c>
      <c r="M9333" t="s">
        <v>28995</v>
      </c>
      <c r="N9333" t="s">
        <v>3454</v>
      </c>
      <c r="O9333" t="s">
        <v>134</v>
      </c>
      <c r="P9333" t="s">
        <v>29</v>
      </c>
      <c r="Q9333">
        <v>37</v>
      </c>
      <c r="R9333">
        <v>-99.999999000000003</v>
      </c>
    </row>
    <row r="9334" spans="1:18" x14ac:dyDescent="0.2">
      <c r="A9334" t="s">
        <v>663</v>
      </c>
      <c r="B9334" t="s">
        <v>664</v>
      </c>
      <c r="C9334">
        <v>1</v>
      </c>
      <c r="D9334" s="1">
        <v>44300.938171296293</v>
      </c>
      <c r="E9334" t="s">
        <v>28996</v>
      </c>
      <c r="F9334" t="s">
        <v>666</v>
      </c>
      <c r="G9334" t="s">
        <v>28993</v>
      </c>
      <c r="H9334" t="s">
        <v>667</v>
      </c>
      <c r="I9334" t="s">
        <v>29</v>
      </c>
      <c r="J9334">
        <v>1</v>
      </c>
      <c r="K9334">
        <f>1-888-345-9827</f>
        <v>-11059</v>
      </c>
      <c r="L9334" t="s">
        <v>28997</v>
      </c>
      <c r="M9334" t="s">
        <v>28998</v>
      </c>
      <c r="N9334" t="s">
        <v>3454</v>
      </c>
      <c r="O9334" t="s">
        <v>134</v>
      </c>
      <c r="P9334" t="s">
        <v>29</v>
      </c>
      <c r="Q9334">
        <v>37</v>
      </c>
      <c r="R9334">
        <v>-99.999999000000003</v>
      </c>
    </row>
    <row r="9335" spans="1:18" x14ac:dyDescent="0.2">
      <c r="A9335" t="s">
        <v>663</v>
      </c>
      <c r="B9335" t="s">
        <v>664</v>
      </c>
      <c r="C9335">
        <v>1</v>
      </c>
      <c r="D9335" s="1">
        <v>44300.037928240738</v>
      </c>
      <c r="E9335" t="s">
        <v>28999</v>
      </c>
      <c r="F9335" t="s">
        <v>666</v>
      </c>
      <c r="G9335" t="s">
        <v>28993</v>
      </c>
      <c r="H9335" t="s">
        <v>667</v>
      </c>
      <c r="I9335" t="s">
        <v>29</v>
      </c>
      <c r="J9335">
        <v>1</v>
      </c>
      <c r="K9335">
        <f>1-888-345-9827</f>
        <v>-11059</v>
      </c>
      <c r="L9335" t="s">
        <v>29000</v>
      </c>
      <c r="M9335" t="s">
        <v>29001</v>
      </c>
      <c r="N9335" t="s">
        <v>3454</v>
      </c>
      <c r="O9335" t="s">
        <v>134</v>
      </c>
      <c r="P9335" t="s">
        <v>29</v>
      </c>
      <c r="Q9335">
        <v>37</v>
      </c>
      <c r="R9335">
        <v>-99.999999000000003</v>
      </c>
    </row>
    <row r="9336" spans="1:18" x14ac:dyDescent="0.2">
      <c r="A9336" t="s">
        <v>663</v>
      </c>
      <c r="B9336" t="s">
        <v>664</v>
      </c>
      <c r="C9336">
        <v>1</v>
      </c>
      <c r="D9336" s="1">
        <v>44294.949953703705</v>
      </c>
      <c r="E9336" t="s">
        <v>29002</v>
      </c>
      <c r="F9336" t="s">
        <v>666</v>
      </c>
      <c r="G9336" t="s">
        <v>28993</v>
      </c>
      <c r="H9336" t="s">
        <v>667</v>
      </c>
      <c r="I9336" t="s">
        <v>29</v>
      </c>
      <c r="J9336">
        <v>1</v>
      </c>
      <c r="K9336">
        <f>1-844-305-1835</f>
        <v>-2983</v>
      </c>
      <c r="L9336" t="s">
        <v>29003</v>
      </c>
      <c r="M9336" t="s">
        <v>29004</v>
      </c>
      <c r="N9336" t="s">
        <v>3454</v>
      </c>
      <c r="O9336" t="s">
        <v>134</v>
      </c>
      <c r="P9336" t="s">
        <v>29</v>
      </c>
      <c r="Q9336">
        <v>37</v>
      </c>
      <c r="R9336">
        <v>-99.999999000000003</v>
      </c>
    </row>
    <row r="9337" spans="1:18" x14ac:dyDescent="0.2">
      <c r="A9337" t="s">
        <v>663</v>
      </c>
      <c r="B9337" t="s">
        <v>664</v>
      </c>
      <c r="C9337">
        <v>1</v>
      </c>
      <c r="D9337" s="1">
        <v>44291.981851851851</v>
      </c>
      <c r="E9337" t="s">
        <v>29005</v>
      </c>
      <c r="F9337" t="s">
        <v>666</v>
      </c>
      <c r="G9337" t="s">
        <v>28993</v>
      </c>
      <c r="H9337" t="s">
        <v>667</v>
      </c>
      <c r="I9337" t="s">
        <v>29</v>
      </c>
      <c r="J9337">
        <v>1</v>
      </c>
      <c r="K9337">
        <f>1-844-305-1835</f>
        <v>-2983</v>
      </c>
      <c r="L9337" t="s">
        <v>29006</v>
      </c>
      <c r="M9337" t="s">
        <v>29007</v>
      </c>
      <c r="N9337" t="s">
        <v>3454</v>
      </c>
      <c r="O9337" t="s">
        <v>134</v>
      </c>
      <c r="P9337" t="s">
        <v>29</v>
      </c>
      <c r="Q9337">
        <v>37</v>
      </c>
      <c r="R9337">
        <v>-99.999999000000003</v>
      </c>
    </row>
    <row r="9338" spans="1:18" x14ac:dyDescent="0.2">
      <c r="A9338" t="s">
        <v>663</v>
      </c>
      <c r="B9338" t="s">
        <v>1412</v>
      </c>
      <c r="C9338">
        <v>1</v>
      </c>
      <c r="D9338" s="1">
        <v>44273.98746527778</v>
      </c>
      <c r="E9338" t="s">
        <v>29008</v>
      </c>
      <c r="F9338" t="s">
        <v>2495</v>
      </c>
      <c r="G9338" t="s">
        <v>28993</v>
      </c>
      <c r="H9338" t="s">
        <v>667</v>
      </c>
      <c r="I9338" t="s">
        <v>29</v>
      </c>
      <c r="J9338">
        <v>1</v>
      </c>
      <c r="K9338">
        <f>1-844-305-1835</f>
        <v>-2983</v>
      </c>
      <c r="L9338" t="s">
        <v>29009</v>
      </c>
      <c r="M9338" t="s">
        <v>29010</v>
      </c>
      <c r="N9338" t="s">
        <v>3454</v>
      </c>
      <c r="O9338" t="s">
        <v>134</v>
      </c>
      <c r="P9338" t="s">
        <v>29</v>
      </c>
      <c r="Q9338">
        <v>41</v>
      </c>
      <c r="R9338">
        <v>-74.172399999999996</v>
      </c>
    </row>
    <row r="9339" spans="1:18" x14ac:dyDescent="0.2">
      <c r="A9339" t="s">
        <v>663</v>
      </c>
      <c r="B9339" t="s">
        <v>1412</v>
      </c>
      <c r="C9339">
        <v>1</v>
      </c>
      <c r="D9339" s="1">
        <v>44274.806458333333</v>
      </c>
      <c r="E9339" t="s">
        <v>29011</v>
      </c>
      <c r="F9339" t="s">
        <v>2495</v>
      </c>
      <c r="G9339" t="s">
        <v>28993</v>
      </c>
      <c r="H9339" t="s">
        <v>667</v>
      </c>
      <c r="I9339" t="s">
        <v>29</v>
      </c>
      <c r="J9339">
        <v>1</v>
      </c>
      <c r="K9339">
        <f>1-844-305-1835</f>
        <v>-2983</v>
      </c>
      <c r="L9339" t="s">
        <v>29012</v>
      </c>
      <c r="M9339" t="s">
        <v>29013</v>
      </c>
      <c r="N9339" t="s">
        <v>3454</v>
      </c>
      <c r="O9339" t="s">
        <v>134</v>
      </c>
      <c r="P9339" t="s">
        <v>29</v>
      </c>
      <c r="Q9339">
        <v>41</v>
      </c>
      <c r="R9339">
        <v>-74.172399999999996</v>
      </c>
    </row>
    <row r="9340" spans="1:18" x14ac:dyDescent="0.2">
      <c r="A9340" t="s">
        <v>439</v>
      </c>
      <c r="B9340" t="s">
        <v>4321</v>
      </c>
      <c r="C9340">
        <v>1</v>
      </c>
      <c r="D9340" s="1">
        <v>44274.812314814815</v>
      </c>
      <c r="E9340" t="s">
        <v>29014</v>
      </c>
      <c r="F9340" t="s">
        <v>442</v>
      </c>
      <c r="G9340" t="s">
        <v>29015</v>
      </c>
      <c r="H9340" t="s">
        <v>444</v>
      </c>
      <c r="I9340" t="s">
        <v>29</v>
      </c>
      <c r="J9340">
        <v>1</v>
      </c>
      <c r="K9340">
        <f>1-888-320-5584</f>
        <v>-6791</v>
      </c>
      <c r="L9340" t="s">
        <v>29016</v>
      </c>
      <c r="M9340" t="s">
        <v>29017</v>
      </c>
      <c r="N9340" t="s">
        <v>447</v>
      </c>
      <c r="O9340" t="s">
        <v>28</v>
      </c>
      <c r="P9340" t="s">
        <v>29</v>
      </c>
      <c r="Q9340">
        <v>42</v>
      </c>
      <c r="R9340">
        <v>-87.629800000000003</v>
      </c>
    </row>
    <row r="9341" spans="1:18" x14ac:dyDescent="0.2">
      <c r="A9341" t="s">
        <v>663</v>
      </c>
      <c r="B9341" t="s">
        <v>2493</v>
      </c>
      <c r="C9341">
        <v>1</v>
      </c>
      <c r="D9341" s="1">
        <v>44279.82335648148</v>
      </c>
      <c r="E9341" t="s">
        <v>29018</v>
      </c>
      <c r="F9341" t="s">
        <v>666</v>
      </c>
      <c r="G9341" t="s">
        <v>29018</v>
      </c>
      <c r="H9341" t="s">
        <v>667</v>
      </c>
      <c r="I9341" t="s">
        <v>29</v>
      </c>
      <c r="J9341">
        <v>1</v>
      </c>
      <c r="K9341">
        <f>1-888-690-749</f>
        <v>-2326</v>
      </c>
      <c r="L9341" t="s">
        <v>29019</v>
      </c>
      <c r="M9341" t="s">
        <v>29020</v>
      </c>
      <c r="N9341">
        <v>172</v>
      </c>
      <c r="O9341" t="s">
        <v>134</v>
      </c>
      <c r="P9341" t="s">
        <v>29</v>
      </c>
      <c r="Q9341">
        <v>41</v>
      </c>
      <c r="R9341">
        <v>-74.024699999999996</v>
      </c>
    </row>
    <row r="9342" spans="1:18" x14ac:dyDescent="0.2">
      <c r="A9342" t="s">
        <v>439</v>
      </c>
      <c r="B9342" t="s">
        <v>4321</v>
      </c>
      <c r="C9342">
        <v>1</v>
      </c>
      <c r="D9342" s="1">
        <v>44277.622627314813</v>
      </c>
      <c r="E9342" t="s">
        <v>29021</v>
      </c>
      <c r="F9342" t="s">
        <v>442</v>
      </c>
      <c r="G9342" t="s">
        <v>29022</v>
      </c>
      <c r="H9342" t="s">
        <v>444</v>
      </c>
      <c r="I9342" t="s">
        <v>29</v>
      </c>
      <c r="J9342">
        <v>1</v>
      </c>
      <c r="K9342">
        <f>1-888-228-8619</f>
        <v>-9734</v>
      </c>
      <c r="L9342" t="s">
        <v>29023</v>
      </c>
      <c r="M9342" t="s">
        <v>29024</v>
      </c>
      <c r="N9342" t="s">
        <v>213</v>
      </c>
      <c r="O9342" t="s">
        <v>28</v>
      </c>
      <c r="P9342" t="s">
        <v>29</v>
      </c>
      <c r="Q9342">
        <v>42</v>
      </c>
      <c r="R9342">
        <v>-87.629800000000003</v>
      </c>
    </row>
    <row r="9343" spans="1:18" x14ac:dyDescent="0.2">
      <c r="A9343" t="s">
        <v>439</v>
      </c>
      <c r="B9343" t="s">
        <v>4321</v>
      </c>
      <c r="C9343">
        <v>1</v>
      </c>
      <c r="D9343" s="1">
        <v>44277.648831018516</v>
      </c>
      <c r="E9343" t="s">
        <v>29025</v>
      </c>
      <c r="F9343" t="s">
        <v>442</v>
      </c>
      <c r="G9343" t="s">
        <v>29026</v>
      </c>
      <c r="H9343" t="s">
        <v>444</v>
      </c>
      <c r="I9343" t="s">
        <v>29</v>
      </c>
      <c r="J9343">
        <v>1</v>
      </c>
      <c r="K9343">
        <f>1-888-660-1294</f>
        <v>-2841</v>
      </c>
      <c r="L9343" t="s">
        <v>29027</v>
      </c>
      <c r="M9343" t="s">
        <v>29028</v>
      </c>
      <c r="N9343" t="s">
        <v>447</v>
      </c>
      <c r="O9343" t="s">
        <v>28</v>
      </c>
      <c r="P9343" t="s">
        <v>29</v>
      </c>
      <c r="Q9343">
        <v>42</v>
      </c>
      <c r="R9343">
        <v>-87.629800000000003</v>
      </c>
    </row>
    <row r="9344" spans="1:18" x14ac:dyDescent="0.2">
      <c r="A9344" t="s">
        <v>663</v>
      </c>
      <c r="B9344" t="s">
        <v>2493</v>
      </c>
      <c r="C9344">
        <v>1</v>
      </c>
      <c r="D9344" s="1">
        <v>44279.742719907408</v>
      </c>
      <c r="E9344" t="s">
        <v>29029</v>
      </c>
      <c r="F9344" t="s">
        <v>666</v>
      </c>
      <c r="G9344" t="s">
        <v>29030</v>
      </c>
      <c r="H9344" t="s">
        <v>667</v>
      </c>
      <c r="I9344" t="s">
        <v>29</v>
      </c>
      <c r="J9344">
        <v>1</v>
      </c>
      <c r="K9344">
        <f>1-855-574-1736</f>
        <v>-3164</v>
      </c>
      <c r="L9344" t="s">
        <v>29031</v>
      </c>
      <c r="M9344" t="s">
        <v>29032</v>
      </c>
      <c r="N9344" t="s">
        <v>36</v>
      </c>
      <c r="O9344" t="s">
        <v>28</v>
      </c>
      <c r="P9344" t="s">
        <v>29</v>
      </c>
      <c r="Q9344">
        <v>41</v>
      </c>
      <c r="R9344">
        <v>-74.024699999999996</v>
      </c>
    </row>
    <row r="9345" spans="1:18" x14ac:dyDescent="0.2">
      <c r="A9345" t="s">
        <v>439</v>
      </c>
      <c r="B9345" t="s">
        <v>4321</v>
      </c>
      <c r="C9345">
        <v>1</v>
      </c>
      <c r="D9345" s="1">
        <v>44279.706203703703</v>
      </c>
      <c r="E9345" t="s">
        <v>29033</v>
      </c>
      <c r="F9345" t="s">
        <v>442</v>
      </c>
      <c r="G9345" t="s">
        <v>29034</v>
      </c>
      <c r="H9345" t="s">
        <v>444</v>
      </c>
      <c r="I9345" t="s">
        <v>29</v>
      </c>
      <c r="J9345">
        <v>1</v>
      </c>
      <c r="K9345">
        <f>1-315-217-1600</f>
        <v>-2131</v>
      </c>
      <c r="L9345" t="s">
        <v>29035</v>
      </c>
      <c r="M9345" t="s">
        <v>29036</v>
      </c>
      <c r="N9345" t="s">
        <v>447</v>
      </c>
      <c r="O9345" t="s">
        <v>28</v>
      </c>
      <c r="P9345" t="s">
        <v>29</v>
      </c>
      <c r="Q9345">
        <v>42</v>
      </c>
      <c r="R9345">
        <v>-87.629800000000003</v>
      </c>
    </row>
    <row r="9346" spans="1:18" x14ac:dyDescent="0.2">
      <c r="A9346" t="s">
        <v>663</v>
      </c>
      <c r="B9346" t="s">
        <v>5784</v>
      </c>
      <c r="C9346">
        <v>1</v>
      </c>
      <c r="D9346" s="1">
        <v>44279.689895833333</v>
      </c>
      <c r="E9346" t="s">
        <v>29037</v>
      </c>
      <c r="F9346" t="s">
        <v>666</v>
      </c>
      <c r="G9346" t="s">
        <v>29038</v>
      </c>
      <c r="H9346" t="s">
        <v>667</v>
      </c>
      <c r="I9346" t="s">
        <v>29</v>
      </c>
      <c r="J9346">
        <v>1</v>
      </c>
      <c r="K9346">
        <f>1-844-294-3486</f>
        <v>-4623</v>
      </c>
      <c r="L9346" t="s">
        <v>29039</v>
      </c>
      <c r="M9346" t="s">
        <v>29040</v>
      </c>
      <c r="N9346" t="s">
        <v>25263</v>
      </c>
      <c r="O9346" t="s">
        <v>28</v>
      </c>
      <c r="P9346" t="s">
        <v>5789</v>
      </c>
      <c r="Q9346">
        <v>13</v>
      </c>
      <c r="R9346">
        <v>77.585499999999996</v>
      </c>
    </row>
    <row r="9347" spans="1:18" x14ac:dyDescent="0.2">
      <c r="A9347" t="s">
        <v>663</v>
      </c>
      <c r="B9347" t="s">
        <v>664</v>
      </c>
      <c r="C9347">
        <v>1</v>
      </c>
      <c r="D9347" s="1">
        <v>44277.556875000002</v>
      </c>
      <c r="E9347" t="s">
        <v>29041</v>
      </c>
      <c r="F9347" t="s">
        <v>666</v>
      </c>
      <c r="G9347" t="s">
        <v>29041</v>
      </c>
      <c r="H9347" t="s">
        <v>667</v>
      </c>
      <c r="I9347" t="s">
        <v>29</v>
      </c>
      <c r="J9347">
        <v>1</v>
      </c>
      <c r="K9347">
        <f>1-833-220-3101</f>
        <v>-4153</v>
      </c>
      <c r="L9347" t="s">
        <v>29042</v>
      </c>
      <c r="M9347" t="s">
        <v>29043</v>
      </c>
      <c r="N9347">
        <v>237</v>
      </c>
      <c r="O9347" t="s">
        <v>134</v>
      </c>
      <c r="P9347" t="s">
        <v>29</v>
      </c>
      <c r="Q9347">
        <v>37</v>
      </c>
      <c r="R9347">
        <v>-99.999999000000003</v>
      </c>
    </row>
    <row r="9348" spans="1:18" x14ac:dyDescent="0.2">
      <c r="A9348" t="s">
        <v>439</v>
      </c>
      <c r="B9348" t="s">
        <v>4321</v>
      </c>
      <c r="C9348">
        <v>1</v>
      </c>
      <c r="D9348" s="1">
        <v>44278.881840277776</v>
      </c>
      <c r="E9348" t="s">
        <v>29044</v>
      </c>
      <c r="F9348" t="s">
        <v>442</v>
      </c>
      <c r="G9348" t="s">
        <v>29045</v>
      </c>
      <c r="H9348" t="s">
        <v>444</v>
      </c>
      <c r="I9348" t="s">
        <v>29</v>
      </c>
      <c r="J9348">
        <v>1</v>
      </c>
      <c r="K9348">
        <f>1-315-217-1600</f>
        <v>-2131</v>
      </c>
      <c r="L9348" t="s">
        <v>29046</v>
      </c>
      <c r="M9348" t="s">
        <v>29047</v>
      </c>
      <c r="N9348" t="s">
        <v>447</v>
      </c>
      <c r="O9348" t="s">
        <v>28</v>
      </c>
      <c r="P9348" t="s">
        <v>29</v>
      </c>
      <c r="Q9348">
        <v>42</v>
      </c>
      <c r="R9348">
        <v>-87.629800000000003</v>
      </c>
    </row>
    <row r="9349" spans="1:18" x14ac:dyDescent="0.2">
      <c r="A9349" t="s">
        <v>5349</v>
      </c>
      <c r="B9349" t="s">
        <v>440</v>
      </c>
      <c r="C9349">
        <v>1</v>
      </c>
      <c r="D9349" s="1">
        <v>44278.882326388892</v>
      </c>
      <c r="E9349" t="s">
        <v>29048</v>
      </c>
      <c r="F9349" t="s">
        <v>2236</v>
      </c>
      <c r="G9349" t="s">
        <v>29049</v>
      </c>
      <c r="H9349" t="s">
        <v>2237</v>
      </c>
      <c r="I9349" t="s">
        <v>29</v>
      </c>
      <c r="J9349">
        <v>1</v>
      </c>
      <c r="K9349">
        <f>1-850-846-3126</f>
        <v>-4821</v>
      </c>
      <c r="L9349" t="s">
        <v>29050</v>
      </c>
      <c r="M9349" t="s">
        <v>29051</v>
      </c>
      <c r="N9349" t="s">
        <v>5354</v>
      </c>
      <c r="O9349" t="s">
        <v>134</v>
      </c>
      <c r="P9349" t="s">
        <v>29</v>
      </c>
      <c r="Q9349">
        <v>39</v>
      </c>
      <c r="R9349">
        <v>-77.487399999999994</v>
      </c>
    </row>
    <row r="9350" spans="1:18" x14ac:dyDescent="0.2">
      <c r="A9350" t="s">
        <v>439</v>
      </c>
      <c r="B9350" t="s">
        <v>6226</v>
      </c>
      <c r="C9350">
        <v>1</v>
      </c>
      <c r="D9350" s="1">
        <v>44278.883472222224</v>
      </c>
      <c r="E9350" t="s">
        <v>29052</v>
      </c>
      <c r="F9350" t="s">
        <v>442</v>
      </c>
      <c r="G9350" t="s">
        <v>29053</v>
      </c>
      <c r="H9350" t="s">
        <v>444</v>
      </c>
      <c r="I9350" t="s">
        <v>29</v>
      </c>
      <c r="J9350">
        <v>1</v>
      </c>
      <c r="K9350">
        <f>1-844-369-7181</f>
        <v>-8393</v>
      </c>
      <c r="L9350" t="s">
        <v>29054</v>
      </c>
      <c r="M9350" t="s">
        <v>29055</v>
      </c>
      <c r="N9350" t="s">
        <v>5986</v>
      </c>
      <c r="O9350" t="s">
        <v>28</v>
      </c>
      <c r="P9350" t="s">
        <v>29</v>
      </c>
      <c r="Q9350">
        <v>26</v>
      </c>
      <c r="R9350">
        <v>-80.191800000000001</v>
      </c>
    </row>
    <row r="9351" spans="1:18" x14ac:dyDescent="0.2">
      <c r="A9351" t="s">
        <v>439</v>
      </c>
      <c r="B9351" t="s">
        <v>6226</v>
      </c>
      <c r="C9351">
        <v>1</v>
      </c>
      <c r="D9351" s="1">
        <v>44278.883958333332</v>
      </c>
      <c r="E9351" t="s">
        <v>29052</v>
      </c>
      <c r="F9351" t="s">
        <v>442</v>
      </c>
      <c r="G9351" t="s">
        <v>29056</v>
      </c>
      <c r="H9351" t="s">
        <v>444</v>
      </c>
      <c r="I9351" t="s">
        <v>29</v>
      </c>
      <c r="J9351">
        <v>1</v>
      </c>
      <c r="K9351">
        <f>1-888-210-6286</f>
        <v>-7383</v>
      </c>
      <c r="L9351" t="s">
        <v>29057</v>
      </c>
      <c r="M9351" t="s">
        <v>29058</v>
      </c>
      <c r="N9351" t="s">
        <v>5986</v>
      </c>
      <c r="O9351" t="s">
        <v>28</v>
      </c>
      <c r="P9351" t="s">
        <v>29</v>
      </c>
      <c r="Q9351">
        <v>26</v>
      </c>
      <c r="R9351">
        <v>-80.191800000000001</v>
      </c>
    </row>
    <row r="9352" spans="1:18" x14ac:dyDescent="0.2">
      <c r="A9352" t="s">
        <v>439</v>
      </c>
      <c r="B9352" t="s">
        <v>4321</v>
      </c>
      <c r="C9352">
        <v>81</v>
      </c>
      <c r="D9352" s="1">
        <v>44273.672465277778</v>
      </c>
      <c r="E9352" t="s">
        <v>29059</v>
      </c>
      <c r="F9352" t="s">
        <v>442</v>
      </c>
      <c r="G9352" t="s">
        <v>29060</v>
      </c>
      <c r="H9352" t="s">
        <v>444</v>
      </c>
      <c r="I9352" t="s">
        <v>53</v>
      </c>
      <c r="J9352">
        <v>81</v>
      </c>
      <c r="K9352">
        <f>81-50-5809-7576</f>
        <v>-13354</v>
      </c>
      <c r="L9352" t="s">
        <v>29061</v>
      </c>
      <c r="M9352" t="s">
        <v>29062</v>
      </c>
      <c r="N9352" t="s">
        <v>447</v>
      </c>
      <c r="O9352" t="s">
        <v>134</v>
      </c>
      <c r="P9352" t="s">
        <v>29</v>
      </c>
      <c r="Q9352">
        <v>42</v>
      </c>
      <c r="R9352">
        <v>-87.629800000000003</v>
      </c>
    </row>
    <row r="9353" spans="1:18" x14ac:dyDescent="0.2">
      <c r="A9353" t="s">
        <v>439</v>
      </c>
      <c r="B9353" t="s">
        <v>4321</v>
      </c>
      <c r="C9353">
        <v>81</v>
      </c>
      <c r="D9353" s="1">
        <v>44273.787511574075</v>
      </c>
      <c r="E9353" t="s">
        <v>29059</v>
      </c>
      <c r="F9353" t="s">
        <v>442</v>
      </c>
      <c r="G9353" t="s">
        <v>29060</v>
      </c>
      <c r="H9353" t="s">
        <v>444</v>
      </c>
      <c r="I9353" t="s">
        <v>53</v>
      </c>
      <c r="J9353">
        <v>81</v>
      </c>
      <c r="K9353">
        <f>81-50-5809-7576</f>
        <v>-13354</v>
      </c>
      <c r="L9353" t="s">
        <v>29063</v>
      </c>
      <c r="M9353" t="s">
        <v>29064</v>
      </c>
      <c r="N9353" t="s">
        <v>447</v>
      </c>
      <c r="O9353" t="s">
        <v>28</v>
      </c>
      <c r="P9353" t="s">
        <v>29</v>
      </c>
      <c r="Q9353">
        <v>42</v>
      </c>
      <c r="R9353">
        <v>-87.629800000000003</v>
      </c>
    </row>
    <row r="9354" spans="1:18" x14ac:dyDescent="0.2">
      <c r="A9354" t="s">
        <v>663</v>
      </c>
      <c r="B9354" t="s">
        <v>2493</v>
      </c>
      <c r="C9354">
        <v>1</v>
      </c>
      <c r="D9354" s="1">
        <v>44273.79210648148</v>
      </c>
      <c r="E9354" t="s">
        <v>29065</v>
      </c>
      <c r="F9354" t="s">
        <v>2495</v>
      </c>
      <c r="G9354" t="s">
        <v>29065</v>
      </c>
      <c r="H9354" t="s">
        <v>667</v>
      </c>
      <c r="I9354" t="s">
        <v>29</v>
      </c>
      <c r="J9354">
        <v>1</v>
      </c>
      <c r="K9354">
        <f>1-844-283-1508</f>
        <v>-2634</v>
      </c>
      <c r="L9354" t="s">
        <v>29066</v>
      </c>
      <c r="M9354" t="s">
        <v>29067</v>
      </c>
      <c r="N9354">
        <v>29</v>
      </c>
      <c r="O9354" t="s">
        <v>134</v>
      </c>
      <c r="P9354" t="s">
        <v>29</v>
      </c>
      <c r="Q9354">
        <v>41</v>
      </c>
      <c r="R9354">
        <v>-74.024699999999996</v>
      </c>
    </row>
    <row r="9355" spans="1:18" x14ac:dyDescent="0.2">
      <c r="A9355" t="s">
        <v>675</v>
      </c>
      <c r="B9355" t="s">
        <v>6310</v>
      </c>
      <c r="C9355">
        <v>1</v>
      </c>
      <c r="D9355" s="1">
        <v>44279.711099537039</v>
      </c>
      <c r="E9355" t="s">
        <v>29068</v>
      </c>
      <c r="F9355" t="s">
        <v>3107</v>
      </c>
      <c r="G9355" t="s">
        <v>29069</v>
      </c>
      <c r="H9355" t="s">
        <v>680</v>
      </c>
      <c r="I9355" t="s">
        <v>29</v>
      </c>
      <c r="J9355">
        <v>1</v>
      </c>
      <c r="K9355">
        <f>1-856-399-8818</f>
        <v>-10072</v>
      </c>
      <c r="L9355" t="s">
        <v>29070</v>
      </c>
      <c r="M9355" t="s">
        <v>29071</v>
      </c>
      <c r="N9355" t="s">
        <v>452</v>
      </c>
      <c r="O9355" t="s">
        <v>28</v>
      </c>
      <c r="P9355" t="s">
        <v>29</v>
      </c>
      <c r="Q9355">
        <v>34</v>
      </c>
      <c r="R9355">
        <v>-84.425700000000006</v>
      </c>
    </row>
    <row r="9356" spans="1:18" x14ac:dyDescent="0.2">
      <c r="A9356" t="s">
        <v>663</v>
      </c>
      <c r="B9356" t="s">
        <v>2493</v>
      </c>
      <c r="C9356">
        <v>81</v>
      </c>
      <c r="D9356" s="1">
        <v>44280.715046296296</v>
      </c>
      <c r="E9356" t="s">
        <v>29072</v>
      </c>
      <c r="F9356" t="s">
        <v>666</v>
      </c>
      <c r="G9356" t="s">
        <v>29073</v>
      </c>
      <c r="H9356" t="s">
        <v>667</v>
      </c>
      <c r="I9356" t="s">
        <v>53</v>
      </c>
      <c r="J9356">
        <v>81</v>
      </c>
      <c r="K9356">
        <f>81-50-5539-281</f>
        <v>-5789</v>
      </c>
      <c r="L9356" t="s">
        <v>29074</v>
      </c>
      <c r="M9356" t="s">
        <v>29075</v>
      </c>
      <c r="N9356" t="s">
        <v>452</v>
      </c>
      <c r="O9356" t="s">
        <v>28</v>
      </c>
      <c r="P9356" t="s">
        <v>29</v>
      </c>
      <c r="Q9356">
        <v>41</v>
      </c>
      <c r="R9356">
        <v>-74.024699999999996</v>
      </c>
    </row>
    <row r="9357" spans="1:18" x14ac:dyDescent="0.2">
      <c r="A9357" t="s">
        <v>663</v>
      </c>
      <c r="B9357" t="s">
        <v>2493</v>
      </c>
      <c r="C9357">
        <v>81</v>
      </c>
      <c r="D9357" s="1">
        <v>44280.714606481481</v>
      </c>
      <c r="E9357" t="s">
        <v>29072</v>
      </c>
      <c r="F9357" t="s">
        <v>666</v>
      </c>
      <c r="G9357" t="s">
        <v>29073</v>
      </c>
      <c r="H9357" t="s">
        <v>667</v>
      </c>
      <c r="I9357" t="s">
        <v>53</v>
      </c>
      <c r="J9357">
        <v>81</v>
      </c>
      <c r="K9357">
        <f>81-50-5532-7176</f>
        <v>-12677</v>
      </c>
      <c r="L9357" t="s">
        <v>29076</v>
      </c>
      <c r="M9357" t="s">
        <v>29077</v>
      </c>
      <c r="N9357" t="s">
        <v>452</v>
      </c>
      <c r="O9357" t="s">
        <v>28</v>
      </c>
      <c r="P9357" t="s">
        <v>29</v>
      </c>
      <c r="Q9357">
        <v>41</v>
      </c>
      <c r="R9357">
        <v>-74.024699999999996</v>
      </c>
    </row>
    <row r="9358" spans="1:18" x14ac:dyDescent="0.2">
      <c r="A9358" t="s">
        <v>663</v>
      </c>
      <c r="B9358" t="s">
        <v>2493</v>
      </c>
      <c r="C9358">
        <v>81</v>
      </c>
      <c r="D9358" s="1">
        <v>44279.730092592596</v>
      </c>
      <c r="E9358" t="s">
        <v>29078</v>
      </c>
      <c r="F9358" t="s">
        <v>666</v>
      </c>
      <c r="G9358" t="s">
        <v>29073</v>
      </c>
      <c r="H9358" t="s">
        <v>667</v>
      </c>
      <c r="I9358" t="s">
        <v>53</v>
      </c>
      <c r="J9358">
        <v>81</v>
      </c>
      <c r="K9358">
        <f>81-50-5532-7176</f>
        <v>-12677</v>
      </c>
      <c r="L9358" t="s">
        <v>29079</v>
      </c>
      <c r="M9358" t="s">
        <v>29080</v>
      </c>
      <c r="N9358" t="s">
        <v>452</v>
      </c>
      <c r="O9358" t="s">
        <v>28</v>
      </c>
      <c r="P9358" t="s">
        <v>29</v>
      </c>
      <c r="Q9358">
        <v>41</v>
      </c>
      <c r="R9358">
        <v>-74.024699999999996</v>
      </c>
    </row>
    <row r="9359" spans="1:18" x14ac:dyDescent="0.2">
      <c r="A9359" t="s">
        <v>663</v>
      </c>
      <c r="B9359" t="s">
        <v>2500</v>
      </c>
      <c r="C9359">
        <v>1</v>
      </c>
      <c r="D9359" s="1">
        <v>44273.79346064815</v>
      </c>
      <c r="E9359" t="s">
        <v>29081</v>
      </c>
      <c r="F9359" t="s">
        <v>666</v>
      </c>
      <c r="G9359" t="s">
        <v>29081</v>
      </c>
      <c r="H9359" t="s">
        <v>667</v>
      </c>
      <c r="I9359" t="s">
        <v>29</v>
      </c>
      <c r="J9359">
        <v>1</v>
      </c>
      <c r="K9359">
        <f>1-888-321-8458</f>
        <v>-9666</v>
      </c>
      <c r="L9359" t="s">
        <v>29082</v>
      </c>
      <c r="M9359" t="s">
        <v>29083</v>
      </c>
      <c r="N9359">
        <v>12</v>
      </c>
      <c r="O9359" t="s">
        <v>134</v>
      </c>
      <c r="P9359" t="s">
        <v>2500</v>
      </c>
      <c r="Q9359">
        <v>1</v>
      </c>
      <c r="R9359">
        <v>99.999999000000003</v>
      </c>
    </row>
    <row r="9360" spans="1:18" x14ac:dyDescent="0.2">
      <c r="A9360" t="s">
        <v>663</v>
      </c>
      <c r="B9360" t="s">
        <v>1412</v>
      </c>
      <c r="C9360">
        <v>1</v>
      </c>
      <c r="D9360" s="1">
        <v>44274.879108796296</v>
      </c>
      <c r="E9360" t="s">
        <v>29084</v>
      </c>
      <c r="F9360" t="s">
        <v>2495</v>
      </c>
      <c r="G9360" t="s">
        <v>29084</v>
      </c>
      <c r="H9360" t="s">
        <v>667</v>
      </c>
      <c r="I9360" t="s">
        <v>29</v>
      </c>
      <c r="J9360">
        <v>1</v>
      </c>
      <c r="K9360">
        <f>1-866-517-1059</f>
        <v>-2441</v>
      </c>
      <c r="L9360" t="s">
        <v>29085</v>
      </c>
      <c r="M9360" t="s">
        <v>29086</v>
      </c>
      <c r="N9360">
        <v>17</v>
      </c>
      <c r="O9360" t="s">
        <v>134</v>
      </c>
      <c r="P9360" t="s">
        <v>29</v>
      </c>
      <c r="Q9360">
        <v>41</v>
      </c>
      <c r="R9360">
        <v>-74.172399999999996</v>
      </c>
    </row>
    <row r="9361" spans="1:18" x14ac:dyDescent="0.2">
      <c r="A9361" t="s">
        <v>663</v>
      </c>
      <c r="B9361" t="s">
        <v>2493</v>
      </c>
      <c r="C9361">
        <v>1</v>
      </c>
      <c r="D9361" s="1">
        <v>44273.77375</v>
      </c>
      <c r="E9361" t="s">
        <v>29087</v>
      </c>
      <c r="F9361" t="s">
        <v>666</v>
      </c>
      <c r="G9361" t="s">
        <v>29088</v>
      </c>
      <c r="H9361" t="s">
        <v>667</v>
      </c>
      <c r="I9361" t="s">
        <v>29</v>
      </c>
      <c r="J9361">
        <v>1</v>
      </c>
      <c r="K9361">
        <f>1-844-288-2748</f>
        <v>-3879</v>
      </c>
      <c r="L9361" t="s">
        <v>29089</v>
      </c>
      <c r="M9361" t="s">
        <v>29090</v>
      </c>
      <c r="N9361" t="s">
        <v>674</v>
      </c>
      <c r="O9361" t="s">
        <v>28</v>
      </c>
      <c r="P9361" t="s">
        <v>29</v>
      </c>
      <c r="Q9361">
        <v>41</v>
      </c>
      <c r="R9361">
        <v>-74.024699999999996</v>
      </c>
    </row>
    <row r="9362" spans="1:18" x14ac:dyDescent="0.2">
      <c r="A9362" t="s">
        <v>439</v>
      </c>
      <c r="B9362" t="s">
        <v>4321</v>
      </c>
      <c r="C9362">
        <v>1</v>
      </c>
      <c r="D9362" s="1">
        <v>44279.745613425926</v>
      </c>
      <c r="E9362" t="s">
        <v>29091</v>
      </c>
      <c r="F9362" t="s">
        <v>442</v>
      </c>
      <c r="G9362" t="s">
        <v>29092</v>
      </c>
      <c r="H9362" t="s">
        <v>444</v>
      </c>
      <c r="I9362" t="s">
        <v>29</v>
      </c>
      <c r="J9362">
        <v>1</v>
      </c>
      <c r="K9362">
        <f>1-801-833-530</f>
        <v>-2163</v>
      </c>
      <c r="L9362" t="s">
        <v>29093</v>
      </c>
      <c r="M9362" t="s">
        <v>29094</v>
      </c>
      <c r="N9362" t="s">
        <v>25195</v>
      </c>
      <c r="O9362" t="s">
        <v>28</v>
      </c>
      <c r="P9362" t="s">
        <v>29</v>
      </c>
      <c r="Q9362">
        <v>42</v>
      </c>
      <c r="R9362">
        <v>-87.629800000000003</v>
      </c>
    </row>
    <row r="9363" spans="1:18" x14ac:dyDescent="0.2">
      <c r="A9363" t="s">
        <v>439</v>
      </c>
      <c r="B9363" t="s">
        <v>4321</v>
      </c>
      <c r="C9363">
        <v>81</v>
      </c>
      <c r="D9363" s="1">
        <v>44279.730486111112</v>
      </c>
      <c r="E9363" t="s">
        <v>29095</v>
      </c>
      <c r="F9363" t="s">
        <v>442</v>
      </c>
      <c r="G9363" t="s">
        <v>29096</v>
      </c>
      <c r="H9363" t="s">
        <v>444</v>
      </c>
      <c r="I9363" t="s">
        <v>53</v>
      </c>
      <c r="J9363">
        <v>81</v>
      </c>
      <c r="K9363">
        <f>81-50-5539-6170</f>
        <v>-11678</v>
      </c>
      <c r="L9363" t="s">
        <v>29097</v>
      </c>
      <c r="M9363" t="s">
        <v>29098</v>
      </c>
      <c r="N9363" t="s">
        <v>447</v>
      </c>
      <c r="O9363" t="s">
        <v>28</v>
      </c>
      <c r="P9363" t="s">
        <v>29</v>
      </c>
      <c r="Q9363">
        <v>42</v>
      </c>
      <c r="R9363">
        <v>-87.629800000000003</v>
      </c>
    </row>
    <row r="9364" spans="1:18" x14ac:dyDescent="0.2">
      <c r="A9364" t="s">
        <v>663</v>
      </c>
      <c r="B9364" t="s">
        <v>5784</v>
      </c>
      <c r="C9364">
        <v>1</v>
      </c>
      <c r="D9364" s="1">
        <v>44279.843472222223</v>
      </c>
      <c r="E9364" t="s">
        <v>29099</v>
      </c>
      <c r="F9364" t="s">
        <v>666</v>
      </c>
      <c r="G9364" t="s">
        <v>29100</v>
      </c>
      <c r="H9364" t="s">
        <v>667</v>
      </c>
      <c r="I9364" t="s">
        <v>29</v>
      </c>
      <c r="J9364">
        <v>1</v>
      </c>
      <c r="K9364">
        <f>1-213-371-65</f>
        <v>-648</v>
      </c>
      <c r="L9364" t="s">
        <v>29101</v>
      </c>
      <c r="M9364" t="s">
        <v>29102</v>
      </c>
      <c r="N9364" t="s">
        <v>25263</v>
      </c>
      <c r="O9364" t="s">
        <v>28</v>
      </c>
      <c r="P9364" t="s">
        <v>5789</v>
      </c>
      <c r="Q9364">
        <v>13</v>
      </c>
      <c r="R9364">
        <v>77.585499999999996</v>
      </c>
    </row>
    <row r="9365" spans="1:18" x14ac:dyDescent="0.2">
      <c r="A9365" t="s">
        <v>439</v>
      </c>
      <c r="B9365" t="s">
        <v>4321</v>
      </c>
      <c r="C9365">
        <v>1</v>
      </c>
      <c r="D9365" s="1">
        <v>44279.876539351855</v>
      </c>
      <c r="E9365" t="s">
        <v>29103</v>
      </c>
      <c r="F9365" t="s">
        <v>442</v>
      </c>
      <c r="G9365" t="s">
        <v>29104</v>
      </c>
      <c r="H9365" t="s">
        <v>444</v>
      </c>
      <c r="I9365" t="s">
        <v>29</v>
      </c>
      <c r="J9365">
        <v>1</v>
      </c>
      <c r="K9365">
        <f>1-888-259-4874</f>
        <v>-6020</v>
      </c>
      <c r="L9365" t="s">
        <v>29105</v>
      </c>
      <c r="M9365" t="s">
        <v>29106</v>
      </c>
      <c r="N9365" t="s">
        <v>3441</v>
      </c>
      <c r="O9365" t="s">
        <v>28</v>
      </c>
      <c r="P9365" t="s">
        <v>29</v>
      </c>
      <c r="Q9365">
        <v>42</v>
      </c>
      <c r="R9365">
        <v>-87.629800000000003</v>
      </c>
    </row>
    <row r="9366" spans="1:18" x14ac:dyDescent="0.2">
      <c r="A9366" t="s">
        <v>2233</v>
      </c>
      <c r="B9366" t="s">
        <v>4672</v>
      </c>
      <c r="C9366">
        <v>1</v>
      </c>
      <c r="D9366" s="1">
        <v>44273.751608796294</v>
      </c>
      <c r="E9366" t="s">
        <v>29107</v>
      </c>
      <c r="F9366" t="s">
        <v>29108</v>
      </c>
      <c r="G9366" t="s">
        <v>29109</v>
      </c>
      <c r="H9366" t="s">
        <v>2237</v>
      </c>
      <c r="I9366" t="s">
        <v>29</v>
      </c>
      <c r="J9366">
        <v>1</v>
      </c>
      <c r="K9366">
        <f>1-888-598-1362</f>
        <v>-2847</v>
      </c>
      <c r="L9366" t="s">
        <v>29110</v>
      </c>
      <c r="M9366" t="s">
        <v>29111</v>
      </c>
      <c r="O9366" t="s">
        <v>134</v>
      </c>
      <c r="P9366" t="s">
        <v>782</v>
      </c>
      <c r="Q9366">
        <v>-34</v>
      </c>
      <c r="R9366">
        <v>99.999999000000003</v>
      </c>
    </row>
    <row r="9367" spans="1:18" x14ac:dyDescent="0.2">
      <c r="A9367" t="s">
        <v>439</v>
      </c>
      <c r="B9367" t="s">
        <v>4321</v>
      </c>
      <c r="C9367">
        <v>1</v>
      </c>
      <c r="D9367" s="1">
        <v>44273.755127314813</v>
      </c>
      <c r="E9367" t="s">
        <v>29112</v>
      </c>
      <c r="F9367" t="s">
        <v>442</v>
      </c>
      <c r="G9367" t="s">
        <v>29113</v>
      </c>
      <c r="H9367" t="s">
        <v>444</v>
      </c>
      <c r="I9367" t="s">
        <v>29</v>
      </c>
      <c r="J9367">
        <v>1</v>
      </c>
      <c r="K9367">
        <f>1-888-250-6804</f>
        <v>-7941</v>
      </c>
      <c r="L9367" t="s">
        <v>29114</v>
      </c>
      <c r="M9367" t="s">
        <v>29115</v>
      </c>
      <c r="N9367" t="s">
        <v>447</v>
      </c>
      <c r="O9367" t="s">
        <v>28</v>
      </c>
      <c r="P9367" t="s">
        <v>29</v>
      </c>
      <c r="Q9367">
        <v>42</v>
      </c>
      <c r="R9367">
        <v>-87.629800000000003</v>
      </c>
    </row>
    <row r="9368" spans="1:18" x14ac:dyDescent="0.2">
      <c r="A9368" t="s">
        <v>2233</v>
      </c>
      <c r="B9368" t="s">
        <v>2234</v>
      </c>
      <c r="C9368">
        <v>1</v>
      </c>
      <c r="D9368" s="1">
        <v>44273.76048611111</v>
      </c>
      <c r="E9368" t="s">
        <v>29116</v>
      </c>
      <c r="F9368" t="s">
        <v>2236</v>
      </c>
      <c r="G9368" t="s">
        <v>29116</v>
      </c>
      <c r="H9368" t="s">
        <v>2237</v>
      </c>
      <c r="I9368" t="s">
        <v>29</v>
      </c>
      <c r="J9368">
        <v>1</v>
      </c>
      <c r="K9368">
        <f>1-833-674-1936</f>
        <v>-3442</v>
      </c>
      <c r="L9368" t="s">
        <v>29117</v>
      </c>
      <c r="M9368" t="s">
        <v>29118</v>
      </c>
      <c r="N9368">
        <v>168</v>
      </c>
      <c r="O9368" t="s">
        <v>134</v>
      </c>
      <c r="P9368" t="s">
        <v>29</v>
      </c>
      <c r="Q9368">
        <v>40</v>
      </c>
      <c r="R9368">
        <v>-83.114099999999993</v>
      </c>
    </row>
    <row r="9369" spans="1:18" x14ac:dyDescent="0.2">
      <c r="A9369" t="s">
        <v>439</v>
      </c>
      <c r="B9369" t="s">
        <v>4321</v>
      </c>
      <c r="C9369">
        <v>1</v>
      </c>
      <c r="D9369" s="1">
        <v>44273.764525462961</v>
      </c>
      <c r="E9369" t="s">
        <v>29112</v>
      </c>
      <c r="F9369" t="s">
        <v>442</v>
      </c>
      <c r="G9369" t="s">
        <v>29119</v>
      </c>
      <c r="H9369" t="s">
        <v>444</v>
      </c>
      <c r="I9369" t="s">
        <v>29</v>
      </c>
      <c r="J9369">
        <v>1</v>
      </c>
      <c r="K9369">
        <f>1-844-313-7815</f>
        <v>-8971</v>
      </c>
      <c r="L9369" t="s">
        <v>29120</v>
      </c>
      <c r="M9369" t="s">
        <v>29121</v>
      </c>
      <c r="N9369" t="s">
        <v>447</v>
      </c>
      <c r="O9369" t="s">
        <v>28</v>
      </c>
      <c r="P9369" t="s">
        <v>29</v>
      </c>
      <c r="Q9369">
        <v>42</v>
      </c>
      <c r="R9369">
        <v>-87.629800000000003</v>
      </c>
    </row>
    <row r="9370" spans="1:18" x14ac:dyDescent="0.2">
      <c r="A9370" t="s">
        <v>2349</v>
      </c>
      <c r="B9370" t="s">
        <v>6834</v>
      </c>
      <c r="C9370">
        <v>1</v>
      </c>
      <c r="D9370" s="1">
        <v>44280.715729166666</v>
      </c>
      <c r="E9370" t="s">
        <v>29122</v>
      </c>
      <c r="F9370" t="s">
        <v>2352</v>
      </c>
      <c r="G9370" t="s">
        <v>29123</v>
      </c>
      <c r="H9370" t="s">
        <v>2353</v>
      </c>
      <c r="I9370" t="s">
        <v>29</v>
      </c>
      <c r="J9370">
        <v>1</v>
      </c>
      <c r="K9370">
        <f>1-888-565-8664</f>
        <v>-10116</v>
      </c>
      <c r="L9370" t="s">
        <v>29124</v>
      </c>
      <c r="M9370" t="s">
        <v>29125</v>
      </c>
      <c r="N9370" t="s">
        <v>3454</v>
      </c>
      <c r="O9370" t="s">
        <v>134</v>
      </c>
      <c r="P9370" t="s">
        <v>29</v>
      </c>
      <c r="Q9370">
        <v>34</v>
      </c>
      <c r="R9370">
        <v>-99.999999000000003</v>
      </c>
    </row>
    <row r="9371" spans="1:18" x14ac:dyDescent="0.2">
      <c r="A9371" t="s">
        <v>663</v>
      </c>
      <c r="B9371" t="s">
        <v>2500</v>
      </c>
      <c r="C9371">
        <v>1</v>
      </c>
      <c r="D9371" s="1">
        <v>44279.882685185185</v>
      </c>
      <c r="E9371" t="s">
        <v>29126</v>
      </c>
      <c r="F9371" t="s">
        <v>666</v>
      </c>
      <c r="G9371" t="s">
        <v>29126</v>
      </c>
      <c r="H9371" t="s">
        <v>667</v>
      </c>
      <c r="I9371" t="s">
        <v>29</v>
      </c>
      <c r="J9371">
        <v>1</v>
      </c>
      <c r="K9371">
        <f>1-833-364-3263</f>
        <v>-4459</v>
      </c>
      <c r="L9371" t="s">
        <v>29127</v>
      </c>
      <c r="M9371" t="s">
        <v>29128</v>
      </c>
      <c r="N9371">
        <v>126</v>
      </c>
      <c r="O9371" t="s">
        <v>134</v>
      </c>
      <c r="P9371" t="s">
        <v>2500</v>
      </c>
      <c r="Q9371">
        <v>1</v>
      </c>
      <c r="R9371">
        <v>99.999999000000003</v>
      </c>
    </row>
    <row r="9372" spans="1:18" x14ac:dyDescent="0.2">
      <c r="A9372" t="s">
        <v>663</v>
      </c>
      <c r="B9372" t="s">
        <v>2500</v>
      </c>
      <c r="C9372">
        <v>1</v>
      </c>
      <c r="D9372" s="1">
        <v>44279.877465277779</v>
      </c>
      <c r="E9372" t="s">
        <v>29126</v>
      </c>
      <c r="F9372" t="s">
        <v>666</v>
      </c>
      <c r="G9372" t="s">
        <v>29126</v>
      </c>
      <c r="H9372" t="s">
        <v>667</v>
      </c>
      <c r="I9372" t="s">
        <v>29</v>
      </c>
      <c r="J9372">
        <v>1</v>
      </c>
      <c r="K9372">
        <f>1-888-334-1267</f>
        <v>-2488</v>
      </c>
      <c r="L9372" t="s">
        <v>29129</v>
      </c>
      <c r="M9372" t="s">
        <v>29130</v>
      </c>
      <c r="N9372">
        <v>126</v>
      </c>
      <c r="O9372" t="s">
        <v>134</v>
      </c>
      <c r="P9372" t="s">
        <v>2500</v>
      </c>
      <c r="Q9372">
        <v>1</v>
      </c>
      <c r="R9372">
        <v>99.999999000000003</v>
      </c>
    </row>
    <row r="9373" spans="1:18" x14ac:dyDescent="0.2">
      <c r="A9373" t="s">
        <v>439</v>
      </c>
      <c r="B9373" t="s">
        <v>4321</v>
      </c>
      <c r="C9373">
        <v>1</v>
      </c>
      <c r="D9373" s="1">
        <v>44279.930069444446</v>
      </c>
      <c r="E9373" t="s">
        <v>29131</v>
      </c>
      <c r="F9373" t="s">
        <v>442</v>
      </c>
      <c r="G9373" t="s">
        <v>29132</v>
      </c>
      <c r="H9373" t="s">
        <v>444</v>
      </c>
      <c r="I9373" t="s">
        <v>29</v>
      </c>
      <c r="J9373">
        <v>1</v>
      </c>
      <c r="K9373">
        <f>1-844-278-6995</f>
        <v>-8116</v>
      </c>
      <c r="L9373" t="s">
        <v>29133</v>
      </c>
      <c r="M9373" t="s">
        <v>29134</v>
      </c>
      <c r="N9373" t="s">
        <v>452</v>
      </c>
      <c r="O9373" t="s">
        <v>28</v>
      </c>
      <c r="P9373" t="s">
        <v>29</v>
      </c>
      <c r="Q9373">
        <v>42</v>
      </c>
      <c r="R9373">
        <v>-87.629800000000003</v>
      </c>
    </row>
    <row r="9374" spans="1:18" x14ac:dyDescent="0.2">
      <c r="A9374" t="s">
        <v>675</v>
      </c>
      <c r="B9374" t="s">
        <v>1412</v>
      </c>
      <c r="C9374">
        <v>1</v>
      </c>
      <c r="D9374" s="1">
        <v>44279.890532407408</v>
      </c>
      <c r="E9374" t="s">
        <v>29135</v>
      </c>
      <c r="F9374" t="s">
        <v>678</v>
      </c>
      <c r="G9374" t="s">
        <v>29136</v>
      </c>
      <c r="H9374" t="s">
        <v>680</v>
      </c>
      <c r="I9374" t="s">
        <v>29</v>
      </c>
      <c r="J9374">
        <v>1</v>
      </c>
      <c r="K9374">
        <f>1-518-888-7796</f>
        <v>-9201</v>
      </c>
      <c r="L9374" t="s">
        <v>29137</v>
      </c>
      <c r="M9374" t="s">
        <v>29138</v>
      </c>
      <c r="N9374" t="s">
        <v>452</v>
      </c>
      <c r="O9374" t="s">
        <v>28</v>
      </c>
      <c r="P9374" t="s">
        <v>29</v>
      </c>
      <c r="Q9374">
        <v>41</v>
      </c>
      <c r="R9374">
        <v>-74.172399999999996</v>
      </c>
    </row>
    <row r="9375" spans="1:18" x14ac:dyDescent="0.2">
      <c r="A9375" t="s">
        <v>439</v>
      </c>
      <c r="B9375" t="s">
        <v>4321</v>
      </c>
      <c r="C9375">
        <v>1</v>
      </c>
      <c r="D9375" s="1">
        <v>44279.91337962963</v>
      </c>
      <c r="E9375" t="s">
        <v>29139</v>
      </c>
      <c r="F9375" t="s">
        <v>442</v>
      </c>
      <c r="G9375" t="s">
        <v>29140</v>
      </c>
      <c r="H9375" t="s">
        <v>444</v>
      </c>
      <c r="I9375" t="s">
        <v>29</v>
      </c>
      <c r="J9375">
        <v>1</v>
      </c>
      <c r="K9375">
        <f>1-888-308-4860</f>
        <v>-6055</v>
      </c>
      <c r="L9375" t="s">
        <v>29141</v>
      </c>
      <c r="M9375" t="s">
        <v>29142</v>
      </c>
      <c r="N9375" t="s">
        <v>3441</v>
      </c>
      <c r="O9375" t="s">
        <v>28</v>
      </c>
      <c r="P9375" t="s">
        <v>29</v>
      </c>
      <c r="Q9375">
        <v>42</v>
      </c>
      <c r="R9375">
        <v>-87.629800000000003</v>
      </c>
    </row>
    <row r="9376" spans="1:18" x14ac:dyDescent="0.2">
      <c r="A9376" t="s">
        <v>439</v>
      </c>
      <c r="B9376" t="s">
        <v>4321</v>
      </c>
      <c r="C9376">
        <v>1</v>
      </c>
      <c r="D9376" s="1">
        <v>44279.880173611113</v>
      </c>
      <c r="E9376" t="s">
        <v>29143</v>
      </c>
      <c r="F9376" t="s">
        <v>442</v>
      </c>
      <c r="G9376" t="s">
        <v>29144</v>
      </c>
      <c r="H9376" t="s">
        <v>444</v>
      </c>
      <c r="I9376" t="s">
        <v>29</v>
      </c>
      <c r="J9376">
        <v>1</v>
      </c>
      <c r="K9376">
        <f>1-888-218-8191</f>
        <v>-9296</v>
      </c>
      <c r="L9376" t="s">
        <v>29145</v>
      </c>
      <c r="M9376" t="s">
        <v>29146</v>
      </c>
      <c r="N9376" t="s">
        <v>447</v>
      </c>
      <c r="O9376" t="s">
        <v>28</v>
      </c>
      <c r="P9376" t="s">
        <v>29</v>
      </c>
      <c r="Q9376">
        <v>42</v>
      </c>
      <c r="R9376">
        <v>-87.629800000000003</v>
      </c>
    </row>
    <row r="9377" spans="1:18" x14ac:dyDescent="0.2">
      <c r="A9377" t="s">
        <v>439</v>
      </c>
      <c r="B9377" t="s">
        <v>4321</v>
      </c>
      <c r="C9377">
        <v>1</v>
      </c>
      <c r="D9377" s="1">
        <v>44279.878668981481</v>
      </c>
      <c r="E9377" t="s">
        <v>29143</v>
      </c>
      <c r="F9377" t="s">
        <v>442</v>
      </c>
      <c r="G9377" t="s">
        <v>29144</v>
      </c>
      <c r="H9377" t="s">
        <v>444</v>
      </c>
      <c r="I9377" t="s">
        <v>29</v>
      </c>
      <c r="J9377">
        <v>1</v>
      </c>
      <c r="K9377">
        <f>1-888-259-4874</f>
        <v>-6020</v>
      </c>
      <c r="L9377" t="s">
        <v>29147</v>
      </c>
      <c r="M9377" t="s">
        <v>29148</v>
      </c>
      <c r="N9377" t="s">
        <v>447</v>
      </c>
      <c r="O9377" t="s">
        <v>28</v>
      </c>
      <c r="P9377" t="s">
        <v>29</v>
      </c>
      <c r="Q9377">
        <v>42</v>
      </c>
      <c r="R9377">
        <v>-87.629800000000003</v>
      </c>
    </row>
    <row r="9378" spans="1:18" x14ac:dyDescent="0.2">
      <c r="A9378" t="s">
        <v>439</v>
      </c>
      <c r="B9378" t="s">
        <v>4321</v>
      </c>
      <c r="C9378">
        <v>1</v>
      </c>
      <c r="D9378" s="1">
        <v>44279.881724537037</v>
      </c>
      <c r="E9378" t="s">
        <v>29149</v>
      </c>
      <c r="F9378" t="s">
        <v>442</v>
      </c>
      <c r="G9378" t="s">
        <v>29150</v>
      </c>
      <c r="H9378" t="s">
        <v>444</v>
      </c>
      <c r="I9378" t="s">
        <v>29</v>
      </c>
      <c r="J9378">
        <v>1</v>
      </c>
      <c r="K9378">
        <f>1-844-969-438</f>
        <v>-2250</v>
      </c>
      <c r="L9378" t="s">
        <v>29151</v>
      </c>
      <c r="M9378" t="s">
        <v>29152</v>
      </c>
      <c r="N9378" t="s">
        <v>5354</v>
      </c>
      <c r="O9378" t="s">
        <v>28</v>
      </c>
      <c r="P9378" t="s">
        <v>29</v>
      </c>
      <c r="Q9378">
        <v>42</v>
      </c>
      <c r="R9378">
        <v>-87.629800000000003</v>
      </c>
    </row>
    <row r="9379" spans="1:18" x14ac:dyDescent="0.2">
      <c r="A9379" t="s">
        <v>439</v>
      </c>
      <c r="B9379" t="s">
        <v>4321</v>
      </c>
      <c r="C9379">
        <v>1</v>
      </c>
      <c r="D9379" s="1">
        <v>44280.795844907407</v>
      </c>
      <c r="E9379" t="s">
        <v>29153</v>
      </c>
      <c r="F9379" t="s">
        <v>442</v>
      </c>
      <c r="G9379" t="s">
        <v>29154</v>
      </c>
      <c r="H9379" t="s">
        <v>444</v>
      </c>
      <c r="I9379" t="s">
        <v>29</v>
      </c>
      <c r="J9379">
        <v>1</v>
      </c>
      <c r="K9379">
        <f>1-844-318-8591</f>
        <v>-9752</v>
      </c>
      <c r="L9379" t="s">
        <v>29155</v>
      </c>
      <c r="M9379" t="s">
        <v>29156</v>
      </c>
      <c r="N9379" t="s">
        <v>447</v>
      </c>
      <c r="O9379" t="s">
        <v>28</v>
      </c>
      <c r="P9379" t="s">
        <v>29</v>
      </c>
      <c r="Q9379">
        <v>42</v>
      </c>
      <c r="R9379">
        <v>-87.629800000000003</v>
      </c>
    </row>
    <row r="9380" spans="1:18" x14ac:dyDescent="0.2">
      <c r="A9380" t="s">
        <v>6586</v>
      </c>
      <c r="B9380" t="s">
        <v>24593</v>
      </c>
      <c r="C9380">
        <v>1</v>
      </c>
      <c r="D9380" s="1">
        <v>44279.885231481479</v>
      </c>
      <c r="E9380" t="s">
        <v>29157</v>
      </c>
      <c r="F9380" t="s">
        <v>6588</v>
      </c>
      <c r="G9380" t="s">
        <v>29158</v>
      </c>
      <c r="H9380" t="s">
        <v>6590</v>
      </c>
      <c r="I9380" t="s">
        <v>29</v>
      </c>
      <c r="J9380">
        <v>1</v>
      </c>
      <c r="K9380">
        <f>1-888-357-2282</f>
        <v>-3526</v>
      </c>
      <c r="L9380" t="s">
        <v>29159</v>
      </c>
      <c r="M9380" t="s">
        <v>29160</v>
      </c>
      <c r="N9380" t="s">
        <v>25263</v>
      </c>
      <c r="O9380" t="s">
        <v>28</v>
      </c>
      <c r="P9380" t="s">
        <v>29</v>
      </c>
      <c r="Q9380">
        <v>41</v>
      </c>
      <c r="R9380">
        <v>-74.459199999999996</v>
      </c>
    </row>
    <row r="9381" spans="1:18" x14ac:dyDescent="0.2">
      <c r="A9381" t="s">
        <v>663</v>
      </c>
      <c r="B9381" t="s">
        <v>2493</v>
      </c>
      <c r="C9381">
        <v>1</v>
      </c>
      <c r="D9381" s="1">
        <v>44280.713518518518</v>
      </c>
      <c r="E9381" t="s">
        <v>29161</v>
      </c>
      <c r="F9381" t="s">
        <v>666</v>
      </c>
      <c r="G9381" t="s">
        <v>29161</v>
      </c>
      <c r="H9381" t="s">
        <v>667</v>
      </c>
      <c r="I9381" t="s">
        <v>29</v>
      </c>
      <c r="J9381">
        <v>1</v>
      </c>
      <c r="K9381">
        <f>1-888-243-6393</f>
        <v>-7523</v>
      </c>
      <c r="L9381" t="s">
        <v>29162</v>
      </c>
      <c r="M9381" t="s">
        <v>29163</v>
      </c>
      <c r="N9381">
        <v>180</v>
      </c>
      <c r="O9381" t="s">
        <v>134</v>
      </c>
      <c r="P9381" t="s">
        <v>29</v>
      </c>
      <c r="Q9381">
        <v>41</v>
      </c>
      <c r="R9381">
        <v>-74.024699999999996</v>
      </c>
    </row>
    <row r="9382" spans="1:18" x14ac:dyDescent="0.2">
      <c r="A9382" t="s">
        <v>663</v>
      </c>
      <c r="B9382" t="s">
        <v>2500</v>
      </c>
      <c r="C9382">
        <v>1</v>
      </c>
      <c r="D9382" s="1">
        <v>44272.984236111108</v>
      </c>
      <c r="E9382" t="s">
        <v>29164</v>
      </c>
      <c r="F9382" t="s">
        <v>666</v>
      </c>
      <c r="G9382" t="s">
        <v>29164</v>
      </c>
      <c r="H9382" t="s">
        <v>667</v>
      </c>
      <c r="I9382" t="s">
        <v>29</v>
      </c>
      <c r="J9382">
        <v>1</v>
      </c>
      <c r="K9382">
        <f>1-888-344-8774</f>
        <v>-10005</v>
      </c>
      <c r="L9382" t="s">
        <v>29165</v>
      </c>
      <c r="M9382" t="s">
        <v>29166</v>
      </c>
      <c r="N9382">
        <v>149</v>
      </c>
      <c r="O9382" t="s">
        <v>134</v>
      </c>
      <c r="P9382" t="s">
        <v>2500</v>
      </c>
      <c r="Q9382">
        <v>1</v>
      </c>
      <c r="R9382">
        <v>99.999999000000003</v>
      </c>
    </row>
    <row r="9383" spans="1:18" x14ac:dyDescent="0.2">
      <c r="A9383" t="s">
        <v>663</v>
      </c>
      <c r="B9383" t="s">
        <v>2500</v>
      </c>
      <c r="C9383">
        <v>1</v>
      </c>
      <c r="D9383" s="1">
        <v>44272.983587962961</v>
      </c>
      <c r="E9383" t="s">
        <v>29164</v>
      </c>
      <c r="F9383" t="s">
        <v>666</v>
      </c>
      <c r="G9383" t="s">
        <v>29164</v>
      </c>
      <c r="H9383" t="s">
        <v>667</v>
      </c>
      <c r="I9383" t="s">
        <v>29</v>
      </c>
      <c r="J9383">
        <v>1</v>
      </c>
      <c r="K9383">
        <f>1-888-381-5243</f>
        <v>-6511</v>
      </c>
      <c r="L9383" t="s">
        <v>29167</v>
      </c>
      <c r="M9383" t="s">
        <v>29166</v>
      </c>
      <c r="N9383">
        <v>149</v>
      </c>
      <c r="O9383" t="s">
        <v>134</v>
      </c>
      <c r="P9383" t="s">
        <v>2500</v>
      </c>
      <c r="Q9383">
        <v>1</v>
      </c>
      <c r="R9383">
        <v>99.999999000000003</v>
      </c>
    </row>
    <row r="9384" spans="1:18" x14ac:dyDescent="0.2">
      <c r="A9384" t="s">
        <v>663</v>
      </c>
      <c r="B9384" t="s">
        <v>2500</v>
      </c>
      <c r="C9384">
        <v>1</v>
      </c>
      <c r="D9384" s="1">
        <v>44272.983252314814</v>
      </c>
      <c r="E9384" t="s">
        <v>29164</v>
      </c>
      <c r="F9384" t="s">
        <v>666</v>
      </c>
      <c r="G9384" t="s">
        <v>29164</v>
      </c>
      <c r="H9384" t="s">
        <v>667</v>
      </c>
      <c r="I9384" t="s">
        <v>29</v>
      </c>
      <c r="J9384">
        <v>1</v>
      </c>
      <c r="K9384">
        <f>1-844-294-3201</f>
        <v>-4338</v>
      </c>
      <c r="L9384" s="2">
        <v>6052844437000</v>
      </c>
      <c r="M9384" t="s">
        <v>29166</v>
      </c>
      <c r="N9384">
        <v>149</v>
      </c>
      <c r="O9384" t="s">
        <v>134</v>
      </c>
      <c r="P9384" t="s">
        <v>2500</v>
      </c>
      <c r="Q9384">
        <v>1</v>
      </c>
      <c r="R9384">
        <v>99.999999000000003</v>
      </c>
    </row>
    <row r="9385" spans="1:18" x14ac:dyDescent="0.2">
      <c r="A9385" t="s">
        <v>663</v>
      </c>
      <c r="B9385" t="s">
        <v>2500</v>
      </c>
      <c r="C9385">
        <v>1</v>
      </c>
      <c r="D9385" s="1">
        <v>44272.983159722222</v>
      </c>
      <c r="E9385" t="s">
        <v>29164</v>
      </c>
      <c r="F9385" t="s">
        <v>666</v>
      </c>
      <c r="G9385" t="s">
        <v>29164</v>
      </c>
      <c r="H9385" t="s">
        <v>667</v>
      </c>
      <c r="I9385" t="s">
        <v>29</v>
      </c>
      <c r="J9385">
        <v>1</v>
      </c>
      <c r="K9385">
        <f>1-833-394-3931</f>
        <v>-5157</v>
      </c>
      <c r="L9385" t="s">
        <v>29168</v>
      </c>
      <c r="M9385" t="s">
        <v>29166</v>
      </c>
      <c r="N9385">
        <v>149</v>
      </c>
      <c r="O9385" t="s">
        <v>134</v>
      </c>
      <c r="P9385" t="s">
        <v>2500</v>
      </c>
      <c r="Q9385">
        <v>1</v>
      </c>
      <c r="R9385">
        <v>99.999999000000003</v>
      </c>
    </row>
    <row r="9386" spans="1:18" x14ac:dyDescent="0.2">
      <c r="A9386" t="s">
        <v>663</v>
      </c>
      <c r="B9386" t="s">
        <v>2500</v>
      </c>
      <c r="C9386">
        <v>1</v>
      </c>
      <c r="D9386" s="1">
        <v>44272.982881944445</v>
      </c>
      <c r="E9386" t="s">
        <v>29164</v>
      </c>
      <c r="F9386" t="s">
        <v>666</v>
      </c>
      <c r="G9386" t="s">
        <v>29164</v>
      </c>
      <c r="H9386" t="s">
        <v>667</v>
      </c>
      <c r="I9386" t="s">
        <v>29</v>
      </c>
      <c r="J9386">
        <v>1</v>
      </c>
      <c r="K9386">
        <f>1-844-337-2010</f>
        <v>-3190</v>
      </c>
      <c r="L9386" t="s">
        <v>29169</v>
      </c>
      <c r="M9386" t="s">
        <v>29166</v>
      </c>
      <c r="N9386">
        <v>149</v>
      </c>
      <c r="O9386" t="s">
        <v>134</v>
      </c>
      <c r="P9386" t="s">
        <v>2500</v>
      </c>
      <c r="Q9386">
        <v>1</v>
      </c>
      <c r="R9386">
        <v>99.999999000000003</v>
      </c>
    </row>
    <row r="9387" spans="1:18" x14ac:dyDescent="0.2">
      <c r="A9387" t="s">
        <v>663</v>
      </c>
      <c r="B9387" t="s">
        <v>2493</v>
      </c>
      <c r="C9387">
        <v>1</v>
      </c>
      <c r="D9387" s="1">
        <v>44280.749965277777</v>
      </c>
      <c r="E9387" t="s">
        <v>29170</v>
      </c>
      <c r="F9387" t="s">
        <v>666</v>
      </c>
      <c r="G9387" t="s">
        <v>29170</v>
      </c>
      <c r="H9387" t="s">
        <v>667</v>
      </c>
      <c r="I9387" t="s">
        <v>29</v>
      </c>
      <c r="J9387">
        <v>1</v>
      </c>
      <c r="K9387">
        <f>1-844-310-4770</f>
        <v>-5923</v>
      </c>
      <c r="L9387" t="s">
        <v>29171</v>
      </c>
      <c r="M9387" t="s">
        <v>29172</v>
      </c>
      <c r="N9387">
        <v>52</v>
      </c>
      <c r="O9387" t="s">
        <v>134</v>
      </c>
      <c r="P9387" t="s">
        <v>29</v>
      </c>
      <c r="Q9387">
        <v>41</v>
      </c>
      <c r="R9387">
        <v>-74.024699999999996</v>
      </c>
    </row>
    <row r="9388" spans="1:18" x14ac:dyDescent="0.2">
      <c r="A9388" t="s">
        <v>663</v>
      </c>
      <c r="B9388" t="s">
        <v>5784</v>
      </c>
      <c r="C9388">
        <v>1</v>
      </c>
      <c r="D9388" s="1">
        <v>44280.752314814818</v>
      </c>
      <c r="E9388" t="s">
        <v>29173</v>
      </c>
      <c r="F9388" t="s">
        <v>666</v>
      </c>
      <c r="G9388" t="s">
        <v>29174</v>
      </c>
      <c r="H9388" t="s">
        <v>667</v>
      </c>
      <c r="I9388" t="s">
        <v>29</v>
      </c>
      <c r="J9388">
        <v>1</v>
      </c>
      <c r="K9388">
        <f>1-833-220-2980</f>
        <v>-4032</v>
      </c>
      <c r="L9388" t="s">
        <v>29175</v>
      </c>
      <c r="M9388" t="s">
        <v>29176</v>
      </c>
      <c r="N9388" t="s">
        <v>25263</v>
      </c>
      <c r="O9388" t="s">
        <v>28</v>
      </c>
      <c r="P9388" t="s">
        <v>5789</v>
      </c>
      <c r="Q9388">
        <v>13</v>
      </c>
      <c r="R9388">
        <v>77.585499999999996</v>
      </c>
    </row>
    <row r="9389" spans="1:18" x14ac:dyDescent="0.2">
      <c r="A9389" t="s">
        <v>663</v>
      </c>
      <c r="B9389" t="s">
        <v>664</v>
      </c>
      <c r="C9389">
        <v>1</v>
      </c>
      <c r="D9389" s="1">
        <v>44280.742523148147</v>
      </c>
      <c r="E9389" t="s">
        <v>29177</v>
      </c>
      <c r="F9389" t="s">
        <v>666</v>
      </c>
      <c r="G9389" t="s">
        <v>29178</v>
      </c>
      <c r="H9389" t="s">
        <v>667</v>
      </c>
      <c r="I9389" t="s">
        <v>29</v>
      </c>
      <c r="J9389">
        <v>1</v>
      </c>
      <c r="K9389">
        <f>1-855-574-1736</f>
        <v>-3164</v>
      </c>
      <c r="L9389" t="s">
        <v>29179</v>
      </c>
      <c r="M9389" t="s">
        <v>29180</v>
      </c>
      <c r="N9389" t="s">
        <v>36</v>
      </c>
      <c r="O9389" t="s">
        <v>28</v>
      </c>
      <c r="P9389" t="s">
        <v>29</v>
      </c>
      <c r="Q9389">
        <v>37</v>
      </c>
      <c r="R9389">
        <v>-99.999999000000003</v>
      </c>
    </row>
    <row r="9390" spans="1:18" x14ac:dyDescent="0.2">
      <c r="A9390" t="s">
        <v>663</v>
      </c>
      <c r="B9390" t="s">
        <v>2493</v>
      </c>
      <c r="C9390">
        <v>1</v>
      </c>
      <c r="D9390" s="1">
        <v>44280.760335648149</v>
      </c>
      <c r="E9390" t="s">
        <v>29181</v>
      </c>
      <c r="F9390" t="s">
        <v>666</v>
      </c>
      <c r="G9390" t="s">
        <v>29181</v>
      </c>
      <c r="H9390" t="s">
        <v>667</v>
      </c>
      <c r="I9390" t="s">
        <v>29</v>
      </c>
      <c r="J9390">
        <v>1</v>
      </c>
      <c r="K9390">
        <f>1-844-310-4770</f>
        <v>-5923</v>
      </c>
      <c r="L9390" t="s">
        <v>29182</v>
      </c>
      <c r="M9390" t="s">
        <v>29183</v>
      </c>
      <c r="N9390">
        <v>206</v>
      </c>
      <c r="O9390" t="s">
        <v>134</v>
      </c>
      <c r="P9390" t="s">
        <v>29</v>
      </c>
      <c r="Q9390">
        <v>41</v>
      </c>
      <c r="R9390">
        <v>-74.024699999999996</v>
      </c>
    </row>
    <row r="9391" spans="1:18" x14ac:dyDescent="0.2">
      <c r="A9391" t="s">
        <v>439</v>
      </c>
      <c r="B9391" t="s">
        <v>4321</v>
      </c>
      <c r="C9391">
        <v>1</v>
      </c>
      <c r="D9391" s="1">
        <v>44280.693460648145</v>
      </c>
      <c r="E9391" t="s">
        <v>29184</v>
      </c>
      <c r="F9391" t="s">
        <v>442</v>
      </c>
      <c r="G9391" t="s">
        <v>29185</v>
      </c>
      <c r="H9391" t="s">
        <v>444</v>
      </c>
      <c r="I9391" t="s">
        <v>29</v>
      </c>
      <c r="J9391">
        <v>1</v>
      </c>
      <c r="K9391">
        <f>1-844-309-2064</f>
        <v>-3216</v>
      </c>
      <c r="L9391" t="s">
        <v>29186</v>
      </c>
      <c r="M9391" t="s">
        <v>29187</v>
      </c>
      <c r="N9391" t="s">
        <v>447</v>
      </c>
      <c r="O9391" t="s">
        <v>28</v>
      </c>
      <c r="P9391" t="s">
        <v>29</v>
      </c>
      <c r="Q9391">
        <v>42</v>
      </c>
      <c r="R9391">
        <v>-87.629800000000003</v>
      </c>
    </row>
    <row r="9392" spans="1:18" x14ac:dyDescent="0.2">
      <c r="A9392" t="s">
        <v>439</v>
      </c>
      <c r="B9392" t="s">
        <v>4321</v>
      </c>
      <c r="C9392">
        <v>81</v>
      </c>
      <c r="D9392" s="1">
        <v>44280.713391203702</v>
      </c>
      <c r="E9392" t="s">
        <v>29188</v>
      </c>
      <c r="F9392" t="s">
        <v>442</v>
      </c>
      <c r="G9392" t="s">
        <v>29189</v>
      </c>
      <c r="H9392" t="s">
        <v>444</v>
      </c>
      <c r="I9392" t="s">
        <v>53</v>
      </c>
      <c r="J9392">
        <v>81</v>
      </c>
      <c r="K9392">
        <f>81-50-3615-5522</f>
        <v>-9106</v>
      </c>
      <c r="L9392" t="s">
        <v>29190</v>
      </c>
      <c r="M9392" t="s">
        <v>29191</v>
      </c>
      <c r="N9392" t="s">
        <v>447</v>
      </c>
      <c r="O9392" t="s">
        <v>28</v>
      </c>
      <c r="P9392" t="s">
        <v>29</v>
      </c>
      <c r="Q9392">
        <v>42</v>
      </c>
      <c r="R9392">
        <v>-87.629800000000003</v>
      </c>
    </row>
    <row r="9393" spans="1:18" x14ac:dyDescent="0.2">
      <c r="A9393" t="s">
        <v>663</v>
      </c>
      <c r="B9393" t="s">
        <v>3245</v>
      </c>
      <c r="C9393">
        <v>1</v>
      </c>
      <c r="D9393" s="1">
        <v>44279.990706018521</v>
      </c>
      <c r="E9393" t="s">
        <v>29192</v>
      </c>
      <c r="F9393" t="s">
        <v>666</v>
      </c>
      <c r="G9393" t="s">
        <v>29192</v>
      </c>
      <c r="H9393" t="s">
        <v>667</v>
      </c>
      <c r="I9393" t="s">
        <v>29</v>
      </c>
      <c r="J9393">
        <v>1</v>
      </c>
      <c r="K9393">
        <f>1-877-556-7085</f>
        <v>-8517</v>
      </c>
      <c r="L9393" t="s">
        <v>29193</v>
      </c>
      <c r="M9393" t="s">
        <v>29194</v>
      </c>
      <c r="N9393">
        <v>119</v>
      </c>
      <c r="O9393" t="s">
        <v>134</v>
      </c>
      <c r="P9393" t="s">
        <v>29</v>
      </c>
      <c r="Q9393">
        <v>41</v>
      </c>
      <c r="R9393">
        <v>-74.140299999999996</v>
      </c>
    </row>
    <row r="9394" spans="1:18" x14ac:dyDescent="0.2">
      <c r="A9394" t="s">
        <v>2233</v>
      </c>
      <c r="B9394" t="s">
        <v>2234</v>
      </c>
      <c r="C9394">
        <v>1</v>
      </c>
      <c r="D9394" s="1">
        <v>44274.240034722221</v>
      </c>
      <c r="E9394" t="s">
        <v>29195</v>
      </c>
      <c r="F9394" t="s">
        <v>2236</v>
      </c>
      <c r="G9394" t="s">
        <v>29195</v>
      </c>
      <c r="H9394" t="s">
        <v>2237</v>
      </c>
      <c r="I9394" t="s">
        <v>29</v>
      </c>
      <c r="J9394">
        <v>1</v>
      </c>
      <c r="K9394">
        <f>1-833-674-1936</f>
        <v>-3442</v>
      </c>
      <c r="L9394" t="s">
        <v>29196</v>
      </c>
      <c r="M9394" t="s">
        <v>29197</v>
      </c>
      <c r="N9394">
        <v>30</v>
      </c>
      <c r="O9394" t="s">
        <v>134</v>
      </c>
      <c r="P9394" t="s">
        <v>29</v>
      </c>
      <c r="Q9394">
        <v>40</v>
      </c>
      <c r="R9394">
        <v>-83.114099999999993</v>
      </c>
    </row>
    <row r="9395" spans="1:18" x14ac:dyDescent="0.2">
      <c r="A9395" t="s">
        <v>2233</v>
      </c>
      <c r="B9395" t="s">
        <v>4672</v>
      </c>
      <c r="C9395">
        <v>61</v>
      </c>
      <c r="D9395" s="1">
        <v>44274.254340277781</v>
      </c>
      <c r="E9395" t="s">
        <v>29198</v>
      </c>
      <c r="F9395" t="s">
        <v>2236</v>
      </c>
      <c r="G9395" t="s">
        <v>29199</v>
      </c>
      <c r="H9395" t="s">
        <v>2237</v>
      </c>
      <c r="I9395" t="s">
        <v>782</v>
      </c>
      <c r="J9395">
        <v>61</v>
      </c>
      <c r="K9395">
        <f>61-1800-951-46</f>
        <v>-2736</v>
      </c>
      <c r="L9395" t="s">
        <v>29200</v>
      </c>
      <c r="M9395" t="s">
        <v>29201</v>
      </c>
      <c r="N9395" t="s">
        <v>5354</v>
      </c>
      <c r="O9395" t="s">
        <v>134</v>
      </c>
      <c r="P9395" t="s">
        <v>782</v>
      </c>
      <c r="Q9395">
        <v>-34</v>
      </c>
      <c r="R9395">
        <v>99.999999000000003</v>
      </c>
    </row>
    <row r="9396" spans="1:18" x14ac:dyDescent="0.2">
      <c r="A9396" t="s">
        <v>439</v>
      </c>
      <c r="B9396" t="s">
        <v>4321</v>
      </c>
      <c r="C9396">
        <v>81</v>
      </c>
      <c r="D9396" s="1">
        <v>44275.924039351848</v>
      </c>
      <c r="E9396" t="s">
        <v>29202</v>
      </c>
      <c r="F9396" t="s">
        <v>442</v>
      </c>
      <c r="G9396" t="s">
        <v>29203</v>
      </c>
      <c r="H9396" t="s">
        <v>444</v>
      </c>
      <c r="I9396" t="s">
        <v>53</v>
      </c>
      <c r="J9396">
        <v>81</v>
      </c>
      <c r="K9396">
        <f>81-50-5809-7576</f>
        <v>-13354</v>
      </c>
      <c r="L9396" t="s">
        <v>29204</v>
      </c>
      <c r="M9396" t="s">
        <v>29205</v>
      </c>
      <c r="N9396" t="s">
        <v>213</v>
      </c>
      <c r="O9396" t="s">
        <v>28</v>
      </c>
      <c r="P9396" t="s">
        <v>29</v>
      </c>
      <c r="Q9396">
        <v>42</v>
      </c>
      <c r="R9396">
        <v>-87.629800000000003</v>
      </c>
    </row>
    <row r="9397" spans="1:18" x14ac:dyDescent="0.2">
      <c r="A9397" t="s">
        <v>439</v>
      </c>
      <c r="B9397" t="s">
        <v>4321</v>
      </c>
      <c r="C9397">
        <v>81</v>
      </c>
      <c r="D9397" s="1">
        <v>44274.355266203704</v>
      </c>
      <c r="E9397" t="s">
        <v>29202</v>
      </c>
      <c r="F9397" t="s">
        <v>442</v>
      </c>
      <c r="G9397" t="s">
        <v>29203</v>
      </c>
      <c r="H9397" t="s">
        <v>444</v>
      </c>
      <c r="I9397" t="s">
        <v>53</v>
      </c>
      <c r="J9397">
        <v>81</v>
      </c>
      <c r="K9397">
        <f>81-50-5809-7576</f>
        <v>-13354</v>
      </c>
      <c r="L9397" t="s">
        <v>29206</v>
      </c>
      <c r="M9397" t="s">
        <v>29207</v>
      </c>
      <c r="N9397" t="s">
        <v>213</v>
      </c>
      <c r="O9397" t="s">
        <v>134</v>
      </c>
      <c r="P9397" t="s">
        <v>29</v>
      </c>
      <c r="Q9397">
        <v>42</v>
      </c>
      <c r="R9397">
        <v>-87.629800000000003</v>
      </c>
    </row>
    <row r="9398" spans="1:18" x14ac:dyDescent="0.2">
      <c r="A9398" t="s">
        <v>439</v>
      </c>
      <c r="B9398" t="s">
        <v>4321</v>
      </c>
      <c r="C9398">
        <v>81</v>
      </c>
      <c r="D9398" s="1">
        <v>44274.356354166666</v>
      </c>
      <c r="E9398" t="s">
        <v>29208</v>
      </c>
      <c r="F9398" t="s">
        <v>442</v>
      </c>
      <c r="G9398" t="s">
        <v>29209</v>
      </c>
      <c r="H9398" t="s">
        <v>444</v>
      </c>
      <c r="I9398" t="s">
        <v>53</v>
      </c>
      <c r="J9398">
        <v>81</v>
      </c>
      <c r="K9398">
        <f>81-50-3196-5103</f>
        <v>-8268</v>
      </c>
      <c r="L9398" t="s">
        <v>29210</v>
      </c>
      <c r="M9398" t="s">
        <v>29211</v>
      </c>
      <c r="N9398" t="s">
        <v>213</v>
      </c>
      <c r="O9398" t="s">
        <v>134</v>
      </c>
      <c r="P9398" t="s">
        <v>29</v>
      </c>
      <c r="Q9398">
        <v>42</v>
      </c>
      <c r="R9398">
        <v>-87.629800000000003</v>
      </c>
    </row>
    <row r="9399" spans="1:18" x14ac:dyDescent="0.2">
      <c r="A9399" t="s">
        <v>270</v>
      </c>
      <c r="B9399" t="s">
        <v>454</v>
      </c>
      <c r="C9399">
        <v>1</v>
      </c>
      <c r="D9399" s="1">
        <v>44286.772766203707</v>
      </c>
      <c r="E9399" t="s">
        <v>29212</v>
      </c>
      <c r="F9399" t="s">
        <v>273</v>
      </c>
      <c r="G9399" t="s">
        <v>29213</v>
      </c>
      <c r="H9399" t="s">
        <v>275</v>
      </c>
      <c r="I9399" t="s">
        <v>29</v>
      </c>
      <c r="J9399">
        <v>1</v>
      </c>
      <c r="K9399">
        <f>1-844-396-9512</f>
        <v>-10751</v>
      </c>
      <c r="L9399" t="s">
        <v>29214</v>
      </c>
      <c r="M9399" t="s">
        <v>29215</v>
      </c>
      <c r="N9399" t="s">
        <v>278</v>
      </c>
      <c r="O9399" t="s">
        <v>28</v>
      </c>
      <c r="P9399" t="s">
        <v>461</v>
      </c>
      <c r="Q9399">
        <v>52</v>
      </c>
      <c r="R9399">
        <v>4.9000000000000004</v>
      </c>
    </row>
    <row r="9400" spans="1:18" x14ac:dyDescent="0.2">
      <c r="A9400" t="s">
        <v>663</v>
      </c>
      <c r="B9400" t="s">
        <v>2493</v>
      </c>
      <c r="C9400">
        <v>1</v>
      </c>
      <c r="D9400" s="1">
        <v>44280.752754629626</v>
      </c>
      <c r="E9400" t="s">
        <v>29216</v>
      </c>
      <c r="F9400" t="s">
        <v>666</v>
      </c>
      <c r="G9400" t="s">
        <v>29216</v>
      </c>
      <c r="H9400" t="s">
        <v>667</v>
      </c>
      <c r="I9400" t="s">
        <v>29</v>
      </c>
      <c r="J9400">
        <v>1</v>
      </c>
      <c r="K9400">
        <f>1-844-310-4770</f>
        <v>-5923</v>
      </c>
      <c r="L9400" t="s">
        <v>29217</v>
      </c>
      <c r="M9400" t="s">
        <v>29218</v>
      </c>
      <c r="N9400">
        <v>71</v>
      </c>
      <c r="O9400" t="s">
        <v>134</v>
      </c>
      <c r="P9400" t="s">
        <v>29</v>
      </c>
      <c r="Q9400">
        <v>41</v>
      </c>
      <c r="R9400">
        <v>-74.024699999999996</v>
      </c>
    </row>
    <row r="9401" spans="1:18" x14ac:dyDescent="0.2">
      <c r="A9401" t="s">
        <v>439</v>
      </c>
      <c r="B9401" t="s">
        <v>4321</v>
      </c>
      <c r="C9401">
        <v>1</v>
      </c>
      <c r="D9401" s="1">
        <v>44275.830821759257</v>
      </c>
      <c r="E9401" t="s">
        <v>29219</v>
      </c>
      <c r="F9401" t="s">
        <v>442</v>
      </c>
      <c r="G9401" t="s">
        <v>29220</v>
      </c>
      <c r="H9401" t="s">
        <v>444</v>
      </c>
      <c r="I9401" t="s">
        <v>29</v>
      </c>
      <c r="J9401">
        <v>1</v>
      </c>
      <c r="K9401">
        <f>1-844-247-3930</f>
        <v>-5020</v>
      </c>
      <c r="L9401" t="s">
        <v>29221</v>
      </c>
      <c r="M9401" t="s">
        <v>29222</v>
      </c>
      <c r="N9401" t="s">
        <v>447</v>
      </c>
      <c r="O9401" t="s">
        <v>28</v>
      </c>
      <c r="P9401" t="s">
        <v>29</v>
      </c>
      <c r="Q9401">
        <v>42</v>
      </c>
      <c r="R9401">
        <v>-87.629800000000003</v>
      </c>
    </row>
    <row r="9402" spans="1:18" x14ac:dyDescent="0.2">
      <c r="A9402" t="s">
        <v>2233</v>
      </c>
      <c r="B9402" t="s">
        <v>2234</v>
      </c>
      <c r="C9402">
        <v>1</v>
      </c>
      <c r="D9402" s="1">
        <v>44275.921886574077</v>
      </c>
      <c r="E9402" t="s">
        <v>29223</v>
      </c>
      <c r="F9402" t="s">
        <v>2236</v>
      </c>
      <c r="G9402" t="s">
        <v>29224</v>
      </c>
      <c r="H9402" t="s">
        <v>2237</v>
      </c>
      <c r="I9402" t="s">
        <v>29</v>
      </c>
      <c r="J9402">
        <v>1</v>
      </c>
      <c r="K9402">
        <f>1-833-220-2971</f>
        <v>-4023</v>
      </c>
      <c r="L9402" t="s">
        <v>29225</v>
      </c>
      <c r="M9402" t="s">
        <v>29226</v>
      </c>
      <c r="N9402" t="s">
        <v>5354</v>
      </c>
      <c r="O9402" t="s">
        <v>28</v>
      </c>
      <c r="P9402" t="s">
        <v>29</v>
      </c>
      <c r="Q9402">
        <v>40</v>
      </c>
      <c r="R9402">
        <v>-83.114099999999993</v>
      </c>
    </row>
    <row r="9403" spans="1:18" x14ac:dyDescent="0.2">
      <c r="A9403" t="s">
        <v>2233</v>
      </c>
      <c r="B9403" t="s">
        <v>2234</v>
      </c>
      <c r="C9403">
        <v>1</v>
      </c>
      <c r="D9403" s="1">
        <v>44275.928749999999</v>
      </c>
      <c r="E9403" t="s">
        <v>29227</v>
      </c>
      <c r="F9403" t="s">
        <v>2236</v>
      </c>
      <c r="G9403" t="s">
        <v>29228</v>
      </c>
      <c r="H9403" t="s">
        <v>2237</v>
      </c>
      <c r="I9403" t="s">
        <v>29</v>
      </c>
      <c r="J9403">
        <v>1</v>
      </c>
      <c r="K9403">
        <f>1-833-220-3618</f>
        <v>-4670</v>
      </c>
      <c r="L9403">
        <v>6056666278536</v>
      </c>
      <c r="M9403" t="s">
        <v>29229</v>
      </c>
      <c r="N9403" t="s">
        <v>5354</v>
      </c>
      <c r="O9403" t="s">
        <v>28</v>
      </c>
      <c r="P9403" t="s">
        <v>29</v>
      </c>
      <c r="Q9403">
        <v>40</v>
      </c>
      <c r="R9403">
        <v>-83.114099999999993</v>
      </c>
    </row>
    <row r="9404" spans="1:18" x14ac:dyDescent="0.2">
      <c r="A9404" t="s">
        <v>2233</v>
      </c>
      <c r="B9404" t="s">
        <v>2234</v>
      </c>
      <c r="C9404">
        <v>1</v>
      </c>
      <c r="D9404" s="1">
        <v>44275.942326388889</v>
      </c>
      <c r="E9404" t="s">
        <v>29230</v>
      </c>
      <c r="F9404" t="s">
        <v>2236</v>
      </c>
      <c r="G9404" t="s">
        <v>29231</v>
      </c>
      <c r="H9404" t="s">
        <v>2237</v>
      </c>
      <c r="I9404" t="s">
        <v>29</v>
      </c>
      <c r="J9404">
        <v>1</v>
      </c>
      <c r="K9404">
        <f>1-833-220-3899</f>
        <v>-4951</v>
      </c>
      <c r="L9404" t="s">
        <v>29232</v>
      </c>
      <c r="M9404" t="s">
        <v>29233</v>
      </c>
      <c r="N9404" t="s">
        <v>5354</v>
      </c>
      <c r="O9404" t="s">
        <v>28</v>
      </c>
      <c r="P9404" t="s">
        <v>29</v>
      </c>
      <c r="Q9404">
        <v>40</v>
      </c>
      <c r="R9404">
        <v>-83.114099999999993</v>
      </c>
    </row>
    <row r="9405" spans="1:18" x14ac:dyDescent="0.2">
      <c r="A9405" t="s">
        <v>6660</v>
      </c>
      <c r="B9405" t="s">
        <v>10113</v>
      </c>
      <c r="C9405">
        <v>1</v>
      </c>
      <c r="D9405" s="1">
        <v>44275.990844907406</v>
      </c>
      <c r="E9405" t="s">
        <v>29234</v>
      </c>
      <c r="F9405" t="s">
        <v>6663</v>
      </c>
      <c r="G9405" t="s">
        <v>29235</v>
      </c>
      <c r="H9405" t="s">
        <v>6665</v>
      </c>
      <c r="I9405" t="s">
        <v>29</v>
      </c>
      <c r="J9405">
        <v>1</v>
      </c>
      <c r="K9405">
        <f>1-844-809-3919</f>
        <v>-5571</v>
      </c>
      <c r="L9405" t="s">
        <v>29236</v>
      </c>
      <c r="M9405" t="s">
        <v>29237</v>
      </c>
      <c r="N9405" t="s">
        <v>452</v>
      </c>
      <c r="O9405" t="s">
        <v>28</v>
      </c>
      <c r="P9405" t="s">
        <v>10118</v>
      </c>
      <c r="Q9405">
        <v>55</v>
      </c>
      <c r="R9405">
        <v>25.279699999999998</v>
      </c>
    </row>
    <row r="9406" spans="1:18" x14ac:dyDescent="0.2">
      <c r="A9406" t="s">
        <v>2349</v>
      </c>
      <c r="B9406" t="s">
        <v>4667</v>
      </c>
      <c r="C9406">
        <v>1</v>
      </c>
      <c r="D9406" s="1">
        <v>44287.149386574078</v>
      </c>
      <c r="E9406" t="s">
        <v>29238</v>
      </c>
      <c r="F9406" t="s">
        <v>2352</v>
      </c>
      <c r="G9406" t="s">
        <v>29239</v>
      </c>
      <c r="H9406" t="s">
        <v>2353</v>
      </c>
      <c r="I9406" t="s">
        <v>29</v>
      </c>
      <c r="J9406">
        <v>1</v>
      </c>
      <c r="K9406">
        <f>1-865-355-2623</f>
        <v>-3842</v>
      </c>
      <c r="L9406" t="s">
        <v>29240</v>
      </c>
      <c r="M9406" t="s">
        <v>29241</v>
      </c>
      <c r="N9406" t="s">
        <v>3441</v>
      </c>
      <c r="O9406" t="s">
        <v>134</v>
      </c>
      <c r="P9406" t="s">
        <v>53</v>
      </c>
      <c r="Q9406">
        <v>36</v>
      </c>
      <c r="R9406">
        <v>99.999999000000003</v>
      </c>
    </row>
    <row r="9407" spans="1:18" x14ac:dyDescent="0.2">
      <c r="A9407" t="s">
        <v>2349</v>
      </c>
      <c r="B9407" t="s">
        <v>4667</v>
      </c>
      <c r="C9407">
        <v>1</v>
      </c>
      <c r="D9407" s="1">
        <v>44287.144907407404</v>
      </c>
      <c r="E9407" t="s">
        <v>29242</v>
      </c>
      <c r="F9407" t="s">
        <v>2352</v>
      </c>
      <c r="G9407" t="s">
        <v>29239</v>
      </c>
      <c r="H9407" t="s">
        <v>2353</v>
      </c>
      <c r="I9407" t="s">
        <v>29</v>
      </c>
      <c r="J9407">
        <v>1</v>
      </c>
      <c r="K9407">
        <f>1-865-355-2623</f>
        <v>-3842</v>
      </c>
      <c r="L9407" t="s">
        <v>29243</v>
      </c>
      <c r="M9407" t="s">
        <v>29244</v>
      </c>
      <c r="N9407" t="s">
        <v>447</v>
      </c>
      <c r="O9407" t="s">
        <v>134</v>
      </c>
      <c r="P9407" t="s">
        <v>53</v>
      </c>
      <c r="Q9407">
        <v>36</v>
      </c>
      <c r="R9407">
        <v>99.999999000000003</v>
      </c>
    </row>
    <row r="9408" spans="1:18" x14ac:dyDescent="0.2">
      <c r="A9408" t="s">
        <v>2349</v>
      </c>
      <c r="B9408" t="s">
        <v>4667</v>
      </c>
      <c r="C9408">
        <v>1</v>
      </c>
      <c r="D9408" s="1">
        <v>44285.667291666665</v>
      </c>
      <c r="E9408" t="s">
        <v>29245</v>
      </c>
      <c r="F9408" t="s">
        <v>2352</v>
      </c>
      <c r="G9408" t="s">
        <v>29239</v>
      </c>
      <c r="H9408" t="s">
        <v>2353</v>
      </c>
      <c r="I9408" t="s">
        <v>29</v>
      </c>
      <c r="J9408">
        <v>1</v>
      </c>
      <c r="K9408">
        <f>1-865-888-8347</f>
        <v>-10099</v>
      </c>
      <c r="L9408" t="s">
        <v>29246</v>
      </c>
      <c r="M9408" t="s">
        <v>29247</v>
      </c>
      <c r="N9408" t="s">
        <v>674</v>
      </c>
      <c r="O9408" t="s">
        <v>134</v>
      </c>
      <c r="P9408" t="s">
        <v>53</v>
      </c>
      <c r="Q9408">
        <v>36</v>
      </c>
      <c r="R9408">
        <v>99.999999000000003</v>
      </c>
    </row>
    <row r="9409" spans="1:18" x14ac:dyDescent="0.2">
      <c r="A9409" t="s">
        <v>2349</v>
      </c>
      <c r="B9409" t="s">
        <v>4667</v>
      </c>
      <c r="C9409">
        <v>1</v>
      </c>
      <c r="D9409" s="1">
        <v>44276.792638888888</v>
      </c>
      <c r="E9409" t="s">
        <v>29248</v>
      </c>
      <c r="F9409" t="s">
        <v>2352</v>
      </c>
      <c r="G9409" t="s">
        <v>29239</v>
      </c>
      <c r="H9409" t="s">
        <v>2353</v>
      </c>
      <c r="I9409" t="s">
        <v>29</v>
      </c>
      <c r="J9409">
        <v>1</v>
      </c>
      <c r="K9409">
        <f>1-865-888-8213</f>
        <v>-9965</v>
      </c>
      <c r="L9409" t="s">
        <v>29249</v>
      </c>
      <c r="M9409" t="s">
        <v>29250</v>
      </c>
      <c r="N9409" t="s">
        <v>3441</v>
      </c>
      <c r="O9409" t="s">
        <v>134</v>
      </c>
      <c r="P9409" t="s">
        <v>53</v>
      </c>
      <c r="Q9409">
        <v>36</v>
      </c>
      <c r="R9409">
        <v>99.999999000000003</v>
      </c>
    </row>
    <row r="9410" spans="1:18" x14ac:dyDescent="0.2">
      <c r="A9410" t="s">
        <v>2349</v>
      </c>
      <c r="B9410" t="s">
        <v>4667</v>
      </c>
      <c r="C9410">
        <v>1</v>
      </c>
      <c r="D9410" s="1">
        <v>44276.792280092595</v>
      </c>
      <c r="E9410" t="s">
        <v>29251</v>
      </c>
      <c r="F9410" t="s">
        <v>2352</v>
      </c>
      <c r="G9410" t="s">
        <v>29239</v>
      </c>
      <c r="H9410" t="s">
        <v>2353</v>
      </c>
      <c r="I9410" t="s">
        <v>29</v>
      </c>
      <c r="J9410">
        <v>1</v>
      </c>
      <c r="K9410">
        <f>1-802-239-6417</f>
        <v>-7457</v>
      </c>
      <c r="L9410" t="s">
        <v>29252</v>
      </c>
      <c r="M9410" t="s">
        <v>29253</v>
      </c>
      <c r="N9410" t="s">
        <v>447</v>
      </c>
      <c r="O9410" t="s">
        <v>134</v>
      </c>
      <c r="P9410" t="s">
        <v>53</v>
      </c>
      <c r="Q9410">
        <v>36</v>
      </c>
      <c r="R9410">
        <v>99.999999000000003</v>
      </c>
    </row>
    <row r="9411" spans="1:18" x14ac:dyDescent="0.2">
      <c r="A9411" t="s">
        <v>18</v>
      </c>
      <c r="B9411" t="s">
        <v>3426</v>
      </c>
      <c r="C9411">
        <v>1</v>
      </c>
      <c r="D9411" s="1">
        <v>44276.884976851848</v>
      </c>
      <c r="E9411" t="s">
        <v>29254</v>
      </c>
      <c r="F9411" t="s">
        <v>482</v>
      </c>
      <c r="G9411" t="s">
        <v>29255</v>
      </c>
      <c r="H9411" t="s">
        <v>466</v>
      </c>
      <c r="I9411" t="s">
        <v>29</v>
      </c>
      <c r="J9411">
        <v>1</v>
      </c>
      <c r="K9411">
        <f>1-820-400-1316</f>
        <v>-2535</v>
      </c>
      <c r="L9411" t="s">
        <v>29256</v>
      </c>
      <c r="M9411" t="s">
        <v>29257</v>
      </c>
      <c r="N9411" t="s">
        <v>278</v>
      </c>
      <c r="O9411" t="s">
        <v>134</v>
      </c>
      <c r="P9411" t="s">
        <v>29</v>
      </c>
      <c r="Q9411">
        <v>42</v>
      </c>
      <c r="R9411">
        <v>-71.193399999999997</v>
      </c>
    </row>
    <row r="9412" spans="1:18" x14ac:dyDescent="0.2">
      <c r="A9412" t="s">
        <v>663</v>
      </c>
      <c r="B9412" t="s">
        <v>5784</v>
      </c>
      <c r="C9412">
        <v>1</v>
      </c>
      <c r="D9412" s="1">
        <v>44280.856030092589</v>
      </c>
      <c r="E9412" t="s">
        <v>29258</v>
      </c>
      <c r="F9412" t="s">
        <v>666</v>
      </c>
      <c r="G9412" t="s">
        <v>29259</v>
      </c>
      <c r="H9412" t="s">
        <v>667</v>
      </c>
      <c r="I9412" t="s">
        <v>29</v>
      </c>
      <c r="J9412">
        <v>1</v>
      </c>
      <c r="K9412">
        <f>1-844-298-1047</f>
        <v>-2188</v>
      </c>
      <c r="L9412" t="s">
        <v>29260</v>
      </c>
      <c r="M9412" t="s">
        <v>29261</v>
      </c>
      <c r="N9412" t="s">
        <v>25263</v>
      </c>
      <c r="O9412" t="s">
        <v>28</v>
      </c>
      <c r="P9412" t="s">
        <v>5789</v>
      </c>
      <c r="Q9412">
        <v>13</v>
      </c>
      <c r="R9412">
        <v>77.585499999999996</v>
      </c>
    </row>
    <row r="9413" spans="1:18" x14ac:dyDescent="0.2">
      <c r="A9413" t="s">
        <v>439</v>
      </c>
      <c r="B9413" t="s">
        <v>4321</v>
      </c>
      <c r="C9413">
        <v>1</v>
      </c>
      <c r="D9413" s="1">
        <v>44280.858946759261</v>
      </c>
      <c r="E9413" t="s">
        <v>29262</v>
      </c>
      <c r="F9413" t="s">
        <v>442</v>
      </c>
      <c r="G9413" t="s">
        <v>29263</v>
      </c>
      <c r="H9413" t="s">
        <v>444</v>
      </c>
      <c r="I9413" t="s">
        <v>29</v>
      </c>
      <c r="J9413">
        <v>1</v>
      </c>
      <c r="K9413">
        <f>1-802-465-4527</f>
        <v>-5793</v>
      </c>
      <c r="L9413" t="s">
        <v>29264</v>
      </c>
      <c r="M9413" t="s">
        <v>29265</v>
      </c>
      <c r="N9413" t="s">
        <v>25195</v>
      </c>
      <c r="O9413" t="s">
        <v>28</v>
      </c>
      <c r="P9413" t="s">
        <v>29</v>
      </c>
      <c r="Q9413">
        <v>42</v>
      </c>
      <c r="R9413">
        <v>-87.629800000000003</v>
      </c>
    </row>
    <row r="9414" spans="1:18" x14ac:dyDescent="0.2">
      <c r="A9414" t="s">
        <v>439</v>
      </c>
      <c r="B9414" t="s">
        <v>4321</v>
      </c>
      <c r="C9414">
        <v>1</v>
      </c>
      <c r="D9414" s="1">
        <v>44286.762499999997</v>
      </c>
      <c r="E9414" t="s">
        <v>29266</v>
      </c>
      <c r="F9414" t="s">
        <v>442</v>
      </c>
      <c r="G9414" t="s">
        <v>29267</v>
      </c>
      <c r="H9414" t="s">
        <v>444</v>
      </c>
      <c r="I9414" t="s">
        <v>29</v>
      </c>
      <c r="J9414">
        <v>1</v>
      </c>
      <c r="K9414">
        <f>1-888-514-285</f>
        <v>-1686</v>
      </c>
      <c r="L9414" t="s">
        <v>29268</v>
      </c>
      <c r="M9414" t="s">
        <v>29269</v>
      </c>
      <c r="N9414" t="s">
        <v>25195</v>
      </c>
      <c r="O9414" t="s">
        <v>28</v>
      </c>
      <c r="P9414" t="s">
        <v>29</v>
      </c>
      <c r="Q9414">
        <v>42</v>
      </c>
      <c r="R9414">
        <v>-87.629800000000003</v>
      </c>
    </row>
    <row r="9415" spans="1:18" x14ac:dyDescent="0.2">
      <c r="A9415" t="s">
        <v>663</v>
      </c>
      <c r="B9415" t="s">
        <v>1412</v>
      </c>
      <c r="C9415">
        <v>1</v>
      </c>
      <c r="D9415" s="1">
        <v>44286.772407407407</v>
      </c>
      <c r="E9415" t="s">
        <v>29270</v>
      </c>
      <c r="F9415" t="s">
        <v>2495</v>
      </c>
      <c r="G9415" t="s">
        <v>29270</v>
      </c>
      <c r="H9415" t="s">
        <v>667</v>
      </c>
      <c r="I9415" t="s">
        <v>29</v>
      </c>
      <c r="J9415">
        <v>1</v>
      </c>
      <c r="K9415">
        <f>1-844-309-2136</f>
        <v>-3288</v>
      </c>
      <c r="L9415" t="s">
        <v>29271</v>
      </c>
      <c r="M9415" t="s">
        <v>29272</v>
      </c>
      <c r="N9415">
        <v>59</v>
      </c>
      <c r="O9415" t="s">
        <v>134</v>
      </c>
      <c r="P9415" t="s">
        <v>29</v>
      </c>
      <c r="Q9415">
        <v>41</v>
      </c>
      <c r="R9415">
        <v>-74.172399999999996</v>
      </c>
    </row>
    <row r="9416" spans="1:18" x14ac:dyDescent="0.2">
      <c r="A9416" t="s">
        <v>663</v>
      </c>
      <c r="B9416" t="s">
        <v>2500</v>
      </c>
      <c r="C9416">
        <v>1</v>
      </c>
      <c r="D9416" s="1">
        <v>44289.858703703707</v>
      </c>
      <c r="E9416" t="s">
        <v>29273</v>
      </c>
      <c r="F9416" t="s">
        <v>666</v>
      </c>
      <c r="G9416" t="s">
        <v>29273</v>
      </c>
      <c r="H9416" t="s">
        <v>667</v>
      </c>
      <c r="I9416" t="s">
        <v>29</v>
      </c>
      <c r="J9416">
        <v>1</v>
      </c>
      <c r="K9416">
        <f>1-888-356-1477</f>
        <v>-2720</v>
      </c>
      <c r="L9416" t="s">
        <v>29274</v>
      </c>
      <c r="M9416" t="s">
        <v>29275</v>
      </c>
      <c r="N9416">
        <v>125</v>
      </c>
      <c r="O9416" t="s">
        <v>134</v>
      </c>
      <c r="P9416" t="s">
        <v>2500</v>
      </c>
      <c r="Q9416">
        <v>1</v>
      </c>
      <c r="R9416">
        <v>99.999999000000003</v>
      </c>
    </row>
    <row r="9417" spans="1:18" x14ac:dyDescent="0.2">
      <c r="A9417" t="s">
        <v>663</v>
      </c>
      <c r="B9417" t="s">
        <v>2500</v>
      </c>
      <c r="C9417">
        <v>1</v>
      </c>
      <c r="D9417" s="1">
        <v>44289.858611111114</v>
      </c>
      <c r="E9417" t="s">
        <v>29273</v>
      </c>
      <c r="F9417" t="s">
        <v>666</v>
      </c>
      <c r="G9417" t="s">
        <v>29273</v>
      </c>
      <c r="H9417" t="s">
        <v>667</v>
      </c>
      <c r="I9417" t="s">
        <v>29</v>
      </c>
      <c r="J9417">
        <v>1</v>
      </c>
      <c r="K9417">
        <f>1-888-393-3015</f>
        <v>-4295</v>
      </c>
      <c r="L9417" t="s">
        <v>29276</v>
      </c>
      <c r="M9417" t="s">
        <v>29275</v>
      </c>
      <c r="N9417">
        <v>125</v>
      </c>
      <c r="O9417" t="s">
        <v>134</v>
      </c>
      <c r="P9417" t="s">
        <v>2500</v>
      </c>
      <c r="Q9417">
        <v>1</v>
      </c>
      <c r="R9417">
        <v>99.999999000000003</v>
      </c>
    </row>
    <row r="9418" spans="1:18" x14ac:dyDescent="0.2">
      <c r="A9418" t="s">
        <v>663</v>
      </c>
      <c r="B9418" t="s">
        <v>2500</v>
      </c>
      <c r="C9418">
        <v>1</v>
      </c>
      <c r="D9418" s="1">
        <v>44289.858599537038</v>
      </c>
      <c r="E9418" t="s">
        <v>29273</v>
      </c>
      <c r="F9418" t="s">
        <v>666</v>
      </c>
      <c r="G9418" t="s">
        <v>29273</v>
      </c>
      <c r="H9418" t="s">
        <v>667</v>
      </c>
      <c r="I9418" t="s">
        <v>29</v>
      </c>
      <c r="J9418">
        <v>1</v>
      </c>
      <c r="K9418">
        <f>1-888-397-6124</f>
        <v>-7408</v>
      </c>
      <c r="L9418" t="s">
        <v>29277</v>
      </c>
      <c r="M9418" t="s">
        <v>29275</v>
      </c>
      <c r="N9418">
        <v>125</v>
      </c>
      <c r="O9418" t="s">
        <v>134</v>
      </c>
      <c r="P9418" t="s">
        <v>2500</v>
      </c>
      <c r="Q9418">
        <v>1</v>
      </c>
      <c r="R9418">
        <v>99.999999000000003</v>
      </c>
    </row>
    <row r="9419" spans="1:18" x14ac:dyDescent="0.2">
      <c r="A9419" t="s">
        <v>663</v>
      </c>
      <c r="B9419" t="s">
        <v>2500</v>
      </c>
      <c r="C9419">
        <v>1</v>
      </c>
      <c r="D9419" s="1">
        <v>44289.858599537038</v>
      </c>
      <c r="E9419" t="s">
        <v>29273</v>
      </c>
      <c r="F9419" t="s">
        <v>666</v>
      </c>
      <c r="G9419" t="s">
        <v>29273</v>
      </c>
      <c r="H9419" t="s">
        <v>667</v>
      </c>
      <c r="I9419" t="s">
        <v>29</v>
      </c>
      <c r="J9419">
        <v>1</v>
      </c>
      <c r="K9419">
        <f>1-888-396-4059</f>
        <v>-5342</v>
      </c>
      <c r="L9419" t="s">
        <v>29278</v>
      </c>
      <c r="M9419" t="s">
        <v>29275</v>
      </c>
      <c r="N9419">
        <v>125</v>
      </c>
      <c r="O9419" t="s">
        <v>134</v>
      </c>
      <c r="P9419" t="s">
        <v>2500</v>
      </c>
      <c r="Q9419">
        <v>1</v>
      </c>
      <c r="R9419">
        <v>99.999999000000003</v>
      </c>
    </row>
    <row r="9420" spans="1:18" x14ac:dyDescent="0.2">
      <c r="A9420" t="s">
        <v>663</v>
      </c>
      <c r="B9420" t="s">
        <v>2500</v>
      </c>
      <c r="C9420">
        <v>1</v>
      </c>
      <c r="D9420" s="1">
        <v>44289.858599537038</v>
      </c>
      <c r="E9420" t="s">
        <v>29273</v>
      </c>
      <c r="F9420" t="s">
        <v>666</v>
      </c>
      <c r="G9420" t="s">
        <v>29273</v>
      </c>
      <c r="H9420" t="s">
        <v>667</v>
      </c>
      <c r="I9420" t="s">
        <v>29</v>
      </c>
      <c r="J9420">
        <v>1</v>
      </c>
      <c r="K9420">
        <f>1-888-394-2383</f>
        <v>-3664</v>
      </c>
      <c r="L9420" t="s">
        <v>29279</v>
      </c>
      <c r="M9420" t="s">
        <v>29275</v>
      </c>
      <c r="N9420">
        <v>125</v>
      </c>
      <c r="O9420" t="s">
        <v>134</v>
      </c>
      <c r="P9420" t="s">
        <v>2500</v>
      </c>
      <c r="Q9420">
        <v>1</v>
      </c>
      <c r="R9420">
        <v>99.999999000000003</v>
      </c>
    </row>
    <row r="9421" spans="1:18" x14ac:dyDescent="0.2">
      <c r="A9421" t="s">
        <v>663</v>
      </c>
      <c r="B9421" t="s">
        <v>2500</v>
      </c>
      <c r="C9421">
        <v>1</v>
      </c>
      <c r="D9421" s="1">
        <v>44289.858599537038</v>
      </c>
      <c r="E9421" t="s">
        <v>29273</v>
      </c>
      <c r="F9421" t="s">
        <v>666</v>
      </c>
      <c r="G9421" t="s">
        <v>29273</v>
      </c>
      <c r="H9421" t="s">
        <v>667</v>
      </c>
      <c r="I9421" t="s">
        <v>29</v>
      </c>
      <c r="J9421">
        <v>1</v>
      </c>
      <c r="K9421">
        <f>1-888-396-1832</f>
        <v>-3115</v>
      </c>
      <c r="L9421" t="s">
        <v>29280</v>
      </c>
      <c r="M9421" t="s">
        <v>29275</v>
      </c>
      <c r="N9421">
        <v>125</v>
      </c>
      <c r="O9421" t="s">
        <v>134</v>
      </c>
      <c r="P9421" t="s">
        <v>2500</v>
      </c>
      <c r="Q9421">
        <v>1</v>
      </c>
      <c r="R9421">
        <v>99.999999000000003</v>
      </c>
    </row>
    <row r="9422" spans="1:18" x14ac:dyDescent="0.2">
      <c r="A9422" t="s">
        <v>663</v>
      </c>
      <c r="B9422" t="s">
        <v>2500</v>
      </c>
      <c r="C9422">
        <v>1</v>
      </c>
      <c r="D9422" s="1">
        <v>44289.858495370368</v>
      </c>
      <c r="E9422" t="s">
        <v>29273</v>
      </c>
      <c r="F9422" t="s">
        <v>666</v>
      </c>
      <c r="G9422" t="s">
        <v>29273</v>
      </c>
      <c r="H9422" t="s">
        <v>667</v>
      </c>
      <c r="I9422" t="s">
        <v>29</v>
      </c>
      <c r="J9422">
        <v>1</v>
      </c>
      <c r="K9422">
        <f>1-888-523-9593</f>
        <v>-11003</v>
      </c>
      <c r="L9422" t="s">
        <v>29281</v>
      </c>
      <c r="M9422" t="s">
        <v>29275</v>
      </c>
      <c r="N9422">
        <v>125</v>
      </c>
      <c r="O9422" t="s">
        <v>134</v>
      </c>
      <c r="P9422" t="s">
        <v>2500</v>
      </c>
      <c r="Q9422">
        <v>1</v>
      </c>
      <c r="R9422">
        <v>99.999999000000003</v>
      </c>
    </row>
    <row r="9423" spans="1:18" x14ac:dyDescent="0.2">
      <c r="A9423" t="s">
        <v>663</v>
      </c>
      <c r="B9423" t="s">
        <v>2500</v>
      </c>
      <c r="C9423">
        <v>1</v>
      </c>
      <c r="D9423" s="1">
        <v>44289.858483796299</v>
      </c>
      <c r="E9423" t="s">
        <v>29273</v>
      </c>
      <c r="F9423" t="s">
        <v>666</v>
      </c>
      <c r="G9423" t="s">
        <v>29273</v>
      </c>
      <c r="H9423" t="s">
        <v>667</v>
      </c>
      <c r="I9423" t="s">
        <v>29</v>
      </c>
      <c r="J9423">
        <v>1</v>
      </c>
      <c r="K9423">
        <f>1-888-690-743</f>
        <v>-2320</v>
      </c>
      <c r="L9423" t="s">
        <v>29282</v>
      </c>
      <c r="M9423" t="s">
        <v>29275</v>
      </c>
      <c r="N9423">
        <v>125</v>
      </c>
      <c r="O9423" t="s">
        <v>134</v>
      </c>
      <c r="P9423" t="s">
        <v>2500</v>
      </c>
      <c r="Q9423">
        <v>1</v>
      </c>
      <c r="R9423">
        <v>99.999999000000003</v>
      </c>
    </row>
    <row r="9424" spans="1:18" x14ac:dyDescent="0.2">
      <c r="A9424" t="s">
        <v>663</v>
      </c>
      <c r="B9424" t="s">
        <v>2500</v>
      </c>
      <c r="C9424">
        <v>1</v>
      </c>
      <c r="D9424" s="1">
        <v>44289.858472222222</v>
      </c>
      <c r="E9424" t="s">
        <v>29273</v>
      </c>
      <c r="F9424" t="s">
        <v>666</v>
      </c>
      <c r="G9424" t="s">
        <v>29273</v>
      </c>
      <c r="H9424" t="s">
        <v>667</v>
      </c>
      <c r="I9424" t="s">
        <v>29</v>
      </c>
      <c r="J9424">
        <v>1</v>
      </c>
      <c r="K9424">
        <f>1-888-399-5035</f>
        <v>-6321</v>
      </c>
      <c r="L9424" t="s">
        <v>29283</v>
      </c>
      <c r="M9424" t="s">
        <v>29275</v>
      </c>
      <c r="N9424">
        <v>125</v>
      </c>
      <c r="O9424" t="s">
        <v>134</v>
      </c>
      <c r="P9424" t="s">
        <v>2500</v>
      </c>
      <c r="Q9424">
        <v>1</v>
      </c>
      <c r="R9424">
        <v>99.999999000000003</v>
      </c>
    </row>
    <row r="9425" spans="1:18" x14ac:dyDescent="0.2">
      <c r="A9425" t="s">
        <v>663</v>
      </c>
      <c r="B9425" t="s">
        <v>2500</v>
      </c>
      <c r="C9425">
        <v>1</v>
      </c>
      <c r="D9425" s="1">
        <v>44289.858472222222</v>
      </c>
      <c r="E9425" t="s">
        <v>29273</v>
      </c>
      <c r="F9425" t="s">
        <v>666</v>
      </c>
      <c r="G9425" t="s">
        <v>29273</v>
      </c>
      <c r="H9425" t="s">
        <v>667</v>
      </c>
      <c r="I9425" t="s">
        <v>29</v>
      </c>
      <c r="J9425">
        <v>1</v>
      </c>
      <c r="K9425">
        <f>1-888-392-5442</f>
        <v>-6721</v>
      </c>
      <c r="L9425" t="s">
        <v>29284</v>
      </c>
      <c r="M9425" t="s">
        <v>29275</v>
      </c>
      <c r="N9425">
        <v>125</v>
      </c>
      <c r="O9425" t="s">
        <v>134</v>
      </c>
      <c r="P9425" t="s">
        <v>2500</v>
      </c>
      <c r="Q9425">
        <v>1</v>
      </c>
      <c r="R9425">
        <v>99.999999000000003</v>
      </c>
    </row>
    <row r="9426" spans="1:18" x14ac:dyDescent="0.2">
      <c r="A9426" t="s">
        <v>663</v>
      </c>
      <c r="B9426" t="s">
        <v>2500</v>
      </c>
      <c r="C9426">
        <v>1</v>
      </c>
      <c r="D9426" s="1">
        <v>44289.858449074076</v>
      </c>
      <c r="E9426" t="s">
        <v>29273</v>
      </c>
      <c r="F9426" t="s">
        <v>666</v>
      </c>
      <c r="G9426" t="s">
        <v>29273</v>
      </c>
      <c r="H9426" t="s">
        <v>667</v>
      </c>
      <c r="I9426" t="s">
        <v>29</v>
      </c>
      <c r="J9426">
        <v>1</v>
      </c>
      <c r="K9426">
        <f>1-888-337-623</f>
        <v>-1847</v>
      </c>
      <c r="L9426" t="s">
        <v>29285</v>
      </c>
      <c r="M9426" t="s">
        <v>29275</v>
      </c>
      <c r="N9426">
        <v>125</v>
      </c>
      <c r="O9426" t="s">
        <v>134</v>
      </c>
      <c r="P9426" t="s">
        <v>2500</v>
      </c>
      <c r="Q9426">
        <v>1</v>
      </c>
      <c r="R9426">
        <v>99.999999000000003</v>
      </c>
    </row>
    <row r="9427" spans="1:18" x14ac:dyDescent="0.2">
      <c r="A9427" t="s">
        <v>663</v>
      </c>
      <c r="B9427" t="s">
        <v>2500</v>
      </c>
      <c r="C9427">
        <v>1</v>
      </c>
      <c r="D9427" s="1">
        <v>44289.858391203707</v>
      </c>
      <c r="E9427" t="s">
        <v>29273</v>
      </c>
      <c r="F9427" t="s">
        <v>666</v>
      </c>
      <c r="G9427" t="s">
        <v>29273</v>
      </c>
      <c r="H9427" t="s">
        <v>667</v>
      </c>
      <c r="I9427" t="s">
        <v>29</v>
      </c>
      <c r="J9427">
        <v>1</v>
      </c>
      <c r="K9427">
        <f>1-844-333-5113</f>
        <v>-6289</v>
      </c>
      <c r="L9427" t="s">
        <v>29286</v>
      </c>
      <c r="M9427" t="s">
        <v>29275</v>
      </c>
      <c r="N9427">
        <v>125</v>
      </c>
      <c r="O9427" t="s">
        <v>134</v>
      </c>
      <c r="P9427" t="s">
        <v>2500</v>
      </c>
      <c r="Q9427">
        <v>1</v>
      </c>
      <c r="R9427">
        <v>99.999999000000003</v>
      </c>
    </row>
    <row r="9428" spans="1:18" x14ac:dyDescent="0.2">
      <c r="A9428" t="s">
        <v>663</v>
      </c>
      <c r="B9428" t="s">
        <v>2500</v>
      </c>
      <c r="C9428">
        <v>1</v>
      </c>
      <c r="D9428" s="1">
        <v>44289.85837962963</v>
      </c>
      <c r="E9428" t="s">
        <v>29273</v>
      </c>
      <c r="F9428" t="s">
        <v>666</v>
      </c>
      <c r="G9428" t="s">
        <v>29273</v>
      </c>
      <c r="H9428" t="s">
        <v>667</v>
      </c>
      <c r="I9428" t="s">
        <v>29</v>
      </c>
      <c r="J9428">
        <v>1</v>
      </c>
      <c r="K9428">
        <f>1-833-296-4858</f>
        <v>-5986</v>
      </c>
      <c r="L9428" t="s">
        <v>29287</v>
      </c>
      <c r="M9428" t="s">
        <v>29275</v>
      </c>
      <c r="N9428">
        <v>125</v>
      </c>
      <c r="O9428" t="s">
        <v>134</v>
      </c>
      <c r="P9428" t="s">
        <v>2500</v>
      </c>
      <c r="Q9428">
        <v>1</v>
      </c>
      <c r="R9428">
        <v>99.999999000000003</v>
      </c>
    </row>
    <row r="9429" spans="1:18" x14ac:dyDescent="0.2">
      <c r="A9429" t="s">
        <v>663</v>
      </c>
      <c r="B9429" t="s">
        <v>2500</v>
      </c>
      <c r="C9429">
        <v>1</v>
      </c>
      <c r="D9429" s="1">
        <v>44289.858368055553</v>
      </c>
      <c r="E9429" t="s">
        <v>29273</v>
      </c>
      <c r="F9429" t="s">
        <v>666</v>
      </c>
      <c r="G9429" t="s">
        <v>29273</v>
      </c>
      <c r="H9429" t="s">
        <v>667</v>
      </c>
      <c r="I9429" t="s">
        <v>29</v>
      </c>
      <c r="J9429">
        <v>1</v>
      </c>
      <c r="K9429">
        <f>1-844-275-7921</f>
        <v>-9039</v>
      </c>
      <c r="L9429" t="s">
        <v>29288</v>
      </c>
      <c r="M9429" t="s">
        <v>29275</v>
      </c>
      <c r="N9429">
        <v>125</v>
      </c>
      <c r="O9429" t="s">
        <v>134</v>
      </c>
      <c r="P9429" t="s">
        <v>2500</v>
      </c>
      <c r="Q9429">
        <v>1</v>
      </c>
      <c r="R9429">
        <v>99.999999000000003</v>
      </c>
    </row>
    <row r="9430" spans="1:18" x14ac:dyDescent="0.2">
      <c r="A9430" t="s">
        <v>663</v>
      </c>
      <c r="B9430" t="s">
        <v>2500</v>
      </c>
      <c r="C9430">
        <v>1</v>
      </c>
      <c r="D9430" s="1">
        <v>44289.858356481483</v>
      </c>
      <c r="E9430" t="s">
        <v>29273</v>
      </c>
      <c r="F9430" t="s">
        <v>666</v>
      </c>
      <c r="G9430" t="s">
        <v>29273</v>
      </c>
      <c r="H9430" t="s">
        <v>667</v>
      </c>
      <c r="I9430" t="s">
        <v>29</v>
      </c>
      <c r="J9430">
        <v>1</v>
      </c>
      <c r="K9430">
        <f>1-844-303-2147</f>
        <v>-3293</v>
      </c>
      <c r="L9430" t="s">
        <v>29289</v>
      </c>
      <c r="M9430" t="s">
        <v>29275</v>
      </c>
      <c r="N9430">
        <v>125</v>
      </c>
      <c r="O9430" t="s">
        <v>134</v>
      </c>
      <c r="P9430" t="s">
        <v>2500</v>
      </c>
      <c r="Q9430">
        <v>1</v>
      </c>
      <c r="R9430">
        <v>99.999999000000003</v>
      </c>
    </row>
    <row r="9431" spans="1:18" x14ac:dyDescent="0.2">
      <c r="A9431" t="s">
        <v>663</v>
      </c>
      <c r="B9431" t="s">
        <v>2500</v>
      </c>
      <c r="C9431">
        <v>1</v>
      </c>
      <c r="D9431" s="1">
        <v>44289.858344907407</v>
      </c>
      <c r="E9431" t="s">
        <v>29273</v>
      </c>
      <c r="F9431" t="s">
        <v>666</v>
      </c>
      <c r="G9431" t="s">
        <v>29273</v>
      </c>
      <c r="H9431" t="s">
        <v>667</v>
      </c>
      <c r="I9431" t="s">
        <v>29</v>
      </c>
      <c r="J9431">
        <v>1</v>
      </c>
      <c r="K9431">
        <f>1-844-311-7995</f>
        <v>-9149</v>
      </c>
      <c r="L9431" t="s">
        <v>29290</v>
      </c>
      <c r="M9431" t="s">
        <v>29275</v>
      </c>
      <c r="N9431">
        <v>125</v>
      </c>
      <c r="O9431" t="s">
        <v>134</v>
      </c>
      <c r="P9431" t="s">
        <v>2500</v>
      </c>
      <c r="Q9431">
        <v>1</v>
      </c>
      <c r="R9431">
        <v>99.999999000000003</v>
      </c>
    </row>
    <row r="9432" spans="1:18" x14ac:dyDescent="0.2">
      <c r="A9432" t="s">
        <v>439</v>
      </c>
      <c r="B9432" t="s">
        <v>4321</v>
      </c>
      <c r="C9432">
        <v>1</v>
      </c>
      <c r="D9432" s="1">
        <v>44273.036840277775</v>
      </c>
      <c r="E9432" t="s">
        <v>29291</v>
      </c>
      <c r="F9432" t="s">
        <v>442</v>
      </c>
      <c r="G9432" t="s">
        <v>29292</v>
      </c>
      <c r="H9432" t="s">
        <v>444</v>
      </c>
      <c r="I9432" t="s">
        <v>29</v>
      </c>
      <c r="J9432">
        <v>1</v>
      </c>
      <c r="K9432">
        <f>1-888-318-9030</f>
        <v>-10235</v>
      </c>
      <c r="L9432" s="2" t="s">
        <v>29293</v>
      </c>
      <c r="M9432" t="s">
        <v>29294</v>
      </c>
      <c r="N9432" t="s">
        <v>447</v>
      </c>
      <c r="O9432" t="s">
        <v>28</v>
      </c>
      <c r="P9432" t="s">
        <v>29</v>
      </c>
      <c r="Q9432">
        <v>42</v>
      </c>
      <c r="R9432">
        <v>-87.629800000000003</v>
      </c>
    </row>
    <row r="9433" spans="1:18" x14ac:dyDescent="0.2">
      <c r="A9433" t="s">
        <v>2233</v>
      </c>
      <c r="B9433" t="s">
        <v>2234</v>
      </c>
      <c r="C9433">
        <v>1</v>
      </c>
      <c r="D9433" s="1">
        <v>44273.146203703705</v>
      </c>
      <c r="E9433" t="s">
        <v>29295</v>
      </c>
      <c r="F9433" t="s">
        <v>2236</v>
      </c>
      <c r="G9433" t="s">
        <v>29295</v>
      </c>
      <c r="H9433" t="s">
        <v>2237</v>
      </c>
      <c r="I9433" t="s">
        <v>29</v>
      </c>
      <c r="J9433">
        <v>1</v>
      </c>
      <c r="K9433">
        <f>1-833-674-1896</f>
        <v>-3402</v>
      </c>
      <c r="L9433" t="s">
        <v>29296</v>
      </c>
      <c r="M9433" t="s">
        <v>29297</v>
      </c>
      <c r="N9433">
        <v>99</v>
      </c>
      <c r="O9433" t="s">
        <v>134</v>
      </c>
      <c r="P9433" t="s">
        <v>29</v>
      </c>
      <c r="Q9433">
        <v>40</v>
      </c>
      <c r="R9433">
        <v>-83.114099999999993</v>
      </c>
    </row>
    <row r="9434" spans="1:18" x14ac:dyDescent="0.2">
      <c r="A9434" t="s">
        <v>439</v>
      </c>
      <c r="B9434" t="s">
        <v>4321</v>
      </c>
      <c r="C9434">
        <v>1</v>
      </c>
      <c r="D9434" s="1">
        <v>44273.625023148146</v>
      </c>
      <c r="E9434" t="s">
        <v>29298</v>
      </c>
      <c r="F9434" t="s">
        <v>442</v>
      </c>
      <c r="G9434" t="s">
        <v>29299</v>
      </c>
      <c r="H9434" t="s">
        <v>444</v>
      </c>
      <c r="I9434" t="s">
        <v>29</v>
      </c>
      <c r="J9434">
        <v>1</v>
      </c>
      <c r="K9434">
        <f>1-888-294-6510</f>
        <v>-7691</v>
      </c>
      <c r="L9434" t="s">
        <v>29300</v>
      </c>
      <c r="M9434" t="s">
        <v>29301</v>
      </c>
      <c r="N9434" t="s">
        <v>213</v>
      </c>
      <c r="O9434" t="s">
        <v>28</v>
      </c>
      <c r="P9434" t="s">
        <v>29</v>
      </c>
      <c r="Q9434">
        <v>42</v>
      </c>
      <c r="R9434">
        <v>-87.629800000000003</v>
      </c>
    </row>
    <row r="9435" spans="1:18" x14ac:dyDescent="0.2">
      <c r="A9435" t="s">
        <v>439</v>
      </c>
      <c r="B9435" t="s">
        <v>4321</v>
      </c>
      <c r="C9435">
        <v>81</v>
      </c>
      <c r="D9435" s="1">
        <v>44273.670590277776</v>
      </c>
      <c r="E9435" t="s">
        <v>29302</v>
      </c>
      <c r="F9435" t="s">
        <v>442</v>
      </c>
      <c r="G9435" t="s">
        <v>29303</v>
      </c>
      <c r="H9435" t="s">
        <v>444</v>
      </c>
      <c r="I9435" t="s">
        <v>53</v>
      </c>
      <c r="J9435">
        <v>81</v>
      </c>
      <c r="K9435">
        <f>81-50-3196-5103</f>
        <v>-8268</v>
      </c>
      <c r="L9435" t="s">
        <v>29304</v>
      </c>
      <c r="M9435" t="s">
        <v>29305</v>
      </c>
      <c r="N9435" t="s">
        <v>213</v>
      </c>
      <c r="O9435" t="s">
        <v>134</v>
      </c>
      <c r="P9435" t="s">
        <v>29</v>
      </c>
      <c r="Q9435">
        <v>42</v>
      </c>
      <c r="R9435">
        <v>-87.629800000000003</v>
      </c>
    </row>
    <row r="9436" spans="1:18" x14ac:dyDescent="0.2">
      <c r="A9436" t="s">
        <v>439</v>
      </c>
      <c r="B9436" t="s">
        <v>4321</v>
      </c>
      <c r="C9436">
        <v>81</v>
      </c>
      <c r="D9436" s="1">
        <v>44273.6719212963</v>
      </c>
      <c r="E9436" t="s">
        <v>29306</v>
      </c>
      <c r="F9436" t="s">
        <v>442</v>
      </c>
      <c r="G9436" t="s">
        <v>29307</v>
      </c>
      <c r="H9436" t="s">
        <v>444</v>
      </c>
      <c r="I9436" t="s">
        <v>53</v>
      </c>
      <c r="J9436">
        <v>81</v>
      </c>
      <c r="K9436">
        <f>81-50-3196-4812</f>
        <v>-7977</v>
      </c>
      <c r="L9436" t="s">
        <v>29308</v>
      </c>
      <c r="M9436" t="s">
        <v>29309</v>
      </c>
      <c r="N9436" t="s">
        <v>447</v>
      </c>
      <c r="O9436" t="s">
        <v>134</v>
      </c>
      <c r="P9436" t="s">
        <v>29</v>
      </c>
      <c r="Q9436">
        <v>42</v>
      </c>
      <c r="R9436">
        <v>-87.629800000000003</v>
      </c>
    </row>
    <row r="9437" spans="1:18" x14ac:dyDescent="0.2">
      <c r="A9437" t="s">
        <v>663</v>
      </c>
      <c r="B9437" t="s">
        <v>5784</v>
      </c>
      <c r="C9437">
        <v>1</v>
      </c>
      <c r="D9437" s="1">
        <v>44273.672673611109</v>
      </c>
      <c r="E9437" t="s">
        <v>29310</v>
      </c>
      <c r="F9437" t="s">
        <v>666</v>
      </c>
      <c r="G9437" t="s">
        <v>29311</v>
      </c>
      <c r="H9437" t="s">
        <v>667</v>
      </c>
      <c r="I9437" t="s">
        <v>29</v>
      </c>
      <c r="J9437">
        <v>1</v>
      </c>
      <c r="K9437">
        <f>1-888-291-4510</f>
        <v>-5688</v>
      </c>
      <c r="L9437" t="s">
        <v>29312</v>
      </c>
      <c r="M9437" t="s">
        <v>29313</v>
      </c>
      <c r="N9437" t="s">
        <v>25263</v>
      </c>
      <c r="O9437" t="s">
        <v>28</v>
      </c>
      <c r="P9437" t="s">
        <v>5789</v>
      </c>
      <c r="Q9437">
        <v>13</v>
      </c>
      <c r="R9437">
        <v>77.585499999999996</v>
      </c>
    </row>
    <row r="9438" spans="1:18" x14ac:dyDescent="0.2">
      <c r="A9438" t="s">
        <v>439</v>
      </c>
      <c r="B9438" t="s">
        <v>4321</v>
      </c>
      <c r="C9438">
        <v>81</v>
      </c>
      <c r="D9438" s="1">
        <v>44273.673159722224</v>
      </c>
      <c r="E9438" t="s">
        <v>29314</v>
      </c>
      <c r="F9438" t="s">
        <v>442</v>
      </c>
      <c r="G9438" t="s">
        <v>29315</v>
      </c>
      <c r="H9438" t="s">
        <v>444</v>
      </c>
      <c r="I9438" t="s">
        <v>53</v>
      </c>
      <c r="J9438">
        <v>81</v>
      </c>
      <c r="K9438">
        <f>81-50-3196-4812</f>
        <v>-7977</v>
      </c>
      <c r="L9438" t="s">
        <v>29316</v>
      </c>
      <c r="M9438" t="s">
        <v>29317</v>
      </c>
      <c r="N9438" t="s">
        <v>213</v>
      </c>
      <c r="O9438" t="s">
        <v>134</v>
      </c>
      <c r="P9438" t="s">
        <v>29</v>
      </c>
      <c r="Q9438">
        <v>42</v>
      </c>
      <c r="R9438">
        <v>-87.629800000000003</v>
      </c>
    </row>
    <row r="9439" spans="1:18" x14ac:dyDescent="0.2">
      <c r="A9439" t="s">
        <v>2233</v>
      </c>
      <c r="B9439" t="s">
        <v>1638</v>
      </c>
      <c r="C9439">
        <v>1</v>
      </c>
      <c r="D9439" s="1">
        <v>44298.797025462962</v>
      </c>
      <c r="E9439" t="s">
        <v>29318</v>
      </c>
      <c r="F9439" t="s">
        <v>2236</v>
      </c>
      <c r="G9439" t="s">
        <v>29319</v>
      </c>
      <c r="H9439" t="s">
        <v>2237</v>
      </c>
      <c r="I9439" t="s">
        <v>29</v>
      </c>
      <c r="J9439">
        <v>1</v>
      </c>
      <c r="K9439">
        <f>1-877-671-223</f>
        <v>-1770</v>
      </c>
      <c r="L9439" t="s">
        <v>29320</v>
      </c>
      <c r="M9439" t="s">
        <v>29321</v>
      </c>
      <c r="N9439" t="s">
        <v>278</v>
      </c>
      <c r="O9439" t="s">
        <v>28</v>
      </c>
      <c r="P9439" t="s">
        <v>292</v>
      </c>
      <c r="Q9439">
        <v>49</v>
      </c>
      <c r="R9439">
        <v>2.35222</v>
      </c>
    </row>
    <row r="9440" spans="1:18" x14ac:dyDescent="0.2">
      <c r="A9440" t="s">
        <v>6586</v>
      </c>
      <c r="B9440" t="s">
        <v>24593</v>
      </c>
      <c r="C9440">
        <v>1</v>
      </c>
      <c r="D9440" s="1">
        <v>44286.851967592593</v>
      </c>
      <c r="E9440" t="s">
        <v>29322</v>
      </c>
      <c r="F9440" t="s">
        <v>6588</v>
      </c>
      <c r="G9440" t="s">
        <v>29323</v>
      </c>
      <c r="H9440" t="s">
        <v>6590</v>
      </c>
      <c r="I9440" t="s">
        <v>29</v>
      </c>
      <c r="J9440">
        <v>1</v>
      </c>
      <c r="K9440">
        <f>1-888-481-1802</f>
        <v>-3170</v>
      </c>
      <c r="L9440" t="s">
        <v>29324</v>
      </c>
      <c r="M9440" t="s">
        <v>29325</v>
      </c>
      <c r="N9440" t="s">
        <v>25263</v>
      </c>
      <c r="O9440" t="s">
        <v>28</v>
      </c>
      <c r="P9440" t="s">
        <v>29</v>
      </c>
      <c r="Q9440">
        <v>41</v>
      </c>
      <c r="R9440">
        <v>-74.459199999999996</v>
      </c>
    </row>
    <row r="9441" spans="1:18" x14ac:dyDescent="0.2">
      <c r="A9441" t="s">
        <v>439</v>
      </c>
      <c r="B9441" t="s">
        <v>4321</v>
      </c>
      <c r="C9441">
        <v>1</v>
      </c>
      <c r="D9441" s="1">
        <v>44284.767604166664</v>
      </c>
      <c r="E9441" t="s">
        <v>29326</v>
      </c>
      <c r="F9441" t="s">
        <v>442</v>
      </c>
      <c r="G9441" t="s">
        <v>29327</v>
      </c>
      <c r="H9441" t="s">
        <v>444</v>
      </c>
      <c r="I9441" t="s">
        <v>29</v>
      </c>
      <c r="J9441">
        <v>1</v>
      </c>
      <c r="K9441">
        <f>1-844-342-2637</f>
        <v>-3822</v>
      </c>
      <c r="L9441" t="s">
        <v>29328</v>
      </c>
      <c r="M9441" t="s">
        <v>29329</v>
      </c>
      <c r="N9441" t="s">
        <v>447</v>
      </c>
      <c r="O9441" t="s">
        <v>28</v>
      </c>
      <c r="P9441" t="s">
        <v>29</v>
      </c>
      <c r="Q9441">
        <v>42</v>
      </c>
      <c r="R9441">
        <v>-87.629800000000003</v>
      </c>
    </row>
    <row r="9442" spans="1:18" x14ac:dyDescent="0.2">
      <c r="A9442" t="s">
        <v>439</v>
      </c>
      <c r="B9442" t="s">
        <v>4321</v>
      </c>
      <c r="C9442">
        <v>54</v>
      </c>
      <c r="D9442" s="1">
        <v>44284.756030092591</v>
      </c>
      <c r="E9442" t="s">
        <v>29330</v>
      </c>
      <c r="F9442" t="s">
        <v>442</v>
      </c>
      <c r="G9442" t="s">
        <v>29331</v>
      </c>
      <c r="H9442" t="s">
        <v>444</v>
      </c>
      <c r="I9442" t="s">
        <v>29332</v>
      </c>
      <c r="J9442">
        <v>54</v>
      </c>
      <c r="K9442">
        <f>54-148162707</f>
        <v>-148162653</v>
      </c>
      <c r="L9442" t="s">
        <v>29333</v>
      </c>
      <c r="M9442" t="s">
        <v>29334</v>
      </c>
      <c r="N9442" t="s">
        <v>452</v>
      </c>
      <c r="O9442" t="s">
        <v>28</v>
      </c>
      <c r="P9442" t="s">
        <v>29</v>
      </c>
      <c r="Q9442">
        <v>42</v>
      </c>
      <c r="R9442">
        <v>-87.629800000000003</v>
      </c>
    </row>
    <row r="9443" spans="1:18" x14ac:dyDescent="0.2">
      <c r="A9443" t="s">
        <v>663</v>
      </c>
      <c r="B9443" t="s">
        <v>2493</v>
      </c>
      <c r="C9443">
        <v>1</v>
      </c>
      <c r="D9443" s="1">
        <v>44281.815752314818</v>
      </c>
      <c r="E9443" t="s">
        <v>29335</v>
      </c>
      <c r="F9443" t="s">
        <v>666</v>
      </c>
      <c r="G9443" t="s">
        <v>29336</v>
      </c>
      <c r="H9443" t="s">
        <v>667</v>
      </c>
      <c r="I9443" t="s">
        <v>29</v>
      </c>
      <c r="J9443">
        <v>1</v>
      </c>
      <c r="K9443">
        <f>1-646-493-141</f>
        <v>-1279</v>
      </c>
      <c r="L9443" t="s">
        <v>29337</v>
      </c>
      <c r="M9443" t="s">
        <v>29338</v>
      </c>
      <c r="N9443" t="s">
        <v>3454</v>
      </c>
      <c r="O9443" t="s">
        <v>134</v>
      </c>
      <c r="P9443" t="s">
        <v>29</v>
      </c>
      <c r="Q9443">
        <v>41</v>
      </c>
      <c r="R9443">
        <v>-74.024699999999996</v>
      </c>
    </row>
    <row r="9444" spans="1:18" x14ac:dyDescent="0.2">
      <c r="A9444" t="s">
        <v>663</v>
      </c>
      <c r="B9444" t="s">
        <v>2500</v>
      </c>
      <c r="C9444">
        <v>1</v>
      </c>
      <c r="D9444" s="1">
        <v>44287.03800925926</v>
      </c>
      <c r="E9444" t="s">
        <v>29339</v>
      </c>
      <c r="F9444" t="s">
        <v>666</v>
      </c>
      <c r="G9444" t="s">
        <v>29339</v>
      </c>
      <c r="H9444" t="s">
        <v>667</v>
      </c>
      <c r="I9444" t="s">
        <v>29</v>
      </c>
      <c r="J9444">
        <v>1</v>
      </c>
      <c r="K9444">
        <f>1-833-312-3547</f>
        <v>-4691</v>
      </c>
      <c r="L9444" t="s">
        <v>29340</v>
      </c>
      <c r="M9444" t="s">
        <v>29341</v>
      </c>
      <c r="N9444">
        <v>94</v>
      </c>
      <c r="O9444" t="s">
        <v>134</v>
      </c>
      <c r="P9444" t="s">
        <v>2500</v>
      </c>
      <c r="Q9444">
        <v>1</v>
      </c>
      <c r="R9444">
        <v>99.999999000000003</v>
      </c>
    </row>
    <row r="9445" spans="1:18" x14ac:dyDescent="0.2">
      <c r="A9445" t="s">
        <v>663</v>
      </c>
      <c r="B9445" t="s">
        <v>2500</v>
      </c>
      <c r="C9445">
        <v>1</v>
      </c>
      <c r="D9445" s="1">
        <v>44287.049444444441</v>
      </c>
      <c r="E9445" t="s">
        <v>29339</v>
      </c>
      <c r="F9445" t="s">
        <v>666</v>
      </c>
      <c r="G9445" t="s">
        <v>29339</v>
      </c>
      <c r="H9445" t="s">
        <v>667</v>
      </c>
      <c r="I9445" t="s">
        <v>29</v>
      </c>
      <c r="J9445">
        <v>1</v>
      </c>
      <c r="K9445">
        <f>1-888-330-7374</f>
        <v>-8591</v>
      </c>
      <c r="L9445" t="s">
        <v>29342</v>
      </c>
      <c r="M9445" t="s">
        <v>29343</v>
      </c>
      <c r="N9445">
        <v>94</v>
      </c>
      <c r="O9445" t="s">
        <v>134</v>
      </c>
      <c r="P9445" t="s">
        <v>2500</v>
      </c>
      <c r="Q9445">
        <v>1</v>
      </c>
      <c r="R9445">
        <v>99.999999000000003</v>
      </c>
    </row>
    <row r="9446" spans="1:18" x14ac:dyDescent="0.2">
      <c r="A9446" t="s">
        <v>439</v>
      </c>
      <c r="B9446" t="s">
        <v>4321</v>
      </c>
      <c r="C9446">
        <v>1</v>
      </c>
      <c r="D9446" s="1">
        <v>44286.886296296296</v>
      </c>
      <c r="E9446" t="s">
        <v>29344</v>
      </c>
      <c r="F9446" t="s">
        <v>442</v>
      </c>
      <c r="G9446" t="s">
        <v>29345</v>
      </c>
      <c r="H9446" t="s">
        <v>444</v>
      </c>
      <c r="I9446" t="s">
        <v>29</v>
      </c>
      <c r="J9446">
        <v>1</v>
      </c>
      <c r="K9446">
        <f>1-315-665-1091</f>
        <v>-2070</v>
      </c>
      <c r="L9446" t="s">
        <v>29346</v>
      </c>
      <c r="M9446" t="s">
        <v>29347</v>
      </c>
      <c r="N9446" t="s">
        <v>447</v>
      </c>
      <c r="O9446" t="s">
        <v>28</v>
      </c>
      <c r="P9446" t="s">
        <v>29</v>
      </c>
      <c r="Q9446">
        <v>42</v>
      </c>
      <c r="R9446">
        <v>-87.629800000000003</v>
      </c>
    </row>
    <row r="9447" spans="1:18" x14ac:dyDescent="0.2">
      <c r="A9447" t="s">
        <v>439</v>
      </c>
      <c r="B9447" t="s">
        <v>4321</v>
      </c>
      <c r="C9447">
        <v>1</v>
      </c>
      <c r="D9447" s="1">
        <v>44286.886921296296</v>
      </c>
      <c r="E9447" t="s">
        <v>29348</v>
      </c>
      <c r="F9447" t="s">
        <v>442</v>
      </c>
      <c r="G9447" t="s">
        <v>29349</v>
      </c>
      <c r="H9447" t="s">
        <v>444</v>
      </c>
      <c r="I9447" t="s">
        <v>29</v>
      </c>
      <c r="J9447">
        <v>1</v>
      </c>
      <c r="K9447">
        <f>1-844-885-6601</f>
        <v>-8329</v>
      </c>
      <c r="L9447" t="s">
        <v>29350</v>
      </c>
      <c r="M9447" t="s">
        <v>29351</v>
      </c>
      <c r="N9447" t="s">
        <v>213</v>
      </c>
      <c r="O9447" t="s">
        <v>28</v>
      </c>
      <c r="P9447" t="s">
        <v>29</v>
      </c>
      <c r="Q9447">
        <v>42</v>
      </c>
      <c r="R9447">
        <v>-87.629800000000003</v>
      </c>
    </row>
    <row r="9448" spans="1:18" x14ac:dyDescent="0.2">
      <c r="A9448" t="s">
        <v>10660</v>
      </c>
      <c r="B9448" t="s">
        <v>1638</v>
      </c>
      <c r="C9448">
        <v>1</v>
      </c>
      <c r="D9448" s="1">
        <v>44301.810104166667</v>
      </c>
      <c r="E9448" t="s">
        <v>27806</v>
      </c>
      <c r="F9448" t="s">
        <v>11960</v>
      </c>
      <c r="G9448" t="s">
        <v>29352</v>
      </c>
      <c r="H9448" t="s">
        <v>10664</v>
      </c>
      <c r="I9448" t="s">
        <v>29</v>
      </c>
      <c r="J9448">
        <v>1</v>
      </c>
      <c r="K9448">
        <f>1-888-731-8241</f>
        <v>-9859</v>
      </c>
      <c r="L9448">
        <v>6078774660468</v>
      </c>
      <c r="M9448" t="s">
        <v>29353</v>
      </c>
      <c r="N9448" t="s">
        <v>5468</v>
      </c>
      <c r="O9448" t="s">
        <v>28</v>
      </c>
      <c r="P9448" t="s">
        <v>292</v>
      </c>
      <c r="Q9448">
        <v>49</v>
      </c>
      <c r="R9448">
        <v>2.3281000000000001</v>
      </c>
    </row>
    <row r="9449" spans="1:18" x14ac:dyDescent="0.2">
      <c r="A9449" t="s">
        <v>10660</v>
      </c>
      <c r="B9449" t="s">
        <v>1638</v>
      </c>
      <c r="C9449">
        <v>1</v>
      </c>
      <c r="D9449" s="1">
        <v>44285.899976851855</v>
      </c>
      <c r="E9449" t="s">
        <v>29354</v>
      </c>
      <c r="F9449" t="s">
        <v>11960</v>
      </c>
      <c r="G9449" t="s">
        <v>29352</v>
      </c>
      <c r="H9449" t="s">
        <v>10664</v>
      </c>
      <c r="I9449" t="s">
        <v>29</v>
      </c>
      <c r="J9449">
        <v>1</v>
      </c>
      <c r="K9449">
        <f>1-888-434-6181</f>
        <v>-7502</v>
      </c>
      <c r="L9449" t="s">
        <v>29355</v>
      </c>
      <c r="M9449" t="s">
        <v>29356</v>
      </c>
      <c r="N9449" t="s">
        <v>5468</v>
      </c>
      <c r="O9449" t="s">
        <v>28</v>
      </c>
      <c r="P9449" t="s">
        <v>292</v>
      </c>
      <c r="Q9449">
        <v>49</v>
      </c>
      <c r="R9449">
        <v>2.3281000000000001</v>
      </c>
    </row>
    <row r="9450" spans="1:18" x14ac:dyDescent="0.2">
      <c r="A9450" t="s">
        <v>10660</v>
      </c>
      <c r="B9450" t="s">
        <v>1638</v>
      </c>
      <c r="C9450">
        <v>1</v>
      </c>
      <c r="D9450" s="1">
        <v>44285.769074074073</v>
      </c>
      <c r="E9450" t="s">
        <v>29357</v>
      </c>
      <c r="F9450" t="s">
        <v>11960</v>
      </c>
      <c r="G9450" t="s">
        <v>29352</v>
      </c>
      <c r="H9450" t="s">
        <v>10664</v>
      </c>
      <c r="I9450" t="s">
        <v>29</v>
      </c>
      <c r="J9450">
        <v>1</v>
      </c>
      <c r="K9450">
        <f>1-888-359-5469</f>
        <v>-6715</v>
      </c>
      <c r="L9450" t="s">
        <v>29358</v>
      </c>
      <c r="M9450" t="s">
        <v>29359</v>
      </c>
      <c r="N9450" t="s">
        <v>5468</v>
      </c>
      <c r="O9450" t="s">
        <v>28</v>
      </c>
      <c r="P9450" t="s">
        <v>292</v>
      </c>
      <c r="Q9450">
        <v>49</v>
      </c>
      <c r="R9450">
        <v>2.3281000000000001</v>
      </c>
    </row>
    <row r="9451" spans="1:18" x14ac:dyDescent="0.2">
      <c r="A9451" t="s">
        <v>10660</v>
      </c>
      <c r="B9451" t="s">
        <v>1638</v>
      </c>
      <c r="C9451">
        <v>1</v>
      </c>
      <c r="D9451" s="1">
        <v>44285.761018518519</v>
      </c>
      <c r="E9451" t="s">
        <v>29360</v>
      </c>
      <c r="F9451" t="s">
        <v>11960</v>
      </c>
      <c r="G9451" t="s">
        <v>29352</v>
      </c>
      <c r="H9451" t="s">
        <v>10664</v>
      </c>
      <c r="I9451" t="s">
        <v>29</v>
      </c>
      <c r="J9451">
        <v>1</v>
      </c>
      <c r="K9451">
        <f>1-888-281-9240</f>
        <v>-10408</v>
      </c>
      <c r="L9451" t="s">
        <v>29361</v>
      </c>
      <c r="M9451" t="s">
        <v>29362</v>
      </c>
      <c r="N9451" t="s">
        <v>5468</v>
      </c>
      <c r="O9451" t="s">
        <v>28</v>
      </c>
      <c r="P9451" t="s">
        <v>292</v>
      </c>
      <c r="Q9451">
        <v>49</v>
      </c>
      <c r="R9451">
        <v>2.3281000000000001</v>
      </c>
    </row>
    <row r="9452" spans="1:18" x14ac:dyDescent="0.2">
      <c r="A9452" t="s">
        <v>663</v>
      </c>
      <c r="B9452" t="s">
        <v>664</v>
      </c>
      <c r="C9452">
        <v>1</v>
      </c>
      <c r="D9452" s="1">
        <v>44284.072777777779</v>
      </c>
      <c r="E9452" t="s">
        <v>29363</v>
      </c>
      <c r="F9452" t="s">
        <v>666</v>
      </c>
      <c r="G9452" t="s">
        <v>29364</v>
      </c>
      <c r="H9452" t="s">
        <v>667</v>
      </c>
      <c r="I9452" t="s">
        <v>29</v>
      </c>
      <c r="J9452">
        <v>1</v>
      </c>
      <c r="K9452">
        <f>1-888-593-4845</f>
        <v>-6325</v>
      </c>
      <c r="L9452" t="s">
        <v>29365</v>
      </c>
      <c r="M9452" t="s">
        <v>29366</v>
      </c>
      <c r="N9452" t="s">
        <v>5354</v>
      </c>
      <c r="O9452" t="s">
        <v>28</v>
      </c>
      <c r="P9452" t="s">
        <v>29</v>
      </c>
      <c r="Q9452">
        <v>37</v>
      </c>
      <c r="R9452">
        <v>-99.999999000000003</v>
      </c>
    </row>
    <row r="9453" spans="1:18" x14ac:dyDescent="0.2">
      <c r="A9453" t="s">
        <v>663</v>
      </c>
      <c r="B9453" t="s">
        <v>3245</v>
      </c>
      <c r="C9453">
        <v>1</v>
      </c>
      <c r="D9453" s="1">
        <v>44285.682997685188</v>
      </c>
      <c r="E9453" t="s">
        <v>29367</v>
      </c>
      <c r="F9453" t="s">
        <v>666</v>
      </c>
      <c r="G9453" t="s">
        <v>29367</v>
      </c>
      <c r="H9453" t="s">
        <v>667</v>
      </c>
      <c r="I9453" t="s">
        <v>29</v>
      </c>
      <c r="J9453">
        <v>1</v>
      </c>
      <c r="K9453">
        <f>1-877-605-9029</f>
        <v>-10510</v>
      </c>
      <c r="L9453" t="s">
        <v>29368</v>
      </c>
      <c r="M9453" t="s">
        <v>29369</v>
      </c>
      <c r="N9453">
        <v>20</v>
      </c>
      <c r="O9453" t="s">
        <v>134</v>
      </c>
      <c r="P9453" t="s">
        <v>29</v>
      </c>
      <c r="Q9453">
        <v>41</v>
      </c>
      <c r="R9453">
        <v>-74.140299999999996</v>
      </c>
    </row>
    <row r="9454" spans="1:18" x14ac:dyDescent="0.2">
      <c r="A9454" t="s">
        <v>2233</v>
      </c>
      <c r="B9454" t="s">
        <v>440</v>
      </c>
      <c r="C9454">
        <v>1</v>
      </c>
      <c r="D9454" s="1">
        <v>44285.684513888889</v>
      </c>
      <c r="E9454" t="s">
        <v>29370</v>
      </c>
      <c r="F9454" t="s">
        <v>2236</v>
      </c>
      <c r="G9454" t="s">
        <v>29371</v>
      </c>
      <c r="H9454" t="s">
        <v>2237</v>
      </c>
      <c r="I9454" t="s">
        <v>29</v>
      </c>
      <c r="J9454">
        <v>1</v>
      </c>
      <c r="K9454">
        <f>1-877-349-1020</f>
        <v>-2245</v>
      </c>
      <c r="L9454" t="s">
        <v>29372</v>
      </c>
      <c r="M9454" t="s">
        <v>29373</v>
      </c>
      <c r="N9454" t="s">
        <v>5354</v>
      </c>
      <c r="O9454" t="s">
        <v>28</v>
      </c>
      <c r="P9454" t="s">
        <v>29</v>
      </c>
      <c r="Q9454">
        <v>39</v>
      </c>
      <c r="R9454">
        <v>-77.487399999999994</v>
      </c>
    </row>
    <row r="9455" spans="1:18" x14ac:dyDescent="0.2">
      <c r="A9455" t="s">
        <v>663</v>
      </c>
      <c r="B9455" t="s">
        <v>5784</v>
      </c>
      <c r="C9455">
        <v>1</v>
      </c>
      <c r="D9455" s="1">
        <v>44281.915289351855</v>
      </c>
      <c r="E9455" t="s">
        <v>29374</v>
      </c>
      <c r="F9455" t="s">
        <v>666</v>
      </c>
      <c r="G9455" t="s">
        <v>29375</v>
      </c>
      <c r="H9455" t="s">
        <v>667</v>
      </c>
      <c r="I9455" t="s">
        <v>29</v>
      </c>
      <c r="J9455">
        <v>1</v>
      </c>
      <c r="K9455">
        <f>1-888-279-1158</f>
        <v>-2324</v>
      </c>
      <c r="L9455" t="s">
        <v>29376</v>
      </c>
      <c r="M9455" t="s">
        <v>29377</v>
      </c>
      <c r="N9455" t="s">
        <v>25263</v>
      </c>
      <c r="O9455" t="s">
        <v>28</v>
      </c>
      <c r="P9455" t="s">
        <v>5789</v>
      </c>
      <c r="Q9455">
        <v>13</v>
      </c>
      <c r="R9455">
        <v>77.585499999999996</v>
      </c>
    </row>
    <row r="9456" spans="1:18" x14ac:dyDescent="0.2">
      <c r="A9456" t="s">
        <v>663</v>
      </c>
      <c r="B9456" t="s">
        <v>2493</v>
      </c>
      <c r="C9456">
        <v>1</v>
      </c>
      <c r="D9456" s="1">
        <v>44284.748611111114</v>
      </c>
      <c r="E9456" t="s">
        <v>29378</v>
      </c>
      <c r="F9456" t="s">
        <v>666</v>
      </c>
      <c r="G9456" t="s">
        <v>29379</v>
      </c>
      <c r="H9456" t="s">
        <v>667</v>
      </c>
      <c r="I9456" t="s">
        <v>29</v>
      </c>
      <c r="J9456">
        <v>1</v>
      </c>
      <c r="K9456">
        <f>1-855-574-1736</f>
        <v>-3164</v>
      </c>
      <c r="L9456" t="s">
        <v>29380</v>
      </c>
      <c r="M9456" t="s">
        <v>29381</v>
      </c>
      <c r="N9456" t="s">
        <v>36</v>
      </c>
      <c r="O9456" t="s">
        <v>28</v>
      </c>
      <c r="P9456" t="s">
        <v>29</v>
      </c>
      <c r="Q9456">
        <v>41</v>
      </c>
      <c r="R9456">
        <v>-74.024699999999996</v>
      </c>
    </row>
    <row r="9457" spans="1:18" x14ac:dyDescent="0.2">
      <c r="A9457" t="s">
        <v>439</v>
      </c>
      <c r="B9457" t="s">
        <v>4321</v>
      </c>
      <c r="C9457">
        <v>81</v>
      </c>
      <c r="D9457" s="1">
        <v>44286.538715277777</v>
      </c>
      <c r="E9457" t="s">
        <v>29382</v>
      </c>
      <c r="F9457" t="s">
        <v>442</v>
      </c>
      <c r="G9457" t="s">
        <v>29383</v>
      </c>
      <c r="H9457" t="s">
        <v>444</v>
      </c>
      <c r="I9457" t="s">
        <v>53</v>
      </c>
      <c r="J9457">
        <v>81</v>
      </c>
      <c r="K9457">
        <f>81-50-3198-9299</f>
        <v>-12466</v>
      </c>
      <c r="L9457" s="2" t="s">
        <v>29384</v>
      </c>
      <c r="M9457" t="s">
        <v>29385</v>
      </c>
      <c r="N9457" t="s">
        <v>213</v>
      </c>
      <c r="O9457" t="s">
        <v>134</v>
      </c>
      <c r="P9457" t="s">
        <v>29</v>
      </c>
      <c r="Q9457">
        <v>42</v>
      </c>
      <c r="R9457">
        <v>-87.629800000000003</v>
      </c>
    </row>
    <row r="9458" spans="1:18" x14ac:dyDescent="0.2">
      <c r="A9458" t="s">
        <v>439</v>
      </c>
      <c r="B9458" t="s">
        <v>4321</v>
      </c>
      <c r="C9458">
        <v>81</v>
      </c>
      <c r="D9458" s="1">
        <v>44285.687407407408</v>
      </c>
      <c r="E9458" t="s">
        <v>29382</v>
      </c>
      <c r="F9458" t="s">
        <v>442</v>
      </c>
      <c r="G9458" t="s">
        <v>29383</v>
      </c>
      <c r="H9458" t="s">
        <v>444</v>
      </c>
      <c r="I9458" t="s">
        <v>53</v>
      </c>
      <c r="J9458">
        <v>81</v>
      </c>
      <c r="K9458">
        <f>81-50-3198-9299</f>
        <v>-12466</v>
      </c>
      <c r="L9458" t="s">
        <v>29386</v>
      </c>
      <c r="M9458" t="s">
        <v>29387</v>
      </c>
      <c r="N9458" t="s">
        <v>213</v>
      </c>
      <c r="O9458" t="s">
        <v>28</v>
      </c>
      <c r="P9458" t="s">
        <v>29</v>
      </c>
      <c r="Q9458">
        <v>42</v>
      </c>
      <c r="R9458">
        <v>-87.629800000000003</v>
      </c>
    </row>
    <row r="9459" spans="1:18" x14ac:dyDescent="0.2">
      <c r="A9459" t="s">
        <v>439</v>
      </c>
      <c r="B9459" t="s">
        <v>4321</v>
      </c>
      <c r="C9459">
        <v>81</v>
      </c>
      <c r="D9459" s="1">
        <v>44285.688078703701</v>
      </c>
      <c r="E9459" t="s">
        <v>29388</v>
      </c>
      <c r="F9459" t="s">
        <v>442</v>
      </c>
      <c r="G9459" t="s">
        <v>29389</v>
      </c>
      <c r="H9459" t="s">
        <v>444</v>
      </c>
      <c r="I9459" t="s">
        <v>53</v>
      </c>
      <c r="J9459">
        <v>81</v>
      </c>
      <c r="K9459">
        <f>81-50-5532-4933</f>
        <v>-10434</v>
      </c>
      <c r="L9459" t="s">
        <v>29390</v>
      </c>
      <c r="M9459" t="s">
        <v>29391</v>
      </c>
      <c r="N9459" t="s">
        <v>213</v>
      </c>
      <c r="O9459" t="s">
        <v>28</v>
      </c>
      <c r="P9459" t="s">
        <v>29</v>
      </c>
      <c r="Q9459">
        <v>42</v>
      </c>
      <c r="R9459">
        <v>-87.629800000000003</v>
      </c>
    </row>
    <row r="9460" spans="1:18" x14ac:dyDescent="0.2">
      <c r="A9460" t="s">
        <v>663</v>
      </c>
      <c r="B9460" t="s">
        <v>454</v>
      </c>
      <c r="C9460">
        <v>1</v>
      </c>
      <c r="D9460" s="1">
        <v>44285.689895833333</v>
      </c>
      <c r="E9460" t="s">
        <v>29392</v>
      </c>
      <c r="F9460" t="s">
        <v>666</v>
      </c>
      <c r="G9460" t="s">
        <v>29392</v>
      </c>
      <c r="H9460" t="s">
        <v>667</v>
      </c>
      <c r="I9460" t="s">
        <v>29</v>
      </c>
      <c r="J9460">
        <v>1</v>
      </c>
      <c r="K9460">
        <f>1-888-210-6084</f>
        <v>-7181</v>
      </c>
      <c r="L9460" t="s">
        <v>29393</v>
      </c>
      <c r="M9460" t="s">
        <v>29394</v>
      </c>
      <c r="N9460">
        <v>18</v>
      </c>
      <c r="O9460" t="s">
        <v>134</v>
      </c>
      <c r="P9460" t="s">
        <v>461</v>
      </c>
      <c r="Q9460">
        <v>52</v>
      </c>
      <c r="R9460">
        <v>4.9391999999999996</v>
      </c>
    </row>
    <row r="9461" spans="1:18" x14ac:dyDescent="0.2">
      <c r="A9461" t="s">
        <v>675</v>
      </c>
      <c r="B9461" t="s">
        <v>1412</v>
      </c>
      <c r="C9461">
        <v>44</v>
      </c>
      <c r="D9461" s="1">
        <v>44286.536759259259</v>
      </c>
      <c r="E9461" t="s">
        <v>29395</v>
      </c>
      <c r="F9461" t="s">
        <v>678</v>
      </c>
      <c r="G9461" t="s">
        <v>29396</v>
      </c>
      <c r="H9461" t="s">
        <v>680</v>
      </c>
      <c r="I9461" t="s">
        <v>618</v>
      </c>
      <c r="J9461">
        <v>44</v>
      </c>
      <c r="K9461">
        <f>44-208-133-802</f>
        <v>-1099</v>
      </c>
      <c r="L9461">
        <v>6064548552657</v>
      </c>
      <c r="M9461" t="s">
        <v>29397</v>
      </c>
      <c r="N9461" t="s">
        <v>2475</v>
      </c>
      <c r="O9461" t="s">
        <v>28</v>
      </c>
      <c r="P9461" t="s">
        <v>29</v>
      </c>
      <c r="Q9461">
        <v>41</v>
      </c>
      <c r="R9461">
        <v>-74.172399999999996</v>
      </c>
    </row>
    <row r="9462" spans="1:18" x14ac:dyDescent="0.2">
      <c r="A9462" t="s">
        <v>439</v>
      </c>
      <c r="B9462" t="s">
        <v>4321</v>
      </c>
      <c r="C9462">
        <v>1</v>
      </c>
      <c r="D9462" s="1">
        <v>44285.701689814814</v>
      </c>
      <c r="E9462" t="s">
        <v>29398</v>
      </c>
      <c r="F9462" t="s">
        <v>442</v>
      </c>
      <c r="G9462" t="s">
        <v>29399</v>
      </c>
      <c r="H9462" t="s">
        <v>444</v>
      </c>
      <c r="I9462" t="s">
        <v>29</v>
      </c>
      <c r="J9462">
        <v>1</v>
      </c>
      <c r="K9462">
        <f>1-888-285-5670</f>
        <v>-6842</v>
      </c>
      <c r="L9462" t="s">
        <v>29400</v>
      </c>
      <c r="M9462" t="s">
        <v>29401</v>
      </c>
      <c r="N9462" t="s">
        <v>213</v>
      </c>
      <c r="O9462" t="s">
        <v>28</v>
      </c>
      <c r="P9462" t="s">
        <v>29</v>
      </c>
      <c r="Q9462">
        <v>42</v>
      </c>
      <c r="R9462">
        <v>-87.629800000000003</v>
      </c>
    </row>
    <row r="9463" spans="1:18" x14ac:dyDescent="0.2">
      <c r="A9463" t="s">
        <v>663</v>
      </c>
      <c r="B9463" t="s">
        <v>2493</v>
      </c>
      <c r="C9463">
        <v>1</v>
      </c>
      <c r="D9463" s="1">
        <v>44285.758842592593</v>
      </c>
      <c r="E9463" t="s">
        <v>29402</v>
      </c>
      <c r="F9463" t="s">
        <v>666</v>
      </c>
      <c r="G9463" t="s">
        <v>29402</v>
      </c>
      <c r="H9463" t="s">
        <v>667</v>
      </c>
      <c r="I9463" t="s">
        <v>29</v>
      </c>
      <c r="J9463">
        <v>1</v>
      </c>
      <c r="K9463">
        <f>1-844-309-2136</f>
        <v>-3288</v>
      </c>
      <c r="L9463" t="s">
        <v>29403</v>
      </c>
      <c r="M9463" t="s">
        <v>29404</v>
      </c>
      <c r="N9463">
        <v>157</v>
      </c>
      <c r="O9463" t="s">
        <v>134</v>
      </c>
      <c r="P9463" t="s">
        <v>29</v>
      </c>
      <c r="Q9463">
        <v>41</v>
      </c>
      <c r="R9463">
        <v>-74.024699999999996</v>
      </c>
    </row>
    <row r="9464" spans="1:18" x14ac:dyDescent="0.2">
      <c r="A9464" t="s">
        <v>439</v>
      </c>
      <c r="B9464" t="s">
        <v>4321</v>
      </c>
      <c r="C9464">
        <v>1</v>
      </c>
      <c r="D9464" s="1">
        <v>44285.766840277778</v>
      </c>
      <c r="E9464" t="s">
        <v>29405</v>
      </c>
      <c r="F9464" t="s">
        <v>442</v>
      </c>
      <c r="G9464" t="s">
        <v>29406</v>
      </c>
      <c r="H9464" t="s">
        <v>444</v>
      </c>
      <c r="I9464" t="s">
        <v>29</v>
      </c>
      <c r="J9464">
        <v>1</v>
      </c>
      <c r="K9464">
        <f>1-888-503-675</f>
        <v>-2065</v>
      </c>
      <c r="L9464" t="s">
        <v>29407</v>
      </c>
      <c r="M9464" t="s">
        <v>29408</v>
      </c>
      <c r="N9464" t="s">
        <v>25195</v>
      </c>
      <c r="O9464" t="s">
        <v>28</v>
      </c>
      <c r="P9464" t="s">
        <v>29</v>
      </c>
      <c r="Q9464">
        <v>42</v>
      </c>
      <c r="R9464">
        <v>-87.629800000000003</v>
      </c>
    </row>
    <row r="9465" spans="1:18" x14ac:dyDescent="0.2">
      <c r="A9465" t="s">
        <v>663</v>
      </c>
      <c r="B9465" t="s">
        <v>2493</v>
      </c>
      <c r="C9465">
        <v>1</v>
      </c>
      <c r="D9465" s="1">
        <v>44285.769085648149</v>
      </c>
      <c r="E9465" t="s">
        <v>29409</v>
      </c>
      <c r="F9465" t="s">
        <v>666</v>
      </c>
      <c r="G9465" t="s">
        <v>29409</v>
      </c>
      <c r="H9465" t="s">
        <v>667</v>
      </c>
      <c r="I9465" t="s">
        <v>29</v>
      </c>
      <c r="J9465">
        <v>1</v>
      </c>
      <c r="K9465">
        <f>1-888-399-7071</f>
        <v>-8357</v>
      </c>
      <c r="L9465" t="s">
        <v>29410</v>
      </c>
      <c r="M9465" t="s">
        <v>29411</v>
      </c>
      <c r="N9465">
        <v>128</v>
      </c>
      <c r="O9465" t="s">
        <v>134</v>
      </c>
      <c r="P9465" t="s">
        <v>29</v>
      </c>
      <c r="Q9465">
        <v>41</v>
      </c>
      <c r="R9465">
        <v>-74.024699999999996</v>
      </c>
    </row>
    <row r="9466" spans="1:18" x14ac:dyDescent="0.2">
      <c r="A9466" t="s">
        <v>2233</v>
      </c>
      <c r="B9466" t="s">
        <v>440</v>
      </c>
      <c r="C9466">
        <v>1</v>
      </c>
      <c r="D9466" s="1">
        <v>44285.769270833334</v>
      </c>
      <c r="E9466" t="s">
        <v>29412</v>
      </c>
      <c r="F9466" t="s">
        <v>2236</v>
      </c>
      <c r="G9466" t="s">
        <v>29413</v>
      </c>
      <c r="H9466" t="s">
        <v>2237</v>
      </c>
      <c r="I9466" t="s">
        <v>29</v>
      </c>
      <c r="J9466">
        <v>1</v>
      </c>
      <c r="K9466">
        <f>1-844-899-4142</f>
        <v>-5884</v>
      </c>
      <c r="L9466" t="s">
        <v>29414</v>
      </c>
      <c r="M9466" t="s">
        <v>29415</v>
      </c>
      <c r="N9466" t="s">
        <v>5354</v>
      </c>
      <c r="O9466" t="s">
        <v>28</v>
      </c>
      <c r="P9466" t="s">
        <v>29</v>
      </c>
      <c r="Q9466">
        <v>39</v>
      </c>
      <c r="R9466">
        <v>-77.487399999999994</v>
      </c>
    </row>
    <row r="9467" spans="1:18" x14ac:dyDescent="0.2">
      <c r="A9467" t="s">
        <v>439</v>
      </c>
      <c r="B9467" t="s">
        <v>4321</v>
      </c>
      <c r="C9467">
        <v>1</v>
      </c>
      <c r="D9467" s="1">
        <v>44285.806122685186</v>
      </c>
      <c r="E9467" t="s">
        <v>29416</v>
      </c>
      <c r="F9467" t="s">
        <v>442</v>
      </c>
      <c r="G9467" t="s">
        <v>29417</v>
      </c>
      <c r="H9467" t="s">
        <v>444</v>
      </c>
      <c r="I9467" t="s">
        <v>29</v>
      </c>
      <c r="J9467">
        <v>1</v>
      </c>
      <c r="K9467">
        <f>1-844-342-2637</f>
        <v>-3822</v>
      </c>
      <c r="L9467" t="s">
        <v>29418</v>
      </c>
      <c r="M9467" t="s">
        <v>29419</v>
      </c>
      <c r="N9467" t="s">
        <v>213</v>
      </c>
      <c r="O9467" t="s">
        <v>28</v>
      </c>
      <c r="P9467" t="s">
        <v>29</v>
      </c>
      <c r="Q9467">
        <v>42</v>
      </c>
      <c r="R9467">
        <v>-87.629800000000003</v>
      </c>
    </row>
    <row r="9468" spans="1:18" x14ac:dyDescent="0.2">
      <c r="A9468" t="s">
        <v>439</v>
      </c>
      <c r="B9468" t="s">
        <v>4321</v>
      </c>
      <c r="C9468">
        <v>61</v>
      </c>
      <c r="D9468" s="1">
        <v>44286.329606481479</v>
      </c>
      <c r="E9468" t="s">
        <v>29420</v>
      </c>
      <c r="F9468" t="s">
        <v>442</v>
      </c>
      <c r="G9468" t="s">
        <v>29421</v>
      </c>
      <c r="H9468" t="s">
        <v>444</v>
      </c>
      <c r="I9468" t="s">
        <v>782</v>
      </c>
      <c r="J9468">
        <v>61</v>
      </c>
      <c r="K9468">
        <f>61-3-9016-104</f>
        <v>-9062</v>
      </c>
      <c r="L9468" t="s">
        <v>29422</v>
      </c>
      <c r="M9468" t="s">
        <v>29423</v>
      </c>
      <c r="N9468" t="s">
        <v>447</v>
      </c>
      <c r="O9468" t="s">
        <v>28</v>
      </c>
      <c r="P9468" t="s">
        <v>29</v>
      </c>
      <c r="Q9468">
        <v>42</v>
      </c>
      <c r="R9468">
        <v>-87.629800000000003</v>
      </c>
    </row>
    <row r="9469" spans="1:18" x14ac:dyDescent="0.2">
      <c r="A9469" t="s">
        <v>675</v>
      </c>
      <c r="B9469" t="s">
        <v>1412</v>
      </c>
      <c r="C9469">
        <v>44</v>
      </c>
      <c r="D9469" s="1">
        <v>44292.566076388888</v>
      </c>
      <c r="E9469" t="s">
        <v>29424</v>
      </c>
      <c r="F9469" t="s">
        <v>678</v>
      </c>
      <c r="G9469" t="s">
        <v>29425</v>
      </c>
      <c r="H9469" t="s">
        <v>680</v>
      </c>
      <c r="I9469" t="s">
        <v>618</v>
      </c>
      <c r="J9469">
        <v>44</v>
      </c>
      <c r="K9469">
        <f>44-800-51-3721</f>
        <v>-4528</v>
      </c>
      <c r="L9469" t="s">
        <v>29426</v>
      </c>
      <c r="M9469" t="s">
        <v>29427</v>
      </c>
      <c r="N9469" t="s">
        <v>2475</v>
      </c>
      <c r="O9469" t="s">
        <v>28</v>
      </c>
      <c r="P9469" t="s">
        <v>29</v>
      </c>
      <c r="Q9469">
        <v>41</v>
      </c>
      <c r="R9469">
        <v>-74.172399999999996</v>
      </c>
    </row>
    <row r="9470" spans="1:18" x14ac:dyDescent="0.2">
      <c r="A9470" t="s">
        <v>675</v>
      </c>
      <c r="B9470" t="s">
        <v>1412</v>
      </c>
      <c r="C9470">
        <v>81</v>
      </c>
      <c r="D9470" s="1">
        <v>44286.534745370373</v>
      </c>
      <c r="E9470" t="s">
        <v>29428</v>
      </c>
      <c r="F9470" t="s">
        <v>678</v>
      </c>
      <c r="G9470" t="s">
        <v>29425</v>
      </c>
      <c r="H9470" t="s">
        <v>680</v>
      </c>
      <c r="I9470" t="s">
        <v>53</v>
      </c>
      <c r="J9470">
        <v>81</v>
      </c>
      <c r="K9470">
        <f>81-50-5534-6683</f>
        <v>-12186</v>
      </c>
      <c r="L9470" t="s">
        <v>29429</v>
      </c>
      <c r="M9470" t="s">
        <v>29430</v>
      </c>
      <c r="N9470" t="s">
        <v>2475</v>
      </c>
      <c r="O9470" t="s">
        <v>28</v>
      </c>
      <c r="P9470" t="s">
        <v>29</v>
      </c>
      <c r="Q9470">
        <v>41</v>
      </c>
      <c r="R9470">
        <v>-74.172399999999996</v>
      </c>
    </row>
    <row r="9471" spans="1:18" x14ac:dyDescent="0.2">
      <c r="A9471" t="s">
        <v>439</v>
      </c>
      <c r="B9471" t="s">
        <v>4321</v>
      </c>
      <c r="C9471">
        <v>81</v>
      </c>
      <c r="D9471" s="1">
        <v>44286.535613425927</v>
      </c>
      <c r="E9471" t="s">
        <v>29431</v>
      </c>
      <c r="F9471" t="s">
        <v>442</v>
      </c>
      <c r="G9471" t="s">
        <v>29432</v>
      </c>
      <c r="H9471" t="s">
        <v>444</v>
      </c>
      <c r="I9471" t="s">
        <v>53</v>
      </c>
      <c r="J9471">
        <v>81</v>
      </c>
      <c r="K9471">
        <f>81-50-3198-9299</f>
        <v>-12466</v>
      </c>
      <c r="L9471" t="s">
        <v>29433</v>
      </c>
      <c r="M9471" t="s">
        <v>29434</v>
      </c>
      <c r="N9471" t="s">
        <v>447</v>
      </c>
      <c r="O9471" t="s">
        <v>134</v>
      </c>
      <c r="P9471" t="s">
        <v>29</v>
      </c>
      <c r="Q9471">
        <v>42</v>
      </c>
      <c r="R9471">
        <v>-87.629800000000003</v>
      </c>
    </row>
    <row r="9472" spans="1:18" x14ac:dyDescent="0.2">
      <c r="A9472" t="s">
        <v>663</v>
      </c>
      <c r="B9472" t="s">
        <v>454</v>
      </c>
      <c r="C9472">
        <v>1</v>
      </c>
      <c r="D9472" s="1">
        <v>44286.536527777775</v>
      </c>
      <c r="E9472" t="s">
        <v>29435</v>
      </c>
      <c r="F9472" t="s">
        <v>666</v>
      </c>
      <c r="G9472" t="s">
        <v>29435</v>
      </c>
      <c r="H9472" t="s">
        <v>667</v>
      </c>
      <c r="I9472" t="s">
        <v>29</v>
      </c>
      <c r="J9472">
        <v>1</v>
      </c>
      <c r="K9472">
        <f>1-888-246-9955</f>
        <v>-11088</v>
      </c>
      <c r="L9472" t="s">
        <v>29436</v>
      </c>
      <c r="M9472" t="s">
        <v>29437</v>
      </c>
      <c r="N9472">
        <v>173</v>
      </c>
      <c r="O9472" t="s">
        <v>134</v>
      </c>
      <c r="P9472" t="s">
        <v>461</v>
      </c>
      <c r="Q9472">
        <v>52</v>
      </c>
      <c r="R9472">
        <v>4.9391999999999996</v>
      </c>
    </row>
    <row r="9473" spans="1:18" x14ac:dyDescent="0.2">
      <c r="A9473" t="s">
        <v>663</v>
      </c>
      <c r="B9473" t="s">
        <v>1212</v>
      </c>
      <c r="C9473">
        <v>44</v>
      </c>
      <c r="D9473" s="1">
        <v>44286.537152777775</v>
      </c>
      <c r="E9473" t="s">
        <v>29438</v>
      </c>
      <c r="F9473" t="s">
        <v>666</v>
      </c>
      <c r="G9473" t="s">
        <v>29439</v>
      </c>
      <c r="H9473" t="s">
        <v>667</v>
      </c>
      <c r="I9473" t="s">
        <v>618</v>
      </c>
      <c r="J9473">
        <v>44</v>
      </c>
      <c r="K9473">
        <f>44-208-133-802</f>
        <v>-1099</v>
      </c>
      <c r="L9473" t="s">
        <v>29440</v>
      </c>
      <c r="M9473" t="s">
        <v>29441</v>
      </c>
      <c r="N9473" t="s">
        <v>447</v>
      </c>
      <c r="O9473" t="s">
        <v>28</v>
      </c>
      <c r="P9473" t="s">
        <v>618</v>
      </c>
      <c r="Q9473">
        <v>52</v>
      </c>
      <c r="R9473">
        <v>-0.62150000000000005</v>
      </c>
    </row>
    <row r="9474" spans="1:18" x14ac:dyDescent="0.2">
      <c r="A9474" t="s">
        <v>439</v>
      </c>
      <c r="B9474" t="s">
        <v>4321</v>
      </c>
      <c r="C9474">
        <v>81</v>
      </c>
      <c r="D9474" s="1">
        <v>44287.417407407411</v>
      </c>
      <c r="E9474" t="s">
        <v>29442</v>
      </c>
      <c r="F9474" t="s">
        <v>442</v>
      </c>
      <c r="G9474" t="s">
        <v>29443</v>
      </c>
      <c r="H9474" t="s">
        <v>444</v>
      </c>
      <c r="I9474" t="s">
        <v>53</v>
      </c>
      <c r="J9474">
        <v>81</v>
      </c>
      <c r="K9474">
        <f>81-50-3615-5520</f>
        <v>-9104</v>
      </c>
      <c r="L9474" t="s">
        <v>29444</v>
      </c>
      <c r="M9474" t="s">
        <v>29445</v>
      </c>
      <c r="N9474" t="s">
        <v>447</v>
      </c>
      <c r="O9474" t="s">
        <v>134</v>
      </c>
      <c r="P9474" t="s">
        <v>29</v>
      </c>
      <c r="Q9474">
        <v>42</v>
      </c>
      <c r="R9474">
        <v>-87.629800000000003</v>
      </c>
    </row>
    <row r="9475" spans="1:18" x14ac:dyDescent="0.2">
      <c r="A9475" t="s">
        <v>439</v>
      </c>
      <c r="B9475" t="s">
        <v>4321</v>
      </c>
      <c r="C9475">
        <v>81</v>
      </c>
      <c r="D9475" s="1">
        <v>44287.41814814815</v>
      </c>
      <c r="E9475" t="s">
        <v>29446</v>
      </c>
      <c r="F9475" t="s">
        <v>442</v>
      </c>
      <c r="G9475" t="s">
        <v>29447</v>
      </c>
      <c r="H9475" t="s">
        <v>444</v>
      </c>
      <c r="I9475" t="s">
        <v>53</v>
      </c>
      <c r="J9475">
        <v>81</v>
      </c>
      <c r="K9475">
        <f>81-50-5532-213</f>
        <v>-5714</v>
      </c>
      <c r="L9475" t="s">
        <v>29448</v>
      </c>
      <c r="M9475" t="s">
        <v>29449</v>
      </c>
      <c r="N9475" t="s">
        <v>447</v>
      </c>
      <c r="O9475" t="s">
        <v>134</v>
      </c>
      <c r="P9475" t="s">
        <v>29</v>
      </c>
      <c r="Q9475">
        <v>42</v>
      </c>
      <c r="R9475">
        <v>-87.629800000000003</v>
      </c>
    </row>
    <row r="9476" spans="1:18" x14ac:dyDescent="0.2">
      <c r="A9476" t="s">
        <v>663</v>
      </c>
      <c r="B9476" t="s">
        <v>2500</v>
      </c>
      <c r="C9476">
        <v>81</v>
      </c>
      <c r="D9476" s="1">
        <v>44287.418842592589</v>
      </c>
      <c r="E9476" t="s">
        <v>29450</v>
      </c>
      <c r="F9476" t="s">
        <v>666</v>
      </c>
      <c r="G9476" t="s">
        <v>29451</v>
      </c>
      <c r="H9476" t="s">
        <v>667</v>
      </c>
      <c r="I9476" t="s">
        <v>53</v>
      </c>
      <c r="J9476">
        <v>81</v>
      </c>
      <c r="K9476">
        <f>81-50-5806-5745</f>
        <v>-11520</v>
      </c>
      <c r="L9476" s="2" t="s">
        <v>29452</v>
      </c>
      <c r="M9476" t="s">
        <v>29453</v>
      </c>
      <c r="N9476" t="s">
        <v>29454</v>
      </c>
      <c r="O9476" t="s">
        <v>134</v>
      </c>
      <c r="P9476" t="s">
        <v>2500</v>
      </c>
      <c r="Q9476">
        <v>1</v>
      </c>
      <c r="R9476">
        <v>99.999999000000003</v>
      </c>
    </row>
    <row r="9477" spans="1:18" x14ac:dyDescent="0.2">
      <c r="A9477" t="s">
        <v>2233</v>
      </c>
      <c r="B9477" t="s">
        <v>440</v>
      </c>
      <c r="C9477">
        <v>1</v>
      </c>
      <c r="D9477" s="1">
        <v>44287.625868055555</v>
      </c>
      <c r="E9477" t="s">
        <v>29455</v>
      </c>
      <c r="F9477" t="s">
        <v>2236</v>
      </c>
      <c r="G9477" t="s">
        <v>29456</v>
      </c>
      <c r="H9477" t="s">
        <v>2237</v>
      </c>
      <c r="I9477" t="s">
        <v>29</v>
      </c>
      <c r="J9477">
        <v>1</v>
      </c>
      <c r="K9477">
        <f>1-866-679-6511</f>
        <v>-8055</v>
      </c>
      <c r="L9477" t="s">
        <v>29457</v>
      </c>
      <c r="M9477" t="s">
        <v>29458</v>
      </c>
      <c r="N9477" t="s">
        <v>5354</v>
      </c>
      <c r="O9477" t="s">
        <v>28</v>
      </c>
      <c r="P9477" t="s">
        <v>29</v>
      </c>
      <c r="Q9477">
        <v>39</v>
      </c>
      <c r="R9477">
        <v>-77.487399999999994</v>
      </c>
    </row>
    <row r="9478" spans="1:18" x14ac:dyDescent="0.2">
      <c r="A9478" t="s">
        <v>439</v>
      </c>
      <c r="B9478" t="s">
        <v>4321</v>
      </c>
      <c r="C9478">
        <v>1</v>
      </c>
      <c r="D9478" s="1">
        <v>44288.775648148148</v>
      </c>
      <c r="E9478" t="s">
        <v>29459</v>
      </c>
      <c r="F9478" t="s">
        <v>442</v>
      </c>
      <c r="G9478" t="s">
        <v>29460</v>
      </c>
      <c r="H9478" t="s">
        <v>444</v>
      </c>
      <c r="I9478" t="s">
        <v>29</v>
      </c>
      <c r="J9478">
        <v>1</v>
      </c>
      <c r="K9478">
        <f>1-888-521-629</f>
        <v>-2037</v>
      </c>
      <c r="L9478" t="s">
        <v>29461</v>
      </c>
      <c r="M9478" t="s">
        <v>29462</v>
      </c>
      <c r="N9478" t="s">
        <v>25195</v>
      </c>
      <c r="O9478" t="s">
        <v>28</v>
      </c>
      <c r="P9478" t="s">
        <v>29</v>
      </c>
      <c r="Q9478">
        <v>42</v>
      </c>
      <c r="R9478">
        <v>-87.629800000000003</v>
      </c>
    </row>
    <row r="9479" spans="1:18" x14ac:dyDescent="0.2">
      <c r="A9479" t="s">
        <v>439</v>
      </c>
      <c r="B9479" t="s">
        <v>4321</v>
      </c>
      <c r="C9479">
        <v>81</v>
      </c>
      <c r="D9479" s="1">
        <v>44288.784363425926</v>
      </c>
      <c r="E9479" t="s">
        <v>29463</v>
      </c>
      <c r="F9479" t="s">
        <v>442</v>
      </c>
      <c r="G9479" t="s">
        <v>29464</v>
      </c>
      <c r="H9479" t="s">
        <v>444</v>
      </c>
      <c r="I9479" t="s">
        <v>53</v>
      </c>
      <c r="J9479">
        <v>81</v>
      </c>
      <c r="K9479">
        <f>81-50-5532-213</f>
        <v>-5714</v>
      </c>
      <c r="L9479" t="s">
        <v>29465</v>
      </c>
      <c r="M9479" t="s">
        <v>29466</v>
      </c>
      <c r="N9479" t="s">
        <v>213</v>
      </c>
      <c r="O9479" t="s">
        <v>28</v>
      </c>
      <c r="P9479" t="s">
        <v>29</v>
      </c>
      <c r="Q9479">
        <v>42</v>
      </c>
      <c r="R9479">
        <v>-87.629800000000003</v>
      </c>
    </row>
    <row r="9480" spans="1:18" x14ac:dyDescent="0.2">
      <c r="A9480" t="s">
        <v>439</v>
      </c>
      <c r="B9480" t="s">
        <v>440</v>
      </c>
      <c r="C9480">
        <v>1</v>
      </c>
      <c r="D9480" s="1">
        <v>44288.793865740743</v>
      </c>
      <c r="E9480" t="s">
        <v>29467</v>
      </c>
      <c r="F9480" t="s">
        <v>442</v>
      </c>
      <c r="G9480" t="s">
        <v>29468</v>
      </c>
      <c r="H9480" t="s">
        <v>444</v>
      </c>
      <c r="I9480" t="s">
        <v>29</v>
      </c>
      <c r="J9480">
        <v>1</v>
      </c>
      <c r="K9480">
        <f>1-888-599-338</f>
        <v>-1824</v>
      </c>
      <c r="L9480" t="s">
        <v>29469</v>
      </c>
      <c r="M9480" t="s">
        <v>29470</v>
      </c>
      <c r="N9480" t="s">
        <v>213</v>
      </c>
      <c r="O9480" t="s">
        <v>28</v>
      </c>
      <c r="P9480" t="s">
        <v>29</v>
      </c>
      <c r="Q9480">
        <v>39</v>
      </c>
      <c r="R9480">
        <v>-77.487399999999994</v>
      </c>
    </row>
    <row r="9481" spans="1:18" x14ac:dyDescent="0.2">
      <c r="A9481" t="s">
        <v>2233</v>
      </c>
      <c r="B9481" t="s">
        <v>2234</v>
      </c>
      <c r="C9481">
        <v>1</v>
      </c>
      <c r="D9481" s="1">
        <v>44292.921655092592</v>
      </c>
      <c r="E9481" t="s">
        <v>29471</v>
      </c>
      <c r="F9481" t="s">
        <v>2236</v>
      </c>
      <c r="G9481" t="s">
        <v>29472</v>
      </c>
      <c r="H9481" t="s">
        <v>2237</v>
      </c>
      <c r="I9481" t="s">
        <v>29</v>
      </c>
      <c r="J9481">
        <v>1</v>
      </c>
      <c r="K9481">
        <f>1-202-858-9964</f>
        <v>-11023</v>
      </c>
      <c r="L9481" t="s">
        <v>29473</v>
      </c>
      <c r="M9481" t="s">
        <v>29474</v>
      </c>
      <c r="N9481" t="s">
        <v>5354</v>
      </c>
      <c r="O9481" t="s">
        <v>28</v>
      </c>
      <c r="P9481" t="s">
        <v>29</v>
      </c>
      <c r="Q9481">
        <v>40</v>
      </c>
      <c r="R9481">
        <v>-83.114099999999993</v>
      </c>
    </row>
    <row r="9482" spans="1:18" x14ac:dyDescent="0.2">
      <c r="A9482" t="s">
        <v>663</v>
      </c>
      <c r="B9482" t="s">
        <v>664</v>
      </c>
      <c r="C9482">
        <v>1</v>
      </c>
      <c r="D9482" s="1">
        <v>44288.926122685189</v>
      </c>
      <c r="E9482" t="s">
        <v>29475</v>
      </c>
      <c r="F9482" t="s">
        <v>666</v>
      </c>
      <c r="G9482" t="s">
        <v>29476</v>
      </c>
      <c r="H9482" t="s">
        <v>667</v>
      </c>
      <c r="I9482" t="s">
        <v>29</v>
      </c>
      <c r="J9482">
        <v>1</v>
      </c>
      <c r="K9482">
        <f>1-888-382-2495</f>
        <v>-3764</v>
      </c>
      <c r="L9482" t="s">
        <v>29477</v>
      </c>
      <c r="M9482" t="s">
        <v>29478</v>
      </c>
      <c r="N9482" t="s">
        <v>3454</v>
      </c>
      <c r="O9482" t="s">
        <v>28</v>
      </c>
      <c r="P9482" t="s">
        <v>29</v>
      </c>
      <c r="Q9482">
        <v>37</v>
      </c>
      <c r="R9482">
        <v>-99.999999000000003</v>
      </c>
    </row>
    <row r="9483" spans="1:18" x14ac:dyDescent="0.2">
      <c r="A9483" t="s">
        <v>663</v>
      </c>
      <c r="B9483" t="s">
        <v>2493</v>
      </c>
      <c r="C9483">
        <v>1</v>
      </c>
      <c r="D9483" s="1">
        <v>44288.964074074072</v>
      </c>
      <c r="E9483" t="s">
        <v>29479</v>
      </c>
      <c r="F9483" t="s">
        <v>666</v>
      </c>
      <c r="G9483" t="s">
        <v>29480</v>
      </c>
      <c r="H9483" t="s">
        <v>667</v>
      </c>
      <c r="I9483" t="s">
        <v>29</v>
      </c>
      <c r="J9483">
        <v>1</v>
      </c>
      <c r="K9483">
        <f>1-888-308-5940</f>
        <v>-7135</v>
      </c>
      <c r="L9483" t="s">
        <v>29481</v>
      </c>
      <c r="M9483" t="s">
        <v>29482</v>
      </c>
      <c r="N9483" t="s">
        <v>25263</v>
      </c>
      <c r="O9483" t="s">
        <v>28</v>
      </c>
      <c r="P9483" t="s">
        <v>29</v>
      </c>
      <c r="Q9483">
        <v>41</v>
      </c>
      <c r="R9483">
        <v>-74.024699999999996</v>
      </c>
    </row>
    <row r="9484" spans="1:18" x14ac:dyDescent="0.2">
      <c r="A9484" t="s">
        <v>663</v>
      </c>
      <c r="B9484" t="s">
        <v>2493</v>
      </c>
      <c r="C9484">
        <v>1</v>
      </c>
      <c r="D9484" s="1">
        <v>44289.718356481484</v>
      </c>
      <c r="E9484" t="s">
        <v>29483</v>
      </c>
      <c r="F9484" t="s">
        <v>666</v>
      </c>
      <c r="G9484" t="s">
        <v>29484</v>
      </c>
      <c r="H9484" t="s">
        <v>667</v>
      </c>
      <c r="I9484" t="s">
        <v>29</v>
      </c>
      <c r="J9484">
        <v>1</v>
      </c>
      <c r="K9484">
        <f>1-855-908-5196</f>
        <v>-6958</v>
      </c>
      <c r="L9484" t="s">
        <v>29485</v>
      </c>
      <c r="M9484" t="s">
        <v>29486</v>
      </c>
      <c r="N9484" t="s">
        <v>36</v>
      </c>
      <c r="O9484" t="s">
        <v>28</v>
      </c>
      <c r="P9484" t="s">
        <v>29</v>
      </c>
      <c r="Q9484">
        <v>41</v>
      </c>
      <c r="R9484">
        <v>-74.024699999999996</v>
      </c>
    </row>
    <row r="9485" spans="1:18" x14ac:dyDescent="0.2">
      <c r="A9485" t="s">
        <v>439</v>
      </c>
      <c r="B9485" t="s">
        <v>4321</v>
      </c>
      <c r="C9485">
        <v>1</v>
      </c>
      <c r="D9485" s="1">
        <v>44289.720983796295</v>
      </c>
      <c r="E9485" t="s">
        <v>29487</v>
      </c>
      <c r="F9485" t="s">
        <v>442</v>
      </c>
      <c r="G9485" t="s">
        <v>29488</v>
      </c>
      <c r="H9485" t="s">
        <v>444</v>
      </c>
      <c r="I9485" t="s">
        <v>29</v>
      </c>
      <c r="J9485">
        <v>1</v>
      </c>
      <c r="K9485">
        <f>1-888-531-2304</f>
        <v>-3722</v>
      </c>
      <c r="L9485" t="s">
        <v>29489</v>
      </c>
      <c r="M9485" t="s">
        <v>29490</v>
      </c>
      <c r="N9485" t="s">
        <v>25195</v>
      </c>
      <c r="O9485" t="s">
        <v>28</v>
      </c>
      <c r="P9485" t="s">
        <v>29</v>
      </c>
      <c r="Q9485">
        <v>42</v>
      </c>
      <c r="R9485">
        <v>-87.629800000000003</v>
      </c>
    </row>
    <row r="9486" spans="1:18" x14ac:dyDescent="0.2">
      <c r="A9486" t="s">
        <v>439</v>
      </c>
      <c r="B9486" t="s">
        <v>440</v>
      </c>
      <c r="C9486">
        <v>1</v>
      </c>
      <c r="D9486" s="1">
        <v>44292.907071759262</v>
      </c>
      <c r="E9486" t="s">
        <v>29491</v>
      </c>
      <c r="F9486" t="s">
        <v>442</v>
      </c>
      <c r="G9486" t="s">
        <v>29492</v>
      </c>
      <c r="H9486" t="s">
        <v>444</v>
      </c>
      <c r="I9486" t="s">
        <v>29</v>
      </c>
      <c r="J9486">
        <v>1</v>
      </c>
      <c r="K9486">
        <f>1-888-385-184</f>
        <v>-1456</v>
      </c>
      <c r="L9486" t="s">
        <v>29493</v>
      </c>
      <c r="M9486" t="s">
        <v>29494</v>
      </c>
      <c r="N9486" t="s">
        <v>447</v>
      </c>
      <c r="O9486" t="s">
        <v>28</v>
      </c>
      <c r="P9486" t="s">
        <v>29</v>
      </c>
      <c r="Q9486">
        <v>39</v>
      </c>
      <c r="R9486">
        <v>-77.487399999999994</v>
      </c>
    </row>
    <row r="9487" spans="1:18" x14ac:dyDescent="0.2">
      <c r="A9487" t="s">
        <v>663</v>
      </c>
      <c r="B9487" t="s">
        <v>2493</v>
      </c>
      <c r="C9487">
        <v>1</v>
      </c>
      <c r="D9487" s="1">
        <v>44292.903368055559</v>
      </c>
      <c r="E9487" t="s">
        <v>29495</v>
      </c>
      <c r="F9487" t="s">
        <v>666</v>
      </c>
      <c r="G9487" t="s">
        <v>29496</v>
      </c>
      <c r="H9487" t="s">
        <v>667</v>
      </c>
      <c r="I9487" t="s">
        <v>29</v>
      </c>
      <c r="J9487">
        <v>1</v>
      </c>
      <c r="K9487">
        <f>1-888-308-5972</f>
        <v>-7167</v>
      </c>
      <c r="L9487" t="s">
        <v>29497</v>
      </c>
      <c r="M9487" t="s">
        <v>29498</v>
      </c>
      <c r="N9487" t="s">
        <v>25263</v>
      </c>
      <c r="O9487" t="s">
        <v>28</v>
      </c>
      <c r="P9487" t="s">
        <v>29</v>
      </c>
      <c r="Q9487">
        <v>41</v>
      </c>
      <c r="R9487">
        <v>-74.024699999999996</v>
      </c>
    </row>
    <row r="9488" spans="1:18" x14ac:dyDescent="0.2">
      <c r="A9488" t="s">
        <v>675</v>
      </c>
      <c r="B9488" t="s">
        <v>6834</v>
      </c>
      <c r="C9488">
        <v>44</v>
      </c>
      <c r="D9488" s="1">
        <v>44291.659733796296</v>
      </c>
      <c r="E9488" t="s">
        <v>29499</v>
      </c>
      <c r="F9488" t="s">
        <v>678</v>
      </c>
      <c r="G9488" t="s">
        <v>29500</v>
      </c>
      <c r="H9488" t="s">
        <v>680</v>
      </c>
      <c r="I9488" t="s">
        <v>618</v>
      </c>
      <c r="J9488">
        <v>44</v>
      </c>
      <c r="K9488">
        <f>44-33-1-754</f>
        <v>-744</v>
      </c>
      <c r="L9488" t="s">
        <v>29501</v>
      </c>
      <c r="M9488" t="s">
        <v>29502</v>
      </c>
      <c r="N9488" t="s">
        <v>2475</v>
      </c>
      <c r="O9488" t="s">
        <v>28</v>
      </c>
      <c r="P9488" t="s">
        <v>29</v>
      </c>
      <c r="Q9488">
        <v>34</v>
      </c>
      <c r="R9488">
        <v>-99.999999000000003</v>
      </c>
    </row>
    <row r="9489" spans="1:18" x14ac:dyDescent="0.2">
      <c r="A9489" t="s">
        <v>6912</v>
      </c>
      <c r="B9489" t="s">
        <v>6913</v>
      </c>
      <c r="C9489">
        <v>1</v>
      </c>
      <c r="D9489" s="1">
        <v>44291.726967592593</v>
      </c>
      <c r="E9489" t="s">
        <v>29503</v>
      </c>
      <c r="F9489" t="s">
        <v>6663</v>
      </c>
      <c r="G9489" t="s">
        <v>29504</v>
      </c>
      <c r="H9489" t="s">
        <v>6665</v>
      </c>
      <c r="I9489" t="s">
        <v>29</v>
      </c>
      <c r="J9489">
        <v>1</v>
      </c>
      <c r="K9489">
        <f>1-865-999-9013</f>
        <v>-10876</v>
      </c>
      <c r="L9489" t="s">
        <v>29505</v>
      </c>
      <c r="M9489" t="s">
        <v>29506</v>
      </c>
      <c r="N9489" t="s">
        <v>5354</v>
      </c>
      <c r="O9489" t="s">
        <v>28</v>
      </c>
      <c r="P9489" t="s">
        <v>29</v>
      </c>
      <c r="Q9489">
        <v>35</v>
      </c>
      <c r="R9489">
        <v>-80.843100000000007</v>
      </c>
    </row>
    <row r="9490" spans="1:18" x14ac:dyDescent="0.2">
      <c r="A9490" t="s">
        <v>663</v>
      </c>
      <c r="B9490" t="s">
        <v>2493</v>
      </c>
      <c r="C9490">
        <v>1</v>
      </c>
      <c r="D9490" s="1">
        <v>44291.98709490741</v>
      </c>
      <c r="E9490" t="s">
        <v>29507</v>
      </c>
      <c r="F9490" t="s">
        <v>666</v>
      </c>
      <c r="G9490" t="s">
        <v>29508</v>
      </c>
      <c r="H9490" t="s">
        <v>667</v>
      </c>
      <c r="I9490" t="s">
        <v>29</v>
      </c>
      <c r="J9490">
        <v>1</v>
      </c>
      <c r="K9490">
        <f>1-844-304-4260</f>
        <v>-5407</v>
      </c>
      <c r="L9490" t="s">
        <v>29509</v>
      </c>
      <c r="M9490" t="s">
        <v>29510</v>
      </c>
      <c r="N9490" t="s">
        <v>25263</v>
      </c>
      <c r="O9490" t="s">
        <v>28</v>
      </c>
      <c r="P9490" t="s">
        <v>29</v>
      </c>
      <c r="Q9490">
        <v>41</v>
      </c>
      <c r="R9490">
        <v>-74.024699999999996</v>
      </c>
    </row>
    <row r="9491" spans="1:18" x14ac:dyDescent="0.2">
      <c r="A9491" t="s">
        <v>439</v>
      </c>
      <c r="B9491" t="s">
        <v>4321</v>
      </c>
      <c r="C9491">
        <v>1</v>
      </c>
      <c r="D9491" s="1">
        <v>44292.803773148145</v>
      </c>
      <c r="E9491" t="s">
        <v>29511</v>
      </c>
      <c r="F9491" t="s">
        <v>442</v>
      </c>
      <c r="G9491" t="s">
        <v>29512</v>
      </c>
      <c r="H9491" t="s">
        <v>444</v>
      </c>
      <c r="I9491" t="s">
        <v>29</v>
      </c>
      <c r="J9491">
        <v>1</v>
      </c>
      <c r="K9491">
        <f>1-833-220-2936</f>
        <v>-3988</v>
      </c>
      <c r="L9491" t="s">
        <v>29513</v>
      </c>
      <c r="M9491" t="s">
        <v>29514</v>
      </c>
      <c r="N9491" t="s">
        <v>683</v>
      </c>
      <c r="O9491" t="s">
        <v>28</v>
      </c>
      <c r="P9491" t="s">
        <v>29</v>
      </c>
      <c r="Q9491">
        <v>42</v>
      </c>
      <c r="R9491">
        <v>-87.629800000000003</v>
      </c>
    </row>
    <row r="9492" spans="1:18" x14ac:dyDescent="0.2">
      <c r="A9492" t="s">
        <v>439</v>
      </c>
      <c r="B9492" t="s">
        <v>4321</v>
      </c>
      <c r="C9492">
        <v>1</v>
      </c>
      <c r="D9492" s="1">
        <v>44291.90347222222</v>
      </c>
      <c r="E9492" t="s">
        <v>29515</v>
      </c>
      <c r="F9492" t="s">
        <v>442</v>
      </c>
      <c r="G9492" t="s">
        <v>29516</v>
      </c>
      <c r="H9492" t="s">
        <v>444</v>
      </c>
      <c r="I9492" t="s">
        <v>29</v>
      </c>
      <c r="J9492">
        <v>1</v>
      </c>
      <c r="K9492">
        <f>1-609-232-2612</f>
        <v>-3452</v>
      </c>
      <c r="L9492" t="s">
        <v>29517</v>
      </c>
      <c r="M9492" t="s">
        <v>29518</v>
      </c>
      <c r="N9492" t="s">
        <v>447</v>
      </c>
      <c r="O9492" t="s">
        <v>28</v>
      </c>
      <c r="P9492" t="s">
        <v>29</v>
      </c>
      <c r="Q9492">
        <v>42</v>
      </c>
      <c r="R9492">
        <v>-87.629800000000003</v>
      </c>
    </row>
    <row r="9493" spans="1:18" x14ac:dyDescent="0.2">
      <c r="A9493" t="s">
        <v>1650</v>
      </c>
      <c r="B9493" t="s">
        <v>1651</v>
      </c>
      <c r="C9493">
        <v>81</v>
      </c>
      <c r="D9493" s="1">
        <v>44293.668425925927</v>
      </c>
      <c r="E9493" t="s">
        <v>29519</v>
      </c>
      <c r="F9493" t="s">
        <v>1653</v>
      </c>
      <c r="G9493" t="s">
        <v>29520</v>
      </c>
      <c r="H9493" t="s">
        <v>1655</v>
      </c>
      <c r="I9493" t="s">
        <v>53</v>
      </c>
      <c r="J9493">
        <v>81</v>
      </c>
      <c r="K9493">
        <f>81-50-5806-1324</f>
        <v>-7099</v>
      </c>
      <c r="L9493" t="s">
        <v>29521</v>
      </c>
      <c r="M9493" t="s">
        <v>29522</v>
      </c>
      <c r="N9493" t="s">
        <v>452</v>
      </c>
      <c r="O9493" t="s">
        <v>28</v>
      </c>
      <c r="P9493" t="s">
        <v>29</v>
      </c>
      <c r="Q9493">
        <v>47</v>
      </c>
      <c r="R9493">
        <v>-99.999999000000003</v>
      </c>
    </row>
    <row r="9494" spans="1:18" x14ac:dyDescent="0.2">
      <c r="A9494" t="s">
        <v>1650</v>
      </c>
      <c r="B9494" t="s">
        <v>1651</v>
      </c>
      <c r="C9494">
        <v>81</v>
      </c>
      <c r="D9494" s="1">
        <v>44293.667083333334</v>
      </c>
      <c r="E9494" t="s">
        <v>29523</v>
      </c>
      <c r="F9494" t="s">
        <v>1653</v>
      </c>
      <c r="G9494" t="s">
        <v>29520</v>
      </c>
      <c r="H9494" t="s">
        <v>1655</v>
      </c>
      <c r="I9494" t="s">
        <v>53</v>
      </c>
      <c r="J9494">
        <v>81</v>
      </c>
      <c r="K9494">
        <f>81-50-5806-2930</f>
        <v>-8705</v>
      </c>
      <c r="L9494" t="s">
        <v>29524</v>
      </c>
      <c r="M9494" t="s">
        <v>29525</v>
      </c>
      <c r="N9494" t="s">
        <v>452</v>
      </c>
      <c r="O9494" t="s">
        <v>28</v>
      </c>
      <c r="P9494" t="s">
        <v>29</v>
      </c>
      <c r="Q9494">
        <v>47</v>
      </c>
      <c r="R9494">
        <v>-99.999999000000003</v>
      </c>
    </row>
    <row r="9495" spans="1:18" x14ac:dyDescent="0.2">
      <c r="A9495" t="s">
        <v>1650</v>
      </c>
      <c r="B9495" t="s">
        <v>1651</v>
      </c>
      <c r="C9495">
        <v>81</v>
      </c>
      <c r="D9495" s="1">
        <v>44293.667928240742</v>
      </c>
      <c r="E9495" t="s">
        <v>29526</v>
      </c>
      <c r="F9495" t="s">
        <v>1653</v>
      </c>
      <c r="G9495" t="s">
        <v>29520</v>
      </c>
      <c r="H9495" t="s">
        <v>1655</v>
      </c>
      <c r="I9495" t="s">
        <v>53</v>
      </c>
      <c r="J9495">
        <v>81</v>
      </c>
      <c r="K9495">
        <f>81-50-5806-2930</f>
        <v>-8705</v>
      </c>
      <c r="L9495" t="s">
        <v>29527</v>
      </c>
      <c r="M9495" t="s">
        <v>29528</v>
      </c>
      <c r="N9495" t="s">
        <v>452</v>
      </c>
      <c r="O9495" t="s">
        <v>28</v>
      </c>
      <c r="P9495" t="s">
        <v>29</v>
      </c>
      <c r="Q9495">
        <v>47</v>
      </c>
      <c r="R9495">
        <v>-99.999999000000003</v>
      </c>
    </row>
    <row r="9496" spans="1:18" x14ac:dyDescent="0.2">
      <c r="A9496" t="s">
        <v>439</v>
      </c>
      <c r="B9496" t="s">
        <v>4321</v>
      </c>
      <c r="C9496">
        <v>1</v>
      </c>
      <c r="D9496" s="1">
        <v>44292.813217592593</v>
      </c>
      <c r="E9496" t="s">
        <v>29529</v>
      </c>
      <c r="F9496" t="s">
        <v>442</v>
      </c>
      <c r="G9496" t="s">
        <v>29530</v>
      </c>
      <c r="H9496" t="s">
        <v>444</v>
      </c>
      <c r="I9496" t="s">
        <v>29</v>
      </c>
      <c r="J9496">
        <v>1</v>
      </c>
      <c r="K9496">
        <f>1-888-308-5117</f>
        <v>-6312</v>
      </c>
      <c r="L9496" t="s">
        <v>29531</v>
      </c>
      <c r="M9496" t="s">
        <v>29532</v>
      </c>
      <c r="N9496" t="s">
        <v>447</v>
      </c>
      <c r="O9496" t="s">
        <v>28</v>
      </c>
      <c r="P9496" t="s">
        <v>29</v>
      </c>
      <c r="Q9496">
        <v>42</v>
      </c>
      <c r="R9496">
        <v>-87.629800000000003</v>
      </c>
    </row>
    <row r="9497" spans="1:18" x14ac:dyDescent="0.2">
      <c r="A9497" t="s">
        <v>2233</v>
      </c>
      <c r="B9497" t="s">
        <v>2234</v>
      </c>
      <c r="C9497">
        <v>1</v>
      </c>
      <c r="D9497" s="1">
        <v>44292.830416666664</v>
      </c>
      <c r="E9497" t="s">
        <v>29471</v>
      </c>
      <c r="F9497" t="s">
        <v>2236</v>
      </c>
      <c r="G9497" t="s">
        <v>29533</v>
      </c>
      <c r="H9497" t="s">
        <v>2237</v>
      </c>
      <c r="I9497" t="s">
        <v>29</v>
      </c>
      <c r="J9497">
        <v>1</v>
      </c>
      <c r="K9497">
        <f>1-888-537-3347</f>
        <v>-4771</v>
      </c>
      <c r="L9497" t="s">
        <v>29534</v>
      </c>
      <c r="M9497" t="s">
        <v>29535</v>
      </c>
      <c r="N9497" t="s">
        <v>5354</v>
      </c>
      <c r="O9497" t="s">
        <v>28</v>
      </c>
      <c r="P9497" t="s">
        <v>29</v>
      </c>
      <c r="Q9497">
        <v>40</v>
      </c>
      <c r="R9497">
        <v>-83.114099999999993</v>
      </c>
    </row>
    <row r="9498" spans="1:18" x14ac:dyDescent="0.2">
      <c r="A9498" t="s">
        <v>6912</v>
      </c>
      <c r="B9498" t="s">
        <v>6913</v>
      </c>
      <c r="C9498">
        <v>1</v>
      </c>
      <c r="D9498" s="1">
        <v>44292.836412037039</v>
      </c>
      <c r="E9498" t="s">
        <v>29536</v>
      </c>
      <c r="F9498" t="s">
        <v>6663</v>
      </c>
      <c r="G9498" t="s">
        <v>29537</v>
      </c>
      <c r="H9498" t="s">
        <v>6665</v>
      </c>
      <c r="I9498" t="s">
        <v>29</v>
      </c>
      <c r="J9498">
        <v>1</v>
      </c>
      <c r="K9498">
        <f>1-865-666-5365</f>
        <v>-6895</v>
      </c>
      <c r="L9498" t="s">
        <v>29538</v>
      </c>
      <c r="M9498" t="s">
        <v>29539</v>
      </c>
      <c r="N9498" t="s">
        <v>5354</v>
      </c>
      <c r="O9498" t="s">
        <v>28</v>
      </c>
      <c r="P9498" t="s">
        <v>29</v>
      </c>
      <c r="Q9498">
        <v>35</v>
      </c>
      <c r="R9498">
        <v>-80.843100000000007</v>
      </c>
    </row>
    <row r="9499" spans="1:18" x14ac:dyDescent="0.2">
      <c r="A9499" t="s">
        <v>439</v>
      </c>
      <c r="B9499" t="s">
        <v>4321</v>
      </c>
      <c r="C9499">
        <v>81</v>
      </c>
      <c r="D9499" s="1">
        <v>44293.666006944448</v>
      </c>
      <c r="E9499" t="s">
        <v>29540</v>
      </c>
      <c r="F9499" t="s">
        <v>442</v>
      </c>
      <c r="G9499" t="s">
        <v>29541</v>
      </c>
      <c r="H9499" t="s">
        <v>444</v>
      </c>
      <c r="I9499" t="s">
        <v>53</v>
      </c>
      <c r="J9499">
        <v>81</v>
      </c>
      <c r="K9499">
        <f>81-50-5532-1747</f>
        <v>-7248</v>
      </c>
      <c r="L9499" t="s">
        <v>29542</v>
      </c>
      <c r="M9499" t="s">
        <v>29543</v>
      </c>
      <c r="N9499" t="s">
        <v>447</v>
      </c>
      <c r="O9499" t="s">
        <v>28</v>
      </c>
      <c r="P9499" t="s">
        <v>29</v>
      </c>
      <c r="Q9499">
        <v>42</v>
      </c>
      <c r="R9499">
        <v>-87.629800000000003</v>
      </c>
    </row>
    <row r="9500" spans="1:18" x14ac:dyDescent="0.2">
      <c r="A9500" t="s">
        <v>663</v>
      </c>
      <c r="B9500" t="s">
        <v>664</v>
      </c>
      <c r="C9500">
        <v>1</v>
      </c>
      <c r="D9500" s="1">
        <v>44292.854305555556</v>
      </c>
      <c r="E9500" t="s">
        <v>29544</v>
      </c>
      <c r="F9500" t="s">
        <v>666</v>
      </c>
      <c r="G9500" t="s">
        <v>29545</v>
      </c>
      <c r="H9500" t="s">
        <v>667</v>
      </c>
      <c r="I9500" t="s">
        <v>29</v>
      </c>
      <c r="J9500">
        <v>1</v>
      </c>
      <c r="K9500">
        <f>1-855-574-1736</f>
        <v>-3164</v>
      </c>
      <c r="L9500" t="s">
        <v>29546</v>
      </c>
      <c r="M9500" t="s">
        <v>29547</v>
      </c>
      <c r="N9500" t="s">
        <v>36</v>
      </c>
      <c r="O9500" t="s">
        <v>28</v>
      </c>
      <c r="P9500" t="s">
        <v>29</v>
      </c>
      <c r="Q9500">
        <v>37</v>
      </c>
      <c r="R9500">
        <v>-99.999999000000003</v>
      </c>
    </row>
    <row r="9501" spans="1:18" x14ac:dyDescent="0.2">
      <c r="A9501" t="s">
        <v>439</v>
      </c>
      <c r="B9501" t="s">
        <v>440</v>
      </c>
      <c r="C9501">
        <v>1</v>
      </c>
      <c r="D9501" s="1">
        <v>44298.818148148152</v>
      </c>
      <c r="E9501" t="s">
        <v>29548</v>
      </c>
      <c r="F9501" t="s">
        <v>442</v>
      </c>
      <c r="G9501" t="s">
        <v>29549</v>
      </c>
      <c r="H9501" t="s">
        <v>444</v>
      </c>
      <c r="I9501" t="s">
        <v>29</v>
      </c>
      <c r="J9501">
        <v>1</v>
      </c>
      <c r="K9501">
        <f>1-866-481-994</f>
        <v>-2340</v>
      </c>
      <c r="L9501" t="s">
        <v>29550</v>
      </c>
      <c r="M9501" t="s">
        <v>29551</v>
      </c>
      <c r="N9501" t="s">
        <v>452</v>
      </c>
      <c r="O9501" t="s">
        <v>28</v>
      </c>
      <c r="P9501" t="s">
        <v>29</v>
      </c>
      <c r="Q9501">
        <v>39</v>
      </c>
      <c r="R9501">
        <v>-77.487399999999994</v>
      </c>
    </row>
    <row r="9502" spans="1:18" x14ac:dyDescent="0.2">
      <c r="A9502" t="s">
        <v>2233</v>
      </c>
      <c r="B9502" t="s">
        <v>1638</v>
      </c>
      <c r="C9502">
        <v>1</v>
      </c>
      <c r="D9502" s="1">
        <v>44298.835023148145</v>
      </c>
      <c r="E9502" t="s">
        <v>29552</v>
      </c>
      <c r="F9502" t="s">
        <v>7023</v>
      </c>
      <c r="G9502" t="s">
        <v>29553</v>
      </c>
      <c r="H9502" t="s">
        <v>2237</v>
      </c>
      <c r="I9502" t="s">
        <v>29</v>
      </c>
      <c r="J9502">
        <v>1</v>
      </c>
      <c r="K9502">
        <f>1-866-586-1014</f>
        <v>-2465</v>
      </c>
      <c r="L9502" t="s">
        <v>29554</v>
      </c>
      <c r="M9502" t="s">
        <v>29555</v>
      </c>
      <c r="N9502" t="s">
        <v>278</v>
      </c>
      <c r="O9502" t="s">
        <v>28</v>
      </c>
      <c r="P9502" t="s">
        <v>292</v>
      </c>
      <c r="Q9502">
        <v>49</v>
      </c>
      <c r="R9502">
        <v>2.35222</v>
      </c>
    </row>
    <row r="9503" spans="1:18" x14ac:dyDescent="0.2">
      <c r="A9503" t="s">
        <v>6912</v>
      </c>
      <c r="B9503" t="s">
        <v>6913</v>
      </c>
      <c r="C9503">
        <v>1</v>
      </c>
      <c r="D9503" s="1">
        <v>44292.858206018522</v>
      </c>
      <c r="E9503" t="s">
        <v>29536</v>
      </c>
      <c r="F9503" t="s">
        <v>6663</v>
      </c>
      <c r="G9503" t="s">
        <v>29556</v>
      </c>
      <c r="I9503" t="s">
        <v>29</v>
      </c>
      <c r="J9503">
        <v>1</v>
      </c>
      <c r="K9503">
        <f>1-858-800-854</f>
        <v>-2511</v>
      </c>
      <c r="L9503" t="s">
        <v>29557</v>
      </c>
      <c r="M9503" t="s">
        <v>29558</v>
      </c>
      <c r="N9503" t="s">
        <v>5354</v>
      </c>
      <c r="O9503" t="s">
        <v>28</v>
      </c>
      <c r="P9503" t="s">
        <v>29</v>
      </c>
      <c r="Q9503">
        <v>35</v>
      </c>
      <c r="R9503">
        <v>-80.843100000000007</v>
      </c>
    </row>
    <row r="9504" spans="1:18" x14ac:dyDescent="0.2">
      <c r="A9504" t="s">
        <v>663</v>
      </c>
      <c r="B9504" t="s">
        <v>2493</v>
      </c>
      <c r="C9504">
        <v>1</v>
      </c>
      <c r="D9504" s="1">
        <v>44293.887673611112</v>
      </c>
      <c r="E9504" t="s">
        <v>29559</v>
      </c>
      <c r="F9504" t="s">
        <v>666</v>
      </c>
      <c r="G9504" t="s">
        <v>29560</v>
      </c>
      <c r="H9504" t="s">
        <v>667</v>
      </c>
      <c r="I9504" t="s">
        <v>29</v>
      </c>
      <c r="J9504">
        <v>1</v>
      </c>
      <c r="K9504">
        <f>1-888-354-1430</f>
        <v>-2671</v>
      </c>
      <c r="L9504" s="2" t="s">
        <v>29561</v>
      </c>
      <c r="M9504" t="s">
        <v>29562</v>
      </c>
      <c r="N9504" t="s">
        <v>25263</v>
      </c>
      <c r="O9504" t="s">
        <v>28</v>
      </c>
      <c r="P9504" t="s">
        <v>29</v>
      </c>
      <c r="Q9504">
        <v>41</v>
      </c>
      <c r="R9504">
        <v>-74.024699999999996</v>
      </c>
    </row>
    <row r="9505" spans="1:18" x14ac:dyDescent="0.2">
      <c r="A9505" t="s">
        <v>439</v>
      </c>
      <c r="B9505" t="s">
        <v>4321</v>
      </c>
      <c r="C9505">
        <v>1</v>
      </c>
      <c r="D9505" s="1">
        <v>44298.782384259262</v>
      </c>
      <c r="E9505" t="s">
        <v>29563</v>
      </c>
      <c r="F9505" t="s">
        <v>442</v>
      </c>
      <c r="G9505" t="s">
        <v>29564</v>
      </c>
      <c r="H9505" t="s">
        <v>444</v>
      </c>
      <c r="I9505" t="s">
        <v>29</v>
      </c>
      <c r="J9505">
        <v>1</v>
      </c>
      <c r="K9505">
        <f>1-833-387-4429</f>
        <v>-5648</v>
      </c>
      <c r="L9505" t="s">
        <v>29565</v>
      </c>
      <c r="M9505" t="s">
        <v>29566</v>
      </c>
      <c r="N9505" t="s">
        <v>447</v>
      </c>
      <c r="O9505" t="s">
        <v>28</v>
      </c>
      <c r="P9505" t="s">
        <v>29</v>
      </c>
      <c r="Q9505">
        <v>42</v>
      </c>
      <c r="R9505">
        <v>-87.629800000000003</v>
      </c>
    </row>
    <row r="9506" spans="1:18" x14ac:dyDescent="0.2">
      <c r="A9506" t="s">
        <v>439</v>
      </c>
      <c r="B9506" t="s">
        <v>4321</v>
      </c>
      <c r="C9506">
        <v>1</v>
      </c>
      <c r="D9506" s="1">
        <v>44292.900833333333</v>
      </c>
      <c r="E9506" t="s">
        <v>29567</v>
      </c>
      <c r="F9506" t="s">
        <v>442</v>
      </c>
      <c r="G9506" t="s">
        <v>29568</v>
      </c>
      <c r="H9506" t="s">
        <v>444</v>
      </c>
      <c r="I9506" t="s">
        <v>29</v>
      </c>
      <c r="J9506">
        <v>1</v>
      </c>
      <c r="K9506">
        <f>1-888-307-3621</f>
        <v>-4815</v>
      </c>
      <c r="L9506" t="s">
        <v>29569</v>
      </c>
      <c r="M9506" t="s">
        <v>29570</v>
      </c>
      <c r="N9506" t="s">
        <v>452</v>
      </c>
      <c r="O9506" t="s">
        <v>134</v>
      </c>
      <c r="P9506" t="s">
        <v>29</v>
      </c>
      <c r="Q9506">
        <v>42</v>
      </c>
      <c r="R9506">
        <v>-87.629800000000003</v>
      </c>
    </row>
    <row r="9507" spans="1:18" x14ac:dyDescent="0.2">
      <c r="A9507" t="s">
        <v>663</v>
      </c>
      <c r="B9507" t="s">
        <v>2493</v>
      </c>
      <c r="C9507">
        <v>1</v>
      </c>
      <c r="D9507" s="1">
        <v>44282.723865740743</v>
      </c>
      <c r="E9507" t="s">
        <v>29571</v>
      </c>
      <c r="F9507" t="s">
        <v>666</v>
      </c>
      <c r="G9507" t="s">
        <v>29572</v>
      </c>
      <c r="H9507" t="s">
        <v>667</v>
      </c>
      <c r="I9507" t="s">
        <v>29</v>
      </c>
      <c r="J9507">
        <v>1</v>
      </c>
      <c r="K9507">
        <f>1-855-574-1736</f>
        <v>-3164</v>
      </c>
      <c r="L9507" t="s">
        <v>29573</v>
      </c>
      <c r="M9507" t="s">
        <v>29574</v>
      </c>
      <c r="N9507" t="s">
        <v>36</v>
      </c>
      <c r="O9507" t="s">
        <v>28</v>
      </c>
      <c r="P9507" t="s">
        <v>29</v>
      </c>
      <c r="Q9507">
        <v>41</v>
      </c>
      <c r="R9507">
        <v>-74.024699999999996</v>
      </c>
    </row>
    <row r="9508" spans="1:18" x14ac:dyDescent="0.2">
      <c r="A9508" t="s">
        <v>439</v>
      </c>
      <c r="B9508" t="s">
        <v>4321</v>
      </c>
      <c r="C9508">
        <v>81</v>
      </c>
      <c r="D9508" s="1">
        <v>44282.728449074071</v>
      </c>
      <c r="E9508" t="s">
        <v>29575</v>
      </c>
      <c r="F9508" t="s">
        <v>442</v>
      </c>
      <c r="G9508" t="s">
        <v>29576</v>
      </c>
      <c r="H9508" t="s">
        <v>444</v>
      </c>
      <c r="I9508" t="s">
        <v>53</v>
      </c>
      <c r="J9508">
        <v>81</v>
      </c>
      <c r="K9508">
        <f>81-50-5539-6170</f>
        <v>-11678</v>
      </c>
      <c r="L9508" t="s">
        <v>29577</v>
      </c>
      <c r="M9508" t="s">
        <v>29578</v>
      </c>
      <c r="N9508" t="s">
        <v>447</v>
      </c>
      <c r="O9508" t="s">
        <v>28</v>
      </c>
      <c r="P9508" t="s">
        <v>29</v>
      </c>
      <c r="Q9508">
        <v>42</v>
      </c>
      <c r="R9508">
        <v>-87.629800000000003</v>
      </c>
    </row>
    <row r="9509" spans="1:18" x14ac:dyDescent="0.2">
      <c r="A9509" t="s">
        <v>439</v>
      </c>
      <c r="B9509" t="s">
        <v>4321</v>
      </c>
      <c r="C9509">
        <v>81</v>
      </c>
      <c r="D9509" s="1">
        <v>44282.998159722221</v>
      </c>
      <c r="E9509" t="s">
        <v>29579</v>
      </c>
      <c r="F9509" t="s">
        <v>442</v>
      </c>
      <c r="G9509" t="s">
        <v>29580</v>
      </c>
      <c r="H9509" t="s">
        <v>444</v>
      </c>
      <c r="I9509" t="s">
        <v>53</v>
      </c>
      <c r="J9509">
        <v>81</v>
      </c>
      <c r="K9509">
        <f>81-50-5532-1727</f>
        <v>-7228</v>
      </c>
      <c r="L9509" t="s">
        <v>29581</v>
      </c>
      <c r="M9509" t="s">
        <v>29582</v>
      </c>
      <c r="N9509" t="s">
        <v>213</v>
      </c>
      <c r="O9509" t="s">
        <v>28</v>
      </c>
      <c r="P9509" t="s">
        <v>29</v>
      </c>
      <c r="Q9509">
        <v>42</v>
      </c>
      <c r="R9509">
        <v>-87.629800000000003</v>
      </c>
    </row>
    <row r="9510" spans="1:18" x14ac:dyDescent="0.2">
      <c r="A9510" t="s">
        <v>439</v>
      </c>
      <c r="B9510" t="s">
        <v>4321</v>
      </c>
      <c r="C9510">
        <v>1</v>
      </c>
      <c r="D9510" s="1">
        <v>44282.81958333333</v>
      </c>
      <c r="E9510" t="s">
        <v>29583</v>
      </c>
      <c r="F9510" t="s">
        <v>442</v>
      </c>
      <c r="G9510" t="s">
        <v>29584</v>
      </c>
      <c r="H9510" t="s">
        <v>444</v>
      </c>
      <c r="I9510" t="s">
        <v>29</v>
      </c>
      <c r="J9510">
        <v>1</v>
      </c>
      <c r="K9510">
        <f>1-833-220-2981</f>
        <v>-4033</v>
      </c>
      <c r="L9510" t="s">
        <v>29585</v>
      </c>
      <c r="M9510" t="s">
        <v>29586</v>
      </c>
      <c r="N9510" t="s">
        <v>452</v>
      </c>
      <c r="O9510" t="s">
        <v>28</v>
      </c>
      <c r="P9510" t="s">
        <v>29</v>
      </c>
      <c r="Q9510">
        <v>42</v>
      </c>
      <c r="R9510">
        <v>-87.629800000000003</v>
      </c>
    </row>
    <row r="9511" spans="1:18" x14ac:dyDescent="0.2">
      <c r="A9511" t="s">
        <v>663</v>
      </c>
      <c r="B9511" t="s">
        <v>2493</v>
      </c>
      <c r="C9511">
        <v>1</v>
      </c>
      <c r="D9511" s="1">
        <v>44293.670115740744</v>
      </c>
      <c r="E9511" t="s">
        <v>29587</v>
      </c>
      <c r="F9511" t="s">
        <v>666</v>
      </c>
      <c r="G9511" t="s">
        <v>29588</v>
      </c>
      <c r="H9511" t="s">
        <v>667</v>
      </c>
      <c r="I9511" t="s">
        <v>29</v>
      </c>
      <c r="J9511">
        <v>1</v>
      </c>
      <c r="K9511">
        <f>1-585-205-7786</f>
        <v>-8575</v>
      </c>
      <c r="L9511" t="s">
        <v>29589</v>
      </c>
      <c r="M9511" t="s">
        <v>29590</v>
      </c>
      <c r="N9511" t="s">
        <v>452</v>
      </c>
      <c r="O9511" t="s">
        <v>134</v>
      </c>
      <c r="P9511" t="s">
        <v>29</v>
      </c>
      <c r="Q9511">
        <v>41</v>
      </c>
      <c r="R9511">
        <v>-74.024699999999996</v>
      </c>
    </row>
    <row r="9512" spans="1:18" x14ac:dyDescent="0.2">
      <c r="A9512" t="s">
        <v>663</v>
      </c>
      <c r="B9512" t="s">
        <v>2493</v>
      </c>
      <c r="C9512">
        <v>1</v>
      </c>
      <c r="D9512" s="1">
        <v>44293.671319444446</v>
      </c>
      <c r="E9512" t="s">
        <v>29591</v>
      </c>
      <c r="F9512" t="s">
        <v>666</v>
      </c>
      <c r="G9512" t="s">
        <v>29591</v>
      </c>
      <c r="H9512" t="s">
        <v>667</v>
      </c>
      <c r="I9512" t="s">
        <v>29</v>
      </c>
      <c r="J9512">
        <v>1</v>
      </c>
      <c r="K9512">
        <f>1-888-240-6007</f>
        <v>-7134</v>
      </c>
      <c r="L9512" t="s">
        <v>29592</v>
      </c>
      <c r="M9512" t="s">
        <v>29593</v>
      </c>
      <c r="N9512">
        <v>223</v>
      </c>
      <c r="O9512" t="s">
        <v>134</v>
      </c>
      <c r="P9512" t="s">
        <v>29</v>
      </c>
      <c r="Q9512">
        <v>41</v>
      </c>
      <c r="R9512">
        <v>-74.024699999999996</v>
      </c>
    </row>
    <row r="9513" spans="1:18" x14ac:dyDescent="0.2">
      <c r="A9513" t="s">
        <v>439</v>
      </c>
      <c r="B9513" t="s">
        <v>4321</v>
      </c>
      <c r="C9513">
        <v>1</v>
      </c>
      <c r="D9513" s="1">
        <v>44298.883611111109</v>
      </c>
      <c r="E9513" t="s">
        <v>29594</v>
      </c>
      <c r="F9513" t="s">
        <v>442</v>
      </c>
      <c r="G9513" t="s">
        <v>29595</v>
      </c>
      <c r="H9513" t="s">
        <v>444</v>
      </c>
      <c r="I9513" t="s">
        <v>29</v>
      </c>
      <c r="J9513">
        <v>1</v>
      </c>
      <c r="K9513">
        <f>1-888-365-8603</f>
        <v>-9855</v>
      </c>
      <c r="L9513" t="s">
        <v>29596</v>
      </c>
      <c r="M9513" t="s">
        <v>29597</v>
      </c>
      <c r="N9513" t="s">
        <v>5986</v>
      </c>
      <c r="O9513" t="s">
        <v>28</v>
      </c>
      <c r="P9513" t="s">
        <v>29</v>
      </c>
      <c r="Q9513">
        <v>42</v>
      </c>
      <c r="R9513">
        <v>-87.629800000000003</v>
      </c>
    </row>
    <row r="9514" spans="1:18" x14ac:dyDescent="0.2">
      <c r="A9514" t="s">
        <v>439</v>
      </c>
      <c r="B9514" t="s">
        <v>4321</v>
      </c>
      <c r="C9514">
        <v>1</v>
      </c>
      <c r="D9514" s="1">
        <v>44298.883402777778</v>
      </c>
      <c r="E9514" t="s">
        <v>29594</v>
      </c>
      <c r="F9514" t="s">
        <v>442</v>
      </c>
      <c r="G9514" t="s">
        <v>29595</v>
      </c>
      <c r="H9514" t="s">
        <v>444</v>
      </c>
      <c r="I9514" t="s">
        <v>29</v>
      </c>
      <c r="J9514">
        <v>1</v>
      </c>
      <c r="K9514">
        <f>1-888-381-1490</f>
        <v>-2758</v>
      </c>
      <c r="L9514" t="s">
        <v>29598</v>
      </c>
      <c r="M9514" t="s">
        <v>29599</v>
      </c>
      <c r="N9514" t="s">
        <v>5986</v>
      </c>
      <c r="O9514" t="s">
        <v>28</v>
      </c>
      <c r="P9514" t="s">
        <v>29</v>
      </c>
      <c r="Q9514">
        <v>42</v>
      </c>
      <c r="R9514">
        <v>-87.629800000000003</v>
      </c>
    </row>
    <row r="9515" spans="1:18" x14ac:dyDescent="0.2">
      <c r="A9515" t="s">
        <v>663</v>
      </c>
      <c r="B9515" t="s">
        <v>2500</v>
      </c>
      <c r="C9515">
        <v>1</v>
      </c>
      <c r="D9515" s="1">
        <v>44297.953425925924</v>
      </c>
      <c r="E9515" t="s">
        <v>29600</v>
      </c>
      <c r="F9515" t="s">
        <v>666</v>
      </c>
      <c r="G9515" t="s">
        <v>29600</v>
      </c>
      <c r="H9515" t="s">
        <v>667</v>
      </c>
      <c r="I9515" t="s">
        <v>29</v>
      </c>
      <c r="J9515">
        <v>1</v>
      </c>
      <c r="K9515">
        <f>1-888-384-2403</f>
        <v>-3674</v>
      </c>
      <c r="L9515" t="s">
        <v>29601</v>
      </c>
      <c r="M9515" t="s">
        <v>29602</v>
      </c>
      <c r="N9515">
        <v>92</v>
      </c>
      <c r="O9515" t="s">
        <v>134</v>
      </c>
      <c r="P9515" t="s">
        <v>2500</v>
      </c>
      <c r="Q9515">
        <v>1</v>
      </c>
      <c r="R9515">
        <v>99.999999000000003</v>
      </c>
    </row>
    <row r="9516" spans="1:18" x14ac:dyDescent="0.2">
      <c r="A9516" t="s">
        <v>663</v>
      </c>
      <c r="B9516" t="s">
        <v>2500</v>
      </c>
      <c r="C9516">
        <v>1</v>
      </c>
      <c r="D9516" s="1">
        <v>44297.952048611114</v>
      </c>
      <c r="E9516" t="s">
        <v>29600</v>
      </c>
      <c r="F9516" t="s">
        <v>666</v>
      </c>
      <c r="G9516" t="s">
        <v>29600</v>
      </c>
      <c r="H9516" t="s">
        <v>667</v>
      </c>
      <c r="I9516" t="s">
        <v>29</v>
      </c>
      <c r="J9516">
        <v>1</v>
      </c>
      <c r="K9516">
        <f>1-888-401-5289</f>
        <v>-6577</v>
      </c>
      <c r="L9516" t="s">
        <v>29603</v>
      </c>
      <c r="M9516" t="s">
        <v>29604</v>
      </c>
      <c r="N9516">
        <v>92</v>
      </c>
      <c r="O9516" t="s">
        <v>134</v>
      </c>
      <c r="P9516" t="s">
        <v>2500</v>
      </c>
      <c r="Q9516">
        <v>1</v>
      </c>
      <c r="R9516">
        <v>99.999999000000003</v>
      </c>
    </row>
    <row r="9517" spans="1:18" x14ac:dyDescent="0.2">
      <c r="A9517" t="s">
        <v>663</v>
      </c>
      <c r="B9517" t="s">
        <v>2500</v>
      </c>
      <c r="C9517">
        <v>1</v>
      </c>
      <c r="D9517" s="1">
        <v>44297.948159722226</v>
      </c>
      <c r="E9517" t="s">
        <v>29600</v>
      </c>
      <c r="F9517" t="s">
        <v>666</v>
      </c>
      <c r="G9517" t="s">
        <v>29600</v>
      </c>
      <c r="H9517" t="s">
        <v>667</v>
      </c>
      <c r="I9517" t="s">
        <v>29</v>
      </c>
      <c r="J9517">
        <v>1</v>
      </c>
      <c r="K9517">
        <f>1-888-339-9891</f>
        <v>-11117</v>
      </c>
      <c r="L9517" t="s">
        <v>29605</v>
      </c>
      <c r="M9517" t="s">
        <v>29606</v>
      </c>
      <c r="N9517">
        <v>92</v>
      </c>
      <c r="O9517" t="s">
        <v>134</v>
      </c>
      <c r="P9517" t="s">
        <v>2500</v>
      </c>
      <c r="Q9517">
        <v>1</v>
      </c>
      <c r="R9517">
        <v>99.999999000000003</v>
      </c>
    </row>
    <row r="9518" spans="1:18" x14ac:dyDescent="0.2">
      <c r="A9518" t="s">
        <v>439</v>
      </c>
      <c r="B9518" t="s">
        <v>4321</v>
      </c>
      <c r="C9518">
        <v>81</v>
      </c>
      <c r="D9518" s="1">
        <v>44297.714479166665</v>
      </c>
      <c r="E9518" t="s">
        <v>29607</v>
      </c>
      <c r="F9518" t="s">
        <v>442</v>
      </c>
      <c r="G9518" t="s">
        <v>29608</v>
      </c>
      <c r="H9518" t="s">
        <v>444</v>
      </c>
      <c r="I9518" t="s">
        <v>53</v>
      </c>
      <c r="J9518">
        <v>81</v>
      </c>
      <c r="K9518">
        <f>81-50-3196-4838</f>
        <v>-8003</v>
      </c>
      <c r="L9518">
        <v>6073110259072</v>
      </c>
      <c r="M9518" t="s">
        <v>29609</v>
      </c>
      <c r="N9518" t="s">
        <v>447</v>
      </c>
      <c r="O9518" t="s">
        <v>28</v>
      </c>
      <c r="P9518" t="s">
        <v>29</v>
      </c>
      <c r="Q9518">
        <v>42</v>
      </c>
      <c r="R9518">
        <v>-87.629800000000003</v>
      </c>
    </row>
    <row r="9519" spans="1:18" x14ac:dyDescent="0.2">
      <c r="A9519" t="s">
        <v>2233</v>
      </c>
      <c r="B9519" t="s">
        <v>1638</v>
      </c>
      <c r="C9519">
        <v>1</v>
      </c>
      <c r="D9519" s="1">
        <v>44297.703055555554</v>
      </c>
      <c r="E9519" t="s">
        <v>29610</v>
      </c>
      <c r="F9519" t="s">
        <v>6618</v>
      </c>
      <c r="G9519" t="s">
        <v>29611</v>
      </c>
      <c r="H9519" t="s">
        <v>2237</v>
      </c>
      <c r="I9519" t="s">
        <v>29</v>
      </c>
      <c r="J9519">
        <v>1</v>
      </c>
      <c r="K9519">
        <f>1-888-382-8335</f>
        <v>-9604</v>
      </c>
      <c r="L9519" t="s">
        <v>29612</v>
      </c>
      <c r="M9519" t="s">
        <v>29613</v>
      </c>
      <c r="N9519" t="s">
        <v>278</v>
      </c>
      <c r="O9519" t="s">
        <v>28</v>
      </c>
      <c r="P9519" t="s">
        <v>292</v>
      </c>
      <c r="Q9519">
        <v>49</v>
      </c>
      <c r="R9519">
        <v>2.35222</v>
      </c>
    </row>
    <row r="9520" spans="1:18" x14ac:dyDescent="0.2">
      <c r="A9520" t="s">
        <v>663</v>
      </c>
      <c r="B9520" t="s">
        <v>664</v>
      </c>
      <c r="C9520">
        <v>1</v>
      </c>
      <c r="D9520" s="1">
        <v>44286.948842592596</v>
      </c>
      <c r="E9520" t="s">
        <v>29614</v>
      </c>
      <c r="F9520" t="s">
        <v>666</v>
      </c>
      <c r="G9520" t="s">
        <v>29615</v>
      </c>
      <c r="H9520" t="s">
        <v>667</v>
      </c>
      <c r="I9520" t="s">
        <v>29</v>
      </c>
      <c r="J9520">
        <v>1</v>
      </c>
      <c r="K9520">
        <f>1-844-309-6251</f>
        <v>-7403</v>
      </c>
      <c r="L9520" t="s">
        <v>29616</v>
      </c>
      <c r="M9520" t="s">
        <v>29617</v>
      </c>
      <c r="N9520" t="s">
        <v>447</v>
      </c>
      <c r="O9520" t="s">
        <v>28</v>
      </c>
      <c r="P9520" t="s">
        <v>29</v>
      </c>
      <c r="Q9520">
        <v>37</v>
      </c>
      <c r="R9520">
        <v>-99.999999000000003</v>
      </c>
    </row>
    <row r="9521" spans="1:18" x14ac:dyDescent="0.2">
      <c r="A9521" t="s">
        <v>10660</v>
      </c>
      <c r="B9521" t="s">
        <v>1638</v>
      </c>
      <c r="C9521">
        <v>1</v>
      </c>
      <c r="D9521" s="1">
        <v>44302.848287037035</v>
      </c>
      <c r="E9521" t="s">
        <v>28220</v>
      </c>
      <c r="F9521" t="s">
        <v>11960</v>
      </c>
      <c r="G9521" t="s">
        <v>29618</v>
      </c>
      <c r="H9521" t="s">
        <v>10664</v>
      </c>
      <c r="I9521" t="s">
        <v>29</v>
      </c>
      <c r="J9521">
        <v>1</v>
      </c>
      <c r="K9521">
        <f>1-888-728-6409</f>
        <v>-8024</v>
      </c>
      <c r="L9521" t="s">
        <v>29619</v>
      </c>
      <c r="M9521" t="s">
        <v>29620</v>
      </c>
      <c r="N9521" t="s">
        <v>5468</v>
      </c>
      <c r="O9521" t="s">
        <v>28</v>
      </c>
      <c r="P9521" t="s">
        <v>292</v>
      </c>
      <c r="Q9521">
        <v>49</v>
      </c>
      <c r="R9521">
        <v>2.3281000000000001</v>
      </c>
    </row>
    <row r="9522" spans="1:18" x14ac:dyDescent="0.2">
      <c r="A9522" t="s">
        <v>10660</v>
      </c>
      <c r="B9522" t="s">
        <v>1638</v>
      </c>
      <c r="C9522">
        <v>1</v>
      </c>
      <c r="D9522" s="1">
        <v>44301.796655092592</v>
      </c>
      <c r="E9522" t="s">
        <v>27806</v>
      </c>
      <c r="F9522" t="s">
        <v>11960</v>
      </c>
      <c r="G9522" t="s">
        <v>29618</v>
      </c>
      <c r="H9522" t="s">
        <v>10664</v>
      </c>
      <c r="I9522" t="s">
        <v>29</v>
      </c>
      <c r="J9522">
        <v>1</v>
      </c>
      <c r="K9522">
        <f>1-888-727-753</f>
        <v>-2367</v>
      </c>
      <c r="L9522" t="s">
        <v>29621</v>
      </c>
      <c r="M9522" t="s">
        <v>29622</v>
      </c>
      <c r="N9522" t="s">
        <v>5468</v>
      </c>
      <c r="O9522" t="s">
        <v>28</v>
      </c>
      <c r="P9522" t="s">
        <v>292</v>
      </c>
      <c r="Q9522">
        <v>49</v>
      </c>
      <c r="R9522">
        <v>2.3281000000000001</v>
      </c>
    </row>
    <row r="9523" spans="1:18" x14ac:dyDescent="0.2">
      <c r="A9523" t="s">
        <v>10660</v>
      </c>
      <c r="B9523" t="s">
        <v>1638</v>
      </c>
      <c r="C9523">
        <v>1</v>
      </c>
      <c r="D9523" s="1">
        <v>44300.932372685187</v>
      </c>
      <c r="E9523" t="s">
        <v>28468</v>
      </c>
      <c r="F9523" t="s">
        <v>11960</v>
      </c>
      <c r="G9523" t="s">
        <v>29618</v>
      </c>
      <c r="H9523" t="s">
        <v>10664</v>
      </c>
      <c r="I9523" t="s">
        <v>29</v>
      </c>
      <c r="J9523">
        <v>1</v>
      </c>
      <c r="K9523">
        <f>1-888-481-3211</f>
        <v>-4579</v>
      </c>
      <c r="L9523" t="s">
        <v>29623</v>
      </c>
      <c r="M9523" t="s">
        <v>29624</v>
      </c>
      <c r="N9523" t="s">
        <v>5468</v>
      </c>
      <c r="O9523" t="s">
        <v>28</v>
      </c>
      <c r="P9523" t="s">
        <v>292</v>
      </c>
      <c r="Q9523">
        <v>49</v>
      </c>
      <c r="R9523">
        <v>2.3281000000000001</v>
      </c>
    </row>
    <row r="9524" spans="1:18" x14ac:dyDescent="0.2">
      <c r="A9524" t="s">
        <v>10660</v>
      </c>
      <c r="B9524" t="s">
        <v>1638</v>
      </c>
      <c r="C9524">
        <v>1</v>
      </c>
      <c r="D9524" s="1">
        <v>44299.931296296294</v>
      </c>
      <c r="E9524" t="s">
        <v>29625</v>
      </c>
      <c r="F9524" t="s">
        <v>11960</v>
      </c>
      <c r="G9524" t="s">
        <v>29618</v>
      </c>
      <c r="H9524" t="s">
        <v>10664</v>
      </c>
      <c r="I9524" t="s">
        <v>29</v>
      </c>
      <c r="J9524">
        <v>1</v>
      </c>
      <c r="K9524">
        <f>1-888-397-8823</f>
        <v>-10107</v>
      </c>
      <c r="L9524" t="s">
        <v>29626</v>
      </c>
      <c r="M9524" t="s">
        <v>29627</v>
      </c>
      <c r="N9524" t="s">
        <v>5468</v>
      </c>
      <c r="O9524" t="s">
        <v>28</v>
      </c>
      <c r="P9524" t="s">
        <v>292</v>
      </c>
      <c r="Q9524">
        <v>49</v>
      </c>
      <c r="R9524">
        <v>2.3281000000000001</v>
      </c>
    </row>
    <row r="9525" spans="1:18" x14ac:dyDescent="0.2">
      <c r="A9525" t="s">
        <v>10660</v>
      </c>
      <c r="B9525" t="s">
        <v>1638</v>
      </c>
      <c r="C9525">
        <v>1</v>
      </c>
      <c r="D9525" s="1">
        <v>44298.813101851854</v>
      </c>
      <c r="E9525" t="s">
        <v>27726</v>
      </c>
      <c r="F9525" t="s">
        <v>11960</v>
      </c>
      <c r="G9525" t="s">
        <v>29618</v>
      </c>
      <c r="H9525" t="s">
        <v>10664</v>
      </c>
      <c r="I9525" t="s">
        <v>29</v>
      </c>
      <c r="J9525">
        <v>1</v>
      </c>
      <c r="K9525">
        <f>1-888-341-9748</f>
        <v>-10976</v>
      </c>
      <c r="L9525" t="s">
        <v>29628</v>
      </c>
      <c r="M9525" t="s">
        <v>29629</v>
      </c>
      <c r="N9525" t="s">
        <v>5468</v>
      </c>
      <c r="O9525" t="s">
        <v>28</v>
      </c>
      <c r="P9525" t="s">
        <v>292</v>
      </c>
      <c r="Q9525">
        <v>49</v>
      </c>
      <c r="R9525">
        <v>2.3281000000000001</v>
      </c>
    </row>
    <row r="9526" spans="1:18" x14ac:dyDescent="0.2">
      <c r="A9526" t="s">
        <v>663</v>
      </c>
      <c r="B9526" t="s">
        <v>664</v>
      </c>
      <c r="C9526">
        <v>1</v>
      </c>
      <c r="D9526" s="1">
        <v>44293.923715277779</v>
      </c>
      <c r="E9526" t="s">
        <v>29630</v>
      </c>
      <c r="F9526" t="s">
        <v>666</v>
      </c>
      <c r="G9526" t="s">
        <v>29631</v>
      </c>
      <c r="H9526" t="s">
        <v>667</v>
      </c>
      <c r="I9526" t="s">
        <v>29</v>
      </c>
      <c r="J9526">
        <v>1</v>
      </c>
      <c r="K9526">
        <f>1-855-574-1736</f>
        <v>-3164</v>
      </c>
      <c r="L9526" t="s">
        <v>29632</v>
      </c>
      <c r="M9526" t="s">
        <v>29633</v>
      </c>
      <c r="N9526" t="s">
        <v>36</v>
      </c>
      <c r="O9526" t="s">
        <v>28</v>
      </c>
      <c r="P9526" t="s">
        <v>29</v>
      </c>
      <c r="Q9526">
        <v>37</v>
      </c>
      <c r="R9526">
        <v>-99.999999000000003</v>
      </c>
    </row>
    <row r="9527" spans="1:18" x14ac:dyDescent="0.2">
      <c r="A9527" t="s">
        <v>439</v>
      </c>
      <c r="B9527" t="s">
        <v>4321</v>
      </c>
      <c r="C9527">
        <v>1</v>
      </c>
      <c r="D9527" s="1">
        <v>44297.95579861111</v>
      </c>
      <c r="E9527" t="s">
        <v>29634</v>
      </c>
      <c r="F9527" t="s">
        <v>442</v>
      </c>
      <c r="G9527" t="s">
        <v>29635</v>
      </c>
      <c r="H9527" t="s">
        <v>444</v>
      </c>
      <c r="I9527" t="s">
        <v>29</v>
      </c>
      <c r="J9527">
        <v>1</v>
      </c>
      <c r="K9527">
        <f>1-844-280-7415</f>
        <v>-8538</v>
      </c>
      <c r="L9527" t="s">
        <v>29636</v>
      </c>
      <c r="M9527" t="s">
        <v>29637</v>
      </c>
      <c r="N9527" t="s">
        <v>447</v>
      </c>
      <c r="O9527" t="s">
        <v>28</v>
      </c>
      <c r="P9527" t="s">
        <v>29</v>
      </c>
      <c r="Q9527">
        <v>42</v>
      </c>
      <c r="R9527">
        <v>-87.629800000000003</v>
      </c>
    </row>
    <row r="9528" spans="1:18" x14ac:dyDescent="0.2">
      <c r="A9528" t="s">
        <v>2233</v>
      </c>
      <c r="B9528" t="s">
        <v>2234</v>
      </c>
      <c r="C9528">
        <v>1</v>
      </c>
      <c r="D9528" s="1">
        <v>44297.957754629628</v>
      </c>
      <c r="E9528" t="s">
        <v>29638</v>
      </c>
      <c r="F9528" t="s">
        <v>2236</v>
      </c>
      <c r="G9528" t="s">
        <v>29638</v>
      </c>
      <c r="H9528" t="s">
        <v>2237</v>
      </c>
      <c r="I9528" t="s">
        <v>29</v>
      </c>
      <c r="J9528">
        <v>1</v>
      </c>
      <c r="K9528">
        <f>1-833-700-1394</f>
        <v>-2926</v>
      </c>
      <c r="L9528" t="s">
        <v>29639</v>
      </c>
      <c r="M9528" t="s">
        <v>29640</v>
      </c>
      <c r="N9528">
        <v>138</v>
      </c>
      <c r="O9528" t="s">
        <v>134</v>
      </c>
      <c r="P9528" t="s">
        <v>29</v>
      </c>
      <c r="Q9528">
        <v>40</v>
      </c>
      <c r="R9528">
        <v>-83.114099999999993</v>
      </c>
    </row>
    <row r="9529" spans="1:18" x14ac:dyDescent="0.2">
      <c r="A9529" t="s">
        <v>439</v>
      </c>
      <c r="B9529" t="s">
        <v>4321</v>
      </c>
      <c r="C9529">
        <v>1</v>
      </c>
      <c r="D9529" s="1">
        <v>44298.061030092591</v>
      </c>
      <c r="E9529" t="s">
        <v>29641</v>
      </c>
      <c r="F9529" t="s">
        <v>442</v>
      </c>
      <c r="G9529" t="s">
        <v>29642</v>
      </c>
      <c r="H9529" t="s">
        <v>444</v>
      </c>
      <c r="I9529" t="s">
        <v>29</v>
      </c>
      <c r="J9529">
        <v>1</v>
      </c>
      <c r="K9529">
        <f>1-888-369-9337</f>
        <v>-10593</v>
      </c>
      <c r="L9529" t="s">
        <v>29643</v>
      </c>
      <c r="M9529" t="s">
        <v>29644</v>
      </c>
      <c r="N9529" t="s">
        <v>213</v>
      </c>
      <c r="O9529" t="s">
        <v>28</v>
      </c>
      <c r="P9529" t="s">
        <v>29</v>
      </c>
      <c r="Q9529">
        <v>42</v>
      </c>
      <c r="R9529">
        <v>-87.629800000000003</v>
      </c>
    </row>
    <row r="9530" spans="1:18" x14ac:dyDescent="0.2">
      <c r="A9530" t="s">
        <v>439</v>
      </c>
      <c r="B9530" t="s">
        <v>4321</v>
      </c>
      <c r="C9530">
        <v>1</v>
      </c>
      <c r="D9530" s="1">
        <v>44298.063275462962</v>
      </c>
      <c r="E9530" t="s">
        <v>29645</v>
      </c>
      <c r="F9530" t="s">
        <v>442</v>
      </c>
      <c r="G9530" t="s">
        <v>29646</v>
      </c>
      <c r="H9530" t="s">
        <v>444</v>
      </c>
      <c r="I9530" t="s">
        <v>29</v>
      </c>
      <c r="J9530">
        <v>1</v>
      </c>
      <c r="K9530">
        <f>1-833-323-3211</f>
        <v>-4366</v>
      </c>
      <c r="L9530" t="s">
        <v>29647</v>
      </c>
      <c r="M9530" t="s">
        <v>29648</v>
      </c>
      <c r="N9530" t="s">
        <v>213</v>
      </c>
      <c r="O9530" t="s">
        <v>28</v>
      </c>
      <c r="P9530" t="s">
        <v>29</v>
      </c>
      <c r="Q9530">
        <v>42</v>
      </c>
      <c r="R9530">
        <v>-87.629800000000003</v>
      </c>
    </row>
    <row r="9531" spans="1:18" x14ac:dyDescent="0.2">
      <c r="A9531" t="s">
        <v>10660</v>
      </c>
      <c r="B9531" t="s">
        <v>1638</v>
      </c>
      <c r="C9531">
        <v>1</v>
      </c>
      <c r="D9531" s="1">
        <v>44299.841377314813</v>
      </c>
      <c r="E9531" t="s">
        <v>27682</v>
      </c>
      <c r="F9531" t="s">
        <v>11960</v>
      </c>
      <c r="G9531" t="s">
        <v>29649</v>
      </c>
      <c r="H9531" t="s">
        <v>10664</v>
      </c>
      <c r="I9531" t="s">
        <v>29</v>
      </c>
      <c r="J9531">
        <v>1</v>
      </c>
      <c r="K9531">
        <f>1-888-346-545</f>
        <v>-1778</v>
      </c>
      <c r="L9531" t="s">
        <v>29650</v>
      </c>
      <c r="M9531" t="s">
        <v>29651</v>
      </c>
      <c r="N9531" t="s">
        <v>5468</v>
      </c>
      <c r="O9531" t="s">
        <v>28</v>
      </c>
      <c r="P9531" t="s">
        <v>292</v>
      </c>
      <c r="Q9531">
        <v>49</v>
      </c>
      <c r="R9531">
        <v>2.3281000000000001</v>
      </c>
    </row>
    <row r="9532" spans="1:18" x14ac:dyDescent="0.2">
      <c r="A9532" t="s">
        <v>10660</v>
      </c>
      <c r="B9532" t="s">
        <v>1638</v>
      </c>
      <c r="C9532">
        <v>1</v>
      </c>
      <c r="D9532" s="1">
        <v>44298.910810185182</v>
      </c>
      <c r="E9532" t="s">
        <v>29652</v>
      </c>
      <c r="F9532" t="s">
        <v>11960</v>
      </c>
      <c r="G9532" t="s">
        <v>29649</v>
      </c>
      <c r="H9532" t="s">
        <v>10664</v>
      </c>
      <c r="I9532" t="s">
        <v>29</v>
      </c>
      <c r="J9532">
        <v>1</v>
      </c>
      <c r="K9532">
        <f>1-888-401-4316</f>
        <v>-5604</v>
      </c>
      <c r="L9532" t="s">
        <v>29653</v>
      </c>
      <c r="M9532" t="s">
        <v>29654</v>
      </c>
      <c r="N9532" t="s">
        <v>5468</v>
      </c>
      <c r="O9532" t="s">
        <v>28</v>
      </c>
      <c r="P9532" t="s">
        <v>292</v>
      </c>
      <c r="Q9532">
        <v>49</v>
      </c>
      <c r="R9532">
        <v>2.3281000000000001</v>
      </c>
    </row>
    <row r="9533" spans="1:18" x14ac:dyDescent="0.2">
      <c r="A9533" t="s">
        <v>10660</v>
      </c>
      <c r="B9533" t="s">
        <v>1638</v>
      </c>
      <c r="C9533">
        <v>1</v>
      </c>
      <c r="D9533" s="1">
        <v>44298.766712962963</v>
      </c>
      <c r="E9533" t="s">
        <v>29655</v>
      </c>
      <c r="F9533" t="s">
        <v>11960</v>
      </c>
      <c r="G9533" t="s">
        <v>29649</v>
      </c>
      <c r="H9533" t="s">
        <v>10664</v>
      </c>
      <c r="I9533" t="s">
        <v>29</v>
      </c>
      <c r="J9533">
        <v>1</v>
      </c>
      <c r="K9533">
        <f>1-888-230-2913</f>
        <v>-4030</v>
      </c>
      <c r="L9533" t="s">
        <v>29656</v>
      </c>
      <c r="M9533" t="s">
        <v>29657</v>
      </c>
      <c r="N9533" t="s">
        <v>5468</v>
      </c>
      <c r="O9533" t="s">
        <v>28</v>
      </c>
      <c r="P9533" t="s">
        <v>292</v>
      </c>
      <c r="Q9533">
        <v>49</v>
      </c>
      <c r="R9533">
        <v>2.3281000000000001</v>
      </c>
    </row>
    <row r="9534" spans="1:18" x14ac:dyDescent="0.2">
      <c r="A9534" t="s">
        <v>663</v>
      </c>
      <c r="B9534" t="s">
        <v>2493</v>
      </c>
      <c r="C9534">
        <v>1</v>
      </c>
      <c r="D9534" s="1">
        <v>44292.960625</v>
      </c>
      <c r="E9534" t="s">
        <v>29658</v>
      </c>
      <c r="F9534" t="s">
        <v>666</v>
      </c>
      <c r="G9534" t="s">
        <v>29659</v>
      </c>
      <c r="H9534" t="s">
        <v>667</v>
      </c>
      <c r="I9534" t="s">
        <v>29</v>
      </c>
      <c r="J9534">
        <v>1</v>
      </c>
      <c r="K9534">
        <f>1-888-341-2032</f>
        <v>-3260</v>
      </c>
      <c r="L9534" t="s">
        <v>29660</v>
      </c>
      <c r="M9534" t="s">
        <v>29661</v>
      </c>
      <c r="N9534" t="s">
        <v>25263</v>
      </c>
      <c r="O9534" t="s">
        <v>28</v>
      </c>
      <c r="P9534" t="s">
        <v>29</v>
      </c>
      <c r="Q9534">
        <v>41</v>
      </c>
      <c r="R9534">
        <v>-74.024699999999996</v>
      </c>
    </row>
    <row r="9535" spans="1:18" x14ac:dyDescent="0.2">
      <c r="A9535" t="s">
        <v>439</v>
      </c>
      <c r="B9535" t="s">
        <v>440</v>
      </c>
      <c r="C9535">
        <v>1</v>
      </c>
      <c r="D9535" s="1">
        <v>44298.897974537038</v>
      </c>
      <c r="E9535" t="s">
        <v>29594</v>
      </c>
      <c r="F9535" t="s">
        <v>442</v>
      </c>
      <c r="G9535" t="s">
        <v>29662</v>
      </c>
      <c r="H9535" t="s">
        <v>444</v>
      </c>
      <c r="I9535" t="s">
        <v>29</v>
      </c>
      <c r="J9535">
        <v>1</v>
      </c>
      <c r="K9535">
        <f>1-888-346-568</f>
        <v>-1801</v>
      </c>
      <c r="L9535" t="s">
        <v>29663</v>
      </c>
      <c r="M9535" t="s">
        <v>29664</v>
      </c>
      <c r="N9535" t="s">
        <v>5986</v>
      </c>
      <c r="O9535" t="s">
        <v>28</v>
      </c>
      <c r="P9535" t="s">
        <v>29</v>
      </c>
      <c r="Q9535">
        <v>39</v>
      </c>
      <c r="R9535">
        <v>-77.487399999999994</v>
      </c>
    </row>
    <row r="9536" spans="1:18" x14ac:dyDescent="0.2">
      <c r="A9536" t="s">
        <v>439</v>
      </c>
      <c r="B9536" t="s">
        <v>440</v>
      </c>
      <c r="C9536">
        <v>1</v>
      </c>
      <c r="D9536" s="1">
        <v>44298.895879629628</v>
      </c>
      <c r="E9536" t="s">
        <v>29594</v>
      </c>
      <c r="F9536" t="s">
        <v>442</v>
      </c>
      <c r="G9536" t="s">
        <v>29662</v>
      </c>
      <c r="H9536" t="s">
        <v>444</v>
      </c>
      <c r="I9536" t="s">
        <v>29</v>
      </c>
      <c r="J9536">
        <v>1</v>
      </c>
      <c r="K9536">
        <f>1-888-392-431</f>
        <v>-1710</v>
      </c>
      <c r="L9536" t="s">
        <v>29665</v>
      </c>
      <c r="M9536" t="s">
        <v>29666</v>
      </c>
      <c r="N9536" t="s">
        <v>5986</v>
      </c>
      <c r="O9536" t="s">
        <v>28</v>
      </c>
      <c r="P9536" t="s">
        <v>29</v>
      </c>
      <c r="Q9536">
        <v>39</v>
      </c>
      <c r="R9536">
        <v>-77.487399999999994</v>
      </c>
    </row>
    <row r="9537" spans="1:18" x14ac:dyDescent="0.2">
      <c r="A9537" t="s">
        <v>439</v>
      </c>
      <c r="B9537" t="s">
        <v>440</v>
      </c>
      <c r="C9537">
        <v>1</v>
      </c>
      <c r="D9537" s="1">
        <v>44298.888437499998</v>
      </c>
      <c r="E9537" t="s">
        <v>29594</v>
      </c>
      <c r="F9537" t="s">
        <v>442</v>
      </c>
      <c r="G9537" t="s">
        <v>29662</v>
      </c>
      <c r="H9537" t="s">
        <v>444</v>
      </c>
      <c r="I9537" t="s">
        <v>29</v>
      </c>
      <c r="J9537">
        <v>1</v>
      </c>
      <c r="K9537">
        <f>1-844-267-5230</f>
        <v>-6340</v>
      </c>
      <c r="L9537" t="s">
        <v>29667</v>
      </c>
      <c r="M9537" t="s">
        <v>29668</v>
      </c>
      <c r="N9537" t="s">
        <v>5986</v>
      </c>
      <c r="O9537" t="s">
        <v>28</v>
      </c>
      <c r="P9537" t="s">
        <v>29</v>
      </c>
      <c r="Q9537">
        <v>39</v>
      </c>
      <c r="R9537">
        <v>-77.487399999999994</v>
      </c>
    </row>
    <row r="9538" spans="1:18" x14ac:dyDescent="0.2">
      <c r="A9538" t="s">
        <v>663</v>
      </c>
      <c r="B9538" t="s">
        <v>5784</v>
      </c>
      <c r="C9538">
        <v>1</v>
      </c>
      <c r="D9538" s="1">
        <v>44293.00209490741</v>
      </c>
      <c r="E9538" t="s">
        <v>29669</v>
      </c>
      <c r="F9538" t="s">
        <v>666</v>
      </c>
      <c r="G9538" t="s">
        <v>29670</v>
      </c>
      <c r="H9538" t="s">
        <v>667</v>
      </c>
      <c r="I9538" t="s">
        <v>29</v>
      </c>
      <c r="J9538">
        <v>1</v>
      </c>
      <c r="K9538">
        <f>1-888-323-9857</f>
        <v>-11067</v>
      </c>
      <c r="L9538" t="s">
        <v>29671</v>
      </c>
      <c r="M9538" t="s">
        <v>29672</v>
      </c>
      <c r="N9538" t="s">
        <v>25263</v>
      </c>
      <c r="O9538" t="s">
        <v>28</v>
      </c>
      <c r="P9538" t="s">
        <v>5789</v>
      </c>
      <c r="Q9538">
        <v>13</v>
      </c>
      <c r="R9538">
        <v>77.585499999999996</v>
      </c>
    </row>
    <row r="9539" spans="1:18" x14ac:dyDescent="0.2">
      <c r="A9539" t="s">
        <v>2233</v>
      </c>
      <c r="B9539" t="s">
        <v>440</v>
      </c>
      <c r="C9539">
        <v>1</v>
      </c>
      <c r="D9539" s="1">
        <v>44298.888136574074</v>
      </c>
      <c r="E9539" t="s">
        <v>29673</v>
      </c>
      <c r="F9539" t="s">
        <v>2236</v>
      </c>
      <c r="G9539" t="s">
        <v>29674</v>
      </c>
      <c r="H9539" t="s">
        <v>2237</v>
      </c>
      <c r="I9539" t="s">
        <v>29</v>
      </c>
      <c r="J9539">
        <v>1</v>
      </c>
      <c r="K9539">
        <f>1-844-309-9590</f>
        <v>-10742</v>
      </c>
      <c r="L9539" t="s">
        <v>29675</v>
      </c>
      <c r="M9539" t="s">
        <v>29676</v>
      </c>
      <c r="N9539" t="s">
        <v>5354</v>
      </c>
      <c r="O9539" t="s">
        <v>28</v>
      </c>
      <c r="P9539" t="s">
        <v>29</v>
      </c>
      <c r="Q9539">
        <v>39</v>
      </c>
      <c r="R9539">
        <v>-77.487399999999994</v>
      </c>
    </row>
    <row r="9540" spans="1:18" x14ac:dyDescent="0.2">
      <c r="A9540" t="s">
        <v>439</v>
      </c>
      <c r="B9540" t="s">
        <v>440</v>
      </c>
      <c r="C9540">
        <v>1</v>
      </c>
      <c r="D9540" s="1">
        <v>44298.91741898148</v>
      </c>
      <c r="E9540" t="s">
        <v>29594</v>
      </c>
      <c r="F9540" t="s">
        <v>442</v>
      </c>
      <c r="G9540" t="s">
        <v>29677</v>
      </c>
      <c r="H9540" t="s">
        <v>444</v>
      </c>
      <c r="I9540" t="s">
        <v>29</v>
      </c>
      <c r="J9540">
        <v>1</v>
      </c>
      <c r="K9540">
        <f>1-888-537-4830</f>
        <v>-6254</v>
      </c>
      <c r="L9540" t="s">
        <v>29678</v>
      </c>
      <c r="M9540" t="s">
        <v>29668</v>
      </c>
      <c r="N9540" t="s">
        <v>5986</v>
      </c>
      <c r="O9540" t="s">
        <v>28</v>
      </c>
      <c r="P9540" t="s">
        <v>29</v>
      </c>
      <c r="Q9540">
        <v>39</v>
      </c>
      <c r="R9540">
        <v>-77.487399999999994</v>
      </c>
    </row>
    <row r="9541" spans="1:18" x14ac:dyDescent="0.2">
      <c r="A9541" t="s">
        <v>439</v>
      </c>
      <c r="B9541" t="s">
        <v>440</v>
      </c>
      <c r="C9541">
        <v>1</v>
      </c>
      <c r="D9541" s="1">
        <v>44298.902384259258</v>
      </c>
      <c r="E9541" t="s">
        <v>29594</v>
      </c>
      <c r="F9541" t="s">
        <v>442</v>
      </c>
      <c r="G9541" t="s">
        <v>29677</v>
      </c>
      <c r="H9541" t="s">
        <v>444</v>
      </c>
      <c r="I9541" t="s">
        <v>29</v>
      </c>
      <c r="J9541">
        <v>1</v>
      </c>
      <c r="K9541">
        <f>1-888-289-9854</f>
        <v>-11030</v>
      </c>
      <c r="L9541" t="s">
        <v>29679</v>
      </c>
      <c r="M9541" t="s">
        <v>29680</v>
      </c>
      <c r="N9541" t="s">
        <v>5986</v>
      </c>
      <c r="O9541" t="s">
        <v>28</v>
      </c>
      <c r="P9541" t="s">
        <v>29</v>
      </c>
      <c r="Q9541">
        <v>39</v>
      </c>
      <c r="R9541">
        <v>-77.487399999999994</v>
      </c>
    </row>
    <row r="9542" spans="1:18" x14ac:dyDescent="0.2">
      <c r="A9542" t="s">
        <v>439</v>
      </c>
      <c r="B9542" t="s">
        <v>440</v>
      </c>
      <c r="C9542">
        <v>1</v>
      </c>
      <c r="D9542" s="1">
        <v>44298.899062500001</v>
      </c>
      <c r="E9542" t="s">
        <v>29594</v>
      </c>
      <c r="F9542" t="s">
        <v>442</v>
      </c>
      <c r="G9542" t="s">
        <v>29677</v>
      </c>
      <c r="H9542" t="s">
        <v>444</v>
      </c>
      <c r="I9542" t="s">
        <v>29</v>
      </c>
      <c r="J9542">
        <v>1</v>
      </c>
      <c r="K9542">
        <f>1-888-373-2955</f>
        <v>-4215</v>
      </c>
      <c r="L9542" t="s">
        <v>29681</v>
      </c>
      <c r="M9542" t="s">
        <v>29682</v>
      </c>
      <c r="N9542" t="s">
        <v>5986</v>
      </c>
      <c r="O9542" t="s">
        <v>28</v>
      </c>
      <c r="P9542" t="s">
        <v>29</v>
      </c>
      <c r="Q9542">
        <v>39</v>
      </c>
      <c r="R9542">
        <v>-77.487399999999994</v>
      </c>
    </row>
    <row r="9543" spans="1:18" x14ac:dyDescent="0.2">
      <c r="A9543" t="s">
        <v>439</v>
      </c>
      <c r="B9543" t="s">
        <v>440</v>
      </c>
      <c r="C9543">
        <v>1</v>
      </c>
      <c r="D9543" s="1">
        <v>44298.894884259258</v>
      </c>
      <c r="E9543" t="s">
        <v>29594</v>
      </c>
      <c r="F9543" t="s">
        <v>442</v>
      </c>
      <c r="G9543" t="s">
        <v>29677</v>
      </c>
      <c r="H9543" t="s">
        <v>444</v>
      </c>
      <c r="I9543" t="s">
        <v>29</v>
      </c>
      <c r="J9543">
        <v>1</v>
      </c>
      <c r="K9543">
        <f>1-888-658-5288</f>
        <v>-6833</v>
      </c>
      <c r="L9543" t="s">
        <v>29683</v>
      </c>
      <c r="M9543" t="s">
        <v>29684</v>
      </c>
      <c r="N9543" t="s">
        <v>5986</v>
      </c>
      <c r="O9543" t="s">
        <v>28</v>
      </c>
      <c r="P9543" t="s">
        <v>29</v>
      </c>
      <c r="Q9543">
        <v>39</v>
      </c>
      <c r="R9543">
        <v>-77.487399999999994</v>
      </c>
    </row>
    <row r="9544" spans="1:18" x14ac:dyDescent="0.2">
      <c r="A9544" t="s">
        <v>439</v>
      </c>
      <c r="B9544" t="s">
        <v>440</v>
      </c>
      <c r="C9544">
        <v>1</v>
      </c>
      <c r="D9544" s="1">
        <v>44298.891157407408</v>
      </c>
      <c r="E9544" t="s">
        <v>29594</v>
      </c>
      <c r="F9544" t="s">
        <v>442</v>
      </c>
      <c r="G9544" t="s">
        <v>29677</v>
      </c>
      <c r="H9544" t="s">
        <v>444</v>
      </c>
      <c r="I9544" t="s">
        <v>29</v>
      </c>
      <c r="J9544">
        <v>1</v>
      </c>
      <c r="K9544">
        <f>1-844-304-887</f>
        <v>-2034</v>
      </c>
      <c r="L9544" s="2" t="s">
        <v>29685</v>
      </c>
      <c r="M9544" t="s">
        <v>29686</v>
      </c>
      <c r="N9544" t="s">
        <v>5986</v>
      </c>
      <c r="O9544" t="s">
        <v>28</v>
      </c>
      <c r="P9544" t="s">
        <v>29</v>
      </c>
      <c r="Q9544">
        <v>39</v>
      </c>
      <c r="R9544">
        <v>-77.487399999999994</v>
      </c>
    </row>
    <row r="9545" spans="1:18" x14ac:dyDescent="0.2">
      <c r="A9545" t="s">
        <v>439</v>
      </c>
      <c r="B9545" t="s">
        <v>440</v>
      </c>
      <c r="C9545">
        <v>1</v>
      </c>
      <c r="D9545" s="1">
        <v>44298.888252314813</v>
      </c>
      <c r="E9545" t="s">
        <v>29594</v>
      </c>
      <c r="F9545" t="s">
        <v>442</v>
      </c>
      <c r="G9545" t="s">
        <v>29677</v>
      </c>
      <c r="H9545" t="s">
        <v>444</v>
      </c>
      <c r="I9545" t="s">
        <v>29</v>
      </c>
      <c r="J9545">
        <v>1</v>
      </c>
      <c r="K9545">
        <f>1-888-297-8845</f>
        <v>-10029</v>
      </c>
      <c r="L9545" t="s">
        <v>29687</v>
      </c>
      <c r="M9545" t="s">
        <v>29688</v>
      </c>
      <c r="N9545" t="s">
        <v>5986</v>
      </c>
      <c r="O9545" t="s">
        <v>28</v>
      </c>
      <c r="P9545" t="s">
        <v>29</v>
      </c>
      <c r="Q9545">
        <v>39</v>
      </c>
      <c r="R9545">
        <v>-77.487399999999994</v>
      </c>
    </row>
    <row r="9546" spans="1:18" x14ac:dyDescent="0.2">
      <c r="A9546" t="s">
        <v>663</v>
      </c>
      <c r="B9546" t="s">
        <v>3245</v>
      </c>
      <c r="C9546">
        <v>1</v>
      </c>
      <c r="D9546" s="1">
        <v>44293.975277777776</v>
      </c>
      <c r="E9546" t="s">
        <v>29689</v>
      </c>
      <c r="F9546" t="s">
        <v>666</v>
      </c>
      <c r="G9546" t="s">
        <v>29690</v>
      </c>
      <c r="H9546" t="s">
        <v>667</v>
      </c>
      <c r="I9546" t="s">
        <v>29</v>
      </c>
      <c r="J9546">
        <v>1</v>
      </c>
      <c r="K9546">
        <f>1-888-334-1147</f>
        <v>-2368</v>
      </c>
      <c r="L9546" s="2" t="s">
        <v>29691</v>
      </c>
      <c r="M9546" t="s">
        <v>29692</v>
      </c>
      <c r="N9546" t="s">
        <v>25263</v>
      </c>
      <c r="O9546" t="s">
        <v>28</v>
      </c>
      <c r="P9546" t="s">
        <v>29</v>
      </c>
      <c r="Q9546">
        <v>41</v>
      </c>
      <c r="R9546">
        <v>-74.140299999999996</v>
      </c>
    </row>
    <row r="9547" spans="1:18" x14ac:dyDescent="0.2">
      <c r="A9547" t="s">
        <v>439</v>
      </c>
      <c r="B9547" t="s">
        <v>440</v>
      </c>
      <c r="C9547">
        <v>1</v>
      </c>
      <c r="D9547" s="1">
        <v>44296.70721064815</v>
      </c>
      <c r="E9547" t="s">
        <v>29693</v>
      </c>
      <c r="F9547" t="s">
        <v>442</v>
      </c>
      <c r="G9547" t="s">
        <v>29694</v>
      </c>
      <c r="H9547" t="s">
        <v>444</v>
      </c>
      <c r="I9547" t="s">
        <v>29</v>
      </c>
      <c r="J9547">
        <v>1</v>
      </c>
      <c r="K9547">
        <f>1-888-339-1610</f>
        <v>-2836</v>
      </c>
      <c r="L9547" t="s">
        <v>29695</v>
      </c>
      <c r="M9547" t="s">
        <v>29696</v>
      </c>
      <c r="N9547" t="s">
        <v>213</v>
      </c>
      <c r="O9547" t="s">
        <v>28</v>
      </c>
      <c r="P9547" t="s">
        <v>29</v>
      </c>
      <c r="Q9547">
        <v>39</v>
      </c>
      <c r="R9547">
        <v>-77.487399999999994</v>
      </c>
    </row>
    <row r="9548" spans="1:18" x14ac:dyDescent="0.2">
      <c r="A9548" t="s">
        <v>2233</v>
      </c>
      <c r="B9548" t="s">
        <v>440</v>
      </c>
      <c r="C9548">
        <v>1</v>
      </c>
      <c r="D9548" s="1">
        <v>44296.669571759259</v>
      </c>
      <c r="E9548" t="s">
        <v>29697</v>
      </c>
      <c r="F9548" t="s">
        <v>2236</v>
      </c>
      <c r="G9548" t="s">
        <v>29698</v>
      </c>
      <c r="H9548" t="s">
        <v>2237</v>
      </c>
      <c r="I9548" t="s">
        <v>29</v>
      </c>
      <c r="J9548">
        <v>1</v>
      </c>
      <c r="K9548">
        <f>1-865-432-61</f>
        <v>-1357</v>
      </c>
      <c r="L9548" t="s">
        <v>29699</v>
      </c>
      <c r="M9548" t="s">
        <v>29700</v>
      </c>
      <c r="N9548" t="s">
        <v>5354</v>
      </c>
      <c r="O9548" t="s">
        <v>28</v>
      </c>
      <c r="P9548" t="s">
        <v>29</v>
      </c>
      <c r="Q9548">
        <v>39</v>
      </c>
      <c r="R9548">
        <v>-77.487399999999994</v>
      </c>
    </row>
    <row r="9549" spans="1:18" x14ac:dyDescent="0.2">
      <c r="A9549" t="s">
        <v>439</v>
      </c>
      <c r="B9549" t="s">
        <v>4321</v>
      </c>
      <c r="C9549">
        <v>1</v>
      </c>
      <c r="D9549" s="1">
        <v>44296.684583333335</v>
      </c>
      <c r="E9549" t="s">
        <v>29701</v>
      </c>
      <c r="F9549" t="s">
        <v>442</v>
      </c>
      <c r="G9549" t="s">
        <v>29702</v>
      </c>
      <c r="H9549" t="s">
        <v>444</v>
      </c>
      <c r="I9549" t="s">
        <v>29</v>
      </c>
      <c r="J9549">
        <v>1</v>
      </c>
      <c r="K9549">
        <f>1-888-335-9721</f>
        <v>-10943</v>
      </c>
      <c r="L9549" t="s">
        <v>29703</v>
      </c>
      <c r="M9549" t="s">
        <v>29704</v>
      </c>
      <c r="N9549" t="s">
        <v>447</v>
      </c>
      <c r="O9549" t="s">
        <v>28</v>
      </c>
      <c r="P9549" t="s">
        <v>29</v>
      </c>
      <c r="Q9549">
        <v>42</v>
      </c>
      <c r="R9549">
        <v>-87.629800000000003</v>
      </c>
    </row>
    <row r="9550" spans="1:18" x14ac:dyDescent="0.2">
      <c r="A9550" t="s">
        <v>2233</v>
      </c>
      <c r="B9550" t="s">
        <v>2500</v>
      </c>
      <c r="C9550">
        <v>61</v>
      </c>
      <c r="D9550" s="1">
        <v>44326.243634259263</v>
      </c>
      <c r="E9550" t="s">
        <v>29705</v>
      </c>
      <c r="F9550" t="s">
        <v>2236</v>
      </c>
      <c r="G9550" t="s">
        <v>29706</v>
      </c>
      <c r="H9550" t="s">
        <v>2237</v>
      </c>
      <c r="I9550" t="s">
        <v>782</v>
      </c>
      <c r="J9550">
        <v>61</v>
      </c>
      <c r="K9550">
        <f>61-1800-948-126</f>
        <v>-2813</v>
      </c>
      <c r="L9550" t="s">
        <v>29707</v>
      </c>
      <c r="M9550" t="s">
        <v>29708</v>
      </c>
      <c r="N9550" t="s">
        <v>5354</v>
      </c>
      <c r="O9550" t="s">
        <v>28</v>
      </c>
      <c r="P9550" t="s">
        <v>2500</v>
      </c>
      <c r="Q9550">
        <v>1</v>
      </c>
      <c r="R9550">
        <v>99.999999000000003</v>
      </c>
    </row>
    <row r="9551" spans="1:18" x14ac:dyDescent="0.2">
      <c r="A9551" t="s">
        <v>2233</v>
      </c>
      <c r="B9551" t="s">
        <v>2500</v>
      </c>
      <c r="C9551">
        <v>61</v>
      </c>
      <c r="D9551" s="1">
        <v>44295.192465277774</v>
      </c>
      <c r="E9551" t="s">
        <v>29709</v>
      </c>
      <c r="F9551" t="s">
        <v>2236</v>
      </c>
      <c r="G9551" t="s">
        <v>29706</v>
      </c>
      <c r="H9551" t="s">
        <v>2237</v>
      </c>
      <c r="I9551" t="s">
        <v>782</v>
      </c>
      <c r="J9551">
        <v>61</v>
      </c>
      <c r="K9551">
        <f>61-1800-943-506</f>
        <v>-3188</v>
      </c>
      <c r="L9551" t="s">
        <v>29710</v>
      </c>
      <c r="M9551" t="s">
        <v>29711</v>
      </c>
      <c r="N9551" t="s">
        <v>5354</v>
      </c>
      <c r="O9551" t="s">
        <v>28</v>
      </c>
      <c r="P9551" t="s">
        <v>2500</v>
      </c>
      <c r="Q9551">
        <v>1</v>
      </c>
      <c r="R9551">
        <v>99.999999000000003</v>
      </c>
    </row>
    <row r="9552" spans="1:18" x14ac:dyDescent="0.2">
      <c r="A9552" t="s">
        <v>439</v>
      </c>
      <c r="B9552" t="s">
        <v>4321</v>
      </c>
      <c r="C9552">
        <v>1</v>
      </c>
      <c r="D9552" s="1">
        <v>44295.601724537039</v>
      </c>
      <c r="E9552" t="s">
        <v>29712</v>
      </c>
      <c r="F9552" t="s">
        <v>442</v>
      </c>
      <c r="G9552" t="s">
        <v>29713</v>
      </c>
      <c r="H9552" t="s">
        <v>444</v>
      </c>
      <c r="I9552" t="s">
        <v>29</v>
      </c>
      <c r="J9552">
        <v>1</v>
      </c>
      <c r="K9552">
        <f>1-888-339-9819</f>
        <v>-11045</v>
      </c>
      <c r="L9552" t="s">
        <v>29714</v>
      </c>
      <c r="M9552" t="s">
        <v>29715</v>
      </c>
      <c r="N9552" t="s">
        <v>213</v>
      </c>
      <c r="O9552" t="s">
        <v>28</v>
      </c>
      <c r="P9552" t="s">
        <v>29</v>
      </c>
      <c r="Q9552">
        <v>42</v>
      </c>
      <c r="R9552">
        <v>-87.629800000000003</v>
      </c>
    </row>
    <row r="9553" spans="1:18" x14ac:dyDescent="0.2">
      <c r="A9553" t="s">
        <v>439</v>
      </c>
      <c r="B9553" t="s">
        <v>4321</v>
      </c>
      <c r="C9553">
        <v>1</v>
      </c>
      <c r="D9553" s="1">
        <v>44296.608854166669</v>
      </c>
      <c r="E9553" t="s">
        <v>29716</v>
      </c>
      <c r="F9553" t="s">
        <v>442</v>
      </c>
      <c r="G9553" t="s">
        <v>29717</v>
      </c>
      <c r="H9553" t="s">
        <v>444</v>
      </c>
      <c r="I9553" t="s">
        <v>29</v>
      </c>
      <c r="J9553">
        <v>1</v>
      </c>
      <c r="K9553">
        <f>1-888-330-2520</f>
        <v>-3737</v>
      </c>
      <c r="L9553" t="s">
        <v>29718</v>
      </c>
      <c r="M9553" t="s">
        <v>29719</v>
      </c>
      <c r="N9553" t="s">
        <v>447</v>
      </c>
      <c r="O9553" t="s">
        <v>28</v>
      </c>
      <c r="P9553" t="s">
        <v>29</v>
      </c>
      <c r="Q9553">
        <v>42</v>
      </c>
      <c r="R9553">
        <v>-87.629800000000003</v>
      </c>
    </row>
    <row r="9554" spans="1:18" x14ac:dyDescent="0.2">
      <c r="A9554" t="s">
        <v>439</v>
      </c>
      <c r="B9554" t="s">
        <v>440</v>
      </c>
      <c r="C9554">
        <v>1</v>
      </c>
      <c r="D9554" s="1">
        <v>44296.61383101852</v>
      </c>
      <c r="E9554" t="s">
        <v>29720</v>
      </c>
      <c r="F9554" t="s">
        <v>442</v>
      </c>
      <c r="G9554" t="s">
        <v>29721</v>
      </c>
      <c r="H9554" t="s">
        <v>444</v>
      </c>
      <c r="I9554" t="s">
        <v>29</v>
      </c>
      <c r="J9554">
        <v>1</v>
      </c>
      <c r="K9554">
        <f>1-888-306-6558</f>
        <v>-7751</v>
      </c>
      <c r="L9554" t="s">
        <v>29722</v>
      </c>
      <c r="M9554" t="s">
        <v>29723</v>
      </c>
      <c r="N9554" t="s">
        <v>447</v>
      </c>
      <c r="O9554" t="s">
        <v>28</v>
      </c>
      <c r="P9554" t="s">
        <v>29</v>
      </c>
      <c r="Q9554">
        <v>39</v>
      </c>
      <c r="R9554">
        <v>-77.487399999999994</v>
      </c>
    </row>
    <row r="9555" spans="1:18" x14ac:dyDescent="0.2">
      <c r="A9555" t="s">
        <v>439</v>
      </c>
      <c r="B9555" t="s">
        <v>440</v>
      </c>
      <c r="C9555">
        <v>1</v>
      </c>
      <c r="D9555" s="1">
        <v>44299.767106481479</v>
      </c>
      <c r="E9555" t="s">
        <v>29724</v>
      </c>
      <c r="F9555" t="s">
        <v>442</v>
      </c>
      <c r="G9555" t="s">
        <v>29725</v>
      </c>
      <c r="H9555" t="s">
        <v>444</v>
      </c>
      <c r="I9555" t="s">
        <v>29</v>
      </c>
      <c r="J9555">
        <v>1</v>
      </c>
      <c r="K9555">
        <f>1-833-220-2961</f>
        <v>-4013</v>
      </c>
      <c r="L9555" t="s">
        <v>29726</v>
      </c>
      <c r="M9555" t="s">
        <v>29727</v>
      </c>
      <c r="N9555" t="s">
        <v>447</v>
      </c>
      <c r="O9555" t="s">
        <v>28</v>
      </c>
      <c r="P9555" t="s">
        <v>29</v>
      </c>
      <c r="Q9555">
        <v>39</v>
      </c>
      <c r="R9555">
        <v>-77.487399999999994</v>
      </c>
    </row>
    <row r="9556" spans="1:18" x14ac:dyDescent="0.2">
      <c r="A9556" t="s">
        <v>2233</v>
      </c>
      <c r="B9556" t="s">
        <v>2500</v>
      </c>
      <c r="C9556">
        <v>61</v>
      </c>
      <c r="D9556" s="1">
        <v>44294.590289351851</v>
      </c>
      <c r="E9556" t="s">
        <v>29728</v>
      </c>
      <c r="F9556" t="s">
        <v>2236</v>
      </c>
      <c r="G9556" t="s">
        <v>29729</v>
      </c>
      <c r="H9556" t="s">
        <v>2237</v>
      </c>
      <c r="I9556" t="s">
        <v>782</v>
      </c>
      <c r="J9556">
        <v>61</v>
      </c>
      <c r="K9556">
        <f>61-1800-943-506</f>
        <v>-3188</v>
      </c>
      <c r="L9556" t="s">
        <v>29730</v>
      </c>
      <c r="M9556" t="s">
        <v>29731</v>
      </c>
      <c r="N9556" t="s">
        <v>5354</v>
      </c>
      <c r="O9556" t="s">
        <v>28</v>
      </c>
      <c r="P9556" t="s">
        <v>2500</v>
      </c>
      <c r="Q9556">
        <v>1</v>
      </c>
      <c r="R9556">
        <v>99.999999000000003</v>
      </c>
    </row>
    <row r="9557" spans="1:18" x14ac:dyDescent="0.2">
      <c r="A9557" t="s">
        <v>439</v>
      </c>
      <c r="B9557" t="s">
        <v>4321</v>
      </c>
      <c r="C9557">
        <v>1</v>
      </c>
      <c r="D9557" s="1">
        <v>44296.718148148146</v>
      </c>
      <c r="E9557" t="s">
        <v>29732</v>
      </c>
      <c r="F9557" t="s">
        <v>442</v>
      </c>
      <c r="G9557" t="s">
        <v>29733</v>
      </c>
      <c r="H9557" t="s">
        <v>444</v>
      </c>
      <c r="I9557" t="s">
        <v>29</v>
      </c>
      <c r="J9557">
        <v>1</v>
      </c>
      <c r="K9557">
        <f>1-888-374-1902</f>
        <v>-3163</v>
      </c>
      <c r="L9557" t="s">
        <v>29734</v>
      </c>
      <c r="M9557" t="s">
        <v>29735</v>
      </c>
      <c r="N9557" t="s">
        <v>447</v>
      </c>
      <c r="O9557" t="s">
        <v>28</v>
      </c>
      <c r="P9557" t="s">
        <v>29</v>
      </c>
      <c r="Q9557">
        <v>42</v>
      </c>
      <c r="R9557">
        <v>-87.629800000000003</v>
      </c>
    </row>
    <row r="9558" spans="1:18" x14ac:dyDescent="0.2">
      <c r="A9558" t="s">
        <v>439</v>
      </c>
      <c r="B9558" t="s">
        <v>6226</v>
      </c>
      <c r="C9558">
        <v>1</v>
      </c>
      <c r="D9558" s="1">
        <v>44296.718240740738</v>
      </c>
      <c r="E9558" t="s">
        <v>29736</v>
      </c>
      <c r="F9558" t="s">
        <v>442</v>
      </c>
      <c r="G9558" t="s">
        <v>29737</v>
      </c>
      <c r="H9558" t="s">
        <v>444</v>
      </c>
      <c r="I9558" t="s">
        <v>29</v>
      </c>
      <c r="J9558">
        <v>1</v>
      </c>
      <c r="K9558">
        <f>1-888-357-9722</f>
        <v>-10966</v>
      </c>
      <c r="L9558" t="s">
        <v>29738</v>
      </c>
      <c r="M9558" t="s">
        <v>29739</v>
      </c>
      <c r="N9558" t="s">
        <v>447</v>
      </c>
      <c r="O9558" t="s">
        <v>28</v>
      </c>
      <c r="P9558" t="s">
        <v>29</v>
      </c>
      <c r="Q9558">
        <v>26</v>
      </c>
      <c r="R9558">
        <v>-80.191800000000001</v>
      </c>
    </row>
    <row r="9559" spans="1:18" x14ac:dyDescent="0.2">
      <c r="A9559" t="s">
        <v>439</v>
      </c>
      <c r="B9559" t="s">
        <v>440</v>
      </c>
      <c r="C9559">
        <v>1</v>
      </c>
      <c r="D9559" s="1">
        <v>44296.729351851849</v>
      </c>
      <c r="E9559" t="s">
        <v>29740</v>
      </c>
      <c r="F9559" t="s">
        <v>442</v>
      </c>
      <c r="G9559" t="s">
        <v>29741</v>
      </c>
      <c r="H9559" t="s">
        <v>444</v>
      </c>
      <c r="I9559" t="s">
        <v>29</v>
      </c>
      <c r="J9559">
        <v>1</v>
      </c>
      <c r="K9559">
        <f>1-888-368-5642</f>
        <v>-6897</v>
      </c>
      <c r="L9559" t="s">
        <v>29742</v>
      </c>
      <c r="M9559" t="s">
        <v>29743</v>
      </c>
      <c r="N9559" t="s">
        <v>447</v>
      </c>
      <c r="O9559" t="s">
        <v>28</v>
      </c>
      <c r="P9559" t="s">
        <v>29</v>
      </c>
      <c r="Q9559">
        <v>39</v>
      </c>
      <c r="R9559">
        <v>-77.487399999999994</v>
      </c>
    </row>
    <row r="9560" spans="1:18" x14ac:dyDescent="0.2">
      <c r="A9560" t="s">
        <v>439</v>
      </c>
      <c r="B9560" t="s">
        <v>4321</v>
      </c>
      <c r="C9560">
        <v>1</v>
      </c>
      <c r="D9560" s="1">
        <v>44296.782997685186</v>
      </c>
      <c r="E9560" t="s">
        <v>29744</v>
      </c>
      <c r="F9560" t="s">
        <v>442</v>
      </c>
      <c r="G9560" t="s">
        <v>29745</v>
      </c>
      <c r="H9560" t="s">
        <v>444</v>
      </c>
      <c r="I9560" t="s">
        <v>29</v>
      </c>
      <c r="J9560">
        <v>1</v>
      </c>
      <c r="K9560">
        <f>1-888-316-5563</f>
        <v>-6766</v>
      </c>
      <c r="L9560" t="s">
        <v>29746</v>
      </c>
      <c r="M9560" t="s">
        <v>29747</v>
      </c>
      <c r="N9560" t="s">
        <v>3441</v>
      </c>
      <c r="O9560" t="s">
        <v>28</v>
      </c>
      <c r="P9560" t="s">
        <v>29</v>
      </c>
      <c r="Q9560">
        <v>42</v>
      </c>
      <c r="R9560">
        <v>-87.629800000000003</v>
      </c>
    </row>
    <row r="9561" spans="1:18" x14ac:dyDescent="0.2">
      <c r="A9561" t="s">
        <v>439</v>
      </c>
      <c r="B9561" t="s">
        <v>6226</v>
      </c>
      <c r="C9561">
        <v>1</v>
      </c>
      <c r="D9561" s="1">
        <v>44296.804247685184</v>
      </c>
      <c r="E9561" t="s">
        <v>29748</v>
      </c>
      <c r="F9561" t="s">
        <v>442</v>
      </c>
      <c r="G9561" t="s">
        <v>29749</v>
      </c>
      <c r="H9561" t="s">
        <v>444</v>
      </c>
      <c r="I9561" t="s">
        <v>29</v>
      </c>
      <c r="J9561">
        <v>1</v>
      </c>
      <c r="K9561">
        <f>1-833-220-3662</f>
        <v>-4714</v>
      </c>
      <c r="L9561" t="s">
        <v>29750</v>
      </c>
      <c r="M9561" t="s">
        <v>29751</v>
      </c>
      <c r="N9561" t="s">
        <v>447</v>
      </c>
      <c r="O9561" t="s">
        <v>28</v>
      </c>
      <c r="P9561" t="s">
        <v>29</v>
      </c>
      <c r="Q9561">
        <v>26</v>
      </c>
      <c r="R9561">
        <v>-80.191800000000001</v>
      </c>
    </row>
    <row r="9562" spans="1:18" x14ac:dyDescent="0.2">
      <c r="A9562" t="s">
        <v>6912</v>
      </c>
      <c r="B9562" t="s">
        <v>6913</v>
      </c>
      <c r="C9562">
        <v>1</v>
      </c>
      <c r="D9562" s="1">
        <v>44296.856296296297</v>
      </c>
      <c r="E9562" t="s">
        <v>29752</v>
      </c>
      <c r="F9562" t="s">
        <v>6663</v>
      </c>
      <c r="G9562" t="s">
        <v>29753</v>
      </c>
      <c r="H9562" t="s">
        <v>6665</v>
      </c>
      <c r="I9562" t="s">
        <v>29</v>
      </c>
      <c r="J9562">
        <v>1</v>
      </c>
      <c r="K9562">
        <f>1-865-601-9332</f>
        <v>-10797</v>
      </c>
      <c r="L9562" t="s">
        <v>29754</v>
      </c>
      <c r="M9562" t="s">
        <v>29755</v>
      </c>
      <c r="N9562" t="s">
        <v>5354</v>
      </c>
      <c r="O9562" t="s">
        <v>28</v>
      </c>
      <c r="P9562" t="s">
        <v>29</v>
      </c>
      <c r="Q9562">
        <v>35</v>
      </c>
      <c r="R9562">
        <v>-80.843100000000007</v>
      </c>
    </row>
    <row r="9563" spans="1:18" x14ac:dyDescent="0.2">
      <c r="A9563" t="s">
        <v>6912</v>
      </c>
      <c r="B9563" t="s">
        <v>6913</v>
      </c>
      <c r="C9563">
        <v>1</v>
      </c>
      <c r="D9563" s="1">
        <v>44294.876435185186</v>
      </c>
      <c r="E9563" t="s">
        <v>29756</v>
      </c>
      <c r="F9563" t="s">
        <v>6663</v>
      </c>
      <c r="G9563" t="s">
        <v>29757</v>
      </c>
      <c r="H9563" t="s">
        <v>6665</v>
      </c>
      <c r="I9563" t="s">
        <v>29</v>
      </c>
      <c r="J9563">
        <v>1</v>
      </c>
      <c r="K9563">
        <f>1-858-800-854</f>
        <v>-2511</v>
      </c>
      <c r="L9563" t="s">
        <v>29758</v>
      </c>
      <c r="M9563" t="s">
        <v>29759</v>
      </c>
      <c r="N9563" t="s">
        <v>5354</v>
      </c>
      <c r="O9563" t="s">
        <v>28</v>
      </c>
      <c r="P9563" t="s">
        <v>29</v>
      </c>
      <c r="Q9563">
        <v>35</v>
      </c>
      <c r="R9563">
        <v>-80.843100000000007</v>
      </c>
    </row>
    <row r="9564" spans="1:18" x14ac:dyDescent="0.2">
      <c r="A9564" t="s">
        <v>10660</v>
      </c>
      <c r="B9564" t="s">
        <v>1638</v>
      </c>
      <c r="C9564">
        <v>1</v>
      </c>
      <c r="D9564" s="1">
        <v>44300.026724537034</v>
      </c>
      <c r="E9564" t="s">
        <v>27594</v>
      </c>
      <c r="F9564" t="s">
        <v>11960</v>
      </c>
      <c r="G9564" t="s">
        <v>29760</v>
      </c>
      <c r="H9564" t="s">
        <v>10664</v>
      </c>
      <c r="I9564" t="s">
        <v>29</v>
      </c>
      <c r="J9564">
        <v>1</v>
      </c>
      <c r="K9564">
        <f>1-888-381-1422</f>
        <v>-2690</v>
      </c>
      <c r="L9564" t="s">
        <v>29761</v>
      </c>
      <c r="M9564" t="s">
        <v>29762</v>
      </c>
      <c r="N9564" t="s">
        <v>5468</v>
      </c>
      <c r="O9564" t="s">
        <v>28</v>
      </c>
      <c r="P9564" t="s">
        <v>292</v>
      </c>
      <c r="Q9564">
        <v>49</v>
      </c>
      <c r="R9564">
        <v>2.3281000000000001</v>
      </c>
    </row>
    <row r="9565" spans="1:18" x14ac:dyDescent="0.2">
      <c r="A9565" t="s">
        <v>10660</v>
      </c>
      <c r="B9565" t="s">
        <v>1638</v>
      </c>
      <c r="C9565">
        <v>1</v>
      </c>
      <c r="D9565" s="1">
        <v>44296.953206018516</v>
      </c>
      <c r="E9565" t="s">
        <v>29763</v>
      </c>
      <c r="F9565" t="s">
        <v>11960</v>
      </c>
      <c r="G9565" t="s">
        <v>29760</v>
      </c>
      <c r="H9565" t="s">
        <v>10664</v>
      </c>
      <c r="I9565" t="s">
        <v>29</v>
      </c>
      <c r="J9565">
        <v>1</v>
      </c>
      <c r="K9565">
        <f>1-888-238-4715</f>
        <v>-5840</v>
      </c>
      <c r="L9565" s="2">
        <v>60721013326000</v>
      </c>
      <c r="M9565" t="s">
        <v>29764</v>
      </c>
      <c r="N9565" t="s">
        <v>5468</v>
      </c>
      <c r="O9565" t="s">
        <v>28</v>
      </c>
      <c r="P9565" t="s">
        <v>292</v>
      </c>
      <c r="Q9565">
        <v>49</v>
      </c>
      <c r="R9565">
        <v>2.3281000000000001</v>
      </c>
    </row>
    <row r="9566" spans="1:18" x14ac:dyDescent="0.2">
      <c r="A9566" t="s">
        <v>675</v>
      </c>
      <c r="B9566" t="s">
        <v>1412</v>
      </c>
      <c r="C9566">
        <v>1</v>
      </c>
      <c r="D9566" s="1">
        <v>44294.899583333332</v>
      </c>
      <c r="E9566" t="s">
        <v>29765</v>
      </c>
      <c r="F9566" t="s">
        <v>678</v>
      </c>
      <c r="G9566" t="s">
        <v>29766</v>
      </c>
      <c r="H9566" t="s">
        <v>680</v>
      </c>
      <c r="I9566" t="s">
        <v>29</v>
      </c>
      <c r="J9566">
        <v>1</v>
      </c>
      <c r="K9566">
        <f>1-844-953-150</f>
        <v>-1946</v>
      </c>
      <c r="L9566" t="s">
        <v>29767</v>
      </c>
      <c r="M9566" t="s">
        <v>29768</v>
      </c>
      <c r="N9566" t="s">
        <v>3295</v>
      </c>
      <c r="O9566" t="s">
        <v>28</v>
      </c>
      <c r="P9566" t="s">
        <v>29</v>
      </c>
      <c r="Q9566">
        <v>41</v>
      </c>
      <c r="R9566">
        <v>-74.172399999999996</v>
      </c>
    </row>
    <row r="9567" spans="1:18" x14ac:dyDescent="0.2">
      <c r="A9567" t="s">
        <v>2233</v>
      </c>
      <c r="B9567" t="s">
        <v>440</v>
      </c>
      <c r="C9567">
        <v>1</v>
      </c>
      <c r="D9567" s="1">
        <v>44298.912939814814</v>
      </c>
      <c r="E9567" t="s">
        <v>29769</v>
      </c>
      <c r="F9567" t="s">
        <v>2236</v>
      </c>
      <c r="G9567" t="s">
        <v>29770</v>
      </c>
      <c r="H9567" t="s">
        <v>2237</v>
      </c>
      <c r="I9567" t="s">
        <v>29</v>
      </c>
      <c r="J9567">
        <v>1</v>
      </c>
      <c r="K9567">
        <f>1-866-520-8231</f>
        <v>-9616</v>
      </c>
      <c r="L9567" t="s">
        <v>29771</v>
      </c>
      <c r="M9567" t="s">
        <v>29772</v>
      </c>
      <c r="N9567" t="s">
        <v>5354</v>
      </c>
      <c r="O9567" t="s">
        <v>28</v>
      </c>
      <c r="P9567" t="s">
        <v>29</v>
      </c>
      <c r="Q9567">
        <v>39</v>
      </c>
      <c r="R9567">
        <v>-77.487399999999994</v>
      </c>
    </row>
    <row r="9568" spans="1:18" x14ac:dyDescent="0.2">
      <c r="A9568" t="s">
        <v>439</v>
      </c>
      <c r="B9568" t="s">
        <v>440</v>
      </c>
      <c r="C9568">
        <v>1</v>
      </c>
      <c r="D9568" s="1">
        <v>44298.978125000001</v>
      </c>
      <c r="E9568" t="s">
        <v>29594</v>
      </c>
      <c r="F9568" t="s">
        <v>442</v>
      </c>
      <c r="G9568" t="s">
        <v>29773</v>
      </c>
      <c r="H9568" t="s">
        <v>444</v>
      </c>
      <c r="I9568" t="s">
        <v>29</v>
      </c>
      <c r="J9568">
        <v>1</v>
      </c>
      <c r="K9568">
        <f>1-888-525-741</f>
        <v>-2153</v>
      </c>
      <c r="L9568" t="s">
        <v>29774</v>
      </c>
      <c r="M9568" t="s">
        <v>29668</v>
      </c>
      <c r="N9568" t="s">
        <v>5986</v>
      </c>
      <c r="O9568" t="s">
        <v>28</v>
      </c>
      <c r="P9568" t="s">
        <v>29</v>
      </c>
      <c r="Q9568">
        <v>39</v>
      </c>
      <c r="R9568">
        <v>-77.487399999999994</v>
      </c>
    </row>
    <row r="9569" spans="1:18" x14ac:dyDescent="0.2">
      <c r="A9569" t="s">
        <v>439</v>
      </c>
      <c r="B9569" t="s">
        <v>440</v>
      </c>
      <c r="C9569">
        <v>1</v>
      </c>
      <c r="D9569" s="1">
        <v>44298.971030092594</v>
      </c>
      <c r="E9569" t="s">
        <v>29594</v>
      </c>
      <c r="F9569" t="s">
        <v>442</v>
      </c>
      <c r="G9569" t="s">
        <v>29773</v>
      </c>
      <c r="H9569" t="s">
        <v>444</v>
      </c>
      <c r="I9569" t="s">
        <v>29</v>
      </c>
      <c r="J9569">
        <v>1</v>
      </c>
      <c r="K9569">
        <f>1-844-304-887</f>
        <v>-2034</v>
      </c>
      <c r="L9569" t="s">
        <v>29775</v>
      </c>
      <c r="M9569" t="s">
        <v>29668</v>
      </c>
      <c r="N9569" t="s">
        <v>5986</v>
      </c>
      <c r="O9569" t="s">
        <v>28</v>
      </c>
      <c r="P9569" t="s">
        <v>29</v>
      </c>
      <c r="Q9569">
        <v>39</v>
      </c>
      <c r="R9569">
        <v>-77.487399999999994</v>
      </c>
    </row>
    <row r="9570" spans="1:18" x14ac:dyDescent="0.2">
      <c r="A9570" t="s">
        <v>439</v>
      </c>
      <c r="B9570" t="s">
        <v>440</v>
      </c>
      <c r="C9570">
        <v>1</v>
      </c>
      <c r="D9570" s="1">
        <v>44298.946319444447</v>
      </c>
      <c r="E9570" t="s">
        <v>29594</v>
      </c>
      <c r="F9570" t="s">
        <v>442</v>
      </c>
      <c r="G9570" t="s">
        <v>29773</v>
      </c>
      <c r="H9570" t="s">
        <v>444</v>
      </c>
      <c r="I9570" t="s">
        <v>29</v>
      </c>
      <c r="J9570">
        <v>1</v>
      </c>
      <c r="K9570">
        <f>1-888-346-568</f>
        <v>-1801</v>
      </c>
      <c r="L9570" t="s">
        <v>29776</v>
      </c>
      <c r="M9570" t="s">
        <v>29668</v>
      </c>
      <c r="N9570" t="s">
        <v>5986</v>
      </c>
      <c r="O9570" t="s">
        <v>28</v>
      </c>
      <c r="P9570" t="s">
        <v>29</v>
      </c>
      <c r="Q9570">
        <v>39</v>
      </c>
      <c r="R9570">
        <v>-77.487399999999994</v>
      </c>
    </row>
    <row r="9571" spans="1:18" x14ac:dyDescent="0.2">
      <c r="A9571" t="s">
        <v>439</v>
      </c>
      <c r="B9571" t="s">
        <v>4321</v>
      </c>
      <c r="C9571">
        <v>81</v>
      </c>
      <c r="D9571" s="1">
        <v>44294.947164351855</v>
      </c>
      <c r="E9571" t="s">
        <v>29777</v>
      </c>
      <c r="F9571" t="s">
        <v>442</v>
      </c>
      <c r="G9571" t="s">
        <v>29778</v>
      </c>
      <c r="H9571" t="s">
        <v>444</v>
      </c>
      <c r="I9571" t="s">
        <v>53</v>
      </c>
      <c r="J9571">
        <v>81</v>
      </c>
      <c r="K9571">
        <f>81-50-3196-4838</f>
        <v>-8003</v>
      </c>
      <c r="L9571" t="s">
        <v>29779</v>
      </c>
      <c r="M9571" t="s">
        <v>29780</v>
      </c>
      <c r="N9571" t="s">
        <v>447</v>
      </c>
      <c r="O9571" t="s">
        <v>28</v>
      </c>
      <c r="P9571" t="s">
        <v>29</v>
      </c>
      <c r="Q9571">
        <v>42</v>
      </c>
      <c r="R9571">
        <v>-87.629800000000003</v>
      </c>
    </row>
    <row r="9572" spans="1:18" x14ac:dyDescent="0.2">
      <c r="A9572" t="s">
        <v>663</v>
      </c>
      <c r="B9572" t="s">
        <v>2493</v>
      </c>
      <c r="C9572">
        <v>1</v>
      </c>
      <c r="D9572" s="1">
        <v>44294.949756944443</v>
      </c>
      <c r="E9572" t="s">
        <v>29781</v>
      </c>
      <c r="F9572" t="s">
        <v>666</v>
      </c>
      <c r="G9572" t="s">
        <v>29781</v>
      </c>
      <c r="H9572" t="s">
        <v>667</v>
      </c>
      <c r="I9572" t="s">
        <v>29</v>
      </c>
      <c r="J9572">
        <v>1</v>
      </c>
      <c r="K9572">
        <f>1-888-614-9680</f>
        <v>-11181</v>
      </c>
      <c r="L9572" t="s">
        <v>29782</v>
      </c>
      <c r="M9572" t="s">
        <v>29783</v>
      </c>
      <c r="N9572">
        <v>180</v>
      </c>
      <c r="O9572" t="s">
        <v>134</v>
      </c>
      <c r="P9572" t="s">
        <v>29</v>
      </c>
      <c r="Q9572">
        <v>41</v>
      </c>
      <c r="R9572">
        <v>-74.024699999999996</v>
      </c>
    </row>
    <row r="9573" spans="1:18" x14ac:dyDescent="0.2">
      <c r="A9573" t="s">
        <v>663</v>
      </c>
      <c r="B9573" t="s">
        <v>2500</v>
      </c>
      <c r="C9573">
        <v>1</v>
      </c>
      <c r="D9573" s="1">
        <v>44295.001388888886</v>
      </c>
      <c r="E9573" t="s">
        <v>29784</v>
      </c>
      <c r="F9573" t="s">
        <v>666</v>
      </c>
      <c r="G9573" t="s">
        <v>29784</v>
      </c>
      <c r="H9573" t="s">
        <v>667</v>
      </c>
      <c r="I9573" t="s">
        <v>29</v>
      </c>
      <c r="J9573">
        <v>1</v>
      </c>
      <c r="K9573">
        <f>1-844-336-9798</f>
        <v>-10977</v>
      </c>
      <c r="L9573" t="s">
        <v>29785</v>
      </c>
      <c r="M9573" t="s">
        <v>29786</v>
      </c>
      <c r="N9573">
        <v>132</v>
      </c>
      <c r="O9573" t="s">
        <v>134</v>
      </c>
      <c r="P9573" t="s">
        <v>2500</v>
      </c>
      <c r="Q9573">
        <v>1</v>
      </c>
      <c r="R9573">
        <v>99.999999000000003</v>
      </c>
    </row>
    <row r="9574" spans="1:18" x14ac:dyDescent="0.2">
      <c r="A9574" t="s">
        <v>663</v>
      </c>
      <c r="B9574" t="s">
        <v>2500</v>
      </c>
      <c r="C9574">
        <v>1</v>
      </c>
      <c r="D9574" s="1">
        <v>44295.001250000001</v>
      </c>
      <c r="E9574" t="s">
        <v>29784</v>
      </c>
      <c r="F9574" t="s">
        <v>666</v>
      </c>
      <c r="G9574" t="s">
        <v>29784</v>
      </c>
      <c r="H9574" t="s">
        <v>667</v>
      </c>
      <c r="I9574" t="s">
        <v>29</v>
      </c>
      <c r="J9574">
        <v>1</v>
      </c>
      <c r="K9574">
        <f>1-888-308-4611</f>
        <v>-5806</v>
      </c>
      <c r="L9574" t="s">
        <v>29787</v>
      </c>
      <c r="M9574" t="s">
        <v>29786</v>
      </c>
      <c r="N9574">
        <v>132</v>
      </c>
      <c r="O9574" t="s">
        <v>134</v>
      </c>
      <c r="P9574" t="s">
        <v>2500</v>
      </c>
      <c r="Q9574">
        <v>1</v>
      </c>
      <c r="R9574">
        <v>99.999999000000003</v>
      </c>
    </row>
    <row r="9575" spans="1:18" x14ac:dyDescent="0.2">
      <c r="A9575" t="s">
        <v>663</v>
      </c>
      <c r="B9575" t="s">
        <v>2500</v>
      </c>
      <c r="C9575">
        <v>1</v>
      </c>
      <c r="D9575" s="1">
        <v>44295.001145833332</v>
      </c>
      <c r="E9575" t="s">
        <v>29784</v>
      </c>
      <c r="F9575" t="s">
        <v>666</v>
      </c>
      <c r="G9575" t="s">
        <v>29784</v>
      </c>
      <c r="H9575" t="s">
        <v>667</v>
      </c>
      <c r="I9575" t="s">
        <v>29</v>
      </c>
      <c r="J9575">
        <v>1</v>
      </c>
      <c r="K9575">
        <f>1-888-318-1902</f>
        <v>-3107</v>
      </c>
      <c r="L9575" t="s">
        <v>29788</v>
      </c>
      <c r="M9575" t="s">
        <v>29786</v>
      </c>
      <c r="N9575">
        <v>132</v>
      </c>
      <c r="O9575" t="s">
        <v>134</v>
      </c>
      <c r="P9575" t="s">
        <v>2500</v>
      </c>
      <c r="Q9575">
        <v>1</v>
      </c>
      <c r="R9575">
        <v>99.999999000000003</v>
      </c>
    </row>
    <row r="9576" spans="1:18" x14ac:dyDescent="0.2">
      <c r="A9576" t="s">
        <v>663</v>
      </c>
      <c r="B9576" t="s">
        <v>2500</v>
      </c>
      <c r="C9576">
        <v>1</v>
      </c>
      <c r="D9576" s="1">
        <v>44295.001018518517</v>
      </c>
      <c r="E9576" t="s">
        <v>29784</v>
      </c>
      <c r="F9576" t="s">
        <v>666</v>
      </c>
      <c r="G9576" t="s">
        <v>29784</v>
      </c>
      <c r="H9576" t="s">
        <v>667</v>
      </c>
      <c r="I9576" t="s">
        <v>29</v>
      </c>
      <c r="J9576">
        <v>1</v>
      </c>
      <c r="K9576">
        <f>1-888-392-484</f>
        <v>-1763</v>
      </c>
      <c r="L9576" t="s">
        <v>29789</v>
      </c>
      <c r="M9576" t="s">
        <v>29786</v>
      </c>
      <c r="N9576">
        <v>132</v>
      </c>
      <c r="O9576" t="s">
        <v>134</v>
      </c>
      <c r="P9576" t="s">
        <v>2500</v>
      </c>
      <c r="Q9576">
        <v>1</v>
      </c>
      <c r="R9576">
        <v>99.999999000000003</v>
      </c>
    </row>
    <row r="9577" spans="1:18" x14ac:dyDescent="0.2">
      <c r="A9577" t="s">
        <v>663</v>
      </c>
      <c r="B9577" t="s">
        <v>2500</v>
      </c>
      <c r="C9577">
        <v>1</v>
      </c>
      <c r="D9577" s="1">
        <v>44294.985324074078</v>
      </c>
      <c r="E9577" t="s">
        <v>29784</v>
      </c>
      <c r="F9577" t="s">
        <v>666</v>
      </c>
      <c r="G9577" t="s">
        <v>29784</v>
      </c>
      <c r="H9577" t="s">
        <v>667</v>
      </c>
      <c r="I9577" t="s">
        <v>29</v>
      </c>
      <c r="J9577">
        <v>1</v>
      </c>
      <c r="K9577">
        <f>1-844-336-4058</f>
        <v>-5237</v>
      </c>
      <c r="L9577" t="s">
        <v>29790</v>
      </c>
      <c r="M9577" t="s">
        <v>29786</v>
      </c>
      <c r="N9577">
        <v>132</v>
      </c>
      <c r="O9577" t="s">
        <v>134</v>
      </c>
      <c r="P9577" t="s">
        <v>2500</v>
      </c>
      <c r="Q9577">
        <v>1</v>
      </c>
      <c r="R9577">
        <v>99.999999000000003</v>
      </c>
    </row>
    <row r="9578" spans="1:18" x14ac:dyDescent="0.2">
      <c r="A9578" t="s">
        <v>663</v>
      </c>
      <c r="B9578" t="s">
        <v>3245</v>
      </c>
      <c r="C9578">
        <v>1</v>
      </c>
      <c r="D9578" s="1">
        <v>44294.999849537038</v>
      </c>
      <c r="E9578" t="s">
        <v>29791</v>
      </c>
      <c r="F9578" t="s">
        <v>666</v>
      </c>
      <c r="G9578" t="s">
        <v>29791</v>
      </c>
      <c r="H9578" t="s">
        <v>667</v>
      </c>
      <c r="I9578" t="s">
        <v>29</v>
      </c>
      <c r="J9578">
        <v>1</v>
      </c>
      <c r="K9578">
        <f>1-866-463-1034</f>
        <v>-2362</v>
      </c>
      <c r="L9578" t="s">
        <v>29792</v>
      </c>
      <c r="M9578" t="s">
        <v>29793</v>
      </c>
      <c r="N9578">
        <v>94</v>
      </c>
      <c r="O9578" t="s">
        <v>134</v>
      </c>
      <c r="P9578" t="s">
        <v>29</v>
      </c>
      <c r="Q9578">
        <v>41</v>
      </c>
      <c r="R9578">
        <v>-74.140299999999996</v>
      </c>
    </row>
    <row r="9579" spans="1:18" x14ac:dyDescent="0.2">
      <c r="A9579" t="s">
        <v>439</v>
      </c>
      <c r="B9579" t="s">
        <v>440</v>
      </c>
      <c r="C9579">
        <v>81</v>
      </c>
      <c r="D9579" s="1">
        <v>44298.963750000003</v>
      </c>
      <c r="E9579" t="s">
        <v>29794</v>
      </c>
      <c r="F9579" t="s">
        <v>442</v>
      </c>
      <c r="G9579" t="s">
        <v>29795</v>
      </c>
      <c r="H9579" t="s">
        <v>444</v>
      </c>
      <c r="I9579" t="s">
        <v>53</v>
      </c>
      <c r="J9579">
        <v>81</v>
      </c>
      <c r="K9579">
        <f>81-50-3615-5587</f>
        <v>-9171</v>
      </c>
      <c r="L9579" t="s">
        <v>29796</v>
      </c>
      <c r="M9579" t="s">
        <v>29797</v>
      </c>
      <c r="N9579" t="s">
        <v>213</v>
      </c>
      <c r="O9579" t="s">
        <v>28</v>
      </c>
      <c r="P9579" t="s">
        <v>29</v>
      </c>
      <c r="Q9579">
        <v>39</v>
      </c>
      <c r="R9579">
        <v>-77.487399999999994</v>
      </c>
    </row>
    <row r="9580" spans="1:18" x14ac:dyDescent="0.2">
      <c r="A9580" t="s">
        <v>439</v>
      </c>
      <c r="B9580" t="s">
        <v>6226</v>
      </c>
      <c r="C9580">
        <v>81</v>
      </c>
      <c r="D9580" s="1">
        <v>44298.964756944442</v>
      </c>
      <c r="E9580" t="s">
        <v>29798</v>
      </c>
      <c r="F9580" t="s">
        <v>442</v>
      </c>
      <c r="G9580" t="s">
        <v>29799</v>
      </c>
      <c r="H9580" t="s">
        <v>444</v>
      </c>
      <c r="I9580" t="s">
        <v>53</v>
      </c>
      <c r="J9580">
        <v>81</v>
      </c>
      <c r="K9580">
        <f>81-50-3615-5587</f>
        <v>-9171</v>
      </c>
      <c r="L9580" t="s">
        <v>29800</v>
      </c>
      <c r="M9580" t="s">
        <v>29801</v>
      </c>
      <c r="N9580" t="s">
        <v>447</v>
      </c>
      <c r="O9580" t="s">
        <v>28</v>
      </c>
      <c r="P9580" t="s">
        <v>29</v>
      </c>
      <c r="Q9580">
        <v>26</v>
      </c>
      <c r="R9580">
        <v>-80.191800000000001</v>
      </c>
    </row>
    <row r="9581" spans="1:18" x14ac:dyDescent="0.2">
      <c r="A9581" t="s">
        <v>439</v>
      </c>
      <c r="B9581" t="s">
        <v>440</v>
      </c>
      <c r="C9581">
        <v>81</v>
      </c>
      <c r="D9581" s="1">
        <v>44298.965358796297</v>
      </c>
      <c r="E9581" t="s">
        <v>29802</v>
      </c>
      <c r="F9581" t="s">
        <v>442</v>
      </c>
      <c r="G9581" t="s">
        <v>29803</v>
      </c>
      <c r="H9581" t="s">
        <v>444</v>
      </c>
      <c r="I9581" t="s">
        <v>53</v>
      </c>
      <c r="J9581">
        <v>81</v>
      </c>
      <c r="K9581">
        <f>81-50-5806-6442</f>
        <v>-12217</v>
      </c>
      <c r="L9581" t="s">
        <v>29804</v>
      </c>
      <c r="M9581" t="s">
        <v>29805</v>
      </c>
      <c r="N9581" t="s">
        <v>213</v>
      </c>
      <c r="O9581" t="s">
        <v>28</v>
      </c>
      <c r="P9581" t="s">
        <v>29</v>
      </c>
      <c r="Q9581">
        <v>39</v>
      </c>
      <c r="R9581">
        <v>-77.487399999999994</v>
      </c>
    </row>
    <row r="9582" spans="1:18" x14ac:dyDescent="0.2">
      <c r="A9582" t="s">
        <v>2233</v>
      </c>
      <c r="B9582" t="s">
        <v>2234</v>
      </c>
      <c r="C9582">
        <v>1</v>
      </c>
      <c r="D9582" s="1">
        <v>44299.166562500002</v>
      </c>
      <c r="E9582" t="s">
        <v>29806</v>
      </c>
      <c r="F9582" t="s">
        <v>2236</v>
      </c>
      <c r="G9582" t="s">
        <v>29806</v>
      </c>
      <c r="H9582" t="s">
        <v>2237</v>
      </c>
      <c r="I9582" t="s">
        <v>29</v>
      </c>
      <c r="J9582">
        <v>1</v>
      </c>
      <c r="K9582">
        <f>1-888-927-796</f>
        <v>-2610</v>
      </c>
      <c r="L9582" t="s">
        <v>29807</v>
      </c>
      <c r="M9582" t="s">
        <v>29808</v>
      </c>
      <c r="N9582">
        <v>73</v>
      </c>
      <c r="O9582" t="s">
        <v>134</v>
      </c>
      <c r="P9582" t="s">
        <v>29</v>
      </c>
      <c r="Q9582">
        <v>40</v>
      </c>
      <c r="R9582">
        <v>-83.114099999999993</v>
      </c>
    </row>
    <row r="9583" spans="1:18" x14ac:dyDescent="0.2">
      <c r="A9583" t="s">
        <v>439</v>
      </c>
      <c r="B9583" t="s">
        <v>4321</v>
      </c>
      <c r="C9583">
        <v>1</v>
      </c>
      <c r="D9583" s="1">
        <v>44299.644953703704</v>
      </c>
      <c r="E9583" t="s">
        <v>29809</v>
      </c>
      <c r="F9583" t="s">
        <v>442</v>
      </c>
      <c r="G9583" t="s">
        <v>29810</v>
      </c>
      <c r="H9583" t="s">
        <v>444</v>
      </c>
      <c r="I9583" t="s">
        <v>29</v>
      </c>
      <c r="J9583">
        <v>1</v>
      </c>
      <c r="K9583">
        <f>1-844-303-755</f>
        <v>-1901</v>
      </c>
      <c r="L9583" t="s">
        <v>29811</v>
      </c>
      <c r="M9583" t="s">
        <v>29812</v>
      </c>
      <c r="N9583" t="s">
        <v>447</v>
      </c>
      <c r="O9583" t="s">
        <v>28</v>
      </c>
      <c r="P9583" t="s">
        <v>29</v>
      </c>
      <c r="Q9583">
        <v>42</v>
      </c>
      <c r="R9583">
        <v>-87.629800000000003</v>
      </c>
    </row>
    <row r="9584" spans="1:18" x14ac:dyDescent="0.2">
      <c r="A9584" t="s">
        <v>2233</v>
      </c>
      <c r="B9584" t="s">
        <v>1638</v>
      </c>
      <c r="C9584">
        <v>1</v>
      </c>
      <c r="D9584" s="1">
        <v>44299.729328703703</v>
      </c>
      <c r="E9584" t="s">
        <v>29813</v>
      </c>
      <c r="F9584" t="s">
        <v>7023</v>
      </c>
      <c r="G9584" t="s">
        <v>29814</v>
      </c>
      <c r="H9584" t="s">
        <v>2237</v>
      </c>
      <c r="I9584" t="s">
        <v>29</v>
      </c>
      <c r="J9584">
        <v>1</v>
      </c>
      <c r="K9584">
        <f>1-877-630-1542</f>
        <v>-3048</v>
      </c>
      <c r="L9584" t="s">
        <v>29815</v>
      </c>
      <c r="M9584" t="s">
        <v>29816</v>
      </c>
      <c r="N9584" t="s">
        <v>278</v>
      </c>
      <c r="O9584" t="s">
        <v>28</v>
      </c>
      <c r="P9584" t="s">
        <v>292</v>
      </c>
      <c r="Q9584">
        <v>49</v>
      </c>
      <c r="R9584">
        <v>2.35222</v>
      </c>
    </row>
    <row r="9585" spans="1:18" x14ac:dyDescent="0.2">
      <c r="A9585" t="s">
        <v>2233</v>
      </c>
      <c r="B9585" t="s">
        <v>1638</v>
      </c>
      <c r="C9585">
        <v>1</v>
      </c>
      <c r="D9585" s="1">
        <v>44299.754756944443</v>
      </c>
      <c r="E9585" t="s">
        <v>29817</v>
      </c>
      <c r="F9585" t="s">
        <v>7023</v>
      </c>
      <c r="G9585" t="s">
        <v>29818</v>
      </c>
      <c r="H9585" t="s">
        <v>2237</v>
      </c>
      <c r="I9585" t="s">
        <v>29</v>
      </c>
      <c r="J9585">
        <v>1</v>
      </c>
      <c r="K9585">
        <f>1-877-469-926</f>
        <v>-2271</v>
      </c>
      <c r="L9585" t="s">
        <v>29819</v>
      </c>
      <c r="M9585" t="s">
        <v>29820</v>
      </c>
      <c r="N9585" t="s">
        <v>278</v>
      </c>
      <c r="O9585" t="s">
        <v>28</v>
      </c>
      <c r="P9585" t="s">
        <v>292</v>
      </c>
      <c r="Q9585">
        <v>49</v>
      </c>
      <c r="R9585">
        <v>2.35222</v>
      </c>
    </row>
    <row r="9586" spans="1:18" x14ac:dyDescent="0.2">
      <c r="A9586" t="s">
        <v>663</v>
      </c>
      <c r="B9586" t="s">
        <v>3245</v>
      </c>
      <c r="C9586">
        <v>1</v>
      </c>
      <c r="D9586" s="1">
        <v>44299.757303240738</v>
      </c>
      <c r="E9586" t="s">
        <v>29821</v>
      </c>
      <c r="F9586" t="s">
        <v>666</v>
      </c>
      <c r="G9586" t="s">
        <v>29822</v>
      </c>
      <c r="H9586" t="s">
        <v>667</v>
      </c>
      <c r="I9586" t="s">
        <v>29</v>
      </c>
      <c r="J9586">
        <v>1</v>
      </c>
      <c r="K9586">
        <f>1-888-304-9599</f>
        <v>-10790</v>
      </c>
      <c r="L9586" t="s">
        <v>29823</v>
      </c>
      <c r="M9586" t="s">
        <v>29824</v>
      </c>
      <c r="N9586" t="s">
        <v>213</v>
      </c>
      <c r="O9586" t="s">
        <v>28</v>
      </c>
      <c r="P9586" t="s">
        <v>29</v>
      </c>
      <c r="Q9586">
        <v>41</v>
      </c>
      <c r="R9586">
        <v>-74.140299999999996</v>
      </c>
    </row>
    <row r="9587" spans="1:18" x14ac:dyDescent="0.2">
      <c r="A9587" t="s">
        <v>663</v>
      </c>
      <c r="B9587" t="s">
        <v>2493</v>
      </c>
      <c r="C9587">
        <v>1</v>
      </c>
      <c r="D9587" s="1">
        <v>44299.757349537038</v>
      </c>
      <c r="E9587" t="s">
        <v>29825</v>
      </c>
      <c r="F9587" t="s">
        <v>666</v>
      </c>
      <c r="G9587" t="s">
        <v>29826</v>
      </c>
      <c r="H9587" t="s">
        <v>667</v>
      </c>
      <c r="I9587" t="s">
        <v>29</v>
      </c>
      <c r="J9587">
        <v>1</v>
      </c>
      <c r="K9587">
        <f>1-844-303-5420</f>
        <v>-6566</v>
      </c>
      <c r="L9587" t="s">
        <v>29827</v>
      </c>
      <c r="M9587" t="s">
        <v>29828</v>
      </c>
      <c r="N9587" t="s">
        <v>3441</v>
      </c>
      <c r="O9587" t="s">
        <v>28</v>
      </c>
      <c r="P9587" t="s">
        <v>29</v>
      </c>
      <c r="Q9587">
        <v>41</v>
      </c>
      <c r="R9587">
        <v>-74.024699999999996</v>
      </c>
    </row>
    <row r="9588" spans="1:18" x14ac:dyDescent="0.2">
      <c r="A9588" t="s">
        <v>439</v>
      </c>
      <c r="B9588" t="s">
        <v>4321</v>
      </c>
      <c r="C9588">
        <v>1</v>
      </c>
      <c r="D9588" s="1">
        <v>44299.789618055554</v>
      </c>
      <c r="E9588" t="s">
        <v>29829</v>
      </c>
      <c r="F9588" t="s">
        <v>442</v>
      </c>
      <c r="G9588" t="s">
        <v>29830</v>
      </c>
      <c r="H9588" t="s">
        <v>444</v>
      </c>
      <c r="I9588" t="s">
        <v>29</v>
      </c>
      <c r="J9588">
        <v>1</v>
      </c>
      <c r="K9588">
        <f>1-833-220-3875</f>
        <v>-4927</v>
      </c>
      <c r="L9588" t="s">
        <v>29831</v>
      </c>
      <c r="M9588" t="s">
        <v>29832</v>
      </c>
      <c r="N9588" t="s">
        <v>213</v>
      </c>
      <c r="O9588" t="s">
        <v>28</v>
      </c>
      <c r="P9588" t="s">
        <v>29</v>
      </c>
      <c r="Q9588">
        <v>42</v>
      </c>
      <c r="R9588">
        <v>-87.629800000000003</v>
      </c>
    </row>
    <row r="9589" spans="1:18" x14ac:dyDescent="0.2">
      <c r="A9589" t="s">
        <v>663</v>
      </c>
      <c r="B9589" t="s">
        <v>664</v>
      </c>
      <c r="C9589">
        <v>1</v>
      </c>
      <c r="D9589" s="1">
        <v>44299.792453703703</v>
      </c>
      <c r="E9589" t="s">
        <v>29833</v>
      </c>
      <c r="F9589" t="s">
        <v>666</v>
      </c>
      <c r="G9589" t="s">
        <v>29833</v>
      </c>
      <c r="H9589" t="s">
        <v>667</v>
      </c>
      <c r="I9589" t="s">
        <v>29</v>
      </c>
      <c r="J9589">
        <v>1</v>
      </c>
      <c r="K9589">
        <f>1-716-406-4427</f>
        <v>-5548</v>
      </c>
      <c r="L9589" t="s">
        <v>29834</v>
      </c>
      <c r="M9589" t="s">
        <v>29835</v>
      </c>
      <c r="N9589">
        <v>72</v>
      </c>
      <c r="O9589" t="s">
        <v>134</v>
      </c>
      <c r="P9589" t="s">
        <v>29</v>
      </c>
      <c r="Q9589">
        <v>37</v>
      </c>
      <c r="R9589">
        <v>-99.999999000000003</v>
      </c>
    </row>
    <row r="9590" spans="1:18" x14ac:dyDescent="0.2">
      <c r="A9590" t="s">
        <v>439</v>
      </c>
      <c r="B9590" t="s">
        <v>440</v>
      </c>
      <c r="C9590">
        <v>1</v>
      </c>
      <c r="D9590" s="1">
        <v>44299.811631944445</v>
      </c>
      <c r="E9590" t="s">
        <v>29836</v>
      </c>
      <c r="F9590" t="s">
        <v>442</v>
      </c>
      <c r="G9590" t="s">
        <v>29837</v>
      </c>
      <c r="H9590" t="s">
        <v>444</v>
      </c>
      <c r="I9590" t="s">
        <v>29</v>
      </c>
      <c r="J9590">
        <v>1</v>
      </c>
      <c r="K9590">
        <f>1-888-375-3433</f>
        <v>-4695</v>
      </c>
      <c r="L9590" t="s">
        <v>29838</v>
      </c>
      <c r="M9590" t="s">
        <v>29839</v>
      </c>
      <c r="N9590" t="s">
        <v>213</v>
      </c>
      <c r="O9590" t="s">
        <v>28</v>
      </c>
      <c r="P9590" t="s">
        <v>29</v>
      </c>
      <c r="Q9590">
        <v>39</v>
      </c>
      <c r="R9590">
        <v>-77.487399999999994</v>
      </c>
    </row>
    <row r="9591" spans="1:18" x14ac:dyDescent="0.2">
      <c r="A9591" t="s">
        <v>663</v>
      </c>
      <c r="B9591" t="s">
        <v>2500</v>
      </c>
      <c r="C9591">
        <v>1</v>
      </c>
      <c r="D9591" s="1">
        <v>44299.817627314813</v>
      </c>
      <c r="E9591" t="s">
        <v>29840</v>
      </c>
      <c r="F9591" t="s">
        <v>666</v>
      </c>
      <c r="G9591" t="s">
        <v>29840</v>
      </c>
      <c r="H9591" t="s">
        <v>667</v>
      </c>
      <c r="I9591" t="s">
        <v>29</v>
      </c>
      <c r="J9591">
        <v>1</v>
      </c>
      <c r="K9591">
        <f>1-888-355-9570</f>
        <v>-10812</v>
      </c>
      <c r="L9591" t="s">
        <v>29841</v>
      </c>
      <c r="M9591" t="s">
        <v>29842</v>
      </c>
      <c r="N9591">
        <v>98</v>
      </c>
      <c r="O9591" t="s">
        <v>134</v>
      </c>
      <c r="P9591" t="s">
        <v>2500</v>
      </c>
      <c r="Q9591">
        <v>1</v>
      </c>
      <c r="R9591">
        <v>99.999999000000003</v>
      </c>
    </row>
    <row r="9592" spans="1:18" x14ac:dyDescent="0.2">
      <c r="A9592" t="s">
        <v>439</v>
      </c>
      <c r="B9592" t="s">
        <v>4321</v>
      </c>
      <c r="C9592">
        <v>1</v>
      </c>
      <c r="D9592" s="1">
        <v>44299.82</v>
      </c>
      <c r="E9592" t="s">
        <v>29843</v>
      </c>
      <c r="F9592" t="s">
        <v>442</v>
      </c>
      <c r="G9592" t="s">
        <v>29844</v>
      </c>
      <c r="H9592" t="s">
        <v>444</v>
      </c>
      <c r="I9592" t="s">
        <v>29</v>
      </c>
      <c r="J9592">
        <v>1</v>
      </c>
      <c r="K9592">
        <f>1-888-350-8938</f>
        <v>-10175</v>
      </c>
      <c r="L9592" t="s">
        <v>29845</v>
      </c>
      <c r="M9592" t="s">
        <v>29846</v>
      </c>
      <c r="N9592" t="s">
        <v>452</v>
      </c>
      <c r="O9592" t="s">
        <v>28</v>
      </c>
      <c r="P9592" t="s">
        <v>29</v>
      </c>
      <c r="Q9592">
        <v>42</v>
      </c>
      <c r="R9592">
        <v>-87.629800000000003</v>
      </c>
    </row>
    <row r="9593" spans="1:18" x14ac:dyDescent="0.2">
      <c r="A9593" t="s">
        <v>663</v>
      </c>
      <c r="B9593" t="s">
        <v>2263</v>
      </c>
      <c r="C9593">
        <v>1</v>
      </c>
      <c r="D9593" s="1">
        <v>44299.827986111108</v>
      </c>
      <c r="E9593" t="s">
        <v>29847</v>
      </c>
      <c r="F9593" t="s">
        <v>666</v>
      </c>
      <c r="G9593" t="s">
        <v>29847</v>
      </c>
      <c r="H9593" t="s">
        <v>667</v>
      </c>
      <c r="I9593" t="s">
        <v>29</v>
      </c>
      <c r="J9593">
        <v>1</v>
      </c>
      <c r="K9593">
        <f>1-906-553-6485</f>
        <v>-7943</v>
      </c>
      <c r="L9593" t="s">
        <v>29848</v>
      </c>
      <c r="M9593" t="s">
        <v>29849</v>
      </c>
      <c r="N9593">
        <v>86</v>
      </c>
      <c r="O9593" t="s">
        <v>134</v>
      </c>
      <c r="P9593" t="s">
        <v>2268</v>
      </c>
      <c r="Q9593">
        <v>44</v>
      </c>
      <c r="R9593">
        <v>-79.362300000000005</v>
      </c>
    </row>
    <row r="9594" spans="1:18" x14ac:dyDescent="0.2">
      <c r="A9594" t="s">
        <v>2233</v>
      </c>
      <c r="B9594" t="s">
        <v>1638</v>
      </c>
      <c r="C9594">
        <v>1</v>
      </c>
      <c r="D9594" s="1">
        <v>44299.865972222222</v>
      </c>
      <c r="E9594" t="s">
        <v>29850</v>
      </c>
      <c r="F9594" t="s">
        <v>7023</v>
      </c>
      <c r="G9594" t="s">
        <v>29851</v>
      </c>
      <c r="H9594" t="s">
        <v>2237</v>
      </c>
      <c r="I9594" t="s">
        <v>29</v>
      </c>
      <c r="J9594">
        <v>1</v>
      </c>
      <c r="K9594">
        <f>1-877-721-41</f>
        <v>-1638</v>
      </c>
      <c r="L9594" s="2" t="s">
        <v>29852</v>
      </c>
      <c r="M9594" t="s">
        <v>29853</v>
      </c>
      <c r="N9594" t="s">
        <v>278</v>
      </c>
      <c r="O9594" t="s">
        <v>28</v>
      </c>
      <c r="P9594" t="s">
        <v>292</v>
      </c>
      <c r="Q9594">
        <v>49</v>
      </c>
      <c r="R9594">
        <v>2.35222</v>
      </c>
    </row>
    <row r="9595" spans="1:18" x14ac:dyDescent="0.2">
      <c r="A9595" t="s">
        <v>663</v>
      </c>
      <c r="B9595" t="s">
        <v>3245</v>
      </c>
      <c r="C9595">
        <v>1</v>
      </c>
      <c r="D9595" s="1">
        <v>44299.892708333333</v>
      </c>
      <c r="E9595" t="s">
        <v>29854</v>
      </c>
      <c r="F9595" t="s">
        <v>666</v>
      </c>
      <c r="G9595" t="s">
        <v>29854</v>
      </c>
      <c r="H9595" t="s">
        <v>667</v>
      </c>
      <c r="I9595" t="s">
        <v>29</v>
      </c>
      <c r="J9595">
        <v>1</v>
      </c>
      <c r="K9595">
        <f>1-888-392-5398</f>
        <v>-6677</v>
      </c>
      <c r="L9595" t="s">
        <v>29855</v>
      </c>
      <c r="M9595" t="s">
        <v>29856</v>
      </c>
      <c r="N9595">
        <v>180</v>
      </c>
      <c r="O9595" t="s">
        <v>134</v>
      </c>
      <c r="P9595" t="s">
        <v>29</v>
      </c>
      <c r="Q9595">
        <v>41</v>
      </c>
      <c r="R9595">
        <v>-74.140299999999996</v>
      </c>
    </row>
    <row r="9596" spans="1:18" x14ac:dyDescent="0.2">
      <c r="A9596" t="s">
        <v>663</v>
      </c>
      <c r="B9596" t="s">
        <v>3245</v>
      </c>
      <c r="C9596">
        <v>1</v>
      </c>
      <c r="D9596" s="1">
        <v>44299.919270833336</v>
      </c>
      <c r="E9596" t="s">
        <v>29857</v>
      </c>
      <c r="F9596" t="s">
        <v>666</v>
      </c>
      <c r="G9596" t="s">
        <v>29857</v>
      </c>
      <c r="H9596" t="s">
        <v>667</v>
      </c>
      <c r="I9596" t="s">
        <v>29</v>
      </c>
      <c r="J9596">
        <v>1</v>
      </c>
      <c r="K9596">
        <f>1-800-897-646</f>
        <v>-2342</v>
      </c>
      <c r="L9596" t="s">
        <v>29858</v>
      </c>
      <c r="M9596" t="s">
        <v>29859</v>
      </c>
      <c r="N9596">
        <v>178</v>
      </c>
      <c r="O9596" t="s">
        <v>134</v>
      </c>
      <c r="P9596" t="s">
        <v>29</v>
      </c>
      <c r="Q9596">
        <v>41</v>
      </c>
      <c r="R9596">
        <v>-74.140299999999996</v>
      </c>
    </row>
    <row r="9597" spans="1:18" x14ac:dyDescent="0.2">
      <c r="A9597" t="s">
        <v>27081</v>
      </c>
      <c r="B9597" t="s">
        <v>1201</v>
      </c>
      <c r="C9597">
        <v>1</v>
      </c>
      <c r="D9597" s="1">
        <v>44350.401388888888</v>
      </c>
      <c r="E9597" t="s">
        <v>29860</v>
      </c>
      <c r="F9597" t="s">
        <v>1203</v>
      </c>
      <c r="G9597" t="s">
        <v>29861</v>
      </c>
      <c r="H9597" t="s">
        <v>1205</v>
      </c>
      <c r="I9597" t="s">
        <v>29</v>
      </c>
      <c r="J9597">
        <v>1</v>
      </c>
      <c r="K9597">
        <f>1-908-955-3589</f>
        <v>-5451</v>
      </c>
      <c r="L9597" t="s">
        <v>29862</v>
      </c>
      <c r="M9597" t="s">
        <v>29863</v>
      </c>
      <c r="N9597" t="s">
        <v>5354</v>
      </c>
      <c r="O9597" t="s">
        <v>134</v>
      </c>
      <c r="P9597" t="s">
        <v>29</v>
      </c>
      <c r="Q9597">
        <v>34</v>
      </c>
      <c r="R9597">
        <v>-99.999999000000003</v>
      </c>
    </row>
    <row r="9598" spans="1:18" x14ac:dyDescent="0.2">
      <c r="A9598" t="s">
        <v>27081</v>
      </c>
      <c r="B9598" t="s">
        <v>1201</v>
      </c>
      <c r="C9598">
        <v>1</v>
      </c>
      <c r="D9598" s="1">
        <v>44299.928541666668</v>
      </c>
      <c r="E9598" t="s">
        <v>29864</v>
      </c>
      <c r="F9598" t="s">
        <v>1203</v>
      </c>
      <c r="G9598" t="s">
        <v>29861</v>
      </c>
      <c r="H9598" t="s">
        <v>1205</v>
      </c>
      <c r="I9598" t="s">
        <v>29</v>
      </c>
      <c r="J9598">
        <v>1</v>
      </c>
      <c r="K9598">
        <f>1-908-955-3589</f>
        <v>-5451</v>
      </c>
      <c r="L9598" t="s">
        <v>29865</v>
      </c>
      <c r="M9598" t="s">
        <v>29866</v>
      </c>
      <c r="N9598" t="s">
        <v>5354</v>
      </c>
      <c r="O9598" t="s">
        <v>134</v>
      </c>
      <c r="P9598" t="s">
        <v>29</v>
      </c>
      <c r="Q9598">
        <v>34</v>
      </c>
      <c r="R9598">
        <v>-99.999999000000003</v>
      </c>
    </row>
    <row r="9599" spans="1:18" x14ac:dyDescent="0.2">
      <c r="A9599" t="s">
        <v>439</v>
      </c>
      <c r="B9599" t="s">
        <v>440</v>
      </c>
      <c r="C9599">
        <v>1</v>
      </c>
      <c r="D9599" s="1">
        <v>44299.95076388889</v>
      </c>
      <c r="E9599" t="s">
        <v>29867</v>
      </c>
      <c r="F9599" t="s">
        <v>442</v>
      </c>
      <c r="G9599" t="s">
        <v>29868</v>
      </c>
      <c r="H9599" t="s">
        <v>444</v>
      </c>
      <c r="I9599" t="s">
        <v>29</v>
      </c>
      <c r="J9599">
        <v>1</v>
      </c>
      <c r="K9599">
        <f>1-888-351-1480</f>
        <v>-2718</v>
      </c>
      <c r="L9599" t="s">
        <v>29869</v>
      </c>
      <c r="M9599" t="s">
        <v>29870</v>
      </c>
      <c r="N9599" t="s">
        <v>452</v>
      </c>
      <c r="O9599" t="s">
        <v>28</v>
      </c>
      <c r="P9599" t="s">
        <v>29</v>
      </c>
      <c r="Q9599">
        <v>39</v>
      </c>
      <c r="R9599">
        <v>-77.487399999999994</v>
      </c>
    </row>
    <row r="9600" spans="1:18" x14ac:dyDescent="0.2">
      <c r="A9600" t="s">
        <v>439</v>
      </c>
      <c r="B9600" t="s">
        <v>440</v>
      </c>
      <c r="C9600">
        <v>1</v>
      </c>
      <c r="D9600" s="1">
        <v>44299.949120370373</v>
      </c>
      <c r="E9600" t="s">
        <v>29867</v>
      </c>
      <c r="F9600" t="s">
        <v>442</v>
      </c>
      <c r="G9600" t="s">
        <v>29868</v>
      </c>
      <c r="H9600" t="s">
        <v>444</v>
      </c>
      <c r="I9600" t="s">
        <v>29</v>
      </c>
      <c r="J9600">
        <v>1</v>
      </c>
      <c r="K9600">
        <f>1-888-350-8938</f>
        <v>-10175</v>
      </c>
      <c r="L9600" t="s">
        <v>29871</v>
      </c>
      <c r="M9600" t="s">
        <v>29872</v>
      </c>
      <c r="N9600" t="s">
        <v>452</v>
      </c>
      <c r="O9600" t="s">
        <v>28</v>
      </c>
      <c r="P9600" t="s">
        <v>29</v>
      </c>
      <c r="Q9600">
        <v>39</v>
      </c>
      <c r="R9600">
        <v>-77.487399999999994</v>
      </c>
    </row>
    <row r="9601" spans="1:18" x14ac:dyDescent="0.2">
      <c r="A9601" t="s">
        <v>439</v>
      </c>
      <c r="B9601" t="s">
        <v>6226</v>
      </c>
      <c r="C9601">
        <v>1</v>
      </c>
      <c r="D9601" s="1">
        <v>44300.048414351855</v>
      </c>
      <c r="E9601" t="s">
        <v>29873</v>
      </c>
      <c r="F9601" t="s">
        <v>442</v>
      </c>
      <c r="G9601" t="s">
        <v>29874</v>
      </c>
      <c r="H9601" t="s">
        <v>444</v>
      </c>
      <c r="I9601" t="s">
        <v>29</v>
      </c>
      <c r="J9601">
        <v>1</v>
      </c>
      <c r="K9601">
        <f>1-888-534-513</f>
        <v>-1934</v>
      </c>
      <c r="L9601" t="s">
        <v>29875</v>
      </c>
      <c r="M9601" t="s">
        <v>29876</v>
      </c>
      <c r="N9601" t="s">
        <v>25195</v>
      </c>
      <c r="O9601" t="s">
        <v>28</v>
      </c>
      <c r="P9601" t="s">
        <v>29</v>
      </c>
      <c r="Q9601">
        <v>26</v>
      </c>
      <c r="R9601">
        <v>-80.191800000000001</v>
      </c>
    </row>
    <row r="9602" spans="1:18" x14ac:dyDescent="0.2">
      <c r="A9602" t="s">
        <v>675</v>
      </c>
      <c r="B9602" t="s">
        <v>676</v>
      </c>
      <c r="C9602">
        <v>81</v>
      </c>
      <c r="D9602" s="1">
        <v>44302.442708333336</v>
      </c>
      <c r="E9602" t="s">
        <v>29877</v>
      </c>
      <c r="F9602" t="s">
        <v>2987</v>
      </c>
      <c r="G9602" t="s">
        <v>29878</v>
      </c>
      <c r="H9602" t="s">
        <v>680</v>
      </c>
      <c r="I9602" t="s">
        <v>53</v>
      </c>
      <c r="J9602">
        <v>81</v>
      </c>
      <c r="K9602">
        <f>81-50-5809-3378</f>
        <v>-9156</v>
      </c>
      <c r="L9602" t="s">
        <v>29879</v>
      </c>
      <c r="M9602" t="s">
        <v>29880</v>
      </c>
      <c r="N9602" t="s">
        <v>2475</v>
      </c>
      <c r="O9602" t="s">
        <v>134</v>
      </c>
      <c r="P9602" t="s">
        <v>29</v>
      </c>
      <c r="Q9602">
        <v>33</v>
      </c>
      <c r="R9602">
        <v>-99.999999000000003</v>
      </c>
    </row>
    <row r="9603" spans="1:18" x14ac:dyDescent="0.2">
      <c r="A9603" t="s">
        <v>675</v>
      </c>
      <c r="B9603" t="s">
        <v>676</v>
      </c>
      <c r="C9603">
        <v>81</v>
      </c>
      <c r="D9603" s="1">
        <v>44300.356412037036</v>
      </c>
      <c r="E9603" t="s">
        <v>29881</v>
      </c>
      <c r="F9603" t="s">
        <v>2987</v>
      </c>
      <c r="G9603" t="s">
        <v>29878</v>
      </c>
      <c r="H9603" t="s">
        <v>680</v>
      </c>
      <c r="I9603" t="s">
        <v>53</v>
      </c>
      <c r="J9603">
        <v>81</v>
      </c>
      <c r="K9603">
        <f>81-50-5534-237</f>
        <v>-5740</v>
      </c>
      <c r="L9603" t="s">
        <v>29882</v>
      </c>
      <c r="M9603" t="s">
        <v>29883</v>
      </c>
      <c r="N9603" t="s">
        <v>2475</v>
      </c>
      <c r="O9603" t="s">
        <v>28</v>
      </c>
      <c r="P9603" t="s">
        <v>29</v>
      </c>
      <c r="Q9603">
        <v>33</v>
      </c>
      <c r="R9603">
        <v>-99.999999000000003</v>
      </c>
    </row>
    <row r="9604" spans="1:18" x14ac:dyDescent="0.2">
      <c r="A9604" t="s">
        <v>675</v>
      </c>
      <c r="B9604" t="s">
        <v>676</v>
      </c>
      <c r="C9604">
        <v>81</v>
      </c>
      <c r="D9604" s="1">
        <v>44300.349849537037</v>
      </c>
      <c r="E9604" t="s">
        <v>29884</v>
      </c>
      <c r="F9604" t="s">
        <v>2987</v>
      </c>
      <c r="G9604" t="s">
        <v>29878</v>
      </c>
      <c r="H9604" t="s">
        <v>680</v>
      </c>
      <c r="I9604" t="s">
        <v>53</v>
      </c>
      <c r="J9604">
        <v>81</v>
      </c>
      <c r="K9604">
        <f>81-50-5534-4315</f>
        <v>-9818</v>
      </c>
      <c r="L9604" t="s">
        <v>29885</v>
      </c>
      <c r="M9604" t="s">
        <v>29886</v>
      </c>
      <c r="N9604" t="s">
        <v>2475</v>
      </c>
      <c r="O9604" t="s">
        <v>28</v>
      </c>
      <c r="P9604" t="s">
        <v>29</v>
      </c>
      <c r="Q9604">
        <v>33</v>
      </c>
      <c r="R9604">
        <v>-99.999999000000003</v>
      </c>
    </row>
    <row r="9605" spans="1:18" x14ac:dyDescent="0.2">
      <c r="A9605" t="s">
        <v>675</v>
      </c>
      <c r="B9605" t="s">
        <v>676</v>
      </c>
      <c r="C9605">
        <v>81</v>
      </c>
      <c r="D9605" s="1">
        <v>44300.345590277779</v>
      </c>
      <c r="E9605" t="s">
        <v>29881</v>
      </c>
      <c r="F9605" t="s">
        <v>2987</v>
      </c>
      <c r="G9605" t="s">
        <v>29878</v>
      </c>
      <c r="H9605" t="s">
        <v>680</v>
      </c>
      <c r="I9605" t="s">
        <v>53</v>
      </c>
      <c r="J9605">
        <v>81</v>
      </c>
      <c r="K9605">
        <f>81-50-5532-7519</f>
        <v>-13020</v>
      </c>
      <c r="L9605" t="s">
        <v>29887</v>
      </c>
      <c r="M9605" t="s">
        <v>29888</v>
      </c>
      <c r="N9605" t="s">
        <v>2475</v>
      </c>
      <c r="O9605" t="s">
        <v>28</v>
      </c>
      <c r="P9605" t="s">
        <v>29</v>
      </c>
      <c r="Q9605">
        <v>33</v>
      </c>
      <c r="R9605">
        <v>-99.999999000000003</v>
      </c>
    </row>
    <row r="9606" spans="1:18" x14ac:dyDescent="0.2">
      <c r="A9606" t="s">
        <v>439</v>
      </c>
      <c r="B9606" t="s">
        <v>4321</v>
      </c>
      <c r="C9606">
        <v>81</v>
      </c>
      <c r="D9606" s="1">
        <v>44300.346851851849</v>
      </c>
      <c r="E9606" t="s">
        <v>29889</v>
      </c>
      <c r="F9606" t="s">
        <v>442</v>
      </c>
      <c r="G9606" t="s">
        <v>29890</v>
      </c>
      <c r="H9606" t="s">
        <v>444</v>
      </c>
      <c r="I9606" t="s">
        <v>53</v>
      </c>
      <c r="J9606">
        <v>81</v>
      </c>
      <c r="K9606">
        <f>81-50-5534-967</f>
        <v>-6470</v>
      </c>
      <c r="L9606" t="s">
        <v>29891</v>
      </c>
      <c r="M9606" t="s">
        <v>29892</v>
      </c>
      <c r="N9606" t="s">
        <v>447</v>
      </c>
      <c r="O9606" t="s">
        <v>134</v>
      </c>
      <c r="P9606" t="s">
        <v>29</v>
      </c>
      <c r="Q9606">
        <v>42</v>
      </c>
      <c r="R9606">
        <v>-87.629800000000003</v>
      </c>
    </row>
    <row r="9607" spans="1:18" x14ac:dyDescent="0.2">
      <c r="A9607" t="s">
        <v>439</v>
      </c>
      <c r="B9607" t="s">
        <v>6226</v>
      </c>
      <c r="C9607">
        <v>81</v>
      </c>
      <c r="D9607" s="1">
        <v>44300.348101851851</v>
      </c>
      <c r="E9607" t="s">
        <v>29893</v>
      </c>
      <c r="F9607" t="s">
        <v>442</v>
      </c>
      <c r="G9607" t="s">
        <v>29894</v>
      </c>
      <c r="H9607" t="s">
        <v>444</v>
      </c>
      <c r="I9607" t="s">
        <v>53</v>
      </c>
      <c r="J9607">
        <v>81</v>
      </c>
      <c r="K9607">
        <f>81-50-3176-1071</f>
        <v>-4216</v>
      </c>
      <c r="L9607" t="s">
        <v>29895</v>
      </c>
      <c r="M9607" t="s">
        <v>29896</v>
      </c>
      <c r="N9607" t="s">
        <v>213</v>
      </c>
      <c r="O9607" t="s">
        <v>134</v>
      </c>
      <c r="P9607" t="s">
        <v>29</v>
      </c>
      <c r="Q9607">
        <v>26</v>
      </c>
      <c r="R9607">
        <v>-80.191800000000001</v>
      </c>
    </row>
    <row r="9608" spans="1:18" x14ac:dyDescent="0.2">
      <c r="A9608" t="s">
        <v>2233</v>
      </c>
      <c r="B9608" t="s">
        <v>1638</v>
      </c>
      <c r="C9608">
        <v>1</v>
      </c>
      <c r="D9608" s="1">
        <v>44300.766168981485</v>
      </c>
      <c r="E9608" t="s">
        <v>29897</v>
      </c>
      <c r="F9608" t="s">
        <v>7023</v>
      </c>
      <c r="G9608" t="s">
        <v>29898</v>
      </c>
      <c r="H9608" t="s">
        <v>2237</v>
      </c>
      <c r="I9608" t="s">
        <v>29</v>
      </c>
      <c r="J9608">
        <v>1</v>
      </c>
      <c r="K9608">
        <f>1-888-291-195</f>
        <v>-1373</v>
      </c>
      <c r="L9608" t="s">
        <v>29899</v>
      </c>
      <c r="M9608" t="s">
        <v>29900</v>
      </c>
      <c r="N9608" t="s">
        <v>278</v>
      </c>
      <c r="O9608" t="s">
        <v>28</v>
      </c>
      <c r="P9608" t="s">
        <v>292</v>
      </c>
      <c r="Q9608">
        <v>49</v>
      </c>
      <c r="R9608">
        <v>2.35222</v>
      </c>
    </row>
    <row r="9609" spans="1:18" x14ac:dyDescent="0.2">
      <c r="A9609" t="s">
        <v>2233</v>
      </c>
      <c r="B9609" t="s">
        <v>1638</v>
      </c>
      <c r="C9609">
        <v>1</v>
      </c>
      <c r="D9609" s="1">
        <v>44300.765497685185</v>
      </c>
      <c r="E9609" t="s">
        <v>29897</v>
      </c>
      <c r="F9609" t="s">
        <v>7023</v>
      </c>
      <c r="G9609" t="s">
        <v>29898</v>
      </c>
      <c r="H9609" t="s">
        <v>2237</v>
      </c>
      <c r="I9609" t="s">
        <v>29</v>
      </c>
      <c r="J9609">
        <v>1</v>
      </c>
      <c r="K9609">
        <f>1-877-801-654</f>
        <v>-2331</v>
      </c>
      <c r="L9609" t="s">
        <v>29901</v>
      </c>
      <c r="M9609" t="s">
        <v>29902</v>
      </c>
      <c r="N9609" t="s">
        <v>278</v>
      </c>
      <c r="O9609" t="s">
        <v>28</v>
      </c>
      <c r="P9609" t="s">
        <v>292</v>
      </c>
      <c r="Q9609">
        <v>49</v>
      </c>
      <c r="R9609">
        <v>2.35222</v>
      </c>
    </row>
    <row r="9610" spans="1:18" x14ac:dyDescent="0.2">
      <c r="A9610" t="s">
        <v>663</v>
      </c>
      <c r="B9610" t="s">
        <v>5784</v>
      </c>
      <c r="C9610">
        <v>1</v>
      </c>
      <c r="D9610" s="1">
        <v>44300.765659722223</v>
      </c>
      <c r="E9610" t="s">
        <v>29903</v>
      </c>
      <c r="F9610" t="s">
        <v>666</v>
      </c>
      <c r="G9610" t="s">
        <v>29904</v>
      </c>
      <c r="H9610" t="s">
        <v>667</v>
      </c>
      <c r="I9610" t="s">
        <v>29</v>
      </c>
      <c r="J9610">
        <v>1</v>
      </c>
      <c r="K9610">
        <f>1-888-803-798</f>
        <v>-2488</v>
      </c>
      <c r="L9610" t="s">
        <v>29905</v>
      </c>
      <c r="M9610" t="s">
        <v>29906</v>
      </c>
      <c r="N9610" t="s">
        <v>25263</v>
      </c>
      <c r="O9610" t="s">
        <v>28</v>
      </c>
      <c r="P9610" t="s">
        <v>5789</v>
      </c>
      <c r="Q9610">
        <v>13</v>
      </c>
      <c r="R9610">
        <v>77.585499999999996</v>
      </c>
    </row>
    <row r="9611" spans="1:18" x14ac:dyDescent="0.2">
      <c r="A9611" t="s">
        <v>663</v>
      </c>
      <c r="B9611" t="s">
        <v>3245</v>
      </c>
      <c r="C9611">
        <v>1</v>
      </c>
      <c r="D9611" s="1">
        <v>44301.012118055558</v>
      </c>
      <c r="E9611" t="s">
        <v>29907</v>
      </c>
      <c r="F9611" t="s">
        <v>666</v>
      </c>
      <c r="G9611" t="s">
        <v>29908</v>
      </c>
      <c r="H9611" t="s">
        <v>667</v>
      </c>
      <c r="I9611" t="s">
        <v>29</v>
      </c>
      <c r="J9611">
        <v>1</v>
      </c>
      <c r="K9611">
        <f>1-844-276-4002</f>
        <v>-5121</v>
      </c>
      <c r="L9611" t="s">
        <v>29909</v>
      </c>
      <c r="M9611" t="s">
        <v>29910</v>
      </c>
      <c r="N9611" t="s">
        <v>3454</v>
      </c>
      <c r="O9611" t="s">
        <v>134</v>
      </c>
      <c r="P9611" t="s">
        <v>29</v>
      </c>
      <c r="Q9611">
        <v>41</v>
      </c>
      <c r="R9611">
        <v>-74.140299999999996</v>
      </c>
    </row>
    <row r="9612" spans="1:18" x14ac:dyDescent="0.2">
      <c r="A9612" t="s">
        <v>663</v>
      </c>
      <c r="B9612" t="s">
        <v>3245</v>
      </c>
      <c r="C9612">
        <v>1</v>
      </c>
      <c r="D9612" s="1">
        <v>44301.01121527778</v>
      </c>
      <c r="E9612" t="s">
        <v>29911</v>
      </c>
      <c r="F9612" t="s">
        <v>666</v>
      </c>
      <c r="G9612" t="s">
        <v>29908</v>
      </c>
      <c r="H9612" t="s">
        <v>667</v>
      </c>
      <c r="I9612" t="s">
        <v>29</v>
      </c>
      <c r="J9612">
        <v>1</v>
      </c>
      <c r="K9612">
        <f>1-844-293-3682</f>
        <v>-4818</v>
      </c>
      <c r="L9612" t="s">
        <v>29912</v>
      </c>
      <c r="M9612" t="s">
        <v>29913</v>
      </c>
      <c r="N9612" t="s">
        <v>447</v>
      </c>
      <c r="O9612" t="s">
        <v>134</v>
      </c>
      <c r="P9612" t="s">
        <v>29</v>
      </c>
      <c r="Q9612">
        <v>41</v>
      </c>
      <c r="R9612">
        <v>-74.140299999999996</v>
      </c>
    </row>
    <row r="9613" spans="1:18" x14ac:dyDescent="0.2">
      <c r="A9613" t="s">
        <v>663</v>
      </c>
      <c r="B9613" t="s">
        <v>2500</v>
      </c>
      <c r="C9613">
        <v>1</v>
      </c>
      <c r="D9613" s="1">
        <v>44301.13590277778</v>
      </c>
      <c r="E9613" t="s">
        <v>29914</v>
      </c>
      <c r="F9613" t="s">
        <v>666</v>
      </c>
      <c r="G9613" t="s">
        <v>29914</v>
      </c>
      <c r="H9613" t="s">
        <v>667</v>
      </c>
      <c r="I9613" t="s">
        <v>29</v>
      </c>
      <c r="J9613">
        <v>1</v>
      </c>
      <c r="K9613">
        <f>1-888-334-1267</f>
        <v>-2488</v>
      </c>
      <c r="L9613" t="s">
        <v>29915</v>
      </c>
      <c r="M9613" t="s">
        <v>29916</v>
      </c>
      <c r="N9613">
        <v>102</v>
      </c>
      <c r="O9613" t="s">
        <v>134</v>
      </c>
      <c r="P9613" t="s">
        <v>2500</v>
      </c>
      <c r="Q9613">
        <v>1</v>
      </c>
      <c r="R9613">
        <v>99.999999000000003</v>
      </c>
    </row>
    <row r="9614" spans="1:18" x14ac:dyDescent="0.2">
      <c r="A9614" t="s">
        <v>439</v>
      </c>
      <c r="B9614" t="s">
        <v>4321</v>
      </c>
      <c r="C9614">
        <v>1</v>
      </c>
      <c r="D9614" s="1">
        <v>44300.875590277778</v>
      </c>
      <c r="E9614" t="s">
        <v>29917</v>
      </c>
      <c r="F9614" t="s">
        <v>442</v>
      </c>
      <c r="G9614" t="s">
        <v>29918</v>
      </c>
      <c r="H9614" t="s">
        <v>444</v>
      </c>
      <c r="I9614" t="s">
        <v>29</v>
      </c>
      <c r="J9614">
        <v>1</v>
      </c>
      <c r="K9614">
        <f>1-844-303-4404</f>
        <v>-5550</v>
      </c>
      <c r="L9614" t="s">
        <v>29919</v>
      </c>
      <c r="M9614" t="s">
        <v>29920</v>
      </c>
      <c r="N9614" t="s">
        <v>447</v>
      </c>
      <c r="O9614" t="s">
        <v>28</v>
      </c>
      <c r="P9614" t="s">
        <v>29</v>
      </c>
      <c r="Q9614">
        <v>42</v>
      </c>
      <c r="R9614">
        <v>-87.629800000000003</v>
      </c>
    </row>
    <row r="9615" spans="1:18" x14ac:dyDescent="0.2">
      <c r="A9615" t="s">
        <v>439</v>
      </c>
      <c r="B9615" t="s">
        <v>440</v>
      </c>
      <c r="C9615">
        <v>1</v>
      </c>
      <c r="D9615" s="1">
        <v>44301.699016203704</v>
      </c>
      <c r="E9615" t="s">
        <v>29921</v>
      </c>
      <c r="F9615" t="s">
        <v>442</v>
      </c>
      <c r="G9615" t="s">
        <v>29922</v>
      </c>
      <c r="H9615" t="s">
        <v>444</v>
      </c>
      <c r="I9615" t="s">
        <v>29</v>
      </c>
      <c r="J9615">
        <v>1</v>
      </c>
      <c r="K9615">
        <f>1-888-597-2704</f>
        <v>-4188</v>
      </c>
      <c r="L9615" t="s">
        <v>29923</v>
      </c>
      <c r="M9615" t="s">
        <v>29924</v>
      </c>
      <c r="N9615" t="s">
        <v>213</v>
      </c>
      <c r="O9615" t="s">
        <v>28</v>
      </c>
      <c r="P9615" t="s">
        <v>29</v>
      </c>
      <c r="Q9615">
        <v>39</v>
      </c>
      <c r="R9615">
        <v>-77.487399999999994</v>
      </c>
    </row>
    <row r="9616" spans="1:18" x14ac:dyDescent="0.2">
      <c r="A9616" t="s">
        <v>439</v>
      </c>
      <c r="B9616" t="s">
        <v>4321</v>
      </c>
      <c r="C9616">
        <v>1</v>
      </c>
      <c r="D9616" s="1">
        <v>44300.924201388887</v>
      </c>
      <c r="E9616" t="s">
        <v>29925</v>
      </c>
      <c r="F9616" t="s">
        <v>442</v>
      </c>
      <c r="G9616" t="s">
        <v>29926</v>
      </c>
      <c r="H9616" t="s">
        <v>444</v>
      </c>
      <c r="I9616" t="s">
        <v>29</v>
      </c>
      <c r="J9616">
        <v>1</v>
      </c>
      <c r="K9616">
        <f>1-888-491-165</f>
        <v>-1543</v>
      </c>
      <c r="L9616" t="s">
        <v>29927</v>
      </c>
      <c r="M9616" t="s">
        <v>29928</v>
      </c>
      <c r="N9616" t="s">
        <v>447</v>
      </c>
      <c r="O9616" t="s">
        <v>28</v>
      </c>
      <c r="P9616" t="s">
        <v>29</v>
      </c>
      <c r="Q9616">
        <v>42</v>
      </c>
      <c r="R9616">
        <v>-87.629800000000003</v>
      </c>
    </row>
    <row r="9617" spans="1:18" x14ac:dyDescent="0.2">
      <c r="A9617" t="s">
        <v>439</v>
      </c>
      <c r="B9617" t="s">
        <v>440</v>
      </c>
      <c r="C9617">
        <v>1</v>
      </c>
      <c r="D9617" s="1">
        <v>44300.938275462962</v>
      </c>
      <c r="E9617" t="s">
        <v>29929</v>
      </c>
      <c r="F9617" t="s">
        <v>442</v>
      </c>
      <c r="G9617" t="s">
        <v>29930</v>
      </c>
      <c r="H9617" t="s">
        <v>444</v>
      </c>
      <c r="I9617" t="s">
        <v>29</v>
      </c>
      <c r="J9617">
        <v>1</v>
      </c>
      <c r="K9617">
        <f>1-833-220-3936</f>
        <v>-4988</v>
      </c>
      <c r="L9617" t="s">
        <v>29931</v>
      </c>
      <c r="M9617" t="s">
        <v>29932</v>
      </c>
      <c r="N9617" t="s">
        <v>447</v>
      </c>
      <c r="O9617" t="s">
        <v>28</v>
      </c>
      <c r="P9617" t="s">
        <v>29</v>
      </c>
      <c r="Q9617">
        <v>39</v>
      </c>
      <c r="R9617">
        <v>-77.487399999999994</v>
      </c>
    </row>
    <row r="9618" spans="1:18" x14ac:dyDescent="0.2">
      <c r="A9618" t="s">
        <v>663</v>
      </c>
      <c r="B9618" t="s">
        <v>3245</v>
      </c>
      <c r="C9618">
        <v>1</v>
      </c>
      <c r="D9618" s="1">
        <v>44302.444456018522</v>
      </c>
      <c r="E9618" t="s">
        <v>29933</v>
      </c>
      <c r="F9618" t="s">
        <v>666</v>
      </c>
      <c r="G9618" t="s">
        <v>29934</v>
      </c>
      <c r="H9618" t="s">
        <v>667</v>
      </c>
      <c r="I9618" t="s">
        <v>29</v>
      </c>
      <c r="J9618">
        <v>1</v>
      </c>
      <c r="K9618">
        <f>1-844-858-437</f>
        <v>-2138</v>
      </c>
      <c r="L9618" t="s">
        <v>29935</v>
      </c>
      <c r="M9618" t="s">
        <v>29936</v>
      </c>
      <c r="N9618" t="s">
        <v>213</v>
      </c>
      <c r="O9618" t="s">
        <v>134</v>
      </c>
      <c r="P9618" t="s">
        <v>29</v>
      </c>
      <c r="Q9618">
        <v>41</v>
      </c>
      <c r="R9618">
        <v>-74.140299999999996</v>
      </c>
    </row>
    <row r="9619" spans="1:18" x14ac:dyDescent="0.2">
      <c r="A9619" t="s">
        <v>663</v>
      </c>
      <c r="B9619" t="s">
        <v>3245</v>
      </c>
      <c r="C9619">
        <v>1</v>
      </c>
      <c r="D9619" s="1">
        <v>44301.772106481483</v>
      </c>
      <c r="E9619" t="s">
        <v>29937</v>
      </c>
      <c r="F9619" t="s">
        <v>666</v>
      </c>
      <c r="G9619" t="s">
        <v>29934</v>
      </c>
      <c r="H9619" t="s">
        <v>667</v>
      </c>
      <c r="I9619" t="s">
        <v>29</v>
      </c>
      <c r="J9619">
        <v>1</v>
      </c>
      <c r="K9619">
        <f>1-844-858-437</f>
        <v>-2138</v>
      </c>
      <c r="L9619" t="s">
        <v>29938</v>
      </c>
      <c r="M9619" t="s">
        <v>29939</v>
      </c>
      <c r="N9619" t="s">
        <v>674</v>
      </c>
      <c r="O9619" t="s">
        <v>28</v>
      </c>
      <c r="P9619" t="s">
        <v>29</v>
      </c>
      <c r="Q9619">
        <v>41</v>
      </c>
      <c r="R9619">
        <v>-74.140299999999996</v>
      </c>
    </row>
    <row r="9620" spans="1:18" x14ac:dyDescent="0.2">
      <c r="A9620" t="s">
        <v>663</v>
      </c>
      <c r="B9620" t="s">
        <v>3245</v>
      </c>
      <c r="C9620">
        <v>1</v>
      </c>
      <c r="D9620" s="1">
        <v>44301.776886574073</v>
      </c>
      <c r="E9620" t="s">
        <v>29940</v>
      </c>
      <c r="F9620" t="s">
        <v>666</v>
      </c>
      <c r="G9620" t="s">
        <v>29934</v>
      </c>
      <c r="H9620" t="s">
        <v>667</v>
      </c>
      <c r="I9620" t="s">
        <v>29</v>
      </c>
      <c r="J9620">
        <v>1</v>
      </c>
      <c r="K9620">
        <f>1-844-858-437</f>
        <v>-2138</v>
      </c>
      <c r="L9620" t="s">
        <v>29941</v>
      </c>
      <c r="M9620" t="s">
        <v>29942</v>
      </c>
      <c r="N9620" t="s">
        <v>447</v>
      </c>
      <c r="O9620" t="s">
        <v>28</v>
      </c>
      <c r="P9620" t="s">
        <v>29</v>
      </c>
      <c r="Q9620">
        <v>41</v>
      </c>
      <c r="R9620">
        <v>-74.140299999999996</v>
      </c>
    </row>
    <row r="9621" spans="1:18" x14ac:dyDescent="0.2">
      <c r="A9621" t="s">
        <v>439</v>
      </c>
      <c r="B9621" t="s">
        <v>4321</v>
      </c>
      <c r="C9621">
        <v>1</v>
      </c>
      <c r="D9621" s="1">
        <v>44301.774363425924</v>
      </c>
      <c r="E9621" t="s">
        <v>29943</v>
      </c>
      <c r="F9621" t="s">
        <v>442</v>
      </c>
      <c r="G9621" t="s">
        <v>29944</v>
      </c>
      <c r="H9621" t="s">
        <v>444</v>
      </c>
      <c r="I9621" t="s">
        <v>29</v>
      </c>
      <c r="J9621">
        <v>1</v>
      </c>
      <c r="K9621">
        <f>1-888-346-845</f>
        <v>-2078</v>
      </c>
      <c r="L9621" t="s">
        <v>29945</v>
      </c>
      <c r="M9621" t="s">
        <v>29946</v>
      </c>
      <c r="N9621" t="s">
        <v>452</v>
      </c>
      <c r="O9621" t="s">
        <v>28</v>
      </c>
      <c r="P9621" t="s">
        <v>29</v>
      </c>
      <c r="Q9621">
        <v>42</v>
      </c>
      <c r="R9621">
        <v>-87.629800000000003</v>
      </c>
    </row>
    <row r="9622" spans="1:18" x14ac:dyDescent="0.2">
      <c r="A9622" t="s">
        <v>663</v>
      </c>
      <c r="B9622" t="s">
        <v>5784</v>
      </c>
      <c r="C9622">
        <v>1</v>
      </c>
      <c r="D9622" s="1">
        <v>44301.769270833334</v>
      </c>
      <c r="E9622" t="s">
        <v>29947</v>
      </c>
      <c r="F9622" t="s">
        <v>666</v>
      </c>
      <c r="G9622" t="s">
        <v>29948</v>
      </c>
      <c r="H9622" t="s">
        <v>667</v>
      </c>
      <c r="I9622" t="s">
        <v>29</v>
      </c>
      <c r="J9622">
        <v>1</v>
      </c>
      <c r="K9622">
        <f>1-844-854-4603</f>
        <v>-6300</v>
      </c>
      <c r="L9622" t="s">
        <v>29949</v>
      </c>
      <c r="M9622" t="s">
        <v>29950</v>
      </c>
      <c r="N9622" t="s">
        <v>25263</v>
      </c>
      <c r="O9622" t="s">
        <v>28</v>
      </c>
      <c r="P9622" t="s">
        <v>5789</v>
      </c>
      <c r="Q9622">
        <v>13</v>
      </c>
      <c r="R9622">
        <v>77.585499999999996</v>
      </c>
    </row>
    <row r="9623" spans="1:18" x14ac:dyDescent="0.2">
      <c r="A9623" t="s">
        <v>663</v>
      </c>
      <c r="B9623" t="s">
        <v>3245</v>
      </c>
      <c r="C9623">
        <v>1</v>
      </c>
      <c r="D9623" s="1">
        <v>44301.7815162037</v>
      </c>
      <c r="E9623" t="s">
        <v>29951</v>
      </c>
      <c r="F9623" t="s">
        <v>666</v>
      </c>
      <c r="G9623" t="s">
        <v>29951</v>
      </c>
      <c r="H9623" t="s">
        <v>667</v>
      </c>
      <c r="I9623" t="s">
        <v>29</v>
      </c>
      <c r="J9623">
        <v>1</v>
      </c>
      <c r="K9623">
        <f>1-844-470-7582</f>
        <v>-8895</v>
      </c>
      <c r="L9623" t="s">
        <v>29952</v>
      </c>
      <c r="M9623" t="s">
        <v>29953</v>
      </c>
      <c r="N9623">
        <v>219</v>
      </c>
      <c r="O9623" t="s">
        <v>134</v>
      </c>
      <c r="P9623" t="s">
        <v>29</v>
      </c>
      <c r="Q9623">
        <v>41</v>
      </c>
      <c r="R9623">
        <v>-74.140299999999996</v>
      </c>
    </row>
    <row r="9624" spans="1:18" x14ac:dyDescent="0.2">
      <c r="A9624" t="s">
        <v>439</v>
      </c>
      <c r="B9624" t="s">
        <v>4321</v>
      </c>
      <c r="C9624">
        <v>1</v>
      </c>
      <c r="D9624" s="1">
        <v>44301.796724537038</v>
      </c>
      <c r="E9624" t="s">
        <v>29954</v>
      </c>
      <c r="F9624" t="s">
        <v>442</v>
      </c>
      <c r="G9624" t="s">
        <v>29955</v>
      </c>
      <c r="H9624" t="s">
        <v>444</v>
      </c>
      <c r="I9624" t="s">
        <v>29</v>
      </c>
      <c r="J9624">
        <v>1</v>
      </c>
      <c r="K9624">
        <f>1-888-332-9102</f>
        <v>-10321</v>
      </c>
      <c r="L9624" t="s">
        <v>29956</v>
      </c>
      <c r="M9624" t="s">
        <v>29957</v>
      </c>
      <c r="N9624" t="s">
        <v>213</v>
      </c>
      <c r="O9624" t="s">
        <v>28</v>
      </c>
      <c r="P9624" t="s">
        <v>29</v>
      </c>
      <c r="Q9624">
        <v>42</v>
      </c>
      <c r="R9624">
        <v>-87.629800000000003</v>
      </c>
    </row>
    <row r="9625" spans="1:18" x14ac:dyDescent="0.2">
      <c r="A9625" t="s">
        <v>439</v>
      </c>
      <c r="B9625" t="s">
        <v>4321</v>
      </c>
      <c r="C9625">
        <v>1</v>
      </c>
      <c r="D9625" s="1">
        <v>44301.799201388887</v>
      </c>
      <c r="E9625" t="s">
        <v>29958</v>
      </c>
      <c r="F9625" t="s">
        <v>442</v>
      </c>
      <c r="G9625" t="s">
        <v>29959</v>
      </c>
      <c r="H9625" t="s">
        <v>444</v>
      </c>
      <c r="I9625" t="s">
        <v>29</v>
      </c>
      <c r="J9625">
        <v>1</v>
      </c>
      <c r="K9625">
        <f>1-888-531-2338</f>
        <v>-3756</v>
      </c>
      <c r="L9625" t="s">
        <v>29960</v>
      </c>
      <c r="M9625" t="s">
        <v>29961</v>
      </c>
      <c r="N9625" t="s">
        <v>25195</v>
      </c>
      <c r="O9625" t="s">
        <v>28</v>
      </c>
      <c r="P9625" t="s">
        <v>29</v>
      </c>
      <c r="Q9625">
        <v>42</v>
      </c>
      <c r="R9625">
        <v>-87.629800000000003</v>
      </c>
    </row>
    <row r="9626" spans="1:18" x14ac:dyDescent="0.2">
      <c r="A9626" t="s">
        <v>663</v>
      </c>
      <c r="B9626" t="s">
        <v>3245</v>
      </c>
      <c r="C9626">
        <v>1</v>
      </c>
      <c r="D9626" s="1">
        <v>44301.802187499998</v>
      </c>
      <c r="E9626" t="s">
        <v>29962</v>
      </c>
      <c r="F9626" t="s">
        <v>666</v>
      </c>
      <c r="G9626" t="s">
        <v>29962</v>
      </c>
      <c r="H9626" t="s">
        <v>667</v>
      </c>
      <c r="I9626" t="s">
        <v>29</v>
      </c>
      <c r="J9626">
        <v>1</v>
      </c>
      <c r="K9626">
        <f>1-217-689-410</f>
        <v>-1315</v>
      </c>
      <c r="L9626" t="s">
        <v>29963</v>
      </c>
      <c r="M9626" t="s">
        <v>29964</v>
      </c>
      <c r="N9626">
        <v>70</v>
      </c>
      <c r="O9626" t="s">
        <v>134</v>
      </c>
      <c r="P9626" t="s">
        <v>29</v>
      </c>
      <c r="Q9626">
        <v>41</v>
      </c>
      <c r="R9626">
        <v>-74.140299999999996</v>
      </c>
    </row>
    <row r="9627" spans="1:18" x14ac:dyDescent="0.2">
      <c r="A9627" t="s">
        <v>663</v>
      </c>
      <c r="B9627" t="s">
        <v>2500</v>
      </c>
      <c r="C9627">
        <v>1</v>
      </c>
      <c r="D9627" s="1">
        <v>44301.810694444444</v>
      </c>
      <c r="E9627" t="s">
        <v>29965</v>
      </c>
      <c r="F9627" t="s">
        <v>23451</v>
      </c>
      <c r="G9627" t="s">
        <v>29965</v>
      </c>
      <c r="H9627" t="s">
        <v>667</v>
      </c>
      <c r="I9627" t="s">
        <v>29</v>
      </c>
      <c r="J9627">
        <v>1</v>
      </c>
      <c r="K9627">
        <f>1-888-617-2215</f>
        <v>-3719</v>
      </c>
      <c r="L9627" s="2">
        <v>6.0787778000000002E+166</v>
      </c>
      <c r="M9627" t="s">
        <v>29966</v>
      </c>
      <c r="N9627">
        <v>212</v>
      </c>
      <c r="O9627" t="s">
        <v>134</v>
      </c>
      <c r="P9627" t="s">
        <v>2500</v>
      </c>
      <c r="Q9627">
        <v>1</v>
      </c>
      <c r="R9627">
        <v>99.999999000000003</v>
      </c>
    </row>
    <row r="9628" spans="1:18" x14ac:dyDescent="0.2">
      <c r="A9628" t="s">
        <v>663</v>
      </c>
      <c r="B9628" t="s">
        <v>2500</v>
      </c>
      <c r="C9628">
        <v>1</v>
      </c>
      <c r="D9628" s="1">
        <v>44301.810671296298</v>
      </c>
      <c r="E9628" t="s">
        <v>29965</v>
      </c>
      <c r="F9628" t="s">
        <v>23451</v>
      </c>
      <c r="G9628" t="s">
        <v>29965</v>
      </c>
      <c r="H9628" t="s">
        <v>667</v>
      </c>
      <c r="I9628" t="s">
        <v>29</v>
      </c>
      <c r="J9628">
        <v>1</v>
      </c>
      <c r="K9628">
        <f>1-888-543-1237</f>
        <v>-2667</v>
      </c>
      <c r="L9628" t="s">
        <v>29967</v>
      </c>
      <c r="M9628" t="s">
        <v>29966</v>
      </c>
      <c r="N9628">
        <v>212</v>
      </c>
      <c r="O9628" t="s">
        <v>134</v>
      </c>
      <c r="P9628" t="s">
        <v>2500</v>
      </c>
      <c r="Q9628">
        <v>1</v>
      </c>
      <c r="R9628">
        <v>99.999999000000003</v>
      </c>
    </row>
    <row r="9629" spans="1:18" x14ac:dyDescent="0.2">
      <c r="A9629" t="s">
        <v>663</v>
      </c>
      <c r="B9629" t="s">
        <v>2500</v>
      </c>
      <c r="C9629">
        <v>1</v>
      </c>
      <c r="D9629" s="1">
        <v>44301.808553240742</v>
      </c>
      <c r="E9629" t="s">
        <v>29965</v>
      </c>
      <c r="F9629" t="s">
        <v>23451</v>
      </c>
      <c r="G9629" t="s">
        <v>29965</v>
      </c>
      <c r="H9629" t="s">
        <v>667</v>
      </c>
      <c r="I9629" t="s">
        <v>29</v>
      </c>
      <c r="J9629">
        <v>1</v>
      </c>
      <c r="K9629">
        <f>1-844-319-2064</f>
        <v>-3226</v>
      </c>
      <c r="L9629" t="s">
        <v>29968</v>
      </c>
      <c r="M9629" t="s">
        <v>29969</v>
      </c>
      <c r="N9629">
        <v>212</v>
      </c>
      <c r="O9629" t="s">
        <v>134</v>
      </c>
      <c r="P9629" t="s">
        <v>2500</v>
      </c>
      <c r="Q9629">
        <v>1</v>
      </c>
      <c r="R9629">
        <v>99.999999000000003</v>
      </c>
    </row>
    <row r="9630" spans="1:18" x14ac:dyDescent="0.2">
      <c r="A9630" t="s">
        <v>663</v>
      </c>
      <c r="B9630" t="s">
        <v>2500</v>
      </c>
      <c r="C9630">
        <v>1</v>
      </c>
      <c r="D9630" s="1">
        <v>44301.806631944448</v>
      </c>
      <c r="E9630" t="s">
        <v>29965</v>
      </c>
      <c r="F9630" t="s">
        <v>23451</v>
      </c>
      <c r="G9630" t="s">
        <v>29965</v>
      </c>
      <c r="H9630" t="s">
        <v>667</v>
      </c>
      <c r="I9630" t="s">
        <v>29</v>
      </c>
      <c r="J9630">
        <v>1</v>
      </c>
      <c r="K9630">
        <f>1-888-339-4838</f>
        <v>-6064</v>
      </c>
      <c r="L9630" t="s">
        <v>29970</v>
      </c>
      <c r="M9630" t="s">
        <v>29971</v>
      </c>
      <c r="N9630">
        <v>212</v>
      </c>
      <c r="O9630" t="s">
        <v>134</v>
      </c>
      <c r="P9630" t="s">
        <v>2500</v>
      </c>
      <c r="Q9630">
        <v>1</v>
      </c>
      <c r="R9630">
        <v>99.999999000000003</v>
      </c>
    </row>
    <row r="9631" spans="1:18" x14ac:dyDescent="0.2">
      <c r="A9631" t="s">
        <v>663</v>
      </c>
      <c r="B9631" t="s">
        <v>2500</v>
      </c>
      <c r="C9631">
        <v>1</v>
      </c>
      <c r="D9631" s="1">
        <v>44301.804814814815</v>
      </c>
      <c r="E9631" t="s">
        <v>29965</v>
      </c>
      <c r="F9631" t="s">
        <v>23451</v>
      </c>
      <c r="G9631" t="s">
        <v>29965</v>
      </c>
      <c r="H9631" t="s">
        <v>667</v>
      </c>
      <c r="I9631" t="s">
        <v>29</v>
      </c>
      <c r="J9631">
        <v>1</v>
      </c>
      <c r="K9631">
        <f>1-888-272-2168</f>
        <v>-3327</v>
      </c>
      <c r="L9631" t="s">
        <v>29972</v>
      </c>
      <c r="M9631" t="s">
        <v>29973</v>
      </c>
      <c r="N9631">
        <v>212</v>
      </c>
      <c r="O9631" t="s">
        <v>134</v>
      </c>
      <c r="P9631" t="s">
        <v>2500</v>
      </c>
      <c r="Q9631">
        <v>1</v>
      </c>
      <c r="R9631">
        <v>99.999999000000003</v>
      </c>
    </row>
    <row r="9632" spans="1:18" x14ac:dyDescent="0.2">
      <c r="A9632" t="s">
        <v>439</v>
      </c>
      <c r="B9632" t="s">
        <v>4321</v>
      </c>
      <c r="C9632">
        <v>1</v>
      </c>
      <c r="D9632" s="1">
        <v>44301.810347222221</v>
      </c>
      <c r="E9632" t="s">
        <v>29974</v>
      </c>
      <c r="F9632" t="s">
        <v>442</v>
      </c>
      <c r="G9632" t="s">
        <v>29975</v>
      </c>
      <c r="H9632" t="s">
        <v>444</v>
      </c>
      <c r="I9632" t="s">
        <v>29</v>
      </c>
      <c r="J9632">
        <v>1</v>
      </c>
      <c r="K9632">
        <f>1-888-348-7879</f>
        <v>-9114</v>
      </c>
      <c r="L9632" t="s">
        <v>29976</v>
      </c>
      <c r="M9632" t="s">
        <v>29977</v>
      </c>
      <c r="N9632" t="s">
        <v>447</v>
      </c>
      <c r="O9632" t="s">
        <v>28</v>
      </c>
      <c r="P9632" t="s">
        <v>29</v>
      </c>
      <c r="Q9632">
        <v>42</v>
      </c>
      <c r="R9632">
        <v>-87.629800000000003</v>
      </c>
    </row>
    <row r="9633" spans="1:18" x14ac:dyDescent="0.2">
      <c r="A9633" t="s">
        <v>2233</v>
      </c>
      <c r="B9633" t="s">
        <v>2234</v>
      </c>
      <c r="C9633">
        <v>1</v>
      </c>
      <c r="D9633" s="1">
        <v>44301.823796296296</v>
      </c>
      <c r="E9633" t="s">
        <v>29978</v>
      </c>
      <c r="F9633" t="s">
        <v>2236</v>
      </c>
      <c r="G9633" t="s">
        <v>29979</v>
      </c>
      <c r="H9633" t="s">
        <v>2237</v>
      </c>
      <c r="I9633" t="s">
        <v>29</v>
      </c>
      <c r="J9633">
        <v>1</v>
      </c>
      <c r="K9633">
        <f>1-866-549-1061</f>
        <v>-2475</v>
      </c>
      <c r="L9633" t="s">
        <v>29980</v>
      </c>
      <c r="M9633" t="s">
        <v>29981</v>
      </c>
      <c r="N9633" t="s">
        <v>5354</v>
      </c>
      <c r="O9633" t="s">
        <v>28</v>
      </c>
      <c r="P9633" t="s">
        <v>29</v>
      </c>
      <c r="Q9633">
        <v>40</v>
      </c>
      <c r="R9633">
        <v>-83.114099999999993</v>
      </c>
    </row>
    <row r="9634" spans="1:18" x14ac:dyDescent="0.2">
      <c r="A9634" t="s">
        <v>439</v>
      </c>
      <c r="B9634" t="s">
        <v>4321</v>
      </c>
      <c r="C9634">
        <v>1</v>
      </c>
      <c r="D9634" s="1">
        <v>44301.824224537035</v>
      </c>
      <c r="E9634" t="s">
        <v>29982</v>
      </c>
      <c r="F9634" t="s">
        <v>442</v>
      </c>
      <c r="G9634" t="s">
        <v>29983</v>
      </c>
      <c r="H9634" t="s">
        <v>444</v>
      </c>
      <c r="I9634" t="s">
        <v>29</v>
      </c>
      <c r="J9634">
        <v>1</v>
      </c>
      <c r="K9634">
        <f>1-888-398-3817</f>
        <v>-5102</v>
      </c>
      <c r="L9634" t="s">
        <v>29984</v>
      </c>
      <c r="M9634" t="s">
        <v>29985</v>
      </c>
      <c r="N9634" t="s">
        <v>213</v>
      </c>
      <c r="O9634" t="s">
        <v>28</v>
      </c>
      <c r="P9634" t="s">
        <v>29</v>
      </c>
      <c r="Q9634">
        <v>42</v>
      </c>
      <c r="R9634">
        <v>-87.629800000000003</v>
      </c>
    </row>
    <row r="9635" spans="1:18" x14ac:dyDescent="0.2">
      <c r="A9635" t="s">
        <v>663</v>
      </c>
      <c r="B9635" t="s">
        <v>5784</v>
      </c>
      <c r="C9635">
        <v>1</v>
      </c>
      <c r="D9635" s="1">
        <v>44301.826944444445</v>
      </c>
      <c r="E9635" t="s">
        <v>29986</v>
      </c>
      <c r="F9635" t="s">
        <v>666</v>
      </c>
      <c r="G9635" t="s">
        <v>29987</v>
      </c>
      <c r="H9635" t="s">
        <v>667</v>
      </c>
      <c r="I9635" t="s">
        <v>29</v>
      </c>
      <c r="J9635">
        <v>1</v>
      </c>
      <c r="K9635">
        <f>1-844-858-1438</f>
        <v>-3139</v>
      </c>
      <c r="L9635" t="s">
        <v>29988</v>
      </c>
      <c r="M9635" t="s">
        <v>29989</v>
      </c>
      <c r="N9635" t="s">
        <v>25263</v>
      </c>
      <c r="O9635" t="s">
        <v>28</v>
      </c>
      <c r="P9635" t="s">
        <v>5789</v>
      </c>
      <c r="Q9635">
        <v>13</v>
      </c>
      <c r="R9635">
        <v>77.585499999999996</v>
      </c>
    </row>
    <row r="9636" spans="1:18" x14ac:dyDescent="0.2">
      <c r="A9636" t="s">
        <v>439</v>
      </c>
      <c r="B9636" t="s">
        <v>440</v>
      </c>
      <c r="C9636">
        <v>1</v>
      </c>
      <c r="D9636" s="1">
        <v>44301.832824074074</v>
      </c>
      <c r="E9636" t="s">
        <v>29990</v>
      </c>
      <c r="F9636" t="s">
        <v>442</v>
      </c>
      <c r="G9636" t="s">
        <v>29991</v>
      </c>
      <c r="H9636" t="s">
        <v>444</v>
      </c>
      <c r="I9636" t="s">
        <v>29</v>
      </c>
      <c r="J9636">
        <v>1</v>
      </c>
      <c r="K9636">
        <f>1-888-729-4481</f>
        <v>-6097</v>
      </c>
      <c r="L9636" t="s">
        <v>29992</v>
      </c>
      <c r="M9636" t="s">
        <v>29993</v>
      </c>
      <c r="N9636" t="s">
        <v>452</v>
      </c>
      <c r="O9636" t="s">
        <v>28</v>
      </c>
      <c r="P9636" t="s">
        <v>29</v>
      </c>
      <c r="Q9636">
        <v>39</v>
      </c>
      <c r="R9636">
        <v>-77.487399999999994</v>
      </c>
    </row>
    <row r="9637" spans="1:18" x14ac:dyDescent="0.2">
      <c r="A9637" t="s">
        <v>663</v>
      </c>
      <c r="B9637" t="s">
        <v>1212</v>
      </c>
      <c r="C9637">
        <v>1</v>
      </c>
      <c r="D9637" s="1">
        <v>44301.784537037034</v>
      </c>
      <c r="E9637" t="s">
        <v>29994</v>
      </c>
      <c r="F9637" t="s">
        <v>666</v>
      </c>
      <c r="G9637" t="s">
        <v>29994</v>
      </c>
      <c r="H9637" t="s">
        <v>667</v>
      </c>
      <c r="I9637" t="s">
        <v>29</v>
      </c>
      <c r="J9637">
        <v>1</v>
      </c>
      <c r="K9637">
        <f>1-888-396-1711</f>
        <v>-2994</v>
      </c>
      <c r="L9637" t="s">
        <v>29995</v>
      </c>
      <c r="M9637" t="s">
        <v>29996</v>
      </c>
      <c r="N9637">
        <v>85</v>
      </c>
      <c r="O9637" t="s">
        <v>134</v>
      </c>
      <c r="P9637" t="s">
        <v>618</v>
      </c>
      <c r="Q9637">
        <v>52</v>
      </c>
      <c r="R9637">
        <v>-0.62150000000000005</v>
      </c>
    </row>
    <row r="9638" spans="1:18" x14ac:dyDescent="0.2">
      <c r="A9638" t="s">
        <v>663</v>
      </c>
      <c r="B9638" t="s">
        <v>1212</v>
      </c>
      <c r="C9638">
        <v>1</v>
      </c>
      <c r="D9638" s="1">
        <v>44301.784525462965</v>
      </c>
      <c r="E9638" t="s">
        <v>29994</v>
      </c>
      <c r="F9638" t="s">
        <v>666</v>
      </c>
      <c r="G9638" t="s">
        <v>29994</v>
      </c>
      <c r="H9638" t="s">
        <v>667</v>
      </c>
      <c r="I9638" t="s">
        <v>29</v>
      </c>
      <c r="J9638">
        <v>1</v>
      </c>
      <c r="K9638">
        <f>1-888-337-623</f>
        <v>-1847</v>
      </c>
      <c r="L9638" t="s">
        <v>29997</v>
      </c>
      <c r="M9638" t="s">
        <v>29996</v>
      </c>
      <c r="N9638">
        <v>85</v>
      </c>
      <c r="O9638" t="s">
        <v>134</v>
      </c>
      <c r="P9638" t="s">
        <v>618</v>
      </c>
      <c r="Q9638">
        <v>52</v>
      </c>
      <c r="R9638">
        <v>-0.62150000000000005</v>
      </c>
    </row>
    <row r="9639" spans="1:18" x14ac:dyDescent="0.2">
      <c r="A9639" t="s">
        <v>663</v>
      </c>
      <c r="B9639" t="s">
        <v>1212</v>
      </c>
      <c r="C9639">
        <v>1</v>
      </c>
      <c r="D9639" s="1">
        <v>44301.784421296295</v>
      </c>
      <c r="E9639" t="s">
        <v>29994</v>
      </c>
      <c r="F9639" t="s">
        <v>666</v>
      </c>
      <c r="G9639" t="s">
        <v>29994</v>
      </c>
      <c r="H9639" t="s">
        <v>667</v>
      </c>
      <c r="I9639" t="s">
        <v>29</v>
      </c>
      <c r="J9639">
        <v>1</v>
      </c>
      <c r="K9639">
        <f>1-844-304-5988</f>
        <v>-7135</v>
      </c>
      <c r="L9639" t="s">
        <v>29998</v>
      </c>
      <c r="M9639" t="s">
        <v>29996</v>
      </c>
      <c r="N9639">
        <v>85</v>
      </c>
      <c r="O9639" t="s">
        <v>134</v>
      </c>
      <c r="P9639" t="s">
        <v>618</v>
      </c>
      <c r="Q9639">
        <v>52</v>
      </c>
      <c r="R9639">
        <v>-0.62150000000000005</v>
      </c>
    </row>
    <row r="9640" spans="1:18" x14ac:dyDescent="0.2">
      <c r="A9640" t="s">
        <v>439</v>
      </c>
      <c r="B9640" t="s">
        <v>440</v>
      </c>
      <c r="C9640">
        <v>1</v>
      </c>
      <c r="D9640" s="1">
        <v>44301.874965277777</v>
      </c>
      <c r="E9640" t="s">
        <v>29999</v>
      </c>
      <c r="F9640" t="s">
        <v>442</v>
      </c>
      <c r="G9640" t="s">
        <v>30000</v>
      </c>
      <c r="H9640" t="s">
        <v>444</v>
      </c>
      <c r="I9640" t="s">
        <v>29</v>
      </c>
      <c r="J9640">
        <v>1</v>
      </c>
      <c r="K9640">
        <f>1-844-851-9128</f>
        <v>-10822</v>
      </c>
      <c r="L9640" t="s">
        <v>30001</v>
      </c>
      <c r="M9640" t="s">
        <v>30002</v>
      </c>
      <c r="N9640" t="s">
        <v>213</v>
      </c>
      <c r="O9640" t="s">
        <v>28</v>
      </c>
      <c r="P9640" t="s">
        <v>29</v>
      </c>
      <c r="Q9640">
        <v>39</v>
      </c>
      <c r="R9640">
        <v>-77.487399999999994</v>
      </c>
    </row>
    <row r="9641" spans="1:18" x14ac:dyDescent="0.2">
      <c r="A9641" t="s">
        <v>439</v>
      </c>
      <c r="B9641" t="s">
        <v>440</v>
      </c>
      <c r="C9641">
        <v>1</v>
      </c>
      <c r="D9641" s="1">
        <v>44301.883391203701</v>
      </c>
      <c r="E9641" t="s">
        <v>30003</v>
      </c>
      <c r="F9641" t="s">
        <v>442</v>
      </c>
      <c r="G9641" t="s">
        <v>30004</v>
      </c>
      <c r="H9641" t="s">
        <v>444</v>
      </c>
      <c r="I9641" t="s">
        <v>29</v>
      </c>
      <c r="J9641">
        <v>1</v>
      </c>
      <c r="K9641">
        <f>1-888-531-2314</f>
        <v>-3732</v>
      </c>
      <c r="L9641" t="s">
        <v>30005</v>
      </c>
      <c r="M9641" t="s">
        <v>30006</v>
      </c>
      <c r="N9641" t="s">
        <v>25195</v>
      </c>
      <c r="O9641" t="s">
        <v>28</v>
      </c>
      <c r="P9641" t="s">
        <v>29</v>
      </c>
      <c r="Q9641">
        <v>39</v>
      </c>
      <c r="R9641">
        <v>-77.487399999999994</v>
      </c>
    </row>
    <row r="9642" spans="1:18" x14ac:dyDescent="0.2">
      <c r="A9642" t="s">
        <v>663</v>
      </c>
      <c r="B9642" t="s">
        <v>664</v>
      </c>
      <c r="C9642">
        <v>1</v>
      </c>
      <c r="D9642" s="1">
        <v>44301.838182870371</v>
      </c>
      <c r="E9642" t="s">
        <v>30007</v>
      </c>
      <c r="F9642" t="s">
        <v>666</v>
      </c>
      <c r="G9642" t="s">
        <v>30008</v>
      </c>
      <c r="H9642" t="s">
        <v>667</v>
      </c>
      <c r="I9642" t="s">
        <v>29</v>
      </c>
      <c r="J9642">
        <v>1</v>
      </c>
      <c r="K9642">
        <f>1-888-347-2882</f>
        <v>-4116</v>
      </c>
      <c r="L9642" t="s">
        <v>30009</v>
      </c>
      <c r="M9642" t="s">
        <v>30010</v>
      </c>
      <c r="N9642" t="s">
        <v>3454</v>
      </c>
      <c r="O9642" t="s">
        <v>28</v>
      </c>
      <c r="P9642" t="s">
        <v>29</v>
      </c>
      <c r="Q9642">
        <v>37</v>
      </c>
      <c r="R9642">
        <v>-99.999999000000003</v>
      </c>
    </row>
    <row r="9643" spans="1:18" x14ac:dyDescent="0.2">
      <c r="A9643" t="s">
        <v>663</v>
      </c>
      <c r="B9643" t="s">
        <v>664</v>
      </c>
      <c r="C9643">
        <v>1</v>
      </c>
      <c r="D9643" s="1">
        <v>44301.838553240741</v>
      </c>
      <c r="E9643" t="s">
        <v>30011</v>
      </c>
      <c r="F9643" t="s">
        <v>666</v>
      </c>
      <c r="G9643" t="s">
        <v>30012</v>
      </c>
      <c r="H9643" t="s">
        <v>667</v>
      </c>
      <c r="I9643" t="s">
        <v>29</v>
      </c>
      <c r="J9643">
        <v>1</v>
      </c>
      <c r="K9643">
        <f>1-888-341-28</f>
        <v>-1256</v>
      </c>
      <c r="L9643" t="s">
        <v>30013</v>
      </c>
      <c r="M9643" t="s">
        <v>30014</v>
      </c>
      <c r="N9643" t="s">
        <v>3454</v>
      </c>
      <c r="O9643" t="s">
        <v>28</v>
      </c>
      <c r="P9643" t="s">
        <v>29</v>
      </c>
      <c r="Q9643">
        <v>37</v>
      </c>
      <c r="R9643">
        <v>-99.999999000000003</v>
      </c>
    </row>
    <row r="9644" spans="1:18" x14ac:dyDescent="0.2">
      <c r="A9644" t="s">
        <v>663</v>
      </c>
      <c r="B9644" t="s">
        <v>3245</v>
      </c>
      <c r="C9644">
        <v>1</v>
      </c>
      <c r="D9644" s="1">
        <v>44301.84003472222</v>
      </c>
      <c r="E9644" t="s">
        <v>30015</v>
      </c>
      <c r="F9644" t="s">
        <v>666</v>
      </c>
      <c r="G9644" t="s">
        <v>30016</v>
      </c>
      <c r="H9644" t="s">
        <v>667</v>
      </c>
      <c r="I9644" t="s">
        <v>29</v>
      </c>
      <c r="J9644">
        <v>1</v>
      </c>
      <c r="K9644">
        <f>1-888-341-28</f>
        <v>-1256</v>
      </c>
      <c r="L9644" t="s">
        <v>30017</v>
      </c>
      <c r="M9644" t="s">
        <v>30018</v>
      </c>
      <c r="N9644" t="s">
        <v>3454</v>
      </c>
      <c r="O9644" t="s">
        <v>28</v>
      </c>
      <c r="P9644" t="s">
        <v>29</v>
      </c>
      <c r="Q9644">
        <v>41</v>
      </c>
      <c r="R9644">
        <v>-74.140299999999996</v>
      </c>
    </row>
    <row r="9645" spans="1:18" x14ac:dyDescent="0.2">
      <c r="A9645" t="s">
        <v>439</v>
      </c>
      <c r="B9645" t="s">
        <v>440</v>
      </c>
      <c r="C9645">
        <v>1</v>
      </c>
      <c r="D9645" s="1">
        <v>44301.89267361111</v>
      </c>
      <c r="E9645" t="s">
        <v>30019</v>
      </c>
      <c r="F9645" t="s">
        <v>442</v>
      </c>
      <c r="G9645" t="s">
        <v>30020</v>
      </c>
      <c r="H9645" t="s">
        <v>444</v>
      </c>
      <c r="I9645" t="s">
        <v>29</v>
      </c>
      <c r="J9645">
        <v>1</v>
      </c>
      <c r="K9645">
        <f>1-844-853-1342</f>
        <v>-3038</v>
      </c>
      <c r="L9645" t="s">
        <v>30021</v>
      </c>
      <c r="M9645" t="s">
        <v>30022</v>
      </c>
      <c r="N9645" t="s">
        <v>447</v>
      </c>
      <c r="O9645" t="s">
        <v>28</v>
      </c>
      <c r="P9645" t="s">
        <v>29</v>
      </c>
      <c r="Q9645">
        <v>39</v>
      </c>
      <c r="R9645">
        <v>-77.487399999999994</v>
      </c>
    </row>
    <row r="9646" spans="1:18" x14ac:dyDescent="0.2">
      <c r="A9646" t="s">
        <v>2233</v>
      </c>
      <c r="B9646" t="s">
        <v>2234</v>
      </c>
      <c r="C9646">
        <v>1</v>
      </c>
      <c r="D9646" s="1">
        <v>44301.903981481482</v>
      </c>
      <c r="E9646" t="s">
        <v>30023</v>
      </c>
      <c r="F9646" t="s">
        <v>2236</v>
      </c>
      <c r="G9646" t="s">
        <v>30024</v>
      </c>
      <c r="H9646" t="s">
        <v>2237</v>
      </c>
      <c r="I9646" t="s">
        <v>29</v>
      </c>
      <c r="J9646">
        <v>1</v>
      </c>
      <c r="K9646">
        <f>1-833-264-152</f>
        <v>-1248</v>
      </c>
      <c r="L9646" t="s">
        <v>30025</v>
      </c>
      <c r="M9646" t="s">
        <v>30026</v>
      </c>
      <c r="N9646" t="s">
        <v>5354</v>
      </c>
      <c r="O9646" t="s">
        <v>28</v>
      </c>
      <c r="P9646" t="s">
        <v>29</v>
      </c>
      <c r="Q9646">
        <v>40</v>
      </c>
      <c r="R9646">
        <v>-83.114099999999993</v>
      </c>
    </row>
    <row r="9647" spans="1:18" x14ac:dyDescent="0.2">
      <c r="A9647" t="s">
        <v>663</v>
      </c>
      <c r="B9647" t="s">
        <v>1212</v>
      </c>
      <c r="C9647">
        <v>1</v>
      </c>
      <c r="D9647" s="1">
        <v>44301.845659722225</v>
      </c>
      <c r="E9647" t="s">
        <v>30027</v>
      </c>
      <c r="F9647" t="s">
        <v>666</v>
      </c>
      <c r="G9647" t="s">
        <v>30027</v>
      </c>
      <c r="H9647" t="s">
        <v>667</v>
      </c>
      <c r="I9647" t="s">
        <v>29</v>
      </c>
      <c r="J9647">
        <v>1</v>
      </c>
      <c r="K9647">
        <f>1-888-404-2781</f>
        <v>-4072</v>
      </c>
      <c r="L9647" t="s">
        <v>30028</v>
      </c>
      <c r="M9647" t="s">
        <v>30029</v>
      </c>
      <c r="N9647">
        <v>231</v>
      </c>
      <c r="O9647" t="s">
        <v>134</v>
      </c>
      <c r="P9647" t="s">
        <v>618</v>
      </c>
      <c r="Q9647">
        <v>52</v>
      </c>
      <c r="R9647">
        <v>-0.62150000000000005</v>
      </c>
    </row>
    <row r="9648" spans="1:18" x14ac:dyDescent="0.2">
      <c r="A9648" t="s">
        <v>663</v>
      </c>
      <c r="B9648" t="s">
        <v>1212</v>
      </c>
      <c r="C9648">
        <v>1</v>
      </c>
      <c r="D9648" s="1">
        <v>44301.845636574071</v>
      </c>
      <c r="E9648" t="s">
        <v>30027</v>
      </c>
      <c r="F9648" t="s">
        <v>666</v>
      </c>
      <c r="G9648" t="s">
        <v>30027</v>
      </c>
      <c r="H9648" t="s">
        <v>667</v>
      </c>
      <c r="I9648" t="s">
        <v>29</v>
      </c>
      <c r="J9648">
        <v>1</v>
      </c>
      <c r="K9648">
        <f>1-888-374-5618</f>
        <v>-6879</v>
      </c>
      <c r="L9648" t="s">
        <v>30030</v>
      </c>
      <c r="M9648" t="s">
        <v>30029</v>
      </c>
      <c r="N9648">
        <v>231</v>
      </c>
      <c r="O9648" t="s">
        <v>134</v>
      </c>
      <c r="P9648" t="s">
        <v>618</v>
      </c>
      <c r="Q9648">
        <v>52</v>
      </c>
      <c r="R9648">
        <v>-0.62150000000000005</v>
      </c>
    </row>
    <row r="9649" spans="1:18" x14ac:dyDescent="0.2">
      <c r="A9649" t="s">
        <v>663</v>
      </c>
      <c r="B9649" t="s">
        <v>1212</v>
      </c>
      <c r="C9649">
        <v>1</v>
      </c>
      <c r="D9649" s="1">
        <v>44301.845625000002</v>
      </c>
      <c r="E9649" t="s">
        <v>30027</v>
      </c>
      <c r="F9649" t="s">
        <v>666</v>
      </c>
      <c r="G9649" t="s">
        <v>30027</v>
      </c>
      <c r="H9649" t="s">
        <v>667</v>
      </c>
      <c r="I9649" t="s">
        <v>29</v>
      </c>
      <c r="J9649">
        <v>1</v>
      </c>
      <c r="K9649">
        <f>1-888-287-3993</f>
        <v>-5167</v>
      </c>
      <c r="L9649" t="s">
        <v>30031</v>
      </c>
      <c r="M9649" t="s">
        <v>30029</v>
      </c>
      <c r="N9649">
        <v>231</v>
      </c>
      <c r="O9649" t="s">
        <v>134</v>
      </c>
      <c r="P9649" t="s">
        <v>618</v>
      </c>
      <c r="Q9649">
        <v>52</v>
      </c>
      <c r="R9649">
        <v>-0.62150000000000005</v>
      </c>
    </row>
    <row r="9650" spans="1:18" x14ac:dyDescent="0.2">
      <c r="A9650" t="s">
        <v>663</v>
      </c>
      <c r="B9650" t="s">
        <v>1212</v>
      </c>
      <c r="C9650">
        <v>1</v>
      </c>
      <c r="D9650" s="1">
        <v>44301.845601851855</v>
      </c>
      <c r="E9650" t="s">
        <v>30027</v>
      </c>
      <c r="F9650" t="s">
        <v>666</v>
      </c>
      <c r="G9650" t="s">
        <v>30027</v>
      </c>
      <c r="H9650" t="s">
        <v>667</v>
      </c>
      <c r="I9650" t="s">
        <v>29</v>
      </c>
      <c r="J9650">
        <v>1</v>
      </c>
      <c r="K9650">
        <f>1-888-372-9272</f>
        <v>-10531</v>
      </c>
      <c r="L9650" s="2" t="s">
        <v>30032</v>
      </c>
      <c r="M9650" t="s">
        <v>30029</v>
      </c>
      <c r="N9650">
        <v>231</v>
      </c>
      <c r="O9650" t="s">
        <v>134</v>
      </c>
      <c r="P9650" t="s">
        <v>618</v>
      </c>
      <c r="Q9650">
        <v>52</v>
      </c>
      <c r="R9650">
        <v>-0.62150000000000005</v>
      </c>
    </row>
    <row r="9651" spans="1:18" x14ac:dyDescent="0.2">
      <c r="A9651" t="s">
        <v>663</v>
      </c>
      <c r="B9651" t="s">
        <v>1212</v>
      </c>
      <c r="C9651">
        <v>1</v>
      </c>
      <c r="D9651" s="1">
        <v>44301.845590277779</v>
      </c>
      <c r="E9651" t="s">
        <v>30027</v>
      </c>
      <c r="F9651" t="s">
        <v>666</v>
      </c>
      <c r="G9651" t="s">
        <v>30027</v>
      </c>
      <c r="H9651" t="s">
        <v>667</v>
      </c>
      <c r="I9651" t="s">
        <v>29</v>
      </c>
      <c r="J9651">
        <v>1</v>
      </c>
      <c r="K9651">
        <f>1-888-341-4361</f>
        <v>-5589</v>
      </c>
      <c r="L9651" t="s">
        <v>30033</v>
      </c>
      <c r="M9651" t="s">
        <v>30029</v>
      </c>
      <c r="N9651">
        <v>231</v>
      </c>
      <c r="O9651" t="s">
        <v>134</v>
      </c>
      <c r="P9651" t="s">
        <v>618</v>
      </c>
      <c r="Q9651">
        <v>52</v>
      </c>
      <c r="R9651">
        <v>-0.62150000000000005</v>
      </c>
    </row>
    <row r="9652" spans="1:18" x14ac:dyDescent="0.2">
      <c r="A9652" t="s">
        <v>663</v>
      </c>
      <c r="B9652" t="s">
        <v>1212</v>
      </c>
      <c r="C9652">
        <v>1</v>
      </c>
      <c r="D9652" s="1">
        <v>44301.845590277779</v>
      </c>
      <c r="E9652" t="s">
        <v>30027</v>
      </c>
      <c r="F9652" t="s">
        <v>666</v>
      </c>
      <c r="G9652" t="s">
        <v>30027</v>
      </c>
      <c r="H9652" t="s">
        <v>667</v>
      </c>
      <c r="I9652" t="s">
        <v>29</v>
      </c>
      <c r="J9652">
        <v>1</v>
      </c>
      <c r="K9652">
        <f>1-888-317-8548</f>
        <v>-9752</v>
      </c>
      <c r="L9652" t="s">
        <v>30034</v>
      </c>
      <c r="M9652" t="s">
        <v>30029</v>
      </c>
      <c r="N9652">
        <v>231</v>
      </c>
      <c r="O9652" t="s">
        <v>134</v>
      </c>
      <c r="P9652" t="s">
        <v>618</v>
      </c>
      <c r="Q9652">
        <v>52</v>
      </c>
      <c r="R9652">
        <v>-0.62150000000000005</v>
      </c>
    </row>
    <row r="9653" spans="1:18" x14ac:dyDescent="0.2">
      <c r="A9653" t="s">
        <v>663</v>
      </c>
      <c r="B9653" t="s">
        <v>1212</v>
      </c>
      <c r="C9653">
        <v>1</v>
      </c>
      <c r="D9653" s="1">
        <v>44301.845578703702</v>
      </c>
      <c r="E9653" t="s">
        <v>30027</v>
      </c>
      <c r="F9653" t="s">
        <v>666</v>
      </c>
      <c r="G9653" t="s">
        <v>30027</v>
      </c>
      <c r="H9653" t="s">
        <v>667</v>
      </c>
      <c r="I9653" t="s">
        <v>29</v>
      </c>
      <c r="J9653">
        <v>1</v>
      </c>
      <c r="K9653">
        <f>1-888-399-6118</f>
        <v>-7404</v>
      </c>
      <c r="L9653" t="s">
        <v>30035</v>
      </c>
      <c r="M9653" t="s">
        <v>30029</v>
      </c>
      <c r="N9653">
        <v>231</v>
      </c>
      <c r="O9653" t="s">
        <v>134</v>
      </c>
      <c r="P9653" t="s">
        <v>618</v>
      </c>
      <c r="Q9653">
        <v>52</v>
      </c>
      <c r="R9653">
        <v>-0.62150000000000005</v>
      </c>
    </row>
    <row r="9654" spans="1:18" x14ac:dyDescent="0.2">
      <c r="A9654" t="s">
        <v>663</v>
      </c>
      <c r="B9654" t="s">
        <v>1212</v>
      </c>
      <c r="C9654">
        <v>1</v>
      </c>
      <c r="D9654" s="1">
        <v>44301.845555555556</v>
      </c>
      <c r="E9654" t="s">
        <v>30027</v>
      </c>
      <c r="F9654" t="s">
        <v>666</v>
      </c>
      <c r="G9654" t="s">
        <v>30027</v>
      </c>
      <c r="H9654" t="s">
        <v>667</v>
      </c>
      <c r="I9654" t="s">
        <v>29</v>
      </c>
      <c r="J9654">
        <v>1</v>
      </c>
      <c r="K9654">
        <f>1-888-441-3254</f>
        <v>-4582</v>
      </c>
      <c r="L9654" t="s">
        <v>30036</v>
      </c>
      <c r="M9654" t="s">
        <v>30029</v>
      </c>
      <c r="N9654">
        <v>231</v>
      </c>
      <c r="O9654" t="s">
        <v>134</v>
      </c>
      <c r="P9654" t="s">
        <v>618</v>
      </c>
      <c r="Q9654">
        <v>52</v>
      </c>
      <c r="R9654">
        <v>-0.62150000000000005</v>
      </c>
    </row>
    <row r="9655" spans="1:18" x14ac:dyDescent="0.2">
      <c r="A9655" t="s">
        <v>663</v>
      </c>
      <c r="B9655" t="s">
        <v>1212</v>
      </c>
      <c r="C9655">
        <v>1</v>
      </c>
      <c r="D9655" s="1">
        <v>44301.845543981479</v>
      </c>
      <c r="E9655" t="s">
        <v>30027</v>
      </c>
      <c r="F9655" t="s">
        <v>666</v>
      </c>
      <c r="G9655" t="s">
        <v>30027</v>
      </c>
      <c r="H9655" t="s">
        <v>667</v>
      </c>
      <c r="I9655" t="s">
        <v>29</v>
      </c>
      <c r="J9655">
        <v>1</v>
      </c>
      <c r="K9655">
        <f>1-888-357-7615</f>
        <v>-8859</v>
      </c>
      <c r="L9655" t="s">
        <v>30037</v>
      </c>
      <c r="M9655" t="s">
        <v>30029</v>
      </c>
      <c r="N9655">
        <v>231</v>
      </c>
      <c r="O9655" t="s">
        <v>134</v>
      </c>
      <c r="P9655" t="s">
        <v>618</v>
      </c>
      <c r="Q9655">
        <v>52</v>
      </c>
      <c r="R9655">
        <v>-0.62150000000000005</v>
      </c>
    </row>
    <row r="9656" spans="1:18" x14ac:dyDescent="0.2">
      <c r="A9656" t="s">
        <v>663</v>
      </c>
      <c r="B9656" t="s">
        <v>1212</v>
      </c>
      <c r="C9656">
        <v>1</v>
      </c>
      <c r="D9656" s="1">
        <v>44301.845520833333</v>
      </c>
      <c r="E9656" t="s">
        <v>30027</v>
      </c>
      <c r="F9656" t="s">
        <v>666</v>
      </c>
      <c r="G9656" t="s">
        <v>30027</v>
      </c>
      <c r="H9656" t="s">
        <v>667</v>
      </c>
      <c r="I9656" t="s">
        <v>29</v>
      </c>
      <c r="J9656">
        <v>1</v>
      </c>
      <c r="K9656">
        <f>1-888-203-710</f>
        <v>-1800</v>
      </c>
      <c r="L9656" t="s">
        <v>30038</v>
      </c>
      <c r="M9656" t="s">
        <v>30029</v>
      </c>
      <c r="N9656">
        <v>231</v>
      </c>
      <c r="O9656" t="s">
        <v>134</v>
      </c>
      <c r="P9656" t="s">
        <v>618</v>
      </c>
      <c r="Q9656">
        <v>52</v>
      </c>
      <c r="R9656">
        <v>-0.62150000000000005</v>
      </c>
    </row>
    <row r="9657" spans="1:18" x14ac:dyDescent="0.2">
      <c r="A9657" t="s">
        <v>663</v>
      </c>
      <c r="B9657" t="s">
        <v>1212</v>
      </c>
      <c r="C9657">
        <v>1</v>
      </c>
      <c r="D9657" s="1">
        <v>44301.845462962963</v>
      </c>
      <c r="E9657" t="s">
        <v>30027</v>
      </c>
      <c r="F9657" t="s">
        <v>666</v>
      </c>
      <c r="G9657" t="s">
        <v>30027</v>
      </c>
      <c r="H9657" t="s">
        <v>667</v>
      </c>
      <c r="I9657" t="s">
        <v>29</v>
      </c>
      <c r="J9657">
        <v>1</v>
      </c>
      <c r="K9657">
        <f>1-888-398-2215</f>
        <v>-3500</v>
      </c>
      <c r="L9657" t="s">
        <v>30039</v>
      </c>
      <c r="M9657" t="s">
        <v>30029</v>
      </c>
      <c r="N9657">
        <v>231</v>
      </c>
      <c r="O9657" t="s">
        <v>134</v>
      </c>
      <c r="P9657" t="s">
        <v>618</v>
      </c>
      <c r="Q9657">
        <v>52</v>
      </c>
      <c r="R9657">
        <v>-0.62150000000000005</v>
      </c>
    </row>
    <row r="9658" spans="1:18" x14ac:dyDescent="0.2">
      <c r="A9658" t="s">
        <v>439</v>
      </c>
      <c r="B9658" t="s">
        <v>4321</v>
      </c>
      <c r="C9658">
        <v>1</v>
      </c>
      <c r="D9658" s="1">
        <v>44301.928564814814</v>
      </c>
      <c r="E9658" t="s">
        <v>30040</v>
      </c>
      <c r="F9658" t="s">
        <v>442</v>
      </c>
      <c r="G9658" t="s">
        <v>30041</v>
      </c>
      <c r="H9658" t="s">
        <v>444</v>
      </c>
      <c r="I9658" t="s">
        <v>29</v>
      </c>
      <c r="J9658">
        <v>1</v>
      </c>
      <c r="K9658">
        <f>1-844-854-9427</f>
        <v>-11124</v>
      </c>
      <c r="L9658" t="s">
        <v>30042</v>
      </c>
      <c r="M9658" t="s">
        <v>30043</v>
      </c>
      <c r="N9658" t="s">
        <v>447</v>
      </c>
      <c r="O9658" t="s">
        <v>28</v>
      </c>
      <c r="P9658" t="s">
        <v>29</v>
      </c>
      <c r="Q9658">
        <v>42</v>
      </c>
      <c r="R9658">
        <v>-87.629800000000003</v>
      </c>
    </row>
    <row r="9659" spans="1:18" x14ac:dyDescent="0.2">
      <c r="A9659" t="s">
        <v>439</v>
      </c>
      <c r="B9659" t="s">
        <v>5337</v>
      </c>
      <c r="C9659">
        <v>81</v>
      </c>
      <c r="D9659" s="1">
        <v>44302.443576388891</v>
      </c>
      <c r="E9659" t="s">
        <v>30044</v>
      </c>
      <c r="F9659" t="s">
        <v>442</v>
      </c>
      <c r="G9659" t="s">
        <v>30045</v>
      </c>
      <c r="H9659" t="s">
        <v>444</v>
      </c>
      <c r="I9659" t="s">
        <v>53</v>
      </c>
      <c r="J9659">
        <v>81</v>
      </c>
      <c r="K9659">
        <f>81-50-5809-6515</f>
        <v>-12293</v>
      </c>
      <c r="L9659" t="s">
        <v>30046</v>
      </c>
      <c r="M9659" t="s">
        <v>30047</v>
      </c>
      <c r="N9659" t="s">
        <v>447</v>
      </c>
      <c r="O9659" t="s">
        <v>134</v>
      </c>
      <c r="P9659" t="s">
        <v>29</v>
      </c>
      <c r="Q9659">
        <v>38</v>
      </c>
      <c r="R9659">
        <v>-99.999999000000003</v>
      </c>
    </row>
    <row r="9660" spans="1:18" x14ac:dyDescent="0.2">
      <c r="A9660" t="s">
        <v>439</v>
      </c>
      <c r="B9660" t="s">
        <v>1412</v>
      </c>
      <c r="C9660">
        <v>81</v>
      </c>
      <c r="D9660" s="1">
        <v>44302.444004629629</v>
      </c>
      <c r="E9660" t="s">
        <v>30048</v>
      </c>
      <c r="F9660" t="s">
        <v>442</v>
      </c>
      <c r="G9660" t="s">
        <v>30049</v>
      </c>
      <c r="H9660" t="s">
        <v>444</v>
      </c>
      <c r="I9660" t="s">
        <v>53</v>
      </c>
      <c r="J9660">
        <v>81</v>
      </c>
      <c r="K9660">
        <f>81-50-3196-5585</f>
        <v>-8750</v>
      </c>
      <c r="L9660" t="s">
        <v>30050</v>
      </c>
      <c r="M9660" t="s">
        <v>30051</v>
      </c>
      <c r="N9660" t="s">
        <v>213</v>
      </c>
      <c r="O9660" t="s">
        <v>134</v>
      </c>
      <c r="P9660" t="s">
        <v>29</v>
      </c>
      <c r="Q9660">
        <v>41</v>
      </c>
      <c r="R9660">
        <v>-74.172399999999996</v>
      </c>
    </row>
    <row r="9661" spans="1:18" x14ac:dyDescent="0.2">
      <c r="A9661" t="s">
        <v>439</v>
      </c>
      <c r="B9661" t="s">
        <v>5337</v>
      </c>
      <c r="C9661">
        <v>1</v>
      </c>
      <c r="D9661" s="1">
        <v>44301.984375</v>
      </c>
      <c r="E9661" t="s">
        <v>30052</v>
      </c>
      <c r="F9661" t="s">
        <v>442</v>
      </c>
      <c r="G9661" t="s">
        <v>30053</v>
      </c>
      <c r="H9661" t="s">
        <v>444</v>
      </c>
      <c r="I9661" t="s">
        <v>29</v>
      </c>
      <c r="J9661">
        <v>1</v>
      </c>
      <c r="K9661">
        <f>1-844-857-1139</f>
        <v>-2839</v>
      </c>
      <c r="L9661" t="s">
        <v>30054</v>
      </c>
      <c r="M9661" t="s">
        <v>30055</v>
      </c>
      <c r="N9661" t="s">
        <v>447</v>
      </c>
      <c r="O9661" t="s">
        <v>28</v>
      </c>
      <c r="P9661" t="s">
        <v>29</v>
      </c>
      <c r="Q9661">
        <v>38</v>
      </c>
      <c r="R9661">
        <v>-99.999999000000003</v>
      </c>
    </row>
    <row r="9662" spans="1:18" x14ac:dyDescent="0.2">
      <c r="A9662" t="s">
        <v>439</v>
      </c>
      <c r="B9662" t="s">
        <v>5337</v>
      </c>
      <c r="C9662">
        <v>1</v>
      </c>
      <c r="D9662" s="1">
        <v>44302.751631944448</v>
      </c>
      <c r="E9662" t="s">
        <v>30056</v>
      </c>
      <c r="F9662" t="s">
        <v>442</v>
      </c>
      <c r="G9662" t="s">
        <v>30057</v>
      </c>
      <c r="H9662" t="s">
        <v>444</v>
      </c>
      <c r="I9662" t="s">
        <v>29</v>
      </c>
      <c r="J9662">
        <v>1</v>
      </c>
      <c r="K9662">
        <f>1-888-726-715</f>
        <v>-2328</v>
      </c>
      <c r="L9662" t="s">
        <v>30058</v>
      </c>
      <c r="M9662" t="s">
        <v>30059</v>
      </c>
      <c r="N9662" t="s">
        <v>452</v>
      </c>
      <c r="O9662" t="s">
        <v>28</v>
      </c>
      <c r="P9662" t="s">
        <v>29</v>
      </c>
      <c r="Q9662">
        <v>38</v>
      </c>
      <c r="R9662">
        <v>-99.999999000000003</v>
      </c>
    </row>
    <row r="9663" spans="1:18" x14ac:dyDescent="0.2">
      <c r="A9663" t="s">
        <v>439</v>
      </c>
      <c r="B9663" t="s">
        <v>4321</v>
      </c>
      <c r="C9663">
        <v>1</v>
      </c>
      <c r="D9663" s="1">
        <v>44302.773182870369</v>
      </c>
      <c r="E9663" t="s">
        <v>30060</v>
      </c>
      <c r="F9663" t="s">
        <v>442</v>
      </c>
      <c r="G9663" t="s">
        <v>30061</v>
      </c>
      <c r="H9663" t="s">
        <v>444</v>
      </c>
      <c r="I9663" t="s">
        <v>29</v>
      </c>
      <c r="J9663">
        <v>1</v>
      </c>
      <c r="K9663">
        <f>1-888-690-2474</f>
        <v>-4051</v>
      </c>
      <c r="L9663" t="s">
        <v>30062</v>
      </c>
      <c r="M9663" t="s">
        <v>30063</v>
      </c>
      <c r="N9663" t="s">
        <v>25195</v>
      </c>
      <c r="O9663" t="s">
        <v>28</v>
      </c>
      <c r="P9663" t="s">
        <v>29</v>
      </c>
      <c r="Q9663">
        <v>42</v>
      </c>
      <c r="R9663">
        <v>-87.629800000000003</v>
      </c>
    </row>
    <row r="9664" spans="1:18" x14ac:dyDescent="0.2">
      <c r="A9664" t="s">
        <v>439</v>
      </c>
      <c r="B9664" t="s">
        <v>4321</v>
      </c>
      <c r="C9664">
        <v>1</v>
      </c>
      <c r="D9664" s="1">
        <v>44302.763645833336</v>
      </c>
      <c r="E9664" t="s">
        <v>30064</v>
      </c>
      <c r="F9664" t="s">
        <v>442</v>
      </c>
      <c r="G9664" t="s">
        <v>30061</v>
      </c>
      <c r="H9664" t="s">
        <v>444</v>
      </c>
      <c r="I9664" t="s">
        <v>29</v>
      </c>
      <c r="J9664">
        <v>1</v>
      </c>
      <c r="K9664">
        <f>1-888-503-678</f>
        <v>-2068</v>
      </c>
      <c r="L9664" t="s">
        <v>30065</v>
      </c>
      <c r="M9664" t="s">
        <v>30066</v>
      </c>
      <c r="N9664" t="s">
        <v>25195</v>
      </c>
      <c r="O9664" t="s">
        <v>28</v>
      </c>
      <c r="P9664" t="s">
        <v>29</v>
      </c>
      <c r="Q9664">
        <v>42</v>
      </c>
      <c r="R9664">
        <v>-87.629800000000003</v>
      </c>
    </row>
    <row r="9665" spans="1:18" x14ac:dyDescent="0.2">
      <c r="A9665" t="s">
        <v>439</v>
      </c>
      <c r="B9665" t="s">
        <v>4321</v>
      </c>
      <c r="C9665">
        <v>1</v>
      </c>
      <c r="D9665" s="1">
        <v>44302.761030092595</v>
      </c>
      <c r="E9665" t="s">
        <v>30064</v>
      </c>
      <c r="F9665" t="s">
        <v>442</v>
      </c>
      <c r="G9665" t="s">
        <v>30061</v>
      </c>
      <c r="H9665" t="s">
        <v>444</v>
      </c>
      <c r="I9665" t="s">
        <v>29</v>
      </c>
      <c r="J9665">
        <v>1</v>
      </c>
      <c r="K9665">
        <f>1-888-690-2474</f>
        <v>-4051</v>
      </c>
      <c r="L9665" t="s">
        <v>30067</v>
      </c>
      <c r="M9665" t="s">
        <v>30068</v>
      </c>
      <c r="N9665" t="s">
        <v>25195</v>
      </c>
      <c r="O9665" t="s">
        <v>28</v>
      </c>
      <c r="P9665" t="s">
        <v>29</v>
      </c>
      <c r="Q9665">
        <v>42</v>
      </c>
      <c r="R9665">
        <v>-87.629800000000003</v>
      </c>
    </row>
    <row r="9666" spans="1:18" x14ac:dyDescent="0.2">
      <c r="A9666" t="s">
        <v>2233</v>
      </c>
      <c r="B9666" t="s">
        <v>1638</v>
      </c>
      <c r="C9666">
        <v>1</v>
      </c>
      <c r="D9666" s="1">
        <v>44302.754872685182</v>
      </c>
      <c r="E9666" t="s">
        <v>30069</v>
      </c>
      <c r="F9666" t="s">
        <v>2236</v>
      </c>
      <c r="G9666" t="s">
        <v>30070</v>
      </c>
      <c r="H9666" t="s">
        <v>2237</v>
      </c>
      <c r="I9666" t="s">
        <v>29</v>
      </c>
      <c r="J9666">
        <v>1</v>
      </c>
      <c r="K9666">
        <f>1-844-710-1276</f>
        <v>-2829</v>
      </c>
      <c r="L9666" t="s">
        <v>30071</v>
      </c>
      <c r="M9666" t="s">
        <v>30072</v>
      </c>
      <c r="N9666" t="s">
        <v>278</v>
      </c>
      <c r="O9666" t="s">
        <v>28</v>
      </c>
      <c r="P9666" t="s">
        <v>292</v>
      </c>
      <c r="Q9666">
        <v>49</v>
      </c>
      <c r="R9666">
        <v>2.35222</v>
      </c>
    </row>
    <row r="9667" spans="1:18" x14ac:dyDescent="0.2">
      <c r="A9667" t="s">
        <v>439</v>
      </c>
      <c r="B9667" t="s">
        <v>5337</v>
      </c>
      <c r="C9667">
        <v>1</v>
      </c>
      <c r="D9667" s="1">
        <v>44302.764826388891</v>
      </c>
      <c r="E9667" t="s">
        <v>30073</v>
      </c>
      <c r="F9667" t="s">
        <v>442</v>
      </c>
      <c r="G9667" t="s">
        <v>30074</v>
      </c>
      <c r="H9667" t="s">
        <v>444</v>
      </c>
      <c r="I9667" t="s">
        <v>29</v>
      </c>
      <c r="J9667">
        <v>1</v>
      </c>
      <c r="K9667">
        <f>1-844-857-3871</f>
        <v>-5571</v>
      </c>
      <c r="L9667" t="s">
        <v>30075</v>
      </c>
      <c r="M9667" t="s">
        <v>30076</v>
      </c>
      <c r="N9667" t="s">
        <v>447</v>
      </c>
      <c r="O9667" t="s">
        <v>28</v>
      </c>
      <c r="P9667" t="s">
        <v>29</v>
      </c>
      <c r="Q9667">
        <v>38</v>
      </c>
      <c r="R9667">
        <v>-99.999999000000003</v>
      </c>
    </row>
    <row r="9668" spans="1:18" x14ac:dyDescent="0.2">
      <c r="A9668" t="s">
        <v>439</v>
      </c>
      <c r="B9668" t="s">
        <v>440</v>
      </c>
      <c r="C9668">
        <v>1</v>
      </c>
      <c r="D9668" s="1">
        <v>44302.779120370367</v>
      </c>
      <c r="E9668" t="s">
        <v>30077</v>
      </c>
      <c r="F9668" t="s">
        <v>442</v>
      </c>
      <c r="G9668" t="s">
        <v>30078</v>
      </c>
      <c r="H9668" t="s">
        <v>444</v>
      </c>
      <c r="I9668" t="s">
        <v>29</v>
      </c>
      <c r="J9668">
        <v>1</v>
      </c>
      <c r="K9668">
        <f>1-844-852-3732</f>
        <v>-5427</v>
      </c>
      <c r="L9668" t="s">
        <v>30079</v>
      </c>
      <c r="M9668" t="s">
        <v>30080</v>
      </c>
      <c r="N9668" t="s">
        <v>447</v>
      </c>
      <c r="O9668" t="s">
        <v>28</v>
      </c>
      <c r="P9668" t="s">
        <v>29</v>
      </c>
      <c r="Q9668">
        <v>39</v>
      </c>
      <c r="R9668">
        <v>-77.487399999999994</v>
      </c>
    </row>
    <row r="9669" spans="1:18" x14ac:dyDescent="0.2">
      <c r="A9669" t="s">
        <v>663</v>
      </c>
      <c r="B9669" t="s">
        <v>2500</v>
      </c>
      <c r="C9669">
        <v>1</v>
      </c>
      <c r="D9669" s="1">
        <v>44302.790925925925</v>
      </c>
      <c r="E9669" t="s">
        <v>30081</v>
      </c>
      <c r="F9669" t="s">
        <v>23451</v>
      </c>
      <c r="G9669" t="s">
        <v>30081</v>
      </c>
      <c r="H9669" t="s">
        <v>667</v>
      </c>
      <c r="I9669" t="s">
        <v>29</v>
      </c>
      <c r="J9669">
        <v>1</v>
      </c>
      <c r="K9669">
        <f>1-888-326-8910</f>
        <v>-10123</v>
      </c>
      <c r="L9669" t="s">
        <v>30082</v>
      </c>
      <c r="M9669" t="s">
        <v>30083</v>
      </c>
      <c r="N9669">
        <v>40</v>
      </c>
      <c r="O9669" t="s">
        <v>134</v>
      </c>
      <c r="P9669" t="s">
        <v>2500</v>
      </c>
      <c r="Q9669">
        <v>1</v>
      </c>
      <c r="R9669">
        <v>99.999999000000003</v>
      </c>
    </row>
    <row r="9670" spans="1:18" x14ac:dyDescent="0.2">
      <c r="A9670" t="s">
        <v>663</v>
      </c>
      <c r="B9670" t="s">
        <v>2500</v>
      </c>
      <c r="C9670">
        <v>1</v>
      </c>
      <c r="D9670" s="1">
        <v>44302.783796296295</v>
      </c>
      <c r="E9670" t="s">
        <v>30081</v>
      </c>
      <c r="F9670" t="s">
        <v>23451</v>
      </c>
      <c r="G9670" t="s">
        <v>30081</v>
      </c>
      <c r="H9670" t="s">
        <v>667</v>
      </c>
      <c r="I9670" t="s">
        <v>29</v>
      </c>
      <c r="J9670">
        <v>1</v>
      </c>
      <c r="K9670">
        <f>1-888-396-2740</f>
        <v>-4023</v>
      </c>
      <c r="L9670" t="s">
        <v>30084</v>
      </c>
      <c r="M9670" t="s">
        <v>30085</v>
      </c>
      <c r="N9670">
        <v>40</v>
      </c>
      <c r="O9670" t="s">
        <v>134</v>
      </c>
      <c r="P9670" t="s">
        <v>2500</v>
      </c>
      <c r="Q9670">
        <v>1</v>
      </c>
      <c r="R9670">
        <v>99.999999000000003</v>
      </c>
    </row>
    <row r="9671" spans="1:18" x14ac:dyDescent="0.2">
      <c r="A9671" t="s">
        <v>663</v>
      </c>
      <c r="B9671" t="s">
        <v>2500</v>
      </c>
      <c r="C9671">
        <v>1</v>
      </c>
      <c r="D9671" s="1">
        <v>44302.779918981483</v>
      </c>
      <c r="E9671" t="s">
        <v>30081</v>
      </c>
      <c r="F9671" t="s">
        <v>23451</v>
      </c>
      <c r="G9671" t="s">
        <v>30081</v>
      </c>
      <c r="H9671" t="s">
        <v>667</v>
      </c>
      <c r="I9671" t="s">
        <v>29</v>
      </c>
      <c r="J9671">
        <v>1</v>
      </c>
      <c r="K9671">
        <f>1-888-308-8485</f>
        <v>-9680</v>
      </c>
      <c r="L9671" t="s">
        <v>30086</v>
      </c>
      <c r="M9671" t="s">
        <v>30087</v>
      </c>
      <c r="N9671">
        <v>40</v>
      </c>
      <c r="O9671" t="s">
        <v>134</v>
      </c>
      <c r="P9671" t="s">
        <v>2500</v>
      </c>
      <c r="Q9671">
        <v>1</v>
      </c>
      <c r="R9671">
        <v>99.999999000000003</v>
      </c>
    </row>
    <row r="9672" spans="1:18" x14ac:dyDescent="0.2">
      <c r="A9672" t="s">
        <v>439</v>
      </c>
      <c r="B9672" t="s">
        <v>440</v>
      </c>
      <c r="C9672">
        <v>1</v>
      </c>
      <c r="D9672" s="1">
        <v>44302.794548611113</v>
      </c>
      <c r="E9672" t="s">
        <v>30088</v>
      </c>
      <c r="F9672" t="s">
        <v>442</v>
      </c>
      <c r="G9672" t="s">
        <v>30089</v>
      </c>
      <c r="H9672" t="s">
        <v>444</v>
      </c>
      <c r="I9672" t="s">
        <v>29</v>
      </c>
      <c r="J9672">
        <v>1</v>
      </c>
      <c r="K9672">
        <f>1-888-303-3501</f>
        <v>-4691</v>
      </c>
      <c r="L9672" t="s">
        <v>30090</v>
      </c>
      <c r="M9672" t="s">
        <v>30091</v>
      </c>
      <c r="N9672" t="s">
        <v>452</v>
      </c>
      <c r="O9672" t="s">
        <v>28</v>
      </c>
      <c r="P9672" t="s">
        <v>29</v>
      </c>
      <c r="Q9672">
        <v>39</v>
      </c>
      <c r="R9672">
        <v>-77.487399999999994</v>
      </c>
    </row>
    <row r="9673" spans="1:18" x14ac:dyDescent="0.2">
      <c r="A9673" t="s">
        <v>439</v>
      </c>
      <c r="B9673" t="s">
        <v>440</v>
      </c>
      <c r="C9673">
        <v>1</v>
      </c>
      <c r="D9673" s="1">
        <v>44302.792337962965</v>
      </c>
      <c r="E9673" t="s">
        <v>30088</v>
      </c>
      <c r="F9673" t="s">
        <v>442</v>
      </c>
      <c r="G9673" t="s">
        <v>30089</v>
      </c>
      <c r="H9673" t="s">
        <v>444</v>
      </c>
      <c r="I9673" t="s">
        <v>29</v>
      </c>
      <c r="J9673">
        <v>1</v>
      </c>
      <c r="K9673">
        <f>1-844-855-1955</f>
        <v>-3653</v>
      </c>
      <c r="L9673" t="s">
        <v>30092</v>
      </c>
      <c r="M9673" t="s">
        <v>30093</v>
      </c>
      <c r="N9673" t="s">
        <v>452</v>
      </c>
      <c r="O9673" t="s">
        <v>28</v>
      </c>
      <c r="P9673" t="s">
        <v>29</v>
      </c>
      <c r="Q9673">
        <v>39</v>
      </c>
      <c r="R9673">
        <v>-77.487399999999994</v>
      </c>
    </row>
    <row r="9674" spans="1:18" x14ac:dyDescent="0.2">
      <c r="A9674" t="s">
        <v>663</v>
      </c>
      <c r="B9674" t="s">
        <v>1212</v>
      </c>
      <c r="C9674">
        <v>1</v>
      </c>
      <c r="D9674" s="1">
        <v>44302.831828703704</v>
      </c>
      <c r="E9674" t="s">
        <v>30094</v>
      </c>
      <c r="F9674" t="s">
        <v>666</v>
      </c>
      <c r="G9674" t="s">
        <v>30094</v>
      </c>
      <c r="H9674" t="s">
        <v>667</v>
      </c>
      <c r="I9674" t="s">
        <v>29</v>
      </c>
      <c r="J9674">
        <v>1</v>
      </c>
      <c r="K9674">
        <f>1-844-346-6811</f>
        <v>-8000</v>
      </c>
      <c r="L9674" t="s">
        <v>30095</v>
      </c>
      <c r="M9674" t="s">
        <v>30096</v>
      </c>
      <c r="N9674">
        <v>181</v>
      </c>
      <c r="O9674" t="s">
        <v>134</v>
      </c>
      <c r="P9674" t="s">
        <v>618</v>
      </c>
      <c r="Q9674">
        <v>52</v>
      </c>
      <c r="R9674">
        <v>-0.62150000000000005</v>
      </c>
    </row>
    <row r="9675" spans="1:18" x14ac:dyDescent="0.2">
      <c r="A9675" t="s">
        <v>663</v>
      </c>
      <c r="B9675" t="s">
        <v>1212</v>
      </c>
      <c r="C9675">
        <v>1</v>
      </c>
      <c r="D9675" s="1">
        <v>44302.82371527778</v>
      </c>
      <c r="E9675" t="s">
        <v>30094</v>
      </c>
      <c r="F9675" t="s">
        <v>666</v>
      </c>
      <c r="G9675" t="s">
        <v>30094</v>
      </c>
      <c r="H9675" t="s">
        <v>667</v>
      </c>
      <c r="I9675" t="s">
        <v>29</v>
      </c>
      <c r="J9675">
        <v>1</v>
      </c>
      <c r="K9675">
        <f>1-833-313-2697</f>
        <v>-3842</v>
      </c>
      <c r="L9675" t="s">
        <v>30097</v>
      </c>
      <c r="M9675" t="s">
        <v>30098</v>
      </c>
      <c r="N9675">
        <v>181</v>
      </c>
      <c r="O9675" t="s">
        <v>134</v>
      </c>
      <c r="P9675" t="s">
        <v>618</v>
      </c>
      <c r="Q9675">
        <v>52</v>
      </c>
      <c r="R9675">
        <v>-0.62150000000000005</v>
      </c>
    </row>
    <row r="9676" spans="1:18" x14ac:dyDescent="0.2">
      <c r="A9676" t="s">
        <v>663</v>
      </c>
      <c r="B9676" t="s">
        <v>1212</v>
      </c>
      <c r="C9676">
        <v>1</v>
      </c>
      <c r="D9676" s="1">
        <v>44302.823680555557</v>
      </c>
      <c r="E9676" t="s">
        <v>30094</v>
      </c>
      <c r="F9676" t="s">
        <v>666</v>
      </c>
      <c r="G9676" t="s">
        <v>30094</v>
      </c>
      <c r="H9676" t="s">
        <v>667</v>
      </c>
      <c r="I9676" t="s">
        <v>29</v>
      </c>
      <c r="J9676">
        <v>1</v>
      </c>
      <c r="K9676">
        <f>1-866-787-3108</f>
        <v>-4760</v>
      </c>
      <c r="L9676" t="s">
        <v>30099</v>
      </c>
      <c r="M9676" t="s">
        <v>30098</v>
      </c>
      <c r="N9676">
        <v>181</v>
      </c>
      <c r="O9676" t="s">
        <v>134</v>
      </c>
      <c r="P9676" t="s">
        <v>618</v>
      </c>
      <c r="Q9676">
        <v>52</v>
      </c>
      <c r="R9676">
        <v>-0.62150000000000005</v>
      </c>
    </row>
    <row r="9677" spans="1:18" x14ac:dyDescent="0.2">
      <c r="A9677" t="s">
        <v>663</v>
      </c>
      <c r="B9677" t="s">
        <v>1212</v>
      </c>
      <c r="C9677">
        <v>1</v>
      </c>
      <c r="D9677" s="1">
        <v>44302.823634259257</v>
      </c>
      <c r="E9677" t="s">
        <v>30094</v>
      </c>
      <c r="F9677" t="s">
        <v>666</v>
      </c>
      <c r="G9677" t="s">
        <v>30094</v>
      </c>
      <c r="H9677" t="s">
        <v>667</v>
      </c>
      <c r="I9677" t="s">
        <v>29</v>
      </c>
      <c r="J9677">
        <v>1</v>
      </c>
      <c r="K9677">
        <f>1-888-281-3935</f>
        <v>-5103</v>
      </c>
      <c r="L9677" t="s">
        <v>30100</v>
      </c>
      <c r="M9677" t="s">
        <v>30098</v>
      </c>
      <c r="N9677">
        <v>181</v>
      </c>
      <c r="O9677" t="s">
        <v>134</v>
      </c>
      <c r="P9677" t="s">
        <v>618</v>
      </c>
      <c r="Q9677">
        <v>52</v>
      </c>
      <c r="R9677">
        <v>-0.62150000000000005</v>
      </c>
    </row>
    <row r="9678" spans="1:18" x14ac:dyDescent="0.2">
      <c r="A9678" t="s">
        <v>663</v>
      </c>
      <c r="B9678" t="s">
        <v>1212</v>
      </c>
      <c r="C9678">
        <v>1</v>
      </c>
      <c r="D9678" s="1">
        <v>44302.823587962965</v>
      </c>
      <c r="E9678" t="s">
        <v>30094</v>
      </c>
      <c r="F9678" t="s">
        <v>666</v>
      </c>
      <c r="G9678" t="s">
        <v>30094</v>
      </c>
      <c r="H9678" t="s">
        <v>667</v>
      </c>
      <c r="I9678" t="s">
        <v>29</v>
      </c>
      <c r="J9678">
        <v>1</v>
      </c>
      <c r="K9678">
        <f>1-888-380-9941</f>
        <v>-11208</v>
      </c>
      <c r="L9678" t="s">
        <v>30101</v>
      </c>
      <c r="M9678" t="s">
        <v>30098</v>
      </c>
      <c r="N9678">
        <v>181</v>
      </c>
      <c r="O9678" t="s">
        <v>134</v>
      </c>
      <c r="P9678" t="s">
        <v>618</v>
      </c>
      <c r="Q9678">
        <v>52</v>
      </c>
      <c r="R9678">
        <v>-0.62150000000000005</v>
      </c>
    </row>
    <row r="9679" spans="1:18" x14ac:dyDescent="0.2">
      <c r="A9679" t="s">
        <v>663</v>
      </c>
      <c r="B9679" t="s">
        <v>1212</v>
      </c>
      <c r="C9679">
        <v>1</v>
      </c>
      <c r="D9679" s="1">
        <v>44302.823541666665</v>
      </c>
      <c r="E9679" t="s">
        <v>30094</v>
      </c>
      <c r="F9679" t="s">
        <v>666</v>
      </c>
      <c r="G9679" t="s">
        <v>30094</v>
      </c>
      <c r="H9679" t="s">
        <v>667</v>
      </c>
      <c r="I9679" t="s">
        <v>29</v>
      </c>
      <c r="J9679">
        <v>1</v>
      </c>
      <c r="K9679">
        <f>1-888-405-696</f>
        <v>-1988</v>
      </c>
      <c r="L9679" t="s">
        <v>30102</v>
      </c>
      <c r="M9679" t="s">
        <v>30098</v>
      </c>
      <c r="N9679">
        <v>181</v>
      </c>
      <c r="O9679" t="s">
        <v>134</v>
      </c>
      <c r="P9679" t="s">
        <v>618</v>
      </c>
      <c r="Q9679">
        <v>52</v>
      </c>
      <c r="R9679">
        <v>-0.62150000000000005</v>
      </c>
    </row>
    <row r="9680" spans="1:18" x14ac:dyDescent="0.2">
      <c r="A9680" t="s">
        <v>663</v>
      </c>
      <c r="B9680" t="s">
        <v>1212</v>
      </c>
      <c r="C9680">
        <v>1</v>
      </c>
      <c r="D9680" s="1">
        <v>44302.823495370372</v>
      </c>
      <c r="E9680" t="s">
        <v>30094</v>
      </c>
      <c r="F9680" t="s">
        <v>666</v>
      </c>
      <c r="G9680" t="s">
        <v>30094</v>
      </c>
      <c r="H9680" t="s">
        <v>667</v>
      </c>
      <c r="I9680" t="s">
        <v>29</v>
      </c>
      <c r="J9680">
        <v>1</v>
      </c>
      <c r="K9680">
        <f>1-888-341-57</f>
        <v>-1285</v>
      </c>
      <c r="L9680" t="s">
        <v>30103</v>
      </c>
      <c r="M9680" t="s">
        <v>30098</v>
      </c>
      <c r="N9680">
        <v>181</v>
      </c>
      <c r="O9680" t="s">
        <v>134</v>
      </c>
      <c r="P9680" t="s">
        <v>618</v>
      </c>
      <c r="Q9680">
        <v>52</v>
      </c>
      <c r="R9680">
        <v>-0.62150000000000005</v>
      </c>
    </row>
    <row r="9681" spans="1:18" x14ac:dyDescent="0.2">
      <c r="A9681" t="s">
        <v>663</v>
      </c>
      <c r="B9681" t="s">
        <v>1212</v>
      </c>
      <c r="C9681">
        <v>1</v>
      </c>
      <c r="D9681" s="1">
        <v>44302.819479166668</v>
      </c>
      <c r="E9681" t="s">
        <v>30094</v>
      </c>
      <c r="F9681" t="s">
        <v>666</v>
      </c>
      <c r="G9681" t="s">
        <v>30094</v>
      </c>
      <c r="H9681" t="s">
        <v>667</v>
      </c>
      <c r="I9681" t="s">
        <v>29</v>
      </c>
      <c r="J9681">
        <v>1</v>
      </c>
      <c r="K9681">
        <f>1-888-341-135</f>
        <v>-1363</v>
      </c>
      <c r="L9681" t="s">
        <v>30104</v>
      </c>
      <c r="M9681" t="s">
        <v>30105</v>
      </c>
      <c r="N9681">
        <v>181</v>
      </c>
      <c r="O9681" t="s">
        <v>134</v>
      </c>
      <c r="P9681" t="s">
        <v>618</v>
      </c>
      <c r="Q9681">
        <v>52</v>
      </c>
      <c r="R9681">
        <v>-0.62150000000000005</v>
      </c>
    </row>
    <row r="9682" spans="1:18" x14ac:dyDescent="0.2">
      <c r="A9682" t="s">
        <v>663</v>
      </c>
      <c r="B9682" t="s">
        <v>1212</v>
      </c>
      <c r="C9682">
        <v>1</v>
      </c>
      <c r="D9682" s="1">
        <v>44302.806805555556</v>
      </c>
      <c r="E9682" t="s">
        <v>30094</v>
      </c>
      <c r="F9682" t="s">
        <v>666</v>
      </c>
      <c r="G9682" t="s">
        <v>30094</v>
      </c>
      <c r="H9682" t="s">
        <v>667</v>
      </c>
      <c r="I9682" t="s">
        <v>29</v>
      </c>
      <c r="J9682">
        <v>1</v>
      </c>
      <c r="K9682">
        <f>1-844-385-4435</f>
        <v>-5663</v>
      </c>
      <c r="L9682" t="s">
        <v>30106</v>
      </c>
      <c r="M9682" t="s">
        <v>30107</v>
      </c>
      <c r="N9682">
        <v>181</v>
      </c>
      <c r="O9682" t="s">
        <v>134</v>
      </c>
      <c r="P9682" t="s">
        <v>618</v>
      </c>
      <c r="Q9682">
        <v>52</v>
      </c>
      <c r="R9682">
        <v>-0.62150000000000005</v>
      </c>
    </row>
    <row r="9683" spans="1:18" x14ac:dyDescent="0.2">
      <c r="A9683" t="s">
        <v>663</v>
      </c>
      <c r="B9683" t="s">
        <v>1212</v>
      </c>
      <c r="C9683">
        <v>1</v>
      </c>
      <c r="D9683" s="1">
        <v>44302.806759259256</v>
      </c>
      <c r="E9683" t="s">
        <v>30094</v>
      </c>
      <c r="F9683" t="s">
        <v>666</v>
      </c>
      <c r="G9683" t="s">
        <v>30094</v>
      </c>
      <c r="H9683" t="s">
        <v>667</v>
      </c>
      <c r="I9683" t="s">
        <v>29</v>
      </c>
      <c r="J9683">
        <v>1</v>
      </c>
      <c r="K9683">
        <f>1-844-390-347</f>
        <v>-1580</v>
      </c>
      <c r="L9683" t="s">
        <v>30108</v>
      </c>
      <c r="M9683" t="s">
        <v>30107</v>
      </c>
      <c r="N9683">
        <v>181</v>
      </c>
      <c r="O9683" t="s">
        <v>134</v>
      </c>
      <c r="P9683" t="s">
        <v>618</v>
      </c>
      <c r="Q9683">
        <v>52</v>
      </c>
      <c r="R9683">
        <v>-0.62150000000000005</v>
      </c>
    </row>
    <row r="9684" spans="1:18" x14ac:dyDescent="0.2">
      <c r="A9684" t="s">
        <v>663</v>
      </c>
      <c r="B9684" t="s">
        <v>1212</v>
      </c>
      <c r="C9684">
        <v>1</v>
      </c>
      <c r="D9684" s="1">
        <v>44302.806712962964</v>
      </c>
      <c r="E9684" t="s">
        <v>30094</v>
      </c>
      <c r="F9684" t="s">
        <v>666</v>
      </c>
      <c r="G9684" t="s">
        <v>30094</v>
      </c>
      <c r="H9684" t="s">
        <v>667</v>
      </c>
      <c r="I9684" t="s">
        <v>29</v>
      </c>
      <c r="J9684">
        <v>1</v>
      </c>
      <c r="K9684">
        <f>1-844-390-5353</f>
        <v>-6586</v>
      </c>
      <c r="L9684" t="s">
        <v>30109</v>
      </c>
      <c r="M9684" t="s">
        <v>30107</v>
      </c>
      <c r="N9684">
        <v>181</v>
      </c>
      <c r="O9684" t="s">
        <v>134</v>
      </c>
      <c r="P9684" t="s">
        <v>618</v>
      </c>
      <c r="Q9684">
        <v>52</v>
      </c>
      <c r="R9684">
        <v>-0.62150000000000005</v>
      </c>
    </row>
    <row r="9685" spans="1:18" x14ac:dyDescent="0.2">
      <c r="A9685" t="s">
        <v>663</v>
      </c>
      <c r="B9685" t="s">
        <v>1212</v>
      </c>
      <c r="C9685">
        <v>1</v>
      </c>
      <c r="D9685" s="1">
        <v>44302.806666666664</v>
      </c>
      <c r="E9685" t="s">
        <v>30094</v>
      </c>
      <c r="F9685" t="s">
        <v>666</v>
      </c>
      <c r="G9685" t="s">
        <v>30094</v>
      </c>
      <c r="H9685" t="s">
        <v>667</v>
      </c>
      <c r="I9685" t="s">
        <v>29</v>
      </c>
      <c r="J9685">
        <v>1</v>
      </c>
      <c r="K9685">
        <f>1-844-395-4401</f>
        <v>-5639</v>
      </c>
      <c r="L9685" t="s">
        <v>30110</v>
      </c>
      <c r="M9685" t="s">
        <v>30107</v>
      </c>
      <c r="N9685">
        <v>181</v>
      </c>
      <c r="O9685" t="s">
        <v>134</v>
      </c>
      <c r="P9685" t="s">
        <v>618</v>
      </c>
      <c r="Q9685">
        <v>52</v>
      </c>
      <c r="R9685">
        <v>-0.62150000000000005</v>
      </c>
    </row>
    <row r="9686" spans="1:18" x14ac:dyDescent="0.2">
      <c r="A9686" t="s">
        <v>663</v>
      </c>
      <c r="B9686" t="s">
        <v>1212</v>
      </c>
      <c r="C9686">
        <v>1</v>
      </c>
      <c r="D9686" s="1">
        <v>44302.806620370371</v>
      </c>
      <c r="E9686" t="s">
        <v>30094</v>
      </c>
      <c r="F9686" t="s">
        <v>666</v>
      </c>
      <c r="G9686" t="s">
        <v>30094</v>
      </c>
      <c r="H9686" t="s">
        <v>667</v>
      </c>
      <c r="I9686" t="s">
        <v>29</v>
      </c>
      <c r="J9686">
        <v>1</v>
      </c>
      <c r="K9686">
        <f>1-888-250-6153</f>
        <v>-7290</v>
      </c>
      <c r="L9686" t="s">
        <v>30111</v>
      </c>
      <c r="M9686" t="s">
        <v>30107</v>
      </c>
      <c r="N9686">
        <v>181</v>
      </c>
      <c r="O9686" t="s">
        <v>134</v>
      </c>
      <c r="P9686" t="s">
        <v>618</v>
      </c>
      <c r="Q9686">
        <v>52</v>
      </c>
      <c r="R9686">
        <v>-0.62150000000000005</v>
      </c>
    </row>
    <row r="9687" spans="1:18" x14ac:dyDescent="0.2">
      <c r="A9687" t="s">
        <v>663</v>
      </c>
      <c r="B9687" t="s">
        <v>1212</v>
      </c>
      <c r="C9687">
        <v>1</v>
      </c>
      <c r="D9687" s="1">
        <v>44302.806574074071</v>
      </c>
      <c r="E9687" t="s">
        <v>30094</v>
      </c>
      <c r="F9687" t="s">
        <v>666</v>
      </c>
      <c r="G9687" t="s">
        <v>30094</v>
      </c>
      <c r="H9687" t="s">
        <v>667</v>
      </c>
      <c r="I9687" t="s">
        <v>29</v>
      </c>
      <c r="J9687">
        <v>1</v>
      </c>
      <c r="K9687">
        <f>1-888-295-1344</f>
        <v>-2526</v>
      </c>
      <c r="L9687" t="s">
        <v>30112</v>
      </c>
      <c r="M9687" t="s">
        <v>30107</v>
      </c>
      <c r="N9687">
        <v>181</v>
      </c>
      <c r="O9687" t="s">
        <v>134</v>
      </c>
      <c r="P9687" t="s">
        <v>618</v>
      </c>
      <c r="Q9687">
        <v>52</v>
      </c>
      <c r="R9687">
        <v>-0.62150000000000005</v>
      </c>
    </row>
    <row r="9688" spans="1:18" x14ac:dyDescent="0.2">
      <c r="A9688" t="s">
        <v>663</v>
      </c>
      <c r="B9688" t="s">
        <v>1212</v>
      </c>
      <c r="C9688">
        <v>1</v>
      </c>
      <c r="D9688" s="1">
        <v>44302.80605324074</v>
      </c>
      <c r="E9688" t="s">
        <v>30094</v>
      </c>
      <c r="F9688" t="s">
        <v>666</v>
      </c>
      <c r="G9688" t="s">
        <v>30094</v>
      </c>
      <c r="H9688" t="s">
        <v>667</v>
      </c>
      <c r="I9688" t="s">
        <v>29</v>
      </c>
      <c r="J9688">
        <v>1</v>
      </c>
      <c r="K9688">
        <f>1-833-220-3048</f>
        <v>-4100</v>
      </c>
      <c r="L9688" t="s">
        <v>30113</v>
      </c>
      <c r="M9688" t="s">
        <v>30107</v>
      </c>
      <c r="N9688">
        <v>181</v>
      </c>
      <c r="O9688" t="s">
        <v>134</v>
      </c>
      <c r="P9688" t="s">
        <v>618</v>
      </c>
      <c r="Q9688">
        <v>52</v>
      </c>
      <c r="R9688">
        <v>-0.62150000000000005</v>
      </c>
    </row>
    <row r="9689" spans="1:18" x14ac:dyDescent="0.2">
      <c r="A9689" t="s">
        <v>663</v>
      </c>
      <c r="B9689" t="s">
        <v>1212</v>
      </c>
      <c r="C9689">
        <v>1</v>
      </c>
      <c r="D9689" s="1">
        <v>44302.806018518517</v>
      </c>
      <c r="E9689" t="s">
        <v>30094</v>
      </c>
      <c r="F9689" t="s">
        <v>666</v>
      </c>
      <c r="G9689" t="s">
        <v>30094</v>
      </c>
      <c r="H9689" t="s">
        <v>667</v>
      </c>
      <c r="I9689" t="s">
        <v>29</v>
      </c>
      <c r="J9689">
        <v>1</v>
      </c>
      <c r="K9689">
        <f>1-844-277-1497</f>
        <v>-2617</v>
      </c>
      <c r="L9689" t="s">
        <v>30114</v>
      </c>
      <c r="M9689" t="s">
        <v>30107</v>
      </c>
      <c r="N9689">
        <v>181</v>
      </c>
      <c r="O9689" t="s">
        <v>134</v>
      </c>
      <c r="P9689" t="s">
        <v>618</v>
      </c>
      <c r="Q9689">
        <v>52</v>
      </c>
      <c r="R9689">
        <v>-0.62150000000000005</v>
      </c>
    </row>
    <row r="9690" spans="1:18" x14ac:dyDescent="0.2">
      <c r="A9690" t="s">
        <v>663</v>
      </c>
      <c r="B9690" t="s">
        <v>1212</v>
      </c>
      <c r="C9690">
        <v>1</v>
      </c>
      <c r="D9690" s="1">
        <v>44302.805972222224</v>
      </c>
      <c r="E9690" t="s">
        <v>30094</v>
      </c>
      <c r="F9690" t="s">
        <v>666</v>
      </c>
      <c r="G9690" t="s">
        <v>30094</v>
      </c>
      <c r="H9690" t="s">
        <v>667</v>
      </c>
      <c r="I9690" t="s">
        <v>29</v>
      </c>
      <c r="J9690">
        <v>1</v>
      </c>
      <c r="K9690">
        <f>1-844-285-2493</f>
        <v>-3621</v>
      </c>
      <c r="L9690" t="s">
        <v>30115</v>
      </c>
      <c r="M9690" t="s">
        <v>30107</v>
      </c>
      <c r="N9690">
        <v>181</v>
      </c>
      <c r="O9690" t="s">
        <v>134</v>
      </c>
      <c r="P9690" t="s">
        <v>618</v>
      </c>
      <c r="Q9690">
        <v>52</v>
      </c>
      <c r="R9690">
        <v>-0.62150000000000005</v>
      </c>
    </row>
    <row r="9691" spans="1:18" x14ac:dyDescent="0.2">
      <c r="A9691" t="s">
        <v>663</v>
      </c>
      <c r="B9691" t="s">
        <v>1212</v>
      </c>
      <c r="C9691">
        <v>1</v>
      </c>
      <c r="D9691" s="1">
        <v>44302.805925925924</v>
      </c>
      <c r="E9691" t="s">
        <v>30094</v>
      </c>
      <c r="F9691" t="s">
        <v>666</v>
      </c>
      <c r="G9691" t="s">
        <v>30094</v>
      </c>
      <c r="H9691" t="s">
        <v>667</v>
      </c>
      <c r="I9691" t="s">
        <v>29</v>
      </c>
      <c r="J9691">
        <v>1</v>
      </c>
      <c r="K9691">
        <f>1-844-343-7780</f>
        <v>-8966</v>
      </c>
      <c r="L9691" t="s">
        <v>30116</v>
      </c>
      <c r="M9691" t="s">
        <v>30107</v>
      </c>
      <c r="N9691">
        <v>181</v>
      </c>
      <c r="O9691" t="s">
        <v>134</v>
      </c>
      <c r="P9691" t="s">
        <v>618</v>
      </c>
      <c r="Q9691">
        <v>52</v>
      </c>
      <c r="R9691">
        <v>-0.62150000000000005</v>
      </c>
    </row>
    <row r="9692" spans="1:18" x14ac:dyDescent="0.2">
      <c r="A9692" t="s">
        <v>663</v>
      </c>
      <c r="B9692" t="s">
        <v>1212</v>
      </c>
      <c r="C9692">
        <v>1</v>
      </c>
      <c r="D9692" s="1">
        <v>44302.805879629632</v>
      </c>
      <c r="E9692" t="s">
        <v>30094</v>
      </c>
      <c r="F9692" t="s">
        <v>666</v>
      </c>
      <c r="G9692" t="s">
        <v>30094</v>
      </c>
      <c r="H9692" t="s">
        <v>667</v>
      </c>
      <c r="I9692" t="s">
        <v>29</v>
      </c>
      <c r="J9692">
        <v>1</v>
      </c>
      <c r="K9692">
        <f>1-844-332-6672</f>
        <v>-7847</v>
      </c>
      <c r="L9692" t="s">
        <v>30117</v>
      </c>
      <c r="M9692" t="s">
        <v>30107</v>
      </c>
      <c r="N9692">
        <v>181</v>
      </c>
      <c r="O9692" t="s">
        <v>134</v>
      </c>
      <c r="P9692" t="s">
        <v>618</v>
      </c>
      <c r="Q9692">
        <v>52</v>
      </c>
      <c r="R9692">
        <v>-0.62150000000000005</v>
      </c>
    </row>
    <row r="9693" spans="1:18" x14ac:dyDescent="0.2">
      <c r="A9693" t="s">
        <v>663</v>
      </c>
      <c r="B9693" t="s">
        <v>1212</v>
      </c>
      <c r="C9693">
        <v>1</v>
      </c>
      <c r="D9693" s="1">
        <v>44302.805833333332</v>
      </c>
      <c r="E9693" t="s">
        <v>30094</v>
      </c>
      <c r="F9693" t="s">
        <v>666</v>
      </c>
      <c r="G9693" t="s">
        <v>30094</v>
      </c>
      <c r="H9693" t="s">
        <v>667</v>
      </c>
      <c r="I9693" t="s">
        <v>29</v>
      </c>
      <c r="J9693">
        <v>1</v>
      </c>
      <c r="K9693">
        <f>1-866-787-3108</f>
        <v>-4760</v>
      </c>
      <c r="L9693" t="s">
        <v>30118</v>
      </c>
      <c r="M9693" t="s">
        <v>30107</v>
      </c>
      <c r="N9693">
        <v>181</v>
      </c>
      <c r="O9693" t="s">
        <v>134</v>
      </c>
      <c r="P9693" t="s">
        <v>618</v>
      </c>
      <c r="Q9693">
        <v>52</v>
      </c>
      <c r="R9693">
        <v>-0.62150000000000005</v>
      </c>
    </row>
    <row r="9694" spans="1:18" x14ac:dyDescent="0.2">
      <c r="A9694" t="s">
        <v>663</v>
      </c>
      <c r="B9694" t="s">
        <v>1212</v>
      </c>
      <c r="C9694">
        <v>1</v>
      </c>
      <c r="D9694" s="1">
        <v>44302.804375</v>
      </c>
      <c r="E9694" t="s">
        <v>30094</v>
      </c>
      <c r="F9694" t="s">
        <v>666</v>
      </c>
      <c r="G9694" t="s">
        <v>30094</v>
      </c>
      <c r="H9694" t="s">
        <v>667</v>
      </c>
      <c r="I9694" t="s">
        <v>29</v>
      </c>
      <c r="J9694">
        <v>1</v>
      </c>
      <c r="K9694">
        <f>1-833-400-167</f>
        <v>-1399</v>
      </c>
      <c r="L9694" t="s">
        <v>30119</v>
      </c>
      <c r="M9694" t="s">
        <v>30107</v>
      </c>
      <c r="N9694">
        <v>181</v>
      </c>
      <c r="O9694" t="s">
        <v>134</v>
      </c>
      <c r="P9694" t="s">
        <v>618</v>
      </c>
      <c r="Q9694">
        <v>52</v>
      </c>
      <c r="R9694">
        <v>-0.62150000000000005</v>
      </c>
    </row>
    <row r="9695" spans="1:18" x14ac:dyDescent="0.2">
      <c r="A9695" t="s">
        <v>439</v>
      </c>
      <c r="B9695" t="s">
        <v>440</v>
      </c>
      <c r="C9695">
        <v>1</v>
      </c>
      <c r="D9695" s="1">
        <v>44302.836481481485</v>
      </c>
      <c r="E9695" t="s">
        <v>30120</v>
      </c>
      <c r="F9695" t="s">
        <v>442</v>
      </c>
      <c r="G9695" t="s">
        <v>30121</v>
      </c>
      <c r="H9695" t="s">
        <v>444</v>
      </c>
      <c r="I9695" t="s">
        <v>29</v>
      </c>
      <c r="J9695">
        <v>1</v>
      </c>
      <c r="K9695">
        <f>1-844-856-1870</f>
        <v>-3569</v>
      </c>
      <c r="L9695" t="s">
        <v>30122</v>
      </c>
      <c r="M9695" t="s">
        <v>30123</v>
      </c>
      <c r="N9695" t="s">
        <v>213</v>
      </c>
      <c r="O9695" t="s">
        <v>28</v>
      </c>
      <c r="P9695" t="s">
        <v>29</v>
      </c>
      <c r="Q9695">
        <v>39</v>
      </c>
      <c r="R9695">
        <v>-77.487399999999994</v>
      </c>
    </row>
    <row r="9696" spans="1:18" x14ac:dyDescent="0.2">
      <c r="A9696" t="s">
        <v>439</v>
      </c>
      <c r="B9696" t="s">
        <v>440</v>
      </c>
      <c r="C9696">
        <v>1</v>
      </c>
      <c r="D9696" s="1">
        <v>44302.865659722222</v>
      </c>
      <c r="E9696" t="s">
        <v>30124</v>
      </c>
      <c r="F9696" t="s">
        <v>442</v>
      </c>
      <c r="G9696" t="s">
        <v>30125</v>
      </c>
      <c r="H9696" t="s">
        <v>444</v>
      </c>
      <c r="I9696" t="s">
        <v>29</v>
      </c>
      <c r="J9696">
        <v>1</v>
      </c>
      <c r="K9696">
        <f>1-888-690-2478</f>
        <v>-4055</v>
      </c>
      <c r="L9696" t="s">
        <v>30126</v>
      </c>
      <c r="M9696" t="s">
        <v>30127</v>
      </c>
      <c r="N9696" t="s">
        <v>25195</v>
      </c>
      <c r="O9696" t="s">
        <v>28</v>
      </c>
      <c r="P9696" t="s">
        <v>29</v>
      </c>
      <c r="Q9696">
        <v>39</v>
      </c>
      <c r="R9696">
        <v>-77.487399999999994</v>
      </c>
    </row>
    <row r="9697" spans="1:18" x14ac:dyDescent="0.2">
      <c r="A9697" t="s">
        <v>2233</v>
      </c>
      <c r="B9697" t="s">
        <v>2234</v>
      </c>
      <c r="C9697">
        <v>1</v>
      </c>
      <c r="D9697" s="1">
        <v>44302.87054398148</v>
      </c>
      <c r="E9697" t="s">
        <v>30128</v>
      </c>
      <c r="F9697" t="s">
        <v>2236</v>
      </c>
      <c r="G9697" t="s">
        <v>30128</v>
      </c>
      <c r="H9697" t="s">
        <v>2237</v>
      </c>
      <c r="I9697" t="s">
        <v>29</v>
      </c>
      <c r="J9697">
        <v>1</v>
      </c>
      <c r="K9697">
        <f>1-800-683-4103</f>
        <v>-5585</v>
      </c>
      <c r="L9697" t="s">
        <v>30129</v>
      </c>
      <c r="M9697" t="s">
        <v>30130</v>
      </c>
      <c r="N9697">
        <v>214</v>
      </c>
      <c r="O9697" t="s">
        <v>134</v>
      </c>
      <c r="P9697" t="s">
        <v>29</v>
      </c>
      <c r="Q9697">
        <v>40</v>
      </c>
      <c r="R9697">
        <v>-83.114099999999993</v>
      </c>
    </row>
    <row r="9698" spans="1:18" x14ac:dyDescent="0.2">
      <c r="A9698" t="s">
        <v>439</v>
      </c>
      <c r="B9698" t="s">
        <v>440</v>
      </c>
      <c r="C9698">
        <v>1</v>
      </c>
      <c r="D9698" s="1">
        <v>44303.667118055557</v>
      </c>
      <c r="E9698" t="s">
        <v>30131</v>
      </c>
      <c r="F9698" t="s">
        <v>442</v>
      </c>
      <c r="G9698" t="s">
        <v>30132</v>
      </c>
      <c r="H9698" t="s">
        <v>444</v>
      </c>
      <c r="I9698" t="s">
        <v>29</v>
      </c>
      <c r="J9698">
        <v>1</v>
      </c>
      <c r="K9698">
        <f>1-844-853-2712</f>
        <v>-4408</v>
      </c>
      <c r="L9698" t="s">
        <v>30133</v>
      </c>
      <c r="M9698" t="s">
        <v>30134</v>
      </c>
      <c r="N9698" t="s">
        <v>213</v>
      </c>
      <c r="O9698" t="s">
        <v>28</v>
      </c>
      <c r="P9698" t="s">
        <v>29</v>
      </c>
      <c r="Q9698">
        <v>39</v>
      </c>
      <c r="R9698">
        <v>-77.487399999999994</v>
      </c>
    </row>
    <row r="9699" spans="1:18" x14ac:dyDescent="0.2">
      <c r="A9699" t="s">
        <v>439</v>
      </c>
      <c r="B9699" t="s">
        <v>4321</v>
      </c>
      <c r="C9699">
        <v>1</v>
      </c>
      <c r="D9699" s="1">
        <v>44302.899513888886</v>
      </c>
      <c r="E9699" t="s">
        <v>30135</v>
      </c>
      <c r="F9699" t="s">
        <v>442</v>
      </c>
      <c r="G9699" t="s">
        <v>30136</v>
      </c>
      <c r="H9699" t="s">
        <v>444</v>
      </c>
      <c r="I9699" t="s">
        <v>29</v>
      </c>
      <c r="J9699">
        <v>1</v>
      </c>
      <c r="K9699">
        <f>1-844-461-963</f>
        <v>-2267</v>
      </c>
      <c r="L9699" t="s">
        <v>30137</v>
      </c>
      <c r="M9699" t="s">
        <v>30138</v>
      </c>
      <c r="N9699" t="s">
        <v>447</v>
      </c>
      <c r="O9699" t="s">
        <v>28</v>
      </c>
      <c r="P9699" t="s">
        <v>29</v>
      </c>
      <c r="Q9699">
        <v>42</v>
      </c>
      <c r="R9699">
        <v>-87.629800000000003</v>
      </c>
    </row>
    <row r="9700" spans="1:18" x14ac:dyDescent="0.2">
      <c r="A9700" t="s">
        <v>439</v>
      </c>
      <c r="B9700" t="s">
        <v>440</v>
      </c>
      <c r="C9700">
        <v>1</v>
      </c>
      <c r="D9700" s="1">
        <v>44303.664907407408</v>
      </c>
      <c r="E9700" t="s">
        <v>30139</v>
      </c>
      <c r="F9700" t="s">
        <v>442</v>
      </c>
      <c r="G9700" t="s">
        <v>30140</v>
      </c>
      <c r="H9700" t="s">
        <v>444</v>
      </c>
      <c r="I9700" t="s">
        <v>29</v>
      </c>
      <c r="J9700">
        <v>1</v>
      </c>
      <c r="K9700">
        <f>1-844-857-3908</f>
        <v>-5608</v>
      </c>
      <c r="L9700" t="s">
        <v>30141</v>
      </c>
      <c r="M9700" t="s">
        <v>30142</v>
      </c>
      <c r="N9700" t="s">
        <v>213</v>
      </c>
      <c r="O9700" t="s">
        <v>28</v>
      </c>
      <c r="P9700" t="s">
        <v>29</v>
      </c>
      <c r="Q9700">
        <v>39</v>
      </c>
      <c r="R9700">
        <v>-77.487399999999994</v>
      </c>
    </row>
    <row r="9701" spans="1:18" x14ac:dyDescent="0.2">
      <c r="A9701" t="s">
        <v>439</v>
      </c>
      <c r="B9701" t="s">
        <v>4321</v>
      </c>
      <c r="C9701">
        <v>1</v>
      </c>
      <c r="D9701" s="1">
        <v>44302.916689814818</v>
      </c>
      <c r="E9701" t="s">
        <v>30143</v>
      </c>
      <c r="F9701" t="s">
        <v>442</v>
      </c>
      <c r="G9701" t="s">
        <v>30144</v>
      </c>
      <c r="H9701" t="s">
        <v>444</v>
      </c>
      <c r="I9701" t="s">
        <v>29</v>
      </c>
      <c r="J9701">
        <v>1</v>
      </c>
      <c r="K9701">
        <f>1-888-291-3524</f>
        <v>-4702</v>
      </c>
      <c r="L9701" t="s">
        <v>30145</v>
      </c>
      <c r="M9701" t="s">
        <v>30146</v>
      </c>
      <c r="N9701" t="s">
        <v>447</v>
      </c>
      <c r="O9701" t="s">
        <v>28</v>
      </c>
      <c r="P9701" t="s">
        <v>29</v>
      </c>
      <c r="Q9701">
        <v>42</v>
      </c>
      <c r="R9701">
        <v>-87.629800000000003</v>
      </c>
    </row>
    <row r="9702" spans="1:18" x14ac:dyDescent="0.2">
      <c r="A9702" t="s">
        <v>663</v>
      </c>
      <c r="B9702" t="s">
        <v>2500</v>
      </c>
      <c r="C9702">
        <v>1</v>
      </c>
      <c r="D9702" s="1">
        <v>44303.90289351852</v>
      </c>
      <c r="E9702" t="s">
        <v>30147</v>
      </c>
      <c r="F9702" t="s">
        <v>23451</v>
      </c>
      <c r="G9702" t="s">
        <v>30147</v>
      </c>
      <c r="H9702" t="s">
        <v>667</v>
      </c>
      <c r="I9702" t="s">
        <v>29</v>
      </c>
      <c r="J9702">
        <v>1</v>
      </c>
      <c r="K9702">
        <f>1-888-243-991</f>
        <v>-2121</v>
      </c>
      <c r="L9702" t="s">
        <v>30148</v>
      </c>
      <c r="M9702" t="s">
        <v>30149</v>
      </c>
      <c r="N9702">
        <v>3</v>
      </c>
      <c r="O9702" t="s">
        <v>134</v>
      </c>
      <c r="P9702" t="s">
        <v>2500</v>
      </c>
      <c r="Q9702">
        <v>1</v>
      </c>
      <c r="R9702">
        <v>99.999999000000003</v>
      </c>
    </row>
    <row r="9703" spans="1:18" x14ac:dyDescent="0.2">
      <c r="A9703" t="s">
        <v>663</v>
      </c>
      <c r="B9703" t="s">
        <v>2500</v>
      </c>
      <c r="C9703">
        <v>1</v>
      </c>
      <c r="D9703" s="1">
        <v>44303.893055555556</v>
      </c>
      <c r="E9703" t="s">
        <v>30147</v>
      </c>
      <c r="F9703" t="s">
        <v>23451</v>
      </c>
      <c r="G9703" t="s">
        <v>30147</v>
      </c>
      <c r="H9703" t="s">
        <v>667</v>
      </c>
      <c r="I9703" t="s">
        <v>29</v>
      </c>
      <c r="J9703">
        <v>1</v>
      </c>
      <c r="K9703">
        <f>1-888-315-6585</f>
        <v>-7787</v>
      </c>
      <c r="L9703" t="s">
        <v>30150</v>
      </c>
      <c r="M9703" t="s">
        <v>30151</v>
      </c>
      <c r="N9703">
        <v>3</v>
      </c>
      <c r="O9703" t="s">
        <v>134</v>
      </c>
      <c r="P9703" t="s">
        <v>2500</v>
      </c>
      <c r="Q9703">
        <v>1</v>
      </c>
      <c r="R9703">
        <v>99.999999000000003</v>
      </c>
    </row>
    <row r="9704" spans="1:18" x14ac:dyDescent="0.2">
      <c r="A9704" t="s">
        <v>663</v>
      </c>
      <c r="B9704" t="s">
        <v>2500</v>
      </c>
      <c r="C9704">
        <v>1</v>
      </c>
      <c r="D9704" s="1">
        <v>44303.872835648152</v>
      </c>
      <c r="E9704" t="s">
        <v>30147</v>
      </c>
      <c r="F9704" t="s">
        <v>23451</v>
      </c>
      <c r="G9704" t="s">
        <v>30147</v>
      </c>
      <c r="H9704" t="s">
        <v>667</v>
      </c>
      <c r="I9704" t="s">
        <v>29</v>
      </c>
      <c r="J9704">
        <v>1</v>
      </c>
      <c r="K9704">
        <f>1-833-453-4801</f>
        <v>-6086</v>
      </c>
      <c r="L9704" t="s">
        <v>30152</v>
      </c>
      <c r="M9704" t="s">
        <v>30153</v>
      </c>
      <c r="N9704">
        <v>3</v>
      </c>
      <c r="O9704" t="s">
        <v>134</v>
      </c>
      <c r="P9704" t="s">
        <v>2500</v>
      </c>
      <c r="Q9704">
        <v>1</v>
      </c>
      <c r="R9704">
        <v>99.999999000000003</v>
      </c>
    </row>
    <row r="9705" spans="1:18" x14ac:dyDescent="0.2">
      <c r="A9705" t="s">
        <v>439</v>
      </c>
      <c r="B9705" t="s">
        <v>6226</v>
      </c>
      <c r="C9705">
        <v>1</v>
      </c>
      <c r="D9705" s="1">
        <v>44303.714108796295</v>
      </c>
      <c r="E9705" t="s">
        <v>30154</v>
      </c>
      <c r="F9705" t="s">
        <v>442</v>
      </c>
      <c r="G9705" t="s">
        <v>30155</v>
      </c>
      <c r="H9705" t="s">
        <v>444</v>
      </c>
      <c r="I9705" t="s">
        <v>29</v>
      </c>
      <c r="J9705">
        <v>1</v>
      </c>
      <c r="K9705">
        <f>1-888-515-7426</f>
        <v>-8828</v>
      </c>
      <c r="L9705" t="s">
        <v>30156</v>
      </c>
      <c r="M9705" t="s">
        <v>30157</v>
      </c>
      <c r="N9705" t="s">
        <v>25195</v>
      </c>
      <c r="O9705" t="s">
        <v>28</v>
      </c>
      <c r="P9705" t="s">
        <v>29</v>
      </c>
      <c r="Q9705">
        <v>26</v>
      </c>
      <c r="R9705">
        <v>-80.191800000000001</v>
      </c>
    </row>
    <row r="9706" spans="1:18" x14ac:dyDescent="0.2">
      <c r="A9706" t="s">
        <v>2233</v>
      </c>
      <c r="B9706" t="s">
        <v>6390</v>
      </c>
      <c r="C9706">
        <v>1</v>
      </c>
      <c r="D9706" s="1">
        <v>44303.769178240742</v>
      </c>
      <c r="E9706" t="s">
        <v>30158</v>
      </c>
      <c r="F9706" t="s">
        <v>2236</v>
      </c>
      <c r="G9706" t="s">
        <v>30159</v>
      </c>
      <c r="H9706" t="s">
        <v>2237</v>
      </c>
      <c r="I9706" t="s">
        <v>29</v>
      </c>
      <c r="J9706">
        <v>1</v>
      </c>
      <c r="K9706">
        <f>1-917-636-7124</f>
        <v>-8676</v>
      </c>
      <c r="L9706" t="s">
        <v>30160</v>
      </c>
      <c r="M9706" t="s">
        <v>30161</v>
      </c>
      <c r="N9706" t="s">
        <v>5354</v>
      </c>
      <c r="O9706" t="s">
        <v>28</v>
      </c>
      <c r="P9706" t="s">
        <v>29</v>
      </c>
      <c r="Q9706">
        <v>37</v>
      </c>
      <c r="R9706">
        <v>-99.999999000000003</v>
      </c>
    </row>
    <row r="9707" spans="1:18" x14ac:dyDescent="0.2">
      <c r="A9707" t="s">
        <v>439</v>
      </c>
      <c r="B9707" t="s">
        <v>440</v>
      </c>
      <c r="C9707">
        <v>1</v>
      </c>
      <c r="D9707" s="1">
        <v>44303.843622685185</v>
      </c>
      <c r="E9707" t="s">
        <v>30162</v>
      </c>
      <c r="F9707" t="s">
        <v>442</v>
      </c>
      <c r="G9707" t="s">
        <v>30163</v>
      </c>
      <c r="H9707" t="s">
        <v>444</v>
      </c>
      <c r="I9707" t="s">
        <v>29</v>
      </c>
      <c r="J9707">
        <v>1</v>
      </c>
      <c r="K9707">
        <f>1-888-690-2479</f>
        <v>-4056</v>
      </c>
      <c r="L9707" t="s">
        <v>30164</v>
      </c>
      <c r="M9707" t="s">
        <v>30165</v>
      </c>
      <c r="N9707" t="s">
        <v>25195</v>
      </c>
      <c r="O9707" t="s">
        <v>28</v>
      </c>
      <c r="P9707" t="s">
        <v>29</v>
      </c>
      <c r="Q9707">
        <v>39</v>
      </c>
      <c r="R9707">
        <v>-77.487399999999994</v>
      </c>
    </row>
    <row r="9708" spans="1:18" x14ac:dyDescent="0.2">
      <c r="A9708" t="s">
        <v>2233</v>
      </c>
      <c r="B9708" t="s">
        <v>6390</v>
      </c>
      <c r="C9708">
        <v>1</v>
      </c>
      <c r="D9708" s="1">
        <v>44302.945347222223</v>
      </c>
      <c r="E9708" t="s">
        <v>30166</v>
      </c>
      <c r="F9708" t="s">
        <v>2236</v>
      </c>
      <c r="G9708" t="s">
        <v>30167</v>
      </c>
      <c r="H9708" t="s">
        <v>2237</v>
      </c>
      <c r="I9708" t="s">
        <v>29</v>
      </c>
      <c r="J9708">
        <v>1</v>
      </c>
      <c r="K9708">
        <f>1-888-382-2618</f>
        <v>-3887</v>
      </c>
      <c r="L9708" t="s">
        <v>30168</v>
      </c>
      <c r="M9708" t="s">
        <v>30169</v>
      </c>
      <c r="N9708" t="s">
        <v>5354</v>
      </c>
      <c r="O9708" t="s">
        <v>28</v>
      </c>
      <c r="P9708" t="s">
        <v>29</v>
      </c>
      <c r="Q9708">
        <v>37</v>
      </c>
      <c r="R9708">
        <v>-99.999999000000003</v>
      </c>
    </row>
    <row r="9709" spans="1:18" x14ac:dyDescent="0.2">
      <c r="A9709" t="s">
        <v>439</v>
      </c>
      <c r="B9709" t="s">
        <v>5337</v>
      </c>
      <c r="C9709">
        <v>1</v>
      </c>
      <c r="D9709" s="1">
        <v>44303.68472222222</v>
      </c>
      <c r="E9709" t="s">
        <v>30170</v>
      </c>
      <c r="F9709" t="s">
        <v>442</v>
      </c>
      <c r="G9709" t="s">
        <v>30171</v>
      </c>
      <c r="H9709" t="s">
        <v>444</v>
      </c>
      <c r="I9709" t="s">
        <v>29</v>
      </c>
      <c r="J9709">
        <v>1</v>
      </c>
      <c r="K9709">
        <f>1-844-853-4665</f>
        <v>-6361</v>
      </c>
      <c r="L9709" t="s">
        <v>30172</v>
      </c>
      <c r="M9709" t="s">
        <v>30173</v>
      </c>
      <c r="N9709" t="s">
        <v>213</v>
      </c>
      <c r="O9709" t="s">
        <v>28</v>
      </c>
      <c r="P9709" t="s">
        <v>29</v>
      </c>
      <c r="Q9709">
        <v>38</v>
      </c>
      <c r="R9709">
        <v>-99.999999000000003</v>
      </c>
    </row>
    <row r="9710" spans="1:18" x14ac:dyDescent="0.2">
      <c r="A9710" t="s">
        <v>439</v>
      </c>
      <c r="B9710" t="s">
        <v>4321</v>
      </c>
      <c r="C9710">
        <v>1</v>
      </c>
      <c r="D9710" s="1">
        <v>44303.044525462959</v>
      </c>
      <c r="E9710" t="s">
        <v>30174</v>
      </c>
      <c r="F9710" t="s">
        <v>442</v>
      </c>
      <c r="G9710" t="s">
        <v>30175</v>
      </c>
      <c r="H9710" t="s">
        <v>444</v>
      </c>
      <c r="I9710" t="s">
        <v>29</v>
      </c>
      <c r="J9710">
        <v>1</v>
      </c>
      <c r="K9710">
        <f>1-844-854-4473</f>
        <v>-6170</v>
      </c>
      <c r="L9710" t="s">
        <v>30176</v>
      </c>
      <c r="M9710" t="s">
        <v>30177</v>
      </c>
      <c r="N9710" t="s">
        <v>3441</v>
      </c>
      <c r="O9710" t="s">
        <v>28</v>
      </c>
      <c r="P9710" t="s">
        <v>29</v>
      </c>
      <c r="Q9710">
        <v>42</v>
      </c>
      <c r="R9710">
        <v>-87.629800000000003</v>
      </c>
    </row>
    <row r="9711" spans="1:18" x14ac:dyDescent="0.2">
      <c r="A9711" t="s">
        <v>439</v>
      </c>
      <c r="B9711" t="s">
        <v>440</v>
      </c>
      <c r="C9711">
        <v>81</v>
      </c>
      <c r="D9711" s="1">
        <v>44303.399699074071</v>
      </c>
      <c r="E9711" t="s">
        <v>30178</v>
      </c>
      <c r="F9711" t="s">
        <v>442</v>
      </c>
      <c r="G9711" t="s">
        <v>30179</v>
      </c>
      <c r="H9711" t="s">
        <v>444</v>
      </c>
      <c r="I9711" t="s">
        <v>53</v>
      </c>
      <c r="J9711">
        <v>81</v>
      </c>
      <c r="K9711">
        <f>81-50-5539-2429</f>
        <v>-7937</v>
      </c>
      <c r="L9711" t="s">
        <v>30180</v>
      </c>
      <c r="M9711" t="s">
        <v>30181</v>
      </c>
      <c r="N9711" t="s">
        <v>447</v>
      </c>
      <c r="O9711" t="s">
        <v>134</v>
      </c>
      <c r="P9711" t="s">
        <v>29</v>
      </c>
      <c r="Q9711">
        <v>39</v>
      </c>
      <c r="R9711">
        <v>-77.487399999999994</v>
      </c>
    </row>
    <row r="9712" spans="1:18" x14ac:dyDescent="0.2">
      <c r="A9712" t="s">
        <v>439</v>
      </c>
      <c r="B9712" t="s">
        <v>440</v>
      </c>
      <c r="C9712">
        <v>81</v>
      </c>
      <c r="D9712" s="1">
        <v>44303.398842592593</v>
      </c>
      <c r="E9712" t="s">
        <v>30182</v>
      </c>
      <c r="F9712" t="s">
        <v>442</v>
      </c>
      <c r="G9712" t="s">
        <v>30183</v>
      </c>
      <c r="H9712" t="s">
        <v>444</v>
      </c>
      <c r="I9712" t="s">
        <v>53</v>
      </c>
      <c r="J9712">
        <v>81</v>
      </c>
      <c r="K9712">
        <f>81-50-3196-5585</f>
        <v>-8750</v>
      </c>
      <c r="L9712" t="s">
        <v>30184</v>
      </c>
      <c r="M9712" t="s">
        <v>30185</v>
      </c>
      <c r="N9712" t="s">
        <v>213</v>
      </c>
      <c r="O9712" t="s">
        <v>134</v>
      </c>
      <c r="P9712" t="s">
        <v>29</v>
      </c>
      <c r="Q9712">
        <v>39</v>
      </c>
      <c r="R9712">
        <v>-77.487399999999994</v>
      </c>
    </row>
    <row r="9713" spans="1:18" x14ac:dyDescent="0.2">
      <c r="A9713" t="s">
        <v>439</v>
      </c>
      <c r="B9713" t="s">
        <v>440</v>
      </c>
      <c r="C9713">
        <v>1</v>
      </c>
      <c r="D9713" s="1">
        <v>44303.931886574072</v>
      </c>
      <c r="E9713" t="s">
        <v>30186</v>
      </c>
      <c r="F9713" t="s">
        <v>442</v>
      </c>
      <c r="G9713" t="s">
        <v>30187</v>
      </c>
      <c r="H9713" t="s">
        <v>444</v>
      </c>
      <c r="I9713" t="s">
        <v>29</v>
      </c>
      <c r="J9713">
        <v>1</v>
      </c>
      <c r="K9713">
        <f>1-888-690-2480</f>
        <v>-4057</v>
      </c>
      <c r="L9713" t="s">
        <v>30188</v>
      </c>
      <c r="M9713" t="s">
        <v>30189</v>
      </c>
      <c r="N9713" t="s">
        <v>25195</v>
      </c>
      <c r="O9713" t="s">
        <v>28</v>
      </c>
      <c r="P9713" t="s">
        <v>29</v>
      </c>
      <c r="Q9713">
        <v>39</v>
      </c>
      <c r="R9713">
        <v>-77.487399999999994</v>
      </c>
    </row>
    <row r="9714" spans="1:18" x14ac:dyDescent="0.2">
      <c r="A9714" t="s">
        <v>439</v>
      </c>
      <c r="B9714" t="s">
        <v>4321</v>
      </c>
      <c r="C9714">
        <v>1</v>
      </c>
      <c r="D9714" s="1">
        <v>44303.979143518518</v>
      </c>
      <c r="E9714" t="s">
        <v>30190</v>
      </c>
      <c r="F9714" t="s">
        <v>442</v>
      </c>
      <c r="G9714" t="s">
        <v>30191</v>
      </c>
      <c r="H9714" t="s">
        <v>444</v>
      </c>
      <c r="I9714" t="s">
        <v>29</v>
      </c>
      <c r="J9714">
        <v>1</v>
      </c>
      <c r="K9714">
        <f>1-888-690-2483</f>
        <v>-4060</v>
      </c>
      <c r="L9714" t="s">
        <v>30192</v>
      </c>
      <c r="M9714" t="s">
        <v>30193</v>
      </c>
      <c r="N9714" t="s">
        <v>30194</v>
      </c>
      <c r="O9714" t="s">
        <v>28</v>
      </c>
      <c r="P9714" t="s">
        <v>29</v>
      </c>
      <c r="Q9714">
        <v>42</v>
      </c>
      <c r="R9714">
        <v>-87.629800000000003</v>
      </c>
    </row>
    <row r="9715" spans="1:18" x14ac:dyDescent="0.2">
      <c r="A9715" t="s">
        <v>439</v>
      </c>
      <c r="B9715" t="s">
        <v>5337</v>
      </c>
      <c r="C9715">
        <v>1</v>
      </c>
      <c r="D9715" s="1">
        <v>44305.011608796296</v>
      </c>
      <c r="E9715" t="s">
        <v>30195</v>
      </c>
      <c r="F9715" t="s">
        <v>442</v>
      </c>
      <c r="G9715" t="s">
        <v>30196</v>
      </c>
      <c r="H9715" t="s">
        <v>444</v>
      </c>
      <c r="I9715" t="s">
        <v>29</v>
      </c>
      <c r="J9715">
        <v>1</v>
      </c>
      <c r="K9715">
        <f>1-888-381-917</f>
        <v>-2185</v>
      </c>
      <c r="L9715" t="s">
        <v>30197</v>
      </c>
      <c r="M9715" t="s">
        <v>30198</v>
      </c>
      <c r="N9715" t="s">
        <v>30194</v>
      </c>
      <c r="O9715" t="s">
        <v>28</v>
      </c>
      <c r="P9715" t="s">
        <v>29</v>
      </c>
      <c r="Q9715">
        <v>38</v>
      </c>
      <c r="R9715">
        <v>-99.999999000000003</v>
      </c>
    </row>
    <row r="9716" spans="1:18" x14ac:dyDescent="0.2">
      <c r="A9716" t="s">
        <v>2233</v>
      </c>
      <c r="B9716" t="s">
        <v>6390</v>
      </c>
      <c r="C9716">
        <v>1</v>
      </c>
      <c r="D9716" s="1">
        <v>44304.651076388887</v>
      </c>
      <c r="E9716" t="s">
        <v>30199</v>
      </c>
      <c r="F9716" t="s">
        <v>2236</v>
      </c>
      <c r="G9716" t="s">
        <v>30200</v>
      </c>
      <c r="H9716" t="s">
        <v>2237</v>
      </c>
      <c r="I9716" t="s">
        <v>29</v>
      </c>
      <c r="J9716">
        <v>1</v>
      </c>
      <c r="K9716">
        <f>1-319-359-5036</f>
        <v>-5713</v>
      </c>
      <c r="L9716" t="s">
        <v>30201</v>
      </c>
      <c r="M9716" t="s">
        <v>30202</v>
      </c>
      <c r="N9716" t="s">
        <v>5354</v>
      </c>
      <c r="O9716" t="s">
        <v>28</v>
      </c>
      <c r="P9716" t="s">
        <v>29</v>
      </c>
      <c r="Q9716">
        <v>37</v>
      </c>
      <c r="R9716">
        <v>-99.999999000000003</v>
      </c>
    </row>
    <row r="9717" spans="1:18" x14ac:dyDescent="0.2">
      <c r="A9717" t="s">
        <v>439</v>
      </c>
      <c r="B9717" t="s">
        <v>4321</v>
      </c>
      <c r="C9717">
        <v>1</v>
      </c>
      <c r="D9717" s="1">
        <v>44304.927835648145</v>
      </c>
      <c r="E9717" t="s">
        <v>30203</v>
      </c>
      <c r="F9717" t="s">
        <v>442</v>
      </c>
      <c r="G9717" t="s">
        <v>30204</v>
      </c>
      <c r="H9717" t="s">
        <v>444</v>
      </c>
      <c r="I9717" t="s">
        <v>29</v>
      </c>
      <c r="J9717">
        <v>1</v>
      </c>
      <c r="K9717">
        <f>1-888-381-253</f>
        <v>-1521</v>
      </c>
      <c r="L9717" t="s">
        <v>30205</v>
      </c>
      <c r="M9717" t="s">
        <v>30206</v>
      </c>
      <c r="N9717" t="s">
        <v>30194</v>
      </c>
      <c r="O9717" t="s">
        <v>28</v>
      </c>
      <c r="P9717" t="s">
        <v>29</v>
      </c>
      <c r="Q9717">
        <v>42</v>
      </c>
      <c r="R9717">
        <v>-87.629800000000003</v>
      </c>
    </row>
    <row r="9718" spans="1:18" x14ac:dyDescent="0.2">
      <c r="A9718" t="s">
        <v>439</v>
      </c>
      <c r="B9718" t="s">
        <v>4321</v>
      </c>
      <c r="C9718">
        <v>1</v>
      </c>
      <c r="D9718" s="1">
        <v>44304.913344907407</v>
      </c>
      <c r="E9718" t="s">
        <v>30207</v>
      </c>
      <c r="F9718" t="s">
        <v>442</v>
      </c>
      <c r="G9718" t="s">
        <v>30204</v>
      </c>
      <c r="H9718" t="s">
        <v>444</v>
      </c>
      <c r="I9718" t="s">
        <v>29</v>
      </c>
      <c r="J9718">
        <v>1</v>
      </c>
      <c r="K9718">
        <f>1-888-381-253</f>
        <v>-1521</v>
      </c>
      <c r="L9718" t="s">
        <v>30208</v>
      </c>
      <c r="M9718" t="s">
        <v>30209</v>
      </c>
      <c r="N9718" t="s">
        <v>30194</v>
      </c>
      <c r="O9718" t="s">
        <v>28</v>
      </c>
      <c r="P9718" t="s">
        <v>29</v>
      </c>
      <c r="Q9718">
        <v>42</v>
      </c>
      <c r="R9718">
        <v>-87.629800000000003</v>
      </c>
    </row>
    <row r="9719" spans="1:18" x14ac:dyDescent="0.2">
      <c r="A9719" t="s">
        <v>439</v>
      </c>
      <c r="B9719" t="s">
        <v>4321</v>
      </c>
      <c r="C9719">
        <v>1</v>
      </c>
      <c r="D9719" s="1">
        <v>44305.774131944447</v>
      </c>
      <c r="E9719" t="s">
        <v>30210</v>
      </c>
      <c r="F9719" t="s">
        <v>442</v>
      </c>
      <c r="G9719" t="s">
        <v>30211</v>
      </c>
      <c r="H9719" t="s">
        <v>444</v>
      </c>
      <c r="I9719" t="s">
        <v>29</v>
      </c>
      <c r="J9719">
        <v>1</v>
      </c>
      <c r="K9719">
        <f>1-888-308-1694</f>
        <v>-2889</v>
      </c>
      <c r="L9719" t="s">
        <v>30212</v>
      </c>
      <c r="M9719" t="s">
        <v>30213</v>
      </c>
      <c r="N9719" t="s">
        <v>29454</v>
      </c>
      <c r="O9719" t="s">
        <v>28</v>
      </c>
      <c r="P9719" t="s">
        <v>29</v>
      </c>
      <c r="Q9719">
        <v>42</v>
      </c>
      <c r="R9719">
        <v>-87.629800000000003</v>
      </c>
    </row>
    <row r="9720" spans="1:18" x14ac:dyDescent="0.2">
      <c r="A9720" t="s">
        <v>663</v>
      </c>
      <c r="B9720" t="s">
        <v>664</v>
      </c>
      <c r="C9720">
        <v>1</v>
      </c>
      <c r="D9720" s="1">
        <v>44305.788437499999</v>
      </c>
      <c r="E9720" t="s">
        <v>30214</v>
      </c>
      <c r="F9720" t="s">
        <v>666</v>
      </c>
      <c r="G9720" t="s">
        <v>30214</v>
      </c>
      <c r="H9720" t="s">
        <v>667</v>
      </c>
      <c r="I9720" t="s">
        <v>29</v>
      </c>
      <c r="J9720">
        <v>1</v>
      </c>
      <c r="K9720">
        <f>1-360-358-2744</f>
        <v>-3461</v>
      </c>
      <c r="L9720" t="s">
        <v>30215</v>
      </c>
      <c r="M9720" t="s">
        <v>30216</v>
      </c>
      <c r="N9720">
        <v>225</v>
      </c>
      <c r="O9720" t="s">
        <v>134</v>
      </c>
      <c r="P9720" t="s">
        <v>29</v>
      </c>
      <c r="Q9720">
        <v>37</v>
      </c>
      <c r="R9720">
        <v>-99.999999000000003</v>
      </c>
    </row>
    <row r="9721" spans="1:18" x14ac:dyDescent="0.2">
      <c r="A9721" t="s">
        <v>663</v>
      </c>
      <c r="B9721" t="s">
        <v>2493</v>
      </c>
      <c r="C9721">
        <v>1</v>
      </c>
      <c r="D9721" s="1">
        <v>44305.799826388888</v>
      </c>
      <c r="E9721" t="s">
        <v>30217</v>
      </c>
      <c r="F9721" t="s">
        <v>666</v>
      </c>
      <c r="G9721" t="s">
        <v>30218</v>
      </c>
      <c r="H9721" t="s">
        <v>667</v>
      </c>
      <c r="I9721" t="s">
        <v>29</v>
      </c>
      <c r="J9721">
        <v>1</v>
      </c>
      <c r="K9721">
        <f>1-844-852-9721</f>
        <v>-11416</v>
      </c>
      <c r="L9721" t="s">
        <v>30219</v>
      </c>
      <c r="M9721" t="s">
        <v>30220</v>
      </c>
      <c r="N9721" t="s">
        <v>3454</v>
      </c>
      <c r="O9721" t="s">
        <v>28</v>
      </c>
      <c r="P9721" t="s">
        <v>29</v>
      </c>
      <c r="Q9721">
        <v>41</v>
      </c>
      <c r="R9721">
        <v>-74.024699999999996</v>
      </c>
    </row>
    <row r="9722" spans="1:18" x14ac:dyDescent="0.2">
      <c r="A9722" t="s">
        <v>439</v>
      </c>
      <c r="B9722" t="s">
        <v>5337</v>
      </c>
      <c r="C9722">
        <v>1</v>
      </c>
      <c r="D9722" s="1">
        <v>44305.818761574075</v>
      </c>
      <c r="E9722" t="s">
        <v>30221</v>
      </c>
      <c r="F9722" t="s">
        <v>442</v>
      </c>
      <c r="G9722" t="s">
        <v>30222</v>
      </c>
      <c r="H9722" t="s">
        <v>444</v>
      </c>
      <c r="I9722" t="s">
        <v>29</v>
      </c>
      <c r="J9722">
        <v>1</v>
      </c>
      <c r="K9722">
        <f>1-844-854-6598</f>
        <v>-8295</v>
      </c>
      <c r="L9722" t="s">
        <v>30223</v>
      </c>
      <c r="M9722" t="s">
        <v>30224</v>
      </c>
      <c r="N9722" t="s">
        <v>447</v>
      </c>
      <c r="O9722" t="s">
        <v>28</v>
      </c>
      <c r="P9722" t="s">
        <v>29</v>
      </c>
      <c r="Q9722">
        <v>38</v>
      </c>
      <c r="R9722">
        <v>-99.999999000000003</v>
      </c>
    </row>
    <row r="9723" spans="1:18" x14ac:dyDescent="0.2">
      <c r="A9723" t="s">
        <v>439</v>
      </c>
      <c r="B9723" t="s">
        <v>5337</v>
      </c>
      <c r="C9723">
        <v>1</v>
      </c>
      <c r="D9723" s="1">
        <v>44305.852025462962</v>
      </c>
      <c r="E9723" t="s">
        <v>30225</v>
      </c>
      <c r="F9723" t="s">
        <v>442</v>
      </c>
      <c r="G9723" t="s">
        <v>30226</v>
      </c>
      <c r="H9723" t="s">
        <v>444</v>
      </c>
      <c r="I9723" t="s">
        <v>29</v>
      </c>
      <c r="J9723">
        <v>1</v>
      </c>
      <c r="K9723">
        <f>1-888-487-4118</f>
        <v>-5492</v>
      </c>
      <c r="L9723" t="s">
        <v>30227</v>
      </c>
      <c r="M9723" t="s">
        <v>30228</v>
      </c>
      <c r="N9723" t="s">
        <v>452</v>
      </c>
      <c r="O9723" t="s">
        <v>28</v>
      </c>
      <c r="P9723" t="s">
        <v>29</v>
      </c>
      <c r="Q9723">
        <v>38</v>
      </c>
      <c r="R9723">
        <v>-99.999999000000003</v>
      </c>
    </row>
    <row r="9724" spans="1:18" x14ac:dyDescent="0.2">
      <c r="A9724" t="s">
        <v>439</v>
      </c>
      <c r="B9724" t="s">
        <v>5337</v>
      </c>
      <c r="C9724">
        <v>1</v>
      </c>
      <c r="D9724" s="1">
        <v>44305.9</v>
      </c>
      <c r="E9724" t="s">
        <v>30229</v>
      </c>
      <c r="F9724" t="s">
        <v>442</v>
      </c>
      <c r="G9724" t="s">
        <v>30230</v>
      </c>
      <c r="H9724" t="s">
        <v>444</v>
      </c>
      <c r="I9724" t="s">
        <v>29</v>
      </c>
      <c r="J9724">
        <v>1</v>
      </c>
      <c r="K9724">
        <f>1-888-381-1033</f>
        <v>-2301</v>
      </c>
      <c r="L9724" t="s">
        <v>30231</v>
      </c>
      <c r="M9724" t="s">
        <v>30232</v>
      </c>
      <c r="N9724" t="s">
        <v>30194</v>
      </c>
      <c r="O9724" t="s">
        <v>28</v>
      </c>
      <c r="P9724" t="s">
        <v>29</v>
      </c>
      <c r="Q9724">
        <v>38</v>
      </c>
      <c r="R9724">
        <v>-99.999999000000003</v>
      </c>
    </row>
    <row r="9725" spans="1:18" x14ac:dyDescent="0.2">
      <c r="A9725" t="s">
        <v>439</v>
      </c>
      <c r="B9725" t="s">
        <v>440</v>
      </c>
      <c r="C9725">
        <v>1</v>
      </c>
      <c r="D9725" s="1">
        <v>44305.913888888892</v>
      </c>
      <c r="E9725" t="s">
        <v>30233</v>
      </c>
      <c r="F9725" t="s">
        <v>442</v>
      </c>
      <c r="G9725" t="s">
        <v>30234</v>
      </c>
      <c r="H9725" t="s">
        <v>444</v>
      </c>
      <c r="I9725" t="s">
        <v>29</v>
      </c>
      <c r="J9725">
        <v>1</v>
      </c>
      <c r="K9725">
        <f>1-888-521-1945</f>
        <v>-3353</v>
      </c>
      <c r="L9725" t="s">
        <v>30235</v>
      </c>
      <c r="M9725" t="s">
        <v>30236</v>
      </c>
      <c r="N9725" t="s">
        <v>452</v>
      </c>
      <c r="O9725" t="s">
        <v>28</v>
      </c>
      <c r="P9725" t="s">
        <v>29</v>
      </c>
      <c r="Q9725">
        <v>39</v>
      </c>
      <c r="R9725">
        <v>-77.487399999999994</v>
      </c>
    </row>
    <row r="9726" spans="1:18" x14ac:dyDescent="0.2">
      <c r="A9726" t="s">
        <v>439</v>
      </c>
      <c r="B9726" t="s">
        <v>4321</v>
      </c>
      <c r="C9726">
        <v>1</v>
      </c>
      <c r="D9726" s="1">
        <v>44305.950520833336</v>
      </c>
      <c r="E9726" t="s">
        <v>30237</v>
      </c>
      <c r="F9726" t="s">
        <v>442</v>
      </c>
      <c r="G9726" t="s">
        <v>30238</v>
      </c>
      <c r="H9726" t="s">
        <v>444</v>
      </c>
      <c r="I9726" t="s">
        <v>29</v>
      </c>
      <c r="J9726">
        <v>1</v>
      </c>
      <c r="K9726">
        <f>1-888-381-1265</f>
        <v>-2533</v>
      </c>
      <c r="L9726" t="s">
        <v>30239</v>
      </c>
      <c r="M9726" t="s">
        <v>30240</v>
      </c>
      <c r="N9726" t="s">
        <v>30194</v>
      </c>
      <c r="O9726" t="s">
        <v>28</v>
      </c>
      <c r="P9726" t="s">
        <v>29</v>
      </c>
      <c r="Q9726">
        <v>42</v>
      </c>
      <c r="R9726">
        <v>-87.629800000000003</v>
      </c>
    </row>
    <row r="9727" spans="1:18" x14ac:dyDescent="0.2">
      <c r="A9727" t="s">
        <v>439</v>
      </c>
      <c r="B9727" t="s">
        <v>440</v>
      </c>
      <c r="C9727">
        <v>1</v>
      </c>
      <c r="D9727" s="1">
        <v>44305.953842592593</v>
      </c>
      <c r="E9727" t="s">
        <v>30241</v>
      </c>
      <c r="F9727" t="s">
        <v>442</v>
      </c>
      <c r="G9727" t="s">
        <v>30242</v>
      </c>
      <c r="H9727" t="s">
        <v>444</v>
      </c>
      <c r="I9727" t="s">
        <v>29</v>
      </c>
      <c r="J9727">
        <v>1</v>
      </c>
      <c r="K9727">
        <f>1-844-858-1861</f>
        <v>-3562</v>
      </c>
      <c r="L9727" t="s">
        <v>30243</v>
      </c>
      <c r="M9727" t="s">
        <v>30244</v>
      </c>
      <c r="N9727" t="s">
        <v>213</v>
      </c>
      <c r="O9727" t="s">
        <v>28</v>
      </c>
      <c r="P9727" t="s">
        <v>29</v>
      </c>
      <c r="Q9727">
        <v>39</v>
      </c>
      <c r="R9727">
        <v>-77.487399999999994</v>
      </c>
    </row>
    <row r="9728" spans="1:18" x14ac:dyDescent="0.2">
      <c r="A9728" t="s">
        <v>439</v>
      </c>
      <c r="B9728" t="s">
        <v>440</v>
      </c>
      <c r="C9728">
        <v>81</v>
      </c>
      <c r="D9728" s="1">
        <v>44306.447581018518</v>
      </c>
      <c r="E9728" t="s">
        <v>30245</v>
      </c>
      <c r="F9728" t="s">
        <v>442</v>
      </c>
      <c r="G9728" t="s">
        <v>30246</v>
      </c>
      <c r="H9728" t="s">
        <v>444</v>
      </c>
      <c r="I9728" t="s">
        <v>53</v>
      </c>
      <c r="J9728">
        <v>81</v>
      </c>
      <c r="K9728">
        <f>81-50-3196-5585</f>
        <v>-8750</v>
      </c>
      <c r="L9728" s="2" t="s">
        <v>30247</v>
      </c>
      <c r="M9728" t="s">
        <v>30248</v>
      </c>
      <c r="N9728" t="s">
        <v>213</v>
      </c>
      <c r="O9728" t="s">
        <v>134</v>
      </c>
      <c r="P9728" t="s">
        <v>29</v>
      </c>
      <c r="Q9728">
        <v>39</v>
      </c>
      <c r="R9728">
        <v>-77.487399999999994</v>
      </c>
    </row>
    <row r="9729" spans="1:18" x14ac:dyDescent="0.2">
      <c r="A9729" t="s">
        <v>439</v>
      </c>
      <c r="B9729" t="s">
        <v>4321</v>
      </c>
      <c r="C9729">
        <v>81</v>
      </c>
      <c r="D9729" s="1">
        <v>44306.449976851851</v>
      </c>
      <c r="E9729" t="s">
        <v>30249</v>
      </c>
      <c r="F9729" t="s">
        <v>442</v>
      </c>
      <c r="G9729" t="s">
        <v>30250</v>
      </c>
      <c r="H9729" t="s">
        <v>444</v>
      </c>
      <c r="I9729" t="s">
        <v>53</v>
      </c>
      <c r="J9729">
        <v>81</v>
      </c>
      <c r="K9729">
        <f>81-50-5539-9764</f>
        <v>-15272</v>
      </c>
      <c r="L9729" s="2" t="s">
        <v>30251</v>
      </c>
      <c r="M9729" t="s">
        <v>30252</v>
      </c>
      <c r="N9729" t="s">
        <v>213</v>
      </c>
      <c r="O9729" t="s">
        <v>134</v>
      </c>
      <c r="P9729" t="s">
        <v>29</v>
      </c>
      <c r="Q9729">
        <v>42</v>
      </c>
      <c r="R9729">
        <v>-87.629800000000003</v>
      </c>
    </row>
    <row r="9730" spans="1:18" x14ac:dyDescent="0.2">
      <c r="A9730" t="s">
        <v>439</v>
      </c>
      <c r="B9730" t="s">
        <v>4321</v>
      </c>
      <c r="C9730">
        <v>81</v>
      </c>
      <c r="D9730" s="1">
        <v>44306.453020833331</v>
      </c>
      <c r="E9730" t="s">
        <v>30253</v>
      </c>
      <c r="F9730" t="s">
        <v>442</v>
      </c>
      <c r="G9730" t="s">
        <v>30254</v>
      </c>
      <c r="H9730" t="s">
        <v>444</v>
      </c>
      <c r="I9730" t="s">
        <v>53</v>
      </c>
      <c r="J9730">
        <v>81</v>
      </c>
      <c r="K9730">
        <f>81-50-3196-5585</f>
        <v>-8750</v>
      </c>
      <c r="L9730" s="2" t="s">
        <v>30255</v>
      </c>
      <c r="M9730" t="s">
        <v>30256</v>
      </c>
      <c r="N9730" t="s">
        <v>213</v>
      </c>
      <c r="O9730" t="s">
        <v>134</v>
      </c>
      <c r="P9730" t="s">
        <v>29</v>
      </c>
      <c r="Q9730">
        <v>42</v>
      </c>
      <c r="R9730">
        <v>-87.629800000000003</v>
      </c>
    </row>
    <row r="9731" spans="1:18" x14ac:dyDescent="0.2">
      <c r="A9731" t="s">
        <v>439</v>
      </c>
      <c r="B9731" t="s">
        <v>4321</v>
      </c>
      <c r="C9731">
        <v>81</v>
      </c>
      <c r="D9731" s="1">
        <v>44306.453622685185</v>
      </c>
      <c r="E9731" t="s">
        <v>30257</v>
      </c>
      <c r="F9731" t="s">
        <v>442</v>
      </c>
      <c r="G9731" t="s">
        <v>30258</v>
      </c>
      <c r="H9731" t="s">
        <v>444</v>
      </c>
      <c r="I9731" t="s">
        <v>53</v>
      </c>
      <c r="J9731">
        <v>81</v>
      </c>
      <c r="K9731">
        <f>81-50-5539-9764</f>
        <v>-15272</v>
      </c>
      <c r="L9731" s="2" t="s">
        <v>30259</v>
      </c>
      <c r="M9731" t="s">
        <v>30260</v>
      </c>
      <c r="N9731" t="s">
        <v>447</v>
      </c>
      <c r="O9731" t="s">
        <v>28</v>
      </c>
      <c r="P9731" t="s">
        <v>29</v>
      </c>
      <c r="Q9731">
        <v>42</v>
      </c>
      <c r="R9731">
        <v>-87.629800000000003</v>
      </c>
    </row>
    <row r="9732" spans="1:18" x14ac:dyDescent="0.2">
      <c r="A9732" t="s">
        <v>439</v>
      </c>
      <c r="B9732" t="s">
        <v>5337</v>
      </c>
      <c r="C9732">
        <v>1</v>
      </c>
      <c r="D9732" s="1">
        <v>44306.643437500003</v>
      </c>
      <c r="E9732" t="s">
        <v>30261</v>
      </c>
      <c r="F9732" t="s">
        <v>442</v>
      </c>
      <c r="G9732" t="s">
        <v>30262</v>
      </c>
      <c r="H9732" t="s">
        <v>444</v>
      </c>
      <c r="I9732" t="s">
        <v>29</v>
      </c>
      <c r="J9732">
        <v>1</v>
      </c>
      <c r="K9732">
        <f>1-800-329-2815</f>
        <v>-3943</v>
      </c>
      <c r="L9732" t="s">
        <v>30263</v>
      </c>
      <c r="M9732" t="s">
        <v>30264</v>
      </c>
      <c r="N9732" t="s">
        <v>213</v>
      </c>
      <c r="O9732" t="s">
        <v>28</v>
      </c>
      <c r="P9732" t="s">
        <v>29</v>
      </c>
      <c r="Q9732">
        <v>38</v>
      </c>
      <c r="R9732">
        <v>-99.999999000000003</v>
      </c>
    </row>
    <row r="9733" spans="1:18" x14ac:dyDescent="0.2">
      <c r="A9733" t="s">
        <v>439</v>
      </c>
      <c r="B9733" t="s">
        <v>4321</v>
      </c>
      <c r="C9733">
        <v>1</v>
      </c>
      <c r="D9733" s="1">
        <v>44306.665601851855</v>
      </c>
      <c r="E9733" t="s">
        <v>30265</v>
      </c>
      <c r="F9733" t="s">
        <v>442</v>
      </c>
      <c r="G9733" t="s">
        <v>30266</v>
      </c>
      <c r="H9733" t="s">
        <v>444</v>
      </c>
      <c r="I9733" t="s">
        <v>29</v>
      </c>
      <c r="J9733">
        <v>1</v>
      </c>
      <c r="K9733">
        <f>1-844-857-8227</f>
        <v>-9927</v>
      </c>
      <c r="L9733" t="s">
        <v>30267</v>
      </c>
      <c r="M9733" t="s">
        <v>30268</v>
      </c>
      <c r="N9733" t="s">
        <v>447</v>
      </c>
      <c r="O9733" t="s">
        <v>28</v>
      </c>
      <c r="P9733" t="s">
        <v>29</v>
      </c>
      <c r="Q9733">
        <v>42</v>
      </c>
      <c r="R9733">
        <v>-87.629800000000003</v>
      </c>
    </row>
    <row r="9734" spans="1:18" x14ac:dyDescent="0.2">
      <c r="A9734" t="s">
        <v>439</v>
      </c>
      <c r="B9734" t="s">
        <v>440</v>
      </c>
      <c r="C9734">
        <v>1</v>
      </c>
      <c r="D9734" s="1">
        <v>44306.788912037038</v>
      </c>
      <c r="E9734" t="s">
        <v>30269</v>
      </c>
      <c r="F9734" t="s">
        <v>442</v>
      </c>
      <c r="G9734" t="s">
        <v>30270</v>
      </c>
      <c r="H9734" t="s">
        <v>444</v>
      </c>
      <c r="I9734" t="s">
        <v>29</v>
      </c>
      <c r="J9734">
        <v>1</v>
      </c>
      <c r="K9734">
        <f>1-888-381-1296</f>
        <v>-2564</v>
      </c>
      <c r="L9734" t="s">
        <v>30271</v>
      </c>
      <c r="M9734" t="s">
        <v>30272</v>
      </c>
      <c r="N9734" t="s">
        <v>30194</v>
      </c>
      <c r="O9734" t="s">
        <v>28</v>
      </c>
      <c r="P9734" t="s">
        <v>29</v>
      </c>
      <c r="Q9734">
        <v>39</v>
      </c>
      <c r="R9734">
        <v>-77.487399999999994</v>
      </c>
    </row>
    <row r="9735" spans="1:18" x14ac:dyDescent="0.2">
      <c r="A9735" t="s">
        <v>663</v>
      </c>
      <c r="B9735" t="s">
        <v>2500</v>
      </c>
      <c r="C9735">
        <v>1</v>
      </c>
      <c r="D9735" s="1">
        <v>44306.790219907409</v>
      </c>
      <c r="E9735" t="s">
        <v>30273</v>
      </c>
      <c r="F9735" t="s">
        <v>666</v>
      </c>
      <c r="G9735" t="s">
        <v>30273</v>
      </c>
      <c r="H9735" t="s">
        <v>667</v>
      </c>
      <c r="I9735" t="s">
        <v>29</v>
      </c>
      <c r="J9735">
        <v>1</v>
      </c>
      <c r="K9735">
        <f>1-844-311-8237</f>
        <v>-9391</v>
      </c>
      <c r="L9735" t="s">
        <v>30274</v>
      </c>
      <c r="M9735" t="s">
        <v>30275</v>
      </c>
      <c r="N9735">
        <v>171</v>
      </c>
      <c r="O9735" t="s">
        <v>134</v>
      </c>
      <c r="P9735" t="s">
        <v>2500</v>
      </c>
      <c r="Q9735">
        <v>1</v>
      </c>
      <c r="R9735">
        <v>99.999999000000003</v>
      </c>
    </row>
    <row r="9736" spans="1:18" x14ac:dyDescent="0.2">
      <c r="A9736" t="s">
        <v>439</v>
      </c>
      <c r="B9736" t="s">
        <v>4321</v>
      </c>
      <c r="C9736">
        <v>1</v>
      </c>
      <c r="D9736" s="1">
        <v>44306.791527777779</v>
      </c>
      <c r="E9736" t="s">
        <v>30276</v>
      </c>
      <c r="F9736" t="s">
        <v>442</v>
      </c>
      <c r="G9736" t="s">
        <v>30277</v>
      </c>
      <c r="H9736" t="s">
        <v>444</v>
      </c>
      <c r="I9736" t="s">
        <v>29</v>
      </c>
      <c r="J9736">
        <v>1</v>
      </c>
      <c r="K9736">
        <f>1-844-858-32</f>
        <v>-1733</v>
      </c>
      <c r="L9736" t="s">
        <v>30278</v>
      </c>
      <c r="M9736" t="s">
        <v>30279</v>
      </c>
      <c r="N9736" t="s">
        <v>213</v>
      </c>
      <c r="O9736" t="s">
        <v>28</v>
      </c>
      <c r="P9736" t="s">
        <v>29</v>
      </c>
      <c r="Q9736">
        <v>42</v>
      </c>
      <c r="R9736">
        <v>-87.629800000000003</v>
      </c>
    </row>
    <row r="9737" spans="1:18" x14ac:dyDescent="0.2">
      <c r="A9737" t="s">
        <v>439</v>
      </c>
      <c r="B9737" t="s">
        <v>4321</v>
      </c>
      <c r="C9737">
        <v>1</v>
      </c>
      <c r="D9737" s="1">
        <v>44306.832974537036</v>
      </c>
      <c r="E9737" t="s">
        <v>30280</v>
      </c>
      <c r="F9737" t="s">
        <v>442</v>
      </c>
      <c r="G9737" t="s">
        <v>30281</v>
      </c>
      <c r="H9737" t="s">
        <v>444</v>
      </c>
      <c r="I9737" t="s">
        <v>29</v>
      </c>
      <c r="J9737">
        <v>1</v>
      </c>
      <c r="K9737">
        <f>1-888-381-1324</f>
        <v>-2592</v>
      </c>
      <c r="L9737" t="s">
        <v>30282</v>
      </c>
      <c r="M9737" t="s">
        <v>30283</v>
      </c>
      <c r="N9737" t="s">
        <v>30194</v>
      </c>
      <c r="O9737" t="s">
        <v>28</v>
      </c>
      <c r="P9737" t="s">
        <v>29</v>
      </c>
      <c r="Q9737">
        <v>42</v>
      </c>
      <c r="R9737">
        <v>-87.629800000000003</v>
      </c>
    </row>
    <row r="9738" spans="1:18" x14ac:dyDescent="0.2">
      <c r="A9738" t="s">
        <v>439</v>
      </c>
      <c r="B9738" t="s">
        <v>440</v>
      </c>
      <c r="C9738">
        <v>1</v>
      </c>
      <c r="D9738" s="1">
        <v>44306.83489583333</v>
      </c>
      <c r="E9738" t="s">
        <v>30284</v>
      </c>
      <c r="F9738" t="s">
        <v>442</v>
      </c>
      <c r="G9738" t="s">
        <v>30285</v>
      </c>
      <c r="H9738" t="s">
        <v>444</v>
      </c>
      <c r="I9738" t="s">
        <v>29</v>
      </c>
      <c r="J9738">
        <v>1</v>
      </c>
      <c r="K9738">
        <f>1-833-313-746</f>
        <v>-1891</v>
      </c>
      <c r="L9738" t="s">
        <v>30286</v>
      </c>
      <c r="M9738" t="s">
        <v>30287</v>
      </c>
      <c r="N9738" t="s">
        <v>213</v>
      </c>
      <c r="O9738" t="s">
        <v>28</v>
      </c>
      <c r="P9738" t="s">
        <v>29</v>
      </c>
      <c r="Q9738">
        <v>39</v>
      </c>
      <c r="R9738">
        <v>-77.487399999999994</v>
      </c>
    </row>
    <row r="9739" spans="1:18" x14ac:dyDescent="0.2">
      <c r="A9739" t="s">
        <v>439</v>
      </c>
      <c r="B9739" t="s">
        <v>440</v>
      </c>
      <c r="C9739">
        <v>1</v>
      </c>
      <c r="D9739" s="1">
        <v>44310.784039351849</v>
      </c>
      <c r="E9739" t="s">
        <v>30288</v>
      </c>
      <c r="F9739" t="s">
        <v>442</v>
      </c>
      <c r="G9739" t="s">
        <v>30289</v>
      </c>
      <c r="H9739" t="s">
        <v>444</v>
      </c>
      <c r="I9739" t="s">
        <v>29</v>
      </c>
      <c r="J9739">
        <v>1</v>
      </c>
      <c r="K9739">
        <f>1-888-213-4584</f>
        <v>-5684</v>
      </c>
      <c r="L9739" t="s">
        <v>30290</v>
      </c>
      <c r="M9739" t="s">
        <v>30291</v>
      </c>
      <c r="N9739" t="s">
        <v>30194</v>
      </c>
      <c r="O9739" t="s">
        <v>28</v>
      </c>
      <c r="P9739" t="s">
        <v>29</v>
      </c>
      <c r="Q9739">
        <v>39</v>
      </c>
      <c r="R9739">
        <v>-77.487399999999994</v>
      </c>
    </row>
    <row r="9740" spans="1:18" x14ac:dyDescent="0.2">
      <c r="A9740" t="s">
        <v>2233</v>
      </c>
      <c r="B9740" t="s">
        <v>1638</v>
      </c>
      <c r="C9740">
        <v>1</v>
      </c>
      <c r="D9740" s="1">
        <v>44311.058125000003</v>
      </c>
      <c r="E9740" t="s">
        <v>30292</v>
      </c>
      <c r="F9740" t="s">
        <v>6618</v>
      </c>
      <c r="G9740" t="s">
        <v>30293</v>
      </c>
      <c r="H9740" t="s">
        <v>2237</v>
      </c>
      <c r="I9740" t="s">
        <v>29</v>
      </c>
      <c r="J9740">
        <v>1</v>
      </c>
      <c r="K9740">
        <f>1-888-725-7964</f>
        <v>-9576</v>
      </c>
      <c r="L9740" t="s">
        <v>30294</v>
      </c>
      <c r="M9740" t="s">
        <v>30295</v>
      </c>
      <c r="N9740" t="s">
        <v>278</v>
      </c>
      <c r="O9740" t="s">
        <v>28</v>
      </c>
      <c r="P9740" t="s">
        <v>292</v>
      </c>
      <c r="Q9740">
        <v>49</v>
      </c>
      <c r="R9740">
        <v>2.35222</v>
      </c>
    </row>
    <row r="9741" spans="1:18" x14ac:dyDescent="0.2">
      <c r="A9741" t="s">
        <v>2233</v>
      </c>
      <c r="B9741" t="s">
        <v>1638</v>
      </c>
      <c r="C9741">
        <v>1</v>
      </c>
      <c r="D9741" s="1">
        <v>44309.773530092592</v>
      </c>
      <c r="E9741" t="s">
        <v>30296</v>
      </c>
      <c r="F9741" t="s">
        <v>2236</v>
      </c>
      <c r="G9741" t="s">
        <v>30297</v>
      </c>
      <c r="H9741" t="s">
        <v>2237</v>
      </c>
      <c r="I9741" t="s">
        <v>29</v>
      </c>
      <c r="J9741">
        <v>1</v>
      </c>
      <c r="K9741">
        <f>1-844-423-638</f>
        <v>-1904</v>
      </c>
      <c r="L9741" t="s">
        <v>30298</v>
      </c>
      <c r="M9741" t="s">
        <v>30299</v>
      </c>
      <c r="N9741" t="s">
        <v>278</v>
      </c>
      <c r="O9741" t="s">
        <v>28</v>
      </c>
      <c r="P9741" t="s">
        <v>292</v>
      </c>
      <c r="Q9741">
        <v>49</v>
      </c>
      <c r="R9741">
        <v>2.35222</v>
      </c>
    </row>
    <row r="9742" spans="1:18" x14ac:dyDescent="0.2">
      <c r="A9742" t="s">
        <v>2233</v>
      </c>
      <c r="B9742" t="s">
        <v>6390</v>
      </c>
      <c r="C9742">
        <v>1</v>
      </c>
      <c r="D9742" s="1">
        <v>44309.803356481483</v>
      </c>
      <c r="E9742" t="s">
        <v>30300</v>
      </c>
      <c r="F9742" t="s">
        <v>2236</v>
      </c>
      <c r="G9742" t="s">
        <v>30301</v>
      </c>
      <c r="H9742" t="s">
        <v>2237</v>
      </c>
      <c r="I9742" t="s">
        <v>29</v>
      </c>
      <c r="J9742">
        <v>1</v>
      </c>
      <c r="K9742">
        <f>1-917-423-4977</f>
        <v>-6316</v>
      </c>
      <c r="L9742" t="s">
        <v>30302</v>
      </c>
      <c r="M9742" t="s">
        <v>30303</v>
      </c>
      <c r="N9742" t="s">
        <v>5354</v>
      </c>
      <c r="O9742" t="s">
        <v>28</v>
      </c>
      <c r="P9742" t="s">
        <v>29</v>
      </c>
      <c r="Q9742">
        <v>37</v>
      </c>
      <c r="R9742">
        <v>-99.999999000000003</v>
      </c>
    </row>
    <row r="9743" spans="1:18" x14ac:dyDescent="0.2">
      <c r="A9743" t="s">
        <v>663</v>
      </c>
      <c r="B9743" t="s">
        <v>2500</v>
      </c>
      <c r="C9743">
        <v>1</v>
      </c>
      <c r="D9743" s="1">
        <v>44306.867939814816</v>
      </c>
      <c r="E9743" t="s">
        <v>30304</v>
      </c>
      <c r="F9743" t="s">
        <v>23451</v>
      </c>
      <c r="G9743" t="s">
        <v>30304</v>
      </c>
      <c r="H9743" t="s">
        <v>667</v>
      </c>
      <c r="I9743" t="s">
        <v>29</v>
      </c>
      <c r="J9743">
        <v>1</v>
      </c>
      <c r="K9743">
        <f>1-844-332-5689</f>
        <v>-6864</v>
      </c>
      <c r="L9743" t="s">
        <v>30305</v>
      </c>
      <c r="M9743" t="s">
        <v>30306</v>
      </c>
      <c r="N9743">
        <v>147</v>
      </c>
      <c r="O9743" t="s">
        <v>134</v>
      </c>
      <c r="P9743" t="s">
        <v>2500</v>
      </c>
      <c r="Q9743">
        <v>1</v>
      </c>
      <c r="R9743">
        <v>99.999999000000003</v>
      </c>
    </row>
    <row r="9744" spans="1:18" x14ac:dyDescent="0.2">
      <c r="A9744" t="s">
        <v>663</v>
      </c>
      <c r="B9744" t="s">
        <v>2500</v>
      </c>
      <c r="C9744">
        <v>1</v>
      </c>
      <c r="D9744" s="1">
        <v>44306.867824074077</v>
      </c>
      <c r="E9744" t="s">
        <v>30304</v>
      </c>
      <c r="F9744" t="s">
        <v>23451</v>
      </c>
      <c r="G9744" t="s">
        <v>30304</v>
      </c>
      <c r="H9744" t="s">
        <v>667</v>
      </c>
      <c r="I9744" t="s">
        <v>29</v>
      </c>
      <c r="J9744">
        <v>1</v>
      </c>
      <c r="K9744">
        <f>1-888-314-2474</f>
        <v>-3675</v>
      </c>
      <c r="L9744" t="s">
        <v>30307</v>
      </c>
      <c r="M9744" t="s">
        <v>30306</v>
      </c>
      <c r="N9744">
        <v>147</v>
      </c>
      <c r="O9744" t="s">
        <v>134</v>
      </c>
      <c r="P9744" t="s">
        <v>2500</v>
      </c>
      <c r="Q9744">
        <v>1</v>
      </c>
      <c r="R9744">
        <v>99.999999000000003</v>
      </c>
    </row>
    <row r="9745" spans="1:18" x14ac:dyDescent="0.2">
      <c r="A9745" t="s">
        <v>663</v>
      </c>
      <c r="B9745" t="s">
        <v>2500</v>
      </c>
      <c r="C9745">
        <v>1</v>
      </c>
      <c r="D9745" s="1">
        <v>44306.867731481485</v>
      </c>
      <c r="E9745" t="s">
        <v>30304</v>
      </c>
      <c r="F9745" t="s">
        <v>23451</v>
      </c>
      <c r="G9745" t="s">
        <v>30304</v>
      </c>
      <c r="H9745" t="s">
        <v>667</v>
      </c>
      <c r="I9745" t="s">
        <v>29</v>
      </c>
      <c r="J9745">
        <v>1</v>
      </c>
      <c r="K9745">
        <f>1-888-400-3969</f>
        <v>-5256</v>
      </c>
      <c r="L9745" t="s">
        <v>30308</v>
      </c>
      <c r="M9745" t="s">
        <v>30306</v>
      </c>
      <c r="N9745">
        <v>147</v>
      </c>
      <c r="O9745" t="s">
        <v>134</v>
      </c>
      <c r="P9745" t="s">
        <v>2500</v>
      </c>
      <c r="Q9745">
        <v>1</v>
      </c>
      <c r="R9745">
        <v>99.999999000000003</v>
      </c>
    </row>
    <row r="9746" spans="1:18" x14ac:dyDescent="0.2">
      <c r="A9746" t="s">
        <v>663</v>
      </c>
      <c r="B9746" t="s">
        <v>2500</v>
      </c>
      <c r="C9746">
        <v>1</v>
      </c>
      <c r="D9746" s="1">
        <v>44306.867638888885</v>
      </c>
      <c r="E9746" t="s">
        <v>30304</v>
      </c>
      <c r="F9746" t="s">
        <v>23451</v>
      </c>
      <c r="G9746" t="s">
        <v>30304</v>
      </c>
      <c r="H9746" t="s">
        <v>667</v>
      </c>
      <c r="I9746" t="s">
        <v>29</v>
      </c>
      <c r="J9746">
        <v>1</v>
      </c>
      <c r="K9746">
        <f>1-888-352-1908</f>
        <v>-3147</v>
      </c>
      <c r="L9746" t="s">
        <v>30309</v>
      </c>
      <c r="M9746" t="s">
        <v>30306</v>
      </c>
      <c r="N9746">
        <v>147</v>
      </c>
      <c r="O9746" t="s">
        <v>134</v>
      </c>
      <c r="P9746" t="s">
        <v>2500</v>
      </c>
      <c r="Q9746">
        <v>1</v>
      </c>
      <c r="R9746">
        <v>99.999999000000003</v>
      </c>
    </row>
    <row r="9747" spans="1:18" x14ac:dyDescent="0.2">
      <c r="A9747" t="s">
        <v>663</v>
      </c>
      <c r="B9747" t="s">
        <v>2500</v>
      </c>
      <c r="C9747">
        <v>1</v>
      </c>
      <c r="D9747" s="1">
        <v>44306.8674537037</v>
      </c>
      <c r="E9747" t="s">
        <v>30304</v>
      </c>
      <c r="F9747" t="s">
        <v>23451</v>
      </c>
      <c r="G9747" t="s">
        <v>30304</v>
      </c>
      <c r="H9747" t="s">
        <v>667</v>
      </c>
      <c r="I9747" t="s">
        <v>29</v>
      </c>
      <c r="J9747">
        <v>1</v>
      </c>
      <c r="K9747">
        <f>1-888-374-1308</f>
        <v>-2569</v>
      </c>
      <c r="L9747" t="s">
        <v>30310</v>
      </c>
      <c r="M9747" t="s">
        <v>30306</v>
      </c>
      <c r="N9747">
        <v>147</v>
      </c>
      <c r="O9747" t="s">
        <v>134</v>
      </c>
      <c r="P9747" t="s">
        <v>2500</v>
      </c>
      <c r="Q9747">
        <v>1</v>
      </c>
      <c r="R9747">
        <v>99.999999000000003</v>
      </c>
    </row>
    <row r="9748" spans="1:18" x14ac:dyDescent="0.2">
      <c r="A9748" t="s">
        <v>663</v>
      </c>
      <c r="B9748" t="s">
        <v>2500</v>
      </c>
      <c r="C9748">
        <v>1</v>
      </c>
      <c r="D9748" s="1">
        <v>44306.860335648147</v>
      </c>
      <c r="E9748" t="s">
        <v>30304</v>
      </c>
      <c r="F9748" t="s">
        <v>23451</v>
      </c>
      <c r="G9748" t="s">
        <v>30304</v>
      </c>
      <c r="H9748" t="s">
        <v>667</v>
      </c>
      <c r="I9748" t="s">
        <v>29</v>
      </c>
      <c r="J9748">
        <v>1</v>
      </c>
      <c r="K9748">
        <f>1-844-390-1550</f>
        <v>-2783</v>
      </c>
      <c r="L9748" t="s">
        <v>30311</v>
      </c>
      <c r="M9748" t="s">
        <v>30312</v>
      </c>
      <c r="N9748">
        <v>147</v>
      </c>
      <c r="O9748" t="s">
        <v>134</v>
      </c>
      <c r="P9748" t="s">
        <v>2500</v>
      </c>
      <c r="Q9748">
        <v>1</v>
      </c>
      <c r="R9748">
        <v>99.999999000000003</v>
      </c>
    </row>
    <row r="9749" spans="1:18" x14ac:dyDescent="0.2">
      <c r="A9749" t="s">
        <v>663</v>
      </c>
      <c r="B9749" t="s">
        <v>2500</v>
      </c>
      <c r="C9749">
        <v>1</v>
      </c>
      <c r="D9749" s="1">
        <v>44306.860324074078</v>
      </c>
      <c r="E9749" t="s">
        <v>30304</v>
      </c>
      <c r="F9749" t="s">
        <v>23451</v>
      </c>
      <c r="G9749" t="s">
        <v>30304</v>
      </c>
      <c r="H9749" t="s">
        <v>667</v>
      </c>
      <c r="I9749" t="s">
        <v>29</v>
      </c>
      <c r="J9749">
        <v>1</v>
      </c>
      <c r="K9749">
        <f>1-844-390-2788</f>
        <v>-4021</v>
      </c>
      <c r="L9749" t="s">
        <v>30313</v>
      </c>
      <c r="M9749" t="s">
        <v>30312</v>
      </c>
      <c r="N9749">
        <v>147</v>
      </c>
      <c r="O9749" t="s">
        <v>134</v>
      </c>
      <c r="P9749" t="s">
        <v>2500</v>
      </c>
      <c r="Q9749">
        <v>1</v>
      </c>
      <c r="R9749">
        <v>99.999999000000003</v>
      </c>
    </row>
    <row r="9750" spans="1:18" x14ac:dyDescent="0.2">
      <c r="A9750" t="s">
        <v>663</v>
      </c>
      <c r="B9750" t="s">
        <v>2500</v>
      </c>
      <c r="C9750">
        <v>1</v>
      </c>
      <c r="D9750" s="1">
        <v>44306.860300925924</v>
      </c>
      <c r="E9750" t="s">
        <v>30304</v>
      </c>
      <c r="F9750" t="s">
        <v>23451</v>
      </c>
      <c r="G9750" t="s">
        <v>30304</v>
      </c>
      <c r="H9750" t="s">
        <v>667</v>
      </c>
      <c r="I9750" t="s">
        <v>29</v>
      </c>
      <c r="J9750">
        <v>1</v>
      </c>
      <c r="K9750">
        <f>1-844-390-3081</f>
        <v>-4314</v>
      </c>
      <c r="L9750" t="s">
        <v>30314</v>
      </c>
      <c r="M9750" t="s">
        <v>30312</v>
      </c>
      <c r="N9750">
        <v>147</v>
      </c>
      <c r="O9750" t="s">
        <v>134</v>
      </c>
      <c r="P9750" t="s">
        <v>2500</v>
      </c>
      <c r="Q9750">
        <v>1</v>
      </c>
      <c r="R9750">
        <v>99.999999000000003</v>
      </c>
    </row>
    <row r="9751" spans="1:18" x14ac:dyDescent="0.2">
      <c r="A9751" t="s">
        <v>663</v>
      </c>
      <c r="B9751" t="s">
        <v>2500</v>
      </c>
      <c r="C9751">
        <v>1</v>
      </c>
      <c r="D9751" s="1">
        <v>44306.860243055555</v>
      </c>
      <c r="E9751" t="s">
        <v>30304</v>
      </c>
      <c r="F9751" t="s">
        <v>23451</v>
      </c>
      <c r="G9751" t="s">
        <v>30304</v>
      </c>
      <c r="H9751" t="s">
        <v>667</v>
      </c>
      <c r="I9751" t="s">
        <v>29</v>
      </c>
      <c r="J9751">
        <v>1</v>
      </c>
      <c r="K9751">
        <f>1-844-324-3274</f>
        <v>-4441</v>
      </c>
      <c r="L9751" t="s">
        <v>30315</v>
      </c>
      <c r="M9751" t="s">
        <v>30312</v>
      </c>
      <c r="N9751">
        <v>147</v>
      </c>
      <c r="O9751" t="s">
        <v>134</v>
      </c>
      <c r="P9751" t="s">
        <v>2500</v>
      </c>
      <c r="Q9751">
        <v>1</v>
      </c>
      <c r="R9751">
        <v>99.999999000000003</v>
      </c>
    </row>
    <row r="9752" spans="1:18" x14ac:dyDescent="0.2">
      <c r="A9752" t="s">
        <v>663</v>
      </c>
      <c r="B9752" t="s">
        <v>2500</v>
      </c>
      <c r="C9752">
        <v>1</v>
      </c>
      <c r="D9752" s="1">
        <v>44306.860231481478</v>
      </c>
      <c r="E9752" t="s">
        <v>30304</v>
      </c>
      <c r="F9752" t="s">
        <v>23451</v>
      </c>
      <c r="G9752" t="s">
        <v>30304</v>
      </c>
      <c r="H9752" t="s">
        <v>667</v>
      </c>
      <c r="I9752" t="s">
        <v>29</v>
      </c>
      <c r="J9752">
        <v>1</v>
      </c>
      <c r="K9752">
        <f>1-888-227-9044</f>
        <v>-10158</v>
      </c>
      <c r="L9752" t="s">
        <v>30316</v>
      </c>
      <c r="M9752" t="s">
        <v>30312</v>
      </c>
      <c r="N9752">
        <v>147</v>
      </c>
      <c r="O9752" t="s">
        <v>134</v>
      </c>
      <c r="P9752" t="s">
        <v>2500</v>
      </c>
      <c r="Q9752">
        <v>1</v>
      </c>
      <c r="R9752">
        <v>99.999999000000003</v>
      </c>
    </row>
    <row r="9753" spans="1:18" x14ac:dyDescent="0.2">
      <c r="A9753" t="s">
        <v>663</v>
      </c>
      <c r="B9753" t="s">
        <v>2500</v>
      </c>
      <c r="C9753">
        <v>1</v>
      </c>
      <c r="D9753" s="1">
        <v>44306.860219907408</v>
      </c>
      <c r="E9753" t="s">
        <v>30304</v>
      </c>
      <c r="F9753" t="s">
        <v>23451</v>
      </c>
      <c r="G9753" t="s">
        <v>30304</v>
      </c>
      <c r="H9753" t="s">
        <v>667</v>
      </c>
      <c r="I9753" t="s">
        <v>29</v>
      </c>
      <c r="J9753">
        <v>1</v>
      </c>
      <c r="K9753">
        <f>1-888-239-5487</f>
        <v>-6613</v>
      </c>
      <c r="L9753" t="s">
        <v>30317</v>
      </c>
      <c r="M9753" t="s">
        <v>30312</v>
      </c>
      <c r="N9753">
        <v>147</v>
      </c>
      <c r="O9753" t="s">
        <v>134</v>
      </c>
      <c r="P9753" t="s">
        <v>2500</v>
      </c>
      <c r="Q9753">
        <v>1</v>
      </c>
      <c r="R9753">
        <v>99.999999000000003</v>
      </c>
    </row>
    <row r="9754" spans="1:18" x14ac:dyDescent="0.2">
      <c r="A9754" t="s">
        <v>663</v>
      </c>
      <c r="B9754" t="s">
        <v>2500</v>
      </c>
      <c r="C9754">
        <v>1</v>
      </c>
      <c r="D9754" s="1">
        <v>44306.860046296293</v>
      </c>
      <c r="E9754" t="s">
        <v>30304</v>
      </c>
      <c r="F9754" t="s">
        <v>23451</v>
      </c>
      <c r="G9754" t="s">
        <v>30304</v>
      </c>
      <c r="H9754" t="s">
        <v>667</v>
      </c>
      <c r="I9754" t="s">
        <v>29</v>
      </c>
      <c r="J9754">
        <v>1</v>
      </c>
      <c r="K9754">
        <f>1-888-368-9184</f>
        <v>-10439</v>
      </c>
      <c r="L9754" t="s">
        <v>30318</v>
      </c>
      <c r="M9754" t="s">
        <v>30312</v>
      </c>
      <c r="N9754">
        <v>147</v>
      </c>
      <c r="O9754" t="s">
        <v>134</v>
      </c>
      <c r="P9754" t="s">
        <v>2500</v>
      </c>
      <c r="Q9754">
        <v>1</v>
      </c>
      <c r="R9754">
        <v>99.999999000000003</v>
      </c>
    </row>
    <row r="9755" spans="1:18" x14ac:dyDescent="0.2">
      <c r="A9755" t="s">
        <v>663</v>
      </c>
      <c r="B9755" t="s">
        <v>2500</v>
      </c>
      <c r="C9755">
        <v>1</v>
      </c>
      <c r="D9755" s="1">
        <v>44306.860046296293</v>
      </c>
      <c r="E9755" t="s">
        <v>30304</v>
      </c>
      <c r="F9755" t="s">
        <v>23451</v>
      </c>
      <c r="G9755" t="s">
        <v>30304</v>
      </c>
      <c r="H9755" t="s">
        <v>667</v>
      </c>
      <c r="I9755" t="s">
        <v>29</v>
      </c>
      <c r="J9755">
        <v>1</v>
      </c>
      <c r="K9755">
        <f>1-888-373-5679</f>
        <v>-6939</v>
      </c>
      <c r="L9755" t="s">
        <v>30319</v>
      </c>
      <c r="M9755" t="s">
        <v>30312</v>
      </c>
      <c r="N9755">
        <v>147</v>
      </c>
      <c r="O9755" t="s">
        <v>134</v>
      </c>
      <c r="P9755" t="s">
        <v>2500</v>
      </c>
      <c r="Q9755">
        <v>1</v>
      </c>
      <c r="R9755">
        <v>99.999999000000003</v>
      </c>
    </row>
    <row r="9756" spans="1:18" x14ac:dyDescent="0.2">
      <c r="A9756" t="s">
        <v>663</v>
      </c>
      <c r="B9756" t="s">
        <v>2500</v>
      </c>
      <c r="C9756">
        <v>1</v>
      </c>
      <c r="D9756" s="1">
        <v>44306.859861111108</v>
      </c>
      <c r="E9756" t="s">
        <v>30304</v>
      </c>
      <c r="F9756" t="s">
        <v>23451</v>
      </c>
      <c r="G9756" t="s">
        <v>30304</v>
      </c>
      <c r="H9756" t="s">
        <v>667</v>
      </c>
      <c r="I9756" t="s">
        <v>29</v>
      </c>
      <c r="J9756">
        <v>1</v>
      </c>
      <c r="K9756">
        <f>1-844-325-262</f>
        <v>-1430</v>
      </c>
      <c r="L9756" t="s">
        <v>30320</v>
      </c>
      <c r="M9756" t="s">
        <v>30312</v>
      </c>
      <c r="N9756">
        <v>147</v>
      </c>
      <c r="O9756" t="s">
        <v>134</v>
      </c>
      <c r="P9756" t="s">
        <v>2500</v>
      </c>
      <c r="Q9756">
        <v>1</v>
      </c>
      <c r="R9756">
        <v>99.999999000000003</v>
      </c>
    </row>
    <row r="9757" spans="1:18" x14ac:dyDescent="0.2">
      <c r="A9757" t="s">
        <v>439</v>
      </c>
      <c r="B9757" t="s">
        <v>440</v>
      </c>
      <c r="C9757">
        <v>1</v>
      </c>
      <c r="D9757" s="1">
        <v>44309.824537037035</v>
      </c>
      <c r="E9757" t="s">
        <v>30321</v>
      </c>
      <c r="F9757" t="s">
        <v>442</v>
      </c>
      <c r="G9757" t="s">
        <v>30322</v>
      </c>
      <c r="H9757" t="s">
        <v>444</v>
      </c>
      <c r="I9757" t="s">
        <v>29</v>
      </c>
      <c r="J9757">
        <v>1</v>
      </c>
      <c r="K9757">
        <f>1-888-726-5135</f>
        <v>-6748</v>
      </c>
      <c r="L9757" t="s">
        <v>30323</v>
      </c>
      <c r="M9757" t="s">
        <v>30324</v>
      </c>
      <c r="N9757" t="s">
        <v>213</v>
      </c>
      <c r="O9757" t="s">
        <v>28</v>
      </c>
      <c r="P9757" t="s">
        <v>29</v>
      </c>
      <c r="Q9757">
        <v>39</v>
      </c>
      <c r="R9757">
        <v>-77.487399999999994</v>
      </c>
    </row>
    <row r="9758" spans="1:18" x14ac:dyDescent="0.2">
      <c r="A9758" t="s">
        <v>439</v>
      </c>
      <c r="B9758" t="s">
        <v>6226</v>
      </c>
      <c r="C9758">
        <v>1</v>
      </c>
      <c r="D9758" s="1">
        <v>44309.877256944441</v>
      </c>
      <c r="E9758" t="s">
        <v>30325</v>
      </c>
      <c r="F9758" t="s">
        <v>442</v>
      </c>
      <c r="G9758" t="s">
        <v>30326</v>
      </c>
      <c r="H9758" t="s">
        <v>444</v>
      </c>
      <c r="I9758" t="s">
        <v>29</v>
      </c>
      <c r="J9758">
        <v>1</v>
      </c>
      <c r="K9758">
        <f>1-888-213-4584</f>
        <v>-5684</v>
      </c>
      <c r="L9758" t="s">
        <v>30327</v>
      </c>
      <c r="M9758" t="s">
        <v>30328</v>
      </c>
      <c r="N9758" t="s">
        <v>30194</v>
      </c>
      <c r="O9758" t="s">
        <v>28</v>
      </c>
      <c r="P9758" t="s">
        <v>29</v>
      </c>
      <c r="Q9758">
        <v>26</v>
      </c>
      <c r="R9758">
        <v>-80.191800000000001</v>
      </c>
    </row>
    <row r="9759" spans="1:18" x14ac:dyDescent="0.2">
      <c r="A9759" t="s">
        <v>2233</v>
      </c>
      <c r="B9759" t="s">
        <v>6390</v>
      </c>
      <c r="C9759">
        <v>1</v>
      </c>
      <c r="D9759" s="1">
        <v>44309.916597222225</v>
      </c>
      <c r="E9759" t="s">
        <v>30329</v>
      </c>
      <c r="F9759" t="s">
        <v>2236</v>
      </c>
      <c r="G9759" t="s">
        <v>30330</v>
      </c>
      <c r="H9759" t="s">
        <v>2237</v>
      </c>
      <c r="I9759" t="s">
        <v>29</v>
      </c>
      <c r="J9759">
        <v>1</v>
      </c>
      <c r="K9759">
        <f>1-917-423-4977</f>
        <v>-6316</v>
      </c>
      <c r="L9759" t="s">
        <v>30331</v>
      </c>
      <c r="M9759" t="s">
        <v>30332</v>
      </c>
      <c r="N9759" t="s">
        <v>5354</v>
      </c>
      <c r="O9759" t="s">
        <v>28</v>
      </c>
      <c r="P9759" t="s">
        <v>29</v>
      </c>
      <c r="Q9759">
        <v>37</v>
      </c>
      <c r="R9759">
        <v>-99.999999000000003</v>
      </c>
    </row>
    <row r="9760" spans="1:18" x14ac:dyDescent="0.2">
      <c r="A9760" t="s">
        <v>7424</v>
      </c>
      <c r="B9760" t="s">
        <v>7425</v>
      </c>
      <c r="C9760">
        <v>81</v>
      </c>
      <c r="D9760" s="1">
        <v>44310.409305555557</v>
      </c>
      <c r="E9760" t="s">
        <v>30333</v>
      </c>
      <c r="F9760" t="s">
        <v>7427</v>
      </c>
      <c r="G9760" t="s">
        <v>30334</v>
      </c>
      <c r="H9760" t="s">
        <v>7429</v>
      </c>
      <c r="I9760" t="s">
        <v>53</v>
      </c>
      <c r="J9760">
        <v>81</v>
      </c>
      <c r="K9760">
        <f>81-50-5809-731</f>
        <v>-6509</v>
      </c>
      <c r="L9760" t="s">
        <v>30335</v>
      </c>
      <c r="M9760" t="s">
        <v>30336</v>
      </c>
      <c r="N9760" t="s">
        <v>36</v>
      </c>
      <c r="O9760" t="s">
        <v>134</v>
      </c>
      <c r="P9760" t="s">
        <v>29</v>
      </c>
      <c r="Q9760">
        <v>43</v>
      </c>
      <c r="R9760">
        <v>-84.642700000000005</v>
      </c>
    </row>
    <row r="9761" spans="1:18" x14ac:dyDescent="0.2">
      <c r="A9761" t="s">
        <v>439</v>
      </c>
      <c r="B9761" t="s">
        <v>440</v>
      </c>
      <c r="C9761">
        <v>81</v>
      </c>
      <c r="D9761" s="1">
        <v>44310.409756944442</v>
      </c>
      <c r="E9761" t="s">
        <v>30337</v>
      </c>
      <c r="F9761" t="s">
        <v>442</v>
      </c>
      <c r="G9761" t="s">
        <v>30338</v>
      </c>
      <c r="H9761" t="s">
        <v>444</v>
      </c>
      <c r="I9761" t="s">
        <v>53</v>
      </c>
      <c r="J9761">
        <v>81</v>
      </c>
      <c r="K9761">
        <f>81-50-3176-1071</f>
        <v>-4216</v>
      </c>
      <c r="L9761" t="s">
        <v>30339</v>
      </c>
      <c r="M9761" t="s">
        <v>30340</v>
      </c>
      <c r="N9761" t="s">
        <v>447</v>
      </c>
      <c r="O9761" t="s">
        <v>134</v>
      </c>
      <c r="P9761" t="s">
        <v>29</v>
      </c>
      <c r="Q9761">
        <v>39</v>
      </c>
      <c r="R9761">
        <v>-77.487399999999994</v>
      </c>
    </row>
    <row r="9762" spans="1:18" x14ac:dyDescent="0.2">
      <c r="A9762" t="s">
        <v>439</v>
      </c>
      <c r="B9762" t="s">
        <v>440</v>
      </c>
      <c r="C9762">
        <v>81</v>
      </c>
      <c r="D9762" s="1">
        <v>44310.410451388889</v>
      </c>
      <c r="E9762" t="s">
        <v>30341</v>
      </c>
      <c r="F9762" t="s">
        <v>442</v>
      </c>
      <c r="G9762" t="s">
        <v>30342</v>
      </c>
      <c r="H9762" t="s">
        <v>444</v>
      </c>
      <c r="I9762" t="s">
        <v>53</v>
      </c>
      <c r="J9762">
        <v>81</v>
      </c>
      <c r="K9762">
        <f>81-50-5806-5177</f>
        <v>-10952</v>
      </c>
      <c r="L9762" t="s">
        <v>30343</v>
      </c>
      <c r="M9762" t="s">
        <v>30344</v>
      </c>
      <c r="N9762" t="s">
        <v>447</v>
      </c>
      <c r="O9762" t="s">
        <v>134</v>
      </c>
      <c r="P9762" t="s">
        <v>29</v>
      </c>
      <c r="Q9762">
        <v>39</v>
      </c>
      <c r="R9762">
        <v>-77.487399999999994</v>
      </c>
    </row>
    <row r="9763" spans="1:18" x14ac:dyDescent="0.2">
      <c r="A9763" t="s">
        <v>439</v>
      </c>
      <c r="B9763" t="s">
        <v>4321</v>
      </c>
      <c r="C9763">
        <v>81</v>
      </c>
      <c r="D9763" s="1">
        <v>44310.410162037035</v>
      </c>
      <c r="E9763" t="s">
        <v>30337</v>
      </c>
      <c r="F9763" t="s">
        <v>442</v>
      </c>
      <c r="G9763" t="s">
        <v>30345</v>
      </c>
      <c r="H9763" t="s">
        <v>444</v>
      </c>
      <c r="I9763" t="s">
        <v>53</v>
      </c>
      <c r="J9763">
        <v>81</v>
      </c>
      <c r="K9763">
        <f>81-50-3176-1071</f>
        <v>-4216</v>
      </c>
      <c r="L9763" t="s">
        <v>30346</v>
      </c>
      <c r="M9763" t="s">
        <v>30347</v>
      </c>
      <c r="N9763" t="s">
        <v>447</v>
      </c>
      <c r="O9763" t="s">
        <v>134</v>
      </c>
      <c r="P9763" t="s">
        <v>29</v>
      </c>
      <c r="Q9763">
        <v>42</v>
      </c>
      <c r="R9763">
        <v>-87.629800000000003</v>
      </c>
    </row>
    <row r="9764" spans="1:18" x14ac:dyDescent="0.2">
      <c r="A9764" t="s">
        <v>663</v>
      </c>
      <c r="B9764" t="s">
        <v>664</v>
      </c>
      <c r="C9764">
        <v>1</v>
      </c>
      <c r="D9764" s="1">
        <v>44309.761180555557</v>
      </c>
      <c r="E9764" t="s">
        <v>30348</v>
      </c>
      <c r="F9764" t="s">
        <v>666</v>
      </c>
      <c r="G9764" t="s">
        <v>30348</v>
      </c>
      <c r="H9764" t="s">
        <v>667</v>
      </c>
      <c r="I9764" t="s">
        <v>29</v>
      </c>
      <c r="J9764">
        <v>1</v>
      </c>
      <c r="K9764">
        <f>1-888-591-103</f>
        <v>-1581</v>
      </c>
      <c r="L9764" t="s">
        <v>30349</v>
      </c>
      <c r="M9764" t="s">
        <v>30350</v>
      </c>
      <c r="N9764">
        <v>20</v>
      </c>
      <c r="O9764" t="s">
        <v>134</v>
      </c>
      <c r="P9764" t="s">
        <v>29</v>
      </c>
      <c r="Q9764">
        <v>37</v>
      </c>
      <c r="R9764">
        <v>-99.999999000000003</v>
      </c>
    </row>
    <row r="9765" spans="1:18" x14ac:dyDescent="0.2">
      <c r="A9765" t="s">
        <v>439</v>
      </c>
      <c r="B9765" t="s">
        <v>4321</v>
      </c>
      <c r="C9765">
        <v>1</v>
      </c>
      <c r="D9765" s="1">
        <v>44306.88077546296</v>
      </c>
      <c r="E9765" t="s">
        <v>30351</v>
      </c>
      <c r="F9765" t="s">
        <v>442</v>
      </c>
      <c r="G9765" t="s">
        <v>30352</v>
      </c>
      <c r="H9765" t="s">
        <v>444</v>
      </c>
      <c r="I9765" t="s">
        <v>29</v>
      </c>
      <c r="J9765">
        <v>1</v>
      </c>
      <c r="K9765">
        <f>1-844-851-2327</f>
        <v>-4021</v>
      </c>
      <c r="L9765" t="s">
        <v>30353</v>
      </c>
      <c r="M9765" t="s">
        <v>30354</v>
      </c>
      <c r="N9765" t="s">
        <v>447</v>
      </c>
      <c r="O9765" t="s">
        <v>28</v>
      </c>
      <c r="P9765" t="s">
        <v>29</v>
      </c>
      <c r="Q9765">
        <v>42</v>
      </c>
      <c r="R9765">
        <v>-87.629800000000003</v>
      </c>
    </row>
    <row r="9766" spans="1:18" x14ac:dyDescent="0.2">
      <c r="A9766" t="s">
        <v>439</v>
      </c>
      <c r="B9766" t="s">
        <v>4321</v>
      </c>
      <c r="C9766">
        <v>1</v>
      </c>
      <c r="D9766" s="1">
        <v>44306.93037037037</v>
      </c>
      <c r="E9766" t="s">
        <v>30355</v>
      </c>
      <c r="F9766" t="s">
        <v>442</v>
      </c>
      <c r="G9766" t="s">
        <v>30356</v>
      </c>
      <c r="H9766" t="s">
        <v>444</v>
      </c>
      <c r="I9766" t="s">
        <v>29</v>
      </c>
      <c r="J9766">
        <v>1</v>
      </c>
      <c r="K9766">
        <f>1-844-857-8919</f>
        <v>-10619</v>
      </c>
      <c r="L9766" t="s">
        <v>30357</v>
      </c>
      <c r="M9766" t="s">
        <v>30358</v>
      </c>
      <c r="N9766" t="s">
        <v>213</v>
      </c>
      <c r="O9766" t="s">
        <v>28</v>
      </c>
      <c r="P9766" t="s">
        <v>29</v>
      </c>
      <c r="Q9766">
        <v>42</v>
      </c>
      <c r="R9766">
        <v>-87.629800000000003</v>
      </c>
    </row>
    <row r="9767" spans="1:18" x14ac:dyDescent="0.2">
      <c r="A9767" t="s">
        <v>663</v>
      </c>
      <c r="B9767" t="s">
        <v>2493</v>
      </c>
      <c r="C9767">
        <v>1</v>
      </c>
      <c r="D9767" s="1">
        <v>44306.943148148152</v>
      </c>
      <c r="E9767" t="s">
        <v>30359</v>
      </c>
      <c r="F9767" t="s">
        <v>666</v>
      </c>
      <c r="G9767" t="s">
        <v>30359</v>
      </c>
      <c r="H9767" t="s">
        <v>667</v>
      </c>
      <c r="I9767" t="s">
        <v>29</v>
      </c>
      <c r="J9767">
        <v>1</v>
      </c>
      <c r="K9767">
        <f>1-888-729-5395</f>
        <v>-7011</v>
      </c>
      <c r="L9767" t="s">
        <v>30360</v>
      </c>
      <c r="M9767" t="s">
        <v>30361</v>
      </c>
      <c r="N9767">
        <v>147</v>
      </c>
      <c r="O9767" t="s">
        <v>134</v>
      </c>
      <c r="P9767" t="s">
        <v>29</v>
      </c>
      <c r="Q9767">
        <v>41</v>
      </c>
      <c r="R9767">
        <v>-74.024699999999996</v>
      </c>
    </row>
    <row r="9768" spans="1:18" x14ac:dyDescent="0.2">
      <c r="A9768" t="s">
        <v>439</v>
      </c>
      <c r="B9768" t="s">
        <v>440</v>
      </c>
      <c r="C9768">
        <v>1</v>
      </c>
      <c r="D9768" s="1">
        <v>44306.982847222222</v>
      </c>
      <c r="E9768" t="s">
        <v>30362</v>
      </c>
      <c r="F9768" t="s">
        <v>442</v>
      </c>
      <c r="G9768" t="s">
        <v>30363</v>
      </c>
      <c r="H9768" t="s">
        <v>444</v>
      </c>
      <c r="I9768" t="s">
        <v>29</v>
      </c>
      <c r="J9768">
        <v>1</v>
      </c>
      <c r="K9768">
        <f>1-888-381-1310</f>
        <v>-2578</v>
      </c>
      <c r="L9768" t="s">
        <v>30364</v>
      </c>
      <c r="M9768" t="s">
        <v>30365</v>
      </c>
      <c r="N9768" t="s">
        <v>30194</v>
      </c>
      <c r="O9768" t="s">
        <v>28</v>
      </c>
      <c r="P9768" t="s">
        <v>29</v>
      </c>
      <c r="Q9768">
        <v>39</v>
      </c>
      <c r="R9768">
        <v>-77.487399999999994</v>
      </c>
    </row>
    <row r="9769" spans="1:18" x14ac:dyDescent="0.2">
      <c r="A9769" t="s">
        <v>439</v>
      </c>
      <c r="B9769" t="s">
        <v>6226</v>
      </c>
      <c r="C9769">
        <v>81</v>
      </c>
      <c r="D9769" s="1">
        <v>44307.42900462963</v>
      </c>
      <c r="E9769" t="s">
        <v>30366</v>
      </c>
      <c r="F9769" t="s">
        <v>442</v>
      </c>
      <c r="G9769" t="s">
        <v>30367</v>
      </c>
      <c r="H9769" t="s">
        <v>444</v>
      </c>
      <c r="I9769" t="s">
        <v>53</v>
      </c>
      <c r="J9769">
        <v>81</v>
      </c>
      <c r="K9769">
        <f>81-50-3196-5585</f>
        <v>-8750</v>
      </c>
      <c r="L9769" t="s">
        <v>30368</v>
      </c>
      <c r="M9769" t="s">
        <v>30369</v>
      </c>
      <c r="N9769" t="s">
        <v>447</v>
      </c>
      <c r="O9769" t="s">
        <v>134</v>
      </c>
      <c r="P9769" t="s">
        <v>29</v>
      </c>
      <c r="Q9769">
        <v>26</v>
      </c>
      <c r="R9769">
        <v>-80.191800000000001</v>
      </c>
    </row>
    <row r="9770" spans="1:18" x14ac:dyDescent="0.2">
      <c r="A9770" t="s">
        <v>439</v>
      </c>
      <c r="B9770" t="s">
        <v>440</v>
      </c>
      <c r="C9770">
        <v>81</v>
      </c>
      <c r="D9770" s="1">
        <v>44307.429513888892</v>
      </c>
      <c r="E9770" t="s">
        <v>30370</v>
      </c>
      <c r="F9770" t="s">
        <v>442</v>
      </c>
      <c r="G9770" t="s">
        <v>30371</v>
      </c>
      <c r="H9770" t="s">
        <v>444</v>
      </c>
      <c r="I9770" t="s">
        <v>53</v>
      </c>
      <c r="J9770">
        <v>81</v>
      </c>
      <c r="K9770">
        <f>81-50-5539-9764</f>
        <v>-15272</v>
      </c>
      <c r="L9770" t="s">
        <v>30372</v>
      </c>
      <c r="M9770" t="s">
        <v>30373</v>
      </c>
      <c r="N9770" t="s">
        <v>213</v>
      </c>
      <c r="O9770" t="s">
        <v>134</v>
      </c>
      <c r="P9770" t="s">
        <v>29</v>
      </c>
      <c r="Q9770">
        <v>39</v>
      </c>
      <c r="R9770">
        <v>-77.487399999999994</v>
      </c>
    </row>
    <row r="9771" spans="1:18" x14ac:dyDescent="0.2">
      <c r="A9771" t="s">
        <v>439</v>
      </c>
      <c r="B9771" t="s">
        <v>4321</v>
      </c>
      <c r="C9771">
        <v>1</v>
      </c>
      <c r="D9771" s="1">
        <v>44307.661851851852</v>
      </c>
      <c r="E9771" t="s">
        <v>30374</v>
      </c>
      <c r="F9771" t="s">
        <v>442</v>
      </c>
      <c r="G9771" t="s">
        <v>30375</v>
      </c>
      <c r="H9771" t="s">
        <v>444</v>
      </c>
      <c r="I9771" t="s">
        <v>29</v>
      </c>
      <c r="J9771">
        <v>1</v>
      </c>
      <c r="K9771">
        <f>1-844-482-2933</f>
        <v>-4258</v>
      </c>
      <c r="L9771" t="s">
        <v>30376</v>
      </c>
      <c r="M9771" t="s">
        <v>30377</v>
      </c>
      <c r="N9771" t="s">
        <v>213</v>
      </c>
      <c r="O9771" t="s">
        <v>28</v>
      </c>
      <c r="P9771" t="s">
        <v>29</v>
      </c>
      <c r="Q9771">
        <v>42</v>
      </c>
      <c r="R9771">
        <v>-87.629800000000003</v>
      </c>
    </row>
    <row r="9772" spans="1:18" x14ac:dyDescent="0.2">
      <c r="A9772" t="s">
        <v>439</v>
      </c>
      <c r="B9772" t="s">
        <v>440</v>
      </c>
      <c r="C9772">
        <v>1</v>
      </c>
      <c r="D9772" s="1">
        <v>44307.706736111111</v>
      </c>
      <c r="E9772" t="s">
        <v>30378</v>
      </c>
      <c r="F9772" t="s">
        <v>442</v>
      </c>
      <c r="G9772" t="s">
        <v>30379</v>
      </c>
      <c r="H9772" t="s">
        <v>444</v>
      </c>
      <c r="I9772" t="s">
        <v>29</v>
      </c>
      <c r="J9772">
        <v>1</v>
      </c>
      <c r="K9772">
        <f>1-844-486-5249</f>
        <v>-6578</v>
      </c>
      <c r="L9772" t="s">
        <v>30380</v>
      </c>
      <c r="M9772" t="s">
        <v>30381</v>
      </c>
      <c r="N9772" t="s">
        <v>213</v>
      </c>
      <c r="O9772" t="s">
        <v>28</v>
      </c>
      <c r="P9772" t="s">
        <v>29</v>
      </c>
      <c r="Q9772">
        <v>39</v>
      </c>
      <c r="R9772">
        <v>-77.487399999999994</v>
      </c>
    </row>
    <row r="9773" spans="1:18" x14ac:dyDescent="0.2">
      <c r="A9773" t="s">
        <v>439</v>
      </c>
      <c r="B9773" t="s">
        <v>4321</v>
      </c>
      <c r="C9773">
        <v>1</v>
      </c>
      <c r="D9773" s="1">
        <v>44307.76972222222</v>
      </c>
      <c r="E9773" t="s">
        <v>30382</v>
      </c>
      <c r="F9773" t="s">
        <v>442</v>
      </c>
      <c r="G9773" t="s">
        <v>30383</v>
      </c>
      <c r="H9773" t="s">
        <v>444</v>
      </c>
      <c r="I9773" t="s">
        <v>29</v>
      </c>
      <c r="J9773">
        <v>1</v>
      </c>
      <c r="K9773">
        <f>1-888-381-1373</f>
        <v>-2641</v>
      </c>
      <c r="L9773" t="s">
        <v>30384</v>
      </c>
      <c r="M9773" t="s">
        <v>30385</v>
      </c>
      <c r="N9773" t="s">
        <v>30194</v>
      </c>
      <c r="O9773" t="s">
        <v>28</v>
      </c>
      <c r="P9773" t="s">
        <v>29</v>
      </c>
      <c r="Q9773">
        <v>42</v>
      </c>
      <c r="R9773">
        <v>-87.629800000000003</v>
      </c>
    </row>
    <row r="9774" spans="1:18" x14ac:dyDescent="0.2">
      <c r="A9774" t="s">
        <v>2233</v>
      </c>
      <c r="B9774" t="s">
        <v>1638</v>
      </c>
      <c r="C9774">
        <v>1</v>
      </c>
      <c r="D9774" s="1">
        <v>44307.773043981484</v>
      </c>
      <c r="E9774" t="s">
        <v>30386</v>
      </c>
      <c r="F9774" t="s">
        <v>7023</v>
      </c>
      <c r="G9774" t="s">
        <v>30387</v>
      </c>
      <c r="H9774" t="s">
        <v>2237</v>
      </c>
      <c r="I9774" t="s">
        <v>29</v>
      </c>
      <c r="J9774">
        <v>1</v>
      </c>
      <c r="K9774">
        <f>1-888-393-5973</f>
        <v>-7253</v>
      </c>
      <c r="L9774" t="s">
        <v>30388</v>
      </c>
      <c r="M9774" t="s">
        <v>30389</v>
      </c>
      <c r="N9774" t="s">
        <v>278</v>
      </c>
      <c r="O9774" t="s">
        <v>28</v>
      </c>
      <c r="P9774" t="s">
        <v>292</v>
      </c>
      <c r="Q9774">
        <v>49</v>
      </c>
      <c r="R9774">
        <v>2.35222</v>
      </c>
    </row>
    <row r="9775" spans="1:18" x14ac:dyDescent="0.2">
      <c r="A9775" t="s">
        <v>2233</v>
      </c>
      <c r="B9775" t="s">
        <v>1638</v>
      </c>
      <c r="C9775">
        <v>1</v>
      </c>
      <c r="D9775" s="1">
        <v>44307.77684027778</v>
      </c>
      <c r="E9775" t="s">
        <v>30386</v>
      </c>
      <c r="F9775" t="s">
        <v>7023</v>
      </c>
      <c r="G9775" t="s">
        <v>30390</v>
      </c>
      <c r="H9775" t="s">
        <v>2237</v>
      </c>
      <c r="I9775" t="s">
        <v>29</v>
      </c>
      <c r="J9775">
        <v>1</v>
      </c>
      <c r="K9775">
        <f>1-888-350-6968</f>
        <v>-8205</v>
      </c>
      <c r="L9775" t="s">
        <v>30391</v>
      </c>
      <c r="M9775" t="s">
        <v>30392</v>
      </c>
      <c r="N9775" t="s">
        <v>278</v>
      </c>
      <c r="O9775" t="s">
        <v>28</v>
      </c>
      <c r="P9775" t="s">
        <v>292</v>
      </c>
      <c r="Q9775">
        <v>49</v>
      </c>
      <c r="R9775">
        <v>2.35222</v>
      </c>
    </row>
    <row r="9776" spans="1:18" x14ac:dyDescent="0.2">
      <c r="A9776" t="s">
        <v>2233</v>
      </c>
      <c r="B9776" t="s">
        <v>1638</v>
      </c>
      <c r="C9776">
        <v>1</v>
      </c>
      <c r="D9776" s="1">
        <v>44307.774918981479</v>
      </c>
      <c r="E9776" t="s">
        <v>30386</v>
      </c>
      <c r="F9776" t="s">
        <v>7023</v>
      </c>
      <c r="G9776" t="s">
        <v>30390</v>
      </c>
      <c r="H9776" t="s">
        <v>2237</v>
      </c>
      <c r="I9776" t="s">
        <v>29</v>
      </c>
      <c r="J9776">
        <v>1</v>
      </c>
      <c r="K9776">
        <f>1-888-598-1412</f>
        <v>-2897</v>
      </c>
      <c r="L9776" t="s">
        <v>30393</v>
      </c>
      <c r="M9776" t="s">
        <v>30394</v>
      </c>
      <c r="N9776" t="s">
        <v>278</v>
      </c>
      <c r="O9776" t="s">
        <v>28</v>
      </c>
      <c r="P9776" t="s">
        <v>292</v>
      </c>
      <c r="Q9776">
        <v>49</v>
      </c>
      <c r="R9776">
        <v>2.35222</v>
      </c>
    </row>
    <row r="9777" spans="1:18" x14ac:dyDescent="0.2">
      <c r="A9777" t="s">
        <v>2233</v>
      </c>
      <c r="B9777" t="s">
        <v>1638</v>
      </c>
      <c r="C9777">
        <v>1</v>
      </c>
      <c r="D9777" s="1">
        <v>44307.777268518519</v>
      </c>
      <c r="E9777" t="s">
        <v>30386</v>
      </c>
      <c r="F9777" t="s">
        <v>7023</v>
      </c>
      <c r="G9777" t="s">
        <v>30395</v>
      </c>
      <c r="H9777" t="s">
        <v>2237</v>
      </c>
      <c r="I9777" t="s">
        <v>29</v>
      </c>
      <c r="J9777">
        <v>1</v>
      </c>
      <c r="K9777">
        <f>1-888-350-954</f>
        <v>-2191</v>
      </c>
      <c r="L9777" t="s">
        <v>30396</v>
      </c>
      <c r="M9777" t="s">
        <v>30397</v>
      </c>
      <c r="N9777" t="s">
        <v>278</v>
      </c>
      <c r="O9777" t="s">
        <v>28</v>
      </c>
      <c r="P9777" t="s">
        <v>292</v>
      </c>
      <c r="Q9777">
        <v>49</v>
      </c>
      <c r="R9777">
        <v>2.35222</v>
      </c>
    </row>
    <row r="9778" spans="1:18" x14ac:dyDescent="0.2">
      <c r="A9778" t="s">
        <v>439</v>
      </c>
      <c r="B9778" t="s">
        <v>4321</v>
      </c>
      <c r="C9778">
        <v>1</v>
      </c>
      <c r="D9778" s="1">
        <v>44307.791481481479</v>
      </c>
      <c r="E9778" t="s">
        <v>30398</v>
      </c>
      <c r="F9778" t="s">
        <v>442</v>
      </c>
      <c r="G9778" t="s">
        <v>30399</v>
      </c>
      <c r="H9778" t="s">
        <v>444</v>
      </c>
      <c r="I9778" t="s">
        <v>29</v>
      </c>
      <c r="J9778">
        <v>1</v>
      </c>
      <c r="K9778">
        <f>1-844-495-6253</f>
        <v>-7591</v>
      </c>
      <c r="L9778" t="s">
        <v>30400</v>
      </c>
      <c r="M9778" t="s">
        <v>30401</v>
      </c>
      <c r="N9778" t="s">
        <v>447</v>
      </c>
      <c r="O9778" t="s">
        <v>28</v>
      </c>
      <c r="P9778" t="s">
        <v>29</v>
      </c>
      <c r="Q9778">
        <v>42</v>
      </c>
      <c r="R9778">
        <v>-87.629800000000003</v>
      </c>
    </row>
    <row r="9779" spans="1:18" x14ac:dyDescent="0.2">
      <c r="A9779" t="s">
        <v>439</v>
      </c>
      <c r="B9779" t="s">
        <v>440</v>
      </c>
      <c r="C9779">
        <v>1</v>
      </c>
      <c r="D9779" s="1">
        <v>44307.842361111114</v>
      </c>
      <c r="E9779" t="s">
        <v>30402</v>
      </c>
      <c r="F9779" t="s">
        <v>442</v>
      </c>
      <c r="G9779" t="s">
        <v>30403</v>
      </c>
      <c r="H9779" t="s">
        <v>444</v>
      </c>
      <c r="I9779" t="s">
        <v>29</v>
      </c>
      <c r="J9779">
        <v>1</v>
      </c>
      <c r="K9779">
        <f>1-888-726-9891</f>
        <v>-11504</v>
      </c>
      <c r="L9779" t="s">
        <v>30404</v>
      </c>
      <c r="M9779" t="s">
        <v>30405</v>
      </c>
      <c r="N9779" t="s">
        <v>36</v>
      </c>
      <c r="O9779" t="s">
        <v>28</v>
      </c>
      <c r="P9779" t="s">
        <v>29</v>
      </c>
      <c r="Q9779">
        <v>39</v>
      </c>
      <c r="R9779">
        <v>-77.487399999999994</v>
      </c>
    </row>
    <row r="9780" spans="1:18" x14ac:dyDescent="0.2">
      <c r="A9780" t="s">
        <v>439</v>
      </c>
      <c r="B9780" t="s">
        <v>4321</v>
      </c>
      <c r="C9780">
        <v>1</v>
      </c>
      <c r="D9780" s="1">
        <v>44307.864236111112</v>
      </c>
      <c r="E9780" t="s">
        <v>30406</v>
      </c>
      <c r="F9780" t="s">
        <v>442</v>
      </c>
      <c r="G9780" t="s">
        <v>30407</v>
      </c>
      <c r="H9780" t="s">
        <v>444</v>
      </c>
      <c r="I9780" t="s">
        <v>29</v>
      </c>
      <c r="J9780">
        <v>1</v>
      </c>
      <c r="K9780">
        <f>1-844-304-2593</f>
        <v>-3740</v>
      </c>
      <c r="L9780" t="s">
        <v>30408</v>
      </c>
      <c r="M9780" t="s">
        <v>30409</v>
      </c>
      <c r="N9780" t="s">
        <v>447</v>
      </c>
      <c r="O9780" t="s">
        <v>28</v>
      </c>
      <c r="P9780" t="s">
        <v>29</v>
      </c>
      <c r="Q9780">
        <v>42</v>
      </c>
      <c r="R9780">
        <v>-87.629800000000003</v>
      </c>
    </row>
    <row r="9781" spans="1:18" x14ac:dyDescent="0.2">
      <c r="A9781" t="s">
        <v>439</v>
      </c>
      <c r="B9781" t="s">
        <v>6226</v>
      </c>
      <c r="C9781">
        <v>1</v>
      </c>
      <c r="D9781" s="1">
        <v>44307.935717592591</v>
      </c>
      <c r="E9781" t="s">
        <v>30410</v>
      </c>
      <c r="F9781" t="s">
        <v>442</v>
      </c>
      <c r="G9781" t="s">
        <v>30411</v>
      </c>
      <c r="H9781" t="s">
        <v>444</v>
      </c>
      <c r="I9781" t="s">
        <v>29</v>
      </c>
      <c r="J9781">
        <v>1</v>
      </c>
      <c r="K9781">
        <f>1-888-481-3352</f>
        <v>-4720</v>
      </c>
      <c r="L9781" t="s">
        <v>30412</v>
      </c>
      <c r="M9781" t="s">
        <v>30413</v>
      </c>
      <c r="N9781" t="s">
        <v>30194</v>
      </c>
      <c r="O9781" t="s">
        <v>28</v>
      </c>
      <c r="P9781" t="s">
        <v>29</v>
      </c>
      <c r="Q9781">
        <v>26</v>
      </c>
      <c r="R9781">
        <v>-80.191800000000001</v>
      </c>
    </row>
    <row r="9782" spans="1:18" x14ac:dyDescent="0.2">
      <c r="A9782" t="s">
        <v>439</v>
      </c>
      <c r="B9782" t="s">
        <v>6226</v>
      </c>
      <c r="C9782">
        <v>1</v>
      </c>
      <c r="D9782" s="1">
        <v>44307.933437500003</v>
      </c>
      <c r="E9782" t="s">
        <v>30410</v>
      </c>
      <c r="F9782" t="s">
        <v>442</v>
      </c>
      <c r="G9782" t="s">
        <v>30411</v>
      </c>
      <c r="H9782" t="s">
        <v>444</v>
      </c>
      <c r="I9782" t="s">
        <v>29</v>
      </c>
      <c r="J9782">
        <v>1</v>
      </c>
      <c r="K9782">
        <f>1-888-461-1597</f>
        <v>-2945</v>
      </c>
      <c r="L9782" t="s">
        <v>30414</v>
      </c>
      <c r="M9782" t="s">
        <v>30415</v>
      </c>
      <c r="N9782" t="s">
        <v>30194</v>
      </c>
      <c r="O9782" t="s">
        <v>28</v>
      </c>
      <c r="P9782" t="s">
        <v>29</v>
      </c>
      <c r="Q9782">
        <v>26</v>
      </c>
      <c r="R9782">
        <v>-80.191800000000001</v>
      </c>
    </row>
    <row r="9783" spans="1:18" x14ac:dyDescent="0.2">
      <c r="A9783" t="s">
        <v>439</v>
      </c>
      <c r="B9783" t="s">
        <v>440</v>
      </c>
      <c r="C9783">
        <v>1</v>
      </c>
      <c r="D9783" s="1">
        <v>44307.936284722222</v>
      </c>
      <c r="E9783" t="s">
        <v>30416</v>
      </c>
      <c r="F9783" t="s">
        <v>442</v>
      </c>
      <c r="G9783" t="s">
        <v>30417</v>
      </c>
      <c r="H9783" t="s">
        <v>444</v>
      </c>
      <c r="I9783" t="s">
        <v>29</v>
      </c>
      <c r="J9783">
        <v>1</v>
      </c>
      <c r="K9783">
        <f>1-844-491-990</f>
        <v>-2324</v>
      </c>
      <c r="L9783" t="s">
        <v>30418</v>
      </c>
      <c r="M9783" t="s">
        <v>30419</v>
      </c>
      <c r="N9783" t="s">
        <v>447</v>
      </c>
      <c r="O9783" t="s">
        <v>28</v>
      </c>
      <c r="P9783" t="s">
        <v>29</v>
      </c>
      <c r="Q9783">
        <v>39</v>
      </c>
      <c r="R9783">
        <v>-77.487399999999994</v>
      </c>
    </row>
    <row r="9784" spans="1:18" x14ac:dyDescent="0.2">
      <c r="A9784" t="s">
        <v>439</v>
      </c>
      <c r="B9784" t="s">
        <v>440</v>
      </c>
      <c r="C9784">
        <v>1</v>
      </c>
      <c r="D9784" s="1">
        <v>44307.947233796294</v>
      </c>
      <c r="E9784" t="s">
        <v>30420</v>
      </c>
      <c r="F9784" t="s">
        <v>442</v>
      </c>
      <c r="G9784" t="s">
        <v>30421</v>
      </c>
      <c r="H9784" t="s">
        <v>444</v>
      </c>
      <c r="I9784" t="s">
        <v>29</v>
      </c>
      <c r="J9784">
        <v>1</v>
      </c>
      <c r="K9784">
        <f>1-888-728-1869</f>
        <v>-3484</v>
      </c>
      <c r="L9784" t="s">
        <v>30422</v>
      </c>
      <c r="M9784" t="s">
        <v>30423</v>
      </c>
      <c r="N9784" t="s">
        <v>36</v>
      </c>
      <c r="O9784" t="s">
        <v>28</v>
      </c>
      <c r="P9784" t="s">
        <v>29</v>
      </c>
      <c r="Q9784">
        <v>39</v>
      </c>
      <c r="R9784">
        <v>-77.487399999999994</v>
      </c>
    </row>
    <row r="9785" spans="1:18" x14ac:dyDescent="0.2">
      <c r="A9785" t="s">
        <v>439</v>
      </c>
      <c r="B9785" t="s">
        <v>1412</v>
      </c>
      <c r="C9785">
        <v>1</v>
      </c>
      <c r="D9785" s="1">
        <v>44307.959293981483</v>
      </c>
      <c r="E9785" t="s">
        <v>30424</v>
      </c>
      <c r="F9785" t="s">
        <v>442</v>
      </c>
      <c r="G9785" t="s">
        <v>30425</v>
      </c>
      <c r="H9785" t="s">
        <v>444</v>
      </c>
      <c r="I9785" t="s">
        <v>29</v>
      </c>
      <c r="J9785">
        <v>1</v>
      </c>
      <c r="K9785">
        <f>1-844-492-2874</f>
        <v>-4209</v>
      </c>
      <c r="L9785" t="s">
        <v>30426</v>
      </c>
      <c r="M9785" t="s">
        <v>30427</v>
      </c>
      <c r="N9785" t="s">
        <v>213</v>
      </c>
      <c r="O9785" t="s">
        <v>28</v>
      </c>
      <c r="P9785" t="s">
        <v>29</v>
      </c>
      <c r="Q9785">
        <v>41</v>
      </c>
      <c r="R9785">
        <v>-74.172399999999996</v>
      </c>
    </row>
    <row r="9786" spans="1:18" x14ac:dyDescent="0.2">
      <c r="A9786" t="s">
        <v>675</v>
      </c>
      <c r="B9786" t="s">
        <v>1412</v>
      </c>
      <c r="C9786">
        <v>81</v>
      </c>
      <c r="D9786" s="1">
        <v>44314.804861111108</v>
      </c>
      <c r="E9786" t="s">
        <v>30428</v>
      </c>
      <c r="F9786" t="s">
        <v>678</v>
      </c>
      <c r="G9786" t="s">
        <v>30429</v>
      </c>
      <c r="H9786" t="s">
        <v>680</v>
      </c>
      <c r="I9786" t="s">
        <v>53</v>
      </c>
      <c r="J9786">
        <v>81</v>
      </c>
      <c r="K9786">
        <f>81-50-5539-4523</f>
        <v>-10031</v>
      </c>
      <c r="L9786" t="s">
        <v>30430</v>
      </c>
      <c r="M9786" t="s">
        <v>30431</v>
      </c>
      <c r="N9786" t="s">
        <v>2475</v>
      </c>
      <c r="O9786" t="s">
        <v>28</v>
      </c>
      <c r="P9786" t="s">
        <v>29</v>
      </c>
      <c r="Q9786">
        <v>41</v>
      </c>
      <c r="R9786">
        <v>-74.172399999999996</v>
      </c>
    </row>
    <row r="9787" spans="1:18" x14ac:dyDescent="0.2">
      <c r="A9787" t="s">
        <v>675</v>
      </c>
      <c r="B9787" t="s">
        <v>1412</v>
      </c>
      <c r="C9787">
        <v>81</v>
      </c>
      <c r="D9787" s="1">
        <v>44314.429131944446</v>
      </c>
      <c r="E9787" t="s">
        <v>30432</v>
      </c>
      <c r="F9787" t="s">
        <v>678</v>
      </c>
      <c r="G9787" t="s">
        <v>30429</v>
      </c>
      <c r="H9787" t="s">
        <v>680</v>
      </c>
      <c r="I9787" t="s">
        <v>53</v>
      </c>
      <c r="J9787">
        <v>81</v>
      </c>
      <c r="K9787">
        <f>81-50-5534-3746</f>
        <v>-9249</v>
      </c>
      <c r="L9787" t="s">
        <v>30433</v>
      </c>
      <c r="M9787" t="s">
        <v>30434</v>
      </c>
      <c r="N9787" t="s">
        <v>2475</v>
      </c>
      <c r="O9787" t="s">
        <v>28</v>
      </c>
      <c r="P9787" t="s">
        <v>29</v>
      </c>
      <c r="Q9787">
        <v>41</v>
      </c>
      <c r="R9787">
        <v>-74.172399999999996</v>
      </c>
    </row>
    <row r="9788" spans="1:18" x14ac:dyDescent="0.2">
      <c r="A9788" t="s">
        <v>675</v>
      </c>
      <c r="B9788" t="s">
        <v>1412</v>
      </c>
      <c r="C9788">
        <v>81</v>
      </c>
      <c r="D9788" s="1">
        <v>44312.867094907408</v>
      </c>
      <c r="E9788" t="s">
        <v>30435</v>
      </c>
      <c r="F9788" t="s">
        <v>678</v>
      </c>
      <c r="G9788" t="s">
        <v>30429</v>
      </c>
      <c r="H9788" t="s">
        <v>680</v>
      </c>
      <c r="I9788" t="s">
        <v>53</v>
      </c>
      <c r="J9788">
        <v>81</v>
      </c>
      <c r="K9788">
        <f>81-50-5539-4523</f>
        <v>-10031</v>
      </c>
      <c r="L9788" t="s">
        <v>30436</v>
      </c>
      <c r="M9788" t="s">
        <v>30437</v>
      </c>
      <c r="N9788" t="s">
        <v>2475</v>
      </c>
      <c r="O9788" t="s">
        <v>28</v>
      </c>
      <c r="P9788" t="s">
        <v>29</v>
      </c>
      <c r="Q9788">
        <v>41</v>
      </c>
      <c r="R9788">
        <v>-74.172399999999996</v>
      </c>
    </row>
    <row r="9789" spans="1:18" x14ac:dyDescent="0.2">
      <c r="A9789" t="s">
        <v>675</v>
      </c>
      <c r="B9789" t="s">
        <v>1412</v>
      </c>
      <c r="C9789">
        <v>81</v>
      </c>
      <c r="D9789" s="1">
        <v>44308.921319444446</v>
      </c>
      <c r="E9789" t="s">
        <v>30438</v>
      </c>
      <c r="F9789" t="s">
        <v>678</v>
      </c>
      <c r="G9789" t="s">
        <v>30429</v>
      </c>
      <c r="H9789" t="s">
        <v>680</v>
      </c>
      <c r="I9789" t="s">
        <v>53</v>
      </c>
      <c r="J9789">
        <v>81</v>
      </c>
      <c r="K9789">
        <f>81-50-5534-3746</f>
        <v>-9249</v>
      </c>
      <c r="L9789" t="s">
        <v>30439</v>
      </c>
      <c r="M9789" t="s">
        <v>30440</v>
      </c>
      <c r="N9789" t="s">
        <v>2475</v>
      </c>
      <c r="O9789" t="s">
        <v>28</v>
      </c>
      <c r="P9789" t="s">
        <v>29</v>
      </c>
      <c r="Q9789">
        <v>41</v>
      </c>
      <c r="R9789">
        <v>-74.172399999999996</v>
      </c>
    </row>
    <row r="9790" spans="1:18" x14ac:dyDescent="0.2">
      <c r="A9790" t="s">
        <v>675</v>
      </c>
      <c r="B9790" t="s">
        <v>1412</v>
      </c>
      <c r="C9790">
        <v>81</v>
      </c>
      <c r="D9790" s="1">
        <v>44308.47625</v>
      </c>
      <c r="E9790" t="s">
        <v>30438</v>
      </c>
      <c r="F9790" t="s">
        <v>678</v>
      </c>
      <c r="G9790" t="s">
        <v>30429</v>
      </c>
      <c r="H9790" t="s">
        <v>680</v>
      </c>
      <c r="I9790" t="s">
        <v>53</v>
      </c>
      <c r="J9790">
        <v>81</v>
      </c>
      <c r="K9790">
        <f>81-50-5534-3746</f>
        <v>-9249</v>
      </c>
      <c r="L9790" t="s">
        <v>30441</v>
      </c>
      <c r="M9790" t="s">
        <v>30442</v>
      </c>
      <c r="N9790" t="s">
        <v>2475</v>
      </c>
      <c r="O9790" t="s">
        <v>134</v>
      </c>
      <c r="P9790" t="s">
        <v>29</v>
      </c>
      <c r="Q9790">
        <v>41</v>
      </c>
      <c r="R9790">
        <v>-74.172399999999996</v>
      </c>
    </row>
    <row r="9791" spans="1:18" x14ac:dyDescent="0.2">
      <c r="A9791" t="s">
        <v>439</v>
      </c>
      <c r="B9791" t="s">
        <v>4321</v>
      </c>
      <c r="C9791">
        <v>81</v>
      </c>
      <c r="D9791" s="1">
        <v>44308.478344907409</v>
      </c>
      <c r="E9791" t="s">
        <v>30443</v>
      </c>
      <c r="F9791" t="s">
        <v>442</v>
      </c>
      <c r="G9791" t="s">
        <v>30444</v>
      </c>
      <c r="H9791" t="s">
        <v>444</v>
      </c>
      <c r="I9791" t="s">
        <v>53</v>
      </c>
      <c r="J9791">
        <v>81</v>
      </c>
      <c r="K9791">
        <f>81-50-3196-5585</f>
        <v>-8750</v>
      </c>
      <c r="L9791" t="s">
        <v>30445</v>
      </c>
      <c r="M9791" t="s">
        <v>30446</v>
      </c>
      <c r="N9791" t="s">
        <v>447</v>
      </c>
      <c r="O9791" t="s">
        <v>134</v>
      </c>
      <c r="P9791" t="s">
        <v>29</v>
      </c>
      <c r="Q9791">
        <v>42</v>
      </c>
      <c r="R9791">
        <v>-87.629800000000003</v>
      </c>
    </row>
    <row r="9792" spans="1:18" x14ac:dyDescent="0.2">
      <c r="A9792" t="s">
        <v>439</v>
      </c>
      <c r="B9792" t="s">
        <v>4321</v>
      </c>
      <c r="C9792">
        <v>81</v>
      </c>
      <c r="D9792" s="1">
        <v>44308.505532407406</v>
      </c>
      <c r="E9792" t="s">
        <v>30447</v>
      </c>
      <c r="F9792" t="s">
        <v>442</v>
      </c>
      <c r="G9792" t="s">
        <v>30448</v>
      </c>
      <c r="H9792" t="s">
        <v>444</v>
      </c>
      <c r="I9792" t="s">
        <v>53</v>
      </c>
      <c r="J9792">
        <v>81</v>
      </c>
      <c r="K9792">
        <f>81-50-3196-5585</f>
        <v>-8750</v>
      </c>
      <c r="L9792" t="s">
        <v>30449</v>
      </c>
      <c r="M9792" t="s">
        <v>30450</v>
      </c>
      <c r="N9792" t="s">
        <v>447</v>
      </c>
      <c r="O9792" t="s">
        <v>28</v>
      </c>
      <c r="P9792" t="s">
        <v>29</v>
      </c>
      <c r="Q9792">
        <v>42</v>
      </c>
      <c r="R9792">
        <v>-87.629800000000003</v>
      </c>
    </row>
    <row r="9793" spans="1:18" x14ac:dyDescent="0.2">
      <c r="A9793" t="s">
        <v>439</v>
      </c>
      <c r="B9793" t="s">
        <v>440</v>
      </c>
      <c r="C9793">
        <v>1</v>
      </c>
      <c r="D9793" s="1">
        <v>44308.74491898148</v>
      </c>
      <c r="E9793" t="s">
        <v>30451</v>
      </c>
      <c r="F9793" t="s">
        <v>442</v>
      </c>
      <c r="G9793" t="s">
        <v>30452</v>
      </c>
      <c r="H9793" t="s">
        <v>444</v>
      </c>
      <c r="I9793" t="s">
        <v>29</v>
      </c>
      <c r="J9793">
        <v>1</v>
      </c>
      <c r="K9793">
        <f>1-888-213-1526</f>
        <v>-2626</v>
      </c>
      <c r="L9793" t="s">
        <v>30453</v>
      </c>
      <c r="M9793" t="s">
        <v>30454</v>
      </c>
      <c r="N9793" t="s">
        <v>30194</v>
      </c>
      <c r="O9793" t="s">
        <v>28</v>
      </c>
      <c r="P9793" t="s">
        <v>29</v>
      </c>
      <c r="Q9793">
        <v>39</v>
      </c>
      <c r="R9793">
        <v>-77.487399999999994</v>
      </c>
    </row>
    <row r="9794" spans="1:18" x14ac:dyDescent="0.2">
      <c r="A9794" t="s">
        <v>439</v>
      </c>
      <c r="B9794" t="s">
        <v>4321</v>
      </c>
      <c r="C9794">
        <v>1</v>
      </c>
      <c r="D9794" s="1">
        <v>44308.822731481479</v>
      </c>
      <c r="E9794" t="s">
        <v>30455</v>
      </c>
      <c r="F9794" t="s">
        <v>442</v>
      </c>
      <c r="G9794" t="s">
        <v>30456</v>
      </c>
      <c r="H9794" t="s">
        <v>444</v>
      </c>
      <c r="I9794" t="s">
        <v>29</v>
      </c>
      <c r="J9794">
        <v>1</v>
      </c>
      <c r="K9794">
        <f>1-888-213-1526</f>
        <v>-2626</v>
      </c>
      <c r="L9794" t="s">
        <v>30457</v>
      </c>
      <c r="M9794" t="s">
        <v>30458</v>
      </c>
      <c r="N9794" t="s">
        <v>30194</v>
      </c>
      <c r="O9794" t="s">
        <v>28</v>
      </c>
      <c r="P9794" t="s">
        <v>29</v>
      </c>
      <c r="Q9794">
        <v>42</v>
      </c>
      <c r="R9794">
        <v>-87.629800000000003</v>
      </c>
    </row>
    <row r="9795" spans="1:18" x14ac:dyDescent="0.2">
      <c r="A9795" t="s">
        <v>439</v>
      </c>
      <c r="B9795" t="s">
        <v>5337</v>
      </c>
      <c r="C9795">
        <v>1</v>
      </c>
      <c r="D9795" s="1">
        <v>44308.8362037037</v>
      </c>
      <c r="E9795" t="s">
        <v>30459</v>
      </c>
      <c r="F9795" t="s">
        <v>442</v>
      </c>
      <c r="G9795" t="s">
        <v>30460</v>
      </c>
      <c r="H9795" t="s">
        <v>444</v>
      </c>
      <c r="I9795" t="s">
        <v>29</v>
      </c>
      <c r="J9795">
        <v>1</v>
      </c>
      <c r="K9795">
        <f>1-844-277-8254</f>
        <v>-9374</v>
      </c>
      <c r="L9795" t="s">
        <v>30461</v>
      </c>
      <c r="M9795" t="s">
        <v>30462</v>
      </c>
      <c r="N9795" t="s">
        <v>213</v>
      </c>
      <c r="O9795" t="s">
        <v>28</v>
      </c>
      <c r="P9795" t="s">
        <v>29</v>
      </c>
      <c r="Q9795">
        <v>38</v>
      </c>
      <c r="R9795">
        <v>-99.999999000000003</v>
      </c>
    </row>
    <row r="9796" spans="1:18" x14ac:dyDescent="0.2">
      <c r="A9796" t="s">
        <v>2233</v>
      </c>
      <c r="B9796" t="s">
        <v>1638</v>
      </c>
      <c r="C9796">
        <v>1</v>
      </c>
      <c r="D9796" s="1">
        <v>44308.88108796296</v>
      </c>
      <c r="E9796" t="s">
        <v>30463</v>
      </c>
      <c r="F9796" t="s">
        <v>2236</v>
      </c>
      <c r="G9796" t="s">
        <v>30464</v>
      </c>
      <c r="H9796" t="s">
        <v>2237</v>
      </c>
      <c r="I9796" t="s">
        <v>29</v>
      </c>
      <c r="J9796">
        <v>1</v>
      </c>
      <c r="K9796">
        <f>1-888-726-5182</f>
        <v>-6795</v>
      </c>
      <c r="L9796" t="s">
        <v>30465</v>
      </c>
      <c r="M9796" t="s">
        <v>30466</v>
      </c>
      <c r="N9796" t="s">
        <v>278</v>
      </c>
      <c r="O9796" t="s">
        <v>28</v>
      </c>
      <c r="P9796" t="s">
        <v>292</v>
      </c>
      <c r="Q9796">
        <v>49</v>
      </c>
      <c r="R9796">
        <v>2.35222</v>
      </c>
    </row>
    <row r="9797" spans="1:18" x14ac:dyDescent="0.2">
      <c r="A9797" t="s">
        <v>439</v>
      </c>
      <c r="B9797" t="s">
        <v>4321</v>
      </c>
      <c r="C9797">
        <v>1</v>
      </c>
      <c r="D9797" s="1">
        <v>44308.900208333333</v>
      </c>
      <c r="E9797" t="s">
        <v>30467</v>
      </c>
      <c r="F9797" t="s">
        <v>442</v>
      </c>
      <c r="G9797" t="s">
        <v>30468</v>
      </c>
      <c r="H9797" t="s">
        <v>444</v>
      </c>
      <c r="I9797" t="s">
        <v>29</v>
      </c>
      <c r="J9797">
        <v>1</v>
      </c>
      <c r="K9797">
        <f>1-844-270-9225</f>
        <v>-10338</v>
      </c>
      <c r="L9797" t="s">
        <v>30469</v>
      </c>
      <c r="M9797" t="s">
        <v>30470</v>
      </c>
      <c r="N9797" t="s">
        <v>447</v>
      </c>
      <c r="O9797" t="s">
        <v>28</v>
      </c>
      <c r="P9797" t="s">
        <v>29</v>
      </c>
      <c r="Q9797">
        <v>42</v>
      </c>
      <c r="R9797">
        <v>-87.629800000000003</v>
      </c>
    </row>
    <row r="9798" spans="1:18" x14ac:dyDescent="0.2">
      <c r="A9798" t="s">
        <v>439</v>
      </c>
      <c r="B9798" t="s">
        <v>440</v>
      </c>
      <c r="C9798">
        <v>1</v>
      </c>
      <c r="D9798" s="1">
        <v>44308.905138888891</v>
      </c>
      <c r="E9798" t="s">
        <v>30471</v>
      </c>
      <c r="F9798" t="s">
        <v>442</v>
      </c>
      <c r="G9798" t="s">
        <v>30472</v>
      </c>
      <c r="H9798" t="s">
        <v>444</v>
      </c>
      <c r="I9798" t="s">
        <v>29</v>
      </c>
      <c r="J9798">
        <v>1</v>
      </c>
      <c r="K9798">
        <f>1-844-302-1216</f>
        <v>-2361</v>
      </c>
      <c r="L9798" t="s">
        <v>30473</v>
      </c>
      <c r="M9798" t="s">
        <v>30474</v>
      </c>
      <c r="N9798" t="s">
        <v>447</v>
      </c>
      <c r="O9798" t="s">
        <v>28</v>
      </c>
      <c r="P9798" t="s">
        <v>29</v>
      </c>
      <c r="Q9798">
        <v>39</v>
      </c>
      <c r="R9798">
        <v>-77.487399999999994</v>
      </c>
    </row>
    <row r="9799" spans="1:18" x14ac:dyDescent="0.2">
      <c r="A9799" t="s">
        <v>439</v>
      </c>
      <c r="B9799" t="s">
        <v>440</v>
      </c>
      <c r="C9799">
        <v>1</v>
      </c>
      <c r="D9799" s="1">
        <v>44309.037442129629</v>
      </c>
      <c r="E9799" t="s">
        <v>30475</v>
      </c>
      <c r="F9799" t="s">
        <v>442</v>
      </c>
      <c r="G9799" t="s">
        <v>30476</v>
      </c>
      <c r="H9799" t="s">
        <v>444</v>
      </c>
      <c r="I9799" t="s">
        <v>29</v>
      </c>
      <c r="J9799">
        <v>1</v>
      </c>
      <c r="K9799">
        <f>1-888-213-3758</f>
        <v>-4858</v>
      </c>
      <c r="L9799" t="s">
        <v>30477</v>
      </c>
      <c r="M9799" t="s">
        <v>30478</v>
      </c>
      <c r="N9799" t="s">
        <v>30194</v>
      </c>
      <c r="O9799" t="s">
        <v>28</v>
      </c>
      <c r="P9799" t="s">
        <v>29</v>
      </c>
      <c r="Q9799">
        <v>39</v>
      </c>
      <c r="R9799">
        <v>-77.487399999999994</v>
      </c>
    </row>
    <row r="9800" spans="1:18" x14ac:dyDescent="0.2">
      <c r="A9800" t="s">
        <v>2233</v>
      </c>
      <c r="B9800" t="s">
        <v>1638</v>
      </c>
      <c r="C9800">
        <v>1</v>
      </c>
      <c r="D9800" s="1">
        <v>44308.938738425924</v>
      </c>
      <c r="E9800" t="s">
        <v>30479</v>
      </c>
      <c r="F9800" t="s">
        <v>7023</v>
      </c>
      <c r="G9800" t="s">
        <v>30480</v>
      </c>
      <c r="H9800" t="s">
        <v>2237</v>
      </c>
      <c r="I9800" t="s">
        <v>29</v>
      </c>
      <c r="J9800">
        <v>1</v>
      </c>
      <c r="K9800">
        <f>1-888-727-3063</f>
        <v>-4677</v>
      </c>
      <c r="L9800" t="s">
        <v>30481</v>
      </c>
      <c r="M9800" t="s">
        <v>30482</v>
      </c>
      <c r="N9800" t="s">
        <v>278</v>
      </c>
      <c r="O9800" t="s">
        <v>28</v>
      </c>
      <c r="P9800" t="s">
        <v>292</v>
      </c>
      <c r="Q9800">
        <v>49</v>
      </c>
      <c r="R9800">
        <v>2.35222</v>
      </c>
    </row>
    <row r="9801" spans="1:18" x14ac:dyDescent="0.2">
      <c r="A9801" t="s">
        <v>439</v>
      </c>
      <c r="B9801" t="s">
        <v>440</v>
      </c>
      <c r="C9801">
        <v>1</v>
      </c>
      <c r="D9801" s="1">
        <v>44308.970821759256</v>
      </c>
      <c r="E9801" t="s">
        <v>30483</v>
      </c>
      <c r="F9801" t="s">
        <v>442</v>
      </c>
      <c r="G9801" t="s">
        <v>30484</v>
      </c>
      <c r="H9801" t="s">
        <v>444</v>
      </c>
      <c r="I9801" t="s">
        <v>29</v>
      </c>
      <c r="J9801">
        <v>1</v>
      </c>
      <c r="K9801">
        <f>1-888-213-3758</f>
        <v>-4858</v>
      </c>
      <c r="L9801" s="2" t="s">
        <v>30485</v>
      </c>
      <c r="M9801" t="s">
        <v>30486</v>
      </c>
      <c r="N9801" t="s">
        <v>30194</v>
      </c>
      <c r="O9801" t="s">
        <v>28</v>
      </c>
      <c r="P9801" t="s">
        <v>29</v>
      </c>
      <c r="Q9801">
        <v>39</v>
      </c>
      <c r="R9801">
        <v>-77.487399999999994</v>
      </c>
    </row>
    <row r="9802" spans="1:18" x14ac:dyDescent="0.2">
      <c r="A9802" t="s">
        <v>439</v>
      </c>
      <c r="B9802" t="s">
        <v>5337</v>
      </c>
      <c r="C9802">
        <v>1</v>
      </c>
      <c r="D9802" s="1">
        <v>44309.017060185186</v>
      </c>
      <c r="E9802" t="s">
        <v>30487</v>
      </c>
      <c r="F9802" t="s">
        <v>442</v>
      </c>
      <c r="G9802" t="s">
        <v>30488</v>
      </c>
      <c r="H9802" t="s">
        <v>444</v>
      </c>
      <c r="I9802" t="s">
        <v>29</v>
      </c>
      <c r="J9802">
        <v>1</v>
      </c>
      <c r="K9802">
        <f>1-888-213-3758</f>
        <v>-4858</v>
      </c>
      <c r="L9802" t="s">
        <v>30489</v>
      </c>
      <c r="M9802" t="s">
        <v>30490</v>
      </c>
      <c r="N9802" t="s">
        <v>30194</v>
      </c>
      <c r="O9802" t="s">
        <v>28</v>
      </c>
      <c r="P9802" t="s">
        <v>29</v>
      </c>
      <c r="Q9802">
        <v>38</v>
      </c>
      <c r="R9802">
        <v>-99.999999000000003</v>
      </c>
    </row>
    <row r="9803" spans="1:18" x14ac:dyDescent="0.2">
      <c r="A9803" t="s">
        <v>2233</v>
      </c>
      <c r="B9803" t="s">
        <v>2500</v>
      </c>
      <c r="C9803">
        <v>61</v>
      </c>
      <c r="D9803" s="1">
        <v>44309.180891203701</v>
      </c>
      <c r="E9803" t="s">
        <v>30491</v>
      </c>
      <c r="F9803" t="s">
        <v>2236</v>
      </c>
      <c r="G9803" t="s">
        <v>30492</v>
      </c>
      <c r="H9803" t="s">
        <v>2237</v>
      </c>
      <c r="I9803" t="s">
        <v>782</v>
      </c>
      <c r="J9803">
        <v>61</v>
      </c>
      <c r="K9803">
        <f>61-1800-943-513</f>
        <v>-3195</v>
      </c>
      <c r="L9803" t="s">
        <v>30493</v>
      </c>
      <c r="M9803" t="s">
        <v>30494</v>
      </c>
      <c r="N9803" t="s">
        <v>5354</v>
      </c>
      <c r="O9803" t="s">
        <v>28</v>
      </c>
      <c r="P9803" t="s">
        <v>2500</v>
      </c>
      <c r="Q9803">
        <v>1</v>
      </c>
      <c r="R9803">
        <v>99.999999000000003</v>
      </c>
    </row>
    <row r="9804" spans="1:18" x14ac:dyDescent="0.2">
      <c r="A9804" t="s">
        <v>663</v>
      </c>
      <c r="B9804" t="s">
        <v>2500</v>
      </c>
      <c r="C9804">
        <v>61</v>
      </c>
      <c r="D9804" s="1">
        <v>44309.291608796295</v>
      </c>
      <c r="E9804" t="s">
        <v>30495</v>
      </c>
      <c r="F9804" t="s">
        <v>666</v>
      </c>
      <c r="G9804" t="s">
        <v>30495</v>
      </c>
      <c r="H9804" t="s">
        <v>667</v>
      </c>
      <c r="I9804" t="s">
        <v>782</v>
      </c>
      <c r="J9804">
        <v>61</v>
      </c>
      <c r="K9804">
        <f>61-1800-943-510</f>
        <v>-3192</v>
      </c>
      <c r="L9804" t="s">
        <v>30496</v>
      </c>
      <c r="M9804" t="s">
        <v>30497</v>
      </c>
      <c r="N9804">
        <v>223</v>
      </c>
      <c r="O9804" t="s">
        <v>134</v>
      </c>
      <c r="P9804" t="s">
        <v>2500</v>
      </c>
      <c r="Q9804">
        <v>1</v>
      </c>
      <c r="R9804">
        <v>99.999999000000003</v>
      </c>
    </row>
    <row r="9805" spans="1:18" x14ac:dyDescent="0.2">
      <c r="A9805" t="s">
        <v>2233</v>
      </c>
      <c r="B9805" t="s">
        <v>1638</v>
      </c>
      <c r="C9805">
        <v>49</v>
      </c>
      <c r="D9805" s="1">
        <v>44309.525034722225</v>
      </c>
      <c r="E9805" t="s">
        <v>30498</v>
      </c>
      <c r="F9805" t="s">
        <v>2236</v>
      </c>
      <c r="G9805" t="s">
        <v>30499</v>
      </c>
      <c r="H9805" t="s">
        <v>2237</v>
      </c>
      <c r="I9805" t="s">
        <v>24</v>
      </c>
      <c r="J9805">
        <v>49</v>
      </c>
      <c r="K9805" t="s">
        <v>30500</v>
      </c>
      <c r="L9805" t="s">
        <v>30501</v>
      </c>
      <c r="M9805" t="s">
        <v>30502</v>
      </c>
      <c r="N9805" t="s">
        <v>278</v>
      </c>
      <c r="O9805" t="s">
        <v>28</v>
      </c>
      <c r="P9805" t="s">
        <v>292</v>
      </c>
      <c r="Q9805">
        <v>49</v>
      </c>
      <c r="R9805">
        <v>2.35222</v>
      </c>
    </row>
    <row r="9806" spans="1:18" x14ac:dyDescent="0.2">
      <c r="A9806" t="s">
        <v>2233</v>
      </c>
      <c r="B9806" t="s">
        <v>1638</v>
      </c>
      <c r="C9806">
        <v>1</v>
      </c>
      <c r="D9806" s="1">
        <v>44335.763113425928</v>
      </c>
      <c r="E9806" t="s">
        <v>30503</v>
      </c>
      <c r="F9806" t="s">
        <v>2236</v>
      </c>
      <c r="G9806" t="s">
        <v>30504</v>
      </c>
      <c r="H9806" t="s">
        <v>2237</v>
      </c>
      <c r="I9806" t="s">
        <v>29</v>
      </c>
      <c r="J9806">
        <v>1</v>
      </c>
      <c r="K9806">
        <f>1-888-778-1674</f>
        <v>-3339</v>
      </c>
      <c r="L9806" t="s">
        <v>30505</v>
      </c>
      <c r="M9806" t="s">
        <v>30506</v>
      </c>
      <c r="N9806" t="s">
        <v>278</v>
      </c>
      <c r="O9806" t="s">
        <v>28</v>
      </c>
      <c r="P9806" t="s">
        <v>292</v>
      </c>
      <c r="Q9806">
        <v>49</v>
      </c>
      <c r="R9806">
        <v>2.35222</v>
      </c>
    </row>
    <row r="9807" spans="1:18" x14ac:dyDescent="0.2">
      <c r="A9807" t="s">
        <v>2233</v>
      </c>
      <c r="B9807" t="s">
        <v>1638</v>
      </c>
      <c r="C9807">
        <v>1</v>
      </c>
      <c r="D9807" s="1">
        <v>44335.750775462962</v>
      </c>
      <c r="E9807" t="s">
        <v>30503</v>
      </c>
      <c r="F9807" t="s">
        <v>2236</v>
      </c>
      <c r="G9807" t="s">
        <v>30504</v>
      </c>
      <c r="H9807" t="s">
        <v>2237</v>
      </c>
      <c r="I9807" t="s">
        <v>29</v>
      </c>
      <c r="J9807">
        <v>1</v>
      </c>
      <c r="K9807">
        <f>1-888-785-9812</f>
        <v>-11484</v>
      </c>
      <c r="L9807" t="s">
        <v>30507</v>
      </c>
      <c r="M9807" t="s">
        <v>30508</v>
      </c>
      <c r="N9807" t="s">
        <v>278</v>
      </c>
      <c r="O9807" t="s">
        <v>28</v>
      </c>
      <c r="P9807" t="s">
        <v>292</v>
      </c>
      <c r="Q9807">
        <v>49</v>
      </c>
      <c r="R9807">
        <v>2.35222</v>
      </c>
    </row>
    <row r="9808" spans="1:18" x14ac:dyDescent="0.2">
      <c r="A9808" t="s">
        <v>2233</v>
      </c>
      <c r="B9808" t="s">
        <v>1638</v>
      </c>
      <c r="C9808">
        <v>1</v>
      </c>
      <c r="D9808" s="1">
        <v>44309.747939814813</v>
      </c>
      <c r="E9808" t="s">
        <v>30509</v>
      </c>
      <c r="F9808" t="s">
        <v>2236</v>
      </c>
      <c r="G9808" t="s">
        <v>30504</v>
      </c>
      <c r="H9808" t="s">
        <v>2237</v>
      </c>
      <c r="I9808" t="s">
        <v>29</v>
      </c>
      <c r="J9808">
        <v>1</v>
      </c>
      <c r="K9808">
        <f>1-866-853-2508</f>
        <v>-4226</v>
      </c>
      <c r="L9808" t="s">
        <v>30510</v>
      </c>
      <c r="M9808" t="s">
        <v>30511</v>
      </c>
      <c r="N9808" t="s">
        <v>278</v>
      </c>
      <c r="O9808" t="s">
        <v>28</v>
      </c>
      <c r="P9808" t="s">
        <v>292</v>
      </c>
      <c r="Q9808">
        <v>49</v>
      </c>
      <c r="R9808">
        <v>2.35222</v>
      </c>
    </row>
    <row r="9809" spans="1:18" x14ac:dyDescent="0.2">
      <c r="A9809" t="s">
        <v>663</v>
      </c>
      <c r="B9809" t="s">
        <v>664</v>
      </c>
      <c r="C9809">
        <v>1</v>
      </c>
      <c r="D9809" s="1">
        <v>44309.756273148145</v>
      </c>
      <c r="E9809" t="s">
        <v>30512</v>
      </c>
      <c r="F9809" t="s">
        <v>666</v>
      </c>
      <c r="G9809" t="s">
        <v>30512</v>
      </c>
      <c r="H9809" t="s">
        <v>667</v>
      </c>
      <c r="I9809" t="s">
        <v>29</v>
      </c>
      <c r="J9809">
        <v>1</v>
      </c>
      <c r="K9809">
        <f>1-888-392-4821</f>
        <v>-6100</v>
      </c>
      <c r="L9809" t="s">
        <v>30513</v>
      </c>
      <c r="M9809" t="s">
        <v>30514</v>
      </c>
      <c r="N9809">
        <v>183</v>
      </c>
      <c r="O9809" t="s">
        <v>134</v>
      </c>
      <c r="P9809" t="s">
        <v>29</v>
      </c>
      <c r="Q9809">
        <v>37</v>
      </c>
      <c r="R9809">
        <v>-99.999999000000003</v>
      </c>
    </row>
    <row r="9810" spans="1:18" x14ac:dyDescent="0.2">
      <c r="A9810" t="s">
        <v>2233</v>
      </c>
      <c r="B9810" t="s">
        <v>1638</v>
      </c>
      <c r="C9810">
        <v>1</v>
      </c>
      <c r="D9810" s="1">
        <v>44311.50439814815</v>
      </c>
      <c r="E9810" t="s">
        <v>30515</v>
      </c>
      <c r="F9810" t="s">
        <v>2236</v>
      </c>
      <c r="G9810" t="s">
        <v>30516</v>
      </c>
      <c r="H9810" t="s">
        <v>2237</v>
      </c>
      <c r="I9810" t="s">
        <v>29</v>
      </c>
      <c r="J9810">
        <v>1</v>
      </c>
      <c r="K9810">
        <f>1-877-759-6598</f>
        <v>-8233</v>
      </c>
      <c r="L9810" t="s">
        <v>30517</v>
      </c>
      <c r="M9810" t="s">
        <v>30518</v>
      </c>
      <c r="N9810" t="s">
        <v>278</v>
      </c>
      <c r="O9810" t="s">
        <v>134</v>
      </c>
      <c r="P9810" t="s">
        <v>292</v>
      </c>
      <c r="Q9810">
        <v>49</v>
      </c>
      <c r="R9810">
        <v>2.35222</v>
      </c>
    </row>
    <row r="9811" spans="1:18" x14ac:dyDescent="0.2">
      <c r="A9811" t="s">
        <v>663</v>
      </c>
      <c r="B9811" t="s">
        <v>2500</v>
      </c>
      <c r="C9811">
        <v>1</v>
      </c>
      <c r="D9811" s="1">
        <v>44311.830428240741</v>
      </c>
      <c r="E9811" t="s">
        <v>30519</v>
      </c>
      <c r="F9811" t="s">
        <v>666</v>
      </c>
      <c r="G9811" t="s">
        <v>30519</v>
      </c>
      <c r="H9811" t="s">
        <v>667</v>
      </c>
      <c r="I9811" t="s">
        <v>29</v>
      </c>
      <c r="J9811">
        <v>1</v>
      </c>
      <c r="K9811">
        <f>1-888-304-1296</f>
        <v>-2487</v>
      </c>
      <c r="L9811" t="s">
        <v>30520</v>
      </c>
      <c r="M9811" t="s">
        <v>30521</v>
      </c>
      <c r="N9811">
        <v>44</v>
      </c>
      <c r="O9811" t="s">
        <v>134</v>
      </c>
      <c r="P9811" t="s">
        <v>2500</v>
      </c>
      <c r="Q9811">
        <v>1</v>
      </c>
      <c r="R9811">
        <v>99.999999000000003</v>
      </c>
    </row>
    <row r="9812" spans="1:18" x14ac:dyDescent="0.2">
      <c r="A9812" t="s">
        <v>663</v>
      </c>
      <c r="B9812" t="s">
        <v>2500</v>
      </c>
      <c r="C9812">
        <v>1</v>
      </c>
      <c r="D9812" s="1">
        <v>44311.830428240741</v>
      </c>
      <c r="E9812" t="s">
        <v>30519</v>
      </c>
      <c r="F9812" t="s">
        <v>666</v>
      </c>
      <c r="G9812" t="s">
        <v>30519</v>
      </c>
      <c r="H9812" t="s">
        <v>667</v>
      </c>
      <c r="I9812" t="s">
        <v>29</v>
      </c>
      <c r="J9812">
        <v>1</v>
      </c>
      <c r="K9812">
        <f>1-888-525-636</f>
        <v>-2048</v>
      </c>
      <c r="L9812" t="s">
        <v>30522</v>
      </c>
      <c r="M9812" t="s">
        <v>30521</v>
      </c>
      <c r="N9812">
        <v>44</v>
      </c>
      <c r="O9812" t="s">
        <v>134</v>
      </c>
      <c r="P9812" t="s">
        <v>2500</v>
      </c>
      <c r="Q9812">
        <v>1</v>
      </c>
      <c r="R9812">
        <v>99.999999000000003</v>
      </c>
    </row>
    <row r="9813" spans="1:18" x14ac:dyDescent="0.2">
      <c r="A9813" t="s">
        <v>663</v>
      </c>
      <c r="B9813" t="s">
        <v>2500</v>
      </c>
      <c r="C9813">
        <v>1</v>
      </c>
      <c r="D9813" s="1">
        <v>44311.830416666664</v>
      </c>
      <c r="E9813" t="s">
        <v>30519</v>
      </c>
      <c r="F9813" t="s">
        <v>666</v>
      </c>
      <c r="G9813" t="s">
        <v>30519</v>
      </c>
      <c r="H9813" t="s">
        <v>667</v>
      </c>
      <c r="I9813" t="s">
        <v>29</v>
      </c>
      <c r="J9813">
        <v>1</v>
      </c>
      <c r="K9813">
        <f>1-888-334-1291</f>
        <v>-2512</v>
      </c>
      <c r="L9813" t="s">
        <v>30523</v>
      </c>
      <c r="M9813" t="s">
        <v>30521</v>
      </c>
      <c r="N9813">
        <v>44</v>
      </c>
      <c r="O9813" t="s">
        <v>134</v>
      </c>
      <c r="P9813" t="s">
        <v>2500</v>
      </c>
      <c r="Q9813">
        <v>1</v>
      </c>
      <c r="R9813">
        <v>99.999999000000003</v>
      </c>
    </row>
    <row r="9814" spans="1:18" x14ac:dyDescent="0.2">
      <c r="A9814" t="s">
        <v>663</v>
      </c>
      <c r="B9814" t="s">
        <v>2500</v>
      </c>
      <c r="C9814">
        <v>1</v>
      </c>
      <c r="D9814" s="1">
        <v>44311.830405092594</v>
      </c>
      <c r="E9814" t="s">
        <v>30519</v>
      </c>
      <c r="F9814" t="s">
        <v>666</v>
      </c>
      <c r="G9814" t="s">
        <v>30519</v>
      </c>
      <c r="H9814" t="s">
        <v>667</v>
      </c>
      <c r="I9814" t="s">
        <v>29</v>
      </c>
      <c r="J9814">
        <v>1</v>
      </c>
      <c r="K9814">
        <f>1-888-339-2698</f>
        <v>-3924</v>
      </c>
      <c r="L9814" t="s">
        <v>30524</v>
      </c>
      <c r="M9814" t="s">
        <v>30521</v>
      </c>
      <c r="N9814">
        <v>44</v>
      </c>
      <c r="O9814" t="s">
        <v>134</v>
      </c>
      <c r="P9814" t="s">
        <v>2500</v>
      </c>
      <c r="Q9814">
        <v>1</v>
      </c>
      <c r="R9814">
        <v>99.999999000000003</v>
      </c>
    </row>
    <row r="9815" spans="1:18" x14ac:dyDescent="0.2">
      <c r="A9815" t="s">
        <v>663</v>
      </c>
      <c r="B9815" t="s">
        <v>2500</v>
      </c>
      <c r="C9815">
        <v>1</v>
      </c>
      <c r="D9815" s="1">
        <v>44311.830335648148</v>
      </c>
      <c r="E9815" t="s">
        <v>30519</v>
      </c>
      <c r="F9815" t="s">
        <v>666</v>
      </c>
      <c r="G9815" t="s">
        <v>30519</v>
      </c>
      <c r="H9815" t="s">
        <v>667</v>
      </c>
      <c r="I9815" t="s">
        <v>29</v>
      </c>
      <c r="J9815">
        <v>1</v>
      </c>
      <c r="K9815">
        <f>1-888-363-2849</f>
        <v>-4099</v>
      </c>
      <c r="L9815" t="s">
        <v>30525</v>
      </c>
      <c r="M9815" t="s">
        <v>30521</v>
      </c>
      <c r="N9815">
        <v>44</v>
      </c>
      <c r="O9815" t="s">
        <v>134</v>
      </c>
      <c r="P9815" t="s">
        <v>2500</v>
      </c>
      <c r="Q9815">
        <v>1</v>
      </c>
      <c r="R9815">
        <v>99.999999000000003</v>
      </c>
    </row>
    <row r="9816" spans="1:18" x14ac:dyDescent="0.2">
      <c r="A9816" t="s">
        <v>663</v>
      </c>
      <c r="B9816" t="s">
        <v>2500</v>
      </c>
      <c r="C9816">
        <v>1</v>
      </c>
      <c r="D9816" s="1">
        <v>44311.830335648148</v>
      </c>
      <c r="E9816" t="s">
        <v>30519</v>
      </c>
      <c r="F9816" t="s">
        <v>666</v>
      </c>
      <c r="G9816" t="s">
        <v>30519</v>
      </c>
      <c r="H9816" t="s">
        <v>667</v>
      </c>
      <c r="I9816" t="s">
        <v>29</v>
      </c>
      <c r="J9816">
        <v>1</v>
      </c>
      <c r="K9816">
        <f>1-888-374-1936</f>
        <v>-3197</v>
      </c>
      <c r="L9816" t="s">
        <v>30526</v>
      </c>
      <c r="M9816" t="s">
        <v>30521</v>
      </c>
      <c r="N9816">
        <v>44</v>
      </c>
      <c r="O9816" t="s">
        <v>134</v>
      </c>
      <c r="P9816" t="s">
        <v>2500</v>
      </c>
      <c r="Q9816">
        <v>1</v>
      </c>
      <c r="R9816">
        <v>99.999999000000003</v>
      </c>
    </row>
    <row r="9817" spans="1:18" x14ac:dyDescent="0.2">
      <c r="A9817" t="s">
        <v>663</v>
      </c>
      <c r="B9817" t="s">
        <v>2500</v>
      </c>
      <c r="C9817">
        <v>1</v>
      </c>
      <c r="D9817" s="1">
        <v>44311.830324074072</v>
      </c>
      <c r="E9817" t="s">
        <v>30519</v>
      </c>
      <c r="F9817" t="s">
        <v>666</v>
      </c>
      <c r="G9817" t="s">
        <v>30519</v>
      </c>
      <c r="H9817" t="s">
        <v>667</v>
      </c>
      <c r="I9817" t="s">
        <v>29</v>
      </c>
      <c r="J9817">
        <v>1</v>
      </c>
      <c r="K9817">
        <f>1-888-597-1384</f>
        <v>-2868</v>
      </c>
      <c r="L9817" t="s">
        <v>30527</v>
      </c>
      <c r="M9817" t="s">
        <v>30521</v>
      </c>
      <c r="N9817">
        <v>44</v>
      </c>
      <c r="O9817" t="s">
        <v>134</v>
      </c>
      <c r="P9817" t="s">
        <v>2500</v>
      </c>
      <c r="Q9817">
        <v>1</v>
      </c>
      <c r="R9817">
        <v>99.999999000000003</v>
      </c>
    </row>
    <row r="9818" spans="1:18" x14ac:dyDescent="0.2">
      <c r="A9818" t="s">
        <v>663</v>
      </c>
      <c r="B9818" t="s">
        <v>2500</v>
      </c>
      <c r="C9818">
        <v>1</v>
      </c>
      <c r="D9818" s="1">
        <v>44311.830312500002</v>
      </c>
      <c r="E9818" t="s">
        <v>30519</v>
      </c>
      <c r="F9818" t="s">
        <v>666</v>
      </c>
      <c r="G9818" t="s">
        <v>30519</v>
      </c>
      <c r="H9818" t="s">
        <v>667</v>
      </c>
      <c r="I9818" t="s">
        <v>29</v>
      </c>
      <c r="J9818">
        <v>1</v>
      </c>
      <c r="K9818">
        <f>1-866-672-8431</f>
        <v>-9968</v>
      </c>
      <c r="L9818" t="s">
        <v>30528</v>
      </c>
      <c r="M9818" t="s">
        <v>30521</v>
      </c>
      <c r="N9818">
        <v>44</v>
      </c>
      <c r="O9818" t="s">
        <v>134</v>
      </c>
      <c r="P9818" t="s">
        <v>2500</v>
      </c>
      <c r="Q9818">
        <v>1</v>
      </c>
      <c r="R9818">
        <v>99.999999000000003</v>
      </c>
    </row>
    <row r="9819" spans="1:18" x14ac:dyDescent="0.2">
      <c r="A9819" t="s">
        <v>663</v>
      </c>
      <c r="B9819" t="s">
        <v>2500</v>
      </c>
      <c r="C9819">
        <v>1</v>
      </c>
      <c r="D9819" s="1">
        <v>44311.830243055556</v>
      </c>
      <c r="E9819" t="s">
        <v>30519</v>
      </c>
      <c r="F9819" t="s">
        <v>666</v>
      </c>
      <c r="G9819" t="s">
        <v>30519</v>
      </c>
      <c r="H9819" t="s">
        <v>667</v>
      </c>
      <c r="I9819" t="s">
        <v>29</v>
      </c>
      <c r="J9819">
        <v>1</v>
      </c>
      <c r="K9819">
        <f>1-866-672-8431</f>
        <v>-9968</v>
      </c>
      <c r="L9819" t="s">
        <v>30529</v>
      </c>
      <c r="M9819" t="s">
        <v>30521</v>
      </c>
      <c r="N9819">
        <v>44</v>
      </c>
      <c r="O9819" t="s">
        <v>134</v>
      </c>
      <c r="P9819" t="s">
        <v>2500</v>
      </c>
      <c r="Q9819">
        <v>1</v>
      </c>
      <c r="R9819">
        <v>99.999999000000003</v>
      </c>
    </row>
    <row r="9820" spans="1:18" x14ac:dyDescent="0.2">
      <c r="A9820" t="s">
        <v>663</v>
      </c>
      <c r="B9820" t="s">
        <v>2500</v>
      </c>
      <c r="C9820">
        <v>1</v>
      </c>
      <c r="D9820" s="1">
        <v>44311.830243055556</v>
      </c>
      <c r="E9820" t="s">
        <v>30519</v>
      </c>
      <c r="F9820" t="s">
        <v>666</v>
      </c>
      <c r="G9820" t="s">
        <v>30519</v>
      </c>
      <c r="H9820" t="s">
        <v>667</v>
      </c>
      <c r="I9820" t="s">
        <v>29</v>
      </c>
      <c r="J9820">
        <v>1</v>
      </c>
      <c r="K9820">
        <f>1-866-672-8431</f>
        <v>-9968</v>
      </c>
      <c r="L9820" t="s">
        <v>30530</v>
      </c>
      <c r="M9820" t="s">
        <v>30521</v>
      </c>
      <c r="N9820">
        <v>44</v>
      </c>
      <c r="O9820" t="s">
        <v>134</v>
      </c>
      <c r="P9820" t="s">
        <v>2500</v>
      </c>
      <c r="Q9820">
        <v>1</v>
      </c>
      <c r="R9820">
        <v>99.999999000000003</v>
      </c>
    </row>
    <row r="9821" spans="1:18" x14ac:dyDescent="0.2">
      <c r="A9821" t="s">
        <v>663</v>
      </c>
      <c r="B9821" t="s">
        <v>2500</v>
      </c>
      <c r="C9821">
        <v>1</v>
      </c>
      <c r="D9821" s="1">
        <v>44311.830243055556</v>
      </c>
      <c r="E9821" t="s">
        <v>30519</v>
      </c>
      <c r="F9821" t="s">
        <v>666</v>
      </c>
      <c r="G9821" t="s">
        <v>30519</v>
      </c>
      <c r="H9821" t="s">
        <v>667</v>
      </c>
      <c r="I9821" t="s">
        <v>29</v>
      </c>
      <c r="J9821">
        <v>1</v>
      </c>
      <c r="K9821">
        <f>1-866-672-8431</f>
        <v>-9968</v>
      </c>
      <c r="L9821" t="s">
        <v>30531</v>
      </c>
      <c r="M9821" t="s">
        <v>30521</v>
      </c>
      <c r="N9821">
        <v>44</v>
      </c>
      <c r="O9821" t="s">
        <v>134</v>
      </c>
      <c r="P9821" t="s">
        <v>2500</v>
      </c>
      <c r="Q9821">
        <v>1</v>
      </c>
      <c r="R9821">
        <v>99.999999000000003</v>
      </c>
    </row>
    <row r="9822" spans="1:18" x14ac:dyDescent="0.2">
      <c r="A9822" t="s">
        <v>663</v>
      </c>
      <c r="B9822" t="s">
        <v>2500</v>
      </c>
      <c r="C9822">
        <v>1</v>
      </c>
      <c r="D9822" s="1">
        <v>44311.83021990741</v>
      </c>
      <c r="E9822" t="s">
        <v>30519</v>
      </c>
      <c r="F9822" t="s">
        <v>666</v>
      </c>
      <c r="G9822" t="s">
        <v>30519</v>
      </c>
      <c r="H9822" t="s">
        <v>667</v>
      </c>
      <c r="I9822" t="s">
        <v>29</v>
      </c>
      <c r="J9822">
        <v>1</v>
      </c>
      <c r="K9822">
        <f>1-844-389-9880</f>
        <v>-11112</v>
      </c>
      <c r="L9822" t="s">
        <v>30532</v>
      </c>
      <c r="M9822" t="s">
        <v>30521</v>
      </c>
      <c r="N9822">
        <v>44</v>
      </c>
      <c r="O9822" t="s">
        <v>134</v>
      </c>
      <c r="P9822" t="s">
        <v>2500</v>
      </c>
      <c r="Q9822">
        <v>1</v>
      </c>
      <c r="R9822">
        <v>99.999999000000003</v>
      </c>
    </row>
    <row r="9823" spans="1:18" x14ac:dyDescent="0.2">
      <c r="A9823" t="s">
        <v>663</v>
      </c>
      <c r="B9823" t="s">
        <v>2500</v>
      </c>
      <c r="C9823">
        <v>1</v>
      </c>
      <c r="D9823" s="1">
        <v>44311.830150462964</v>
      </c>
      <c r="E9823" t="s">
        <v>30519</v>
      </c>
      <c r="F9823" t="s">
        <v>666</v>
      </c>
      <c r="G9823" t="s">
        <v>30519</v>
      </c>
      <c r="H9823" t="s">
        <v>667</v>
      </c>
      <c r="I9823" t="s">
        <v>29</v>
      </c>
      <c r="J9823">
        <v>1</v>
      </c>
      <c r="K9823">
        <f>1-888-348-164</f>
        <v>-1399</v>
      </c>
      <c r="L9823" t="s">
        <v>30533</v>
      </c>
      <c r="M9823" t="s">
        <v>30521</v>
      </c>
      <c r="N9823">
        <v>44</v>
      </c>
      <c r="O9823" t="s">
        <v>134</v>
      </c>
      <c r="P9823" t="s">
        <v>2500</v>
      </c>
      <c r="Q9823">
        <v>1</v>
      </c>
      <c r="R9823">
        <v>99.999999000000003</v>
      </c>
    </row>
    <row r="9824" spans="1:18" x14ac:dyDescent="0.2">
      <c r="A9824" t="s">
        <v>663</v>
      </c>
      <c r="B9824" t="s">
        <v>2500</v>
      </c>
      <c r="C9824">
        <v>1</v>
      </c>
      <c r="D9824" s="1">
        <v>44311.830150462964</v>
      </c>
      <c r="E9824" t="s">
        <v>30519</v>
      </c>
      <c r="F9824" t="s">
        <v>666</v>
      </c>
      <c r="G9824" t="s">
        <v>30519</v>
      </c>
      <c r="H9824" t="s">
        <v>667</v>
      </c>
      <c r="I9824" t="s">
        <v>29</v>
      </c>
      <c r="J9824">
        <v>1</v>
      </c>
      <c r="K9824">
        <f>1-888-351-5352</f>
        <v>-6590</v>
      </c>
      <c r="L9824" t="s">
        <v>30534</v>
      </c>
      <c r="M9824" t="s">
        <v>30521</v>
      </c>
      <c r="N9824">
        <v>44</v>
      </c>
      <c r="O9824" t="s">
        <v>134</v>
      </c>
      <c r="P9824" t="s">
        <v>2500</v>
      </c>
      <c r="Q9824">
        <v>1</v>
      </c>
      <c r="R9824">
        <v>99.999999000000003</v>
      </c>
    </row>
    <row r="9825" spans="1:18" x14ac:dyDescent="0.2">
      <c r="A9825" t="s">
        <v>663</v>
      </c>
      <c r="B9825" t="s">
        <v>2500</v>
      </c>
      <c r="C9825">
        <v>1</v>
      </c>
      <c r="D9825" s="1">
        <v>44311.830138888887</v>
      </c>
      <c r="E9825" t="s">
        <v>30519</v>
      </c>
      <c r="F9825" t="s">
        <v>666</v>
      </c>
      <c r="G9825" t="s">
        <v>30519</v>
      </c>
      <c r="H9825" t="s">
        <v>667</v>
      </c>
      <c r="I9825" t="s">
        <v>29</v>
      </c>
      <c r="J9825">
        <v>1</v>
      </c>
      <c r="K9825">
        <f>1-888-370-4806</f>
        <v>-6063</v>
      </c>
      <c r="L9825" t="s">
        <v>30535</v>
      </c>
      <c r="M9825" t="s">
        <v>30521</v>
      </c>
      <c r="N9825">
        <v>44</v>
      </c>
      <c r="O9825" t="s">
        <v>134</v>
      </c>
      <c r="P9825" t="s">
        <v>2500</v>
      </c>
      <c r="Q9825">
        <v>1</v>
      </c>
      <c r="R9825">
        <v>99.999999000000003</v>
      </c>
    </row>
    <row r="9826" spans="1:18" x14ac:dyDescent="0.2">
      <c r="A9826" t="s">
        <v>663</v>
      </c>
      <c r="B9826" t="s">
        <v>2500</v>
      </c>
      <c r="C9826">
        <v>1</v>
      </c>
      <c r="D9826" s="1">
        <v>44311.830138888887</v>
      </c>
      <c r="E9826" t="s">
        <v>30519</v>
      </c>
      <c r="F9826" t="s">
        <v>666</v>
      </c>
      <c r="G9826" t="s">
        <v>30519</v>
      </c>
      <c r="H9826" t="s">
        <v>667</v>
      </c>
      <c r="I9826" t="s">
        <v>29</v>
      </c>
      <c r="J9826">
        <v>1</v>
      </c>
      <c r="K9826">
        <f>1-888-381-5243</f>
        <v>-6511</v>
      </c>
      <c r="L9826" t="s">
        <v>30536</v>
      </c>
      <c r="M9826" t="s">
        <v>30521</v>
      </c>
      <c r="N9826">
        <v>44</v>
      </c>
      <c r="O9826" t="s">
        <v>134</v>
      </c>
      <c r="P9826" t="s">
        <v>2500</v>
      </c>
      <c r="Q9826">
        <v>1</v>
      </c>
      <c r="R9826">
        <v>99.999999000000003</v>
      </c>
    </row>
    <row r="9827" spans="1:18" x14ac:dyDescent="0.2">
      <c r="A9827" t="s">
        <v>663</v>
      </c>
      <c r="B9827" t="s">
        <v>2500</v>
      </c>
      <c r="C9827">
        <v>1</v>
      </c>
      <c r="D9827" s="1">
        <v>44311.830069444448</v>
      </c>
      <c r="E9827" t="s">
        <v>30519</v>
      </c>
      <c r="F9827" t="s">
        <v>666</v>
      </c>
      <c r="G9827" t="s">
        <v>30519</v>
      </c>
      <c r="H9827" t="s">
        <v>667</v>
      </c>
      <c r="I9827" t="s">
        <v>29</v>
      </c>
      <c r="J9827">
        <v>1</v>
      </c>
      <c r="K9827">
        <f>1-866-672-8431</f>
        <v>-9968</v>
      </c>
      <c r="L9827" t="s">
        <v>30537</v>
      </c>
      <c r="M9827" t="s">
        <v>30521</v>
      </c>
      <c r="N9827">
        <v>44</v>
      </c>
      <c r="O9827" t="s">
        <v>134</v>
      </c>
      <c r="P9827" t="s">
        <v>2500</v>
      </c>
      <c r="Q9827">
        <v>1</v>
      </c>
      <c r="R9827">
        <v>99.999999000000003</v>
      </c>
    </row>
    <row r="9828" spans="1:18" x14ac:dyDescent="0.2">
      <c r="A9828" t="s">
        <v>663</v>
      </c>
      <c r="B9828" t="s">
        <v>2500</v>
      </c>
      <c r="C9828">
        <v>1</v>
      </c>
      <c r="D9828" s="1">
        <v>44311.829976851855</v>
      </c>
      <c r="E9828" t="s">
        <v>30519</v>
      </c>
      <c r="F9828" t="s">
        <v>666</v>
      </c>
      <c r="G9828" t="s">
        <v>30519</v>
      </c>
      <c r="H9828" t="s">
        <v>667</v>
      </c>
      <c r="I9828" t="s">
        <v>29</v>
      </c>
      <c r="J9828">
        <v>1</v>
      </c>
      <c r="K9828">
        <f>1-888-390-747</f>
        <v>-2024</v>
      </c>
      <c r="L9828" t="s">
        <v>30538</v>
      </c>
      <c r="M9828" t="s">
        <v>30521</v>
      </c>
      <c r="N9828">
        <v>44</v>
      </c>
      <c r="O9828" t="s">
        <v>134</v>
      </c>
      <c r="P9828" t="s">
        <v>2500</v>
      </c>
      <c r="Q9828">
        <v>1</v>
      </c>
      <c r="R9828">
        <v>99.999999000000003</v>
      </c>
    </row>
    <row r="9829" spans="1:18" x14ac:dyDescent="0.2">
      <c r="A9829" t="s">
        <v>663</v>
      </c>
      <c r="B9829" t="s">
        <v>2500</v>
      </c>
      <c r="C9829">
        <v>1</v>
      </c>
      <c r="D9829" s="1">
        <v>44311.829791666663</v>
      </c>
      <c r="E9829" t="s">
        <v>30519</v>
      </c>
      <c r="F9829" t="s">
        <v>666</v>
      </c>
      <c r="G9829" t="s">
        <v>30519</v>
      </c>
      <c r="H9829" t="s">
        <v>667</v>
      </c>
      <c r="I9829" t="s">
        <v>29</v>
      </c>
      <c r="J9829">
        <v>1</v>
      </c>
      <c r="K9829">
        <f>1-866-672-8431</f>
        <v>-9968</v>
      </c>
      <c r="L9829" t="s">
        <v>30539</v>
      </c>
      <c r="M9829" t="s">
        <v>30521</v>
      </c>
      <c r="N9829">
        <v>44</v>
      </c>
      <c r="O9829" t="s">
        <v>134</v>
      </c>
      <c r="P9829" t="s">
        <v>2500</v>
      </c>
      <c r="Q9829">
        <v>1</v>
      </c>
      <c r="R9829">
        <v>99.999999000000003</v>
      </c>
    </row>
    <row r="9830" spans="1:18" x14ac:dyDescent="0.2">
      <c r="A9830" t="s">
        <v>663</v>
      </c>
      <c r="B9830" t="s">
        <v>2500</v>
      </c>
      <c r="C9830">
        <v>1</v>
      </c>
      <c r="D9830" s="1">
        <v>44311.829189814816</v>
      </c>
      <c r="E9830" t="s">
        <v>30519</v>
      </c>
      <c r="F9830" t="s">
        <v>666</v>
      </c>
      <c r="G9830" t="s">
        <v>30519</v>
      </c>
      <c r="H9830" t="s">
        <v>667</v>
      </c>
      <c r="I9830" t="s">
        <v>29</v>
      </c>
      <c r="J9830">
        <v>1</v>
      </c>
      <c r="K9830">
        <f>1-888-352-8587</f>
        <v>-9826</v>
      </c>
      <c r="L9830" t="s">
        <v>30540</v>
      </c>
      <c r="M9830" t="s">
        <v>30521</v>
      </c>
      <c r="N9830">
        <v>44</v>
      </c>
      <c r="O9830" t="s">
        <v>134</v>
      </c>
      <c r="P9830" t="s">
        <v>2500</v>
      </c>
      <c r="Q9830">
        <v>1</v>
      </c>
      <c r="R9830">
        <v>99.999999000000003</v>
      </c>
    </row>
    <row r="9831" spans="1:18" x14ac:dyDescent="0.2">
      <c r="A9831" t="s">
        <v>663</v>
      </c>
      <c r="B9831" t="s">
        <v>3245</v>
      </c>
      <c r="C9831">
        <v>1</v>
      </c>
      <c r="D9831" s="1">
        <v>44312.762048611112</v>
      </c>
      <c r="E9831" t="s">
        <v>30541</v>
      </c>
      <c r="F9831" t="s">
        <v>666</v>
      </c>
      <c r="G9831" t="s">
        <v>30542</v>
      </c>
      <c r="H9831" t="s">
        <v>667</v>
      </c>
      <c r="I9831" t="s">
        <v>29</v>
      </c>
      <c r="J9831">
        <v>1</v>
      </c>
      <c r="K9831">
        <f>1-866-512-6106</f>
        <v>-7483</v>
      </c>
      <c r="L9831" t="s">
        <v>30543</v>
      </c>
      <c r="M9831" t="s">
        <v>30544</v>
      </c>
      <c r="N9831" t="s">
        <v>213</v>
      </c>
      <c r="O9831" t="s">
        <v>28</v>
      </c>
      <c r="P9831" t="s">
        <v>29</v>
      </c>
      <c r="Q9831">
        <v>41</v>
      </c>
      <c r="R9831">
        <v>-74.140299999999996</v>
      </c>
    </row>
    <row r="9832" spans="1:18" x14ac:dyDescent="0.2">
      <c r="A9832" t="s">
        <v>663</v>
      </c>
      <c r="B9832" t="s">
        <v>3245</v>
      </c>
      <c r="C9832">
        <v>1</v>
      </c>
      <c r="D9832" s="1">
        <v>44312.796006944445</v>
      </c>
      <c r="E9832" t="s">
        <v>30545</v>
      </c>
      <c r="F9832" t="s">
        <v>666</v>
      </c>
      <c r="G9832" t="s">
        <v>30542</v>
      </c>
      <c r="H9832" t="s">
        <v>667</v>
      </c>
      <c r="I9832" t="s">
        <v>29</v>
      </c>
      <c r="J9832">
        <v>1</v>
      </c>
      <c r="K9832">
        <f>1-844-494-1227</f>
        <v>-2564</v>
      </c>
      <c r="L9832" t="s">
        <v>30546</v>
      </c>
      <c r="M9832" t="s">
        <v>30547</v>
      </c>
      <c r="N9832" t="s">
        <v>674</v>
      </c>
      <c r="O9832" t="s">
        <v>28</v>
      </c>
      <c r="P9832" t="s">
        <v>29</v>
      </c>
      <c r="Q9832">
        <v>41</v>
      </c>
      <c r="R9832">
        <v>-74.140299999999996</v>
      </c>
    </row>
    <row r="9833" spans="1:18" x14ac:dyDescent="0.2">
      <c r="A9833" t="s">
        <v>270</v>
      </c>
      <c r="B9833" t="s">
        <v>10823</v>
      </c>
      <c r="C9833">
        <v>1</v>
      </c>
      <c r="D9833" s="1">
        <v>44312.798796296294</v>
      </c>
      <c r="E9833" t="s">
        <v>30548</v>
      </c>
      <c r="F9833" t="s">
        <v>273</v>
      </c>
      <c r="G9833" t="s">
        <v>30549</v>
      </c>
      <c r="H9833" t="s">
        <v>275</v>
      </c>
      <c r="I9833" t="s">
        <v>29</v>
      </c>
      <c r="J9833">
        <v>1</v>
      </c>
      <c r="K9833">
        <f>1-844-310-4765</f>
        <v>-5918</v>
      </c>
      <c r="L9833" t="s">
        <v>30550</v>
      </c>
      <c r="M9833" t="s">
        <v>30551</v>
      </c>
      <c r="N9833" t="s">
        <v>278</v>
      </c>
      <c r="O9833" t="s">
        <v>28</v>
      </c>
      <c r="P9833" t="s">
        <v>29</v>
      </c>
      <c r="Q9833">
        <v>41</v>
      </c>
      <c r="R9833">
        <v>-99.999999000000003</v>
      </c>
    </row>
    <row r="9834" spans="1:18" x14ac:dyDescent="0.2">
      <c r="A9834" t="s">
        <v>663</v>
      </c>
      <c r="B9834" t="s">
        <v>2500</v>
      </c>
      <c r="C9834">
        <v>1</v>
      </c>
      <c r="D9834" s="1">
        <v>44312.81177083333</v>
      </c>
      <c r="E9834" t="s">
        <v>30552</v>
      </c>
      <c r="F9834" t="s">
        <v>666</v>
      </c>
      <c r="G9834" t="s">
        <v>30552</v>
      </c>
      <c r="H9834" t="s">
        <v>667</v>
      </c>
      <c r="I9834" t="s">
        <v>29</v>
      </c>
      <c r="J9834">
        <v>1</v>
      </c>
      <c r="K9834">
        <f>1-888-329-82</f>
        <v>-1298</v>
      </c>
      <c r="L9834" t="s">
        <v>30553</v>
      </c>
      <c r="M9834" t="s">
        <v>30554</v>
      </c>
      <c r="N9834">
        <v>69</v>
      </c>
      <c r="O9834" t="s">
        <v>134</v>
      </c>
      <c r="P9834" t="s">
        <v>2500</v>
      </c>
      <c r="Q9834">
        <v>1</v>
      </c>
      <c r="R9834">
        <v>99.999999000000003</v>
      </c>
    </row>
    <row r="9835" spans="1:18" x14ac:dyDescent="0.2">
      <c r="A9835" t="s">
        <v>439</v>
      </c>
      <c r="B9835" t="s">
        <v>440</v>
      </c>
      <c r="C9835">
        <v>1</v>
      </c>
      <c r="D9835" s="1">
        <v>44312.883530092593</v>
      </c>
      <c r="E9835" t="s">
        <v>30555</v>
      </c>
      <c r="F9835" t="s">
        <v>442</v>
      </c>
      <c r="G9835" t="s">
        <v>30556</v>
      </c>
      <c r="H9835" t="s">
        <v>444</v>
      </c>
      <c r="I9835" t="s">
        <v>29</v>
      </c>
      <c r="J9835">
        <v>1</v>
      </c>
      <c r="K9835">
        <f>1-888-213-5064</f>
        <v>-6164</v>
      </c>
      <c r="L9835" t="s">
        <v>30557</v>
      </c>
      <c r="M9835" t="s">
        <v>30558</v>
      </c>
      <c r="N9835" t="s">
        <v>30194</v>
      </c>
      <c r="O9835" t="s">
        <v>28</v>
      </c>
      <c r="P9835" t="s">
        <v>29</v>
      </c>
      <c r="Q9835">
        <v>39</v>
      </c>
      <c r="R9835">
        <v>-77.487399999999994</v>
      </c>
    </row>
    <row r="9836" spans="1:18" x14ac:dyDescent="0.2">
      <c r="A9836" t="s">
        <v>663</v>
      </c>
      <c r="B9836" t="s">
        <v>2500</v>
      </c>
      <c r="C9836">
        <v>1</v>
      </c>
      <c r="D9836" s="1">
        <v>44313.016782407409</v>
      </c>
      <c r="E9836" t="s">
        <v>30559</v>
      </c>
      <c r="F9836" t="s">
        <v>666</v>
      </c>
      <c r="G9836" t="s">
        <v>30559</v>
      </c>
      <c r="H9836" t="s">
        <v>667</v>
      </c>
      <c r="I9836" t="s">
        <v>29</v>
      </c>
      <c r="J9836">
        <v>1</v>
      </c>
      <c r="K9836">
        <f>1-833-424-9677</f>
        <v>-10933</v>
      </c>
      <c r="L9836" t="s">
        <v>30560</v>
      </c>
      <c r="M9836" t="s">
        <v>30561</v>
      </c>
      <c r="N9836">
        <v>102</v>
      </c>
      <c r="O9836" t="s">
        <v>134</v>
      </c>
      <c r="P9836" t="s">
        <v>2500</v>
      </c>
      <c r="Q9836">
        <v>1</v>
      </c>
      <c r="R9836">
        <v>99.999999000000003</v>
      </c>
    </row>
    <row r="9837" spans="1:18" x14ac:dyDescent="0.2">
      <c r="A9837" t="s">
        <v>663</v>
      </c>
      <c r="B9837" t="s">
        <v>2500</v>
      </c>
      <c r="C9837">
        <v>1</v>
      </c>
      <c r="D9837" s="1">
        <v>44312.984363425923</v>
      </c>
      <c r="E9837" t="s">
        <v>30559</v>
      </c>
      <c r="F9837" t="s">
        <v>666</v>
      </c>
      <c r="G9837" t="s">
        <v>30559</v>
      </c>
      <c r="H9837" t="s">
        <v>667</v>
      </c>
      <c r="I9837" t="s">
        <v>29</v>
      </c>
      <c r="J9837">
        <v>1</v>
      </c>
      <c r="K9837">
        <f>1-888-525-636</f>
        <v>-2048</v>
      </c>
      <c r="L9837" t="s">
        <v>30562</v>
      </c>
      <c r="M9837" t="s">
        <v>30563</v>
      </c>
      <c r="N9837">
        <v>102</v>
      </c>
      <c r="O9837" t="s">
        <v>134</v>
      </c>
      <c r="P9837" t="s">
        <v>2500</v>
      </c>
      <c r="Q9837">
        <v>1</v>
      </c>
      <c r="R9837">
        <v>99.999999000000003</v>
      </c>
    </row>
    <row r="9838" spans="1:18" x14ac:dyDescent="0.2">
      <c r="A9838" t="s">
        <v>663</v>
      </c>
      <c r="B9838" t="s">
        <v>2500</v>
      </c>
      <c r="C9838">
        <v>1</v>
      </c>
      <c r="D9838" s="1">
        <v>44312.878668981481</v>
      </c>
      <c r="E9838" t="s">
        <v>30564</v>
      </c>
      <c r="F9838" t="s">
        <v>666</v>
      </c>
      <c r="G9838" t="s">
        <v>30564</v>
      </c>
      <c r="H9838" t="s">
        <v>667</v>
      </c>
      <c r="I9838" t="s">
        <v>29</v>
      </c>
      <c r="J9838">
        <v>1</v>
      </c>
      <c r="K9838">
        <f>1-844-328-9246</f>
        <v>-10417</v>
      </c>
      <c r="L9838" t="s">
        <v>30565</v>
      </c>
      <c r="M9838" t="s">
        <v>30566</v>
      </c>
      <c r="N9838">
        <v>79</v>
      </c>
      <c r="O9838" t="s">
        <v>134</v>
      </c>
      <c r="P9838" t="s">
        <v>2500</v>
      </c>
      <c r="Q9838">
        <v>1</v>
      </c>
      <c r="R9838">
        <v>99.999999000000003</v>
      </c>
    </row>
    <row r="9839" spans="1:18" x14ac:dyDescent="0.2">
      <c r="A9839" t="s">
        <v>439</v>
      </c>
      <c r="B9839" t="s">
        <v>6226</v>
      </c>
      <c r="C9839">
        <v>81</v>
      </c>
      <c r="D9839" s="1">
        <v>44312.86886574074</v>
      </c>
      <c r="E9839" t="s">
        <v>30567</v>
      </c>
      <c r="F9839" t="s">
        <v>442</v>
      </c>
      <c r="G9839" t="s">
        <v>30568</v>
      </c>
      <c r="H9839" t="s">
        <v>444</v>
      </c>
      <c r="I9839" t="s">
        <v>53</v>
      </c>
      <c r="J9839">
        <v>81</v>
      </c>
      <c r="K9839">
        <f>81-50-3185-4572</f>
        <v>-7726</v>
      </c>
      <c r="L9839" t="s">
        <v>30569</v>
      </c>
      <c r="M9839" t="s">
        <v>30570</v>
      </c>
      <c r="N9839" t="s">
        <v>213</v>
      </c>
      <c r="O9839" t="s">
        <v>28</v>
      </c>
      <c r="P9839" t="s">
        <v>29</v>
      </c>
      <c r="Q9839">
        <v>26</v>
      </c>
      <c r="R9839">
        <v>-80.191800000000001</v>
      </c>
    </row>
    <row r="9840" spans="1:18" x14ac:dyDescent="0.2">
      <c r="A9840" t="s">
        <v>439</v>
      </c>
      <c r="B9840" t="s">
        <v>4321</v>
      </c>
      <c r="C9840">
        <v>81</v>
      </c>
      <c r="D9840" s="1">
        <v>44312.870798611111</v>
      </c>
      <c r="E9840" t="s">
        <v>30571</v>
      </c>
      <c r="F9840" t="s">
        <v>442</v>
      </c>
      <c r="G9840" t="s">
        <v>30572</v>
      </c>
      <c r="H9840" t="s">
        <v>444</v>
      </c>
      <c r="I9840" t="s">
        <v>53</v>
      </c>
      <c r="J9840">
        <v>81</v>
      </c>
      <c r="K9840">
        <f>81-50-5534-5805</f>
        <v>-11308</v>
      </c>
      <c r="L9840" t="s">
        <v>30573</v>
      </c>
      <c r="M9840" t="s">
        <v>30574</v>
      </c>
      <c r="N9840" t="s">
        <v>447</v>
      </c>
      <c r="O9840" t="s">
        <v>28</v>
      </c>
      <c r="P9840" t="s">
        <v>29</v>
      </c>
      <c r="Q9840">
        <v>42</v>
      </c>
      <c r="R9840">
        <v>-87.629800000000003</v>
      </c>
    </row>
    <row r="9841" spans="1:18" x14ac:dyDescent="0.2">
      <c r="A9841" t="s">
        <v>439</v>
      </c>
      <c r="B9841" t="s">
        <v>440</v>
      </c>
      <c r="C9841">
        <v>81</v>
      </c>
      <c r="D9841" s="1">
        <v>44311.855405092596</v>
      </c>
      <c r="E9841" t="s">
        <v>30575</v>
      </c>
      <c r="F9841" t="s">
        <v>442</v>
      </c>
      <c r="G9841" t="s">
        <v>30576</v>
      </c>
      <c r="H9841" t="s">
        <v>444</v>
      </c>
      <c r="I9841" t="s">
        <v>53</v>
      </c>
      <c r="J9841">
        <v>81</v>
      </c>
      <c r="K9841">
        <f>81-50-3198-9568</f>
        <v>-12735</v>
      </c>
      <c r="L9841" t="s">
        <v>30577</v>
      </c>
      <c r="M9841" t="s">
        <v>30578</v>
      </c>
      <c r="N9841" t="s">
        <v>447</v>
      </c>
      <c r="O9841" t="s">
        <v>28</v>
      </c>
      <c r="P9841" t="s">
        <v>29</v>
      </c>
      <c r="Q9841">
        <v>39</v>
      </c>
      <c r="R9841">
        <v>-77.487399999999994</v>
      </c>
    </row>
    <row r="9842" spans="1:18" x14ac:dyDescent="0.2">
      <c r="A9842" t="s">
        <v>2233</v>
      </c>
      <c r="B9842" t="s">
        <v>28518</v>
      </c>
      <c r="C9842">
        <v>81</v>
      </c>
      <c r="D9842" s="1">
        <v>44311.861666666664</v>
      </c>
      <c r="E9842" t="s">
        <v>30579</v>
      </c>
      <c r="F9842" t="s">
        <v>2236</v>
      </c>
      <c r="G9842" t="s">
        <v>30580</v>
      </c>
      <c r="H9842" t="s">
        <v>2237</v>
      </c>
      <c r="I9842" t="s">
        <v>53</v>
      </c>
      <c r="J9842">
        <v>81</v>
      </c>
      <c r="K9842">
        <f>81-50-3205-1052</f>
        <v>-4226</v>
      </c>
      <c r="L9842" t="s">
        <v>30581</v>
      </c>
      <c r="M9842" t="s">
        <v>30582</v>
      </c>
      <c r="N9842" t="s">
        <v>6329</v>
      </c>
      <c r="O9842" t="s">
        <v>28</v>
      </c>
      <c r="P9842" t="s">
        <v>53</v>
      </c>
      <c r="Q9842">
        <v>36</v>
      </c>
      <c r="R9842">
        <v>99.999999000000003</v>
      </c>
    </row>
    <row r="9843" spans="1:18" x14ac:dyDescent="0.2">
      <c r="A9843" t="s">
        <v>439</v>
      </c>
      <c r="B9843" t="s">
        <v>440</v>
      </c>
      <c r="C9843">
        <v>81</v>
      </c>
      <c r="D9843" s="1">
        <v>44311.865682870368</v>
      </c>
      <c r="E9843" t="s">
        <v>30583</v>
      </c>
      <c r="F9843" t="s">
        <v>442</v>
      </c>
      <c r="G9843" t="s">
        <v>30584</v>
      </c>
      <c r="H9843" t="s">
        <v>444</v>
      </c>
      <c r="I9843" t="s">
        <v>53</v>
      </c>
      <c r="J9843">
        <v>81</v>
      </c>
      <c r="K9843">
        <f>81-50-5806-5177</f>
        <v>-10952</v>
      </c>
      <c r="L9843" t="s">
        <v>30585</v>
      </c>
      <c r="M9843" t="s">
        <v>30586</v>
      </c>
      <c r="N9843" t="s">
        <v>213</v>
      </c>
      <c r="O9843" t="s">
        <v>28</v>
      </c>
      <c r="P9843" t="s">
        <v>29</v>
      </c>
      <c r="Q9843">
        <v>39</v>
      </c>
      <c r="R9843">
        <v>-77.487399999999994</v>
      </c>
    </row>
    <row r="9844" spans="1:18" x14ac:dyDescent="0.2">
      <c r="A9844" t="s">
        <v>2233</v>
      </c>
      <c r="B9844" t="s">
        <v>1638</v>
      </c>
      <c r="C9844">
        <v>1</v>
      </c>
      <c r="D9844" s="1">
        <v>44311.907789351855</v>
      </c>
      <c r="E9844" t="s">
        <v>30587</v>
      </c>
      <c r="F9844" t="s">
        <v>6618</v>
      </c>
      <c r="G9844" t="s">
        <v>30588</v>
      </c>
      <c r="H9844" t="s">
        <v>2237</v>
      </c>
      <c r="I9844" t="s">
        <v>29</v>
      </c>
      <c r="J9844">
        <v>1</v>
      </c>
      <c r="K9844">
        <f>1-888-731-3655</f>
        <v>-5273</v>
      </c>
      <c r="L9844" t="s">
        <v>30589</v>
      </c>
      <c r="M9844" t="s">
        <v>30590</v>
      </c>
      <c r="N9844" t="s">
        <v>278</v>
      </c>
      <c r="O9844" t="s">
        <v>28</v>
      </c>
      <c r="P9844" t="s">
        <v>292</v>
      </c>
      <c r="Q9844">
        <v>49</v>
      </c>
      <c r="R9844">
        <v>2.35222</v>
      </c>
    </row>
    <row r="9845" spans="1:18" x14ac:dyDescent="0.2">
      <c r="A9845" t="s">
        <v>439</v>
      </c>
      <c r="B9845" t="s">
        <v>6226</v>
      </c>
      <c r="C9845">
        <v>1</v>
      </c>
      <c r="D9845" s="1">
        <v>44311.992627314816</v>
      </c>
      <c r="E9845" t="s">
        <v>30591</v>
      </c>
      <c r="F9845" t="s">
        <v>442</v>
      </c>
      <c r="G9845" t="s">
        <v>30592</v>
      </c>
      <c r="H9845" t="s">
        <v>444</v>
      </c>
      <c r="I9845" t="s">
        <v>29</v>
      </c>
      <c r="J9845">
        <v>1</v>
      </c>
      <c r="K9845">
        <f>1-888-213-3980</f>
        <v>-5080</v>
      </c>
      <c r="L9845" t="s">
        <v>30593</v>
      </c>
      <c r="M9845" t="s">
        <v>30594</v>
      </c>
      <c r="N9845" t="s">
        <v>30194</v>
      </c>
      <c r="O9845" t="s">
        <v>28</v>
      </c>
      <c r="P9845" t="s">
        <v>29</v>
      </c>
      <c r="Q9845">
        <v>26</v>
      </c>
      <c r="R9845">
        <v>-80.191800000000001</v>
      </c>
    </row>
    <row r="9846" spans="1:18" x14ac:dyDescent="0.2">
      <c r="A9846" t="s">
        <v>675</v>
      </c>
      <c r="B9846" t="s">
        <v>1412</v>
      </c>
      <c r="C9846">
        <v>1</v>
      </c>
      <c r="D9846" s="1">
        <v>44312.596562500003</v>
      </c>
      <c r="E9846" t="s">
        <v>30595</v>
      </c>
      <c r="F9846" t="s">
        <v>678</v>
      </c>
      <c r="G9846" t="s">
        <v>30596</v>
      </c>
      <c r="H9846" t="s">
        <v>680</v>
      </c>
      <c r="I9846" t="s">
        <v>29</v>
      </c>
      <c r="J9846">
        <v>1</v>
      </c>
      <c r="K9846">
        <f>1-800-90-3854</f>
        <v>-4743</v>
      </c>
      <c r="L9846" t="s">
        <v>30597</v>
      </c>
      <c r="M9846" t="s">
        <v>30598</v>
      </c>
      <c r="N9846" t="s">
        <v>2475</v>
      </c>
      <c r="O9846" t="s">
        <v>28</v>
      </c>
      <c r="P9846" t="s">
        <v>29</v>
      </c>
      <c r="Q9846">
        <v>41</v>
      </c>
      <c r="R9846">
        <v>-74.172399999999996</v>
      </c>
    </row>
    <row r="9847" spans="1:18" x14ac:dyDescent="0.2">
      <c r="A9847" t="s">
        <v>663</v>
      </c>
      <c r="B9847" t="s">
        <v>5784</v>
      </c>
      <c r="C9847">
        <v>1</v>
      </c>
      <c r="D9847" s="1">
        <v>44312.754004629627</v>
      </c>
      <c r="E9847" t="s">
        <v>30599</v>
      </c>
      <c r="F9847" t="s">
        <v>666</v>
      </c>
      <c r="G9847" t="s">
        <v>30600</v>
      </c>
      <c r="H9847" t="s">
        <v>667</v>
      </c>
      <c r="I9847" t="s">
        <v>29</v>
      </c>
      <c r="J9847">
        <v>1</v>
      </c>
      <c r="K9847">
        <f>1-844-853-2812</f>
        <v>-4508</v>
      </c>
      <c r="L9847" t="s">
        <v>30601</v>
      </c>
      <c r="M9847" t="s">
        <v>30602</v>
      </c>
      <c r="N9847" t="s">
        <v>25263</v>
      </c>
      <c r="O9847" t="s">
        <v>28</v>
      </c>
      <c r="P9847" t="s">
        <v>5789</v>
      </c>
      <c r="Q9847">
        <v>13</v>
      </c>
      <c r="R9847">
        <v>77.585499999999996</v>
      </c>
    </row>
    <row r="9848" spans="1:18" x14ac:dyDescent="0.2">
      <c r="A9848" t="s">
        <v>2233</v>
      </c>
      <c r="B9848" t="s">
        <v>2234</v>
      </c>
      <c r="C9848">
        <v>1</v>
      </c>
      <c r="D9848" s="1">
        <v>44313.208993055552</v>
      </c>
      <c r="E9848" t="s">
        <v>30603</v>
      </c>
      <c r="F9848" t="s">
        <v>2236</v>
      </c>
      <c r="G9848" t="s">
        <v>30603</v>
      </c>
      <c r="H9848" t="s">
        <v>2237</v>
      </c>
      <c r="I9848" t="s">
        <v>29</v>
      </c>
      <c r="J9848">
        <v>1</v>
      </c>
      <c r="K9848">
        <f>1-833-674-1896</f>
        <v>-3402</v>
      </c>
      <c r="L9848" t="s">
        <v>30604</v>
      </c>
      <c r="M9848" t="s">
        <v>30605</v>
      </c>
      <c r="N9848">
        <v>195</v>
      </c>
      <c r="O9848" t="s">
        <v>134</v>
      </c>
      <c r="P9848" t="s">
        <v>29</v>
      </c>
      <c r="Q9848">
        <v>40</v>
      </c>
      <c r="R9848">
        <v>-83.114099999999993</v>
      </c>
    </row>
    <row r="9849" spans="1:18" x14ac:dyDescent="0.2">
      <c r="A9849" t="s">
        <v>439</v>
      </c>
      <c r="B9849" t="s">
        <v>440</v>
      </c>
      <c r="C9849">
        <v>81</v>
      </c>
      <c r="D9849" s="1">
        <v>44313.526423611111</v>
      </c>
      <c r="E9849" t="s">
        <v>30606</v>
      </c>
      <c r="F9849" t="s">
        <v>442</v>
      </c>
      <c r="G9849" t="s">
        <v>30607</v>
      </c>
      <c r="H9849" t="s">
        <v>444</v>
      </c>
      <c r="I9849" t="s">
        <v>53</v>
      </c>
      <c r="J9849">
        <v>81</v>
      </c>
      <c r="K9849">
        <f>81-50-3198-9568</f>
        <v>-12735</v>
      </c>
      <c r="L9849" t="s">
        <v>30608</v>
      </c>
      <c r="M9849" t="s">
        <v>30609</v>
      </c>
      <c r="N9849" t="s">
        <v>213</v>
      </c>
      <c r="O9849" t="s">
        <v>134</v>
      </c>
      <c r="P9849" t="s">
        <v>29</v>
      </c>
      <c r="Q9849">
        <v>39</v>
      </c>
      <c r="R9849">
        <v>-77.487399999999994</v>
      </c>
    </row>
    <row r="9850" spans="1:18" x14ac:dyDescent="0.2">
      <c r="A9850" t="s">
        <v>439</v>
      </c>
      <c r="B9850" t="s">
        <v>440</v>
      </c>
      <c r="C9850">
        <v>81</v>
      </c>
      <c r="D9850" s="1">
        <v>44313.526736111111</v>
      </c>
      <c r="E9850" t="s">
        <v>30610</v>
      </c>
      <c r="F9850" t="s">
        <v>442</v>
      </c>
      <c r="G9850" t="s">
        <v>30611</v>
      </c>
      <c r="H9850" t="s">
        <v>444</v>
      </c>
      <c r="I9850" t="s">
        <v>53</v>
      </c>
      <c r="J9850">
        <v>81</v>
      </c>
      <c r="K9850">
        <f>81-50-5534-5805</f>
        <v>-11308</v>
      </c>
      <c r="L9850" t="s">
        <v>30612</v>
      </c>
      <c r="M9850" t="s">
        <v>30613</v>
      </c>
      <c r="N9850" t="s">
        <v>447</v>
      </c>
      <c r="O9850" t="s">
        <v>134</v>
      </c>
      <c r="P9850" t="s">
        <v>29</v>
      </c>
      <c r="Q9850">
        <v>39</v>
      </c>
      <c r="R9850">
        <v>-77.487399999999994</v>
      </c>
    </row>
    <row r="9851" spans="1:18" x14ac:dyDescent="0.2">
      <c r="A9851" t="s">
        <v>2233</v>
      </c>
      <c r="B9851" t="s">
        <v>4281</v>
      </c>
      <c r="C9851">
        <v>49</v>
      </c>
      <c r="D9851" s="1">
        <v>44313.655972222223</v>
      </c>
      <c r="E9851" t="s">
        <v>30614</v>
      </c>
      <c r="F9851" t="s">
        <v>7023</v>
      </c>
      <c r="G9851" t="s">
        <v>30614</v>
      </c>
      <c r="H9851" t="s">
        <v>2237</v>
      </c>
      <c r="I9851" t="s">
        <v>24</v>
      </c>
      <c r="J9851">
        <v>49</v>
      </c>
      <c r="K9851">
        <f>49-223-3973-9814</f>
        <v>-13961</v>
      </c>
      <c r="L9851" t="s">
        <v>30615</v>
      </c>
      <c r="M9851" t="s">
        <v>30616</v>
      </c>
      <c r="N9851">
        <v>34</v>
      </c>
      <c r="O9851" t="s">
        <v>134</v>
      </c>
      <c r="P9851" t="s">
        <v>24</v>
      </c>
      <c r="Q9851">
        <v>50</v>
      </c>
      <c r="R9851">
        <v>8.6821300000000008</v>
      </c>
    </row>
    <row r="9852" spans="1:18" x14ac:dyDescent="0.2">
      <c r="A9852" t="s">
        <v>2233</v>
      </c>
      <c r="B9852" t="s">
        <v>1638</v>
      </c>
      <c r="C9852">
        <v>1</v>
      </c>
      <c r="D9852" s="1">
        <v>44313.806284722225</v>
      </c>
      <c r="E9852" t="s">
        <v>30617</v>
      </c>
      <c r="F9852" t="s">
        <v>7023</v>
      </c>
      <c r="G9852" t="s">
        <v>30618</v>
      </c>
      <c r="H9852" t="s">
        <v>2237</v>
      </c>
      <c r="I9852" t="s">
        <v>29</v>
      </c>
      <c r="J9852">
        <v>1</v>
      </c>
      <c r="K9852">
        <f>1-888-611-9174</f>
        <v>-10672</v>
      </c>
      <c r="L9852" t="s">
        <v>30619</v>
      </c>
      <c r="M9852" t="s">
        <v>30620</v>
      </c>
      <c r="N9852" t="s">
        <v>278</v>
      </c>
      <c r="O9852" t="s">
        <v>28</v>
      </c>
      <c r="P9852" t="s">
        <v>292</v>
      </c>
      <c r="Q9852">
        <v>49</v>
      </c>
      <c r="R9852">
        <v>2.35222</v>
      </c>
    </row>
    <row r="9853" spans="1:18" x14ac:dyDescent="0.2">
      <c r="A9853" t="s">
        <v>439</v>
      </c>
      <c r="B9853" t="s">
        <v>4321</v>
      </c>
      <c r="C9853">
        <v>1</v>
      </c>
      <c r="D9853" s="1">
        <v>44313.816284722219</v>
      </c>
      <c r="E9853" t="s">
        <v>30621</v>
      </c>
      <c r="F9853" t="s">
        <v>442</v>
      </c>
      <c r="G9853" t="s">
        <v>30622</v>
      </c>
      <c r="H9853" t="s">
        <v>444</v>
      </c>
      <c r="I9853" t="s">
        <v>29</v>
      </c>
      <c r="J9853">
        <v>1</v>
      </c>
      <c r="K9853">
        <f>1-844-493-1178</f>
        <v>-2514</v>
      </c>
      <c r="L9853" t="s">
        <v>30623</v>
      </c>
      <c r="M9853" t="s">
        <v>30624</v>
      </c>
      <c r="N9853" t="s">
        <v>213</v>
      </c>
      <c r="O9853" t="s">
        <v>28</v>
      </c>
      <c r="P9853" t="s">
        <v>29</v>
      </c>
      <c r="Q9853">
        <v>42</v>
      </c>
      <c r="R9853">
        <v>-87.629800000000003</v>
      </c>
    </row>
    <row r="9854" spans="1:18" x14ac:dyDescent="0.2">
      <c r="A9854" t="s">
        <v>439</v>
      </c>
      <c r="B9854" t="s">
        <v>440</v>
      </c>
      <c r="C9854">
        <v>1</v>
      </c>
      <c r="D9854" s="1">
        <v>44313.819594907407</v>
      </c>
      <c r="E9854" t="s">
        <v>30625</v>
      </c>
      <c r="F9854" t="s">
        <v>442</v>
      </c>
      <c r="G9854" t="s">
        <v>30626</v>
      </c>
      <c r="H9854" t="s">
        <v>444</v>
      </c>
      <c r="I9854" t="s">
        <v>29</v>
      </c>
      <c r="J9854">
        <v>1</v>
      </c>
      <c r="K9854">
        <f>1-844-506-1601</f>
        <v>-2950</v>
      </c>
      <c r="L9854" t="s">
        <v>30627</v>
      </c>
      <c r="M9854" t="s">
        <v>30628</v>
      </c>
      <c r="N9854" t="s">
        <v>447</v>
      </c>
      <c r="O9854" t="s">
        <v>28</v>
      </c>
      <c r="P9854" t="s">
        <v>29</v>
      </c>
      <c r="Q9854">
        <v>39</v>
      </c>
      <c r="R9854">
        <v>-77.487399999999994</v>
      </c>
    </row>
    <row r="9855" spans="1:18" x14ac:dyDescent="0.2">
      <c r="A9855" t="s">
        <v>439</v>
      </c>
      <c r="B9855" t="s">
        <v>440</v>
      </c>
      <c r="C9855">
        <v>1</v>
      </c>
      <c r="D9855" s="1">
        <v>44313.87972222222</v>
      </c>
      <c r="E9855" t="s">
        <v>30629</v>
      </c>
      <c r="F9855" t="s">
        <v>442</v>
      </c>
      <c r="G9855" t="s">
        <v>30630</v>
      </c>
      <c r="H9855" t="s">
        <v>444</v>
      </c>
      <c r="I9855" t="s">
        <v>29</v>
      </c>
      <c r="J9855">
        <v>1</v>
      </c>
      <c r="K9855">
        <f>1-888-213-7043</f>
        <v>-8143</v>
      </c>
      <c r="L9855" t="s">
        <v>30631</v>
      </c>
      <c r="M9855" t="s">
        <v>30632</v>
      </c>
      <c r="N9855" t="s">
        <v>30194</v>
      </c>
      <c r="O9855" t="s">
        <v>28</v>
      </c>
      <c r="P9855" t="s">
        <v>29</v>
      </c>
      <c r="Q9855">
        <v>39</v>
      </c>
      <c r="R9855">
        <v>-77.487399999999994</v>
      </c>
    </row>
    <row r="9856" spans="1:18" x14ac:dyDescent="0.2">
      <c r="A9856" t="s">
        <v>663</v>
      </c>
      <c r="B9856" t="s">
        <v>2500</v>
      </c>
      <c r="C9856">
        <v>1</v>
      </c>
      <c r="D9856" s="1">
        <v>44313.97042824074</v>
      </c>
      <c r="E9856" t="s">
        <v>30633</v>
      </c>
      <c r="F9856" t="s">
        <v>666</v>
      </c>
      <c r="G9856" t="s">
        <v>30633</v>
      </c>
      <c r="H9856" t="s">
        <v>667</v>
      </c>
      <c r="I9856" t="s">
        <v>29</v>
      </c>
      <c r="J9856">
        <v>1</v>
      </c>
      <c r="K9856">
        <f>1-844-390-3056</f>
        <v>-4289</v>
      </c>
      <c r="L9856" t="s">
        <v>30634</v>
      </c>
      <c r="M9856" t="s">
        <v>30635</v>
      </c>
      <c r="N9856">
        <v>15</v>
      </c>
      <c r="O9856" t="s">
        <v>134</v>
      </c>
      <c r="P9856" t="s">
        <v>2500</v>
      </c>
      <c r="Q9856">
        <v>1</v>
      </c>
      <c r="R9856">
        <v>99.999999000000003</v>
      </c>
    </row>
    <row r="9857" spans="1:18" x14ac:dyDescent="0.2">
      <c r="A9857" t="s">
        <v>2233</v>
      </c>
      <c r="B9857" t="s">
        <v>4281</v>
      </c>
      <c r="C9857">
        <v>49</v>
      </c>
      <c r="D9857" s="1">
        <v>44314.505277777775</v>
      </c>
      <c r="E9857" t="s">
        <v>30636</v>
      </c>
      <c r="F9857" t="s">
        <v>7023</v>
      </c>
      <c r="G9857" t="s">
        <v>30636</v>
      </c>
      <c r="H9857" t="s">
        <v>2237</v>
      </c>
      <c r="I9857" t="s">
        <v>24</v>
      </c>
      <c r="J9857">
        <v>49</v>
      </c>
      <c r="K9857">
        <f>49-745-4893-9677</f>
        <v>-15266</v>
      </c>
      <c r="L9857" t="s">
        <v>30637</v>
      </c>
      <c r="M9857" t="s">
        <v>30638</v>
      </c>
      <c r="N9857">
        <v>180</v>
      </c>
      <c r="O9857" t="s">
        <v>134</v>
      </c>
      <c r="P9857" t="s">
        <v>24</v>
      </c>
      <c r="Q9857">
        <v>50</v>
      </c>
      <c r="R9857">
        <v>8.6821300000000008</v>
      </c>
    </row>
    <row r="9858" spans="1:18" x14ac:dyDescent="0.2">
      <c r="A9858" t="s">
        <v>6586</v>
      </c>
      <c r="B9858" t="s">
        <v>2500</v>
      </c>
      <c r="C9858">
        <v>1</v>
      </c>
      <c r="D9858" s="1">
        <v>44314.764502314814</v>
      </c>
      <c r="E9858" t="s">
        <v>30639</v>
      </c>
      <c r="F9858" t="s">
        <v>6588</v>
      </c>
      <c r="G9858" t="s">
        <v>30639</v>
      </c>
      <c r="H9858" t="s">
        <v>6590</v>
      </c>
      <c r="I9858" t="s">
        <v>29</v>
      </c>
      <c r="J9858">
        <v>1</v>
      </c>
      <c r="K9858">
        <f>1-888-330-3967</f>
        <v>-5184</v>
      </c>
      <c r="L9858" t="s">
        <v>30640</v>
      </c>
      <c r="M9858" t="s">
        <v>30641</v>
      </c>
      <c r="N9858">
        <v>147</v>
      </c>
      <c r="O9858" t="s">
        <v>134</v>
      </c>
      <c r="P9858" t="s">
        <v>2500</v>
      </c>
      <c r="Q9858">
        <v>1</v>
      </c>
      <c r="R9858">
        <v>99.999999000000003</v>
      </c>
    </row>
    <row r="9859" spans="1:18" x14ac:dyDescent="0.2">
      <c r="A9859" t="s">
        <v>2233</v>
      </c>
      <c r="B9859" t="s">
        <v>1638</v>
      </c>
      <c r="C9859">
        <v>1</v>
      </c>
      <c r="D9859" s="1">
        <v>44314.79146990741</v>
      </c>
      <c r="E9859" t="s">
        <v>30642</v>
      </c>
      <c r="F9859" t="s">
        <v>6618</v>
      </c>
      <c r="G9859" t="s">
        <v>30643</v>
      </c>
      <c r="H9859" t="s">
        <v>2237</v>
      </c>
      <c r="I9859" t="s">
        <v>29</v>
      </c>
      <c r="J9859">
        <v>1</v>
      </c>
      <c r="K9859">
        <f>1-888-339-2172</f>
        <v>-3398</v>
      </c>
      <c r="L9859" t="s">
        <v>30644</v>
      </c>
      <c r="M9859" t="s">
        <v>30645</v>
      </c>
      <c r="N9859" t="s">
        <v>278</v>
      </c>
      <c r="O9859" t="s">
        <v>28</v>
      </c>
      <c r="P9859" t="s">
        <v>292</v>
      </c>
      <c r="Q9859">
        <v>49</v>
      </c>
      <c r="R9859">
        <v>2.35222</v>
      </c>
    </row>
    <row r="9860" spans="1:18" x14ac:dyDescent="0.2">
      <c r="A9860" t="s">
        <v>2233</v>
      </c>
      <c r="B9860" t="s">
        <v>2234</v>
      </c>
      <c r="C9860">
        <v>1</v>
      </c>
      <c r="D9860" s="1">
        <v>44314.823055555556</v>
      </c>
      <c r="E9860" t="s">
        <v>30646</v>
      </c>
      <c r="F9860" t="s">
        <v>2236</v>
      </c>
      <c r="G9860" t="s">
        <v>30646</v>
      </c>
      <c r="H9860" t="s">
        <v>2237</v>
      </c>
      <c r="I9860" t="s">
        <v>29</v>
      </c>
      <c r="J9860">
        <v>1</v>
      </c>
      <c r="K9860">
        <f>1-866-481-981</f>
        <v>-2327</v>
      </c>
      <c r="L9860" t="s">
        <v>30647</v>
      </c>
      <c r="M9860" t="s">
        <v>30648</v>
      </c>
      <c r="N9860">
        <v>22</v>
      </c>
      <c r="O9860" t="s">
        <v>134</v>
      </c>
      <c r="P9860" t="s">
        <v>29</v>
      </c>
      <c r="Q9860">
        <v>40</v>
      </c>
      <c r="R9860">
        <v>-83.114099999999993</v>
      </c>
    </row>
    <row r="9861" spans="1:18" x14ac:dyDescent="0.2">
      <c r="A9861" t="s">
        <v>2233</v>
      </c>
      <c r="B9861" t="s">
        <v>1638</v>
      </c>
      <c r="C9861">
        <v>1</v>
      </c>
      <c r="D9861" s="1">
        <v>44314.848437499997</v>
      </c>
      <c r="E9861" t="s">
        <v>30649</v>
      </c>
      <c r="F9861" t="s">
        <v>2236</v>
      </c>
      <c r="G9861" t="s">
        <v>30650</v>
      </c>
      <c r="H9861" t="s">
        <v>2237</v>
      </c>
      <c r="I9861" t="s">
        <v>29</v>
      </c>
      <c r="J9861">
        <v>1</v>
      </c>
      <c r="K9861">
        <f>1-888-297-6815</f>
        <v>-7999</v>
      </c>
      <c r="L9861" t="s">
        <v>30651</v>
      </c>
      <c r="M9861" t="s">
        <v>30652</v>
      </c>
      <c r="N9861" t="s">
        <v>278</v>
      </c>
      <c r="O9861" t="s">
        <v>28</v>
      </c>
      <c r="P9861" t="s">
        <v>292</v>
      </c>
      <c r="Q9861">
        <v>49</v>
      </c>
      <c r="R9861">
        <v>2.35222</v>
      </c>
    </row>
    <row r="9862" spans="1:18" x14ac:dyDescent="0.2">
      <c r="A9862" t="s">
        <v>663</v>
      </c>
      <c r="B9862" t="s">
        <v>5784</v>
      </c>
      <c r="C9862">
        <v>1</v>
      </c>
      <c r="D9862" s="1">
        <v>44315.900960648149</v>
      </c>
      <c r="E9862" t="s">
        <v>30653</v>
      </c>
      <c r="F9862" t="s">
        <v>666</v>
      </c>
      <c r="G9862" t="s">
        <v>30654</v>
      </c>
      <c r="H9862" t="s">
        <v>667</v>
      </c>
      <c r="I9862" t="s">
        <v>29</v>
      </c>
      <c r="J9862">
        <v>1</v>
      </c>
      <c r="K9862">
        <f>1-844-274-7787</f>
        <v>-8904</v>
      </c>
      <c r="L9862" t="s">
        <v>30655</v>
      </c>
      <c r="M9862" t="s">
        <v>30656</v>
      </c>
      <c r="N9862" t="s">
        <v>25263</v>
      </c>
      <c r="O9862" t="s">
        <v>28</v>
      </c>
      <c r="P9862" t="s">
        <v>5789</v>
      </c>
      <c r="Q9862">
        <v>13</v>
      </c>
      <c r="R9862">
        <v>77.585499999999996</v>
      </c>
    </row>
    <row r="9863" spans="1:18" x14ac:dyDescent="0.2">
      <c r="A9863" t="s">
        <v>2233</v>
      </c>
      <c r="B9863" t="s">
        <v>1638</v>
      </c>
      <c r="C9863">
        <v>1</v>
      </c>
      <c r="D9863" s="1">
        <v>44314.917326388888</v>
      </c>
      <c r="E9863" t="s">
        <v>30657</v>
      </c>
      <c r="F9863" t="s">
        <v>6618</v>
      </c>
      <c r="G9863" t="s">
        <v>30658</v>
      </c>
      <c r="H9863" t="s">
        <v>2237</v>
      </c>
      <c r="I9863" t="s">
        <v>29</v>
      </c>
      <c r="J9863">
        <v>1</v>
      </c>
      <c r="K9863">
        <f>1-888-591-9962</f>
        <v>-11440</v>
      </c>
      <c r="L9863" t="s">
        <v>30659</v>
      </c>
      <c r="M9863" t="s">
        <v>30660</v>
      </c>
      <c r="N9863" t="s">
        <v>278</v>
      </c>
      <c r="O9863" t="s">
        <v>28</v>
      </c>
      <c r="P9863" t="s">
        <v>292</v>
      </c>
      <c r="Q9863">
        <v>49</v>
      </c>
      <c r="R9863">
        <v>2.35222</v>
      </c>
    </row>
    <row r="9864" spans="1:18" x14ac:dyDescent="0.2">
      <c r="A9864" t="s">
        <v>2233</v>
      </c>
      <c r="B9864" t="s">
        <v>1638</v>
      </c>
      <c r="C9864">
        <v>1</v>
      </c>
      <c r="D9864" s="1">
        <v>44314.992222222223</v>
      </c>
      <c r="E9864" t="s">
        <v>30661</v>
      </c>
      <c r="F9864" t="s">
        <v>2236</v>
      </c>
      <c r="G9864" t="s">
        <v>30662</v>
      </c>
      <c r="H9864" t="s">
        <v>2237</v>
      </c>
      <c r="I9864" t="s">
        <v>29</v>
      </c>
      <c r="J9864">
        <v>1</v>
      </c>
      <c r="K9864">
        <f>1-888-602-9019</f>
        <v>-10508</v>
      </c>
      <c r="L9864" t="s">
        <v>30663</v>
      </c>
      <c r="M9864" t="s">
        <v>30664</v>
      </c>
      <c r="N9864" t="s">
        <v>278</v>
      </c>
      <c r="O9864" t="s">
        <v>28</v>
      </c>
      <c r="P9864" t="s">
        <v>292</v>
      </c>
      <c r="Q9864">
        <v>49</v>
      </c>
      <c r="R9864">
        <v>2.35222</v>
      </c>
    </row>
    <row r="9865" spans="1:18" x14ac:dyDescent="0.2">
      <c r="A9865" t="s">
        <v>6586</v>
      </c>
      <c r="B9865" t="s">
        <v>2500</v>
      </c>
      <c r="C9865">
        <v>1</v>
      </c>
      <c r="D9865" s="1">
        <v>44315.865763888891</v>
      </c>
      <c r="E9865" t="s">
        <v>30665</v>
      </c>
      <c r="F9865" t="s">
        <v>6588</v>
      </c>
      <c r="G9865" t="s">
        <v>30665</v>
      </c>
      <c r="H9865" t="s">
        <v>6590</v>
      </c>
      <c r="I9865" t="s">
        <v>29</v>
      </c>
      <c r="J9865">
        <v>1</v>
      </c>
      <c r="K9865">
        <f>1-888-380-5794</f>
        <v>-7061</v>
      </c>
      <c r="L9865" t="s">
        <v>30666</v>
      </c>
      <c r="M9865" t="s">
        <v>30667</v>
      </c>
      <c r="N9865">
        <v>52</v>
      </c>
      <c r="O9865" t="s">
        <v>134</v>
      </c>
      <c r="P9865" t="s">
        <v>2500</v>
      </c>
      <c r="Q9865">
        <v>1</v>
      </c>
      <c r="R9865">
        <v>99.999999000000003</v>
      </c>
    </row>
    <row r="9866" spans="1:18" x14ac:dyDescent="0.2">
      <c r="A9866" t="s">
        <v>6586</v>
      </c>
      <c r="B9866" t="s">
        <v>2500</v>
      </c>
      <c r="C9866">
        <v>1</v>
      </c>
      <c r="D9866" s="1">
        <v>44315.864849537036</v>
      </c>
      <c r="E9866" t="s">
        <v>30665</v>
      </c>
      <c r="F9866" t="s">
        <v>6588</v>
      </c>
      <c r="G9866" t="s">
        <v>30665</v>
      </c>
      <c r="H9866" t="s">
        <v>6590</v>
      </c>
      <c r="I9866" t="s">
        <v>29</v>
      </c>
      <c r="J9866">
        <v>1</v>
      </c>
      <c r="K9866">
        <f>1-888-597-1384</f>
        <v>-2868</v>
      </c>
      <c r="L9866" t="s">
        <v>30668</v>
      </c>
      <c r="M9866" t="s">
        <v>30667</v>
      </c>
      <c r="N9866">
        <v>52</v>
      </c>
      <c r="O9866" t="s">
        <v>134</v>
      </c>
      <c r="P9866" t="s">
        <v>2500</v>
      </c>
      <c r="Q9866">
        <v>1</v>
      </c>
      <c r="R9866">
        <v>99.999999000000003</v>
      </c>
    </row>
    <row r="9867" spans="1:18" x14ac:dyDescent="0.2">
      <c r="A9867" t="s">
        <v>6586</v>
      </c>
      <c r="B9867" t="s">
        <v>2500</v>
      </c>
      <c r="C9867">
        <v>1</v>
      </c>
      <c r="D9867" s="1">
        <v>44315.864722222221</v>
      </c>
      <c r="E9867" t="s">
        <v>30665</v>
      </c>
      <c r="F9867" t="s">
        <v>6588</v>
      </c>
      <c r="G9867" t="s">
        <v>30665</v>
      </c>
      <c r="H9867" t="s">
        <v>6590</v>
      </c>
      <c r="I9867" t="s">
        <v>29</v>
      </c>
      <c r="J9867">
        <v>1</v>
      </c>
      <c r="K9867">
        <f>1-844-390-1550</f>
        <v>-2783</v>
      </c>
      <c r="L9867" t="s">
        <v>30669</v>
      </c>
      <c r="M9867" t="s">
        <v>30667</v>
      </c>
      <c r="N9867">
        <v>52</v>
      </c>
      <c r="O9867" t="s">
        <v>134</v>
      </c>
      <c r="P9867" t="s">
        <v>2500</v>
      </c>
      <c r="Q9867">
        <v>1</v>
      </c>
      <c r="R9867">
        <v>99.999999000000003</v>
      </c>
    </row>
    <row r="9868" spans="1:18" x14ac:dyDescent="0.2">
      <c r="A9868" t="s">
        <v>6586</v>
      </c>
      <c r="B9868" t="s">
        <v>2500</v>
      </c>
      <c r="C9868">
        <v>1</v>
      </c>
      <c r="D9868" s="1">
        <v>44315.890821759262</v>
      </c>
      <c r="E9868" t="s">
        <v>30665</v>
      </c>
      <c r="F9868" t="s">
        <v>6588</v>
      </c>
      <c r="G9868" t="s">
        <v>30665</v>
      </c>
      <c r="H9868" t="s">
        <v>6590</v>
      </c>
      <c r="I9868" t="s">
        <v>29</v>
      </c>
      <c r="J9868">
        <v>1</v>
      </c>
      <c r="K9868">
        <f>1-888-230-279</f>
        <v>-1396</v>
      </c>
      <c r="L9868" t="s">
        <v>30670</v>
      </c>
      <c r="M9868" t="s">
        <v>30667</v>
      </c>
      <c r="N9868">
        <v>52</v>
      </c>
      <c r="O9868" t="s">
        <v>134</v>
      </c>
      <c r="P9868" t="s">
        <v>2500</v>
      </c>
      <c r="Q9868">
        <v>1</v>
      </c>
      <c r="R9868">
        <v>99.999999000000003</v>
      </c>
    </row>
    <row r="9869" spans="1:18" x14ac:dyDescent="0.2">
      <c r="A9869" t="s">
        <v>6586</v>
      </c>
      <c r="B9869" t="s">
        <v>2500</v>
      </c>
      <c r="C9869">
        <v>1</v>
      </c>
      <c r="D9869" s="1">
        <v>44315.864479166667</v>
      </c>
      <c r="E9869" t="s">
        <v>30665</v>
      </c>
      <c r="F9869" t="s">
        <v>6588</v>
      </c>
      <c r="G9869" t="s">
        <v>30665</v>
      </c>
      <c r="H9869" t="s">
        <v>6590</v>
      </c>
      <c r="I9869" t="s">
        <v>29</v>
      </c>
      <c r="J9869">
        <v>1</v>
      </c>
      <c r="K9869">
        <f>1-888-321-8458</f>
        <v>-9666</v>
      </c>
      <c r="L9869" t="s">
        <v>30671</v>
      </c>
      <c r="M9869" t="s">
        <v>30667</v>
      </c>
      <c r="N9869">
        <v>52</v>
      </c>
      <c r="O9869" t="s">
        <v>134</v>
      </c>
      <c r="P9869" t="s">
        <v>2500</v>
      </c>
      <c r="Q9869">
        <v>1</v>
      </c>
      <c r="R9869">
        <v>99.999999000000003</v>
      </c>
    </row>
    <row r="9870" spans="1:18" x14ac:dyDescent="0.2">
      <c r="A9870" t="s">
        <v>6586</v>
      </c>
      <c r="B9870" t="s">
        <v>2500</v>
      </c>
      <c r="C9870">
        <v>1</v>
      </c>
      <c r="D9870" s="1">
        <v>44315.716620370367</v>
      </c>
      <c r="E9870" t="s">
        <v>30665</v>
      </c>
      <c r="F9870" t="s">
        <v>6588</v>
      </c>
      <c r="G9870" t="s">
        <v>30665</v>
      </c>
      <c r="H9870" t="s">
        <v>6590</v>
      </c>
      <c r="I9870" t="s">
        <v>29</v>
      </c>
      <c r="J9870">
        <v>1</v>
      </c>
      <c r="K9870">
        <f>1-888-387-8619</f>
        <v>-9893</v>
      </c>
      <c r="L9870" t="s">
        <v>30672</v>
      </c>
      <c r="M9870" t="s">
        <v>30673</v>
      </c>
      <c r="N9870">
        <v>52</v>
      </c>
      <c r="O9870" t="s">
        <v>134</v>
      </c>
      <c r="P9870" t="s">
        <v>2500</v>
      </c>
      <c r="Q9870">
        <v>1</v>
      </c>
      <c r="R9870">
        <v>99.999999000000003</v>
      </c>
    </row>
    <row r="9871" spans="1:18" x14ac:dyDescent="0.2">
      <c r="A9871" t="s">
        <v>663</v>
      </c>
      <c r="B9871" t="s">
        <v>4281</v>
      </c>
      <c r="C9871">
        <v>1</v>
      </c>
      <c r="D9871" s="1">
        <v>44315.880497685182</v>
      </c>
      <c r="E9871" t="s">
        <v>30674</v>
      </c>
      <c r="F9871" t="s">
        <v>666</v>
      </c>
      <c r="G9871" t="s">
        <v>30675</v>
      </c>
      <c r="H9871" t="s">
        <v>667</v>
      </c>
      <c r="I9871" t="s">
        <v>29</v>
      </c>
      <c r="J9871">
        <v>1</v>
      </c>
      <c r="K9871">
        <f>1-833-735-102</f>
        <v>-1669</v>
      </c>
      <c r="L9871" t="s">
        <v>30676</v>
      </c>
      <c r="M9871" t="s">
        <v>30677</v>
      </c>
      <c r="N9871" t="s">
        <v>213</v>
      </c>
      <c r="O9871" t="s">
        <v>28</v>
      </c>
      <c r="P9871" t="s">
        <v>24</v>
      </c>
      <c r="Q9871">
        <v>50</v>
      </c>
      <c r="R9871">
        <v>8.6843000000000004</v>
      </c>
    </row>
    <row r="9872" spans="1:18" x14ac:dyDescent="0.2">
      <c r="A9872" t="s">
        <v>2233</v>
      </c>
      <c r="B9872" t="s">
        <v>1638</v>
      </c>
      <c r="C9872">
        <v>1</v>
      </c>
      <c r="D9872" s="1">
        <v>44316.745891203704</v>
      </c>
      <c r="E9872" t="s">
        <v>30678</v>
      </c>
      <c r="F9872" t="s">
        <v>6618</v>
      </c>
      <c r="G9872" t="s">
        <v>30679</v>
      </c>
      <c r="H9872" t="s">
        <v>2237</v>
      </c>
      <c r="I9872" t="s">
        <v>29</v>
      </c>
      <c r="J9872">
        <v>1</v>
      </c>
      <c r="K9872">
        <f>1-888-513-8695</f>
        <v>-10095</v>
      </c>
      <c r="L9872" t="s">
        <v>30680</v>
      </c>
      <c r="M9872" t="s">
        <v>30681</v>
      </c>
      <c r="N9872" t="s">
        <v>278</v>
      </c>
      <c r="O9872" t="s">
        <v>28</v>
      </c>
      <c r="P9872" t="s">
        <v>292</v>
      </c>
      <c r="Q9872">
        <v>49</v>
      </c>
      <c r="R9872">
        <v>2.35222</v>
      </c>
    </row>
    <row r="9873" spans="1:18" x14ac:dyDescent="0.2">
      <c r="A9873" t="s">
        <v>439</v>
      </c>
      <c r="B9873" t="s">
        <v>4321</v>
      </c>
      <c r="C9873">
        <v>1</v>
      </c>
      <c r="D9873" s="1">
        <v>44316.823055555556</v>
      </c>
      <c r="E9873" t="s">
        <v>30682</v>
      </c>
      <c r="F9873" t="s">
        <v>442</v>
      </c>
      <c r="G9873" t="s">
        <v>30683</v>
      </c>
      <c r="H9873" t="s">
        <v>444</v>
      </c>
      <c r="I9873" t="s">
        <v>29</v>
      </c>
      <c r="J9873">
        <v>1</v>
      </c>
      <c r="K9873">
        <f>1-866-849-2136</f>
        <v>-3850</v>
      </c>
      <c r="L9873" t="s">
        <v>30684</v>
      </c>
      <c r="M9873" t="s">
        <v>30685</v>
      </c>
      <c r="N9873" t="s">
        <v>213</v>
      </c>
      <c r="O9873" t="s">
        <v>28</v>
      </c>
      <c r="P9873" t="s">
        <v>29</v>
      </c>
      <c r="Q9873">
        <v>42</v>
      </c>
      <c r="R9873">
        <v>-87.629800000000003</v>
      </c>
    </row>
    <row r="9874" spans="1:18" x14ac:dyDescent="0.2">
      <c r="A9874" t="s">
        <v>2233</v>
      </c>
      <c r="B9874" t="s">
        <v>2263</v>
      </c>
      <c r="C9874">
        <v>1</v>
      </c>
      <c r="D9874" s="1">
        <v>44350.854780092595</v>
      </c>
      <c r="E9874" t="s">
        <v>30686</v>
      </c>
      <c r="F9874" t="s">
        <v>2236</v>
      </c>
      <c r="G9874" t="s">
        <v>30687</v>
      </c>
      <c r="H9874" t="s">
        <v>2237</v>
      </c>
      <c r="I9874" t="s">
        <v>29</v>
      </c>
      <c r="J9874">
        <v>1</v>
      </c>
      <c r="K9874">
        <f>1-833-251-9187</f>
        <v>-10270</v>
      </c>
      <c r="L9874" t="s">
        <v>30688</v>
      </c>
      <c r="M9874" t="s">
        <v>30689</v>
      </c>
      <c r="N9874" t="s">
        <v>5354</v>
      </c>
      <c r="O9874" t="s">
        <v>28</v>
      </c>
      <c r="P9874" t="s">
        <v>2268</v>
      </c>
      <c r="Q9874">
        <v>44</v>
      </c>
      <c r="R9874">
        <v>-79.383200000000002</v>
      </c>
    </row>
    <row r="9875" spans="1:18" x14ac:dyDescent="0.2">
      <c r="A9875" t="s">
        <v>2233</v>
      </c>
      <c r="B9875" t="s">
        <v>2263</v>
      </c>
      <c r="C9875">
        <v>1</v>
      </c>
      <c r="D9875" s="1">
        <v>44315.990671296298</v>
      </c>
      <c r="E9875" t="s">
        <v>30690</v>
      </c>
      <c r="F9875" t="s">
        <v>2236</v>
      </c>
      <c r="G9875" t="s">
        <v>30687</v>
      </c>
      <c r="H9875" t="s">
        <v>2237</v>
      </c>
      <c r="I9875" t="s">
        <v>29</v>
      </c>
      <c r="J9875">
        <v>1</v>
      </c>
      <c r="K9875">
        <f>1-888-323-2653</f>
        <v>-3863</v>
      </c>
      <c r="L9875" t="s">
        <v>30691</v>
      </c>
      <c r="M9875" t="s">
        <v>30692</v>
      </c>
      <c r="N9875" t="s">
        <v>5354</v>
      </c>
      <c r="O9875" t="s">
        <v>28</v>
      </c>
      <c r="P9875" t="s">
        <v>2268</v>
      </c>
      <c r="Q9875">
        <v>44</v>
      </c>
      <c r="R9875">
        <v>-79.383200000000002</v>
      </c>
    </row>
    <row r="9876" spans="1:18" x14ac:dyDescent="0.2">
      <c r="A9876" t="s">
        <v>2233</v>
      </c>
      <c r="B9876" t="s">
        <v>2263</v>
      </c>
      <c r="C9876">
        <v>1</v>
      </c>
      <c r="D9876" s="1">
        <v>44315.992592592593</v>
      </c>
      <c r="E9876" t="s">
        <v>30693</v>
      </c>
      <c r="F9876" t="s">
        <v>2236</v>
      </c>
      <c r="G9876" t="s">
        <v>30694</v>
      </c>
      <c r="H9876" t="s">
        <v>2237</v>
      </c>
      <c r="I9876" t="s">
        <v>29</v>
      </c>
      <c r="J9876">
        <v>1</v>
      </c>
      <c r="K9876">
        <f>1-888-323-2653</f>
        <v>-3863</v>
      </c>
      <c r="L9876" t="s">
        <v>30695</v>
      </c>
      <c r="M9876" t="s">
        <v>30696</v>
      </c>
      <c r="N9876" t="s">
        <v>5354</v>
      </c>
      <c r="O9876" t="s">
        <v>28</v>
      </c>
      <c r="P9876" t="s">
        <v>2268</v>
      </c>
      <c r="Q9876">
        <v>44</v>
      </c>
      <c r="R9876">
        <v>-79.383200000000002</v>
      </c>
    </row>
    <row r="9877" spans="1:18" x14ac:dyDescent="0.2">
      <c r="A9877" t="s">
        <v>439</v>
      </c>
      <c r="B9877" t="s">
        <v>4321</v>
      </c>
      <c r="C9877">
        <v>1</v>
      </c>
      <c r="D9877" s="1">
        <v>44315.8746875</v>
      </c>
      <c r="E9877" t="s">
        <v>30697</v>
      </c>
      <c r="F9877" t="s">
        <v>442</v>
      </c>
      <c r="G9877" t="s">
        <v>30698</v>
      </c>
      <c r="H9877" t="s">
        <v>444</v>
      </c>
      <c r="I9877" t="s">
        <v>29</v>
      </c>
      <c r="J9877">
        <v>1</v>
      </c>
      <c r="K9877">
        <f>1-844-294-3036</f>
        <v>-4173</v>
      </c>
      <c r="L9877" t="s">
        <v>30699</v>
      </c>
      <c r="M9877" t="s">
        <v>30700</v>
      </c>
      <c r="N9877" t="s">
        <v>30194</v>
      </c>
      <c r="O9877" t="s">
        <v>28</v>
      </c>
      <c r="P9877" t="s">
        <v>29</v>
      </c>
      <c r="Q9877">
        <v>42</v>
      </c>
      <c r="R9877">
        <v>-87.629800000000003</v>
      </c>
    </row>
    <row r="9878" spans="1:18" x14ac:dyDescent="0.2">
      <c r="A9878" t="s">
        <v>663</v>
      </c>
      <c r="B9878" t="s">
        <v>5784</v>
      </c>
      <c r="C9878">
        <v>1</v>
      </c>
      <c r="D9878" s="1">
        <v>44316.875590277778</v>
      </c>
      <c r="E9878" t="s">
        <v>30701</v>
      </c>
      <c r="F9878" t="s">
        <v>666</v>
      </c>
      <c r="G9878" t="s">
        <v>30702</v>
      </c>
      <c r="H9878" t="s">
        <v>667</v>
      </c>
      <c r="I9878" t="s">
        <v>29</v>
      </c>
      <c r="J9878">
        <v>1</v>
      </c>
      <c r="K9878">
        <f>1-833-220-3554</f>
        <v>-4606</v>
      </c>
      <c r="L9878" t="s">
        <v>30703</v>
      </c>
      <c r="M9878" t="s">
        <v>30704</v>
      </c>
      <c r="N9878" t="s">
        <v>25263</v>
      </c>
      <c r="O9878" t="s">
        <v>28</v>
      </c>
      <c r="P9878" t="s">
        <v>5789</v>
      </c>
      <c r="Q9878">
        <v>13</v>
      </c>
      <c r="R9878">
        <v>77.585499999999996</v>
      </c>
    </row>
    <row r="9879" spans="1:18" x14ac:dyDescent="0.2">
      <c r="A9879" t="s">
        <v>2233</v>
      </c>
      <c r="B9879" t="s">
        <v>1638</v>
      </c>
      <c r="C9879">
        <v>1</v>
      </c>
      <c r="D9879" s="1">
        <v>44316.845266203702</v>
      </c>
      <c r="E9879" t="s">
        <v>30705</v>
      </c>
      <c r="F9879" t="s">
        <v>6618</v>
      </c>
      <c r="G9879" t="s">
        <v>30706</v>
      </c>
      <c r="H9879" t="s">
        <v>2237</v>
      </c>
      <c r="I9879" t="s">
        <v>29</v>
      </c>
      <c r="J9879">
        <v>1</v>
      </c>
      <c r="K9879">
        <f>1-888-611-8130</f>
        <v>-9628</v>
      </c>
      <c r="L9879" t="s">
        <v>30707</v>
      </c>
      <c r="M9879" t="s">
        <v>30708</v>
      </c>
      <c r="N9879" t="s">
        <v>278</v>
      </c>
      <c r="O9879" t="s">
        <v>28</v>
      </c>
      <c r="P9879" t="s">
        <v>292</v>
      </c>
      <c r="Q9879">
        <v>49</v>
      </c>
      <c r="R9879">
        <v>2.35222</v>
      </c>
    </row>
    <row r="9880" spans="1:18" x14ac:dyDescent="0.2">
      <c r="A9880" t="s">
        <v>2233</v>
      </c>
      <c r="B9880" t="s">
        <v>2263</v>
      </c>
      <c r="C9880">
        <v>1</v>
      </c>
      <c r="D9880" s="1">
        <v>44316.849780092591</v>
      </c>
      <c r="E9880" t="s">
        <v>30709</v>
      </c>
      <c r="F9880" t="s">
        <v>2236</v>
      </c>
      <c r="G9880" t="s">
        <v>30710</v>
      </c>
      <c r="H9880" t="s">
        <v>2237</v>
      </c>
      <c r="I9880" t="s">
        <v>29</v>
      </c>
      <c r="J9880">
        <v>1</v>
      </c>
      <c r="K9880">
        <f>1-866-352-2926</f>
        <v>-4143</v>
      </c>
      <c r="L9880" t="s">
        <v>30711</v>
      </c>
      <c r="M9880" t="s">
        <v>30712</v>
      </c>
      <c r="N9880" t="s">
        <v>5354</v>
      </c>
      <c r="O9880" t="s">
        <v>28</v>
      </c>
      <c r="P9880" t="s">
        <v>2268</v>
      </c>
      <c r="Q9880">
        <v>44</v>
      </c>
      <c r="R9880">
        <v>-79.383200000000002</v>
      </c>
    </row>
    <row r="9881" spans="1:18" x14ac:dyDescent="0.2">
      <c r="A9881" t="s">
        <v>2233</v>
      </c>
      <c r="B9881" t="s">
        <v>1638</v>
      </c>
      <c r="C9881">
        <v>1</v>
      </c>
      <c r="D9881" s="1">
        <v>44316.866365740738</v>
      </c>
      <c r="E9881" t="s">
        <v>30713</v>
      </c>
      <c r="F9881" t="s">
        <v>2236</v>
      </c>
      <c r="G9881" t="s">
        <v>30714</v>
      </c>
      <c r="H9881" t="s">
        <v>2237</v>
      </c>
      <c r="I9881" t="s">
        <v>29</v>
      </c>
      <c r="J9881">
        <v>1</v>
      </c>
      <c r="K9881">
        <f>1-888-598-3709</f>
        <v>-5194</v>
      </c>
      <c r="L9881" t="s">
        <v>30715</v>
      </c>
      <c r="M9881" t="s">
        <v>30716</v>
      </c>
      <c r="N9881" t="s">
        <v>278</v>
      </c>
      <c r="O9881" t="s">
        <v>28</v>
      </c>
      <c r="P9881" t="s">
        <v>292</v>
      </c>
      <c r="Q9881">
        <v>49</v>
      </c>
      <c r="R9881">
        <v>2.35222</v>
      </c>
    </row>
    <row r="9882" spans="1:18" x14ac:dyDescent="0.2">
      <c r="A9882" t="s">
        <v>2233</v>
      </c>
      <c r="B9882" t="s">
        <v>2263</v>
      </c>
      <c r="C9882">
        <v>1</v>
      </c>
      <c r="D9882" s="1">
        <v>44316.869479166664</v>
      </c>
      <c r="E9882" t="s">
        <v>30717</v>
      </c>
      <c r="F9882" t="s">
        <v>2236</v>
      </c>
      <c r="G9882" t="s">
        <v>30718</v>
      </c>
      <c r="H9882" t="s">
        <v>2237</v>
      </c>
      <c r="I9882" t="s">
        <v>29</v>
      </c>
      <c r="J9882">
        <v>1</v>
      </c>
      <c r="K9882">
        <f>1-866-703-1273</f>
        <v>-2841</v>
      </c>
      <c r="L9882" t="s">
        <v>30719</v>
      </c>
      <c r="M9882" t="s">
        <v>30720</v>
      </c>
      <c r="N9882" t="s">
        <v>5354</v>
      </c>
      <c r="O9882" t="s">
        <v>28</v>
      </c>
      <c r="P9882" t="s">
        <v>2268</v>
      </c>
      <c r="Q9882">
        <v>44</v>
      </c>
      <c r="R9882">
        <v>-79.383200000000002</v>
      </c>
    </row>
    <row r="9883" spans="1:18" x14ac:dyDescent="0.2">
      <c r="A9883" t="s">
        <v>2233</v>
      </c>
      <c r="B9883" t="s">
        <v>2263</v>
      </c>
      <c r="C9883">
        <v>1</v>
      </c>
      <c r="D9883" s="1">
        <v>44316.903310185182</v>
      </c>
      <c r="E9883" t="s">
        <v>30721</v>
      </c>
      <c r="F9883" t="s">
        <v>2236</v>
      </c>
      <c r="G9883" t="s">
        <v>30722</v>
      </c>
      <c r="H9883" t="s">
        <v>2237</v>
      </c>
      <c r="I9883" t="s">
        <v>29</v>
      </c>
      <c r="J9883">
        <v>1</v>
      </c>
      <c r="K9883">
        <f>1-888-474-8056</f>
        <v>-9417</v>
      </c>
      <c r="L9883" t="s">
        <v>30723</v>
      </c>
      <c r="M9883" t="s">
        <v>30724</v>
      </c>
      <c r="N9883" t="s">
        <v>5354</v>
      </c>
      <c r="O9883" t="s">
        <v>28</v>
      </c>
      <c r="P9883" t="s">
        <v>2268</v>
      </c>
      <c r="Q9883">
        <v>44</v>
      </c>
      <c r="R9883">
        <v>-79.383200000000002</v>
      </c>
    </row>
    <row r="9884" spans="1:18" x14ac:dyDescent="0.2">
      <c r="A9884" t="s">
        <v>2233</v>
      </c>
      <c r="B9884" t="s">
        <v>1638</v>
      </c>
      <c r="C9884">
        <v>1</v>
      </c>
      <c r="D9884" s="1">
        <v>44316.93167824074</v>
      </c>
      <c r="E9884" t="s">
        <v>30725</v>
      </c>
      <c r="F9884" t="s">
        <v>2236</v>
      </c>
      <c r="G9884" t="s">
        <v>30726</v>
      </c>
      <c r="H9884" t="s">
        <v>2237</v>
      </c>
      <c r="I9884" t="s">
        <v>29</v>
      </c>
      <c r="J9884">
        <v>1</v>
      </c>
      <c r="K9884">
        <f>1-888-394-9930</f>
        <v>-11211</v>
      </c>
      <c r="L9884" t="s">
        <v>30727</v>
      </c>
      <c r="M9884" t="s">
        <v>30728</v>
      </c>
      <c r="N9884" t="s">
        <v>278</v>
      </c>
      <c r="O9884" t="s">
        <v>28</v>
      </c>
      <c r="P9884" t="s">
        <v>292</v>
      </c>
      <c r="Q9884">
        <v>49</v>
      </c>
      <c r="R9884">
        <v>2.35222</v>
      </c>
    </row>
    <row r="9885" spans="1:18" x14ac:dyDescent="0.2">
      <c r="A9885" t="s">
        <v>2233</v>
      </c>
      <c r="B9885" t="s">
        <v>1638</v>
      </c>
      <c r="C9885">
        <v>1</v>
      </c>
      <c r="D9885" s="1">
        <v>44317.8596412037</v>
      </c>
      <c r="E9885" t="s">
        <v>30729</v>
      </c>
      <c r="F9885" t="s">
        <v>2236</v>
      </c>
      <c r="G9885" t="s">
        <v>30730</v>
      </c>
      <c r="H9885" t="s">
        <v>2237</v>
      </c>
      <c r="I9885" t="s">
        <v>29</v>
      </c>
      <c r="J9885">
        <v>1</v>
      </c>
      <c r="K9885">
        <f>1-888-605-5246</f>
        <v>-6738</v>
      </c>
      <c r="L9885" t="s">
        <v>30731</v>
      </c>
      <c r="M9885" t="s">
        <v>30732</v>
      </c>
      <c r="N9885" t="s">
        <v>278</v>
      </c>
      <c r="O9885" t="s">
        <v>28</v>
      </c>
      <c r="P9885" t="s">
        <v>292</v>
      </c>
      <c r="Q9885">
        <v>49</v>
      </c>
      <c r="R9885">
        <v>2.35222</v>
      </c>
    </row>
    <row r="9886" spans="1:18" x14ac:dyDescent="0.2">
      <c r="A9886" t="s">
        <v>2233</v>
      </c>
      <c r="B9886" t="s">
        <v>1638</v>
      </c>
      <c r="C9886">
        <v>1</v>
      </c>
      <c r="D9886" s="1">
        <v>44317.912175925929</v>
      </c>
      <c r="E9886" t="s">
        <v>30733</v>
      </c>
      <c r="F9886" t="s">
        <v>2236</v>
      </c>
      <c r="G9886" t="s">
        <v>30734</v>
      </c>
      <c r="H9886" t="s">
        <v>2237</v>
      </c>
      <c r="I9886" t="s">
        <v>29</v>
      </c>
      <c r="J9886">
        <v>1</v>
      </c>
      <c r="K9886">
        <f>1-888-615-4113</f>
        <v>-5615</v>
      </c>
      <c r="L9886" t="s">
        <v>30735</v>
      </c>
      <c r="M9886" t="s">
        <v>30736</v>
      </c>
      <c r="N9886" t="s">
        <v>278</v>
      </c>
      <c r="O9886" t="s">
        <v>28</v>
      </c>
      <c r="P9886" t="s">
        <v>292</v>
      </c>
      <c r="Q9886">
        <v>49</v>
      </c>
      <c r="R9886">
        <v>2.35222</v>
      </c>
    </row>
    <row r="9887" spans="1:18" x14ac:dyDescent="0.2">
      <c r="A9887" t="s">
        <v>2233</v>
      </c>
      <c r="B9887" t="s">
        <v>1638</v>
      </c>
      <c r="C9887">
        <v>1</v>
      </c>
      <c r="D9887" s="1">
        <v>44317.950601851851</v>
      </c>
      <c r="E9887" t="s">
        <v>30737</v>
      </c>
      <c r="F9887" t="s">
        <v>2236</v>
      </c>
      <c r="G9887" t="s">
        <v>30738</v>
      </c>
      <c r="H9887" t="s">
        <v>2237</v>
      </c>
      <c r="I9887" t="s">
        <v>29</v>
      </c>
      <c r="J9887">
        <v>1</v>
      </c>
      <c r="K9887">
        <f>1-888-521-4618</f>
        <v>-6026</v>
      </c>
      <c r="L9887" t="s">
        <v>30739</v>
      </c>
      <c r="M9887" t="s">
        <v>30740</v>
      </c>
      <c r="N9887" t="s">
        <v>278</v>
      </c>
      <c r="O9887" t="s">
        <v>28</v>
      </c>
      <c r="P9887" t="s">
        <v>292</v>
      </c>
      <c r="Q9887">
        <v>49</v>
      </c>
      <c r="R9887">
        <v>2.35222</v>
      </c>
    </row>
    <row r="9888" spans="1:18" x14ac:dyDescent="0.2">
      <c r="A9888" t="s">
        <v>2233</v>
      </c>
      <c r="B9888" t="s">
        <v>1638</v>
      </c>
      <c r="C9888">
        <v>1</v>
      </c>
      <c r="D9888" s="1">
        <v>44317.951550925929</v>
      </c>
      <c r="E9888" t="s">
        <v>30737</v>
      </c>
      <c r="F9888" t="s">
        <v>2236</v>
      </c>
      <c r="G9888" t="s">
        <v>30741</v>
      </c>
      <c r="H9888" t="s">
        <v>2237</v>
      </c>
      <c r="I9888" t="s">
        <v>29</v>
      </c>
      <c r="J9888">
        <v>1</v>
      </c>
      <c r="K9888">
        <f>1-888-598-3152</f>
        <v>-4637</v>
      </c>
      <c r="L9888" t="s">
        <v>30742</v>
      </c>
      <c r="M9888" t="s">
        <v>30743</v>
      </c>
      <c r="N9888" t="s">
        <v>278</v>
      </c>
      <c r="O9888" t="s">
        <v>28</v>
      </c>
      <c r="P9888" t="s">
        <v>292</v>
      </c>
      <c r="Q9888">
        <v>49</v>
      </c>
      <c r="R9888">
        <v>2.35222</v>
      </c>
    </row>
    <row r="9889" spans="1:18" x14ac:dyDescent="0.2">
      <c r="A9889" t="s">
        <v>439</v>
      </c>
      <c r="B9889" t="s">
        <v>4321</v>
      </c>
      <c r="C9889">
        <v>1</v>
      </c>
      <c r="D9889" s="1">
        <v>44318.788182870368</v>
      </c>
      <c r="E9889" t="s">
        <v>30744</v>
      </c>
      <c r="F9889" t="s">
        <v>442</v>
      </c>
      <c r="G9889" t="s">
        <v>30745</v>
      </c>
      <c r="H9889" t="s">
        <v>444</v>
      </c>
      <c r="I9889" t="s">
        <v>29</v>
      </c>
      <c r="J9889">
        <v>1</v>
      </c>
      <c r="K9889">
        <f>1-855-956-2212</f>
        <v>-4022</v>
      </c>
      <c r="L9889" t="s">
        <v>30746</v>
      </c>
      <c r="M9889" t="s">
        <v>30747</v>
      </c>
      <c r="N9889" t="s">
        <v>447</v>
      </c>
      <c r="O9889" t="s">
        <v>28</v>
      </c>
      <c r="P9889" t="s">
        <v>29</v>
      </c>
      <c r="Q9889">
        <v>42</v>
      </c>
      <c r="R9889">
        <v>-87.629800000000003</v>
      </c>
    </row>
    <row r="9890" spans="1:18" x14ac:dyDescent="0.2">
      <c r="A9890" t="s">
        <v>439</v>
      </c>
      <c r="B9890" t="s">
        <v>4321</v>
      </c>
      <c r="C9890">
        <v>1</v>
      </c>
      <c r="D9890" s="1">
        <v>44318.789699074077</v>
      </c>
      <c r="E9890" t="s">
        <v>30748</v>
      </c>
      <c r="F9890" t="s">
        <v>442</v>
      </c>
      <c r="G9890" t="s">
        <v>30749</v>
      </c>
      <c r="H9890" t="s">
        <v>444</v>
      </c>
      <c r="I9890" t="s">
        <v>29</v>
      </c>
      <c r="J9890">
        <v>1</v>
      </c>
      <c r="K9890">
        <f>1-844-844-556</f>
        <v>-2243</v>
      </c>
      <c r="L9890" t="s">
        <v>30750</v>
      </c>
      <c r="M9890" t="s">
        <v>30751</v>
      </c>
      <c r="N9890" t="s">
        <v>213</v>
      </c>
      <c r="O9890" t="s">
        <v>28</v>
      </c>
      <c r="P9890" t="s">
        <v>29</v>
      </c>
      <c r="Q9890">
        <v>42</v>
      </c>
      <c r="R9890">
        <v>-87.629800000000003</v>
      </c>
    </row>
    <row r="9891" spans="1:18" x14ac:dyDescent="0.2">
      <c r="A9891" t="s">
        <v>2233</v>
      </c>
      <c r="B9891" t="s">
        <v>4281</v>
      </c>
      <c r="C9891">
        <v>49</v>
      </c>
      <c r="D9891" s="1">
        <v>44319.423310185186</v>
      </c>
      <c r="E9891" t="s">
        <v>30752</v>
      </c>
      <c r="F9891" t="s">
        <v>7023</v>
      </c>
      <c r="G9891" t="s">
        <v>30752</v>
      </c>
      <c r="H9891" t="s">
        <v>2237</v>
      </c>
      <c r="I9891" t="s">
        <v>24</v>
      </c>
      <c r="J9891">
        <v>49</v>
      </c>
      <c r="K9891">
        <f>49-49197899942</f>
        <v>-49197899893</v>
      </c>
      <c r="L9891" t="s">
        <v>30753</v>
      </c>
      <c r="M9891" t="s">
        <v>30754</v>
      </c>
      <c r="N9891">
        <v>20</v>
      </c>
      <c r="O9891" t="s">
        <v>134</v>
      </c>
      <c r="P9891" t="s">
        <v>24</v>
      </c>
      <c r="Q9891">
        <v>50</v>
      </c>
      <c r="R9891">
        <v>8.6821300000000008</v>
      </c>
    </row>
    <row r="9892" spans="1:18" x14ac:dyDescent="0.2">
      <c r="A9892" t="s">
        <v>2233</v>
      </c>
      <c r="B9892" t="s">
        <v>440</v>
      </c>
      <c r="C9892">
        <v>1</v>
      </c>
      <c r="D9892" s="1">
        <v>44319.707245370373</v>
      </c>
      <c r="E9892" t="s">
        <v>30755</v>
      </c>
      <c r="F9892" t="s">
        <v>2236</v>
      </c>
      <c r="G9892" t="s">
        <v>30756</v>
      </c>
      <c r="H9892" t="s">
        <v>2237</v>
      </c>
      <c r="I9892" t="s">
        <v>29</v>
      </c>
      <c r="J9892">
        <v>1</v>
      </c>
      <c r="K9892">
        <f>1-844-216-8778</f>
        <v>-9837</v>
      </c>
      <c r="L9892" t="s">
        <v>30757</v>
      </c>
      <c r="M9892" t="s">
        <v>30758</v>
      </c>
      <c r="N9892" t="s">
        <v>5354</v>
      </c>
      <c r="O9892" t="s">
        <v>28</v>
      </c>
      <c r="P9892" t="s">
        <v>29</v>
      </c>
      <c r="Q9892">
        <v>39</v>
      </c>
      <c r="R9892">
        <v>-77.487399999999994</v>
      </c>
    </row>
    <row r="9893" spans="1:18" x14ac:dyDescent="0.2">
      <c r="A9893" t="s">
        <v>30759</v>
      </c>
      <c r="B9893" t="s">
        <v>30760</v>
      </c>
      <c r="C9893">
        <v>1</v>
      </c>
      <c r="D9893" s="1">
        <v>44319.528067129628</v>
      </c>
      <c r="E9893" t="s">
        <v>30761</v>
      </c>
      <c r="F9893" t="s">
        <v>30762</v>
      </c>
      <c r="G9893" t="s">
        <v>30763</v>
      </c>
      <c r="H9893" t="s">
        <v>30764</v>
      </c>
      <c r="I9893" t="s">
        <v>29</v>
      </c>
      <c r="J9893">
        <v>1</v>
      </c>
      <c r="K9893">
        <f>1-888-888-8888</f>
        <v>-10663</v>
      </c>
      <c r="L9893" t="s">
        <v>30765</v>
      </c>
      <c r="M9893" t="s">
        <v>30766</v>
      </c>
      <c r="N9893" t="s">
        <v>452</v>
      </c>
      <c r="O9893" t="s">
        <v>134</v>
      </c>
      <c r="P9893" t="s">
        <v>30767</v>
      </c>
      <c r="Q9893">
        <v>47</v>
      </c>
      <c r="R9893">
        <v>8.5670999999999999</v>
      </c>
    </row>
    <row r="9894" spans="1:18" x14ac:dyDescent="0.2">
      <c r="A9894" t="s">
        <v>30759</v>
      </c>
      <c r="B9894" t="s">
        <v>30760</v>
      </c>
      <c r="C9894">
        <v>1</v>
      </c>
      <c r="D9894" s="1">
        <v>44319.522719907407</v>
      </c>
      <c r="E9894" t="s">
        <v>30761</v>
      </c>
      <c r="F9894" t="s">
        <v>30762</v>
      </c>
      <c r="G9894" t="s">
        <v>30763</v>
      </c>
      <c r="H9894" t="s">
        <v>30764</v>
      </c>
      <c r="I9894" t="s">
        <v>29</v>
      </c>
      <c r="J9894">
        <v>1</v>
      </c>
      <c r="K9894">
        <f>1-833-809-7470</f>
        <v>-9111</v>
      </c>
      <c r="L9894" t="s">
        <v>30768</v>
      </c>
      <c r="M9894" t="s">
        <v>30769</v>
      </c>
      <c r="N9894" t="s">
        <v>452</v>
      </c>
      <c r="O9894" t="s">
        <v>134</v>
      </c>
      <c r="P9894" t="s">
        <v>30767</v>
      </c>
      <c r="Q9894">
        <v>47</v>
      </c>
      <c r="R9894">
        <v>8.5670999999999999</v>
      </c>
    </row>
    <row r="9895" spans="1:18" x14ac:dyDescent="0.2">
      <c r="A9895" t="s">
        <v>2233</v>
      </c>
      <c r="B9895" t="s">
        <v>2263</v>
      </c>
      <c r="C9895">
        <v>1</v>
      </c>
      <c r="D9895" s="1">
        <v>44319.799027777779</v>
      </c>
      <c r="E9895" t="s">
        <v>30770</v>
      </c>
      <c r="F9895" t="s">
        <v>2236</v>
      </c>
      <c r="G9895" t="s">
        <v>30771</v>
      </c>
      <c r="H9895" t="s">
        <v>2237</v>
      </c>
      <c r="I9895" t="s">
        <v>29</v>
      </c>
      <c r="J9895">
        <v>1</v>
      </c>
      <c r="K9895">
        <f>1-844-310-4765</f>
        <v>-5918</v>
      </c>
      <c r="L9895" s="2" t="s">
        <v>30772</v>
      </c>
      <c r="M9895" t="s">
        <v>30773</v>
      </c>
      <c r="N9895" t="s">
        <v>30774</v>
      </c>
      <c r="O9895" t="s">
        <v>134</v>
      </c>
      <c r="P9895" t="s">
        <v>2268</v>
      </c>
      <c r="Q9895">
        <v>44</v>
      </c>
      <c r="R9895">
        <v>-79.383200000000002</v>
      </c>
    </row>
    <row r="9896" spans="1:18" x14ac:dyDescent="0.2">
      <c r="A9896" t="s">
        <v>675</v>
      </c>
      <c r="B9896" t="s">
        <v>6834</v>
      </c>
      <c r="C9896">
        <v>81</v>
      </c>
      <c r="D9896" s="1">
        <v>44322.900902777779</v>
      </c>
      <c r="E9896" t="s">
        <v>30775</v>
      </c>
      <c r="F9896" t="s">
        <v>678</v>
      </c>
      <c r="G9896" t="s">
        <v>30776</v>
      </c>
      <c r="H9896" t="s">
        <v>680</v>
      </c>
      <c r="I9896" t="s">
        <v>53</v>
      </c>
      <c r="J9896">
        <v>81</v>
      </c>
      <c r="K9896">
        <f>81-50-5809-3378</f>
        <v>-9156</v>
      </c>
      <c r="L9896" t="s">
        <v>30777</v>
      </c>
      <c r="M9896" t="s">
        <v>30778</v>
      </c>
      <c r="N9896" t="s">
        <v>2475</v>
      </c>
      <c r="O9896" t="s">
        <v>28</v>
      </c>
      <c r="P9896" t="s">
        <v>29</v>
      </c>
      <c r="Q9896">
        <v>34</v>
      </c>
      <c r="R9896">
        <v>-99.999999000000003</v>
      </c>
    </row>
    <row r="9897" spans="1:18" x14ac:dyDescent="0.2">
      <c r="A9897" t="s">
        <v>675</v>
      </c>
      <c r="B9897" t="s">
        <v>6834</v>
      </c>
      <c r="C9897">
        <v>81</v>
      </c>
      <c r="D9897" s="1">
        <v>44322.900902777779</v>
      </c>
      <c r="E9897" t="s">
        <v>30775</v>
      </c>
      <c r="F9897" t="s">
        <v>678</v>
      </c>
      <c r="G9897" t="s">
        <v>30776</v>
      </c>
      <c r="H9897" t="s">
        <v>680</v>
      </c>
      <c r="I9897" t="s">
        <v>53</v>
      </c>
      <c r="J9897">
        <v>81</v>
      </c>
      <c r="K9897">
        <f>81-50-5809-3378</f>
        <v>-9156</v>
      </c>
      <c r="L9897" t="s">
        <v>30779</v>
      </c>
      <c r="M9897" t="s">
        <v>30778</v>
      </c>
      <c r="N9897" t="s">
        <v>2475</v>
      </c>
      <c r="O9897" t="s">
        <v>28</v>
      </c>
      <c r="P9897" t="s">
        <v>29</v>
      </c>
      <c r="Q9897">
        <v>34</v>
      </c>
      <c r="R9897">
        <v>-99.999999000000003</v>
      </c>
    </row>
    <row r="9898" spans="1:18" x14ac:dyDescent="0.2">
      <c r="A9898" t="s">
        <v>2233</v>
      </c>
      <c r="B9898" t="s">
        <v>1638</v>
      </c>
      <c r="C9898">
        <v>1</v>
      </c>
      <c r="D9898" s="1">
        <v>44319.853842592594</v>
      </c>
      <c r="E9898" t="s">
        <v>30780</v>
      </c>
      <c r="F9898" t="s">
        <v>2236</v>
      </c>
      <c r="G9898" t="s">
        <v>30781</v>
      </c>
      <c r="H9898" t="s">
        <v>2237</v>
      </c>
      <c r="I9898" t="s">
        <v>29</v>
      </c>
      <c r="J9898">
        <v>1</v>
      </c>
      <c r="K9898">
        <f>1-888-592-6514</f>
        <v>-7993</v>
      </c>
      <c r="L9898" t="s">
        <v>30782</v>
      </c>
      <c r="M9898" t="s">
        <v>30783</v>
      </c>
      <c r="N9898" t="s">
        <v>278</v>
      </c>
      <c r="O9898" t="s">
        <v>28</v>
      </c>
      <c r="P9898" t="s">
        <v>292</v>
      </c>
      <c r="Q9898">
        <v>49</v>
      </c>
      <c r="R9898">
        <v>2.35222</v>
      </c>
    </row>
    <row r="9899" spans="1:18" x14ac:dyDescent="0.2">
      <c r="A9899" t="s">
        <v>2233</v>
      </c>
      <c r="B9899" t="s">
        <v>1638</v>
      </c>
      <c r="C9899">
        <v>1</v>
      </c>
      <c r="D9899" s="1">
        <v>44319.867268518516</v>
      </c>
      <c r="E9899" t="s">
        <v>30784</v>
      </c>
      <c r="F9899" t="s">
        <v>2236</v>
      </c>
      <c r="G9899" t="s">
        <v>30785</v>
      </c>
      <c r="H9899" t="s">
        <v>2237</v>
      </c>
      <c r="I9899" t="s">
        <v>29</v>
      </c>
      <c r="J9899">
        <v>1</v>
      </c>
      <c r="K9899">
        <f>1-888-597-8389</f>
        <v>-9873</v>
      </c>
      <c r="L9899" s="2" t="s">
        <v>30786</v>
      </c>
      <c r="M9899" t="s">
        <v>30787</v>
      </c>
      <c r="N9899" t="s">
        <v>278</v>
      </c>
      <c r="O9899" t="s">
        <v>28</v>
      </c>
      <c r="P9899" t="s">
        <v>292</v>
      </c>
      <c r="Q9899">
        <v>49</v>
      </c>
      <c r="R9899">
        <v>2.35222</v>
      </c>
    </row>
    <row r="9900" spans="1:18" x14ac:dyDescent="0.2">
      <c r="A9900" t="s">
        <v>439</v>
      </c>
      <c r="B9900" t="s">
        <v>4321</v>
      </c>
      <c r="C9900">
        <v>1</v>
      </c>
      <c r="D9900" s="1">
        <v>44319.878287037034</v>
      </c>
      <c r="E9900" t="s">
        <v>30788</v>
      </c>
      <c r="F9900" t="s">
        <v>442</v>
      </c>
      <c r="G9900" t="s">
        <v>30789</v>
      </c>
      <c r="H9900" t="s">
        <v>444</v>
      </c>
      <c r="I9900" t="s">
        <v>29</v>
      </c>
      <c r="J9900">
        <v>1</v>
      </c>
      <c r="K9900">
        <f>1-888-346-4791</f>
        <v>-6024</v>
      </c>
      <c r="L9900" t="s">
        <v>30790</v>
      </c>
      <c r="M9900" t="s">
        <v>30791</v>
      </c>
      <c r="N9900" t="s">
        <v>452</v>
      </c>
      <c r="O9900" t="s">
        <v>28</v>
      </c>
      <c r="P9900" t="s">
        <v>29</v>
      </c>
      <c r="Q9900">
        <v>42</v>
      </c>
      <c r="R9900">
        <v>-87.629800000000003</v>
      </c>
    </row>
    <row r="9901" spans="1:18" x14ac:dyDescent="0.2">
      <c r="A9901" t="s">
        <v>2233</v>
      </c>
      <c r="B9901" t="s">
        <v>1638</v>
      </c>
      <c r="C9901">
        <v>1</v>
      </c>
      <c r="D9901" s="1">
        <v>44319.954143518517</v>
      </c>
      <c r="E9901" t="s">
        <v>30792</v>
      </c>
      <c r="F9901" t="s">
        <v>2236</v>
      </c>
      <c r="G9901" t="s">
        <v>30793</v>
      </c>
      <c r="H9901" t="s">
        <v>2237</v>
      </c>
      <c r="I9901" t="s">
        <v>29</v>
      </c>
      <c r="J9901">
        <v>1</v>
      </c>
      <c r="K9901">
        <f>1-888-451-5983</f>
        <v>-7321</v>
      </c>
      <c r="L9901" s="2" t="s">
        <v>30794</v>
      </c>
      <c r="M9901" t="s">
        <v>30795</v>
      </c>
      <c r="N9901" t="s">
        <v>278</v>
      </c>
      <c r="O9901" t="s">
        <v>28</v>
      </c>
      <c r="P9901" t="s">
        <v>292</v>
      </c>
      <c r="Q9901">
        <v>49</v>
      </c>
      <c r="R9901">
        <v>2.35222</v>
      </c>
    </row>
    <row r="9902" spans="1:18" x14ac:dyDescent="0.2">
      <c r="A9902" t="s">
        <v>663</v>
      </c>
      <c r="B9902" t="s">
        <v>5784</v>
      </c>
      <c r="C9902">
        <v>1</v>
      </c>
      <c r="D9902" s="1">
        <v>44319.954236111109</v>
      </c>
      <c r="E9902" t="s">
        <v>30796</v>
      </c>
      <c r="F9902" t="s">
        <v>666</v>
      </c>
      <c r="G9902" t="s">
        <v>30797</v>
      </c>
      <c r="H9902" t="s">
        <v>667</v>
      </c>
      <c r="I9902" t="s">
        <v>29</v>
      </c>
      <c r="J9902">
        <v>1</v>
      </c>
      <c r="K9902">
        <f>1-844-394-2224</f>
        <v>-3461</v>
      </c>
      <c r="L9902" s="2" t="s">
        <v>30798</v>
      </c>
      <c r="M9902" t="s">
        <v>30799</v>
      </c>
      <c r="N9902" t="s">
        <v>25263</v>
      </c>
      <c r="O9902" t="s">
        <v>28</v>
      </c>
      <c r="P9902" t="s">
        <v>5789</v>
      </c>
      <c r="Q9902">
        <v>13</v>
      </c>
      <c r="R9902">
        <v>77.585499999999996</v>
      </c>
    </row>
    <row r="9903" spans="1:18" x14ac:dyDescent="0.2">
      <c r="A9903" t="s">
        <v>2233</v>
      </c>
      <c r="B9903" t="s">
        <v>1638</v>
      </c>
      <c r="C9903">
        <v>1</v>
      </c>
      <c r="D9903" s="1">
        <v>44320.017337962963</v>
      </c>
      <c r="E9903" t="s">
        <v>30800</v>
      </c>
      <c r="F9903" t="s">
        <v>2236</v>
      </c>
      <c r="G9903" t="s">
        <v>30801</v>
      </c>
      <c r="H9903" t="s">
        <v>2237</v>
      </c>
      <c r="I9903" t="s">
        <v>29</v>
      </c>
      <c r="J9903">
        <v>1</v>
      </c>
      <c r="K9903">
        <f>1-888-595-8213</f>
        <v>-9695</v>
      </c>
      <c r="L9903">
        <v>6090783453529</v>
      </c>
      <c r="M9903" t="s">
        <v>30802</v>
      </c>
      <c r="N9903" t="s">
        <v>278</v>
      </c>
      <c r="O9903" t="s">
        <v>28</v>
      </c>
      <c r="P9903" t="s">
        <v>292</v>
      </c>
      <c r="Q9903">
        <v>49</v>
      </c>
      <c r="R9903">
        <v>2.35222</v>
      </c>
    </row>
    <row r="9904" spans="1:18" x14ac:dyDescent="0.2">
      <c r="A9904" t="s">
        <v>270</v>
      </c>
      <c r="B9904" t="s">
        <v>2263</v>
      </c>
      <c r="C9904">
        <v>1</v>
      </c>
      <c r="D9904" s="1">
        <v>44326.958969907406</v>
      </c>
      <c r="E9904" t="s">
        <v>30803</v>
      </c>
      <c r="F9904" t="s">
        <v>273</v>
      </c>
      <c r="G9904" t="s">
        <v>30804</v>
      </c>
      <c r="H9904" t="s">
        <v>275</v>
      </c>
      <c r="I9904" t="s">
        <v>29</v>
      </c>
      <c r="J9904">
        <v>1</v>
      </c>
      <c r="K9904">
        <f>1-866-760-227</f>
        <v>-1852</v>
      </c>
      <c r="L9904" t="s">
        <v>30805</v>
      </c>
      <c r="M9904" t="s">
        <v>30806</v>
      </c>
      <c r="N9904" t="s">
        <v>278</v>
      </c>
      <c r="O9904" t="s">
        <v>28</v>
      </c>
      <c r="P9904" t="s">
        <v>2268</v>
      </c>
      <c r="Q9904">
        <v>44</v>
      </c>
      <c r="R9904">
        <v>-79.382999999999996</v>
      </c>
    </row>
    <row r="9905" spans="1:18" x14ac:dyDescent="0.2">
      <c r="A9905" t="s">
        <v>270</v>
      </c>
      <c r="B9905" t="s">
        <v>2263</v>
      </c>
      <c r="C9905">
        <v>1</v>
      </c>
      <c r="D9905" s="1">
        <v>44327.662800925929</v>
      </c>
      <c r="E9905" t="s">
        <v>30807</v>
      </c>
      <c r="F9905" t="s">
        <v>273</v>
      </c>
      <c r="G9905" t="s">
        <v>30804</v>
      </c>
      <c r="H9905" t="s">
        <v>275</v>
      </c>
      <c r="I9905" t="s">
        <v>29</v>
      </c>
      <c r="J9905">
        <v>1</v>
      </c>
      <c r="K9905">
        <f>1-844-305-9953</f>
        <v>-11101</v>
      </c>
      <c r="L9905" t="s">
        <v>30808</v>
      </c>
      <c r="M9905" t="s">
        <v>30809</v>
      </c>
      <c r="N9905" t="s">
        <v>278</v>
      </c>
      <c r="O9905" t="s">
        <v>28</v>
      </c>
      <c r="P9905" t="s">
        <v>2268</v>
      </c>
      <c r="Q9905">
        <v>44</v>
      </c>
      <c r="R9905">
        <v>-79.382999999999996</v>
      </c>
    </row>
    <row r="9906" spans="1:18" x14ac:dyDescent="0.2">
      <c r="A9906" t="s">
        <v>270</v>
      </c>
      <c r="B9906" t="s">
        <v>2263</v>
      </c>
      <c r="C9906">
        <v>61</v>
      </c>
      <c r="D9906" s="1">
        <v>44320.106909722221</v>
      </c>
      <c r="E9906" t="s">
        <v>30810</v>
      </c>
      <c r="F9906" t="s">
        <v>273</v>
      </c>
      <c r="G9906" t="s">
        <v>30804</v>
      </c>
      <c r="H9906" t="s">
        <v>275</v>
      </c>
      <c r="I9906" t="s">
        <v>782</v>
      </c>
      <c r="J9906">
        <v>61</v>
      </c>
      <c r="K9906">
        <f>61-1800-943-723</f>
        <v>-3405</v>
      </c>
      <c r="L9906" t="s">
        <v>30811</v>
      </c>
      <c r="M9906" t="s">
        <v>30812</v>
      </c>
      <c r="N9906" t="s">
        <v>278</v>
      </c>
      <c r="O9906" t="s">
        <v>28</v>
      </c>
      <c r="P9906" t="s">
        <v>2268</v>
      </c>
      <c r="Q9906">
        <v>44</v>
      </c>
      <c r="R9906">
        <v>-79.382999999999996</v>
      </c>
    </row>
    <row r="9907" spans="1:18" x14ac:dyDescent="0.2">
      <c r="A9907" t="s">
        <v>2233</v>
      </c>
      <c r="B9907" t="s">
        <v>2500</v>
      </c>
      <c r="C9907">
        <v>61</v>
      </c>
      <c r="D9907" s="1">
        <v>44320.263958333337</v>
      </c>
      <c r="E9907" t="s">
        <v>30813</v>
      </c>
      <c r="F9907" t="s">
        <v>2236</v>
      </c>
      <c r="G9907" t="s">
        <v>30814</v>
      </c>
      <c r="H9907" t="s">
        <v>2237</v>
      </c>
      <c r="I9907" t="s">
        <v>782</v>
      </c>
      <c r="J9907">
        <v>61</v>
      </c>
      <c r="K9907">
        <f>61-1800-749-170</f>
        <v>-2658</v>
      </c>
      <c r="L9907" t="s">
        <v>30815</v>
      </c>
      <c r="M9907" t="s">
        <v>30816</v>
      </c>
      <c r="N9907" t="s">
        <v>5354</v>
      </c>
      <c r="O9907" t="s">
        <v>28</v>
      </c>
      <c r="P9907" t="s">
        <v>2500</v>
      </c>
      <c r="Q9907">
        <v>1</v>
      </c>
      <c r="R9907">
        <v>99.999999000000003</v>
      </c>
    </row>
    <row r="9908" spans="1:18" x14ac:dyDescent="0.2">
      <c r="A9908" t="s">
        <v>2233</v>
      </c>
      <c r="B9908" t="s">
        <v>4281</v>
      </c>
      <c r="C9908">
        <v>49</v>
      </c>
      <c r="D9908" s="1">
        <v>44320.463148148148</v>
      </c>
      <c r="E9908" t="s">
        <v>30817</v>
      </c>
      <c r="F9908" t="s">
        <v>7023</v>
      </c>
      <c r="G9908" t="s">
        <v>30817</v>
      </c>
      <c r="H9908" t="s">
        <v>2237</v>
      </c>
      <c r="I9908" t="s">
        <v>24</v>
      </c>
      <c r="J9908">
        <v>49</v>
      </c>
      <c r="K9908">
        <f>49-230-6999-9973</f>
        <v>-17153</v>
      </c>
      <c r="L9908" t="s">
        <v>30818</v>
      </c>
      <c r="M9908" t="s">
        <v>30819</v>
      </c>
      <c r="N9908">
        <v>241</v>
      </c>
      <c r="O9908" t="s">
        <v>134</v>
      </c>
      <c r="P9908" t="s">
        <v>24</v>
      </c>
      <c r="Q9908">
        <v>50</v>
      </c>
      <c r="R9908">
        <v>8.6821300000000008</v>
      </c>
    </row>
    <row r="9909" spans="1:18" x14ac:dyDescent="0.2">
      <c r="A9909" t="s">
        <v>663</v>
      </c>
      <c r="B9909" t="s">
        <v>2493</v>
      </c>
      <c r="C9909">
        <v>1</v>
      </c>
      <c r="D9909" s="1">
        <v>44320.835243055553</v>
      </c>
      <c r="E9909" t="s">
        <v>30820</v>
      </c>
      <c r="F9909" t="s">
        <v>2495</v>
      </c>
      <c r="G9909" t="s">
        <v>30821</v>
      </c>
      <c r="H9909" t="s">
        <v>667</v>
      </c>
      <c r="I9909" t="s">
        <v>29</v>
      </c>
      <c r="J9909">
        <v>1</v>
      </c>
      <c r="K9909">
        <f>1-888-610-8403</f>
        <v>-9900</v>
      </c>
      <c r="L9909" t="s">
        <v>30822</v>
      </c>
      <c r="M9909" t="s">
        <v>30823</v>
      </c>
      <c r="N9909" t="s">
        <v>3454</v>
      </c>
      <c r="O9909" t="s">
        <v>28</v>
      </c>
      <c r="P9909" t="s">
        <v>29</v>
      </c>
      <c r="Q9909">
        <v>41</v>
      </c>
      <c r="R9909">
        <v>-74.024699999999996</v>
      </c>
    </row>
    <row r="9910" spans="1:18" x14ac:dyDescent="0.2">
      <c r="A9910" t="s">
        <v>2233</v>
      </c>
      <c r="B9910" t="s">
        <v>1638</v>
      </c>
      <c r="C9910">
        <v>1</v>
      </c>
      <c r="D9910" s="1">
        <v>44320.85365740741</v>
      </c>
      <c r="E9910" t="s">
        <v>30824</v>
      </c>
      <c r="F9910" t="s">
        <v>2236</v>
      </c>
      <c r="G9910" t="s">
        <v>30825</v>
      </c>
      <c r="H9910" t="s">
        <v>2237</v>
      </c>
      <c r="I9910" t="s">
        <v>29</v>
      </c>
      <c r="J9910">
        <v>1</v>
      </c>
      <c r="K9910">
        <f>1-888-525-1921</f>
        <v>-3333</v>
      </c>
      <c r="L9910" t="s">
        <v>30826</v>
      </c>
      <c r="M9910" t="s">
        <v>30827</v>
      </c>
      <c r="N9910" t="s">
        <v>278</v>
      </c>
      <c r="O9910" t="s">
        <v>28</v>
      </c>
      <c r="P9910" t="s">
        <v>292</v>
      </c>
      <c r="Q9910">
        <v>49</v>
      </c>
      <c r="R9910">
        <v>2.35222</v>
      </c>
    </row>
    <row r="9911" spans="1:18" x14ac:dyDescent="0.2">
      <c r="A9911" t="s">
        <v>439</v>
      </c>
      <c r="B9911" t="s">
        <v>4321</v>
      </c>
      <c r="C9911">
        <v>1</v>
      </c>
      <c r="D9911" s="1">
        <v>44328.885069444441</v>
      </c>
      <c r="E9911" t="s">
        <v>30828</v>
      </c>
      <c r="F9911" t="s">
        <v>442</v>
      </c>
      <c r="G9911" t="s">
        <v>30829</v>
      </c>
      <c r="H9911" t="s">
        <v>444</v>
      </c>
      <c r="I9911" t="s">
        <v>29</v>
      </c>
      <c r="J9911">
        <v>1</v>
      </c>
      <c r="K9911">
        <f>1-844-304-6098</f>
        <v>-7245</v>
      </c>
      <c r="L9911" t="s">
        <v>30830</v>
      </c>
      <c r="M9911" t="s">
        <v>30831</v>
      </c>
      <c r="N9911" t="s">
        <v>447</v>
      </c>
      <c r="O9911" t="s">
        <v>28</v>
      </c>
      <c r="P9911" t="s">
        <v>29</v>
      </c>
      <c r="Q9911">
        <v>42</v>
      </c>
      <c r="R9911">
        <v>-87.629800000000003</v>
      </c>
    </row>
    <row r="9912" spans="1:18" x14ac:dyDescent="0.2">
      <c r="A9912" t="s">
        <v>2233</v>
      </c>
      <c r="B9912" t="s">
        <v>1638</v>
      </c>
      <c r="C9912">
        <v>1</v>
      </c>
      <c r="D9912" s="1">
        <v>44320.867858796293</v>
      </c>
      <c r="E9912" t="s">
        <v>30832</v>
      </c>
      <c r="F9912" t="s">
        <v>6618</v>
      </c>
      <c r="G9912" t="s">
        <v>30833</v>
      </c>
      <c r="H9912" t="s">
        <v>2237</v>
      </c>
      <c r="I9912" t="s">
        <v>29</v>
      </c>
      <c r="J9912">
        <v>1</v>
      </c>
      <c r="K9912">
        <f>1-888-529-4589</f>
        <v>-6005</v>
      </c>
      <c r="L9912" t="s">
        <v>30834</v>
      </c>
      <c r="M9912" t="s">
        <v>30835</v>
      </c>
      <c r="N9912" t="s">
        <v>278</v>
      </c>
      <c r="O9912" t="s">
        <v>28</v>
      </c>
      <c r="P9912" t="s">
        <v>292</v>
      </c>
      <c r="Q9912">
        <v>49</v>
      </c>
      <c r="R9912">
        <v>2.35222</v>
      </c>
    </row>
    <row r="9913" spans="1:18" x14ac:dyDescent="0.2">
      <c r="A9913" t="s">
        <v>2233</v>
      </c>
      <c r="B9913" t="s">
        <v>1638</v>
      </c>
      <c r="C9913">
        <v>1</v>
      </c>
      <c r="D9913" s="1">
        <v>44321.019236111111</v>
      </c>
      <c r="E9913" t="s">
        <v>30836</v>
      </c>
      <c r="F9913" t="s">
        <v>2236</v>
      </c>
      <c r="G9913" t="s">
        <v>30837</v>
      </c>
      <c r="H9913" t="s">
        <v>2237</v>
      </c>
      <c r="I9913" t="s">
        <v>29</v>
      </c>
      <c r="J9913">
        <v>1</v>
      </c>
      <c r="K9913">
        <f>1-888-605-4152</f>
        <v>-5644</v>
      </c>
      <c r="L9913" t="s">
        <v>30838</v>
      </c>
      <c r="M9913" t="s">
        <v>30839</v>
      </c>
      <c r="N9913" t="s">
        <v>278</v>
      </c>
      <c r="O9913" t="s">
        <v>28</v>
      </c>
      <c r="P9913" t="s">
        <v>292</v>
      </c>
      <c r="Q9913">
        <v>49</v>
      </c>
      <c r="R9913">
        <v>2.35222</v>
      </c>
    </row>
    <row r="9914" spans="1:18" x14ac:dyDescent="0.2">
      <c r="A9914" t="s">
        <v>2233</v>
      </c>
      <c r="B9914" t="s">
        <v>4281</v>
      </c>
      <c r="C9914">
        <v>49</v>
      </c>
      <c r="D9914" s="1">
        <v>44321.47152777778</v>
      </c>
      <c r="E9914" t="s">
        <v>30840</v>
      </c>
      <c r="F9914" t="s">
        <v>7023</v>
      </c>
      <c r="G9914" t="s">
        <v>30840</v>
      </c>
      <c r="H9914" t="s">
        <v>2237</v>
      </c>
      <c r="I9914" t="s">
        <v>24</v>
      </c>
      <c r="J9914">
        <v>49</v>
      </c>
      <c r="K9914">
        <f>49-6920446836</f>
        <v>-6920446787</v>
      </c>
      <c r="L9914" t="s">
        <v>30841</v>
      </c>
      <c r="M9914" t="s">
        <v>30842</v>
      </c>
      <c r="N9914">
        <v>49</v>
      </c>
      <c r="O9914" t="s">
        <v>134</v>
      </c>
      <c r="P9914" t="s">
        <v>24</v>
      </c>
      <c r="Q9914">
        <v>50</v>
      </c>
      <c r="R9914">
        <v>8.6821300000000008</v>
      </c>
    </row>
    <row r="9915" spans="1:18" x14ac:dyDescent="0.2">
      <c r="A9915" t="s">
        <v>2233</v>
      </c>
      <c r="B9915" t="s">
        <v>1638</v>
      </c>
      <c r="C9915">
        <v>49</v>
      </c>
      <c r="D9915" s="1">
        <v>44327.522997685184</v>
      </c>
      <c r="E9915" t="s">
        <v>30843</v>
      </c>
      <c r="F9915" t="s">
        <v>2236</v>
      </c>
      <c r="G9915" t="s">
        <v>30844</v>
      </c>
      <c r="H9915" t="s">
        <v>2237</v>
      </c>
      <c r="I9915" t="s">
        <v>24</v>
      </c>
      <c r="J9915">
        <v>49</v>
      </c>
      <c r="K9915">
        <f>49-6228-7769-699</f>
        <v>-14647</v>
      </c>
      <c r="L9915" t="s">
        <v>30845</v>
      </c>
      <c r="M9915" t="s">
        <v>30846</v>
      </c>
      <c r="N9915" t="s">
        <v>278</v>
      </c>
      <c r="O9915" t="s">
        <v>28</v>
      </c>
      <c r="P9915" t="s">
        <v>292</v>
      </c>
      <c r="Q9915">
        <v>49</v>
      </c>
      <c r="R9915">
        <v>2.35222</v>
      </c>
    </row>
    <row r="9916" spans="1:18" x14ac:dyDescent="0.2">
      <c r="A9916" t="s">
        <v>2233</v>
      </c>
      <c r="B9916" t="s">
        <v>1638</v>
      </c>
      <c r="C9916">
        <v>1</v>
      </c>
      <c r="D9916" s="1">
        <v>44328.832777777781</v>
      </c>
      <c r="E9916" t="s">
        <v>30847</v>
      </c>
      <c r="F9916" t="s">
        <v>2236</v>
      </c>
      <c r="G9916" t="s">
        <v>30848</v>
      </c>
      <c r="H9916" t="s">
        <v>2237</v>
      </c>
      <c r="I9916" t="s">
        <v>29</v>
      </c>
      <c r="J9916">
        <v>1</v>
      </c>
      <c r="K9916">
        <f>1-888-413-6492</f>
        <v>-7792</v>
      </c>
      <c r="L9916" t="s">
        <v>30849</v>
      </c>
      <c r="M9916" t="s">
        <v>30850</v>
      </c>
      <c r="N9916" t="s">
        <v>278</v>
      </c>
      <c r="O9916" t="s">
        <v>28</v>
      </c>
      <c r="P9916" t="s">
        <v>292</v>
      </c>
      <c r="Q9916">
        <v>49</v>
      </c>
      <c r="R9916">
        <v>2.35222</v>
      </c>
    </row>
    <row r="9917" spans="1:18" x14ac:dyDescent="0.2">
      <c r="A9917" t="s">
        <v>439</v>
      </c>
      <c r="B9917" t="s">
        <v>4321</v>
      </c>
      <c r="C9917">
        <v>1</v>
      </c>
      <c r="D9917" s="1">
        <v>44322.92292824074</v>
      </c>
      <c r="E9917" t="s">
        <v>30851</v>
      </c>
      <c r="F9917" t="s">
        <v>442</v>
      </c>
      <c r="G9917" t="s">
        <v>30852</v>
      </c>
      <c r="H9917" t="s">
        <v>444</v>
      </c>
      <c r="I9917" t="s">
        <v>29</v>
      </c>
      <c r="J9917">
        <v>1</v>
      </c>
      <c r="K9917">
        <f>1-801-305-3225</f>
        <v>-4330</v>
      </c>
      <c r="L9917" t="s">
        <v>30853</v>
      </c>
      <c r="M9917" t="s">
        <v>30854</v>
      </c>
      <c r="N9917" t="s">
        <v>30194</v>
      </c>
      <c r="O9917" t="s">
        <v>28</v>
      </c>
      <c r="P9917" t="s">
        <v>29</v>
      </c>
      <c r="Q9917">
        <v>42</v>
      </c>
      <c r="R9917">
        <v>-87.629800000000003</v>
      </c>
    </row>
    <row r="9918" spans="1:18" x14ac:dyDescent="0.2">
      <c r="A9918" t="s">
        <v>439</v>
      </c>
      <c r="B9918" t="s">
        <v>4321</v>
      </c>
      <c r="C9918">
        <v>1</v>
      </c>
      <c r="D9918" s="1">
        <v>44322.92292824074</v>
      </c>
      <c r="E9918" t="s">
        <v>30851</v>
      </c>
      <c r="F9918" t="s">
        <v>442</v>
      </c>
      <c r="G9918" t="s">
        <v>30852</v>
      </c>
      <c r="H9918" t="s">
        <v>444</v>
      </c>
      <c r="I9918" t="s">
        <v>29</v>
      </c>
      <c r="J9918">
        <v>1</v>
      </c>
      <c r="K9918">
        <f>1-801-305-3225</f>
        <v>-4330</v>
      </c>
      <c r="L9918" t="s">
        <v>30855</v>
      </c>
      <c r="M9918" t="s">
        <v>30854</v>
      </c>
      <c r="N9918" t="s">
        <v>30194</v>
      </c>
      <c r="O9918" t="s">
        <v>28</v>
      </c>
      <c r="P9918" t="s">
        <v>29</v>
      </c>
      <c r="Q9918">
        <v>42</v>
      </c>
      <c r="R9918">
        <v>-87.629800000000003</v>
      </c>
    </row>
    <row r="9919" spans="1:18" x14ac:dyDescent="0.2">
      <c r="A9919" t="s">
        <v>439</v>
      </c>
      <c r="B9919" t="s">
        <v>4321</v>
      </c>
      <c r="C9919">
        <v>1</v>
      </c>
      <c r="D9919" s="1">
        <v>44322.963171296295</v>
      </c>
      <c r="E9919" t="s">
        <v>30856</v>
      </c>
      <c r="F9919" t="s">
        <v>442</v>
      </c>
      <c r="G9919" t="s">
        <v>30857</v>
      </c>
      <c r="H9919" t="s">
        <v>444</v>
      </c>
      <c r="I9919" t="s">
        <v>29</v>
      </c>
      <c r="J9919">
        <v>1</v>
      </c>
      <c r="K9919">
        <f>1-888-599-3320</f>
        <v>-4806</v>
      </c>
      <c r="L9919" t="s">
        <v>30858</v>
      </c>
      <c r="M9919" t="s">
        <v>30859</v>
      </c>
      <c r="N9919" t="s">
        <v>30194</v>
      </c>
      <c r="O9919" t="s">
        <v>28</v>
      </c>
      <c r="P9919" t="s">
        <v>29</v>
      </c>
      <c r="Q9919">
        <v>42</v>
      </c>
      <c r="R9919">
        <v>-87.629800000000003</v>
      </c>
    </row>
    <row r="9920" spans="1:18" x14ac:dyDescent="0.2">
      <c r="A9920" t="s">
        <v>663</v>
      </c>
      <c r="B9920" t="s">
        <v>2493</v>
      </c>
      <c r="C9920">
        <v>1</v>
      </c>
      <c r="D9920" s="1">
        <v>44322.972141203703</v>
      </c>
      <c r="E9920" t="s">
        <v>30860</v>
      </c>
      <c r="F9920" t="s">
        <v>666</v>
      </c>
      <c r="G9920" t="s">
        <v>30860</v>
      </c>
      <c r="H9920" t="s">
        <v>667</v>
      </c>
      <c r="I9920" t="s">
        <v>29</v>
      </c>
      <c r="J9920">
        <v>1</v>
      </c>
      <c r="K9920">
        <f>1-888-312-1422</f>
        <v>-2621</v>
      </c>
      <c r="L9920" t="s">
        <v>30861</v>
      </c>
      <c r="M9920" t="s">
        <v>30862</v>
      </c>
      <c r="N9920">
        <v>240</v>
      </c>
      <c r="O9920" t="s">
        <v>134</v>
      </c>
      <c r="P9920" t="s">
        <v>29</v>
      </c>
      <c r="Q9920">
        <v>41</v>
      </c>
      <c r="R9920">
        <v>-74.024699999999996</v>
      </c>
    </row>
    <row r="9921" spans="1:18" x14ac:dyDescent="0.2">
      <c r="A9921" t="s">
        <v>663</v>
      </c>
      <c r="B9921" t="s">
        <v>2493</v>
      </c>
      <c r="C9921">
        <v>1</v>
      </c>
      <c r="D9921" s="1">
        <v>44322.972129629627</v>
      </c>
      <c r="E9921" t="s">
        <v>30860</v>
      </c>
      <c r="F9921" t="s">
        <v>666</v>
      </c>
      <c r="G9921" t="s">
        <v>30860</v>
      </c>
      <c r="H9921" t="s">
        <v>667</v>
      </c>
      <c r="I9921" t="s">
        <v>29</v>
      </c>
      <c r="J9921">
        <v>1</v>
      </c>
      <c r="K9921">
        <f>1-888-319-8276</f>
        <v>-9482</v>
      </c>
      <c r="L9921" t="s">
        <v>30863</v>
      </c>
      <c r="M9921" t="s">
        <v>30862</v>
      </c>
      <c r="N9921">
        <v>240</v>
      </c>
      <c r="O9921" t="s">
        <v>134</v>
      </c>
      <c r="P9921" t="s">
        <v>29</v>
      </c>
      <c r="Q9921">
        <v>41</v>
      </c>
      <c r="R9921">
        <v>-74.024699999999996</v>
      </c>
    </row>
    <row r="9922" spans="1:18" x14ac:dyDescent="0.2">
      <c r="A9922" t="s">
        <v>2233</v>
      </c>
      <c r="B9922" t="s">
        <v>2234</v>
      </c>
      <c r="C9922">
        <v>1</v>
      </c>
      <c r="D9922" s="1">
        <v>44322.977511574078</v>
      </c>
      <c r="E9922" t="s">
        <v>30864</v>
      </c>
      <c r="F9922" t="s">
        <v>2236</v>
      </c>
      <c r="G9922" t="s">
        <v>30865</v>
      </c>
      <c r="H9922" t="s">
        <v>2237</v>
      </c>
      <c r="I9922" t="s">
        <v>29</v>
      </c>
      <c r="J9922">
        <v>1</v>
      </c>
      <c r="K9922">
        <f>1-888-537-3347</f>
        <v>-4771</v>
      </c>
      <c r="L9922" t="s">
        <v>30866</v>
      </c>
      <c r="M9922" t="s">
        <v>30867</v>
      </c>
      <c r="N9922" t="s">
        <v>5354</v>
      </c>
      <c r="O9922" t="s">
        <v>28</v>
      </c>
      <c r="P9922" t="s">
        <v>29</v>
      </c>
      <c r="Q9922">
        <v>40</v>
      </c>
      <c r="R9922">
        <v>-83.114099999999993</v>
      </c>
    </row>
    <row r="9923" spans="1:18" x14ac:dyDescent="0.2">
      <c r="A9923" t="s">
        <v>2233</v>
      </c>
      <c r="B9923" t="s">
        <v>4281</v>
      </c>
      <c r="C9923">
        <v>49</v>
      </c>
      <c r="D9923" s="1">
        <v>44326.458055555559</v>
      </c>
      <c r="E9923" t="s">
        <v>30868</v>
      </c>
      <c r="F9923" t="s">
        <v>7023</v>
      </c>
      <c r="G9923" t="s">
        <v>30868</v>
      </c>
      <c r="H9923" t="s">
        <v>2237</v>
      </c>
      <c r="I9923" t="s">
        <v>24</v>
      </c>
      <c r="J9923">
        <v>49</v>
      </c>
      <c r="K9923">
        <f>49-620-6962-4801</f>
        <v>-12334</v>
      </c>
      <c r="L9923" t="s">
        <v>30869</v>
      </c>
      <c r="M9923" t="s">
        <v>30870</v>
      </c>
      <c r="N9923">
        <v>228</v>
      </c>
      <c r="O9923" t="s">
        <v>134</v>
      </c>
      <c r="P9923" t="s">
        <v>24</v>
      </c>
      <c r="Q9923">
        <v>50</v>
      </c>
      <c r="R9923">
        <v>8.6821300000000008</v>
      </c>
    </row>
    <row r="9924" spans="1:18" x14ac:dyDescent="0.2">
      <c r="A9924" t="s">
        <v>2233</v>
      </c>
      <c r="B9924" t="s">
        <v>2500</v>
      </c>
      <c r="C9924">
        <v>61</v>
      </c>
      <c r="D9924" s="1">
        <v>44326.300127314818</v>
      </c>
      <c r="E9924" t="s">
        <v>30871</v>
      </c>
      <c r="F9924" t="s">
        <v>2236</v>
      </c>
      <c r="G9924" t="s">
        <v>30872</v>
      </c>
      <c r="H9924" t="s">
        <v>2237</v>
      </c>
      <c r="I9924" t="s">
        <v>782</v>
      </c>
      <c r="J9924">
        <v>61</v>
      </c>
      <c r="K9924">
        <f>61-1800-749-170</f>
        <v>-2658</v>
      </c>
      <c r="L9924" t="s">
        <v>30873</v>
      </c>
      <c r="M9924" t="s">
        <v>30874</v>
      </c>
      <c r="N9924" t="s">
        <v>5354</v>
      </c>
      <c r="O9924" t="s">
        <v>28</v>
      </c>
      <c r="P9924" t="s">
        <v>2500</v>
      </c>
      <c r="Q9924">
        <v>1</v>
      </c>
      <c r="R9924">
        <v>99.999999000000003</v>
      </c>
    </row>
    <row r="9925" spans="1:18" x14ac:dyDescent="0.2">
      <c r="A9925" t="s">
        <v>2233</v>
      </c>
      <c r="B9925" t="s">
        <v>2500</v>
      </c>
      <c r="C9925">
        <v>61</v>
      </c>
      <c r="D9925" s="1">
        <v>44323.280902777777</v>
      </c>
      <c r="E9925" t="s">
        <v>30875</v>
      </c>
      <c r="F9925" t="s">
        <v>2236</v>
      </c>
      <c r="G9925" t="s">
        <v>30876</v>
      </c>
      <c r="H9925" t="s">
        <v>2237</v>
      </c>
      <c r="I9925" t="s">
        <v>782</v>
      </c>
      <c r="J9925">
        <v>61</v>
      </c>
      <c r="K9925">
        <f>61-1800-943-728</f>
        <v>-3410</v>
      </c>
      <c r="L9925" t="s">
        <v>30877</v>
      </c>
      <c r="M9925" t="s">
        <v>30878</v>
      </c>
      <c r="N9925" t="s">
        <v>5354</v>
      </c>
      <c r="O9925" t="s">
        <v>28</v>
      </c>
      <c r="P9925" t="s">
        <v>2500</v>
      </c>
      <c r="Q9925">
        <v>1</v>
      </c>
      <c r="R9925">
        <v>99.999999000000003</v>
      </c>
    </row>
    <row r="9926" spans="1:18" x14ac:dyDescent="0.2">
      <c r="A9926" t="s">
        <v>2233</v>
      </c>
      <c r="B9926" t="s">
        <v>2500</v>
      </c>
      <c r="C9926">
        <v>61</v>
      </c>
      <c r="D9926" s="1">
        <v>44323.280902777777</v>
      </c>
      <c r="E9926" t="s">
        <v>30875</v>
      </c>
      <c r="F9926" t="s">
        <v>2236</v>
      </c>
      <c r="G9926" t="s">
        <v>30876</v>
      </c>
      <c r="H9926" t="s">
        <v>2237</v>
      </c>
      <c r="I9926" t="s">
        <v>782</v>
      </c>
      <c r="J9926">
        <v>61</v>
      </c>
      <c r="K9926">
        <f>61-1800-943-728</f>
        <v>-3410</v>
      </c>
      <c r="L9926" t="s">
        <v>30879</v>
      </c>
      <c r="M9926" t="s">
        <v>30878</v>
      </c>
      <c r="N9926" t="s">
        <v>5354</v>
      </c>
      <c r="O9926" t="s">
        <v>28</v>
      </c>
      <c r="P9926" t="s">
        <v>2500</v>
      </c>
      <c r="Q9926">
        <v>1</v>
      </c>
      <c r="R9926">
        <v>99.999999000000003</v>
      </c>
    </row>
    <row r="9927" spans="1:18" x14ac:dyDescent="0.2">
      <c r="A9927" t="s">
        <v>439</v>
      </c>
      <c r="B9927" t="s">
        <v>4321</v>
      </c>
      <c r="C9927">
        <v>1</v>
      </c>
      <c r="D9927" s="1">
        <v>44327.986585648148</v>
      </c>
      <c r="E9927" t="s">
        <v>30880</v>
      </c>
      <c r="F9927" t="s">
        <v>442</v>
      </c>
      <c r="G9927" t="s">
        <v>30881</v>
      </c>
      <c r="H9927" t="s">
        <v>444</v>
      </c>
      <c r="I9927" t="s">
        <v>29</v>
      </c>
      <c r="J9927">
        <v>1</v>
      </c>
      <c r="K9927">
        <f>1-844-953-2822</f>
        <v>-4618</v>
      </c>
      <c r="L9927" t="s">
        <v>30882</v>
      </c>
      <c r="M9927" t="s">
        <v>30883</v>
      </c>
      <c r="N9927" t="s">
        <v>213</v>
      </c>
      <c r="O9927" t="s">
        <v>28</v>
      </c>
      <c r="P9927" t="s">
        <v>29</v>
      </c>
      <c r="Q9927">
        <v>42</v>
      </c>
      <c r="R9927">
        <v>-87.629800000000003</v>
      </c>
    </row>
    <row r="9928" spans="1:18" x14ac:dyDescent="0.2">
      <c r="A9928" t="s">
        <v>2233</v>
      </c>
      <c r="B9928" t="s">
        <v>1638</v>
      </c>
      <c r="C9928">
        <v>1</v>
      </c>
      <c r="D9928" s="1">
        <v>44328.761574074073</v>
      </c>
      <c r="E9928" t="s">
        <v>30884</v>
      </c>
      <c r="F9928" t="s">
        <v>7023</v>
      </c>
      <c r="G9928" t="s">
        <v>30885</v>
      </c>
      <c r="H9928" t="s">
        <v>2237</v>
      </c>
      <c r="I9928" t="s">
        <v>29</v>
      </c>
      <c r="J9928">
        <v>1</v>
      </c>
      <c r="K9928">
        <f>1-888-381-2073</f>
        <v>-3341</v>
      </c>
      <c r="L9928" t="s">
        <v>30886</v>
      </c>
      <c r="M9928" t="s">
        <v>30887</v>
      </c>
      <c r="N9928" t="s">
        <v>278</v>
      </c>
      <c r="O9928" t="s">
        <v>28</v>
      </c>
      <c r="P9928" t="s">
        <v>292</v>
      </c>
      <c r="Q9928">
        <v>49</v>
      </c>
      <c r="R9928">
        <v>2.35222</v>
      </c>
    </row>
    <row r="9929" spans="1:18" x14ac:dyDescent="0.2">
      <c r="A9929" t="s">
        <v>439</v>
      </c>
      <c r="B9929" t="s">
        <v>4321</v>
      </c>
      <c r="C9929">
        <v>1</v>
      </c>
      <c r="D9929" s="1">
        <v>44326.565138888887</v>
      </c>
      <c r="E9929" t="s">
        <v>30888</v>
      </c>
      <c r="F9929" t="s">
        <v>442</v>
      </c>
      <c r="G9929" t="s">
        <v>30889</v>
      </c>
      <c r="H9929" t="s">
        <v>444</v>
      </c>
      <c r="I9929" t="s">
        <v>29</v>
      </c>
      <c r="J9929">
        <v>1</v>
      </c>
      <c r="K9929">
        <f>1-977-195-650</f>
        <v>-1821</v>
      </c>
      <c r="L9929" t="s">
        <v>30890</v>
      </c>
      <c r="M9929" t="s">
        <v>30891</v>
      </c>
      <c r="N9929" t="s">
        <v>213</v>
      </c>
      <c r="O9929" t="s">
        <v>28</v>
      </c>
      <c r="P9929" t="s">
        <v>29</v>
      </c>
      <c r="Q9929">
        <v>42</v>
      </c>
      <c r="R9929">
        <v>-87.629800000000003</v>
      </c>
    </row>
    <row r="9930" spans="1:18" x14ac:dyDescent="0.2">
      <c r="A9930" t="s">
        <v>663</v>
      </c>
      <c r="B9930" t="s">
        <v>4281</v>
      </c>
      <c r="C9930">
        <v>49</v>
      </c>
      <c r="D9930" s="1">
        <v>44326.653969907406</v>
      </c>
      <c r="E9930" t="s">
        <v>30892</v>
      </c>
      <c r="F9930" t="s">
        <v>666</v>
      </c>
      <c r="G9930" t="s">
        <v>30892</v>
      </c>
      <c r="H9930" t="s">
        <v>667</v>
      </c>
      <c r="I9930" t="s">
        <v>24</v>
      </c>
      <c r="J9930">
        <v>49</v>
      </c>
      <c r="K9930">
        <f>49-332-2437-9631</f>
        <v>-12351</v>
      </c>
      <c r="L9930" t="s">
        <v>30893</v>
      </c>
      <c r="M9930" t="s">
        <v>30894</v>
      </c>
      <c r="N9930">
        <v>172</v>
      </c>
      <c r="O9930" t="s">
        <v>134</v>
      </c>
      <c r="P9930" t="s">
        <v>24</v>
      </c>
      <c r="Q9930">
        <v>50</v>
      </c>
      <c r="R9930">
        <v>8.6843000000000004</v>
      </c>
    </row>
    <row r="9931" spans="1:18" x14ac:dyDescent="0.2">
      <c r="A9931" t="s">
        <v>2233</v>
      </c>
      <c r="B9931" t="s">
        <v>1638</v>
      </c>
      <c r="C9931">
        <v>1</v>
      </c>
      <c r="D9931" s="1">
        <v>44326.772280092591</v>
      </c>
      <c r="E9931" t="s">
        <v>30895</v>
      </c>
      <c r="F9931" t="s">
        <v>6618</v>
      </c>
      <c r="G9931" t="s">
        <v>30896</v>
      </c>
      <c r="H9931" t="s">
        <v>2237</v>
      </c>
      <c r="I9931" t="s">
        <v>29</v>
      </c>
      <c r="J9931">
        <v>1</v>
      </c>
      <c r="K9931">
        <f>1-888-383-596</f>
        <v>-1866</v>
      </c>
      <c r="L9931" t="s">
        <v>30897</v>
      </c>
      <c r="M9931" t="s">
        <v>30898</v>
      </c>
      <c r="N9931" t="s">
        <v>278</v>
      </c>
      <c r="O9931" t="s">
        <v>28</v>
      </c>
      <c r="P9931" t="s">
        <v>292</v>
      </c>
      <c r="Q9931">
        <v>49</v>
      </c>
      <c r="R9931">
        <v>2.35222</v>
      </c>
    </row>
    <row r="9932" spans="1:18" x14ac:dyDescent="0.2">
      <c r="A9932" t="s">
        <v>2233</v>
      </c>
      <c r="B9932" t="s">
        <v>2234</v>
      </c>
      <c r="C9932">
        <v>1</v>
      </c>
      <c r="D9932" s="1">
        <v>44326.855578703704</v>
      </c>
      <c r="E9932" t="s">
        <v>30899</v>
      </c>
      <c r="F9932" t="s">
        <v>2236</v>
      </c>
      <c r="G9932" t="s">
        <v>30900</v>
      </c>
      <c r="H9932" t="s">
        <v>2237</v>
      </c>
      <c r="I9932" t="s">
        <v>29</v>
      </c>
      <c r="J9932">
        <v>1</v>
      </c>
      <c r="K9932">
        <f>1-808-909-380</f>
        <v>-2096</v>
      </c>
      <c r="L9932" t="s">
        <v>30901</v>
      </c>
      <c r="M9932" t="s">
        <v>30902</v>
      </c>
      <c r="N9932" t="s">
        <v>5354</v>
      </c>
      <c r="O9932" t="s">
        <v>28</v>
      </c>
      <c r="P9932" t="s">
        <v>29</v>
      </c>
      <c r="Q9932">
        <v>40</v>
      </c>
      <c r="R9932">
        <v>-83.114099999999993</v>
      </c>
    </row>
    <row r="9933" spans="1:18" x14ac:dyDescent="0.2">
      <c r="A9933" t="s">
        <v>439</v>
      </c>
      <c r="B9933" t="s">
        <v>4321</v>
      </c>
      <c r="C9933">
        <v>1</v>
      </c>
      <c r="D9933" s="1">
        <v>44326.881666666668</v>
      </c>
      <c r="E9933" t="s">
        <v>30903</v>
      </c>
      <c r="F9933" t="s">
        <v>442</v>
      </c>
      <c r="G9933" t="s">
        <v>30904</v>
      </c>
      <c r="H9933" t="s">
        <v>444</v>
      </c>
      <c r="I9933" t="s">
        <v>29</v>
      </c>
      <c r="J9933">
        <v>1</v>
      </c>
      <c r="K9933">
        <f>1-801-895-4899</f>
        <v>-6594</v>
      </c>
      <c r="L9933" t="s">
        <v>30905</v>
      </c>
      <c r="M9933" t="s">
        <v>30906</v>
      </c>
      <c r="N9933" t="s">
        <v>30194</v>
      </c>
      <c r="O9933" t="s">
        <v>28</v>
      </c>
      <c r="P9933" t="s">
        <v>29</v>
      </c>
      <c r="Q9933">
        <v>42</v>
      </c>
      <c r="R9933">
        <v>-87.629800000000003</v>
      </c>
    </row>
    <row r="9934" spans="1:18" x14ac:dyDescent="0.2">
      <c r="A9934" t="s">
        <v>2349</v>
      </c>
      <c r="B9934" t="s">
        <v>10634</v>
      </c>
      <c r="C9934">
        <v>49</v>
      </c>
      <c r="D9934" s="1">
        <v>44327.399039351854</v>
      </c>
      <c r="E9934" t="s">
        <v>30907</v>
      </c>
      <c r="F9934" t="s">
        <v>2352</v>
      </c>
      <c r="G9934" t="s">
        <v>30907</v>
      </c>
      <c r="H9934" t="s">
        <v>2353</v>
      </c>
      <c r="I9934" t="s">
        <v>24</v>
      </c>
      <c r="J9934">
        <v>49</v>
      </c>
      <c r="K9934">
        <f>49-800-181-5210</f>
        <v>-6142</v>
      </c>
      <c r="L9934" t="s">
        <v>30908</v>
      </c>
      <c r="M9934" t="s">
        <v>30909</v>
      </c>
      <c r="N9934">
        <v>14</v>
      </c>
      <c r="O9934" t="s">
        <v>134</v>
      </c>
      <c r="P9934" t="s">
        <v>292</v>
      </c>
      <c r="Q9934">
        <v>49</v>
      </c>
      <c r="R9934">
        <v>2.3868999999999998</v>
      </c>
    </row>
    <row r="9935" spans="1:18" x14ac:dyDescent="0.2">
      <c r="A9935" t="s">
        <v>663</v>
      </c>
      <c r="B9935" t="s">
        <v>2493</v>
      </c>
      <c r="C9935">
        <v>1</v>
      </c>
      <c r="D9935" s="1">
        <v>44327.832094907404</v>
      </c>
      <c r="E9935" t="s">
        <v>30910</v>
      </c>
      <c r="F9935" t="s">
        <v>666</v>
      </c>
      <c r="G9935" t="s">
        <v>30910</v>
      </c>
      <c r="H9935" t="s">
        <v>667</v>
      </c>
      <c r="I9935" t="s">
        <v>29</v>
      </c>
      <c r="J9935">
        <v>1</v>
      </c>
      <c r="K9935">
        <f>1-888-312-2042</f>
        <v>-3241</v>
      </c>
      <c r="L9935" t="s">
        <v>30911</v>
      </c>
      <c r="M9935" t="s">
        <v>30912</v>
      </c>
      <c r="N9935">
        <v>215</v>
      </c>
      <c r="O9935" t="s">
        <v>134</v>
      </c>
      <c r="P9935" t="s">
        <v>29</v>
      </c>
      <c r="Q9935">
        <v>41</v>
      </c>
      <c r="R9935">
        <v>-74.024699999999996</v>
      </c>
    </row>
    <row r="9936" spans="1:18" x14ac:dyDescent="0.2">
      <c r="A9936" t="s">
        <v>2233</v>
      </c>
      <c r="B9936" t="s">
        <v>1638</v>
      </c>
      <c r="C9936">
        <v>1</v>
      </c>
      <c r="D9936" s="1">
        <v>44327.841064814813</v>
      </c>
      <c r="E9936" t="s">
        <v>30913</v>
      </c>
      <c r="F9936" t="s">
        <v>2236</v>
      </c>
      <c r="G9936" t="s">
        <v>30914</v>
      </c>
      <c r="H9936" t="s">
        <v>2237</v>
      </c>
      <c r="I9936" t="s">
        <v>29</v>
      </c>
      <c r="J9936">
        <v>1</v>
      </c>
      <c r="K9936">
        <f>1-888-616-3152</f>
        <v>-4655</v>
      </c>
      <c r="L9936" t="s">
        <v>30915</v>
      </c>
      <c r="M9936" t="s">
        <v>30916</v>
      </c>
      <c r="N9936" t="s">
        <v>278</v>
      </c>
      <c r="O9936" t="s">
        <v>28</v>
      </c>
      <c r="P9936" t="s">
        <v>292</v>
      </c>
      <c r="Q9936">
        <v>49</v>
      </c>
      <c r="R9936">
        <v>2.35222</v>
      </c>
    </row>
    <row r="9937" spans="1:18" x14ac:dyDescent="0.2">
      <c r="A9937" t="s">
        <v>439</v>
      </c>
      <c r="B9937" t="s">
        <v>4321</v>
      </c>
      <c r="C9937">
        <v>1</v>
      </c>
      <c r="D9937" s="1">
        <v>44327.85392361111</v>
      </c>
      <c r="E9937" t="s">
        <v>30917</v>
      </c>
      <c r="F9937" t="s">
        <v>442</v>
      </c>
      <c r="G9937" t="s">
        <v>30918</v>
      </c>
      <c r="H9937" t="s">
        <v>444</v>
      </c>
      <c r="I9937" t="s">
        <v>29</v>
      </c>
      <c r="J9937">
        <v>1</v>
      </c>
      <c r="K9937">
        <f>1-844-304-6098</f>
        <v>-7245</v>
      </c>
      <c r="L9937" t="s">
        <v>30919</v>
      </c>
      <c r="M9937" t="s">
        <v>30920</v>
      </c>
      <c r="N9937" t="s">
        <v>447</v>
      </c>
      <c r="O9937" t="s">
        <v>28</v>
      </c>
      <c r="P9937" t="s">
        <v>29</v>
      </c>
      <c r="Q9937">
        <v>42</v>
      </c>
      <c r="R9937">
        <v>-87.629800000000003</v>
      </c>
    </row>
    <row r="9938" spans="1:18" x14ac:dyDescent="0.2">
      <c r="A9938" t="s">
        <v>270</v>
      </c>
      <c r="B9938" t="s">
        <v>271</v>
      </c>
      <c r="C9938">
        <v>1</v>
      </c>
      <c r="D9938" s="1">
        <v>44327.911574074074</v>
      </c>
      <c r="E9938" t="s">
        <v>30921</v>
      </c>
      <c r="F9938" t="s">
        <v>273</v>
      </c>
      <c r="G9938" t="s">
        <v>30922</v>
      </c>
      <c r="H9938" t="s">
        <v>275</v>
      </c>
      <c r="I9938" t="s">
        <v>29</v>
      </c>
      <c r="J9938">
        <v>1</v>
      </c>
      <c r="K9938">
        <f>1-844-255-5509</f>
        <v>-6607</v>
      </c>
      <c r="L9938" t="s">
        <v>30923</v>
      </c>
      <c r="M9938" t="s">
        <v>30924</v>
      </c>
      <c r="N9938" t="s">
        <v>278</v>
      </c>
      <c r="O9938" t="s">
        <v>28</v>
      </c>
      <c r="P9938" t="s">
        <v>29</v>
      </c>
      <c r="Q9938">
        <v>42</v>
      </c>
      <c r="R9938">
        <v>-93.620800000000003</v>
      </c>
    </row>
    <row r="9939" spans="1:18" x14ac:dyDescent="0.2">
      <c r="A9939" t="s">
        <v>439</v>
      </c>
      <c r="B9939" t="s">
        <v>4321</v>
      </c>
      <c r="C9939">
        <v>1</v>
      </c>
      <c r="D9939" s="1">
        <v>44327.914699074077</v>
      </c>
      <c r="E9939" t="s">
        <v>30925</v>
      </c>
      <c r="F9939" t="s">
        <v>442</v>
      </c>
      <c r="G9939" t="s">
        <v>30926</v>
      </c>
      <c r="H9939" t="s">
        <v>444</v>
      </c>
      <c r="I9939" t="s">
        <v>29</v>
      </c>
      <c r="J9939">
        <v>1</v>
      </c>
      <c r="K9939">
        <f>1-844-489-201</f>
        <v>-1533</v>
      </c>
      <c r="L9939" t="s">
        <v>30927</v>
      </c>
      <c r="M9939" t="s">
        <v>30928</v>
      </c>
      <c r="N9939" t="s">
        <v>213</v>
      </c>
      <c r="O9939" t="s">
        <v>28</v>
      </c>
      <c r="P9939" t="s">
        <v>29</v>
      </c>
      <c r="Q9939">
        <v>42</v>
      </c>
      <c r="R9939">
        <v>-87.629800000000003</v>
      </c>
    </row>
    <row r="9940" spans="1:18" x14ac:dyDescent="0.2">
      <c r="A9940" t="s">
        <v>2233</v>
      </c>
      <c r="B9940" t="s">
        <v>1638</v>
      </c>
      <c r="C9940">
        <v>1</v>
      </c>
      <c r="D9940" s="1">
        <v>44327.917395833334</v>
      </c>
      <c r="E9940" t="s">
        <v>30929</v>
      </c>
      <c r="F9940" t="s">
        <v>2236</v>
      </c>
      <c r="G9940" t="s">
        <v>30930</v>
      </c>
      <c r="H9940" t="s">
        <v>2237</v>
      </c>
      <c r="I9940" t="s">
        <v>29</v>
      </c>
      <c r="J9940">
        <v>1</v>
      </c>
      <c r="K9940">
        <f>1-888-339-7351</f>
        <v>-8577</v>
      </c>
      <c r="L9940" t="s">
        <v>30931</v>
      </c>
      <c r="M9940" t="s">
        <v>30932</v>
      </c>
      <c r="N9940" t="s">
        <v>278</v>
      </c>
      <c r="O9940" t="s">
        <v>28</v>
      </c>
      <c r="P9940" t="s">
        <v>292</v>
      </c>
      <c r="Q9940">
        <v>49</v>
      </c>
      <c r="R9940">
        <v>2.35222</v>
      </c>
    </row>
    <row r="9941" spans="1:18" x14ac:dyDescent="0.2">
      <c r="A9941" t="s">
        <v>270</v>
      </c>
      <c r="B9941" t="s">
        <v>8966</v>
      </c>
      <c r="C9941">
        <v>1</v>
      </c>
      <c r="D9941" s="1">
        <v>44347.771180555559</v>
      </c>
      <c r="E9941" t="s">
        <v>30933</v>
      </c>
      <c r="F9941" t="s">
        <v>273</v>
      </c>
      <c r="G9941" t="s">
        <v>30934</v>
      </c>
      <c r="H9941" t="s">
        <v>275</v>
      </c>
      <c r="I9941" t="s">
        <v>29</v>
      </c>
      <c r="J9941">
        <v>1</v>
      </c>
      <c r="K9941">
        <f>1-844-384-6363</f>
        <v>-7590</v>
      </c>
      <c r="L9941" t="s">
        <v>30935</v>
      </c>
      <c r="M9941" t="s">
        <v>30936</v>
      </c>
      <c r="N9941" t="s">
        <v>278</v>
      </c>
      <c r="O9941" t="s">
        <v>28</v>
      </c>
      <c r="P9941" t="s">
        <v>782</v>
      </c>
      <c r="Q9941">
        <v>-38</v>
      </c>
      <c r="R9941">
        <v>99.999999000000003</v>
      </c>
    </row>
    <row r="9942" spans="1:18" x14ac:dyDescent="0.2">
      <c r="A9942" t="s">
        <v>270</v>
      </c>
      <c r="B9942" t="s">
        <v>8966</v>
      </c>
      <c r="C9942">
        <v>1</v>
      </c>
      <c r="D9942" s="1">
        <v>44337.778854166667</v>
      </c>
      <c r="E9942" t="s">
        <v>30937</v>
      </c>
      <c r="F9942" t="s">
        <v>273</v>
      </c>
      <c r="G9942" t="s">
        <v>30934</v>
      </c>
      <c r="H9942" t="s">
        <v>275</v>
      </c>
      <c r="I9942" t="s">
        <v>29</v>
      </c>
      <c r="J9942">
        <v>1</v>
      </c>
      <c r="K9942">
        <f>1-888-441-3286</f>
        <v>-4614</v>
      </c>
      <c r="L9942" t="s">
        <v>30938</v>
      </c>
      <c r="M9942" t="s">
        <v>30939</v>
      </c>
      <c r="N9942" t="s">
        <v>278</v>
      </c>
      <c r="O9942" t="s">
        <v>28</v>
      </c>
      <c r="P9942" t="s">
        <v>782</v>
      </c>
      <c r="Q9942">
        <v>-38</v>
      </c>
      <c r="R9942">
        <v>99.999999000000003</v>
      </c>
    </row>
    <row r="9943" spans="1:18" x14ac:dyDescent="0.2">
      <c r="A9943" t="s">
        <v>270</v>
      </c>
      <c r="B9943" t="s">
        <v>8966</v>
      </c>
      <c r="C9943">
        <v>1</v>
      </c>
      <c r="D9943" s="1">
        <v>44337.794571759259</v>
      </c>
      <c r="E9943" t="s">
        <v>30940</v>
      </c>
      <c r="F9943" t="s">
        <v>273</v>
      </c>
      <c r="G9943" t="s">
        <v>30934</v>
      </c>
      <c r="H9943" t="s">
        <v>275</v>
      </c>
      <c r="I9943" t="s">
        <v>29</v>
      </c>
      <c r="J9943">
        <v>1</v>
      </c>
      <c r="K9943">
        <f>1-888-441-3286</f>
        <v>-4614</v>
      </c>
      <c r="L9943" t="s">
        <v>30941</v>
      </c>
      <c r="M9943" t="s">
        <v>30942</v>
      </c>
      <c r="N9943" t="s">
        <v>278</v>
      </c>
      <c r="O9943" t="s">
        <v>28</v>
      </c>
      <c r="P9943" t="s">
        <v>782</v>
      </c>
      <c r="Q9943">
        <v>-38</v>
      </c>
      <c r="R9943">
        <v>99.999999000000003</v>
      </c>
    </row>
    <row r="9944" spans="1:18" x14ac:dyDescent="0.2">
      <c r="A9944" t="s">
        <v>270</v>
      </c>
      <c r="B9944" t="s">
        <v>8966</v>
      </c>
      <c r="C9944">
        <v>61</v>
      </c>
      <c r="D9944" s="1">
        <v>44329.192824074074</v>
      </c>
      <c r="E9944" t="s">
        <v>30943</v>
      </c>
      <c r="F9944" t="s">
        <v>273</v>
      </c>
      <c r="G9944" t="s">
        <v>30934</v>
      </c>
      <c r="H9944" t="s">
        <v>275</v>
      </c>
      <c r="I9944" t="s">
        <v>782</v>
      </c>
      <c r="J9944">
        <v>61</v>
      </c>
      <c r="K9944">
        <f>61-1800-943-724</f>
        <v>-3406</v>
      </c>
      <c r="L9944" t="s">
        <v>30944</v>
      </c>
      <c r="M9944" t="s">
        <v>30945</v>
      </c>
      <c r="N9944" t="s">
        <v>278</v>
      </c>
      <c r="O9944" t="s">
        <v>28</v>
      </c>
      <c r="P9944" t="s">
        <v>782</v>
      </c>
      <c r="Q9944">
        <v>-38</v>
      </c>
      <c r="R9944">
        <v>99.999999000000003</v>
      </c>
    </row>
    <row r="9945" spans="1:18" x14ac:dyDescent="0.2">
      <c r="A9945" t="s">
        <v>270</v>
      </c>
      <c r="B9945" t="s">
        <v>8966</v>
      </c>
      <c r="C9945">
        <v>61</v>
      </c>
      <c r="D9945" s="1">
        <v>44329.192546296297</v>
      </c>
      <c r="E9945" t="s">
        <v>30946</v>
      </c>
      <c r="F9945" t="s">
        <v>273</v>
      </c>
      <c r="G9945" t="s">
        <v>30934</v>
      </c>
      <c r="H9945" t="s">
        <v>275</v>
      </c>
      <c r="I9945" t="s">
        <v>782</v>
      </c>
      <c r="J9945">
        <v>61</v>
      </c>
      <c r="K9945">
        <f>61-1800-943-724</f>
        <v>-3406</v>
      </c>
      <c r="L9945" t="s">
        <v>30947</v>
      </c>
      <c r="M9945" t="s">
        <v>30948</v>
      </c>
      <c r="N9945" t="s">
        <v>278</v>
      </c>
      <c r="O9945" t="s">
        <v>28</v>
      </c>
      <c r="P9945" t="s">
        <v>782</v>
      </c>
      <c r="Q9945">
        <v>-38</v>
      </c>
      <c r="R9945">
        <v>99.999999000000003</v>
      </c>
    </row>
    <row r="9946" spans="1:18" x14ac:dyDescent="0.2">
      <c r="A9946" t="s">
        <v>270</v>
      </c>
      <c r="B9946" t="s">
        <v>8966</v>
      </c>
      <c r="C9946">
        <v>61</v>
      </c>
      <c r="D9946" s="1">
        <v>44329.192199074074</v>
      </c>
      <c r="E9946" t="s">
        <v>30949</v>
      </c>
      <c r="F9946" t="s">
        <v>273</v>
      </c>
      <c r="G9946" t="s">
        <v>30934</v>
      </c>
      <c r="H9946" t="s">
        <v>275</v>
      </c>
      <c r="I9946" t="s">
        <v>782</v>
      </c>
      <c r="J9946">
        <v>61</v>
      </c>
      <c r="K9946">
        <f>61-1800-943-724</f>
        <v>-3406</v>
      </c>
      <c r="L9946" t="s">
        <v>30950</v>
      </c>
      <c r="M9946" t="s">
        <v>30951</v>
      </c>
      <c r="N9946" t="s">
        <v>278</v>
      </c>
      <c r="O9946" t="s">
        <v>28</v>
      </c>
      <c r="P9946" t="s">
        <v>782</v>
      </c>
      <c r="Q9946">
        <v>-38</v>
      </c>
      <c r="R9946">
        <v>99.999999000000003</v>
      </c>
    </row>
    <row r="9947" spans="1:18" x14ac:dyDescent="0.2">
      <c r="A9947" t="s">
        <v>270</v>
      </c>
      <c r="B9947" t="s">
        <v>8966</v>
      </c>
      <c r="C9947">
        <v>61</v>
      </c>
      <c r="D9947" s="1">
        <v>44329.129467592589</v>
      </c>
      <c r="E9947" t="s">
        <v>30952</v>
      </c>
      <c r="F9947" t="s">
        <v>273</v>
      </c>
      <c r="G9947" t="s">
        <v>30934</v>
      </c>
      <c r="H9947" t="s">
        <v>275</v>
      </c>
      <c r="I9947" t="s">
        <v>782</v>
      </c>
      <c r="J9947">
        <v>61</v>
      </c>
      <c r="K9947">
        <f>61-1800-943-724</f>
        <v>-3406</v>
      </c>
      <c r="L9947" t="s">
        <v>30953</v>
      </c>
      <c r="M9947" t="s">
        <v>30954</v>
      </c>
      <c r="N9947" t="s">
        <v>278</v>
      </c>
      <c r="O9947" t="s">
        <v>28</v>
      </c>
      <c r="P9947" t="s">
        <v>782</v>
      </c>
      <c r="Q9947">
        <v>-38</v>
      </c>
      <c r="R9947">
        <v>99.999999000000003</v>
      </c>
    </row>
    <row r="9948" spans="1:18" x14ac:dyDescent="0.2">
      <c r="A9948" t="s">
        <v>270</v>
      </c>
      <c r="B9948" t="s">
        <v>8966</v>
      </c>
      <c r="C9948">
        <v>1</v>
      </c>
      <c r="D9948" s="1">
        <v>44328.036469907405</v>
      </c>
      <c r="E9948" t="s">
        <v>30955</v>
      </c>
      <c r="F9948" t="s">
        <v>273</v>
      </c>
      <c r="G9948" t="s">
        <v>30934</v>
      </c>
      <c r="H9948" t="s">
        <v>275</v>
      </c>
      <c r="I9948" t="s">
        <v>29</v>
      </c>
      <c r="J9948">
        <v>1</v>
      </c>
      <c r="K9948">
        <f>1-888-598-1570</f>
        <v>-3055</v>
      </c>
      <c r="L9948" t="s">
        <v>30956</v>
      </c>
      <c r="M9948" t="s">
        <v>30957</v>
      </c>
      <c r="N9948" t="s">
        <v>278</v>
      </c>
      <c r="O9948" t="s">
        <v>28</v>
      </c>
      <c r="P9948" t="s">
        <v>782</v>
      </c>
      <c r="Q9948">
        <v>-38</v>
      </c>
      <c r="R9948">
        <v>99.999999000000003</v>
      </c>
    </row>
    <row r="9949" spans="1:18" x14ac:dyDescent="0.2">
      <c r="A9949" t="s">
        <v>270</v>
      </c>
      <c r="B9949" t="s">
        <v>8966</v>
      </c>
      <c r="C9949">
        <v>1</v>
      </c>
      <c r="D9949" s="1">
        <v>44327.961354166669</v>
      </c>
      <c r="E9949" t="s">
        <v>30958</v>
      </c>
      <c r="F9949" t="s">
        <v>273</v>
      </c>
      <c r="G9949" t="s">
        <v>30934</v>
      </c>
      <c r="H9949" t="s">
        <v>275</v>
      </c>
      <c r="I9949" t="s">
        <v>29</v>
      </c>
      <c r="J9949">
        <v>1</v>
      </c>
      <c r="K9949">
        <f>1-844-255-5509</f>
        <v>-6607</v>
      </c>
      <c r="L9949" t="s">
        <v>30959</v>
      </c>
      <c r="M9949" t="s">
        <v>30960</v>
      </c>
      <c r="N9949" t="s">
        <v>278</v>
      </c>
      <c r="O9949" t="s">
        <v>28</v>
      </c>
      <c r="P9949" t="s">
        <v>782</v>
      </c>
      <c r="Q9949">
        <v>-38</v>
      </c>
      <c r="R9949">
        <v>99.999999000000003</v>
      </c>
    </row>
    <row r="9950" spans="1:18" x14ac:dyDescent="0.2">
      <c r="A9950" t="s">
        <v>2233</v>
      </c>
      <c r="B9950" t="s">
        <v>1638</v>
      </c>
      <c r="C9950">
        <v>1</v>
      </c>
      <c r="D9950" s="1">
        <v>44327.975659722222</v>
      </c>
      <c r="E9950" t="s">
        <v>30961</v>
      </c>
      <c r="F9950" t="s">
        <v>2236</v>
      </c>
      <c r="G9950" t="s">
        <v>30962</v>
      </c>
      <c r="H9950" t="s">
        <v>2237</v>
      </c>
      <c r="I9950" t="s">
        <v>29</v>
      </c>
      <c r="J9950">
        <v>1</v>
      </c>
      <c r="K9950">
        <f>1-888-597-1479</f>
        <v>-2963</v>
      </c>
      <c r="L9950" t="s">
        <v>30963</v>
      </c>
      <c r="M9950" t="s">
        <v>30964</v>
      </c>
      <c r="N9950" t="s">
        <v>278</v>
      </c>
      <c r="O9950" t="s">
        <v>28</v>
      </c>
      <c r="P9950" t="s">
        <v>292</v>
      </c>
      <c r="Q9950">
        <v>49</v>
      </c>
      <c r="R9950">
        <v>2.35222</v>
      </c>
    </row>
    <row r="9951" spans="1:18" x14ac:dyDescent="0.2">
      <c r="A9951" t="s">
        <v>663</v>
      </c>
      <c r="B9951" t="s">
        <v>2500</v>
      </c>
      <c r="C9951">
        <v>61</v>
      </c>
      <c r="D9951" s="1">
        <v>44328.249351851853</v>
      </c>
      <c r="E9951" t="s">
        <v>30965</v>
      </c>
      <c r="F9951" t="s">
        <v>666</v>
      </c>
      <c r="G9951" t="s">
        <v>30965</v>
      </c>
      <c r="H9951" t="s">
        <v>667</v>
      </c>
      <c r="I9951" t="s">
        <v>782</v>
      </c>
      <c r="J9951">
        <v>61</v>
      </c>
      <c r="K9951">
        <f>61-1800-948-120</f>
        <v>-2807</v>
      </c>
      <c r="L9951" t="s">
        <v>30966</v>
      </c>
      <c r="M9951" t="s">
        <v>30967</v>
      </c>
      <c r="N9951">
        <v>10</v>
      </c>
      <c r="O9951" t="s">
        <v>134</v>
      </c>
      <c r="P9951" t="s">
        <v>2500</v>
      </c>
      <c r="Q9951">
        <v>1</v>
      </c>
      <c r="R9951">
        <v>99.999999000000003</v>
      </c>
    </row>
    <row r="9952" spans="1:18" x14ac:dyDescent="0.2">
      <c r="A9952" t="s">
        <v>270</v>
      </c>
      <c r="B9952" t="s">
        <v>3586</v>
      </c>
      <c r="C9952">
        <v>61</v>
      </c>
      <c r="D9952" s="1">
        <v>44328.181331018517</v>
      </c>
      <c r="E9952" t="s">
        <v>30968</v>
      </c>
      <c r="F9952" t="s">
        <v>273</v>
      </c>
      <c r="G9952" t="s">
        <v>30969</v>
      </c>
      <c r="H9952" t="s">
        <v>275</v>
      </c>
      <c r="I9952" t="s">
        <v>782</v>
      </c>
      <c r="J9952">
        <v>61</v>
      </c>
      <c r="K9952">
        <f>61-1800-943-724</f>
        <v>-3406</v>
      </c>
      <c r="L9952" t="s">
        <v>30970</v>
      </c>
      <c r="M9952" t="s">
        <v>30971</v>
      </c>
      <c r="N9952" t="s">
        <v>278</v>
      </c>
      <c r="O9952" t="s">
        <v>28</v>
      </c>
      <c r="P9952" t="s">
        <v>782</v>
      </c>
      <c r="Q9952">
        <v>-35</v>
      </c>
      <c r="R9952">
        <v>99.999999000000003</v>
      </c>
    </row>
    <row r="9953" spans="1:18" x14ac:dyDescent="0.2">
      <c r="A9953" t="s">
        <v>2233</v>
      </c>
      <c r="B9953" t="s">
        <v>2500</v>
      </c>
      <c r="C9953">
        <v>61</v>
      </c>
      <c r="D9953" s="1">
        <v>44328.226550925923</v>
      </c>
      <c r="E9953" t="s">
        <v>30972</v>
      </c>
      <c r="F9953" t="s">
        <v>2236</v>
      </c>
      <c r="G9953" t="s">
        <v>30973</v>
      </c>
      <c r="H9953" t="s">
        <v>2237</v>
      </c>
      <c r="I9953" t="s">
        <v>782</v>
      </c>
      <c r="J9953">
        <v>61</v>
      </c>
      <c r="K9953">
        <f>61-1800-948-126</f>
        <v>-2813</v>
      </c>
      <c r="L9953" t="s">
        <v>30974</v>
      </c>
      <c r="M9953" t="s">
        <v>30975</v>
      </c>
      <c r="N9953" t="s">
        <v>5354</v>
      </c>
      <c r="O9953" t="s">
        <v>28</v>
      </c>
      <c r="P9953" t="s">
        <v>2500</v>
      </c>
      <c r="Q9953">
        <v>1</v>
      </c>
      <c r="R9953">
        <v>99.999999000000003</v>
      </c>
    </row>
    <row r="9954" spans="1:18" x14ac:dyDescent="0.2">
      <c r="A9954" t="s">
        <v>663</v>
      </c>
      <c r="B9954" t="s">
        <v>5784</v>
      </c>
      <c r="C9954">
        <v>1</v>
      </c>
      <c r="D9954" s="1">
        <v>44323.928796296299</v>
      </c>
      <c r="E9954" t="s">
        <v>30976</v>
      </c>
      <c r="F9954" t="s">
        <v>23451</v>
      </c>
      <c r="G9954" t="s">
        <v>30977</v>
      </c>
      <c r="H9954" t="s">
        <v>667</v>
      </c>
      <c r="I9954" t="s">
        <v>29</v>
      </c>
      <c r="J9954">
        <v>1</v>
      </c>
      <c r="K9954">
        <f>1-888-614-9037</f>
        <v>-10538</v>
      </c>
      <c r="L9954" t="s">
        <v>30978</v>
      </c>
      <c r="M9954" t="s">
        <v>30979</v>
      </c>
      <c r="N9954" t="s">
        <v>25263</v>
      </c>
      <c r="O9954" t="s">
        <v>28</v>
      </c>
      <c r="P9954" t="s">
        <v>5789</v>
      </c>
      <c r="Q9954">
        <v>13</v>
      </c>
      <c r="R9954">
        <v>77.585499999999996</v>
      </c>
    </row>
    <row r="9955" spans="1:18" x14ac:dyDescent="0.2">
      <c r="A9955" t="s">
        <v>2233</v>
      </c>
      <c r="B9955" t="s">
        <v>1638</v>
      </c>
      <c r="C9955">
        <v>1</v>
      </c>
      <c r="D9955" s="1">
        <v>44323.997349537036</v>
      </c>
      <c r="E9955" t="s">
        <v>30980</v>
      </c>
      <c r="F9955" t="s">
        <v>2236</v>
      </c>
      <c r="G9955" t="s">
        <v>30981</v>
      </c>
      <c r="H9955" t="s">
        <v>2237</v>
      </c>
      <c r="I9955" t="s">
        <v>29</v>
      </c>
      <c r="J9955">
        <v>1</v>
      </c>
      <c r="K9955">
        <f>1-888-541-9118</f>
        <v>-10546</v>
      </c>
      <c r="L9955" t="s">
        <v>30982</v>
      </c>
      <c r="M9955" t="s">
        <v>30983</v>
      </c>
      <c r="N9955" t="s">
        <v>278</v>
      </c>
      <c r="O9955" t="s">
        <v>28</v>
      </c>
      <c r="P9955" t="s">
        <v>292</v>
      </c>
      <c r="Q9955">
        <v>49</v>
      </c>
      <c r="R9955">
        <v>2.35222</v>
      </c>
    </row>
    <row r="9956" spans="1:18" x14ac:dyDescent="0.2">
      <c r="A9956" t="s">
        <v>663</v>
      </c>
      <c r="B9956" t="s">
        <v>2500</v>
      </c>
      <c r="C9956">
        <v>81</v>
      </c>
      <c r="D9956" s="1">
        <v>44324.036770833336</v>
      </c>
      <c r="E9956" t="s">
        <v>30984</v>
      </c>
      <c r="F9956" t="s">
        <v>666</v>
      </c>
      <c r="G9956" t="s">
        <v>30985</v>
      </c>
      <c r="H9956" t="s">
        <v>667</v>
      </c>
      <c r="I9956" t="s">
        <v>53</v>
      </c>
      <c r="J9956">
        <v>81</v>
      </c>
      <c r="K9956">
        <f>81-50-5806-2035</f>
        <v>-7810</v>
      </c>
      <c r="L9956" t="s">
        <v>30986</v>
      </c>
      <c r="M9956" t="s">
        <v>30987</v>
      </c>
      <c r="N9956" t="s">
        <v>5354</v>
      </c>
      <c r="O9956" t="s">
        <v>134</v>
      </c>
      <c r="P9956" t="s">
        <v>2500</v>
      </c>
      <c r="Q9956">
        <v>1</v>
      </c>
      <c r="R9956">
        <v>99.999999000000003</v>
      </c>
    </row>
    <row r="9957" spans="1:18" x14ac:dyDescent="0.2">
      <c r="A9957" t="s">
        <v>663</v>
      </c>
      <c r="B9957" t="s">
        <v>2500</v>
      </c>
      <c r="C9957">
        <v>61</v>
      </c>
      <c r="D9957" s="1">
        <v>44324.340949074074</v>
      </c>
      <c r="E9957" t="s">
        <v>30988</v>
      </c>
      <c r="F9957" t="s">
        <v>23451</v>
      </c>
      <c r="G9957" t="s">
        <v>30988</v>
      </c>
      <c r="H9957" t="s">
        <v>667</v>
      </c>
      <c r="I9957" t="s">
        <v>782</v>
      </c>
      <c r="J9957">
        <v>61</v>
      </c>
      <c r="K9957">
        <f>61-1800-943-728</f>
        <v>-3410</v>
      </c>
      <c r="L9957" t="s">
        <v>30989</v>
      </c>
      <c r="M9957" t="s">
        <v>30990</v>
      </c>
      <c r="N9957">
        <v>227</v>
      </c>
      <c r="O9957" t="s">
        <v>134</v>
      </c>
      <c r="P9957" t="s">
        <v>2500</v>
      </c>
      <c r="Q9957">
        <v>1</v>
      </c>
      <c r="R9957">
        <v>99.999999000000003</v>
      </c>
    </row>
    <row r="9958" spans="1:18" x14ac:dyDescent="0.2">
      <c r="A9958" t="s">
        <v>439</v>
      </c>
      <c r="B9958" t="s">
        <v>4321</v>
      </c>
      <c r="C9958">
        <v>1</v>
      </c>
      <c r="D9958" s="1">
        <v>44328.005208333336</v>
      </c>
      <c r="E9958" t="s">
        <v>30991</v>
      </c>
      <c r="F9958" t="s">
        <v>442</v>
      </c>
      <c r="G9958" t="s">
        <v>30992</v>
      </c>
      <c r="H9958" t="s">
        <v>444</v>
      </c>
      <c r="I9958" t="s">
        <v>29</v>
      </c>
      <c r="J9958">
        <v>1</v>
      </c>
      <c r="K9958">
        <f>1-844-855-686</f>
        <v>-2384</v>
      </c>
      <c r="L9958" t="s">
        <v>30993</v>
      </c>
      <c r="M9958" t="s">
        <v>30994</v>
      </c>
      <c r="N9958" t="s">
        <v>447</v>
      </c>
      <c r="O9958" t="s">
        <v>28</v>
      </c>
      <c r="P9958" t="s">
        <v>29</v>
      </c>
      <c r="Q9958">
        <v>42</v>
      </c>
      <c r="R9958">
        <v>-87.629800000000003</v>
      </c>
    </row>
    <row r="9959" spans="1:18" x14ac:dyDescent="0.2">
      <c r="A9959" t="s">
        <v>439</v>
      </c>
      <c r="B9959" t="s">
        <v>4321</v>
      </c>
      <c r="C9959">
        <v>1</v>
      </c>
      <c r="D9959" s="1">
        <v>44328.002708333333</v>
      </c>
      <c r="E9959" t="s">
        <v>30991</v>
      </c>
      <c r="F9959" t="s">
        <v>442</v>
      </c>
      <c r="G9959" t="s">
        <v>30992</v>
      </c>
      <c r="H9959" t="s">
        <v>444</v>
      </c>
      <c r="I9959" t="s">
        <v>29</v>
      </c>
      <c r="J9959">
        <v>1</v>
      </c>
      <c r="K9959">
        <f>1-844-304-6098</f>
        <v>-7245</v>
      </c>
      <c r="L9959" t="s">
        <v>30995</v>
      </c>
      <c r="M9959" t="s">
        <v>30996</v>
      </c>
      <c r="N9959" t="s">
        <v>447</v>
      </c>
      <c r="O9959" t="s">
        <v>28</v>
      </c>
      <c r="P9959" t="s">
        <v>29</v>
      </c>
      <c r="Q9959">
        <v>42</v>
      </c>
      <c r="R9959">
        <v>-87.629800000000003</v>
      </c>
    </row>
    <row r="9960" spans="1:18" x14ac:dyDescent="0.2">
      <c r="A9960" t="s">
        <v>675</v>
      </c>
      <c r="B9960" t="s">
        <v>1412</v>
      </c>
      <c r="C9960">
        <v>1</v>
      </c>
      <c r="D9960" s="1">
        <v>44325.068483796298</v>
      </c>
      <c r="E9960" t="s">
        <v>30997</v>
      </c>
      <c r="F9960" t="s">
        <v>678</v>
      </c>
      <c r="G9960" t="s">
        <v>30998</v>
      </c>
      <c r="H9960" t="s">
        <v>680</v>
      </c>
      <c r="I9960" t="s">
        <v>29</v>
      </c>
      <c r="J9960">
        <v>1</v>
      </c>
      <c r="K9960">
        <f>1-888-208-204</f>
        <v>-1299</v>
      </c>
      <c r="L9960" t="s">
        <v>30999</v>
      </c>
      <c r="M9960" t="s">
        <v>31000</v>
      </c>
      <c r="N9960" t="s">
        <v>1208</v>
      </c>
      <c r="O9960" t="s">
        <v>28</v>
      </c>
      <c r="P9960" t="s">
        <v>29</v>
      </c>
      <c r="Q9960">
        <v>41</v>
      </c>
      <c r="R9960">
        <v>-74.172399999999996</v>
      </c>
    </row>
    <row r="9961" spans="1:18" x14ac:dyDescent="0.2">
      <c r="A9961" t="s">
        <v>2233</v>
      </c>
      <c r="B9961" t="s">
        <v>4281</v>
      </c>
      <c r="C9961">
        <v>49</v>
      </c>
      <c r="D9961" s="1">
        <v>44328.412152777775</v>
      </c>
      <c r="E9961" t="s">
        <v>31001</v>
      </c>
      <c r="F9961" t="s">
        <v>7023</v>
      </c>
      <c r="G9961" t="s">
        <v>31001</v>
      </c>
      <c r="H9961" t="s">
        <v>2237</v>
      </c>
      <c r="I9961" t="s">
        <v>24</v>
      </c>
      <c r="J9961">
        <v>49</v>
      </c>
      <c r="K9961">
        <f>49-332-3415-4971</f>
        <v>-8669</v>
      </c>
      <c r="L9961" t="s">
        <v>31002</v>
      </c>
      <c r="M9961" t="s">
        <v>31003</v>
      </c>
      <c r="N9961">
        <v>135</v>
      </c>
      <c r="O9961" t="s">
        <v>134</v>
      </c>
      <c r="P9961" t="s">
        <v>24</v>
      </c>
      <c r="Q9961">
        <v>50</v>
      </c>
      <c r="R9961">
        <v>8.6821300000000008</v>
      </c>
    </row>
    <row r="9962" spans="1:18" x14ac:dyDescent="0.2">
      <c r="A9962" t="s">
        <v>439</v>
      </c>
      <c r="B9962" t="s">
        <v>4321</v>
      </c>
      <c r="C9962">
        <v>1</v>
      </c>
      <c r="D9962" s="1">
        <v>44345.824837962966</v>
      </c>
      <c r="E9962" t="s">
        <v>31004</v>
      </c>
      <c r="F9962" t="s">
        <v>442</v>
      </c>
      <c r="G9962" t="s">
        <v>31005</v>
      </c>
      <c r="H9962" t="s">
        <v>444</v>
      </c>
      <c r="I9962" t="s">
        <v>29</v>
      </c>
      <c r="J9962">
        <v>1</v>
      </c>
      <c r="K9962">
        <f>1-844-924-1854</f>
        <v>-3621</v>
      </c>
      <c r="L9962" t="s">
        <v>31006</v>
      </c>
      <c r="M9962" t="s">
        <v>31007</v>
      </c>
      <c r="N9962" t="s">
        <v>2475</v>
      </c>
      <c r="O9962" t="s">
        <v>28</v>
      </c>
      <c r="P9962" t="s">
        <v>29</v>
      </c>
      <c r="Q9962">
        <v>42</v>
      </c>
      <c r="R9962">
        <v>-87.629800000000003</v>
      </c>
    </row>
    <row r="9963" spans="1:18" x14ac:dyDescent="0.2">
      <c r="A9963" t="s">
        <v>439</v>
      </c>
      <c r="B9963" t="s">
        <v>4321</v>
      </c>
      <c r="C9963">
        <v>1</v>
      </c>
      <c r="D9963" s="1">
        <v>44328.940462962964</v>
      </c>
      <c r="E9963" t="s">
        <v>31008</v>
      </c>
      <c r="F9963" t="s">
        <v>442</v>
      </c>
      <c r="G9963" t="s">
        <v>31005</v>
      </c>
      <c r="H9963" t="s">
        <v>444</v>
      </c>
      <c r="I9963" t="s">
        <v>29</v>
      </c>
      <c r="J9963">
        <v>1</v>
      </c>
      <c r="K9963">
        <f>1-844-984-4909</f>
        <v>-6736</v>
      </c>
      <c r="L9963" t="s">
        <v>31009</v>
      </c>
      <c r="M9963" t="s">
        <v>31010</v>
      </c>
      <c r="N9963" t="s">
        <v>447</v>
      </c>
      <c r="O9963" t="s">
        <v>28</v>
      </c>
      <c r="P9963" t="s">
        <v>29</v>
      </c>
      <c r="Q9963">
        <v>42</v>
      </c>
      <c r="R9963">
        <v>-87.629800000000003</v>
      </c>
    </row>
    <row r="9964" spans="1:18" x14ac:dyDescent="0.2">
      <c r="A9964" t="s">
        <v>439</v>
      </c>
      <c r="B9964" t="s">
        <v>4321</v>
      </c>
      <c r="C9964">
        <v>1</v>
      </c>
      <c r="D9964" s="1">
        <v>44329.040983796294</v>
      </c>
      <c r="E9964" t="s">
        <v>31011</v>
      </c>
      <c r="F9964" t="s">
        <v>442</v>
      </c>
      <c r="G9964" t="s">
        <v>31012</v>
      </c>
      <c r="H9964" t="s">
        <v>444</v>
      </c>
      <c r="I9964" t="s">
        <v>29</v>
      </c>
      <c r="J9964">
        <v>1</v>
      </c>
      <c r="K9964">
        <f>1-801-895-3323</f>
        <v>-5018</v>
      </c>
      <c r="L9964" t="s">
        <v>31013</v>
      </c>
      <c r="M9964" t="s">
        <v>31014</v>
      </c>
      <c r="N9964" t="s">
        <v>30194</v>
      </c>
      <c r="O9964" t="s">
        <v>28</v>
      </c>
      <c r="P9964" t="s">
        <v>29</v>
      </c>
      <c r="Q9964">
        <v>42</v>
      </c>
      <c r="R9964">
        <v>-87.629800000000003</v>
      </c>
    </row>
    <row r="9965" spans="1:18" x14ac:dyDescent="0.2">
      <c r="A9965" t="s">
        <v>2233</v>
      </c>
      <c r="B9965" t="s">
        <v>1638</v>
      </c>
      <c r="C9965">
        <v>1</v>
      </c>
      <c r="D9965" s="1">
        <v>44329.04111111111</v>
      </c>
      <c r="E9965" t="s">
        <v>31015</v>
      </c>
      <c r="F9965" t="s">
        <v>2236</v>
      </c>
      <c r="G9965" t="s">
        <v>31016</v>
      </c>
      <c r="H9965" t="s">
        <v>2237</v>
      </c>
      <c r="I9965" t="s">
        <v>29</v>
      </c>
      <c r="J9965">
        <v>1</v>
      </c>
      <c r="K9965">
        <f>1-888-775-603</f>
        <v>-2265</v>
      </c>
      <c r="L9965" t="s">
        <v>31017</v>
      </c>
      <c r="M9965" t="s">
        <v>31018</v>
      </c>
      <c r="N9965" t="s">
        <v>278</v>
      </c>
      <c r="O9965" t="s">
        <v>28</v>
      </c>
      <c r="P9965" t="s">
        <v>292</v>
      </c>
      <c r="Q9965">
        <v>49</v>
      </c>
      <c r="R9965">
        <v>2.35222</v>
      </c>
    </row>
    <row r="9966" spans="1:18" x14ac:dyDescent="0.2">
      <c r="A9966" t="s">
        <v>2233</v>
      </c>
      <c r="B9966" t="s">
        <v>2500</v>
      </c>
      <c r="C9966">
        <v>61</v>
      </c>
      <c r="D9966" s="1">
        <v>44329.055590277778</v>
      </c>
      <c r="E9966" t="s">
        <v>31019</v>
      </c>
      <c r="F9966" t="s">
        <v>2236</v>
      </c>
      <c r="G9966" t="s">
        <v>31020</v>
      </c>
      <c r="H9966" t="s">
        <v>2237</v>
      </c>
      <c r="I9966" t="s">
        <v>782</v>
      </c>
      <c r="J9966">
        <v>61</v>
      </c>
      <c r="K9966">
        <f>61-1800-948-126</f>
        <v>-2813</v>
      </c>
      <c r="L9966" t="s">
        <v>31021</v>
      </c>
      <c r="M9966" t="s">
        <v>31022</v>
      </c>
      <c r="N9966" t="s">
        <v>5354</v>
      </c>
      <c r="O9966" t="s">
        <v>28</v>
      </c>
      <c r="P9966" t="s">
        <v>2500</v>
      </c>
      <c r="Q9966">
        <v>1</v>
      </c>
      <c r="R9966">
        <v>99.999999000000003</v>
      </c>
    </row>
    <row r="9967" spans="1:18" x14ac:dyDescent="0.2">
      <c r="A9967" t="s">
        <v>2233</v>
      </c>
      <c r="B9967" t="s">
        <v>2500</v>
      </c>
      <c r="C9967">
        <v>61</v>
      </c>
      <c r="D9967" s="1">
        <v>44329.084976851853</v>
      </c>
      <c r="E9967" t="s">
        <v>31023</v>
      </c>
      <c r="F9967" t="s">
        <v>2236</v>
      </c>
      <c r="G9967" t="s">
        <v>31024</v>
      </c>
      <c r="H9967" t="s">
        <v>2237</v>
      </c>
      <c r="I9967" t="s">
        <v>782</v>
      </c>
      <c r="J9967">
        <v>61</v>
      </c>
      <c r="K9967">
        <f>61-1800-749-170</f>
        <v>-2658</v>
      </c>
      <c r="L9967" t="s">
        <v>31025</v>
      </c>
      <c r="M9967" t="s">
        <v>31026</v>
      </c>
      <c r="N9967" t="s">
        <v>5354</v>
      </c>
      <c r="O9967" t="s">
        <v>28</v>
      </c>
      <c r="P9967" t="s">
        <v>2500</v>
      </c>
      <c r="Q9967">
        <v>1</v>
      </c>
      <c r="R9967">
        <v>99.999999000000003</v>
      </c>
    </row>
    <row r="9968" spans="1:18" x14ac:dyDescent="0.2">
      <c r="A9968" t="s">
        <v>2233</v>
      </c>
      <c r="B9968" t="s">
        <v>1638</v>
      </c>
      <c r="C9968">
        <v>1</v>
      </c>
      <c r="D9968" s="1">
        <v>44329.771597222221</v>
      </c>
      <c r="E9968" t="s">
        <v>31027</v>
      </c>
      <c r="F9968" t="s">
        <v>7023</v>
      </c>
      <c r="G9968" t="s">
        <v>31028</v>
      </c>
      <c r="H9968" t="s">
        <v>2237</v>
      </c>
      <c r="I9968" t="s">
        <v>29</v>
      </c>
      <c r="J9968">
        <v>1</v>
      </c>
      <c r="K9968">
        <f>1-888-781-6145</f>
        <v>-7813</v>
      </c>
      <c r="L9968" t="s">
        <v>31029</v>
      </c>
      <c r="M9968" t="s">
        <v>31030</v>
      </c>
      <c r="N9968" t="s">
        <v>278</v>
      </c>
      <c r="O9968" t="s">
        <v>28</v>
      </c>
      <c r="P9968" t="s">
        <v>292</v>
      </c>
      <c r="Q9968">
        <v>49</v>
      </c>
      <c r="R9968">
        <v>2.35222</v>
      </c>
    </row>
    <row r="9969" spans="1:18" x14ac:dyDescent="0.2">
      <c r="A9969" t="s">
        <v>2233</v>
      </c>
      <c r="B9969" t="s">
        <v>2263</v>
      </c>
      <c r="C9969">
        <v>1</v>
      </c>
      <c r="D9969" s="1">
        <v>44329.820810185185</v>
      </c>
      <c r="E9969" t="s">
        <v>31031</v>
      </c>
      <c r="F9969" t="s">
        <v>2236</v>
      </c>
      <c r="G9969" t="s">
        <v>31032</v>
      </c>
      <c r="H9969" t="s">
        <v>2237</v>
      </c>
      <c r="I9969" t="s">
        <v>29</v>
      </c>
      <c r="J9969">
        <v>1</v>
      </c>
      <c r="K9969">
        <f>1-808-800-5641</f>
        <v>-7248</v>
      </c>
      <c r="L9969" t="s">
        <v>31033</v>
      </c>
      <c r="M9969" t="s">
        <v>31034</v>
      </c>
      <c r="N9969" t="s">
        <v>5354</v>
      </c>
      <c r="O9969" t="s">
        <v>28</v>
      </c>
      <c r="P9969" t="s">
        <v>2268</v>
      </c>
      <c r="Q9969">
        <v>44</v>
      </c>
      <c r="R9969">
        <v>-79.383200000000002</v>
      </c>
    </row>
    <row r="9970" spans="1:18" x14ac:dyDescent="0.2">
      <c r="A9970" t="s">
        <v>439</v>
      </c>
      <c r="B9970" t="s">
        <v>4321</v>
      </c>
      <c r="C9970">
        <v>1</v>
      </c>
      <c r="D9970" s="1">
        <v>44329.82744212963</v>
      </c>
      <c r="E9970" t="s">
        <v>31035</v>
      </c>
      <c r="F9970" t="s">
        <v>442</v>
      </c>
      <c r="G9970" t="s">
        <v>31036</v>
      </c>
      <c r="H9970" t="s">
        <v>444</v>
      </c>
      <c r="I9970" t="s">
        <v>29</v>
      </c>
      <c r="J9970">
        <v>1</v>
      </c>
      <c r="K9970">
        <f>1-844-535-256</f>
        <v>-1634</v>
      </c>
      <c r="L9970" t="s">
        <v>31037</v>
      </c>
      <c r="M9970" t="s">
        <v>31038</v>
      </c>
      <c r="N9970" t="s">
        <v>213</v>
      </c>
      <c r="O9970" t="s">
        <v>28</v>
      </c>
      <c r="P9970" t="s">
        <v>29</v>
      </c>
      <c r="Q9970">
        <v>42</v>
      </c>
      <c r="R9970">
        <v>-87.629800000000003</v>
      </c>
    </row>
    <row r="9971" spans="1:18" x14ac:dyDescent="0.2">
      <c r="A9971" t="s">
        <v>270</v>
      </c>
      <c r="B9971" t="s">
        <v>1212</v>
      </c>
      <c r="C9971">
        <v>1</v>
      </c>
      <c r="D9971" s="1">
        <v>44329.850381944445</v>
      </c>
      <c r="E9971" t="s">
        <v>31039</v>
      </c>
      <c r="F9971" t="s">
        <v>273</v>
      </c>
      <c r="G9971" t="s">
        <v>31040</v>
      </c>
      <c r="H9971" t="s">
        <v>275</v>
      </c>
      <c r="I9971" t="s">
        <v>29</v>
      </c>
      <c r="J9971">
        <v>1</v>
      </c>
      <c r="K9971">
        <f>1-866-319-7544</f>
        <v>-8728</v>
      </c>
      <c r="L9971" t="s">
        <v>31041</v>
      </c>
      <c r="M9971" t="s">
        <v>31042</v>
      </c>
      <c r="N9971" t="s">
        <v>278</v>
      </c>
      <c r="O9971" t="s">
        <v>28</v>
      </c>
      <c r="P9971" t="s">
        <v>618</v>
      </c>
      <c r="Q9971">
        <v>52</v>
      </c>
      <c r="R9971">
        <v>-7.9212000000000005E-2</v>
      </c>
    </row>
    <row r="9972" spans="1:18" x14ac:dyDescent="0.2">
      <c r="A9972" t="s">
        <v>439</v>
      </c>
      <c r="B9972" t="s">
        <v>4321</v>
      </c>
      <c r="C9972">
        <v>1</v>
      </c>
      <c r="D9972" s="1">
        <v>44329.85738425926</v>
      </c>
      <c r="E9972" t="s">
        <v>31043</v>
      </c>
      <c r="F9972" t="s">
        <v>442</v>
      </c>
      <c r="G9972" t="s">
        <v>31044</v>
      </c>
      <c r="H9972" t="s">
        <v>444</v>
      </c>
      <c r="I9972" t="s">
        <v>29</v>
      </c>
      <c r="J9972">
        <v>1</v>
      </c>
      <c r="K9972">
        <f>1-844-965-2209</f>
        <v>-4017</v>
      </c>
      <c r="L9972" t="s">
        <v>31045</v>
      </c>
      <c r="M9972" t="s">
        <v>31046</v>
      </c>
      <c r="N9972" t="s">
        <v>447</v>
      </c>
      <c r="O9972" t="s">
        <v>28</v>
      </c>
      <c r="P9972" t="s">
        <v>29</v>
      </c>
      <c r="Q9972">
        <v>42</v>
      </c>
      <c r="R9972">
        <v>-87.629800000000003</v>
      </c>
    </row>
    <row r="9973" spans="1:18" x14ac:dyDescent="0.2">
      <c r="A9973" t="s">
        <v>2233</v>
      </c>
      <c r="B9973" t="s">
        <v>1638</v>
      </c>
      <c r="C9973">
        <v>1</v>
      </c>
      <c r="D9973" s="1">
        <v>44329.869629629633</v>
      </c>
      <c r="E9973" t="s">
        <v>31047</v>
      </c>
      <c r="F9973" t="s">
        <v>7023</v>
      </c>
      <c r="G9973" t="s">
        <v>31048</v>
      </c>
      <c r="H9973" t="s">
        <v>2237</v>
      </c>
      <c r="I9973" t="s">
        <v>29</v>
      </c>
      <c r="J9973">
        <v>1</v>
      </c>
      <c r="K9973">
        <f>1-888-772-1453</f>
        <v>-3112</v>
      </c>
      <c r="L9973" t="s">
        <v>31049</v>
      </c>
      <c r="M9973" t="s">
        <v>31050</v>
      </c>
      <c r="N9973" t="s">
        <v>278</v>
      </c>
      <c r="O9973" t="s">
        <v>28</v>
      </c>
      <c r="P9973" t="s">
        <v>292</v>
      </c>
      <c r="Q9973">
        <v>49</v>
      </c>
      <c r="R9973">
        <v>2.35222</v>
      </c>
    </row>
    <row r="9974" spans="1:18" x14ac:dyDescent="0.2">
      <c r="A9974" t="s">
        <v>439</v>
      </c>
      <c r="B9974" t="s">
        <v>5337</v>
      </c>
      <c r="C9974">
        <v>1</v>
      </c>
      <c r="D9974" s="1">
        <v>44329.971238425926</v>
      </c>
      <c r="E9974" t="s">
        <v>31051</v>
      </c>
      <c r="F9974" t="s">
        <v>442</v>
      </c>
      <c r="G9974" t="s">
        <v>31052</v>
      </c>
      <c r="H9974" t="s">
        <v>444</v>
      </c>
      <c r="I9974" t="s">
        <v>29</v>
      </c>
      <c r="J9974">
        <v>1</v>
      </c>
      <c r="K9974">
        <f>1-844-857-5875</f>
        <v>-7575</v>
      </c>
      <c r="L9974" t="s">
        <v>31053</v>
      </c>
      <c r="M9974" t="s">
        <v>31054</v>
      </c>
      <c r="N9974" t="s">
        <v>447</v>
      </c>
      <c r="O9974" t="s">
        <v>28</v>
      </c>
      <c r="P9974" t="s">
        <v>29</v>
      </c>
      <c r="Q9974">
        <v>38</v>
      </c>
      <c r="R9974">
        <v>-99.999999000000003</v>
      </c>
    </row>
    <row r="9975" spans="1:18" x14ac:dyDescent="0.2">
      <c r="A9975" t="s">
        <v>2233</v>
      </c>
      <c r="B9975" t="s">
        <v>1638</v>
      </c>
      <c r="C9975">
        <v>1</v>
      </c>
      <c r="D9975" s="1">
        <v>44329.992974537039</v>
      </c>
      <c r="E9975" t="s">
        <v>31055</v>
      </c>
      <c r="F9975" t="s">
        <v>7023</v>
      </c>
      <c r="G9975" t="s">
        <v>31056</v>
      </c>
      <c r="H9975" t="s">
        <v>2237</v>
      </c>
      <c r="I9975" t="s">
        <v>29</v>
      </c>
      <c r="J9975">
        <v>1</v>
      </c>
      <c r="K9975">
        <f>1-888-784-6606</f>
        <v>-8277</v>
      </c>
      <c r="L9975" t="s">
        <v>31057</v>
      </c>
      <c r="M9975" t="s">
        <v>31058</v>
      </c>
      <c r="N9975" t="s">
        <v>278</v>
      </c>
      <c r="O9975" t="s">
        <v>28</v>
      </c>
      <c r="P9975" t="s">
        <v>292</v>
      </c>
      <c r="Q9975">
        <v>49</v>
      </c>
      <c r="R9975">
        <v>2.35222</v>
      </c>
    </row>
    <row r="9976" spans="1:18" x14ac:dyDescent="0.2">
      <c r="A9976" t="s">
        <v>663</v>
      </c>
      <c r="B9976" t="s">
        <v>5784</v>
      </c>
      <c r="C9976">
        <v>1</v>
      </c>
      <c r="D9976" s="1">
        <v>44329.998773148145</v>
      </c>
      <c r="E9976" t="s">
        <v>31059</v>
      </c>
      <c r="F9976" t="s">
        <v>23451</v>
      </c>
      <c r="G9976" t="s">
        <v>31060</v>
      </c>
      <c r="H9976" t="s">
        <v>667</v>
      </c>
      <c r="I9976" t="s">
        <v>29</v>
      </c>
      <c r="J9976">
        <v>1</v>
      </c>
      <c r="K9976">
        <f>1-844-389-54</f>
        <v>-1286</v>
      </c>
      <c r="L9976" t="s">
        <v>31061</v>
      </c>
      <c r="M9976" t="s">
        <v>31062</v>
      </c>
      <c r="N9976" t="s">
        <v>25263</v>
      </c>
      <c r="O9976" t="s">
        <v>28</v>
      </c>
      <c r="P9976" t="s">
        <v>5789</v>
      </c>
      <c r="Q9976">
        <v>13</v>
      </c>
      <c r="R9976">
        <v>77.585499999999996</v>
      </c>
    </row>
    <row r="9977" spans="1:18" x14ac:dyDescent="0.2">
      <c r="A9977" t="s">
        <v>2233</v>
      </c>
      <c r="B9977" t="s">
        <v>1638</v>
      </c>
      <c r="C9977">
        <v>1</v>
      </c>
      <c r="D9977" s="1">
        <v>44330.000393518516</v>
      </c>
      <c r="E9977" t="s">
        <v>31063</v>
      </c>
      <c r="F9977" t="s">
        <v>2236</v>
      </c>
      <c r="G9977" t="s">
        <v>31064</v>
      </c>
      <c r="H9977" t="s">
        <v>2237</v>
      </c>
      <c r="I9977" t="s">
        <v>29</v>
      </c>
      <c r="J9977">
        <v>1</v>
      </c>
      <c r="K9977">
        <f>1-888-778-5316</f>
        <v>-6981</v>
      </c>
      <c r="L9977" t="s">
        <v>31065</v>
      </c>
      <c r="M9977" t="s">
        <v>31066</v>
      </c>
      <c r="N9977" t="s">
        <v>278</v>
      </c>
      <c r="O9977" t="s">
        <v>28</v>
      </c>
      <c r="P9977" t="s">
        <v>292</v>
      </c>
      <c r="Q9977">
        <v>49</v>
      </c>
      <c r="R9977">
        <v>2.35222</v>
      </c>
    </row>
    <row r="9978" spans="1:18" x14ac:dyDescent="0.2">
      <c r="A9978" t="s">
        <v>2233</v>
      </c>
      <c r="B9978" t="s">
        <v>17675</v>
      </c>
      <c r="C9978">
        <v>61</v>
      </c>
      <c r="D9978" s="1">
        <v>44330.056064814817</v>
      </c>
      <c r="E9978" t="s">
        <v>31067</v>
      </c>
      <c r="F9978" t="s">
        <v>2236</v>
      </c>
      <c r="G9978" t="s">
        <v>31068</v>
      </c>
      <c r="H9978" t="s">
        <v>2237</v>
      </c>
      <c r="I9978" t="s">
        <v>782</v>
      </c>
      <c r="J9978">
        <v>61</v>
      </c>
      <c r="K9978">
        <f>61-1800-948-126</f>
        <v>-2813</v>
      </c>
      <c r="L9978" t="s">
        <v>31069</v>
      </c>
      <c r="M9978" t="s">
        <v>31070</v>
      </c>
      <c r="N9978" t="s">
        <v>5354</v>
      </c>
      <c r="O9978" t="s">
        <v>28</v>
      </c>
      <c r="P9978" t="s">
        <v>53</v>
      </c>
      <c r="Q9978">
        <v>35</v>
      </c>
      <c r="R9978">
        <v>99.999999000000003</v>
      </c>
    </row>
    <row r="9979" spans="1:18" x14ac:dyDescent="0.2">
      <c r="A9979" t="s">
        <v>1200</v>
      </c>
      <c r="B9979" t="s">
        <v>2500</v>
      </c>
      <c r="C9979">
        <v>1</v>
      </c>
      <c r="D9979" s="1">
        <v>44330.639166666668</v>
      </c>
      <c r="E9979" t="s">
        <v>31071</v>
      </c>
      <c r="F9979" t="s">
        <v>1203</v>
      </c>
      <c r="G9979" t="s">
        <v>31072</v>
      </c>
      <c r="H9979" t="s">
        <v>1205</v>
      </c>
      <c r="I9979" t="s">
        <v>29</v>
      </c>
      <c r="J9979">
        <v>1</v>
      </c>
      <c r="K9979">
        <f>1-850-203-4352</f>
        <v>-5404</v>
      </c>
      <c r="L9979" s="2" t="s">
        <v>31073</v>
      </c>
      <c r="M9979" t="s">
        <v>31074</v>
      </c>
      <c r="N9979" t="s">
        <v>12375</v>
      </c>
      <c r="O9979" t="s">
        <v>134</v>
      </c>
      <c r="P9979" t="s">
        <v>2500</v>
      </c>
      <c r="Q9979">
        <v>1</v>
      </c>
      <c r="R9979">
        <v>99.999999000000003</v>
      </c>
    </row>
    <row r="9980" spans="1:18" x14ac:dyDescent="0.2">
      <c r="A9980" t="s">
        <v>663</v>
      </c>
      <c r="B9980" t="s">
        <v>454</v>
      </c>
      <c r="C9980">
        <v>1</v>
      </c>
      <c r="D9980" s="1">
        <v>44330.683206018519</v>
      </c>
      <c r="E9980" t="s">
        <v>31075</v>
      </c>
      <c r="F9980" t="s">
        <v>666</v>
      </c>
      <c r="G9980" t="s">
        <v>31075</v>
      </c>
      <c r="H9980" t="s">
        <v>667</v>
      </c>
      <c r="I9980" t="s">
        <v>29</v>
      </c>
      <c r="J9980">
        <v>1</v>
      </c>
      <c r="K9980">
        <f>1-866-367-1536</f>
        <v>-2768</v>
      </c>
      <c r="L9980" t="s">
        <v>31076</v>
      </c>
      <c r="M9980" t="s">
        <v>31077</v>
      </c>
      <c r="N9980">
        <v>123</v>
      </c>
      <c r="O9980" t="s">
        <v>134</v>
      </c>
      <c r="P9980" t="s">
        <v>461</v>
      </c>
      <c r="Q9980">
        <v>52</v>
      </c>
      <c r="R9980">
        <v>4.9391999999999996</v>
      </c>
    </row>
    <row r="9981" spans="1:18" x14ac:dyDescent="0.2">
      <c r="A9981" t="s">
        <v>439</v>
      </c>
      <c r="B9981" t="s">
        <v>5337</v>
      </c>
      <c r="C9981">
        <v>1</v>
      </c>
      <c r="D9981" s="1">
        <v>44330.750833333332</v>
      </c>
      <c r="E9981" t="s">
        <v>31078</v>
      </c>
      <c r="F9981" t="s">
        <v>442</v>
      </c>
      <c r="G9981" t="s">
        <v>31079</v>
      </c>
      <c r="H9981" t="s">
        <v>444</v>
      </c>
      <c r="I9981" t="s">
        <v>29</v>
      </c>
      <c r="J9981">
        <v>1</v>
      </c>
      <c r="K9981">
        <f>1-888-599-3320</f>
        <v>-4806</v>
      </c>
      <c r="L9981" t="s">
        <v>31080</v>
      </c>
      <c r="M9981" t="s">
        <v>31081</v>
      </c>
      <c r="N9981" t="s">
        <v>30194</v>
      </c>
      <c r="O9981" t="s">
        <v>28</v>
      </c>
      <c r="P9981" t="s">
        <v>29</v>
      </c>
      <c r="Q9981">
        <v>38</v>
      </c>
      <c r="R9981">
        <v>-99.999999000000003</v>
      </c>
    </row>
    <row r="9982" spans="1:18" x14ac:dyDescent="0.2">
      <c r="A9982" t="s">
        <v>439</v>
      </c>
      <c r="B9982" t="s">
        <v>5337</v>
      </c>
      <c r="C9982">
        <v>1</v>
      </c>
      <c r="D9982" s="1">
        <v>44330.713587962964</v>
      </c>
      <c r="E9982" t="s">
        <v>31082</v>
      </c>
      <c r="F9982" t="s">
        <v>442</v>
      </c>
      <c r="G9982" t="s">
        <v>31079</v>
      </c>
      <c r="H9982" t="s">
        <v>444</v>
      </c>
      <c r="I9982" t="s">
        <v>29</v>
      </c>
      <c r="J9982">
        <v>1</v>
      </c>
      <c r="K9982">
        <f>1-888-599-3320</f>
        <v>-4806</v>
      </c>
      <c r="L9982" s="2" t="s">
        <v>31083</v>
      </c>
      <c r="M9982" t="s">
        <v>31084</v>
      </c>
      <c r="N9982" t="s">
        <v>30194</v>
      </c>
      <c r="O9982" t="s">
        <v>28</v>
      </c>
      <c r="P9982" t="s">
        <v>29</v>
      </c>
      <c r="Q9982">
        <v>38</v>
      </c>
      <c r="R9982">
        <v>-99.999999000000003</v>
      </c>
    </row>
    <row r="9983" spans="1:18" x14ac:dyDescent="0.2">
      <c r="A9983" t="s">
        <v>439</v>
      </c>
      <c r="B9983" t="s">
        <v>5337</v>
      </c>
      <c r="C9983">
        <v>1</v>
      </c>
      <c r="D9983" s="1">
        <v>44330.802349537036</v>
      </c>
      <c r="E9983" t="s">
        <v>31085</v>
      </c>
      <c r="F9983" t="s">
        <v>442</v>
      </c>
      <c r="G9983" t="s">
        <v>31086</v>
      </c>
      <c r="H9983" t="s">
        <v>444</v>
      </c>
      <c r="I9983" t="s">
        <v>29</v>
      </c>
      <c r="J9983">
        <v>1</v>
      </c>
      <c r="K9983">
        <f>1-833-251-9983</f>
        <v>-11066</v>
      </c>
      <c r="L9983" t="s">
        <v>31087</v>
      </c>
      <c r="M9983" t="s">
        <v>31088</v>
      </c>
      <c r="N9983" t="s">
        <v>30194</v>
      </c>
      <c r="O9983" t="s">
        <v>28</v>
      </c>
      <c r="P9983" t="s">
        <v>29</v>
      </c>
      <c r="Q9983">
        <v>38</v>
      </c>
      <c r="R9983">
        <v>-99.999999000000003</v>
      </c>
    </row>
    <row r="9984" spans="1:18" x14ac:dyDescent="0.2">
      <c r="A9984" t="s">
        <v>439</v>
      </c>
      <c r="B9984" t="s">
        <v>5337</v>
      </c>
      <c r="C9984">
        <v>1</v>
      </c>
      <c r="D9984" s="1">
        <v>44330.7893287037</v>
      </c>
      <c r="E9984" t="s">
        <v>31089</v>
      </c>
      <c r="F9984" t="s">
        <v>442</v>
      </c>
      <c r="G9984" t="s">
        <v>31086</v>
      </c>
      <c r="H9984" t="s">
        <v>444</v>
      </c>
      <c r="I9984" t="s">
        <v>29</v>
      </c>
      <c r="J9984">
        <v>1</v>
      </c>
      <c r="K9984">
        <f>1-833-251-9983</f>
        <v>-11066</v>
      </c>
      <c r="L9984" t="s">
        <v>31090</v>
      </c>
      <c r="M9984" t="s">
        <v>31091</v>
      </c>
      <c r="N9984" t="s">
        <v>30194</v>
      </c>
      <c r="O9984" t="s">
        <v>28</v>
      </c>
      <c r="P9984" t="s">
        <v>29</v>
      </c>
      <c r="Q9984">
        <v>38</v>
      </c>
      <c r="R9984">
        <v>-99.999999000000003</v>
      </c>
    </row>
    <row r="9985" spans="1:18" x14ac:dyDescent="0.2">
      <c r="A9985" t="s">
        <v>439</v>
      </c>
      <c r="B9985" t="s">
        <v>5337</v>
      </c>
      <c r="C9985">
        <v>1</v>
      </c>
      <c r="D9985" s="1">
        <v>44330.776180555556</v>
      </c>
      <c r="E9985" t="s">
        <v>31092</v>
      </c>
      <c r="F9985" t="s">
        <v>442</v>
      </c>
      <c r="G9985" t="s">
        <v>31086</v>
      </c>
      <c r="H9985" t="s">
        <v>444</v>
      </c>
      <c r="I9985" t="s">
        <v>29</v>
      </c>
      <c r="J9985">
        <v>1</v>
      </c>
      <c r="K9985">
        <f>1-833-251-9983</f>
        <v>-11066</v>
      </c>
      <c r="L9985" t="s">
        <v>31093</v>
      </c>
      <c r="M9985" t="s">
        <v>31094</v>
      </c>
      <c r="N9985" t="s">
        <v>30194</v>
      </c>
      <c r="O9985" t="s">
        <v>28</v>
      </c>
      <c r="P9985" t="s">
        <v>29</v>
      </c>
      <c r="Q9985">
        <v>38</v>
      </c>
      <c r="R9985">
        <v>-99.999999000000003</v>
      </c>
    </row>
    <row r="9986" spans="1:18" x14ac:dyDescent="0.2">
      <c r="A9986" t="s">
        <v>2233</v>
      </c>
      <c r="B9986" t="s">
        <v>2263</v>
      </c>
      <c r="C9986">
        <v>1</v>
      </c>
      <c r="D9986" s="1">
        <v>44330.784247685187</v>
      </c>
      <c r="E9986" t="s">
        <v>31095</v>
      </c>
      <c r="F9986" t="s">
        <v>2236</v>
      </c>
      <c r="G9986" t="s">
        <v>31096</v>
      </c>
      <c r="H9986" t="s">
        <v>2237</v>
      </c>
      <c r="I9986" t="s">
        <v>29</v>
      </c>
      <c r="J9986">
        <v>1</v>
      </c>
      <c r="K9986">
        <f>1-808-800-5641</f>
        <v>-7248</v>
      </c>
      <c r="L9986" t="s">
        <v>31097</v>
      </c>
      <c r="M9986" t="s">
        <v>31098</v>
      </c>
      <c r="N9986" t="s">
        <v>5354</v>
      </c>
      <c r="O9986" t="s">
        <v>28</v>
      </c>
      <c r="P9986" t="s">
        <v>2268</v>
      </c>
      <c r="Q9986">
        <v>44</v>
      </c>
      <c r="R9986">
        <v>-79.383200000000002</v>
      </c>
    </row>
    <row r="9987" spans="1:18" x14ac:dyDescent="0.2">
      <c r="A9987" t="s">
        <v>439</v>
      </c>
      <c r="B9987" t="s">
        <v>4321</v>
      </c>
      <c r="C9987">
        <v>1</v>
      </c>
      <c r="D9987" s="1">
        <v>44330.803148148145</v>
      </c>
      <c r="E9987" t="s">
        <v>31099</v>
      </c>
      <c r="F9987" t="s">
        <v>442</v>
      </c>
      <c r="G9987" t="s">
        <v>31100</v>
      </c>
      <c r="H9987" t="s">
        <v>444</v>
      </c>
      <c r="I9987" t="s">
        <v>29</v>
      </c>
      <c r="J9987">
        <v>1</v>
      </c>
      <c r="K9987">
        <f>1-866-891-744</f>
        <v>-2500</v>
      </c>
      <c r="L9987" t="s">
        <v>31101</v>
      </c>
      <c r="M9987" t="s">
        <v>31102</v>
      </c>
      <c r="N9987" t="s">
        <v>213</v>
      </c>
      <c r="O9987" t="s">
        <v>28</v>
      </c>
      <c r="P9987" t="s">
        <v>29</v>
      </c>
      <c r="Q9987">
        <v>42</v>
      </c>
      <c r="R9987">
        <v>-87.629800000000003</v>
      </c>
    </row>
    <row r="9988" spans="1:18" x14ac:dyDescent="0.2">
      <c r="A9988" t="s">
        <v>2233</v>
      </c>
      <c r="B9988" t="s">
        <v>1638</v>
      </c>
      <c r="C9988">
        <v>1</v>
      </c>
      <c r="D9988" s="1">
        <v>44330.837719907409</v>
      </c>
      <c r="E9988" t="s">
        <v>31103</v>
      </c>
      <c r="F9988" t="s">
        <v>7023</v>
      </c>
      <c r="G9988" t="s">
        <v>31104</v>
      </c>
      <c r="H9988" t="s">
        <v>2237</v>
      </c>
      <c r="I9988" t="s">
        <v>29</v>
      </c>
      <c r="J9988">
        <v>1</v>
      </c>
      <c r="K9988">
        <f>1-888-780-5114</f>
        <v>-6781</v>
      </c>
      <c r="L9988" t="s">
        <v>31105</v>
      </c>
      <c r="M9988" t="s">
        <v>31106</v>
      </c>
      <c r="N9988" t="s">
        <v>278</v>
      </c>
      <c r="O9988" t="s">
        <v>28</v>
      </c>
      <c r="P9988" t="s">
        <v>292</v>
      </c>
      <c r="Q9988">
        <v>49</v>
      </c>
      <c r="R9988">
        <v>2.35222</v>
      </c>
    </row>
    <row r="9989" spans="1:18" x14ac:dyDescent="0.2">
      <c r="A9989" t="s">
        <v>2233</v>
      </c>
      <c r="B9989" t="s">
        <v>1638</v>
      </c>
      <c r="C9989">
        <v>1</v>
      </c>
      <c r="D9989" s="1">
        <v>44330.853321759256</v>
      </c>
      <c r="E9989" t="s">
        <v>31107</v>
      </c>
      <c r="F9989" t="s">
        <v>2236</v>
      </c>
      <c r="G9989" t="s">
        <v>31108</v>
      </c>
      <c r="H9989" t="s">
        <v>2237</v>
      </c>
      <c r="I9989" t="s">
        <v>29</v>
      </c>
      <c r="J9989">
        <v>1</v>
      </c>
      <c r="K9989">
        <f>1-888-781-4426</f>
        <v>-6094</v>
      </c>
      <c r="L9989" t="s">
        <v>31109</v>
      </c>
      <c r="M9989" t="s">
        <v>31110</v>
      </c>
      <c r="N9989" t="s">
        <v>278</v>
      </c>
      <c r="O9989" t="s">
        <v>28</v>
      </c>
      <c r="P9989" t="s">
        <v>292</v>
      </c>
      <c r="Q9989">
        <v>49</v>
      </c>
      <c r="R9989">
        <v>2.35222</v>
      </c>
    </row>
    <row r="9990" spans="1:18" x14ac:dyDescent="0.2">
      <c r="A9990" t="s">
        <v>439</v>
      </c>
      <c r="B9990" t="s">
        <v>4321</v>
      </c>
      <c r="C9990">
        <v>1</v>
      </c>
      <c r="D9990" s="1">
        <v>44330.868807870371</v>
      </c>
      <c r="E9990" t="s">
        <v>31111</v>
      </c>
      <c r="F9990" t="s">
        <v>442</v>
      </c>
      <c r="G9990" t="s">
        <v>31112</v>
      </c>
      <c r="H9990" t="s">
        <v>444</v>
      </c>
      <c r="I9990" t="s">
        <v>29</v>
      </c>
      <c r="J9990">
        <v>1</v>
      </c>
      <c r="K9990">
        <f>1-855-715-2120</f>
        <v>-3689</v>
      </c>
      <c r="L9990" t="s">
        <v>31113</v>
      </c>
      <c r="M9990" t="s">
        <v>31114</v>
      </c>
      <c r="N9990" t="s">
        <v>447</v>
      </c>
      <c r="O9990" t="s">
        <v>28</v>
      </c>
      <c r="P9990" t="s">
        <v>29</v>
      </c>
      <c r="Q9990">
        <v>42</v>
      </c>
      <c r="R9990">
        <v>-87.629800000000003</v>
      </c>
    </row>
    <row r="9991" spans="1:18" x14ac:dyDescent="0.2">
      <c r="A9991" t="s">
        <v>439</v>
      </c>
      <c r="B9991" t="s">
        <v>5337</v>
      </c>
      <c r="C9991">
        <v>1</v>
      </c>
      <c r="D9991" s="1">
        <v>44330.908506944441</v>
      </c>
      <c r="E9991" t="s">
        <v>31115</v>
      </c>
      <c r="F9991" t="s">
        <v>442</v>
      </c>
      <c r="G9991" t="s">
        <v>31116</v>
      </c>
      <c r="H9991" t="s">
        <v>444</v>
      </c>
      <c r="I9991" t="s">
        <v>29</v>
      </c>
      <c r="J9991">
        <v>1</v>
      </c>
      <c r="K9991">
        <f>1-833-305-2301</f>
        <v>-3438</v>
      </c>
      <c r="L9991" t="s">
        <v>31117</v>
      </c>
      <c r="M9991" t="s">
        <v>31118</v>
      </c>
      <c r="N9991" t="s">
        <v>213</v>
      </c>
      <c r="O9991" t="s">
        <v>28</v>
      </c>
      <c r="P9991" t="s">
        <v>29</v>
      </c>
      <c r="Q9991">
        <v>38</v>
      </c>
      <c r="R9991">
        <v>-99.999999000000003</v>
      </c>
    </row>
    <row r="9992" spans="1:18" x14ac:dyDescent="0.2">
      <c r="A9992" t="s">
        <v>663</v>
      </c>
      <c r="B9992" t="s">
        <v>664</v>
      </c>
      <c r="C9992">
        <v>1</v>
      </c>
      <c r="D9992" s="1">
        <v>44331.112905092596</v>
      </c>
      <c r="E9992" t="s">
        <v>31119</v>
      </c>
      <c r="F9992" t="s">
        <v>666</v>
      </c>
      <c r="G9992" t="s">
        <v>31120</v>
      </c>
      <c r="H9992" t="s">
        <v>667</v>
      </c>
      <c r="I9992" t="s">
        <v>29</v>
      </c>
      <c r="J9992">
        <v>1</v>
      </c>
      <c r="K9992">
        <f>1-833-251-9204</f>
        <v>-10287</v>
      </c>
      <c r="L9992" t="s">
        <v>31121</v>
      </c>
      <c r="M9992" t="s">
        <v>31122</v>
      </c>
      <c r="N9992" t="s">
        <v>3454</v>
      </c>
      <c r="O9992" t="s">
        <v>28</v>
      </c>
      <c r="P9992" t="s">
        <v>29</v>
      </c>
      <c r="Q9992">
        <v>37</v>
      </c>
      <c r="R9992">
        <v>-99.999999000000003</v>
      </c>
    </row>
    <row r="9993" spans="1:18" x14ac:dyDescent="0.2">
      <c r="A9993" t="s">
        <v>5349</v>
      </c>
      <c r="B9993" t="s">
        <v>440</v>
      </c>
      <c r="C9993">
        <v>1</v>
      </c>
      <c r="D9993" s="1">
        <v>44331.444050925929</v>
      </c>
      <c r="E9993" t="s">
        <v>31123</v>
      </c>
      <c r="F9993" t="s">
        <v>2236</v>
      </c>
      <c r="G9993" t="s">
        <v>31124</v>
      </c>
      <c r="H9993" t="s">
        <v>2237</v>
      </c>
      <c r="I9993" t="s">
        <v>29</v>
      </c>
      <c r="J9993">
        <v>1</v>
      </c>
      <c r="K9993">
        <f>1-855-948-3710</f>
        <v>-5512</v>
      </c>
      <c r="L9993" t="s">
        <v>31125</v>
      </c>
      <c r="M9993" t="s">
        <v>31126</v>
      </c>
      <c r="N9993" t="s">
        <v>25263</v>
      </c>
      <c r="O9993" t="s">
        <v>28</v>
      </c>
      <c r="P9993" t="s">
        <v>29</v>
      </c>
      <c r="Q9993">
        <v>39</v>
      </c>
      <c r="R9993">
        <v>-77.487399999999994</v>
      </c>
    </row>
    <row r="9994" spans="1:18" x14ac:dyDescent="0.2">
      <c r="A9994" t="s">
        <v>270</v>
      </c>
      <c r="B9994" t="s">
        <v>2263</v>
      </c>
      <c r="C9994">
        <v>1</v>
      </c>
      <c r="D9994" s="1">
        <v>44331.627974537034</v>
      </c>
      <c r="E9994" t="s">
        <v>31127</v>
      </c>
      <c r="F9994" t="s">
        <v>273</v>
      </c>
      <c r="G9994" t="s">
        <v>31128</v>
      </c>
      <c r="H9994" t="s">
        <v>275</v>
      </c>
      <c r="I9994" t="s">
        <v>29</v>
      </c>
      <c r="J9994">
        <v>1</v>
      </c>
      <c r="K9994">
        <f>1-833-376-9335</f>
        <v>-10543</v>
      </c>
      <c r="L9994" t="s">
        <v>31129</v>
      </c>
      <c r="M9994" t="s">
        <v>31130</v>
      </c>
      <c r="N9994" t="s">
        <v>278</v>
      </c>
      <c r="O9994" t="s">
        <v>28</v>
      </c>
      <c r="P9994" t="s">
        <v>2268</v>
      </c>
      <c r="Q9994">
        <v>44</v>
      </c>
      <c r="R9994">
        <v>-79.382999999999996</v>
      </c>
    </row>
    <row r="9995" spans="1:18" x14ac:dyDescent="0.2">
      <c r="A9995" t="s">
        <v>2233</v>
      </c>
      <c r="B9995" t="s">
        <v>1638</v>
      </c>
      <c r="C9995">
        <v>1</v>
      </c>
      <c r="D9995" s="1">
        <v>44331.854733796295</v>
      </c>
      <c r="E9995" t="s">
        <v>31131</v>
      </c>
      <c r="F9995" t="s">
        <v>7023</v>
      </c>
      <c r="G9995" t="s">
        <v>31132</v>
      </c>
      <c r="H9995" t="s">
        <v>2237</v>
      </c>
      <c r="I9995" t="s">
        <v>29</v>
      </c>
      <c r="J9995">
        <v>1</v>
      </c>
      <c r="K9995">
        <f>1-888-784-6842</f>
        <v>-8513</v>
      </c>
      <c r="L9995" t="s">
        <v>31133</v>
      </c>
      <c r="M9995" t="s">
        <v>31134</v>
      </c>
      <c r="N9995" t="s">
        <v>278</v>
      </c>
      <c r="O9995" t="s">
        <v>28</v>
      </c>
      <c r="P9995" t="s">
        <v>292</v>
      </c>
      <c r="Q9995">
        <v>49</v>
      </c>
      <c r="R9995">
        <v>2.35222</v>
      </c>
    </row>
    <row r="9996" spans="1:18" x14ac:dyDescent="0.2">
      <c r="A9996" t="s">
        <v>2233</v>
      </c>
      <c r="B9996" t="s">
        <v>1638</v>
      </c>
      <c r="C9996">
        <v>1</v>
      </c>
      <c r="D9996" s="1">
        <v>44331.955057870371</v>
      </c>
      <c r="E9996" t="s">
        <v>31135</v>
      </c>
      <c r="F9996" t="s">
        <v>2236</v>
      </c>
      <c r="G9996" t="s">
        <v>31136</v>
      </c>
      <c r="H9996" t="s">
        <v>2237</v>
      </c>
      <c r="I9996" t="s">
        <v>29</v>
      </c>
      <c r="J9996">
        <v>1</v>
      </c>
      <c r="K9996">
        <f>1-888-785-845</f>
        <v>-2517</v>
      </c>
      <c r="L9996" t="s">
        <v>31137</v>
      </c>
      <c r="M9996" t="s">
        <v>31138</v>
      </c>
      <c r="N9996" t="s">
        <v>278</v>
      </c>
      <c r="O9996" t="s">
        <v>28</v>
      </c>
      <c r="P9996" t="s">
        <v>292</v>
      </c>
      <c r="Q9996">
        <v>49</v>
      </c>
      <c r="R9996">
        <v>2.35222</v>
      </c>
    </row>
    <row r="9997" spans="1:18" x14ac:dyDescent="0.2">
      <c r="A9997" t="s">
        <v>439</v>
      </c>
      <c r="B9997" t="s">
        <v>4321</v>
      </c>
      <c r="C9997">
        <v>81</v>
      </c>
      <c r="D9997" s="1">
        <v>44332.022719907407</v>
      </c>
      <c r="E9997" t="s">
        <v>31139</v>
      </c>
      <c r="F9997" t="s">
        <v>442</v>
      </c>
      <c r="G9997" t="s">
        <v>31140</v>
      </c>
      <c r="H9997" t="s">
        <v>444</v>
      </c>
      <c r="I9997" t="s">
        <v>53</v>
      </c>
      <c r="J9997">
        <v>81</v>
      </c>
      <c r="K9997">
        <f>81-50-5532-2627</f>
        <v>-8128</v>
      </c>
      <c r="L9997" t="s">
        <v>31141</v>
      </c>
      <c r="M9997" t="s">
        <v>31142</v>
      </c>
      <c r="N9997" t="s">
        <v>213</v>
      </c>
      <c r="O9997" t="s">
        <v>28</v>
      </c>
      <c r="P9997" t="s">
        <v>29</v>
      </c>
      <c r="Q9997">
        <v>42</v>
      </c>
      <c r="R9997">
        <v>-87.629800000000003</v>
      </c>
    </row>
    <row r="9998" spans="1:18" x14ac:dyDescent="0.2">
      <c r="A9998" t="s">
        <v>2233</v>
      </c>
      <c r="B9998" t="s">
        <v>1638</v>
      </c>
      <c r="C9998">
        <v>81</v>
      </c>
      <c r="D9998" s="1">
        <v>44332.023425925923</v>
      </c>
      <c r="E9998" t="s">
        <v>31143</v>
      </c>
      <c r="F9998" t="s">
        <v>7023</v>
      </c>
      <c r="G9998" t="s">
        <v>31144</v>
      </c>
      <c r="H9998" t="s">
        <v>2237</v>
      </c>
      <c r="I9998" t="s">
        <v>53</v>
      </c>
      <c r="J9998">
        <v>81</v>
      </c>
      <c r="K9998">
        <f>81-50-3185-361</f>
        <v>-3515</v>
      </c>
      <c r="L9998" t="s">
        <v>31145</v>
      </c>
      <c r="M9998" t="s">
        <v>31146</v>
      </c>
      <c r="N9998" t="s">
        <v>278</v>
      </c>
      <c r="O9998" t="s">
        <v>28</v>
      </c>
      <c r="P9998" t="s">
        <v>292</v>
      </c>
      <c r="Q9998">
        <v>49</v>
      </c>
      <c r="R9998">
        <v>2.35222</v>
      </c>
    </row>
    <row r="9999" spans="1:18" x14ac:dyDescent="0.2">
      <c r="A9999" t="s">
        <v>663</v>
      </c>
      <c r="B9999" t="s">
        <v>3245</v>
      </c>
      <c r="C9999">
        <v>81</v>
      </c>
      <c r="D9999" s="1">
        <v>44332.023993055554</v>
      </c>
      <c r="E9999" t="s">
        <v>31147</v>
      </c>
      <c r="F9999" t="s">
        <v>666</v>
      </c>
      <c r="G9999" t="s">
        <v>31148</v>
      </c>
      <c r="H9999" t="s">
        <v>667</v>
      </c>
      <c r="I9999" t="s">
        <v>53</v>
      </c>
      <c r="J9999">
        <v>81</v>
      </c>
      <c r="K9999">
        <f>81-50-5534-3779</f>
        <v>-9282</v>
      </c>
      <c r="L9999" t="s">
        <v>31149</v>
      </c>
      <c r="M9999" t="s">
        <v>31150</v>
      </c>
      <c r="N9999" t="s">
        <v>213</v>
      </c>
      <c r="O9999" t="s">
        <v>28</v>
      </c>
      <c r="P9999" t="s">
        <v>29</v>
      </c>
      <c r="Q9999">
        <v>41</v>
      </c>
      <c r="R9999">
        <v>-74.140299999999996</v>
      </c>
    </row>
    <row r="10000" spans="1:18" x14ac:dyDescent="0.2">
      <c r="A10000" t="s">
        <v>663</v>
      </c>
      <c r="B10000" t="s">
        <v>2500</v>
      </c>
      <c r="C10000">
        <v>81</v>
      </c>
      <c r="D10000" s="1">
        <v>44334.481956018521</v>
      </c>
      <c r="E10000" t="s">
        <v>31151</v>
      </c>
      <c r="F10000" t="s">
        <v>666</v>
      </c>
      <c r="G10000" t="s">
        <v>31152</v>
      </c>
      <c r="H10000" t="s">
        <v>667</v>
      </c>
      <c r="I10000" t="s">
        <v>53</v>
      </c>
      <c r="J10000">
        <v>81</v>
      </c>
      <c r="K10000">
        <f>81-50-5532-7984</f>
        <v>-13485</v>
      </c>
      <c r="L10000" t="s">
        <v>31153</v>
      </c>
      <c r="M10000" t="s">
        <v>31154</v>
      </c>
      <c r="N10000" t="s">
        <v>452</v>
      </c>
      <c r="O10000" t="s">
        <v>28</v>
      </c>
      <c r="P10000" t="s">
        <v>2500</v>
      </c>
      <c r="Q10000">
        <v>1</v>
      </c>
      <c r="R10000">
        <v>99.999999000000003</v>
      </c>
    </row>
    <row r="10001" spans="1:18" x14ac:dyDescent="0.2">
      <c r="A10001" t="s">
        <v>663</v>
      </c>
      <c r="B10001" t="s">
        <v>2500</v>
      </c>
      <c r="C10001">
        <v>81</v>
      </c>
      <c r="D10001" s="1">
        <v>44332.024814814817</v>
      </c>
      <c r="E10001" t="s">
        <v>31151</v>
      </c>
      <c r="F10001" t="s">
        <v>666</v>
      </c>
      <c r="G10001" t="s">
        <v>31152</v>
      </c>
      <c r="H10001" t="s">
        <v>667</v>
      </c>
      <c r="I10001" t="s">
        <v>53</v>
      </c>
      <c r="J10001">
        <v>81</v>
      </c>
      <c r="K10001">
        <f>81-50-5532-7984</f>
        <v>-13485</v>
      </c>
      <c r="L10001" t="s">
        <v>31155</v>
      </c>
      <c r="M10001" t="s">
        <v>31156</v>
      </c>
      <c r="N10001" t="s">
        <v>452</v>
      </c>
      <c r="O10001" t="s">
        <v>134</v>
      </c>
      <c r="P10001" t="s">
        <v>2500</v>
      </c>
      <c r="Q10001">
        <v>1</v>
      </c>
      <c r="R10001">
        <v>99.999999000000003</v>
      </c>
    </row>
    <row r="10002" spans="1:18" x14ac:dyDescent="0.2">
      <c r="A10002" t="s">
        <v>2233</v>
      </c>
      <c r="B10002" t="s">
        <v>6390</v>
      </c>
      <c r="C10002">
        <v>1</v>
      </c>
      <c r="D10002" s="1">
        <v>44332.091331018521</v>
      </c>
      <c r="E10002" t="s">
        <v>31157</v>
      </c>
      <c r="F10002" t="s">
        <v>2236</v>
      </c>
      <c r="G10002" t="s">
        <v>31158</v>
      </c>
      <c r="H10002" t="s">
        <v>2237</v>
      </c>
      <c r="I10002" t="s">
        <v>29</v>
      </c>
      <c r="J10002">
        <v>1</v>
      </c>
      <c r="K10002">
        <f>1-808-600-6538</f>
        <v>-7945</v>
      </c>
      <c r="L10002" t="s">
        <v>31159</v>
      </c>
      <c r="M10002" t="s">
        <v>31160</v>
      </c>
      <c r="N10002" t="s">
        <v>5354</v>
      </c>
      <c r="O10002" t="s">
        <v>28</v>
      </c>
      <c r="P10002" t="s">
        <v>29</v>
      </c>
      <c r="Q10002">
        <v>37</v>
      </c>
      <c r="R10002">
        <v>-99.999999000000003</v>
      </c>
    </row>
    <row r="10003" spans="1:18" x14ac:dyDescent="0.2">
      <c r="A10003" t="s">
        <v>663</v>
      </c>
      <c r="B10003" t="s">
        <v>2493</v>
      </c>
      <c r="C10003">
        <v>1</v>
      </c>
      <c r="D10003" s="1">
        <v>44332.753240740742</v>
      </c>
      <c r="E10003" t="s">
        <v>31161</v>
      </c>
      <c r="F10003" t="s">
        <v>666</v>
      </c>
      <c r="G10003" t="s">
        <v>31161</v>
      </c>
      <c r="H10003" t="s">
        <v>667</v>
      </c>
      <c r="I10003" t="s">
        <v>29</v>
      </c>
      <c r="J10003">
        <v>1</v>
      </c>
      <c r="K10003">
        <f>1-888-396-3454</f>
        <v>-4737</v>
      </c>
      <c r="L10003" t="s">
        <v>31162</v>
      </c>
      <c r="M10003" t="s">
        <v>31163</v>
      </c>
      <c r="N10003">
        <v>61</v>
      </c>
      <c r="O10003" t="s">
        <v>134</v>
      </c>
      <c r="P10003" t="s">
        <v>29</v>
      </c>
      <c r="Q10003">
        <v>41</v>
      </c>
      <c r="R10003">
        <v>-74.024699999999996</v>
      </c>
    </row>
    <row r="10004" spans="1:18" x14ac:dyDescent="0.2">
      <c r="A10004" t="s">
        <v>439</v>
      </c>
      <c r="B10004" t="s">
        <v>5337</v>
      </c>
      <c r="C10004">
        <v>1</v>
      </c>
      <c r="D10004" s="1">
        <v>44332.830625000002</v>
      </c>
      <c r="E10004" t="s">
        <v>31164</v>
      </c>
      <c r="F10004" t="s">
        <v>442</v>
      </c>
      <c r="G10004" t="s">
        <v>31165</v>
      </c>
      <c r="H10004" t="s">
        <v>444</v>
      </c>
      <c r="I10004" t="s">
        <v>29</v>
      </c>
      <c r="J10004">
        <v>1</v>
      </c>
      <c r="K10004">
        <f>1-844-921-1637</f>
        <v>-3401</v>
      </c>
      <c r="L10004" t="s">
        <v>31166</v>
      </c>
      <c r="M10004" t="s">
        <v>31167</v>
      </c>
      <c r="N10004" t="s">
        <v>213</v>
      </c>
      <c r="O10004" t="s">
        <v>28</v>
      </c>
      <c r="P10004" t="s">
        <v>29</v>
      </c>
      <c r="Q10004">
        <v>38</v>
      </c>
      <c r="R10004">
        <v>-99.999999000000003</v>
      </c>
    </row>
    <row r="10005" spans="1:18" x14ac:dyDescent="0.2">
      <c r="A10005" t="s">
        <v>2233</v>
      </c>
      <c r="B10005" t="s">
        <v>2500</v>
      </c>
      <c r="C10005">
        <v>61</v>
      </c>
      <c r="D10005" s="1">
        <v>44333.293437499997</v>
      </c>
      <c r="E10005" t="s">
        <v>31168</v>
      </c>
      <c r="F10005" t="s">
        <v>2236</v>
      </c>
      <c r="G10005" t="s">
        <v>31169</v>
      </c>
      <c r="H10005" t="s">
        <v>2237</v>
      </c>
      <c r="I10005" t="s">
        <v>782</v>
      </c>
      <c r="J10005">
        <v>61</v>
      </c>
      <c r="K10005">
        <f>61-1800-948-126</f>
        <v>-2813</v>
      </c>
      <c r="L10005" t="s">
        <v>31170</v>
      </c>
      <c r="M10005" t="s">
        <v>31171</v>
      </c>
      <c r="N10005" t="s">
        <v>5354</v>
      </c>
      <c r="O10005" t="s">
        <v>28</v>
      </c>
      <c r="P10005" t="s">
        <v>2500</v>
      </c>
      <c r="Q10005">
        <v>1</v>
      </c>
      <c r="R10005">
        <v>99.999999000000003</v>
      </c>
    </row>
    <row r="10006" spans="1:18" x14ac:dyDescent="0.2">
      <c r="A10006" t="s">
        <v>663</v>
      </c>
      <c r="B10006" t="s">
        <v>4281</v>
      </c>
      <c r="C10006">
        <v>49</v>
      </c>
      <c r="D10006" s="1">
        <v>44333.768472222226</v>
      </c>
      <c r="E10006" t="s">
        <v>31172</v>
      </c>
      <c r="F10006" t="s">
        <v>666</v>
      </c>
      <c r="G10006" t="s">
        <v>31172</v>
      </c>
      <c r="H10006" t="s">
        <v>667</v>
      </c>
      <c r="I10006" t="s">
        <v>24</v>
      </c>
      <c r="J10006">
        <v>49</v>
      </c>
      <c r="K10006">
        <f>49-332-2437</f>
        <v>-2720</v>
      </c>
      <c r="L10006" t="s">
        <v>31173</v>
      </c>
      <c r="M10006" t="s">
        <v>31174</v>
      </c>
      <c r="N10006">
        <v>177</v>
      </c>
      <c r="O10006" t="s">
        <v>134</v>
      </c>
      <c r="P10006" t="s">
        <v>24</v>
      </c>
      <c r="Q10006">
        <v>50</v>
      </c>
      <c r="R10006">
        <v>8.6843000000000004</v>
      </c>
    </row>
    <row r="10007" spans="1:18" x14ac:dyDescent="0.2">
      <c r="A10007" t="s">
        <v>439</v>
      </c>
      <c r="B10007" t="s">
        <v>4321</v>
      </c>
      <c r="C10007">
        <v>81</v>
      </c>
      <c r="D10007" s="1">
        <v>44333.802777777775</v>
      </c>
      <c r="E10007" t="s">
        <v>31175</v>
      </c>
      <c r="F10007" t="s">
        <v>442</v>
      </c>
      <c r="G10007" t="s">
        <v>31176</v>
      </c>
      <c r="H10007" t="s">
        <v>444</v>
      </c>
      <c r="I10007" t="s">
        <v>53</v>
      </c>
      <c r="J10007">
        <v>81</v>
      </c>
      <c r="K10007">
        <f>81-50-5532-6254</f>
        <v>-11755</v>
      </c>
      <c r="L10007" t="s">
        <v>31177</v>
      </c>
      <c r="M10007" t="s">
        <v>31178</v>
      </c>
      <c r="N10007" t="s">
        <v>447</v>
      </c>
      <c r="O10007" t="s">
        <v>28</v>
      </c>
      <c r="P10007" t="s">
        <v>29</v>
      </c>
      <c r="Q10007">
        <v>42</v>
      </c>
      <c r="R10007">
        <v>-87.629800000000003</v>
      </c>
    </row>
    <row r="10008" spans="1:18" x14ac:dyDescent="0.2">
      <c r="A10008" t="s">
        <v>675</v>
      </c>
      <c r="B10008" t="s">
        <v>1412</v>
      </c>
      <c r="C10008">
        <v>81</v>
      </c>
      <c r="D10008" s="1">
        <v>44333.807662037034</v>
      </c>
      <c r="E10008" t="s">
        <v>31179</v>
      </c>
      <c r="F10008" t="s">
        <v>678</v>
      </c>
      <c r="G10008" t="s">
        <v>31180</v>
      </c>
      <c r="H10008" t="s">
        <v>680</v>
      </c>
      <c r="I10008" t="s">
        <v>53</v>
      </c>
      <c r="J10008">
        <v>81</v>
      </c>
      <c r="K10008">
        <f>81-50-5809-9036</f>
        <v>-14814</v>
      </c>
      <c r="L10008" t="s">
        <v>31181</v>
      </c>
      <c r="M10008" t="s">
        <v>31182</v>
      </c>
      <c r="N10008" t="s">
        <v>2475</v>
      </c>
      <c r="O10008" t="s">
        <v>28</v>
      </c>
      <c r="P10008" t="s">
        <v>29</v>
      </c>
      <c r="Q10008">
        <v>41</v>
      </c>
      <c r="R10008">
        <v>-74.172399999999996</v>
      </c>
    </row>
    <row r="10009" spans="1:18" x14ac:dyDescent="0.2">
      <c r="A10009" t="s">
        <v>675</v>
      </c>
      <c r="B10009" t="s">
        <v>1412</v>
      </c>
      <c r="C10009">
        <v>81</v>
      </c>
      <c r="D10009" s="1">
        <v>44333.803935185184</v>
      </c>
      <c r="E10009" t="s">
        <v>31183</v>
      </c>
      <c r="F10009" t="s">
        <v>678</v>
      </c>
      <c r="G10009" t="s">
        <v>31180</v>
      </c>
      <c r="H10009" t="s">
        <v>680</v>
      </c>
      <c r="I10009" t="s">
        <v>53</v>
      </c>
      <c r="J10009">
        <v>81</v>
      </c>
      <c r="K10009">
        <f>81-50-5534-3779</f>
        <v>-9282</v>
      </c>
      <c r="L10009" t="s">
        <v>31184</v>
      </c>
      <c r="M10009" t="s">
        <v>31185</v>
      </c>
      <c r="N10009" t="s">
        <v>2475</v>
      </c>
      <c r="O10009" t="s">
        <v>28</v>
      </c>
      <c r="P10009" t="s">
        <v>29</v>
      </c>
      <c r="Q10009">
        <v>41</v>
      </c>
      <c r="R10009">
        <v>-74.172399999999996</v>
      </c>
    </row>
    <row r="10010" spans="1:18" x14ac:dyDescent="0.2">
      <c r="A10010" t="s">
        <v>2233</v>
      </c>
      <c r="B10010" t="s">
        <v>1638</v>
      </c>
      <c r="C10010">
        <v>1</v>
      </c>
      <c r="D10010" s="1">
        <v>44333.828252314815</v>
      </c>
      <c r="E10010" t="s">
        <v>31186</v>
      </c>
      <c r="F10010" t="s">
        <v>7023</v>
      </c>
      <c r="G10010" t="s">
        <v>31187</v>
      </c>
      <c r="H10010" t="s">
        <v>2237</v>
      </c>
      <c r="I10010" t="s">
        <v>29</v>
      </c>
      <c r="J10010">
        <v>1</v>
      </c>
      <c r="K10010">
        <f>1-888-778-9701</f>
        <v>-11366</v>
      </c>
      <c r="L10010" t="s">
        <v>31188</v>
      </c>
      <c r="M10010" t="s">
        <v>31189</v>
      </c>
      <c r="N10010" t="s">
        <v>278</v>
      </c>
      <c r="O10010" t="s">
        <v>28</v>
      </c>
      <c r="P10010" t="s">
        <v>292</v>
      </c>
      <c r="Q10010">
        <v>49</v>
      </c>
      <c r="R10010">
        <v>2.35222</v>
      </c>
    </row>
    <row r="10011" spans="1:18" x14ac:dyDescent="0.2">
      <c r="A10011" t="s">
        <v>2233</v>
      </c>
      <c r="B10011" t="s">
        <v>1638</v>
      </c>
      <c r="C10011">
        <v>1</v>
      </c>
      <c r="D10011" s="1">
        <v>44333.827835648146</v>
      </c>
      <c r="E10011" t="s">
        <v>31186</v>
      </c>
      <c r="F10011" t="s">
        <v>7023</v>
      </c>
      <c r="G10011" t="s">
        <v>31187</v>
      </c>
      <c r="H10011" t="s">
        <v>2237</v>
      </c>
      <c r="I10011" t="s">
        <v>29</v>
      </c>
      <c r="J10011">
        <v>1</v>
      </c>
      <c r="K10011">
        <f>1-888-786-1746</f>
        <v>-3419</v>
      </c>
      <c r="L10011" t="s">
        <v>31190</v>
      </c>
      <c r="M10011" t="s">
        <v>31191</v>
      </c>
      <c r="N10011" t="s">
        <v>278</v>
      </c>
      <c r="O10011" t="s">
        <v>28</v>
      </c>
      <c r="P10011" t="s">
        <v>292</v>
      </c>
      <c r="Q10011">
        <v>49</v>
      </c>
      <c r="R10011">
        <v>2.35222</v>
      </c>
    </row>
    <row r="10012" spans="1:18" x14ac:dyDescent="0.2">
      <c r="A10012" t="s">
        <v>2233</v>
      </c>
      <c r="B10012" t="s">
        <v>1638</v>
      </c>
      <c r="C10012">
        <v>1</v>
      </c>
      <c r="D10012" s="1">
        <v>44333.894328703704</v>
      </c>
      <c r="E10012" t="s">
        <v>31192</v>
      </c>
      <c r="F10012" t="s">
        <v>2236</v>
      </c>
      <c r="G10012" t="s">
        <v>31193</v>
      </c>
      <c r="H10012" t="s">
        <v>2237</v>
      </c>
      <c r="I10012" t="s">
        <v>29</v>
      </c>
      <c r="J10012">
        <v>1</v>
      </c>
      <c r="K10012">
        <f>1-888-775-2585</f>
        <v>-4247</v>
      </c>
      <c r="L10012" t="s">
        <v>31194</v>
      </c>
      <c r="M10012" t="s">
        <v>31195</v>
      </c>
      <c r="N10012" t="s">
        <v>278</v>
      </c>
      <c r="O10012" t="s">
        <v>28</v>
      </c>
      <c r="P10012" t="s">
        <v>292</v>
      </c>
      <c r="Q10012">
        <v>49</v>
      </c>
      <c r="R10012">
        <v>2.35222</v>
      </c>
    </row>
    <row r="10013" spans="1:18" x14ac:dyDescent="0.2">
      <c r="A10013" t="s">
        <v>2233</v>
      </c>
      <c r="B10013" t="s">
        <v>1638</v>
      </c>
      <c r="C10013">
        <v>1</v>
      </c>
      <c r="D10013" s="1">
        <v>44333.949965277781</v>
      </c>
      <c r="E10013" t="s">
        <v>31196</v>
      </c>
      <c r="F10013" t="s">
        <v>7023</v>
      </c>
      <c r="G10013" t="s">
        <v>31197</v>
      </c>
      <c r="H10013" t="s">
        <v>2237</v>
      </c>
      <c r="I10013" t="s">
        <v>29</v>
      </c>
      <c r="J10013">
        <v>1</v>
      </c>
      <c r="K10013">
        <f>1-888-782-1186</f>
        <v>-2855</v>
      </c>
      <c r="L10013" t="s">
        <v>31198</v>
      </c>
      <c r="M10013" t="s">
        <v>31199</v>
      </c>
      <c r="N10013" t="s">
        <v>278</v>
      </c>
      <c r="O10013" t="s">
        <v>28</v>
      </c>
      <c r="P10013" t="s">
        <v>292</v>
      </c>
      <c r="Q10013">
        <v>49</v>
      </c>
      <c r="R10013">
        <v>2.35222</v>
      </c>
    </row>
    <row r="10014" spans="1:18" x14ac:dyDescent="0.2">
      <c r="A10014" t="s">
        <v>2233</v>
      </c>
      <c r="B10014" t="s">
        <v>1638</v>
      </c>
      <c r="C10014">
        <v>1</v>
      </c>
      <c r="D10014" s="1">
        <v>44333.953425925924</v>
      </c>
      <c r="E10014" t="s">
        <v>31196</v>
      </c>
      <c r="F10014" t="s">
        <v>7023</v>
      </c>
      <c r="G10014" t="s">
        <v>31200</v>
      </c>
      <c r="H10014" t="s">
        <v>2237</v>
      </c>
      <c r="I10014" t="s">
        <v>29</v>
      </c>
      <c r="J10014">
        <v>1</v>
      </c>
      <c r="K10014">
        <f>1-888-775-5759</f>
        <v>-7421</v>
      </c>
      <c r="L10014" t="s">
        <v>31201</v>
      </c>
      <c r="M10014" t="s">
        <v>31202</v>
      </c>
      <c r="N10014" t="s">
        <v>278</v>
      </c>
      <c r="O10014" t="s">
        <v>28</v>
      </c>
      <c r="P10014" t="s">
        <v>292</v>
      </c>
      <c r="Q10014">
        <v>49</v>
      </c>
      <c r="R10014">
        <v>2.35222</v>
      </c>
    </row>
    <row r="10015" spans="1:18" x14ac:dyDescent="0.2">
      <c r="A10015" t="s">
        <v>2233</v>
      </c>
      <c r="B10015" t="s">
        <v>1638</v>
      </c>
      <c r="C10015">
        <v>1</v>
      </c>
      <c r="D10015" s="1">
        <v>44334.030624999999</v>
      </c>
      <c r="E10015" t="s">
        <v>31192</v>
      </c>
      <c r="F10015" t="s">
        <v>2236</v>
      </c>
      <c r="G10015" t="s">
        <v>31203</v>
      </c>
      <c r="H10015" t="s">
        <v>2237</v>
      </c>
      <c r="I10015" t="s">
        <v>29</v>
      </c>
      <c r="J10015">
        <v>1</v>
      </c>
      <c r="K10015">
        <f>1-888-783-7492</f>
        <v>-9162</v>
      </c>
      <c r="L10015" t="s">
        <v>31204</v>
      </c>
      <c r="M10015" t="s">
        <v>31205</v>
      </c>
      <c r="N10015" t="s">
        <v>278</v>
      </c>
      <c r="O10015" t="s">
        <v>28</v>
      </c>
      <c r="P10015" t="s">
        <v>292</v>
      </c>
      <c r="Q10015">
        <v>49</v>
      </c>
      <c r="R10015">
        <v>2.35222</v>
      </c>
    </row>
    <row r="10016" spans="1:18" x14ac:dyDescent="0.2">
      <c r="A10016" t="s">
        <v>2233</v>
      </c>
      <c r="B10016" t="s">
        <v>1638</v>
      </c>
      <c r="C10016">
        <v>1</v>
      </c>
      <c r="D10016" s="1">
        <v>44333.964212962965</v>
      </c>
      <c r="E10016" t="s">
        <v>31192</v>
      </c>
      <c r="F10016" t="s">
        <v>2236</v>
      </c>
      <c r="G10016" t="s">
        <v>31203</v>
      </c>
      <c r="H10016" t="s">
        <v>2237</v>
      </c>
      <c r="I10016" t="s">
        <v>29</v>
      </c>
      <c r="J10016">
        <v>1</v>
      </c>
      <c r="K10016">
        <f>1-888-782-2349</f>
        <v>-4018</v>
      </c>
      <c r="L10016" t="s">
        <v>31206</v>
      </c>
      <c r="M10016" t="s">
        <v>31207</v>
      </c>
      <c r="N10016" t="s">
        <v>278</v>
      </c>
      <c r="O10016" t="s">
        <v>28</v>
      </c>
      <c r="P10016" t="s">
        <v>292</v>
      </c>
      <c r="Q10016">
        <v>49</v>
      </c>
      <c r="R10016">
        <v>2.35222</v>
      </c>
    </row>
    <row r="10017" spans="1:18" x14ac:dyDescent="0.2">
      <c r="A10017" t="s">
        <v>2233</v>
      </c>
      <c r="B10017" t="s">
        <v>1638</v>
      </c>
      <c r="C10017">
        <v>1</v>
      </c>
      <c r="D10017" s="1">
        <v>44358.888703703706</v>
      </c>
      <c r="E10017" t="s">
        <v>31208</v>
      </c>
      <c r="F10017" t="s">
        <v>7023</v>
      </c>
      <c r="G10017" t="s">
        <v>31209</v>
      </c>
      <c r="H10017" t="s">
        <v>2237</v>
      </c>
      <c r="I10017" t="s">
        <v>29</v>
      </c>
      <c r="J10017">
        <v>1</v>
      </c>
      <c r="K10017">
        <f>1-888-373-9646</f>
        <v>-10906</v>
      </c>
      <c r="L10017" t="s">
        <v>31210</v>
      </c>
      <c r="M10017" t="s">
        <v>31211</v>
      </c>
      <c r="N10017" t="s">
        <v>278</v>
      </c>
      <c r="O10017" t="s">
        <v>28</v>
      </c>
      <c r="P10017" t="s">
        <v>292</v>
      </c>
      <c r="Q10017">
        <v>49</v>
      </c>
      <c r="R10017">
        <v>2.35222</v>
      </c>
    </row>
    <row r="10018" spans="1:18" x14ac:dyDescent="0.2">
      <c r="A10018" t="s">
        <v>2233</v>
      </c>
      <c r="B10018" t="s">
        <v>1638</v>
      </c>
      <c r="C10018">
        <v>1</v>
      </c>
      <c r="D10018" s="1">
        <v>44333.97755787037</v>
      </c>
      <c r="E10018" t="s">
        <v>31212</v>
      </c>
      <c r="F10018" t="s">
        <v>7023</v>
      </c>
      <c r="G10018" t="s">
        <v>31209</v>
      </c>
      <c r="H10018" t="s">
        <v>2237</v>
      </c>
      <c r="I10018" t="s">
        <v>29</v>
      </c>
      <c r="J10018">
        <v>1</v>
      </c>
      <c r="K10018">
        <f>1-888-598-1537</f>
        <v>-3022</v>
      </c>
      <c r="L10018" t="s">
        <v>31213</v>
      </c>
      <c r="M10018" t="s">
        <v>31214</v>
      </c>
      <c r="N10018" t="s">
        <v>278</v>
      </c>
      <c r="O10018" t="s">
        <v>28</v>
      </c>
      <c r="P10018" t="s">
        <v>292</v>
      </c>
      <c r="Q10018">
        <v>49</v>
      </c>
      <c r="R10018">
        <v>2.35222</v>
      </c>
    </row>
    <row r="10019" spans="1:18" x14ac:dyDescent="0.2">
      <c r="A10019" t="s">
        <v>270</v>
      </c>
      <c r="B10019" t="s">
        <v>4672</v>
      </c>
      <c r="C10019">
        <v>1</v>
      </c>
      <c r="D10019" s="1">
        <v>44379.77202546296</v>
      </c>
      <c r="E10019" t="s">
        <v>31215</v>
      </c>
      <c r="F10019" t="s">
        <v>273</v>
      </c>
      <c r="G10019" t="s">
        <v>31216</v>
      </c>
      <c r="H10019" t="s">
        <v>275</v>
      </c>
      <c r="I10019" t="s">
        <v>29</v>
      </c>
      <c r="J10019">
        <v>1</v>
      </c>
      <c r="K10019">
        <f>1-888-216-2860</f>
        <v>-3963</v>
      </c>
      <c r="L10019" t="s">
        <v>31217</v>
      </c>
      <c r="M10019" t="s">
        <v>31218</v>
      </c>
      <c r="N10019" t="s">
        <v>278</v>
      </c>
      <c r="O10019" t="s">
        <v>28</v>
      </c>
      <c r="P10019" t="s">
        <v>782</v>
      </c>
      <c r="Q10019">
        <v>-34</v>
      </c>
      <c r="R10019">
        <v>99.999999000000003</v>
      </c>
    </row>
    <row r="10020" spans="1:18" x14ac:dyDescent="0.2">
      <c r="A10020" t="s">
        <v>270</v>
      </c>
      <c r="B10020" t="s">
        <v>4672</v>
      </c>
      <c r="C10020">
        <v>1</v>
      </c>
      <c r="D10020" s="1">
        <v>44378.79378472222</v>
      </c>
      <c r="E10020" t="s">
        <v>31219</v>
      </c>
      <c r="F10020" t="s">
        <v>273</v>
      </c>
      <c r="G10020" t="s">
        <v>31216</v>
      </c>
      <c r="H10020" t="s">
        <v>275</v>
      </c>
      <c r="I10020" t="s">
        <v>29</v>
      </c>
      <c r="J10020">
        <v>1</v>
      </c>
      <c r="K10020">
        <f>1-888-308-5126</f>
        <v>-6321</v>
      </c>
      <c r="L10020" t="s">
        <v>31220</v>
      </c>
      <c r="M10020" t="s">
        <v>31221</v>
      </c>
      <c r="N10020" t="s">
        <v>278</v>
      </c>
      <c r="O10020" t="s">
        <v>28</v>
      </c>
      <c r="P10020" t="s">
        <v>782</v>
      </c>
      <c r="Q10020">
        <v>-34</v>
      </c>
      <c r="R10020">
        <v>99.999999000000003</v>
      </c>
    </row>
    <row r="10021" spans="1:18" x14ac:dyDescent="0.2">
      <c r="A10021" t="s">
        <v>270</v>
      </c>
      <c r="B10021" t="s">
        <v>4672</v>
      </c>
      <c r="C10021">
        <v>1</v>
      </c>
      <c r="D10021" s="1">
        <v>44378.779768518521</v>
      </c>
      <c r="E10021" t="s">
        <v>31222</v>
      </c>
      <c r="F10021" t="s">
        <v>273</v>
      </c>
      <c r="G10021" t="s">
        <v>31216</v>
      </c>
      <c r="H10021" t="s">
        <v>275</v>
      </c>
      <c r="I10021" t="s">
        <v>29</v>
      </c>
      <c r="J10021">
        <v>1</v>
      </c>
      <c r="K10021">
        <f>1-888-308-5126</f>
        <v>-6321</v>
      </c>
      <c r="L10021" t="s">
        <v>31223</v>
      </c>
      <c r="M10021" t="s">
        <v>31224</v>
      </c>
      <c r="N10021" t="s">
        <v>278</v>
      </c>
      <c r="O10021" t="s">
        <v>28</v>
      </c>
      <c r="P10021" t="s">
        <v>782</v>
      </c>
      <c r="Q10021">
        <v>-34</v>
      </c>
      <c r="R10021">
        <v>99.999999000000003</v>
      </c>
    </row>
    <row r="10022" spans="1:18" x14ac:dyDescent="0.2">
      <c r="A10022" t="s">
        <v>270</v>
      </c>
      <c r="B10022" t="s">
        <v>4672</v>
      </c>
      <c r="C10022">
        <v>1</v>
      </c>
      <c r="D10022" s="1">
        <v>44377.761006944442</v>
      </c>
      <c r="E10022" t="s">
        <v>31225</v>
      </c>
      <c r="F10022" t="s">
        <v>273</v>
      </c>
      <c r="G10022" t="s">
        <v>31216</v>
      </c>
      <c r="H10022" t="s">
        <v>275</v>
      </c>
      <c r="I10022" t="s">
        <v>29</v>
      </c>
      <c r="J10022">
        <v>1</v>
      </c>
      <c r="K10022">
        <f>1-844-772-261</f>
        <v>-1876</v>
      </c>
      <c r="L10022" t="s">
        <v>31226</v>
      </c>
      <c r="M10022" t="s">
        <v>31227</v>
      </c>
      <c r="N10022" t="s">
        <v>278</v>
      </c>
      <c r="O10022" t="s">
        <v>28</v>
      </c>
      <c r="P10022" t="s">
        <v>782</v>
      </c>
      <c r="Q10022">
        <v>-34</v>
      </c>
      <c r="R10022">
        <v>99.999999000000003</v>
      </c>
    </row>
    <row r="10023" spans="1:18" x14ac:dyDescent="0.2">
      <c r="A10023" t="s">
        <v>270</v>
      </c>
      <c r="B10023" t="s">
        <v>4672</v>
      </c>
      <c r="C10023">
        <v>1</v>
      </c>
      <c r="D10023" s="1">
        <v>44376.789641203701</v>
      </c>
      <c r="E10023" t="s">
        <v>31228</v>
      </c>
      <c r="F10023" t="s">
        <v>273</v>
      </c>
      <c r="G10023" t="s">
        <v>31216</v>
      </c>
      <c r="H10023" t="s">
        <v>275</v>
      </c>
      <c r="I10023" t="s">
        <v>29</v>
      </c>
      <c r="J10023">
        <v>1</v>
      </c>
      <c r="K10023">
        <f>1-844-216-6739</f>
        <v>-7798</v>
      </c>
      <c r="L10023" t="s">
        <v>31229</v>
      </c>
      <c r="M10023" t="s">
        <v>31230</v>
      </c>
      <c r="N10023" t="s">
        <v>278</v>
      </c>
      <c r="O10023" t="s">
        <v>28</v>
      </c>
      <c r="P10023" t="s">
        <v>782</v>
      </c>
      <c r="Q10023">
        <v>-34</v>
      </c>
      <c r="R10023">
        <v>99.999999000000003</v>
      </c>
    </row>
    <row r="10024" spans="1:18" x14ac:dyDescent="0.2">
      <c r="A10024" t="s">
        <v>270</v>
      </c>
      <c r="B10024" t="s">
        <v>4672</v>
      </c>
      <c r="C10024">
        <v>1</v>
      </c>
      <c r="D10024" s="1">
        <v>44375.762326388889</v>
      </c>
      <c r="E10024" t="s">
        <v>31231</v>
      </c>
      <c r="F10024" t="s">
        <v>273</v>
      </c>
      <c r="G10024" t="s">
        <v>31216</v>
      </c>
      <c r="H10024" t="s">
        <v>275</v>
      </c>
      <c r="I10024" t="s">
        <v>29</v>
      </c>
      <c r="J10024">
        <v>1</v>
      </c>
      <c r="K10024">
        <f>1-844-303-3553</f>
        <v>-4699</v>
      </c>
      <c r="L10024" t="s">
        <v>31232</v>
      </c>
      <c r="M10024" t="s">
        <v>31233</v>
      </c>
      <c r="N10024" t="s">
        <v>278</v>
      </c>
      <c r="O10024" t="s">
        <v>28</v>
      </c>
      <c r="P10024" t="s">
        <v>782</v>
      </c>
      <c r="Q10024">
        <v>-34</v>
      </c>
      <c r="R10024">
        <v>99.999999000000003</v>
      </c>
    </row>
    <row r="10025" spans="1:18" x14ac:dyDescent="0.2">
      <c r="A10025" t="s">
        <v>270</v>
      </c>
      <c r="B10025" t="s">
        <v>4672</v>
      </c>
      <c r="C10025">
        <v>1</v>
      </c>
      <c r="D10025" s="1">
        <v>44376.79896990741</v>
      </c>
      <c r="E10025" t="s">
        <v>31234</v>
      </c>
      <c r="F10025" t="s">
        <v>273</v>
      </c>
      <c r="G10025" t="s">
        <v>31216</v>
      </c>
      <c r="H10025" t="s">
        <v>275</v>
      </c>
      <c r="I10025" t="s">
        <v>29</v>
      </c>
      <c r="J10025">
        <v>1</v>
      </c>
      <c r="K10025">
        <f>1-844-295-567</f>
        <v>-1705</v>
      </c>
      <c r="L10025" t="s">
        <v>31235</v>
      </c>
      <c r="M10025" t="s">
        <v>31236</v>
      </c>
      <c r="N10025" t="s">
        <v>278</v>
      </c>
      <c r="O10025" t="s">
        <v>28</v>
      </c>
      <c r="P10025" t="s">
        <v>782</v>
      </c>
      <c r="Q10025">
        <v>-34</v>
      </c>
      <c r="R10025">
        <v>99.999999000000003</v>
      </c>
    </row>
    <row r="10026" spans="1:18" x14ac:dyDescent="0.2">
      <c r="A10026" t="s">
        <v>270</v>
      </c>
      <c r="B10026" t="s">
        <v>4672</v>
      </c>
      <c r="C10026">
        <v>1</v>
      </c>
      <c r="D10026" s="1">
        <v>44375.749907407408</v>
      </c>
      <c r="E10026" t="s">
        <v>31237</v>
      </c>
      <c r="F10026" t="s">
        <v>273</v>
      </c>
      <c r="G10026" t="s">
        <v>31216</v>
      </c>
      <c r="H10026" t="s">
        <v>275</v>
      </c>
      <c r="I10026" t="s">
        <v>29</v>
      </c>
      <c r="J10026">
        <v>1</v>
      </c>
      <c r="K10026">
        <f>1-844-303-2754</f>
        <v>-3900</v>
      </c>
      <c r="L10026" t="s">
        <v>31238</v>
      </c>
      <c r="M10026" t="s">
        <v>31239</v>
      </c>
      <c r="N10026" t="s">
        <v>278</v>
      </c>
      <c r="O10026" t="s">
        <v>28</v>
      </c>
      <c r="P10026" t="s">
        <v>782</v>
      </c>
      <c r="Q10026">
        <v>-34</v>
      </c>
      <c r="R10026">
        <v>99.999999000000003</v>
      </c>
    </row>
    <row r="10027" spans="1:18" x14ac:dyDescent="0.2">
      <c r="A10027" t="s">
        <v>270</v>
      </c>
      <c r="B10027" t="s">
        <v>4672</v>
      </c>
      <c r="C10027">
        <v>1</v>
      </c>
      <c r="D10027" s="1">
        <v>44372.766087962962</v>
      </c>
      <c r="E10027" t="s">
        <v>31240</v>
      </c>
      <c r="F10027" t="s">
        <v>273</v>
      </c>
      <c r="G10027" t="s">
        <v>31216</v>
      </c>
      <c r="H10027" t="s">
        <v>275</v>
      </c>
      <c r="I10027" t="s">
        <v>29</v>
      </c>
      <c r="J10027">
        <v>1</v>
      </c>
      <c r="K10027">
        <f>1-844-386-4891</f>
        <v>-6120</v>
      </c>
      <c r="L10027" t="s">
        <v>31241</v>
      </c>
      <c r="M10027" t="s">
        <v>31242</v>
      </c>
      <c r="N10027" t="s">
        <v>278</v>
      </c>
      <c r="O10027" t="s">
        <v>28</v>
      </c>
      <c r="P10027" t="s">
        <v>782</v>
      </c>
      <c r="Q10027">
        <v>-34</v>
      </c>
      <c r="R10027">
        <v>99.999999000000003</v>
      </c>
    </row>
    <row r="10028" spans="1:18" x14ac:dyDescent="0.2">
      <c r="A10028" t="s">
        <v>270</v>
      </c>
      <c r="B10028" t="s">
        <v>4672</v>
      </c>
      <c r="C10028">
        <v>1</v>
      </c>
      <c r="D10028" s="1">
        <v>44370.84878472222</v>
      </c>
      <c r="E10028" t="s">
        <v>31243</v>
      </c>
      <c r="F10028" t="s">
        <v>273</v>
      </c>
      <c r="G10028" t="s">
        <v>31216</v>
      </c>
      <c r="H10028" t="s">
        <v>275</v>
      </c>
      <c r="I10028" t="s">
        <v>29</v>
      </c>
      <c r="J10028">
        <v>1</v>
      </c>
      <c r="K10028">
        <f>1-866-297-8519</f>
        <v>-9681</v>
      </c>
      <c r="L10028" t="s">
        <v>31244</v>
      </c>
      <c r="M10028" t="s">
        <v>31245</v>
      </c>
      <c r="N10028" t="s">
        <v>278</v>
      </c>
      <c r="O10028" t="s">
        <v>28</v>
      </c>
      <c r="P10028" t="s">
        <v>782</v>
      </c>
      <c r="Q10028">
        <v>-34</v>
      </c>
      <c r="R10028">
        <v>99.999999000000003</v>
      </c>
    </row>
    <row r="10029" spans="1:18" x14ac:dyDescent="0.2">
      <c r="A10029" t="s">
        <v>270</v>
      </c>
      <c r="B10029" t="s">
        <v>4672</v>
      </c>
      <c r="C10029">
        <v>1</v>
      </c>
      <c r="D10029" s="1">
        <v>44369.804340277777</v>
      </c>
      <c r="E10029" t="s">
        <v>31246</v>
      </c>
      <c r="F10029" t="s">
        <v>273</v>
      </c>
      <c r="G10029" t="s">
        <v>31216</v>
      </c>
      <c r="H10029" t="s">
        <v>275</v>
      </c>
      <c r="I10029" t="s">
        <v>29</v>
      </c>
      <c r="J10029">
        <v>1</v>
      </c>
      <c r="K10029">
        <f>1-866-309-6030</f>
        <v>-7204</v>
      </c>
      <c r="L10029" t="s">
        <v>31247</v>
      </c>
      <c r="M10029" t="s">
        <v>31248</v>
      </c>
      <c r="N10029" t="s">
        <v>278</v>
      </c>
      <c r="O10029" t="s">
        <v>28</v>
      </c>
      <c r="P10029" t="s">
        <v>782</v>
      </c>
      <c r="Q10029">
        <v>-34</v>
      </c>
      <c r="R10029">
        <v>99.999999000000003</v>
      </c>
    </row>
    <row r="10030" spans="1:18" x14ac:dyDescent="0.2">
      <c r="A10030" t="s">
        <v>270</v>
      </c>
      <c r="B10030" t="s">
        <v>4672</v>
      </c>
      <c r="C10030">
        <v>1</v>
      </c>
      <c r="D10030" s="1">
        <v>44369.796909722223</v>
      </c>
      <c r="E10030" t="s">
        <v>31249</v>
      </c>
      <c r="F10030" t="s">
        <v>273</v>
      </c>
      <c r="G10030" t="s">
        <v>31216</v>
      </c>
      <c r="H10030" t="s">
        <v>275</v>
      </c>
      <c r="I10030" t="s">
        <v>29</v>
      </c>
      <c r="J10030">
        <v>1</v>
      </c>
      <c r="K10030">
        <f>1-866-309-6030</f>
        <v>-7204</v>
      </c>
      <c r="L10030" t="s">
        <v>31250</v>
      </c>
      <c r="M10030" t="s">
        <v>31251</v>
      </c>
      <c r="N10030" t="s">
        <v>278</v>
      </c>
      <c r="O10030" t="s">
        <v>28</v>
      </c>
      <c r="P10030" t="s">
        <v>782</v>
      </c>
      <c r="Q10030">
        <v>-34</v>
      </c>
      <c r="R10030">
        <v>99.999999000000003</v>
      </c>
    </row>
    <row r="10031" spans="1:18" x14ac:dyDescent="0.2">
      <c r="A10031" t="s">
        <v>270</v>
      </c>
      <c r="B10031" t="s">
        <v>4672</v>
      </c>
      <c r="C10031">
        <v>1</v>
      </c>
      <c r="D10031" s="1">
        <v>44369.793113425927</v>
      </c>
      <c r="E10031" t="s">
        <v>31252</v>
      </c>
      <c r="F10031" t="s">
        <v>273</v>
      </c>
      <c r="G10031" t="s">
        <v>31216</v>
      </c>
      <c r="H10031" t="s">
        <v>275</v>
      </c>
      <c r="I10031" t="s">
        <v>29</v>
      </c>
      <c r="J10031">
        <v>1</v>
      </c>
      <c r="K10031">
        <f>1-866-309-6030</f>
        <v>-7204</v>
      </c>
      <c r="L10031" t="s">
        <v>31253</v>
      </c>
      <c r="M10031" t="s">
        <v>31254</v>
      </c>
      <c r="N10031" t="s">
        <v>278</v>
      </c>
      <c r="O10031" t="s">
        <v>28</v>
      </c>
      <c r="P10031" t="s">
        <v>782</v>
      </c>
      <c r="Q10031">
        <v>-34</v>
      </c>
      <c r="R10031">
        <v>99.999999000000003</v>
      </c>
    </row>
    <row r="10032" spans="1:18" x14ac:dyDescent="0.2">
      <c r="A10032" t="s">
        <v>270</v>
      </c>
      <c r="B10032" t="s">
        <v>4672</v>
      </c>
      <c r="C10032">
        <v>1</v>
      </c>
      <c r="D10032" s="1">
        <v>44369.79109953704</v>
      </c>
      <c r="E10032" t="s">
        <v>31255</v>
      </c>
      <c r="F10032" t="s">
        <v>273</v>
      </c>
      <c r="G10032" t="s">
        <v>31216</v>
      </c>
      <c r="H10032" t="s">
        <v>275</v>
      </c>
      <c r="I10032" t="s">
        <v>29</v>
      </c>
      <c r="J10032">
        <v>1</v>
      </c>
      <c r="K10032">
        <f>1-866-308-8138</f>
        <v>-9311</v>
      </c>
      <c r="L10032" t="s">
        <v>31256</v>
      </c>
      <c r="M10032" t="s">
        <v>31257</v>
      </c>
      <c r="N10032" t="s">
        <v>278</v>
      </c>
      <c r="O10032" t="s">
        <v>28</v>
      </c>
      <c r="P10032" t="s">
        <v>782</v>
      </c>
      <c r="Q10032">
        <v>-34</v>
      </c>
      <c r="R10032">
        <v>99.999999000000003</v>
      </c>
    </row>
    <row r="10033" spans="1:18" x14ac:dyDescent="0.2">
      <c r="A10033" t="s">
        <v>270</v>
      </c>
      <c r="B10033" t="s">
        <v>4672</v>
      </c>
      <c r="C10033">
        <v>1</v>
      </c>
      <c r="D10033" s="1">
        <v>44369.785798611112</v>
      </c>
      <c r="E10033" t="s">
        <v>31258</v>
      </c>
      <c r="F10033" t="s">
        <v>273</v>
      </c>
      <c r="G10033" t="s">
        <v>31216</v>
      </c>
      <c r="H10033" t="s">
        <v>275</v>
      </c>
      <c r="I10033" t="s">
        <v>29</v>
      </c>
      <c r="J10033">
        <v>1</v>
      </c>
      <c r="K10033">
        <f>1-866-308-8138</f>
        <v>-9311</v>
      </c>
      <c r="L10033" t="s">
        <v>31259</v>
      </c>
      <c r="M10033" t="s">
        <v>31260</v>
      </c>
      <c r="N10033" t="s">
        <v>278</v>
      </c>
      <c r="O10033" t="s">
        <v>28</v>
      </c>
      <c r="P10033" t="s">
        <v>782</v>
      </c>
      <c r="Q10033">
        <v>-34</v>
      </c>
      <c r="R10033">
        <v>99.999999000000003</v>
      </c>
    </row>
    <row r="10034" spans="1:18" x14ac:dyDescent="0.2">
      <c r="A10034" t="s">
        <v>270</v>
      </c>
      <c r="B10034" t="s">
        <v>4672</v>
      </c>
      <c r="C10034">
        <v>1</v>
      </c>
      <c r="D10034" s="1">
        <v>44369.78261574074</v>
      </c>
      <c r="E10034" t="s">
        <v>31261</v>
      </c>
      <c r="F10034" t="s">
        <v>273</v>
      </c>
      <c r="G10034" t="s">
        <v>31216</v>
      </c>
      <c r="H10034" t="s">
        <v>275</v>
      </c>
      <c r="I10034" t="s">
        <v>29</v>
      </c>
      <c r="J10034">
        <v>1</v>
      </c>
      <c r="K10034">
        <f>1-866-308-8138</f>
        <v>-9311</v>
      </c>
      <c r="L10034" t="s">
        <v>31262</v>
      </c>
      <c r="M10034" t="s">
        <v>31263</v>
      </c>
      <c r="N10034" t="s">
        <v>278</v>
      </c>
      <c r="O10034" t="s">
        <v>28</v>
      </c>
      <c r="P10034" t="s">
        <v>782</v>
      </c>
      <c r="Q10034">
        <v>-34</v>
      </c>
      <c r="R10034">
        <v>99.999999000000003</v>
      </c>
    </row>
    <row r="10035" spans="1:18" x14ac:dyDescent="0.2">
      <c r="A10035" t="s">
        <v>270</v>
      </c>
      <c r="B10035" t="s">
        <v>4672</v>
      </c>
      <c r="C10035">
        <v>1</v>
      </c>
      <c r="D10035" s="1">
        <v>44369.760972222219</v>
      </c>
      <c r="E10035" t="s">
        <v>31264</v>
      </c>
      <c r="F10035" t="s">
        <v>273</v>
      </c>
      <c r="G10035" t="s">
        <v>31216</v>
      </c>
      <c r="H10035" t="s">
        <v>275</v>
      </c>
      <c r="I10035" t="s">
        <v>29</v>
      </c>
      <c r="J10035">
        <v>1</v>
      </c>
      <c r="K10035">
        <f>1-866-300-9782</f>
        <v>-10947</v>
      </c>
      <c r="L10035" t="s">
        <v>31265</v>
      </c>
      <c r="M10035" t="s">
        <v>31266</v>
      </c>
      <c r="N10035" t="s">
        <v>278</v>
      </c>
      <c r="O10035" t="s">
        <v>28</v>
      </c>
      <c r="P10035" t="s">
        <v>782</v>
      </c>
      <c r="Q10035">
        <v>-34</v>
      </c>
      <c r="R10035">
        <v>99.999999000000003</v>
      </c>
    </row>
    <row r="10036" spans="1:18" x14ac:dyDescent="0.2">
      <c r="A10036" t="s">
        <v>270</v>
      </c>
      <c r="B10036" t="s">
        <v>4672</v>
      </c>
      <c r="C10036">
        <v>1</v>
      </c>
      <c r="D10036" s="1">
        <v>44369.757789351854</v>
      </c>
      <c r="E10036" t="s">
        <v>31267</v>
      </c>
      <c r="F10036" t="s">
        <v>273</v>
      </c>
      <c r="G10036" t="s">
        <v>31216</v>
      </c>
      <c r="H10036" t="s">
        <v>275</v>
      </c>
      <c r="I10036" t="s">
        <v>29</v>
      </c>
      <c r="J10036">
        <v>1</v>
      </c>
      <c r="K10036">
        <f>1-866-300-9782</f>
        <v>-10947</v>
      </c>
      <c r="L10036" t="s">
        <v>31268</v>
      </c>
      <c r="M10036" t="s">
        <v>31269</v>
      </c>
      <c r="N10036" t="s">
        <v>278</v>
      </c>
      <c r="O10036" t="s">
        <v>28</v>
      </c>
      <c r="P10036" t="s">
        <v>782</v>
      </c>
      <c r="Q10036">
        <v>-34</v>
      </c>
      <c r="R10036">
        <v>99.999999000000003</v>
      </c>
    </row>
    <row r="10037" spans="1:18" x14ac:dyDescent="0.2">
      <c r="A10037" t="s">
        <v>270</v>
      </c>
      <c r="B10037" t="s">
        <v>4672</v>
      </c>
      <c r="C10037">
        <v>1</v>
      </c>
      <c r="D10037" s="1">
        <v>44368.877835648149</v>
      </c>
      <c r="E10037" t="s">
        <v>31270</v>
      </c>
      <c r="F10037" t="s">
        <v>273</v>
      </c>
      <c r="G10037" t="s">
        <v>31216</v>
      </c>
      <c r="H10037" t="s">
        <v>275</v>
      </c>
      <c r="I10037" t="s">
        <v>29</v>
      </c>
      <c r="J10037">
        <v>1</v>
      </c>
      <c r="K10037">
        <f>1-866-328-4432</f>
        <v>-5625</v>
      </c>
      <c r="L10037" t="s">
        <v>31271</v>
      </c>
      <c r="M10037" t="s">
        <v>31272</v>
      </c>
      <c r="N10037" t="s">
        <v>278</v>
      </c>
      <c r="O10037" t="s">
        <v>28</v>
      </c>
      <c r="P10037" t="s">
        <v>782</v>
      </c>
      <c r="Q10037">
        <v>-34</v>
      </c>
      <c r="R10037">
        <v>99.999999000000003</v>
      </c>
    </row>
    <row r="10038" spans="1:18" x14ac:dyDescent="0.2">
      <c r="A10038" t="s">
        <v>270</v>
      </c>
      <c r="B10038" t="s">
        <v>4672</v>
      </c>
      <c r="C10038">
        <v>1</v>
      </c>
      <c r="D10038" s="1">
        <v>44368.868344907409</v>
      </c>
      <c r="E10038" t="s">
        <v>31273</v>
      </c>
      <c r="F10038" t="s">
        <v>273</v>
      </c>
      <c r="G10038" t="s">
        <v>31216</v>
      </c>
      <c r="H10038" t="s">
        <v>275</v>
      </c>
      <c r="I10038" t="s">
        <v>29</v>
      </c>
      <c r="J10038">
        <v>1</v>
      </c>
      <c r="K10038">
        <f>1-866-328-4432</f>
        <v>-5625</v>
      </c>
      <c r="L10038" t="s">
        <v>31274</v>
      </c>
      <c r="M10038" t="s">
        <v>31275</v>
      </c>
      <c r="N10038" t="s">
        <v>278</v>
      </c>
      <c r="O10038" t="s">
        <v>28</v>
      </c>
      <c r="P10038" t="s">
        <v>782</v>
      </c>
      <c r="Q10038">
        <v>-34</v>
      </c>
      <c r="R10038">
        <v>99.999999000000003</v>
      </c>
    </row>
    <row r="10039" spans="1:18" x14ac:dyDescent="0.2">
      <c r="A10039" t="s">
        <v>270</v>
      </c>
      <c r="B10039" t="s">
        <v>4672</v>
      </c>
      <c r="C10039">
        <v>1</v>
      </c>
      <c r="D10039" s="1">
        <v>44368.843599537038</v>
      </c>
      <c r="E10039" t="s">
        <v>31276</v>
      </c>
      <c r="F10039" t="s">
        <v>273</v>
      </c>
      <c r="G10039" t="s">
        <v>31216</v>
      </c>
      <c r="H10039" t="s">
        <v>275</v>
      </c>
      <c r="I10039" t="s">
        <v>29</v>
      </c>
      <c r="J10039">
        <v>1</v>
      </c>
      <c r="K10039">
        <f>1-866-323-8007</f>
        <v>-9195</v>
      </c>
      <c r="L10039" t="s">
        <v>31277</v>
      </c>
      <c r="M10039" t="s">
        <v>31278</v>
      </c>
      <c r="N10039" t="s">
        <v>278</v>
      </c>
      <c r="O10039" t="s">
        <v>28</v>
      </c>
      <c r="P10039" t="s">
        <v>782</v>
      </c>
      <c r="Q10039">
        <v>-34</v>
      </c>
      <c r="R10039">
        <v>99.999999000000003</v>
      </c>
    </row>
    <row r="10040" spans="1:18" x14ac:dyDescent="0.2">
      <c r="A10040" t="s">
        <v>270</v>
      </c>
      <c r="B10040" t="s">
        <v>4672</v>
      </c>
      <c r="C10040">
        <v>1</v>
      </c>
      <c r="D10040" s="1">
        <v>44368.827013888891</v>
      </c>
      <c r="E10040" t="s">
        <v>31279</v>
      </c>
      <c r="F10040" t="s">
        <v>273</v>
      </c>
      <c r="G10040" t="s">
        <v>31216</v>
      </c>
      <c r="H10040" t="s">
        <v>275</v>
      </c>
      <c r="I10040" t="s">
        <v>29</v>
      </c>
      <c r="J10040">
        <v>1</v>
      </c>
      <c r="K10040">
        <f>1-866-323-7308</f>
        <v>-8496</v>
      </c>
      <c r="L10040" t="s">
        <v>31280</v>
      </c>
      <c r="M10040" t="s">
        <v>31281</v>
      </c>
      <c r="N10040" t="s">
        <v>278</v>
      </c>
      <c r="O10040" t="s">
        <v>28</v>
      </c>
      <c r="P10040" t="s">
        <v>782</v>
      </c>
      <c r="Q10040">
        <v>-34</v>
      </c>
      <c r="R10040">
        <v>99.999999000000003</v>
      </c>
    </row>
    <row r="10041" spans="1:18" x14ac:dyDescent="0.2">
      <c r="A10041" t="s">
        <v>270</v>
      </c>
      <c r="B10041" t="s">
        <v>4672</v>
      </c>
      <c r="C10041">
        <v>1</v>
      </c>
      <c r="D10041" s="1">
        <v>44368.807013888887</v>
      </c>
      <c r="E10041" t="s">
        <v>31282</v>
      </c>
      <c r="F10041" t="s">
        <v>273</v>
      </c>
      <c r="G10041" t="s">
        <v>31216</v>
      </c>
      <c r="H10041" t="s">
        <v>275</v>
      </c>
      <c r="I10041" t="s">
        <v>29</v>
      </c>
      <c r="J10041">
        <v>1</v>
      </c>
      <c r="K10041">
        <f>1-866-338-1466</f>
        <v>-2669</v>
      </c>
      <c r="L10041" t="s">
        <v>31283</v>
      </c>
      <c r="M10041" t="s">
        <v>31284</v>
      </c>
      <c r="N10041" t="s">
        <v>278</v>
      </c>
      <c r="O10041" t="s">
        <v>28</v>
      </c>
      <c r="P10041" t="s">
        <v>782</v>
      </c>
      <c r="Q10041">
        <v>-34</v>
      </c>
      <c r="R10041">
        <v>99.999999000000003</v>
      </c>
    </row>
    <row r="10042" spans="1:18" x14ac:dyDescent="0.2">
      <c r="A10042" t="s">
        <v>270</v>
      </c>
      <c r="B10042" t="s">
        <v>4672</v>
      </c>
      <c r="C10042">
        <v>1</v>
      </c>
      <c r="D10042" s="1">
        <v>44364.832268518519</v>
      </c>
      <c r="E10042" t="s">
        <v>31285</v>
      </c>
      <c r="F10042" t="s">
        <v>273</v>
      </c>
      <c r="G10042" t="s">
        <v>31216</v>
      </c>
      <c r="H10042" t="s">
        <v>275</v>
      </c>
      <c r="I10042" t="s">
        <v>29</v>
      </c>
      <c r="J10042">
        <v>1</v>
      </c>
      <c r="K10042">
        <f>1-866-363-6628</f>
        <v>-7856</v>
      </c>
      <c r="L10042" t="s">
        <v>31286</v>
      </c>
      <c r="M10042" t="s">
        <v>31287</v>
      </c>
      <c r="N10042" t="s">
        <v>278</v>
      </c>
      <c r="O10042" t="s">
        <v>28</v>
      </c>
      <c r="P10042" t="s">
        <v>782</v>
      </c>
      <c r="Q10042">
        <v>-34</v>
      </c>
      <c r="R10042">
        <v>99.999999000000003</v>
      </c>
    </row>
    <row r="10043" spans="1:18" x14ac:dyDescent="0.2">
      <c r="A10043" t="s">
        <v>270</v>
      </c>
      <c r="B10043" t="s">
        <v>4672</v>
      </c>
      <c r="C10043">
        <v>1</v>
      </c>
      <c r="D10043" s="1">
        <v>44364.82849537037</v>
      </c>
      <c r="E10043" t="s">
        <v>31288</v>
      </c>
      <c r="F10043" t="s">
        <v>273</v>
      </c>
      <c r="G10043" t="s">
        <v>31216</v>
      </c>
      <c r="H10043" t="s">
        <v>275</v>
      </c>
      <c r="I10043" t="s">
        <v>29</v>
      </c>
      <c r="J10043">
        <v>1</v>
      </c>
      <c r="K10043">
        <f>1-866-363-6628</f>
        <v>-7856</v>
      </c>
      <c r="L10043" t="s">
        <v>31289</v>
      </c>
      <c r="M10043" t="s">
        <v>31290</v>
      </c>
      <c r="N10043" t="s">
        <v>278</v>
      </c>
      <c r="O10043" t="s">
        <v>28</v>
      </c>
      <c r="P10043" t="s">
        <v>782</v>
      </c>
      <c r="Q10043">
        <v>-34</v>
      </c>
      <c r="R10043">
        <v>99.999999000000003</v>
      </c>
    </row>
    <row r="10044" spans="1:18" x14ac:dyDescent="0.2">
      <c r="A10044" t="s">
        <v>270</v>
      </c>
      <c r="B10044" t="s">
        <v>4672</v>
      </c>
      <c r="C10044">
        <v>1</v>
      </c>
      <c r="D10044" s="1">
        <v>44363.955254629633</v>
      </c>
      <c r="E10044" t="s">
        <v>31291</v>
      </c>
      <c r="F10044" t="s">
        <v>273</v>
      </c>
      <c r="G10044" t="s">
        <v>31216</v>
      </c>
      <c r="H10044" t="s">
        <v>275</v>
      </c>
      <c r="I10044" t="s">
        <v>29</v>
      </c>
      <c r="J10044">
        <v>1</v>
      </c>
      <c r="K10044">
        <f>1-844-318-1817</f>
        <v>-2978</v>
      </c>
      <c r="L10044" t="s">
        <v>31292</v>
      </c>
      <c r="M10044" t="s">
        <v>31293</v>
      </c>
      <c r="N10044" t="s">
        <v>278</v>
      </c>
      <c r="O10044" t="s">
        <v>28</v>
      </c>
      <c r="P10044" t="s">
        <v>782</v>
      </c>
      <c r="Q10044">
        <v>-34</v>
      </c>
      <c r="R10044">
        <v>99.999999000000003</v>
      </c>
    </row>
    <row r="10045" spans="1:18" x14ac:dyDescent="0.2">
      <c r="A10045" t="s">
        <v>270</v>
      </c>
      <c r="B10045" t="s">
        <v>4672</v>
      </c>
      <c r="C10045">
        <v>1</v>
      </c>
      <c r="D10045" s="1">
        <v>44363.943437499998</v>
      </c>
      <c r="E10045" t="s">
        <v>31294</v>
      </c>
      <c r="F10045" t="s">
        <v>273</v>
      </c>
      <c r="G10045" t="s">
        <v>31216</v>
      </c>
      <c r="H10045" t="s">
        <v>275</v>
      </c>
      <c r="I10045" t="s">
        <v>29</v>
      </c>
      <c r="J10045">
        <v>1</v>
      </c>
      <c r="K10045">
        <f>1-844-318-1817</f>
        <v>-2978</v>
      </c>
      <c r="L10045" t="s">
        <v>31295</v>
      </c>
      <c r="M10045" t="s">
        <v>31296</v>
      </c>
      <c r="N10045" t="s">
        <v>278</v>
      </c>
      <c r="O10045" t="s">
        <v>28</v>
      </c>
      <c r="P10045" t="s">
        <v>782</v>
      </c>
      <c r="Q10045">
        <v>-34</v>
      </c>
      <c r="R10045">
        <v>99.999999000000003</v>
      </c>
    </row>
    <row r="10046" spans="1:18" x14ac:dyDescent="0.2">
      <c r="A10046" t="s">
        <v>270</v>
      </c>
      <c r="B10046" t="s">
        <v>4672</v>
      </c>
      <c r="C10046">
        <v>1</v>
      </c>
      <c r="D10046" s="1">
        <v>44357.948784722219</v>
      </c>
      <c r="E10046" t="s">
        <v>31297</v>
      </c>
      <c r="F10046" t="s">
        <v>273</v>
      </c>
      <c r="G10046" t="s">
        <v>31216</v>
      </c>
      <c r="H10046" t="s">
        <v>275</v>
      </c>
      <c r="I10046" t="s">
        <v>29</v>
      </c>
      <c r="J10046">
        <v>1</v>
      </c>
      <c r="K10046">
        <f>1-888-417-4082</f>
        <v>-5386</v>
      </c>
      <c r="L10046" t="s">
        <v>31298</v>
      </c>
      <c r="M10046" t="s">
        <v>31299</v>
      </c>
      <c r="N10046" t="s">
        <v>278</v>
      </c>
      <c r="O10046" t="s">
        <v>28</v>
      </c>
      <c r="P10046" t="s">
        <v>782</v>
      </c>
      <c r="Q10046">
        <v>-34</v>
      </c>
      <c r="R10046">
        <v>99.999999000000003</v>
      </c>
    </row>
    <row r="10047" spans="1:18" x14ac:dyDescent="0.2">
      <c r="A10047" t="s">
        <v>270</v>
      </c>
      <c r="B10047" t="s">
        <v>4672</v>
      </c>
      <c r="C10047">
        <v>1</v>
      </c>
      <c r="D10047" s="1">
        <v>44357.911921296298</v>
      </c>
      <c r="E10047" t="s">
        <v>31300</v>
      </c>
      <c r="F10047" t="s">
        <v>273</v>
      </c>
      <c r="G10047" t="s">
        <v>31216</v>
      </c>
      <c r="H10047" t="s">
        <v>275</v>
      </c>
      <c r="I10047" t="s">
        <v>29</v>
      </c>
      <c r="J10047">
        <v>1</v>
      </c>
      <c r="K10047">
        <f>1-888-392-306</f>
        <v>-1585</v>
      </c>
      <c r="L10047" t="s">
        <v>31301</v>
      </c>
      <c r="M10047" t="s">
        <v>31302</v>
      </c>
      <c r="N10047" t="s">
        <v>278</v>
      </c>
      <c r="O10047" t="s">
        <v>28</v>
      </c>
      <c r="P10047" t="s">
        <v>782</v>
      </c>
      <c r="Q10047">
        <v>-34</v>
      </c>
      <c r="R10047">
        <v>99.999999000000003</v>
      </c>
    </row>
    <row r="10048" spans="1:18" x14ac:dyDescent="0.2">
      <c r="A10048" t="s">
        <v>270</v>
      </c>
      <c r="B10048" t="s">
        <v>4672</v>
      </c>
      <c r="C10048">
        <v>1</v>
      </c>
      <c r="D10048" s="1">
        <v>44357.908020833333</v>
      </c>
      <c r="E10048" t="s">
        <v>31303</v>
      </c>
      <c r="F10048" t="s">
        <v>273</v>
      </c>
      <c r="G10048" t="s">
        <v>31216</v>
      </c>
      <c r="H10048" t="s">
        <v>275</v>
      </c>
      <c r="I10048" t="s">
        <v>29</v>
      </c>
      <c r="J10048">
        <v>1</v>
      </c>
      <c r="K10048">
        <f>1-888-382-3027</f>
        <v>-4296</v>
      </c>
      <c r="L10048" t="s">
        <v>31304</v>
      </c>
      <c r="M10048" t="s">
        <v>31305</v>
      </c>
      <c r="N10048" t="s">
        <v>278</v>
      </c>
      <c r="O10048" t="s">
        <v>28</v>
      </c>
      <c r="P10048" t="s">
        <v>782</v>
      </c>
      <c r="Q10048">
        <v>-34</v>
      </c>
      <c r="R10048">
        <v>99.999999000000003</v>
      </c>
    </row>
    <row r="10049" spans="1:18" x14ac:dyDescent="0.2">
      <c r="A10049" t="s">
        <v>270</v>
      </c>
      <c r="B10049" t="s">
        <v>4672</v>
      </c>
      <c r="C10049">
        <v>1</v>
      </c>
      <c r="D10049" s="1">
        <v>44357.902118055557</v>
      </c>
      <c r="E10049" t="s">
        <v>31306</v>
      </c>
      <c r="F10049" t="s">
        <v>273</v>
      </c>
      <c r="G10049" t="s">
        <v>31216</v>
      </c>
      <c r="H10049" t="s">
        <v>275</v>
      </c>
      <c r="I10049" t="s">
        <v>29</v>
      </c>
      <c r="J10049">
        <v>1</v>
      </c>
      <c r="K10049">
        <f>1-888-382-3027</f>
        <v>-4296</v>
      </c>
      <c r="L10049" t="s">
        <v>31307</v>
      </c>
      <c r="M10049" t="s">
        <v>31308</v>
      </c>
      <c r="N10049" t="s">
        <v>278</v>
      </c>
      <c r="O10049" t="s">
        <v>28</v>
      </c>
      <c r="P10049" t="s">
        <v>782</v>
      </c>
      <c r="Q10049">
        <v>-34</v>
      </c>
      <c r="R10049">
        <v>99.999999000000003</v>
      </c>
    </row>
    <row r="10050" spans="1:18" x14ac:dyDescent="0.2">
      <c r="A10050" t="s">
        <v>270</v>
      </c>
      <c r="B10050" t="s">
        <v>4672</v>
      </c>
      <c r="C10050">
        <v>1</v>
      </c>
      <c r="D10050" s="1">
        <v>44357.876620370371</v>
      </c>
      <c r="E10050" t="s">
        <v>31309</v>
      </c>
      <c r="F10050" t="s">
        <v>273</v>
      </c>
      <c r="G10050" t="s">
        <v>31216</v>
      </c>
      <c r="H10050" t="s">
        <v>275</v>
      </c>
      <c r="I10050" t="s">
        <v>29</v>
      </c>
      <c r="J10050">
        <v>1</v>
      </c>
      <c r="K10050">
        <f>1-888-381-3613</f>
        <v>-4881</v>
      </c>
      <c r="L10050" t="s">
        <v>31310</v>
      </c>
      <c r="M10050" t="s">
        <v>31311</v>
      </c>
      <c r="N10050" t="s">
        <v>278</v>
      </c>
      <c r="O10050" t="s">
        <v>28</v>
      </c>
      <c r="P10050" t="s">
        <v>782</v>
      </c>
      <c r="Q10050">
        <v>-34</v>
      </c>
      <c r="R10050">
        <v>99.999999000000003</v>
      </c>
    </row>
    <row r="10051" spans="1:18" x14ac:dyDescent="0.2">
      <c r="A10051" t="s">
        <v>270</v>
      </c>
      <c r="B10051" t="s">
        <v>4672</v>
      </c>
      <c r="C10051">
        <v>1</v>
      </c>
      <c r="D10051" s="1">
        <v>44357.8752662037</v>
      </c>
      <c r="E10051" t="s">
        <v>31312</v>
      </c>
      <c r="F10051" t="s">
        <v>273</v>
      </c>
      <c r="G10051" t="s">
        <v>31216</v>
      </c>
      <c r="H10051" t="s">
        <v>275</v>
      </c>
      <c r="I10051" t="s">
        <v>29</v>
      </c>
      <c r="J10051">
        <v>1</v>
      </c>
      <c r="K10051">
        <f>1-888-381-3613</f>
        <v>-4881</v>
      </c>
      <c r="L10051" t="s">
        <v>31313</v>
      </c>
      <c r="M10051" t="s">
        <v>31314</v>
      </c>
      <c r="N10051" t="s">
        <v>278</v>
      </c>
      <c r="O10051" t="s">
        <v>28</v>
      </c>
      <c r="P10051" t="s">
        <v>782</v>
      </c>
      <c r="Q10051">
        <v>-34</v>
      </c>
      <c r="R10051">
        <v>99.999999000000003</v>
      </c>
    </row>
    <row r="10052" spans="1:18" x14ac:dyDescent="0.2">
      <c r="A10052" t="s">
        <v>270</v>
      </c>
      <c r="B10052" t="s">
        <v>4672</v>
      </c>
      <c r="C10052">
        <v>1</v>
      </c>
      <c r="D10052" s="1">
        <v>44357.873796296299</v>
      </c>
      <c r="E10052" t="s">
        <v>31315</v>
      </c>
      <c r="F10052" t="s">
        <v>273</v>
      </c>
      <c r="G10052" t="s">
        <v>31216</v>
      </c>
      <c r="H10052" t="s">
        <v>275</v>
      </c>
      <c r="I10052" t="s">
        <v>29</v>
      </c>
      <c r="J10052">
        <v>1</v>
      </c>
      <c r="K10052">
        <f>1-888-381-3613</f>
        <v>-4881</v>
      </c>
      <c r="L10052" t="s">
        <v>31316</v>
      </c>
      <c r="M10052" t="s">
        <v>31317</v>
      </c>
      <c r="N10052" t="s">
        <v>278</v>
      </c>
      <c r="O10052" t="s">
        <v>28</v>
      </c>
      <c r="P10052" t="s">
        <v>782</v>
      </c>
      <c r="Q10052">
        <v>-34</v>
      </c>
      <c r="R10052">
        <v>99.999999000000003</v>
      </c>
    </row>
    <row r="10053" spans="1:18" x14ac:dyDescent="0.2">
      <c r="A10053" t="s">
        <v>270</v>
      </c>
      <c r="B10053" t="s">
        <v>4672</v>
      </c>
      <c r="C10053">
        <v>1</v>
      </c>
      <c r="D10053" s="1">
        <v>44357.870706018519</v>
      </c>
      <c r="E10053" t="s">
        <v>31318</v>
      </c>
      <c r="F10053" t="s">
        <v>273</v>
      </c>
      <c r="G10053" t="s">
        <v>31216</v>
      </c>
      <c r="H10053" t="s">
        <v>275</v>
      </c>
      <c r="I10053" t="s">
        <v>29</v>
      </c>
      <c r="J10053">
        <v>1</v>
      </c>
      <c r="K10053">
        <f>1-888-381-3613</f>
        <v>-4881</v>
      </c>
      <c r="L10053" t="s">
        <v>31319</v>
      </c>
      <c r="M10053" t="s">
        <v>31320</v>
      </c>
      <c r="N10053" t="s">
        <v>278</v>
      </c>
      <c r="O10053" t="s">
        <v>28</v>
      </c>
      <c r="P10053" t="s">
        <v>782</v>
      </c>
      <c r="Q10053">
        <v>-34</v>
      </c>
      <c r="R10053">
        <v>99.999999000000003</v>
      </c>
    </row>
    <row r="10054" spans="1:18" x14ac:dyDescent="0.2">
      <c r="A10054" t="s">
        <v>270</v>
      </c>
      <c r="B10054" t="s">
        <v>4672</v>
      </c>
      <c r="C10054">
        <v>1</v>
      </c>
      <c r="D10054" s="1">
        <v>44357.866631944446</v>
      </c>
      <c r="E10054" t="s">
        <v>31321</v>
      </c>
      <c r="F10054" t="s">
        <v>273</v>
      </c>
      <c r="G10054" t="s">
        <v>31216</v>
      </c>
      <c r="H10054" t="s">
        <v>275</v>
      </c>
      <c r="I10054" t="s">
        <v>29</v>
      </c>
      <c r="J10054">
        <v>1</v>
      </c>
      <c r="K10054">
        <f>1-888-356-9386</f>
        <v>-10629</v>
      </c>
      <c r="L10054" t="s">
        <v>31322</v>
      </c>
      <c r="M10054" t="s">
        <v>31323</v>
      </c>
      <c r="N10054" t="s">
        <v>278</v>
      </c>
      <c r="O10054" t="s">
        <v>28</v>
      </c>
      <c r="P10054" t="s">
        <v>782</v>
      </c>
      <c r="Q10054">
        <v>-34</v>
      </c>
      <c r="R10054">
        <v>99.999999000000003</v>
      </c>
    </row>
    <row r="10055" spans="1:18" x14ac:dyDescent="0.2">
      <c r="A10055" t="s">
        <v>270</v>
      </c>
      <c r="B10055" t="s">
        <v>4672</v>
      </c>
      <c r="C10055">
        <v>1</v>
      </c>
      <c r="D10055" s="1">
        <v>44357.859710648147</v>
      </c>
      <c r="E10055" t="s">
        <v>31324</v>
      </c>
      <c r="F10055" t="s">
        <v>273</v>
      </c>
      <c r="G10055" t="s">
        <v>31216</v>
      </c>
      <c r="H10055" t="s">
        <v>275</v>
      </c>
      <c r="I10055" t="s">
        <v>29</v>
      </c>
      <c r="J10055">
        <v>1</v>
      </c>
      <c r="K10055">
        <f>1-888-356-9386</f>
        <v>-10629</v>
      </c>
      <c r="L10055" t="s">
        <v>31325</v>
      </c>
      <c r="M10055" t="s">
        <v>31326</v>
      </c>
      <c r="N10055" t="s">
        <v>278</v>
      </c>
      <c r="O10055" t="s">
        <v>28</v>
      </c>
      <c r="P10055" t="s">
        <v>782</v>
      </c>
      <c r="Q10055">
        <v>-34</v>
      </c>
      <c r="R10055">
        <v>99.999999000000003</v>
      </c>
    </row>
    <row r="10056" spans="1:18" x14ac:dyDescent="0.2">
      <c r="A10056" t="s">
        <v>270</v>
      </c>
      <c r="B10056" t="s">
        <v>4672</v>
      </c>
      <c r="C10056">
        <v>1</v>
      </c>
      <c r="D10056" s="1">
        <v>44357.855543981481</v>
      </c>
      <c r="E10056" t="s">
        <v>31327</v>
      </c>
      <c r="F10056" t="s">
        <v>273</v>
      </c>
      <c r="G10056" t="s">
        <v>31216</v>
      </c>
      <c r="H10056" t="s">
        <v>275</v>
      </c>
      <c r="I10056" t="s">
        <v>29</v>
      </c>
      <c r="J10056">
        <v>1</v>
      </c>
      <c r="K10056">
        <f>1-888-342-9182</f>
        <v>-10411</v>
      </c>
      <c r="L10056" t="s">
        <v>31328</v>
      </c>
      <c r="M10056" t="s">
        <v>31329</v>
      </c>
      <c r="N10056" t="s">
        <v>278</v>
      </c>
      <c r="O10056" t="s">
        <v>28</v>
      </c>
      <c r="P10056" t="s">
        <v>782</v>
      </c>
      <c r="Q10056">
        <v>-34</v>
      </c>
      <c r="R10056">
        <v>99.999999000000003</v>
      </c>
    </row>
    <row r="10057" spans="1:18" x14ac:dyDescent="0.2">
      <c r="A10057" t="s">
        <v>270</v>
      </c>
      <c r="B10057" t="s">
        <v>4672</v>
      </c>
      <c r="C10057">
        <v>1</v>
      </c>
      <c r="D10057" s="1">
        <v>44334.777870370373</v>
      </c>
      <c r="E10057" t="s">
        <v>31330</v>
      </c>
      <c r="F10057" t="s">
        <v>273</v>
      </c>
      <c r="G10057" t="s">
        <v>31216</v>
      </c>
      <c r="H10057" t="s">
        <v>275</v>
      </c>
      <c r="I10057" t="s">
        <v>29</v>
      </c>
      <c r="J10057">
        <v>1</v>
      </c>
      <c r="K10057">
        <f>1-888-450-5176</f>
        <v>-6513</v>
      </c>
      <c r="L10057" t="s">
        <v>31331</v>
      </c>
      <c r="M10057" t="s">
        <v>31332</v>
      </c>
      <c r="N10057" t="s">
        <v>278</v>
      </c>
      <c r="O10057" t="s">
        <v>28</v>
      </c>
      <c r="P10057" t="s">
        <v>782</v>
      </c>
      <c r="Q10057">
        <v>-34</v>
      </c>
      <c r="R10057">
        <v>99.999999000000003</v>
      </c>
    </row>
    <row r="10058" spans="1:18" x14ac:dyDescent="0.2">
      <c r="A10058" t="s">
        <v>270</v>
      </c>
      <c r="B10058" t="s">
        <v>4672</v>
      </c>
      <c r="C10058">
        <v>1</v>
      </c>
      <c r="D10058" s="1">
        <v>44334.765983796293</v>
      </c>
      <c r="E10058" t="s">
        <v>31333</v>
      </c>
      <c r="F10058" t="s">
        <v>273</v>
      </c>
      <c r="G10058" t="s">
        <v>31216</v>
      </c>
      <c r="H10058" t="s">
        <v>275</v>
      </c>
      <c r="I10058" t="s">
        <v>29</v>
      </c>
      <c r="J10058">
        <v>1</v>
      </c>
      <c r="K10058">
        <f>1-866-371-5049</f>
        <v>-6285</v>
      </c>
      <c r="L10058" t="s">
        <v>31334</v>
      </c>
      <c r="M10058" t="s">
        <v>31335</v>
      </c>
      <c r="N10058" t="s">
        <v>278</v>
      </c>
      <c r="O10058" t="s">
        <v>28</v>
      </c>
      <c r="P10058" t="s">
        <v>782</v>
      </c>
      <c r="Q10058">
        <v>-34</v>
      </c>
      <c r="R10058">
        <v>99.999999000000003</v>
      </c>
    </row>
    <row r="10059" spans="1:18" x14ac:dyDescent="0.2">
      <c r="A10059" t="s">
        <v>439</v>
      </c>
      <c r="B10059" t="s">
        <v>4321</v>
      </c>
      <c r="C10059">
        <v>1</v>
      </c>
      <c r="D10059" s="1">
        <v>44334.814583333333</v>
      </c>
      <c r="E10059" t="s">
        <v>31336</v>
      </c>
      <c r="F10059" t="s">
        <v>442</v>
      </c>
      <c r="G10059" t="s">
        <v>31337</v>
      </c>
      <c r="H10059" t="s">
        <v>444</v>
      </c>
      <c r="I10059" t="s">
        <v>29</v>
      </c>
      <c r="J10059">
        <v>1</v>
      </c>
      <c r="K10059">
        <f>1-844-489-8541</f>
        <v>-9873</v>
      </c>
      <c r="L10059" t="s">
        <v>31338</v>
      </c>
      <c r="M10059" t="s">
        <v>31339</v>
      </c>
      <c r="N10059" t="s">
        <v>447</v>
      </c>
      <c r="O10059" t="s">
        <v>28</v>
      </c>
      <c r="P10059" t="s">
        <v>29</v>
      </c>
      <c r="Q10059">
        <v>42</v>
      </c>
      <c r="R10059">
        <v>-87.629800000000003</v>
      </c>
    </row>
    <row r="10060" spans="1:18" x14ac:dyDescent="0.2">
      <c r="A10060" t="s">
        <v>439</v>
      </c>
      <c r="B10060" t="s">
        <v>4321</v>
      </c>
      <c r="C10060">
        <v>1</v>
      </c>
      <c r="D10060" s="1">
        <v>44334.826574074075</v>
      </c>
      <c r="E10060" t="s">
        <v>31340</v>
      </c>
      <c r="F10060" t="s">
        <v>442</v>
      </c>
      <c r="G10060" t="s">
        <v>31341</v>
      </c>
      <c r="H10060" t="s">
        <v>444</v>
      </c>
      <c r="I10060" t="s">
        <v>29</v>
      </c>
      <c r="J10060">
        <v>1</v>
      </c>
      <c r="K10060">
        <f>1-844-722-317</f>
        <v>-1882</v>
      </c>
      <c r="L10060" t="s">
        <v>31342</v>
      </c>
      <c r="M10060" t="s">
        <v>31343</v>
      </c>
      <c r="N10060" t="s">
        <v>447</v>
      </c>
      <c r="O10060" t="s">
        <v>28</v>
      </c>
      <c r="P10060" t="s">
        <v>29</v>
      </c>
      <c r="Q10060">
        <v>42</v>
      </c>
      <c r="R10060">
        <v>-87.629800000000003</v>
      </c>
    </row>
    <row r="10061" spans="1:18" x14ac:dyDescent="0.2">
      <c r="A10061" t="s">
        <v>439</v>
      </c>
      <c r="B10061" t="s">
        <v>4321</v>
      </c>
      <c r="C10061">
        <v>1</v>
      </c>
      <c r="D10061" s="1">
        <v>44334.86277777778</v>
      </c>
      <c r="E10061" t="s">
        <v>31344</v>
      </c>
      <c r="F10061" t="s">
        <v>442</v>
      </c>
      <c r="G10061" t="s">
        <v>31345</v>
      </c>
      <c r="H10061" t="s">
        <v>444</v>
      </c>
      <c r="I10061" t="s">
        <v>29</v>
      </c>
      <c r="J10061">
        <v>1</v>
      </c>
      <c r="K10061">
        <f>1-888-308-5705</f>
        <v>-6900</v>
      </c>
      <c r="L10061" t="s">
        <v>31346</v>
      </c>
      <c r="M10061" t="s">
        <v>31347</v>
      </c>
      <c r="N10061" t="s">
        <v>5986</v>
      </c>
      <c r="O10061" t="s">
        <v>28</v>
      </c>
      <c r="P10061" t="s">
        <v>29</v>
      </c>
      <c r="Q10061">
        <v>42</v>
      </c>
      <c r="R10061">
        <v>-87.629800000000003</v>
      </c>
    </row>
    <row r="10062" spans="1:18" x14ac:dyDescent="0.2">
      <c r="A10062" t="s">
        <v>439</v>
      </c>
      <c r="B10062" t="s">
        <v>4321</v>
      </c>
      <c r="C10062">
        <v>1</v>
      </c>
      <c r="D10062" s="1">
        <v>44334.828680555554</v>
      </c>
      <c r="E10062" t="s">
        <v>31344</v>
      </c>
      <c r="F10062" t="s">
        <v>442</v>
      </c>
      <c r="G10062" t="s">
        <v>31345</v>
      </c>
      <c r="H10062" t="s">
        <v>444</v>
      </c>
      <c r="I10062" t="s">
        <v>29</v>
      </c>
      <c r="J10062">
        <v>1</v>
      </c>
      <c r="K10062">
        <f>1-844-340-7213</f>
        <v>-8396</v>
      </c>
      <c r="L10062" t="s">
        <v>31348</v>
      </c>
      <c r="M10062" t="s">
        <v>31349</v>
      </c>
      <c r="N10062" t="s">
        <v>5986</v>
      </c>
      <c r="O10062" t="s">
        <v>28</v>
      </c>
      <c r="P10062" t="s">
        <v>29</v>
      </c>
      <c r="Q10062">
        <v>42</v>
      </c>
      <c r="R10062">
        <v>-87.629800000000003</v>
      </c>
    </row>
    <row r="10063" spans="1:18" x14ac:dyDescent="0.2">
      <c r="A10063" t="s">
        <v>2233</v>
      </c>
      <c r="B10063" t="s">
        <v>1638</v>
      </c>
      <c r="C10063">
        <v>1</v>
      </c>
      <c r="D10063" s="1">
        <v>44336.94866898148</v>
      </c>
      <c r="E10063" t="s">
        <v>31350</v>
      </c>
      <c r="F10063" t="s">
        <v>2236</v>
      </c>
      <c r="G10063" t="s">
        <v>31351</v>
      </c>
      <c r="H10063" t="s">
        <v>2237</v>
      </c>
      <c r="I10063" t="s">
        <v>29</v>
      </c>
      <c r="J10063">
        <v>1</v>
      </c>
      <c r="K10063">
        <f>1-888-775-3170</f>
        <v>-4832</v>
      </c>
      <c r="L10063" t="s">
        <v>31352</v>
      </c>
      <c r="M10063" t="s">
        <v>31353</v>
      </c>
      <c r="N10063" t="s">
        <v>278</v>
      </c>
      <c r="O10063" t="s">
        <v>28</v>
      </c>
      <c r="P10063" t="s">
        <v>292</v>
      </c>
      <c r="Q10063">
        <v>49</v>
      </c>
      <c r="R10063">
        <v>2.35222</v>
      </c>
    </row>
    <row r="10064" spans="1:18" x14ac:dyDescent="0.2">
      <c r="A10064" t="s">
        <v>2233</v>
      </c>
      <c r="B10064" t="s">
        <v>1638</v>
      </c>
      <c r="C10064">
        <v>1</v>
      </c>
      <c r="D10064" s="1">
        <v>44336.944918981484</v>
      </c>
      <c r="E10064" t="s">
        <v>31350</v>
      </c>
      <c r="F10064" t="s">
        <v>2236</v>
      </c>
      <c r="G10064" t="s">
        <v>31351</v>
      </c>
      <c r="H10064" t="s">
        <v>2237</v>
      </c>
      <c r="I10064" t="s">
        <v>29</v>
      </c>
      <c r="J10064">
        <v>1</v>
      </c>
      <c r="K10064">
        <f>1-888-778-9182</f>
        <v>-10847</v>
      </c>
      <c r="L10064" t="s">
        <v>31354</v>
      </c>
      <c r="M10064" t="s">
        <v>31355</v>
      </c>
      <c r="N10064" t="s">
        <v>278</v>
      </c>
      <c r="O10064" t="s">
        <v>28</v>
      </c>
      <c r="P10064" t="s">
        <v>292</v>
      </c>
      <c r="Q10064">
        <v>49</v>
      </c>
      <c r="R10064">
        <v>2.35222</v>
      </c>
    </row>
    <row r="10065" spans="1:18" x14ac:dyDescent="0.2">
      <c r="A10065" t="s">
        <v>2233</v>
      </c>
      <c r="B10065" t="s">
        <v>1638</v>
      </c>
      <c r="C10065">
        <v>1</v>
      </c>
      <c r="D10065" s="1">
        <v>44336.944143518522</v>
      </c>
      <c r="E10065" t="s">
        <v>31350</v>
      </c>
      <c r="F10065" t="s">
        <v>2236</v>
      </c>
      <c r="G10065" t="s">
        <v>31351</v>
      </c>
      <c r="H10065" t="s">
        <v>2237</v>
      </c>
      <c r="I10065" t="s">
        <v>29</v>
      </c>
      <c r="J10065">
        <v>1</v>
      </c>
      <c r="K10065">
        <f>1-888-780-4127</f>
        <v>-5794</v>
      </c>
      <c r="L10065" t="s">
        <v>31356</v>
      </c>
      <c r="M10065" t="s">
        <v>31357</v>
      </c>
      <c r="N10065" t="s">
        <v>278</v>
      </c>
      <c r="O10065" t="s">
        <v>28</v>
      </c>
      <c r="P10065" t="s">
        <v>292</v>
      </c>
      <c r="Q10065">
        <v>49</v>
      </c>
      <c r="R10065">
        <v>2.35222</v>
      </c>
    </row>
    <row r="10066" spans="1:18" x14ac:dyDescent="0.2">
      <c r="A10066" t="s">
        <v>2233</v>
      </c>
      <c r="B10066" t="s">
        <v>1638</v>
      </c>
      <c r="C10066">
        <v>1</v>
      </c>
      <c r="D10066" s="1">
        <v>44336.952164351853</v>
      </c>
      <c r="E10066" t="s">
        <v>31350</v>
      </c>
      <c r="F10066" t="s">
        <v>2236</v>
      </c>
      <c r="G10066" t="s">
        <v>31351</v>
      </c>
      <c r="H10066" t="s">
        <v>2237</v>
      </c>
      <c r="I10066" t="s">
        <v>29</v>
      </c>
      <c r="J10066">
        <v>1</v>
      </c>
      <c r="K10066">
        <f>1-888-780-5674</f>
        <v>-7341</v>
      </c>
      <c r="L10066" t="s">
        <v>31358</v>
      </c>
      <c r="M10066" t="s">
        <v>31359</v>
      </c>
      <c r="N10066" t="s">
        <v>278</v>
      </c>
      <c r="O10066" t="s">
        <v>28</v>
      </c>
      <c r="P10066" t="s">
        <v>292</v>
      </c>
      <c r="Q10066">
        <v>49</v>
      </c>
      <c r="R10066">
        <v>2.35222</v>
      </c>
    </row>
    <row r="10067" spans="1:18" x14ac:dyDescent="0.2">
      <c r="A10067" t="s">
        <v>2233</v>
      </c>
      <c r="B10067" t="s">
        <v>1638</v>
      </c>
      <c r="C10067">
        <v>1</v>
      </c>
      <c r="D10067" s="1">
        <v>44334.918692129628</v>
      </c>
      <c r="E10067" t="s">
        <v>31360</v>
      </c>
      <c r="F10067" t="s">
        <v>7023</v>
      </c>
      <c r="G10067" t="s">
        <v>31361</v>
      </c>
      <c r="H10067" t="s">
        <v>2237</v>
      </c>
      <c r="I10067" t="s">
        <v>29</v>
      </c>
      <c r="J10067">
        <v>1</v>
      </c>
      <c r="K10067">
        <f>1-888-784-9316</f>
        <v>-10987</v>
      </c>
      <c r="L10067" t="s">
        <v>31362</v>
      </c>
      <c r="M10067" t="s">
        <v>31363</v>
      </c>
      <c r="N10067" t="s">
        <v>278</v>
      </c>
      <c r="O10067" t="s">
        <v>28</v>
      </c>
      <c r="P10067" t="s">
        <v>292</v>
      </c>
      <c r="Q10067">
        <v>49</v>
      </c>
      <c r="R10067">
        <v>2.35222</v>
      </c>
    </row>
    <row r="10068" spans="1:18" x14ac:dyDescent="0.2">
      <c r="A10068" t="s">
        <v>2233</v>
      </c>
      <c r="B10068" t="s">
        <v>1638</v>
      </c>
      <c r="C10068">
        <v>1</v>
      </c>
      <c r="D10068" s="1">
        <v>44335.742094907408</v>
      </c>
      <c r="E10068" t="s">
        <v>30503</v>
      </c>
      <c r="F10068" t="s">
        <v>2236</v>
      </c>
      <c r="G10068" t="s">
        <v>31364</v>
      </c>
      <c r="H10068" t="s">
        <v>2237</v>
      </c>
      <c r="I10068" t="s">
        <v>29</v>
      </c>
      <c r="J10068">
        <v>1</v>
      </c>
      <c r="K10068">
        <f>1-888-776-521</f>
        <v>-2184</v>
      </c>
      <c r="L10068" t="s">
        <v>31365</v>
      </c>
      <c r="M10068" t="s">
        <v>31366</v>
      </c>
      <c r="N10068" t="s">
        <v>278</v>
      </c>
      <c r="O10068" t="s">
        <v>28</v>
      </c>
      <c r="P10068" t="s">
        <v>292</v>
      </c>
      <c r="Q10068">
        <v>49</v>
      </c>
      <c r="R10068">
        <v>2.35222</v>
      </c>
    </row>
    <row r="10069" spans="1:18" x14ac:dyDescent="0.2">
      <c r="A10069" t="s">
        <v>2233</v>
      </c>
      <c r="B10069" t="s">
        <v>1638</v>
      </c>
      <c r="C10069">
        <v>1</v>
      </c>
      <c r="D10069" s="1">
        <v>44335.756273148145</v>
      </c>
      <c r="E10069" t="s">
        <v>30503</v>
      </c>
      <c r="F10069" t="s">
        <v>2236</v>
      </c>
      <c r="G10069" t="s">
        <v>31367</v>
      </c>
      <c r="H10069" t="s">
        <v>2237</v>
      </c>
      <c r="I10069" t="s">
        <v>29</v>
      </c>
      <c r="J10069">
        <v>1</v>
      </c>
      <c r="K10069">
        <f>1-888-785-5609</f>
        <v>-7281</v>
      </c>
      <c r="L10069" t="s">
        <v>31368</v>
      </c>
      <c r="M10069" t="s">
        <v>31369</v>
      </c>
      <c r="N10069" t="s">
        <v>278</v>
      </c>
      <c r="O10069" t="s">
        <v>28</v>
      </c>
      <c r="P10069" t="s">
        <v>292</v>
      </c>
      <c r="Q10069">
        <v>49</v>
      </c>
      <c r="R10069">
        <v>2.35222</v>
      </c>
    </row>
    <row r="10070" spans="1:18" x14ac:dyDescent="0.2">
      <c r="A10070" t="s">
        <v>2233</v>
      </c>
      <c r="B10070" t="s">
        <v>1638</v>
      </c>
      <c r="C10070">
        <v>1</v>
      </c>
      <c r="D10070" s="1">
        <v>44335.748495370368</v>
      </c>
      <c r="E10070" t="s">
        <v>30503</v>
      </c>
      <c r="F10070" t="s">
        <v>2236</v>
      </c>
      <c r="G10070" t="s">
        <v>31367</v>
      </c>
      <c r="H10070" t="s">
        <v>2237</v>
      </c>
      <c r="I10070" t="s">
        <v>29</v>
      </c>
      <c r="J10070">
        <v>1</v>
      </c>
      <c r="K10070">
        <f>1-888-784-2297</f>
        <v>-3968</v>
      </c>
      <c r="L10070" t="s">
        <v>31370</v>
      </c>
      <c r="M10070" t="s">
        <v>31371</v>
      </c>
      <c r="N10070" t="s">
        <v>278</v>
      </c>
      <c r="O10070" t="s">
        <v>28</v>
      </c>
      <c r="P10070" t="s">
        <v>292</v>
      </c>
      <c r="Q10070">
        <v>49</v>
      </c>
      <c r="R10070">
        <v>2.35222</v>
      </c>
    </row>
    <row r="10071" spans="1:18" x14ac:dyDescent="0.2">
      <c r="A10071" t="s">
        <v>2233</v>
      </c>
      <c r="B10071" t="s">
        <v>1638</v>
      </c>
      <c r="C10071">
        <v>1</v>
      </c>
      <c r="D10071" s="1">
        <v>44335.746562499997</v>
      </c>
      <c r="E10071" t="s">
        <v>30503</v>
      </c>
      <c r="F10071" t="s">
        <v>2236</v>
      </c>
      <c r="G10071" t="s">
        <v>31367</v>
      </c>
      <c r="H10071" t="s">
        <v>2237</v>
      </c>
      <c r="I10071" t="s">
        <v>29</v>
      </c>
      <c r="J10071">
        <v>1</v>
      </c>
      <c r="K10071">
        <f>1-888-782-1482</f>
        <v>-3151</v>
      </c>
      <c r="L10071" t="s">
        <v>31372</v>
      </c>
      <c r="M10071" t="s">
        <v>31373</v>
      </c>
      <c r="N10071" t="s">
        <v>278</v>
      </c>
      <c r="O10071" t="s">
        <v>28</v>
      </c>
      <c r="P10071" t="s">
        <v>292</v>
      </c>
      <c r="Q10071">
        <v>49</v>
      </c>
      <c r="R10071">
        <v>2.35222</v>
      </c>
    </row>
    <row r="10072" spans="1:18" x14ac:dyDescent="0.2">
      <c r="A10072" t="s">
        <v>270</v>
      </c>
      <c r="B10072" t="s">
        <v>271</v>
      </c>
      <c r="C10072">
        <v>1</v>
      </c>
      <c r="D10072" s="1">
        <v>44369.855486111112</v>
      </c>
      <c r="E10072" t="s">
        <v>31374</v>
      </c>
      <c r="F10072" t="s">
        <v>273</v>
      </c>
      <c r="G10072" t="s">
        <v>31375</v>
      </c>
      <c r="H10072" t="s">
        <v>275</v>
      </c>
      <c r="I10072" t="s">
        <v>29</v>
      </c>
      <c r="J10072">
        <v>1</v>
      </c>
      <c r="K10072">
        <f>1-864-869-8129</f>
        <v>-9861</v>
      </c>
      <c r="L10072" t="s">
        <v>31376</v>
      </c>
      <c r="M10072" t="s">
        <v>31377</v>
      </c>
      <c r="N10072" t="s">
        <v>278</v>
      </c>
      <c r="O10072" t="s">
        <v>28</v>
      </c>
      <c r="P10072" t="s">
        <v>29</v>
      </c>
      <c r="Q10072">
        <v>42</v>
      </c>
      <c r="R10072">
        <v>-93.620800000000003</v>
      </c>
    </row>
    <row r="10073" spans="1:18" x14ac:dyDescent="0.2">
      <c r="A10073" t="s">
        <v>270</v>
      </c>
      <c r="B10073" t="s">
        <v>271</v>
      </c>
      <c r="C10073">
        <v>1</v>
      </c>
      <c r="D10073" s="1">
        <v>44369.853495370371</v>
      </c>
      <c r="E10073" t="s">
        <v>31378</v>
      </c>
      <c r="F10073" t="s">
        <v>273</v>
      </c>
      <c r="G10073" t="s">
        <v>31375</v>
      </c>
      <c r="H10073" t="s">
        <v>275</v>
      </c>
      <c r="I10073" t="s">
        <v>29</v>
      </c>
      <c r="J10073">
        <v>1</v>
      </c>
      <c r="K10073">
        <f>1-864-869-8129</f>
        <v>-9861</v>
      </c>
      <c r="L10073" t="s">
        <v>31379</v>
      </c>
      <c r="M10073" t="s">
        <v>31380</v>
      </c>
      <c r="N10073" t="s">
        <v>278</v>
      </c>
      <c r="O10073" t="s">
        <v>28</v>
      </c>
      <c r="P10073" t="s">
        <v>29</v>
      </c>
      <c r="Q10073">
        <v>42</v>
      </c>
      <c r="R10073">
        <v>-93.620800000000003</v>
      </c>
    </row>
    <row r="10074" spans="1:18" x14ac:dyDescent="0.2">
      <c r="A10074" t="s">
        <v>270</v>
      </c>
      <c r="B10074" t="s">
        <v>271</v>
      </c>
      <c r="C10074">
        <v>1</v>
      </c>
      <c r="D10074" s="1">
        <v>44369.853437500002</v>
      </c>
      <c r="E10074" t="s">
        <v>31381</v>
      </c>
      <c r="F10074" t="s">
        <v>273</v>
      </c>
      <c r="G10074" t="s">
        <v>31375</v>
      </c>
      <c r="H10074" t="s">
        <v>275</v>
      </c>
      <c r="I10074" t="s">
        <v>29</v>
      </c>
      <c r="J10074">
        <v>1</v>
      </c>
      <c r="K10074">
        <f>1-864-869-8129</f>
        <v>-9861</v>
      </c>
      <c r="L10074" t="s">
        <v>31382</v>
      </c>
      <c r="M10074" t="s">
        <v>31383</v>
      </c>
      <c r="N10074" t="s">
        <v>278</v>
      </c>
      <c r="O10074" t="s">
        <v>28</v>
      </c>
      <c r="P10074" t="s">
        <v>29</v>
      </c>
      <c r="Q10074">
        <v>42</v>
      </c>
      <c r="R10074">
        <v>-93.620800000000003</v>
      </c>
    </row>
    <row r="10075" spans="1:18" x14ac:dyDescent="0.2">
      <c r="A10075" t="s">
        <v>270</v>
      </c>
      <c r="B10075" t="s">
        <v>271</v>
      </c>
      <c r="C10075">
        <v>1</v>
      </c>
      <c r="D10075" s="1">
        <v>44369.853356481479</v>
      </c>
      <c r="E10075" t="s">
        <v>31384</v>
      </c>
      <c r="F10075" t="s">
        <v>273</v>
      </c>
      <c r="G10075" t="s">
        <v>31375</v>
      </c>
      <c r="H10075" t="s">
        <v>275</v>
      </c>
      <c r="I10075" t="s">
        <v>29</v>
      </c>
      <c r="J10075">
        <v>1</v>
      </c>
      <c r="K10075">
        <f>1-864-869-8129</f>
        <v>-9861</v>
      </c>
      <c r="L10075" t="s">
        <v>31385</v>
      </c>
      <c r="M10075" t="s">
        <v>31386</v>
      </c>
      <c r="N10075" t="s">
        <v>278</v>
      </c>
      <c r="O10075" t="s">
        <v>28</v>
      </c>
      <c r="P10075" t="s">
        <v>29</v>
      </c>
      <c r="Q10075">
        <v>42</v>
      </c>
      <c r="R10075">
        <v>-93.620800000000003</v>
      </c>
    </row>
    <row r="10076" spans="1:18" x14ac:dyDescent="0.2">
      <c r="A10076" t="s">
        <v>270</v>
      </c>
      <c r="B10076" t="s">
        <v>271</v>
      </c>
      <c r="C10076">
        <v>1</v>
      </c>
      <c r="D10076" s="1">
        <v>44369.853298611109</v>
      </c>
      <c r="E10076" t="s">
        <v>31387</v>
      </c>
      <c r="F10076" t="s">
        <v>273</v>
      </c>
      <c r="G10076" t="s">
        <v>31375</v>
      </c>
      <c r="H10076" t="s">
        <v>275</v>
      </c>
      <c r="I10076" t="s">
        <v>29</v>
      </c>
      <c r="J10076">
        <v>1</v>
      </c>
      <c r="K10076">
        <f>1-864-869-8129</f>
        <v>-9861</v>
      </c>
      <c r="L10076" t="s">
        <v>31388</v>
      </c>
      <c r="M10076" t="s">
        <v>31389</v>
      </c>
      <c r="N10076" t="s">
        <v>278</v>
      </c>
      <c r="O10076" t="s">
        <v>28</v>
      </c>
      <c r="P10076" t="s">
        <v>29</v>
      </c>
      <c r="Q10076">
        <v>42</v>
      </c>
      <c r="R10076">
        <v>-93.620800000000003</v>
      </c>
    </row>
    <row r="10077" spans="1:18" x14ac:dyDescent="0.2">
      <c r="A10077" t="s">
        <v>270</v>
      </c>
      <c r="B10077" t="s">
        <v>271</v>
      </c>
      <c r="C10077">
        <v>1</v>
      </c>
      <c r="D10077" s="1">
        <v>44364.00545138889</v>
      </c>
      <c r="E10077" t="s">
        <v>31390</v>
      </c>
      <c r="F10077" t="s">
        <v>273</v>
      </c>
      <c r="G10077" t="s">
        <v>31375</v>
      </c>
      <c r="H10077" t="s">
        <v>275</v>
      </c>
      <c r="I10077" t="s">
        <v>29</v>
      </c>
      <c r="J10077">
        <v>1</v>
      </c>
      <c r="K10077">
        <f t="shared" ref="K10077:K10086" si="66">1-804-715-1101</f>
        <v>-2619</v>
      </c>
      <c r="L10077" t="s">
        <v>31391</v>
      </c>
      <c r="M10077" t="s">
        <v>31392</v>
      </c>
      <c r="N10077" t="s">
        <v>278</v>
      </c>
      <c r="O10077" t="s">
        <v>28</v>
      </c>
      <c r="P10077" t="s">
        <v>29</v>
      </c>
      <c r="Q10077">
        <v>42</v>
      </c>
      <c r="R10077">
        <v>-93.620800000000003</v>
      </c>
    </row>
    <row r="10078" spans="1:18" x14ac:dyDescent="0.2">
      <c r="A10078" t="s">
        <v>270</v>
      </c>
      <c r="B10078" t="s">
        <v>271</v>
      </c>
      <c r="C10078">
        <v>1</v>
      </c>
      <c r="D10078" s="1">
        <v>44364.005335648151</v>
      </c>
      <c r="E10078" t="s">
        <v>31393</v>
      </c>
      <c r="F10078" t="s">
        <v>273</v>
      </c>
      <c r="G10078" t="s">
        <v>31375</v>
      </c>
      <c r="H10078" t="s">
        <v>275</v>
      </c>
      <c r="I10078" t="s">
        <v>29</v>
      </c>
      <c r="J10078">
        <v>1</v>
      </c>
      <c r="K10078">
        <f t="shared" si="66"/>
        <v>-2619</v>
      </c>
      <c r="L10078" t="s">
        <v>31394</v>
      </c>
      <c r="M10078" t="s">
        <v>31395</v>
      </c>
      <c r="N10078" t="s">
        <v>278</v>
      </c>
      <c r="O10078" t="s">
        <v>28</v>
      </c>
      <c r="P10078" t="s">
        <v>29</v>
      </c>
      <c r="Q10078">
        <v>42</v>
      </c>
      <c r="R10078">
        <v>-93.620800000000003</v>
      </c>
    </row>
    <row r="10079" spans="1:18" x14ac:dyDescent="0.2">
      <c r="A10079" t="s">
        <v>270</v>
      </c>
      <c r="B10079" t="s">
        <v>271</v>
      </c>
      <c r="C10079">
        <v>1</v>
      </c>
      <c r="D10079" s="1">
        <v>44364.005219907405</v>
      </c>
      <c r="E10079" t="s">
        <v>31396</v>
      </c>
      <c r="F10079" t="s">
        <v>273</v>
      </c>
      <c r="G10079" t="s">
        <v>31375</v>
      </c>
      <c r="H10079" t="s">
        <v>275</v>
      </c>
      <c r="I10079" t="s">
        <v>29</v>
      </c>
      <c r="J10079">
        <v>1</v>
      </c>
      <c r="K10079">
        <f t="shared" si="66"/>
        <v>-2619</v>
      </c>
      <c r="L10079" t="s">
        <v>31397</v>
      </c>
      <c r="M10079" t="s">
        <v>31398</v>
      </c>
      <c r="N10079" t="s">
        <v>278</v>
      </c>
      <c r="O10079" t="s">
        <v>28</v>
      </c>
      <c r="P10079" t="s">
        <v>29</v>
      </c>
      <c r="Q10079">
        <v>42</v>
      </c>
      <c r="R10079">
        <v>-93.620800000000003</v>
      </c>
    </row>
    <row r="10080" spans="1:18" x14ac:dyDescent="0.2">
      <c r="A10080" t="s">
        <v>270</v>
      </c>
      <c r="B10080" t="s">
        <v>271</v>
      </c>
      <c r="C10080">
        <v>1</v>
      </c>
      <c r="D10080" s="1">
        <v>44364.004999999997</v>
      </c>
      <c r="E10080" t="s">
        <v>31399</v>
      </c>
      <c r="F10080" t="s">
        <v>273</v>
      </c>
      <c r="G10080" t="s">
        <v>31375</v>
      </c>
      <c r="H10080" t="s">
        <v>275</v>
      </c>
      <c r="I10080" t="s">
        <v>29</v>
      </c>
      <c r="J10080">
        <v>1</v>
      </c>
      <c r="K10080">
        <f t="shared" si="66"/>
        <v>-2619</v>
      </c>
      <c r="L10080" t="s">
        <v>31400</v>
      </c>
      <c r="M10080" t="s">
        <v>31401</v>
      </c>
      <c r="N10080" t="s">
        <v>278</v>
      </c>
      <c r="O10080" t="s">
        <v>28</v>
      </c>
      <c r="P10080" t="s">
        <v>29</v>
      </c>
      <c r="Q10080">
        <v>42</v>
      </c>
      <c r="R10080">
        <v>-93.620800000000003</v>
      </c>
    </row>
    <row r="10081" spans="1:18" x14ac:dyDescent="0.2">
      <c r="A10081" t="s">
        <v>270</v>
      </c>
      <c r="B10081" t="s">
        <v>271</v>
      </c>
      <c r="C10081">
        <v>1</v>
      </c>
      <c r="D10081" s="1">
        <v>44363.991261574076</v>
      </c>
      <c r="E10081" t="s">
        <v>31402</v>
      </c>
      <c r="F10081" t="s">
        <v>273</v>
      </c>
      <c r="G10081" t="s">
        <v>31375</v>
      </c>
      <c r="H10081" t="s">
        <v>275</v>
      </c>
      <c r="I10081" t="s">
        <v>29</v>
      </c>
      <c r="J10081">
        <v>1</v>
      </c>
      <c r="K10081">
        <f t="shared" si="66"/>
        <v>-2619</v>
      </c>
      <c r="L10081" t="s">
        <v>31403</v>
      </c>
      <c r="M10081" t="s">
        <v>31404</v>
      </c>
      <c r="N10081" t="s">
        <v>278</v>
      </c>
      <c r="O10081" t="s">
        <v>28</v>
      </c>
      <c r="P10081" t="s">
        <v>29</v>
      </c>
      <c r="Q10081">
        <v>42</v>
      </c>
      <c r="R10081">
        <v>-93.620800000000003</v>
      </c>
    </row>
    <row r="10082" spans="1:18" x14ac:dyDescent="0.2">
      <c r="A10082" t="s">
        <v>270</v>
      </c>
      <c r="B10082" t="s">
        <v>271</v>
      </c>
      <c r="C10082">
        <v>1</v>
      </c>
      <c r="D10082" s="1">
        <v>44363.926249999997</v>
      </c>
      <c r="E10082" t="s">
        <v>31405</v>
      </c>
      <c r="F10082" t="s">
        <v>273</v>
      </c>
      <c r="G10082" t="s">
        <v>31375</v>
      </c>
      <c r="H10082" t="s">
        <v>275</v>
      </c>
      <c r="I10082" t="s">
        <v>29</v>
      </c>
      <c r="J10082">
        <v>1</v>
      </c>
      <c r="K10082">
        <f t="shared" si="66"/>
        <v>-2619</v>
      </c>
      <c r="L10082" t="s">
        <v>31406</v>
      </c>
      <c r="M10082" t="s">
        <v>31407</v>
      </c>
      <c r="N10082" t="s">
        <v>278</v>
      </c>
      <c r="O10082" t="s">
        <v>28</v>
      </c>
      <c r="P10082" t="s">
        <v>29</v>
      </c>
      <c r="Q10082">
        <v>42</v>
      </c>
      <c r="R10082">
        <v>-93.620800000000003</v>
      </c>
    </row>
    <row r="10083" spans="1:18" x14ac:dyDescent="0.2">
      <c r="A10083" t="s">
        <v>270</v>
      </c>
      <c r="B10083" t="s">
        <v>271</v>
      </c>
      <c r="C10083">
        <v>1</v>
      </c>
      <c r="D10083" s="1">
        <v>44363.921423611115</v>
      </c>
      <c r="E10083" t="s">
        <v>31408</v>
      </c>
      <c r="F10083" t="s">
        <v>273</v>
      </c>
      <c r="G10083" t="s">
        <v>31375</v>
      </c>
      <c r="H10083" t="s">
        <v>275</v>
      </c>
      <c r="I10083" t="s">
        <v>29</v>
      </c>
      <c r="J10083">
        <v>1</v>
      </c>
      <c r="K10083">
        <f t="shared" si="66"/>
        <v>-2619</v>
      </c>
      <c r="L10083" t="s">
        <v>31409</v>
      </c>
      <c r="M10083" t="s">
        <v>31410</v>
      </c>
      <c r="N10083" t="s">
        <v>278</v>
      </c>
      <c r="O10083" t="s">
        <v>28</v>
      </c>
      <c r="P10083" t="s">
        <v>29</v>
      </c>
      <c r="Q10083">
        <v>42</v>
      </c>
      <c r="R10083">
        <v>-93.620800000000003</v>
      </c>
    </row>
    <row r="10084" spans="1:18" x14ac:dyDescent="0.2">
      <c r="A10084" t="s">
        <v>270</v>
      </c>
      <c r="B10084" t="s">
        <v>271</v>
      </c>
      <c r="C10084">
        <v>1</v>
      </c>
      <c r="D10084" s="1">
        <v>44363.921365740738</v>
      </c>
      <c r="E10084" t="s">
        <v>31411</v>
      </c>
      <c r="F10084" t="s">
        <v>273</v>
      </c>
      <c r="G10084" t="s">
        <v>31375</v>
      </c>
      <c r="H10084" t="s">
        <v>275</v>
      </c>
      <c r="I10084" t="s">
        <v>29</v>
      </c>
      <c r="J10084">
        <v>1</v>
      </c>
      <c r="K10084">
        <f t="shared" si="66"/>
        <v>-2619</v>
      </c>
      <c r="L10084" t="s">
        <v>31412</v>
      </c>
      <c r="M10084" t="s">
        <v>31413</v>
      </c>
      <c r="N10084" t="s">
        <v>278</v>
      </c>
      <c r="O10084" t="s">
        <v>28</v>
      </c>
      <c r="P10084" t="s">
        <v>29</v>
      </c>
      <c r="Q10084">
        <v>42</v>
      </c>
      <c r="R10084">
        <v>-93.620800000000003</v>
      </c>
    </row>
    <row r="10085" spans="1:18" x14ac:dyDescent="0.2">
      <c r="A10085" t="s">
        <v>270</v>
      </c>
      <c r="B10085" t="s">
        <v>271</v>
      </c>
      <c r="C10085">
        <v>1</v>
      </c>
      <c r="D10085" s="1">
        <v>44363.921307870369</v>
      </c>
      <c r="E10085" t="s">
        <v>31414</v>
      </c>
      <c r="F10085" t="s">
        <v>273</v>
      </c>
      <c r="G10085" t="s">
        <v>31375</v>
      </c>
      <c r="H10085" t="s">
        <v>275</v>
      </c>
      <c r="I10085" t="s">
        <v>29</v>
      </c>
      <c r="J10085">
        <v>1</v>
      </c>
      <c r="K10085">
        <f t="shared" si="66"/>
        <v>-2619</v>
      </c>
      <c r="L10085" t="s">
        <v>31415</v>
      </c>
      <c r="M10085" t="s">
        <v>31416</v>
      </c>
      <c r="N10085" t="s">
        <v>278</v>
      </c>
      <c r="O10085" t="s">
        <v>28</v>
      </c>
      <c r="P10085" t="s">
        <v>29</v>
      </c>
      <c r="Q10085">
        <v>42</v>
      </c>
      <c r="R10085">
        <v>-93.620800000000003</v>
      </c>
    </row>
    <row r="10086" spans="1:18" x14ac:dyDescent="0.2">
      <c r="A10086" t="s">
        <v>270</v>
      </c>
      <c r="B10086" t="s">
        <v>271</v>
      </c>
      <c r="C10086">
        <v>1</v>
      </c>
      <c r="D10086" s="1">
        <v>44363.921249999999</v>
      </c>
      <c r="E10086" t="s">
        <v>31417</v>
      </c>
      <c r="F10086" t="s">
        <v>273</v>
      </c>
      <c r="G10086" t="s">
        <v>31375</v>
      </c>
      <c r="H10086" t="s">
        <v>275</v>
      </c>
      <c r="I10086" t="s">
        <v>29</v>
      </c>
      <c r="J10086">
        <v>1</v>
      </c>
      <c r="K10086">
        <f t="shared" si="66"/>
        <v>-2619</v>
      </c>
      <c r="L10086" t="s">
        <v>31418</v>
      </c>
      <c r="M10086" t="s">
        <v>31419</v>
      </c>
      <c r="N10086" t="s">
        <v>278</v>
      </c>
      <c r="O10086" t="s">
        <v>28</v>
      </c>
      <c r="P10086" t="s">
        <v>29</v>
      </c>
      <c r="Q10086">
        <v>42</v>
      </c>
      <c r="R10086">
        <v>-93.620800000000003</v>
      </c>
    </row>
    <row r="10087" spans="1:18" x14ac:dyDescent="0.2">
      <c r="A10087" t="s">
        <v>270</v>
      </c>
      <c r="B10087" t="s">
        <v>271</v>
      </c>
      <c r="C10087">
        <v>1</v>
      </c>
      <c r="D10087" s="1">
        <v>44363.910821759258</v>
      </c>
      <c r="E10087" t="s">
        <v>31420</v>
      </c>
      <c r="F10087" t="s">
        <v>273</v>
      </c>
      <c r="G10087" t="s">
        <v>31375</v>
      </c>
      <c r="H10087" t="s">
        <v>275</v>
      </c>
      <c r="I10087" t="s">
        <v>29</v>
      </c>
      <c r="J10087">
        <v>1</v>
      </c>
      <c r="K10087">
        <f>1-815-692-8006</f>
        <v>-9512</v>
      </c>
      <c r="L10087" t="s">
        <v>31421</v>
      </c>
      <c r="M10087" t="s">
        <v>31422</v>
      </c>
      <c r="N10087" t="s">
        <v>278</v>
      </c>
      <c r="O10087" t="s">
        <v>28</v>
      </c>
      <c r="P10087" t="s">
        <v>29</v>
      </c>
      <c r="Q10087">
        <v>42</v>
      </c>
      <c r="R10087">
        <v>-93.620800000000003</v>
      </c>
    </row>
    <row r="10088" spans="1:18" x14ac:dyDescent="0.2">
      <c r="A10088" t="s">
        <v>270</v>
      </c>
      <c r="B10088" t="s">
        <v>271</v>
      </c>
      <c r="C10088">
        <v>1</v>
      </c>
      <c r="D10088" s="1">
        <v>44363.910763888889</v>
      </c>
      <c r="E10088" t="s">
        <v>31423</v>
      </c>
      <c r="F10088" t="s">
        <v>273</v>
      </c>
      <c r="G10088" t="s">
        <v>31375</v>
      </c>
      <c r="H10088" t="s">
        <v>275</v>
      </c>
      <c r="I10088" t="s">
        <v>29</v>
      </c>
      <c r="J10088">
        <v>1</v>
      </c>
      <c r="K10088">
        <f>1-815-692-8006</f>
        <v>-9512</v>
      </c>
      <c r="L10088" t="s">
        <v>31424</v>
      </c>
      <c r="M10088" t="s">
        <v>31425</v>
      </c>
      <c r="N10088" t="s">
        <v>278</v>
      </c>
      <c r="O10088" t="s">
        <v>28</v>
      </c>
      <c r="P10088" t="s">
        <v>29</v>
      </c>
      <c r="Q10088">
        <v>42</v>
      </c>
      <c r="R10088">
        <v>-93.620800000000003</v>
      </c>
    </row>
    <row r="10089" spans="1:18" x14ac:dyDescent="0.2">
      <c r="A10089" t="s">
        <v>270</v>
      </c>
      <c r="B10089" t="s">
        <v>271</v>
      </c>
      <c r="C10089">
        <v>1</v>
      </c>
      <c r="D10089" s="1">
        <v>44363.91070601852</v>
      </c>
      <c r="E10089" t="s">
        <v>31426</v>
      </c>
      <c r="F10089" t="s">
        <v>273</v>
      </c>
      <c r="G10089" t="s">
        <v>31375</v>
      </c>
      <c r="H10089" t="s">
        <v>275</v>
      </c>
      <c r="I10089" t="s">
        <v>29</v>
      </c>
      <c r="J10089">
        <v>1</v>
      </c>
      <c r="K10089">
        <f>1-815-692-8006</f>
        <v>-9512</v>
      </c>
      <c r="L10089" t="s">
        <v>31427</v>
      </c>
      <c r="M10089" t="s">
        <v>31428</v>
      </c>
      <c r="N10089" t="s">
        <v>278</v>
      </c>
      <c r="O10089" t="s">
        <v>28</v>
      </c>
      <c r="P10089" t="s">
        <v>29</v>
      </c>
      <c r="Q10089">
        <v>42</v>
      </c>
      <c r="R10089">
        <v>-93.620800000000003</v>
      </c>
    </row>
    <row r="10090" spans="1:18" x14ac:dyDescent="0.2">
      <c r="A10090" t="s">
        <v>270</v>
      </c>
      <c r="B10090" t="s">
        <v>271</v>
      </c>
      <c r="C10090">
        <v>1</v>
      </c>
      <c r="D10090" s="1">
        <v>44363.910636574074</v>
      </c>
      <c r="E10090" t="s">
        <v>31429</v>
      </c>
      <c r="F10090" t="s">
        <v>273</v>
      </c>
      <c r="G10090" t="s">
        <v>31375</v>
      </c>
      <c r="H10090" t="s">
        <v>275</v>
      </c>
      <c r="I10090" t="s">
        <v>29</v>
      </c>
      <c r="J10090">
        <v>1</v>
      </c>
      <c r="K10090">
        <f>1-815-692-8006</f>
        <v>-9512</v>
      </c>
      <c r="L10090" t="s">
        <v>31430</v>
      </c>
      <c r="M10090" t="s">
        <v>31431</v>
      </c>
      <c r="N10090" t="s">
        <v>278</v>
      </c>
      <c r="O10090" t="s">
        <v>28</v>
      </c>
      <c r="P10090" t="s">
        <v>29</v>
      </c>
      <c r="Q10090">
        <v>42</v>
      </c>
      <c r="R10090">
        <v>-93.620800000000003</v>
      </c>
    </row>
    <row r="10091" spans="1:18" x14ac:dyDescent="0.2">
      <c r="A10091" t="s">
        <v>270</v>
      </c>
      <c r="B10091" t="s">
        <v>271</v>
      </c>
      <c r="C10091">
        <v>1</v>
      </c>
      <c r="D10091" s="1">
        <v>44363.902175925927</v>
      </c>
      <c r="E10091" t="s">
        <v>31432</v>
      </c>
      <c r="F10091" t="s">
        <v>273</v>
      </c>
      <c r="G10091" t="s">
        <v>31375</v>
      </c>
      <c r="H10091" t="s">
        <v>275</v>
      </c>
      <c r="I10091" t="s">
        <v>29</v>
      </c>
      <c r="J10091">
        <v>1</v>
      </c>
      <c r="K10091">
        <f>1-815-692-8006</f>
        <v>-9512</v>
      </c>
      <c r="L10091" t="s">
        <v>31433</v>
      </c>
      <c r="M10091" t="s">
        <v>31434</v>
      </c>
      <c r="N10091" t="s">
        <v>278</v>
      </c>
      <c r="O10091" t="s">
        <v>28</v>
      </c>
      <c r="P10091" t="s">
        <v>29</v>
      </c>
      <c r="Q10091">
        <v>42</v>
      </c>
      <c r="R10091">
        <v>-93.620800000000003</v>
      </c>
    </row>
    <row r="10092" spans="1:18" x14ac:dyDescent="0.2">
      <c r="A10092" t="s">
        <v>270</v>
      </c>
      <c r="B10092" t="s">
        <v>271</v>
      </c>
      <c r="C10092">
        <v>1</v>
      </c>
      <c r="D10092" s="1">
        <v>44337.806331018517</v>
      </c>
      <c r="E10092" t="s">
        <v>31435</v>
      </c>
      <c r="F10092" t="s">
        <v>273</v>
      </c>
      <c r="G10092" t="s">
        <v>31375</v>
      </c>
      <c r="H10092" t="s">
        <v>275</v>
      </c>
      <c r="I10092" t="s">
        <v>29</v>
      </c>
      <c r="J10092">
        <v>1</v>
      </c>
      <c r="K10092">
        <f>1-844-920-999</f>
        <v>-2762</v>
      </c>
      <c r="L10092" t="s">
        <v>31436</v>
      </c>
      <c r="M10092" t="s">
        <v>31437</v>
      </c>
      <c r="N10092" t="s">
        <v>278</v>
      </c>
      <c r="O10092" t="s">
        <v>134</v>
      </c>
      <c r="P10092" t="s">
        <v>29</v>
      </c>
      <c r="Q10092">
        <v>42</v>
      </c>
      <c r="R10092">
        <v>-93.620800000000003</v>
      </c>
    </row>
    <row r="10093" spans="1:18" x14ac:dyDescent="0.2">
      <c r="A10093" t="s">
        <v>270</v>
      </c>
      <c r="B10093" t="s">
        <v>271</v>
      </c>
      <c r="C10093">
        <v>1</v>
      </c>
      <c r="D10093" s="1">
        <v>44336.98337962963</v>
      </c>
      <c r="E10093" t="s">
        <v>31438</v>
      </c>
      <c r="F10093" t="s">
        <v>273</v>
      </c>
      <c r="G10093" t="s">
        <v>31375</v>
      </c>
      <c r="H10093" t="s">
        <v>275</v>
      </c>
      <c r="I10093" t="s">
        <v>29</v>
      </c>
      <c r="J10093">
        <v>1</v>
      </c>
      <c r="K10093">
        <f>1-888-358-7372</f>
        <v>-8617</v>
      </c>
      <c r="L10093" t="s">
        <v>31439</v>
      </c>
      <c r="M10093" t="s">
        <v>31440</v>
      </c>
      <c r="N10093" t="s">
        <v>278</v>
      </c>
      <c r="O10093" t="s">
        <v>28</v>
      </c>
      <c r="P10093" t="s">
        <v>29</v>
      </c>
      <c r="Q10093">
        <v>42</v>
      </c>
      <c r="R10093">
        <v>-93.620800000000003</v>
      </c>
    </row>
    <row r="10094" spans="1:18" x14ac:dyDescent="0.2">
      <c r="A10094" t="s">
        <v>270</v>
      </c>
      <c r="B10094" t="s">
        <v>271</v>
      </c>
      <c r="C10094">
        <v>1</v>
      </c>
      <c r="D10094" s="1">
        <v>44337.693599537037</v>
      </c>
      <c r="E10094" t="s">
        <v>31441</v>
      </c>
      <c r="F10094" t="s">
        <v>273</v>
      </c>
      <c r="G10094" t="s">
        <v>31375</v>
      </c>
      <c r="H10094" t="s">
        <v>275</v>
      </c>
      <c r="I10094" t="s">
        <v>29</v>
      </c>
      <c r="J10094">
        <v>1</v>
      </c>
      <c r="K10094">
        <f>1-888-295-1344</f>
        <v>-2526</v>
      </c>
      <c r="L10094" t="s">
        <v>31442</v>
      </c>
      <c r="M10094" t="s">
        <v>31443</v>
      </c>
      <c r="N10094" t="s">
        <v>278</v>
      </c>
      <c r="O10094" t="s">
        <v>28</v>
      </c>
      <c r="P10094" t="s">
        <v>29</v>
      </c>
      <c r="Q10094">
        <v>42</v>
      </c>
      <c r="R10094">
        <v>-93.620800000000003</v>
      </c>
    </row>
    <row r="10095" spans="1:18" x14ac:dyDescent="0.2">
      <c r="A10095" t="s">
        <v>270</v>
      </c>
      <c r="B10095" t="s">
        <v>271</v>
      </c>
      <c r="C10095">
        <v>1</v>
      </c>
      <c r="D10095" s="1">
        <v>44335.748113425929</v>
      </c>
      <c r="E10095" t="s">
        <v>31444</v>
      </c>
      <c r="F10095" t="s">
        <v>273</v>
      </c>
      <c r="G10095" t="s">
        <v>31375</v>
      </c>
      <c r="H10095" t="s">
        <v>275</v>
      </c>
      <c r="I10095" t="s">
        <v>29</v>
      </c>
      <c r="J10095">
        <v>1</v>
      </c>
      <c r="K10095">
        <f>1-888-392-298</f>
        <v>-1577</v>
      </c>
      <c r="L10095" t="s">
        <v>31445</v>
      </c>
      <c r="M10095" t="s">
        <v>31446</v>
      </c>
      <c r="N10095" t="s">
        <v>278</v>
      </c>
      <c r="O10095" t="s">
        <v>28</v>
      </c>
      <c r="P10095" t="s">
        <v>29</v>
      </c>
      <c r="Q10095">
        <v>42</v>
      </c>
      <c r="R10095">
        <v>-93.620800000000003</v>
      </c>
    </row>
    <row r="10096" spans="1:18" x14ac:dyDescent="0.2">
      <c r="A10096" t="s">
        <v>2233</v>
      </c>
      <c r="B10096" t="s">
        <v>1638</v>
      </c>
      <c r="C10096">
        <v>1</v>
      </c>
      <c r="D10096" s="1">
        <v>44335.756064814814</v>
      </c>
      <c r="E10096" t="s">
        <v>31447</v>
      </c>
      <c r="F10096" t="s">
        <v>2236</v>
      </c>
      <c r="G10096" t="s">
        <v>31448</v>
      </c>
      <c r="H10096" t="s">
        <v>2237</v>
      </c>
      <c r="I10096" t="s">
        <v>29</v>
      </c>
      <c r="J10096">
        <v>1</v>
      </c>
      <c r="K10096">
        <f>1-888-395-9301</f>
        <v>-10583</v>
      </c>
      <c r="L10096" t="s">
        <v>31449</v>
      </c>
      <c r="M10096" t="s">
        <v>31450</v>
      </c>
      <c r="N10096" t="s">
        <v>278</v>
      </c>
      <c r="O10096" t="s">
        <v>28</v>
      </c>
      <c r="P10096" t="s">
        <v>292</v>
      </c>
      <c r="Q10096">
        <v>49</v>
      </c>
      <c r="R10096">
        <v>2.35222</v>
      </c>
    </row>
    <row r="10097" spans="1:18" x14ac:dyDescent="0.2">
      <c r="A10097" t="s">
        <v>2233</v>
      </c>
      <c r="B10097" t="s">
        <v>1638</v>
      </c>
      <c r="C10097">
        <v>1</v>
      </c>
      <c r="D10097" s="1">
        <v>44335.756469907406</v>
      </c>
      <c r="E10097" t="s">
        <v>31447</v>
      </c>
      <c r="F10097" t="s">
        <v>2236</v>
      </c>
      <c r="G10097" t="s">
        <v>31451</v>
      </c>
      <c r="H10097" t="s">
        <v>2237</v>
      </c>
      <c r="I10097" t="s">
        <v>29</v>
      </c>
      <c r="J10097">
        <v>1</v>
      </c>
      <c r="K10097">
        <f>1-888-396-9155</f>
        <v>-10438</v>
      </c>
      <c r="L10097" t="s">
        <v>31452</v>
      </c>
      <c r="M10097" t="s">
        <v>31453</v>
      </c>
      <c r="N10097" t="s">
        <v>278</v>
      </c>
      <c r="O10097" t="s">
        <v>28</v>
      </c>
      <c r="P10097" t="s">
        <v>292</v>
      </c>
      <c r="Q10097">
        <v>49</v>
      </c>
      <c r="R10097">
        <v>2.35222</v>
      </c>
    </row>
    <row r="10098" spans="1:18" x14ac:dyDescent="0.2">
      <c r="A10098" t="s">
        <v>2233</v>
      </c>
      <c r="B10098" t="s">
        <v>1638</v>
      </c>
      <c r="C10098">
        <v>1</v>
      </c>
      <c r="D10098" s="1">
        <v>44337.037187499998</v>
      </c>
      <c r="E10098" t="s">
        <v>31454</v>
      </c>
      <c r="F10098" t="s">
        <v>6618</v>
      </c>
      <c r="G10098" t="s">
        <v>31455</v>
      </c>
      <c r="H10098" t="s">
        <v>2237</v>
      </c>
      <c r="I10098" t="s">
        <v>29</v>
      </c>
      <c r="J10098">
        <v>1</v>
      </c>
      <c r="K10098">
        <f>1-888-785-4575</f>
        <v>-6247</v>
      </c>
      <c r="L10098" t="s">
        <v>31456</v>
      </c>
      <c r="M10098" t="s">
        <v>31457</v>
      </c>
      <c r="N10098" t="s">
        <v>278</v>
      </c>
      <c r="O10098" t="s">
        <v>28</v>
      </c>
      <c r="P10098" t="s">
        <v>292</v>
      </c>
      <c r="Q10098">
        <v>49</v>
      </c>
      <c r="R10098">
        <v>2.35222</v>
      </c>
    </row>
    <row r="10099" spans="1:18" x14ac:dyDescent="0.2">
      <c r="A10099" t="s">
        <v>2233</v>
      </c>
      <c r="B10099" t="s">
        <v>4281</v>
      </c>
      <c r="C10099">
        <v>49</v>
      </c>
      <c r="D10099" s="1">
        <v>44337.460034722222</v>
      </c>
      <c r="E10099" t="s">
        <v>31458</v>
      </c>
      <c r="F10099" t="s">
        <v>7023</v>
      </c>
      <c r="G10099" t="s">
        <v>31458</v>
      </c>
      <c r="H10099" t="s">
        <v>2237</v>
      </c>
      <c r="I10099" t="s">
        <v>24</v>
      </c>
      <c r="J10099">
        <v>49</v>
      </c>
      <c r="K10099">
        <f>49-214-9300-9676</f>
        <v>-19141</v>
      </c>
      <c r="L10099" t="s">
        <v>31459</v>
      </c>
      <c r="M10099" t="s">
        <v>31460</v>
      </c>
      <c r="N10099">
        <v>207</v>
      </c>
      <c r="O10099" t="s">
        <v>134</v>
      </c>
      <c r="P10099" t="s">
        <v>24</v>
      </c>
      <c r="Q10099">
        <v>50</v>
      </c>
      <c r="R10099">
        <v>8.6821300000000008</v>
      </c>
    </row>
    <row r="10100" spans="1:18" x14ac:dyDescent="0.2">
      <c r="A10100" t="s">
        <v>2233</v>
      </c>
      <c r="B10100" t="s">
        <v>4281</v>
      </c>
      <c r="C10100">
        <v>49</v>
      </c>
      <c r="D10100" s="1">
        <v>44337.584108796298</v>
      </c>
      <c r="E10100" t="s">
        <v>31461</v>
      </c>
      <c r="F10100" t="s">
        <v>2236</v>
      </c>
      <c r="G10100" t="s">
        <v>31461</v>
      </c>
      <c r="H10100" t="s">
        <v>2237</v>
      </c>
      <c r="I10100" t="s">
        <v>24</v>
      </c>
      <c r="J10100">
        <v>49</v>
      </c>
      <c r="K10100">
        <f>49-282-1749-9962</f>
        <v>-11944</v>
      </c>
      <c r="L10100" t="s">
        <v>31462</v>
      </c>
      <c r="M10100" t="s">
        <v>31463</v>
      </c>
      <c r="N10100">
        <v>187</v>
      </c>
      <c r="O10100" t="s">
        <v>134</v>
      </c>
      <c r="P10100" t="s">
        <v>24</v>
      </c>
      <c r="Q10100">
        <v>50</v>
      </c>
      <c r="R10100">
        <v>8.6821300000000008</v>
      </c>
    </row>
    <row r="10101" spans="1:18" x14ac:dyDescent="0.2">
      <c r="A10101" t="s">
        <v>31464</v>
      </c>
      <c r="B10101" t="s">
        <v>3426</v>
      </c>
      <c r="C10101">
        <v>1</v>
      </c>
      <c r="D10101" s="1">
        <v>44342.739062499997</v>
      </c>
      <c r="E10101" t="s">
        <v>31465</v>
      </c>
      <c r="F10101" t="s">
        <v>31466</v>
      </c>
      <c r="G10101" t="s">
        <v>31467</v>
      </c>
      <c r="H10101" t="s">
        <v>466</v>
      </c>
      <c r="I10101" t="s">
        <v>29</v>
      </c>
      <c r="J10101">
        <v>1</v>
      </c>
      <c r="K10101">
        <f>1-865-888-8191</f>
        <v>-9943</v>
      </c>
      <c r="L10101" t="s">
        <v>31468</v>
      </c>
      <c r="M10101" t="s">
        <v>31469</v>
      </c>
      <c r="N10101" t="s">
        <v>3441</v>
      </c>
      <c r="O10101" t="s">
        <v>134</v>
      </c>
      <c r="P10101" t="s">
        <v>29</v>
      </c>
      <c r="Q10101">
        <v>42</v>
      </c>
      <c r="R10101">
        <v>-71.193399999999997</v>
      </c>
    </row>
    <row r="10102" spans="1:18" x14ac:dyDescent="0.2">
      <c r="A10102" t="s">
        <v>31464</v>
      </c>
      <c r="B10102" t="s">
        <v>3426</v>
      </c>
      <c r="C10102">
        <v>1</v>
      </c>
      <c r="D10102" s="1">
        <v>44339.799456018518</v>
      </c>
      <c r="E10102" t="s">
        <v>31470</v>
      </c>
      <c r="F10102" t="s">
        <v>31466</v>
      </c>
      <c r="G10102" t="s">
        <v>31467</v>
      </c>
      <c r="H10102" t="s">
        <v>466</v>
      </c>
      <c r="I10102" t="s">
        <v>29</v>
      </c>
      <c r="J10102">
        <v>1</v>
      </c>
      <c r="K10102">
        <f>1-865-888-8191</f>
        <v>-9943</v>
      </c>
      <c r="L10102" t="s">
        <v>31471</v>
      </c>
      <c r="M10102" t="s">
        <v>31472</v>
      </c>
      <c r="N10102" t="s">
        <v>674</v>
      </c>
      <c r="O10102" t="s">
        <v>134</v>
      </c>
      <c r="P10102" t="s">
        <v>29</v>
      </c>
      <c r="Q10102">
        <v>42</v>
      </c>
      <c r="R10102">
        <v>-71.193399999999997</v>
      </c>
    </row>
    <row r="10103" spans="1:18" x14ac:dyDescent="0.2">
      <c r="A10103" t="s">
        <v>31464</v>
      </c>
      <c r="B10103" t="s">
        <v>3426</v>
      </c>
      <c r="C10103">
        <v>1</v>
      </c>
      <c r="D10103" s="1">
        <v>44337.824328703704</v>
      </c>
      <c r="E10103" t="s">
        <v>31473</v>
      </c>
      <c r="F10103" t="s">
        <v>31466</v>
      </c>
      <c r="G10103" t="s">
        <v>31467</v>
      </c>
      <c r="H10103" t="s">
        <v>466</v>
      </c>
      <c r="I10103" t="s">
        <v>29</v>
      </c>
      <c r="J10103">
        <v>1</v>
      </c>
      <c r="K10103">
        <f>1-865-888-8191</f>
        <v>-9943</v>
      </c>
      <c r="L10103" t="s">
        <v>31474</v>
      </c>
      <c r="M10103" t="s">
        <v>31475</v>
      </c>
      <c r="N10103" t="s">
        <v>213</v>
      </c>
      <c r="O10103" t="s">
        <v>134</v>
      </c>
      <c r="P10103" t="s">
        <v>29</v>
      </c>
      <c r="Q10103">
        <v>42</v>
      </c>
      <c r="R10103">
        <v>-71.193399999999997</v>
      </c>
    </row>
    <row r="10104" spans="1:18" x14ac:dyDescent="0.2">
      <c r="A10104" t="s">
        <v>31464</v>
      </c>
      <c r="B10104" t="s">
        <v>3426</v>
      </c>
      <c r="C10104">
        <v>1</v>
      </c>
      <c r="D10104" s="1">
        <v>44337.639930555553</v>
      </c>
      <c r="E10104" t="s">
        <v>31476</v>
      </c>
      <c r="F10104" t="s">
        <v>31466</v>
      </c>
      <c r="G10104" t="s">
        <v>31467</v>
      </c>
      <c r="H10104" t="s">
        <v>466</v>
      </c>
      <c r="I10104" t="s">
        <v>29</v>
      </c>
      <c r="J10104">
        <v>1</v>
      </c>
      <c r="K10104">
        <f>1-865-888-8191</f>
        <v>-9943</v>
      </c>
      <c r="L10104" t="s">
        <v>31477</v>
      </c>
      <c r="M10104" t="s">
        <v>31478</v>
      </c>
      <c r="N10104" t="s">
        <v>447</v>
      </c>
      <c r="O10104" t="s">
        <v>134</v>
      </c>
      <c r="P10104" t="s">
        <v>29</v>
      </c>
      <c r="Q10104">
        <v>42</v>
      </c>
      <c r="R10104">
        <v>-71.193399999999997</v>
      </c>
    </row>
    <row r="10105" spans="1:18" x14ac:dyDescent="0.2">
      <c r="A10105" t="s">
        <v>2233</v>
      </c>
      <c r="B10105" t="s">
        <v>440</v>
      </c>
      <c r="C10105">
        <v>1</v>
      </c>
      <c r="D10105" s="1">
        <v>44337.648113425923</v>
      </c>
      <c r="E10105" t="s">
        <v>31479</v>
      </c>
      <c r="F10105" t="s">
        <v>2236</v>
      </c>
      <c r="G10105" t="s">
        <v>31480</v>
      </c>
      <c r="H10105" t="s">
        <v>2237</v>
      </c>
      <c r="I10105" t="s">
        <v>29</v>
      </c>
      <c r="J10105">
        <v>1</v>
      </c>
      <c r="K10105">
        <f>1-877-380-238</f>
        <v>-1494</v>
      </c>
      <c r="L10105" t="s">
        <v>31481</v>
      </c>
      <c r="M10105" t="s">
        <v>31482</v>
      </c>
      <c r="N10105" t="s">
        <v>5354</v>
      </c>
      <c r="O10105" t="s">
        <v>28</v>
      </c>
      <c r="P10105" t="s">
        <v>29</v>
      </c>
      <c r="Q10105">
        <v>39</v>
      </c>
      <c r="R10105">
        <v>-77.487399999999994</v>
      </c>
    </row>
    <row r="10106" spans="1:18" x14ac:dyDescent="0.2">
      <c r="A10106" t="s">
        <v>2233</v>
      </c>
      <c r="B10106" t="s">
        <v>1638</v>
      </c>
      <c r="C10106">
        <v>1</v>
      </c>
      <c r="D10106" s="1">
        <v>44337.727662037039</v>
      </c>
      <c r="E10106" t="s">
        <v>31483</v>
      </c>
      <c r="F10106" t="s">
        <v>7023</v>
      </c>
      <c r="G10106" t="s">
        <v>31484</v>
      </c>
      <c r="H10106" t="s">
        <v>2237</v>
      </c>
      <c r="I10106" t="s">
        <v>29</v>
      </c>
      <c r="J10106">
        <v>1</v>
      </c>
      <c r="K10106">
        <f>1-888-775-1012</f>
        <v>-2674</v>
      </c>
      <c r="L10106" t="s">
        <v>31485</v>
      </c>
      <c r="M10106" t="s">
        <v>31486</v>
      </c>
      <c r="N10106" t="s">
        <v>278</v>
      </c>
      <c r="O10106" t="s">
        <v>28</v>
      </c>
      <c r="P10106" t="s">
        <v>292</v>
      </c>
      <c r="Q10106">
        <v>49</v>
      </c>
      <c r="R10106">
        <v>2.35222</v>
      </c>
    </row>
    <row r="10107" spans="1:18" x14ac:dyDescent="0.2">
      <c r="A10107" t="s">
        <v>2233</v>
      </c>
      <c r="B10107" t="s">
        <v>1638</v>
      </c>
      <c r="C10107">
        <v>1</v>
      </c>
      <c r="D10107" s="1">
        <v>44337.772037037037</v>
      </c>
      <c r="E10107" t="s">
        <v>31487</v>
      </c>
      <c r="F10107" t="s">
        <v>7023</v>
      </c>
      <c r="G10107" t="s">
        <v>31488</v>
      </c>
      <c r="H10107" t="s">
        <v>2237</v>
      </c>
      <c r="I10107" t="s">
        <v>29</v>
      </c>
      <c r="J10107">
        <v>1</v>
      </c>
      <c r="K10107">
        <f>1-888-780-5561</f>
        <v>-7228</v>
      </c>
      <c r="L10107" t="s">
        <v>31489</v>
      </c>
      <c r="M10107" t="s">
        <v>31490</v>
      </c>
      <c r="N10107" t="s">
        <v>278</v>
      </c>
      <c r="O10107" t="s">
        <v>28</v>
      </c>
      <c r="P10107" t="s">
        <v>292</v>
      </c>
      <c r="Q10107">
        <v>49</v>
      </c>
      <c r="R10107">
        <v>2.35222</v>
      </c>
    </row>
    <row r="10108" spans="1:18" x14ac:dyDescent="0.2">
      <c r="A10108" t="s">
        <v>439</v>
      </c>
      <c r="B10108" t="s">
        <v>4321</v>
      </c>
      <c r="C10108">
        <v>1</v>
      </c>
      <c r="D10108" s="1">
        <v>44337.773923611108</v>
      </c>
      <c r="E10108" t="s">
        <v>31491</v>
      </c>
      <c r="F10108" t="s">
        <v>442</v>
      </c>
      <c r="G10108" t="s">
        <v>31492</v>
      </c>
      <c r="H10108" t="s">
        <v>444</v>
      </c>
      <c r="I10108" t="s">
        <v>29</v>
      </c>
      <c r="J10108">
        <v>1</v>
      </c>
      <c r="K10108">
        <f>1-855-713-677</f>
        <v>-2244</v>
      </c>
      <c r="L10108" t="s">
        <v>31493</v>
      </c>
      <c r="M10108" t="s">
        <v>31494</v>
      </c>
      <c r="N10108" t="s">
        <v>452</v>
      </c>
      <c r="O10108" t="s">
        <v>28</v>
      </c>
      <c r="P10108" t="s">
        <v>29</v>
      </c>
      <c r="Q10108">
        <v>42</v>
      </c>
      <c r="R10108">
        <v>-87.629800000000003</v>
      </c>
    </row>
    <row r="10109" spans="1:18" x14ac:dyDescent="0.2">
      <c r="A10109" t="s">
        <v>439</v>
      </c>
      <c r="B10109" t="s">
        <v>5337</v>
      </c>
      <c r="C10109">
        <v>1</v>
      </c>
      <c r="D10109" s="1">
        <v>44337.775613425925</v>
      </c>
      <c r="E10109" t="s">
        <v>31495</v>
      </c>
      <c r="F10109" t="s">
        <v>442</v>
      </c>
      <c r="G10109" t="s">
        <v>31496</v>
      </c>
      <c r="H10109" t="s">
        <v>444</v>
      </c>
      <c r="I10109" t="s">
        <v>29</v>
      </c>
      <c r="J10109">
        <v>1</v>
      </c>
      <c r="K10109">
        <f>1-855-751-1959</f>
        <v>-3564</v>
      </c>
      <c r="L10109" t="s">
        <v>31497</v>
      </c>
      <c r="M10109" t="s">
        <v>31498</v>
      </c>
      <c r="N10109" t="s">
        <v>2475</v>
      </c>
      <c r="O10109" t="s">
        <v>28</v>
      </c>
      <c r="P10109" t="s">
        <v>29</v>
      </c>
      <c r="Q10109">
        <v>38</v>
      </c>
      <c r="R10109">
        <v>-99.999999000000003</v>
      </c>
    </row>
    <row r="10110" spans="1:18" x14ac:dyDescent="0.2">
      <c r="A10110" t="s">
        <v>2233</v>
      </c>
      <c r="B10110" t="s">
        <v>1638</v>
      </c>
      <c r="C10110">
        <v>1</v>
      </c>
      <c r="D10110" s="1">
        <v>44337.778761574074</v>
      </c>
      <c r="E10110" t="s">
        <v>31487</v>
      </c>
      <c r="F10110" t="s">
        <v>7023</v>
      </c>
      <c r="G10110" t="s">
        <v>31499</v>
      </c>
      <c r="H10110" t="s">
        <v>2237</v>
      </c>
      <c r="I10110" t="s">
        <v>29</v>
      </c>
      <c r="J10110">
        <v>1</v>
      </c>
      <c r="K10110">
        <f>1-888-782-5731</f>
        <v>-7400</v>
      </c>
      <c r="L10110" t="s">
        <v>31500</v>
      </c>
      <c r="M10110" t="s">
        <v>31501</v>
      </c>
      <c r="N10110" t="s">
        <v>278</v>
      </c>
      <c r="O10110" t="s">
        <v>28</v>
      </c>
      <c r="P10110" t="s">
        <v>292</v>
      </c>
      <c r="Q10110">
        <v>49</v>
      </c>
      <c r="R10110">
        <v>2.35222</v>
      </c>
    </row>
    <row r="10111" spans="1:18" x14ac:dyDescent="0.2">
      <c r="A10111" t="s">
        <v>2233</v>
      </c>
      <c r="B10111" t="s">
        <v>1638</v>
      </c>
      <c r="C10111">
        <v>1</v>
      </c>
      <c r="D10111" s="1">
        <v>44337.785821759258</v>
      </c>
      <c r="E10111" t="s">
        <v>31487</v>
      </c>
      <c r="F10111" t="s">
        <v>7023</v>
      </c>
      <c r="G10111" t="s">
        <v>31502</v>
      </c>
      <c r="H10111" t="s">
        <v>2237</v>
      </c>
      <c r="I10111" t="s">
        <v>29</v>
      </c>
      <c r="J10111">
        <v>1</v>
      </c>
      <c r="K10111">
        <f>1-888-781-982</f>
        <v>-2650</v>
      </c>
      <c r="L10111" t="s">
        <v>31503</v>
      </c>
      <c r="M10111" t="s">
        <v>31504</v>
      </c>
      <c r="N10111" t="s">
        <v>278</v>
      </c>
      <c r="O10111" t="s">
        <v>28</v>
      </c>
      <c r="P10111" t="s">
        <v>292</v>
      </c>
      <c r="Q10111">
        <v>49</v>
      </c>
      <c r="R10111">
        <v>2.35222</v>
      </c>
    </row>
    <row r="10112" spans="1:18" x14ac:dyDescent="0.2">
      <c r="A10112" t="s">
        <v>2233</v>
      </c>
      <c r="B10112" t="s">
        <v>1638</v>
      </c>
      <c r="C10112">
        <v>1</v>
      </c>
      <c r="D10112" s="1">
        <v>44336.948449074072</v>
      </c>
      <c r="E10112" t="s">
        <v>31350</v>
      </c>
      <c r="F10112" t="s">
        <v>2236</v>
      </c>
      <c r="G10112" t="s">
        <v>31505</v>
      </c>
      <c r="H10112" t="s">
        <v>2237</v>
      </c>
      <c r="I10112" t="s">
        <v>29</v>
      </c>
      <c r="J10112">
        <v>1</v>
      </c>
      <c r="K10112">
        <f>1-888-782-508</f>
        <v>-2177</v>
      </c>
      <c r="L10112" t="s">
        <v>31506</v>
      </c>
      <c r="M10112" t="s">
        <v>31507</v>
      </c>
      <c r="N10112" t="s">
        <v>278</v>
      </c>
      <c r="O10112" t="s">
        <v>28</v>
      </c>
      <c r="P10112" t="s">
        <v>292</v>
      </c>
      <c r="Q10112">
        <v>49</v>
      </c>
      <c r="R10112">
        <v>2.35222</v>
      </c>
    </row>
    <row r="10113" spans="1:18" x14ac:dyDescent="0.2">
      <c r="A10113" t="s">
        <v>2233</v>
      </c>
      <c r="B10113" t="s">
        <v>1638</v>
      </c>
      <c r="C10113">
        <v>1</v>
      </c>
      <c r="D10113" s="1">
        <v>44335.896122685182</v>
      </c>
      <c r="E10113" t="s">
        <v>31508</v>
      </c>
      <c r="F10113" t="s">
        <v>6618</v>
      </c>
      <c r="G10113" t="s">
        <v>31509</v>
      </c>
      <c r="H10113" t="s">
        <v>2237</v>
      </c>
      <c r="I10113" t="s">
        <v>29</v>
      </c>
      <c r="J10113">
        <v>1</v>
      </c>
      <c r="K10113">
        <f>1-888-783-296</f>
        <v>-1966</v>
      </c>
      <c r="L10113" t="s">
        <v>31510</v>
      </c>
      <c r="M10113" t="s">
        <v>31511</v>
      </c>
      <c r="N10113" t="s">
        <v>278</v>
      </c>
      <c r="O10113" t="s">
        <v>28</v>
      </c>
      <c r="P10113" t="s">
        <v>292</v>
      </c>
      <c r="Q10113">
        <v>49</v>
      </c>
      <c r="R10113">
        <v>2.35222</v>
      </c>
    </row>
    <row r="10114" spans="1:18" x14ac:dyDescent="0.2">
      <c r="A10114" t="s">
        <v>2233</v>
      </c>
      <c r="B10114" t="s">
        <v>1638</v>
      </c>
      <c r="C10114">
        <v>1</v>
      </c>
      <c r="D10114" s="1">
        <v>44335.913275462961</v>
      </c>
      <c r="E10114" t="s">
        <v>31508</v>
      </c>
      <c r="F10114" t="s">
        <v>6618</v>
      </c>
      <c r="G10114" t="s">
        <v>31512</v>
      </c>
      <c r="H10114" t="s">
        <v>2237</v>
      </c>
      <c r="I10114" t="s">
        <v>29</v>
      </c>
      <c r="J10114">
        <v>1</v>
      </c>
      <c r="K10114">
        <f>1-888-773-5417</f>
        <v>-7077</v>
      </c>
      <c r="L10114" t="s">
        <v>31513</v>
      </c>
      <c r="M10114" t="s">
        <v>31514</v>
      </c>
      <c r="N10114" t="s">
        <v>278</v>
      </c>
      <c r="O10114" t="s">
        <v>28</v>
      </c>
      <c r="P10114" t="s">
        <v>292</v>
      </c>
      <c r="Q10114">
        <v>49</v>
      </c>
      <c r="R10114">
        <v>2.35222</v>
      </c>
    </row>
    <row r="10115" spans="1:18" x14ac:dyDescent="0.2">
      <c r="A10115" t="s">
        <v>2233</v>
      </c>
      <c r="B10115" t="s">
        <v>1638</v>
      </c>
      <c r="C10115">
        <v>1</v>
      </c>
      <c r="D10115" s="1">
        <v>44335.938032407408</v>
      </c>
      <c r="E10115" t="s">
        <v>31515</v>
      </c>
      <c r="F10115" t="s">
        <v>6618</v>
      </c>
      <c r="G10115" t="s">
        <v>31516</v>
      </c>
      <c r="H10115" t="s">
        <v>2237</v>
      </c>
      <c r="I10115" t="s">
        <v>29</v>
      </c>
      <c r="J10115">
        <v>1</v>
      </c>
      <c r="K10115">
        <f>1-888-773-6710</f>
        <v>-8370</v>
      </c>
      <c r="L10115" t="s">
        <v>31517</v>
      </c>
      <c r="M10115" t="s">
        <v>31518</v>
      </c>
      <c r="N10115" t="s">
        <v>278</v>
      </c>
      <c r="O10115" t="s">
        <v>28</v>
      </c>
      <c r="P10115" t="s">
        <v>292</v>
      </c>
      <c r="Q10115">
        <v>49</v>
      </c>
      <c r="R10115">
        <v>2.35222</v>
      </c>
    </row>
    <row r="10116" spans="1:18" x14ac:dyDescent="0.2">
      <c r="A10116" t="s">
        <v>2233</v>
      </c>
      <c r="B10116" t="s">
        <v>8080</v>
      </c>
      <c r="C10116">
        <v>1</v>
      </c>
      <c r="D10116" s="1">
        <v>44335.957858796297</v>
      </c>
      <c r="E10116" t="s">
        <v>31519</v>
      </c>
      <c r="F10116" t="s">
        <v>2236</v>
      </c>
      <c r="G10116" t="s">
        <v>31520</v>
      </c>
      <c r="H10116" t="s">
        <v>2237</v>
      </c>
      <c r="I10116" t="s">
        <v>29</v>
      </c>
      <c r="J10116">
        <v>1</v>
      </c>
      <c r="K10116">
        <f>1-844-304-5713</f>
        <v>-6860</v>
      </c>
      <c r="L10116" t="s">
        <v>31521</v>
      </c>
      <c r="M10116" t="s">
        <v>31522</v>
      </c>
      <c r="N10116" t="s">
        <v>5354</v>
      </c>
      <c r="O10116" t="s">
        <v>28</v>
      </c>
      <c r="P10116" t="s">
        <v>8085</v>
      </c>
      <c r="Q10116">
        <v>-24</v>
      </c>
      <c r="R10116">
        <v>-46.633299999999998</v>
      </c>
    </row>
    <row r="10117" spans="1:18" x14ac:dyDescent="0.2">
      <c r="A10117" t="s">
        <v>2349</v>
      </c>
      <c r="B10117" t="s">
        <v>4281</v>
      </c>
      <c r="C10117">
        <v>49</v>
      </c>
      <c r="D10117" s="1">
        <v>44336.423831018517</v>
      </c>
      <c r="E10117" t="s">
        <v>31523</v>
      </c>
      <c r="F10117" t="s">
        <v>31524</v>
      </c>
      <c r="G10117" t="s">
        <v>31523</v>
      </c>
      <c r="H10117" t="s">
        <v>2353</v>
      </c>
      <c r="I10117" t="s">
        <v>24</v>
      </c>
      <c r="J10117">
        <v>49</v>
      </c>
      <c r="K10117">
        <f>49-633-2978-9996</f>
        <v>-13558</v>
      </c>
      <c r="L10117" t="s">
        <v>31525</v>
      </c>
      <c r="M10117" t="s">
        <v>31526</v>
      </c>
      <c r="N10117">
        <v>8</v>
      </c>
      <c r="O10117" t="s">
        <v>134</v>
      </c>
      <c r="P10117" t="s">
        <v>24</v>
      </c>
      <c r="Q10117">
        <v>50</v>
      </c>
      <c r="R10117">
        <v>8.7147000000000006</v>
      </c>
    </row>
    <row r="10118" spans="1:18" x14ac:dyDescent="0.2">
      <c r="A10118" t="s">
        <v>663</v>
      </c>
      <c r="B10118" t="s">
        <v>1212</v>
      </c>
      <c r="C10118">
        <v>1</v>
      </c>
      <c r="D10118" s="1">
        <v>44336.972418981481</v>
      </c>
      <c r="E10118" t="s">
        <v>31527</v>
      </c>
      <c r="F10118" t="s">
        <v>666</v>
      </c>
      <c r="G10118" t="s">
        <v>31527</v>
      </c>
      <c r="H10118" t="s">
        <v>667</v>
      </c>
      <c r="I10118" t="s">
        <v>29</v>
      </c>
      <c r="J10118">
        <v>1</v>
      </c>
      <c r="K10118">
        <f>1-833-251-9969</f>
        <v>-11052</v>
      </c>
      <c r="L10118" t="s">
        <v>31528</v>
      </c>
      <c r="M10118" t="s">
        <v>31529</v>
      </c>
      <c r="N10118">
        <v>246</v>
      </c>
      <c r="O10118" t="s">
        <v>134</v>
      </c>
      <c r="P10118" t="s">
        <v>618</v>
      </c>
      <c r="Q10118">
        <v>52</v>
      </c>
      <c r="R10118">
        <v>-0.67179999999999995</v>
      </c>
    </row>
    <row r="10119" spans="1:18" x14ac:dyDescent="0.2">
      <c r="A10119" t="s">
        <v>663</v>
      </c>
      <c r="B10119" t="s">
        <v>3245</v>
      </c>
      <c r="C10119">
        <v>1</v>
      </c>
      <c r="D10119" s="1">
        <v>44336.813171296293</v>
      </c>
      <c r="E10119" t="s">
        <v>31530</v>
      </c>
      <c r="F10119" t="s">
        <v>666</v>
      </c>
      <c r="G10119" t="s">
        <v>31531</v>
      </c>
      <c r="H10119" t="s">
        <v>667</v>
      </c>
      <c r="I10119" t="s">
        <v>29</v>
      </c>
      <c r="J10119">
        <v>1</v>
      </c>
      <c r="K10119">
        <f>1-828-802-4150</f>
        <v>-5779</v>
      </c>
      <c r="L10119" t="s">
        <v>31532</v>
      </c>
      <c r="M10119" t="s">
        <v>31533</v>
      </c>
      <c r="N10119" t="s">
        <v>452</v>
      </c>
      <c r="O10119" t="s">
        <v>28</v>
      </c>
      <c r="P10119" t="s">
        <v>29</v>
      </c>
      <c r="Q10119">
        <v>41</v>
      </c>
      <c r="R10119">
        <v>-74.140299999999996</v>
      </c>
    </row>
    <row r="10120" spans="1:18" x14ac:dyDescent="0.2">
      <c r="A10120" t="s">
        <v>2233</v>
      </c>
      <c r="B10120" t="s">
        <v>1638</v>
      </c>
      <c r="C10120">
        <v>1</v>
      </c>
      <c r="D10120" s="1">
        <v>44336.819826388892</v>
      </c>
      <c r="E10120" t="s">
        <v>31534</v>
      </c>
      <c r="F10120" t="s">
        <v>7023</v>
      </c>
      <c r="G10120" t="s">
        <v>31535</v>
      </c>
      <c r="H10120" t="s">
        <v>2237</v>
      </c>
      <c r="I10120" t="s">
        <v>29</v>
      </c>
      <c r="J10120">
        <v>1</v>
      </c>
      <c r="K10120">
        <f>1-888-785-2923</f>
        <v>-4595</v>
      </c>
      <c r="L10120" t="s">
        <v>31536</v>
      </c>
      <c r="M10120" t="s">
        <v>31537</v>
      </c>
      <c r="N10120" t="s">
        <v>278</v>
      </c>
      <c r="O10120" t="s">
        <v>28</v>
      </c>
      <c r="P10120" t="s">
        <v>292</v>
      </c>
      <c r="Q10120">
        <v>49</v>
      </c>
      <c r="R10120">
        <v>2.35222</v>
      </c>
    </row>
    <row r="10121" spans="1:18" x14ac:dyDescent="0.2">
      <c r="A10121" t="s">
        <v>2233</v>
      </c>
      <c r="B10121" t="s">
        <v>1638</v>
      </c>
      <c r="C10121">
        <v>1</v>
      </c>
      <c r="D10121" s="1">
        <v>44336.936076388891</v>
      </c>
      <c r="E10121" t="s">
        <v>31538</v>
      </c>
      <c r="F10121" t="s">
        <v>2236</v>
      </c>
      <c r="G10121" t="s">
        <v>31539</v>
      </c>
      <c r="H10121" t="s">
        <v>2237</v>
      </c>
      <c r="I10121" t="s">
        <v>29</v>
      </c>
      <c r="J10121">
        <v>1</v>
      </c>
      <c r="K10121">
        <f>1-888-785-4014</f>
        <v>-5686</v>
      </c>
      <c r="L10121" t="s">
        <v>31540</v>
      </c>
      <c r="M10121" t="s">
        <v>31541</v>
      </c>
      <c r="N10121" t="s">
        <v>278</v>
      </c>
      <c r="O10121" t="s">
        <v>28</v>
      </c>
      <c r="P10121" t="s">
        <v>292</v>
      </c>
      <c r="Q10121">
        <v>49</v>
      </c>
      <c r="R10121">
        <v>2.35222</v>
      </c>
    </row>
    <row r="10122" spans="1:18" x14ac:dyDescent="0.2">
      <c r="A10122" t="s">
        <v>663</v>
      </c>
      <c r="B10122" t="s">
        <v>3245</v>
      </c>
      <c r="C10122">
        <v>1</v>
      </c>
      <c r="D10122" s="1">
        <v>44336.937164351853</v>
      </c>
      <c r="E10122" t="s">
        <v>31542</v>
      </c>
      <c r="F10122" t="s">
        <v>666</v>
      </c>
      <c r="G10122" t="s">
        <v>31543</v>
      </c>
      <c r="H10122" t="s">
        <v>667</v>
      </c>
      <c r="I10122" t="s">
        <v>29</v>
      </c>
      <c r="J10122">
        <v>1</v>
      </c>
      <c r="K10122">
        <f>1-888-985-5862</f>
        <v>-7734</v>
      </c>
      <c r="L10122" t="s">
        <v>31544</v>
      </c>
      <c r="M10122" t="s">
        <v>31545</v>
      </c>
      <c r="N10122" t="s">
        <v>452</v>
      </c>
      <c r="O10122" t="s">
        <v>28</v>
      </c>
      <c r="P10122" t="s">
        <v>29</v>
      </c>
      <c r="Q10122">
        <v>41</v>
      </c>
      <c r="R10122">
        <v>-74.140299999999996</v>
      </c>
    </row>
    <row r="10123" spans="1:18" x14ac:dyDescent="0.2">
      <c r="A10123" t="s">
        <v>2233</v>
      </c>
      <c r="B10123" t="s">
        <v>1638</v>
      </c>
      <c r="C10123">
        <v>1</v>
      </c>
      <c r="D10123" s="1">
        <v>44336.904247685183</v>
      </c>
      <c r="E10123" t="s">
        <v>31546</v>
      </c>
      <c r="F10123" t="s">
        <v>7023</v>
      </c>
      <c r="G10123" t="s">
        <v>31547</v>
      </c>
      <c r="H10123" t="s">
        <v>2237</v>
      </c>
      <c r="I10123" t="s">
        <v>29</v>
      </c>
      <c r="J10123">
        <v>1</v>
      </c>
      <c r="K10123">
        <f>1-888-771-8538</f>
        <v>-10196</v>
      </c>
      <c r="L10123" t="s">
        <v>31548</v>
      </c>
      <c r="M10123" t="s">
        <v>31549</v>
      </c>
      <c r="N10123" t="s">
        <v>278</v>
      </c>
      <c r="O10123" t="s">
        <v>28</v>
      </c>
      <c r="P10123" t="s">
        <v>292</v>
      </c>
      <c r="Q10123">
        <v>49</v>
      </c>
      <c r="R10123">
        <v>2.35222</v>
      </c>
    </row>
    <row r="10124" spans="1:18" x14ac:dyDescent="0.2">
      <c r="A10124" t="s">
        <v>2233</v>
      </c>
      <c r="B10124" t="s">
        <v>1638</v>
      </c>
      <c r="C10124">
        <v>1</v>
      </c>
      <c r="D10124" s="1">
        <v>44336.883958333332</v>
      </c>
      <c r="E10124" t="s">
        <v>31546</v>
      </c>
      <c r="F10124" t="s">
        <v>7023</v>
      </c>
      <c r="G10124" t="s">
        <v>31547</v>
      </c>
      <c r="H10124" t="s">
        <v>2237</v>
      </c>
      <c r="I10124" t="s">
        <v>29</v>
      </c>
      <c r="J10124">
        <v>1</v>
      </c>
      <c r="K10124">
        <f>1-888-773-4657</f>
        <v>-6317</v>
      </c>
      <c r="L10124" t="s">
        <v>31550</v>
      </c>
      <c r="M10124" t="s">
        <v>31551</v>
      </c>
      <c r="N10124" t="s">
        <v>278</v>
      </c>
      <c r="O10124" t="s">
        <v>28</v>
      </c>
      <c r="P10124" t="s">
        <v>292</v>
      </c>
      <c r="Q10124">
        <v>49</v>
      </c>
      <c r="R10124">
        <v>2.35222</v>
      </c>
    </row>
    <row r="10125" spans="1:18" x14ac:dyDescent="0.2">
      <c r="A10125" t="s">
        <v>2233</v>
      </c>
      <c r="B10125" t="s">
        <v>1638</v>
      </c>
      <c r="C10125">
        <v>1</v>
      </c>
      <c r="D10125" s="1">
        <v>44336.923796296294</v>
      </c>
      <c r="E10125" t="s">
        <v>31538</v>
      </c>
      <c r="F10125" t="s">
        <v>7023</v>
      </c>
      <c r="G10125" t="s">
        <v>31552</v>
      </c>
      <c r="H10125" t="s">
        <v>2237</v>
      </c>
      <c r="I10125" t="s">
        <v>29</v>
      </c>
      <c r="J10125">
        <v>1</v>
      </c>
      <c r="K10125">
        <f>1-888-782-3129</f>
        <v>-4798</v>
      </c>
      <c r="L10125" t="s">
        <v>31553</v>
      </c>
      <c r="M10125" t="s">
        <v>31554</v>
      </c>
      <c r="N10125" t="s">
        <v>278</v>
      </c>
      <c r="O10125" t="s">
        <v>28</v>
      </c>
      <c r="P10125" t="s">
        <v>292</v>
      </c>
      <c r="Q10125">
        <v>49</v>
      </c>
      <c r="R10125">
        <v>2.35222</v>
      </c>
    </row>
    <row r="10126" spans="1:18" x14ac:dyDescent="0.2">
      <c r="A10126" t="s">
        <v>2233</v>
      </c>
      <c r="B10126" t="s">
        <v>1638</v>
      </c>
      <c r="C10126">
        <v>1</v>
      </c>
      <c r="D10126" s="1">
        <v>44336.92019675926</v>
      </c>
      <c r="E10126" t="s">
        <v>31538</v>
      </c>
      <c r="F10126" t="s">
        <v>7023</v>
      </c>
      <c r="G10126" t="s">
        <v>31552</v>
      </c>
      <c r="H10126" t="s">
        <v>2237</v>
      </c>
      <c r="I10126" t="s">
        <v>29</v>
      </c>
      <c r="J10126">
        <v>1</v>
      </c>
      <c r="K10126">
        <f>1-888-774-9253</f>
        <v>-10914</v>
      </c>
      <c r="L10126" t="s">
        <v>31555</v>
      </c>
      <c r="M10126" t="s">
        <v>31556</v>
      </c>
      <c r="N10126" t="s">
        <v>278</v>
      </c>
      <c r="O10126" t="s">
        <v>28</v>
      </c>
      <c r="P10126" t="s">
        <v>292</v>
      </c>
      <c r="Q10126">
        <v>49</v>
      </c>
      <c r="R10126">
        <v>2.35222</v>
      </c>
    </row>
    <row r="10127" spans="1:18" x14ac:dyDescent="0.2">
      <c r="A10127" t="s">
        <v>2233</v>
      </c>
      <c r="B10127" t="s">
        <v>1638</v>
      </c>
      <c r="C10127">
        <v>1</v>
      </c>
      <c r="D10127" s="1">
        <v>44336.904780092591</v>
      </c>
      <c r="E10127" t="s">
        <v>31538</v>
      </c>
      <c r="F10127" t="s">
        <v>7023</v>
      </c>
      <c r="G10127" t="s">
        <v>31552</v>
      </c>
      <c r="H10127" t="s">
        <v>2237</v>
      </c>
      <c r="I10127" t="s">
        <v>29</v>
      </c>
      <c r="J10127">
        <v>1</v>
      </c>
      <c r="K10127">
        <f>1-888-773-631</f>
        <v>-2291</v>
      </c>
      <c r="L10127" t="s">
        <v>31557</v>
      </c>
      <c r="M10127" t="s">
        <v>31558</v>
      </c>
      <c r="N10127" t="s">
        <v>278</v>
      </c>
      <c r="O10127" t="s">
        <v>28</v>
      </c>
      <c r="P10127" t="s">
        <v>292</v>
      </c>
      <c r="Q10127">
        <v>49</v>
      </c>
      <c r="R10127">
        <v>2.35222</v>
      </c>
    </row>
    <row r="10128" spans="1:18" x14ac:dyDescent="0.2">
      <c r="A10128" t="s">
        <v>2233</v>
      </c>
      <c r="B10128" t="s">
        <v>1638</v>
      </c>
      <c r="C10128">
        <v>1</v>
      </c>
      <c r="D10128" s="1">
        <v>44336.911724537036</v>
      </c>
      <c r="E10128" t="s">
        <v>31538</v>
      </c>
      <c r="F10128" t="s">
        <v>7023</v>
      </c>
      <c r="G10128" t="s">
        <v>31559</v>
      </c>
      <c r="H10128" t="s">
        <v>2237</v>
      </c>
      <c r="I10128" t="s">
        <v>29</v>
      </c>
      <c r="J10128">
        <v>1</v>
      </c>
      <c r="K10128">
        <f>1-888-733-566</f>
        <v>-2186</v>
      </c>
      <c r="L10128" t="s">
        <v>31560</v>
      </c>
      <c r="M10128" t="s">
        <v>31561</v>
      </c>
      <c r="N10128" t="s">
        <v>278</v>
      </c>
      <c r="O10128" t="s">
        <v>28</v>
      </c>
      <c r="P10128" t="s">
        <v>292</v>
      </c>
      <c r="Q10128">
        <v>49</v>
      </c>
      <c r="R10128">
        <v>2.35222</v>
      </c>
    </row>
    <row r="10129" spans="1:18" x14ac:dyDescent="0.2">
      <c r="A10129" t="s">
        <v>2233</v>
      </c>
      <c r="B10129" t="s">
        <v>1638</v>
      </c>
      <c r="C10129">
        <v>1</v>
      </c>
      <c r="D10129" s="1">
        <v>44336.925138888888</v>
      </c>
      <c r="E10129" t="s">
        <v>31538</v>
      </c>
      <c r="F10129" t="s">
        <v>7023</v>
      </c>
      <c r="G10129" t="s">
        <v>31562</v>
      </c>
      <c r="H10129" t="s">
        <v>2237</v>
      </c>
      <c r="I10129" t="s">
        <v>29</v>
      </c>
      <c r="J10129">
        <v>1</v>
      </c>
      <c r="K10129">
        <f>1-888-773-1164</f>
        <v>-2824</v>
      </c>
      <c r="L10129" t="s">
        <v>31563</v>
      </c>
      <c r="M10129" t="s">
        <v>31564</v>
      </c>
      <c r="N10129" t="s">
        <v>278</v>
      </c>
      <c r="O10129" t="s">
        <v>28</v>
      </c>
      <c r="P10129" t="s">
        <v>292</v>
      </c>
      <c r="Q10129">
        <v>49</v>
      </c>
      <c r="R10129">
        <v>2.35222</v>
      </c>
    </row>
    <row r="10130" spans="1:18" x14ac:dyDescent="0.2">
      <c r="A10130" t="s">
        <v>2233</v>
      </c>
      <c r="B10130" t="s">
        <v>1638</v>
      </c>
      <c r="C10130">
        <v>1</v>
      </c>
      <c r="D10130" s="1">
        <v>44336.919699074075</v>
      </c>
      <c r="E10130" t="s">
        <v>31538</v>
      </c>
      <c r="F10130" t="s">
        <v>7023</v>
      </c>
      <c r="G10130" t="s">
        <v>31562</v>
      </c>
      <c r="H10130" t="s">
        <v>2237</v>
      </c>
      <c r="I10130" t="s">
        <v>29</v>
      </c>
      <c r="J10130">
        <v>1</v>
      </c>
      <c r="K10130">
        <f>1-888-779-624</f>
        <v>-2290</v>
      </c>
      <c r="L10130" t="s">
        <v>31565</v>
      </c>
      <c r="M10130" t="s">
        <v>31566</v>
      </c>
      <c r="N10130" t="s">
        <v>278</v>
      </c>
      <c r="O10130" t="s">
        <v>28</v>
      </c>
      <c r="P10130" t="s">
        <v>292</v>
      </c>
      <c r="Q10130">
        <v>49</v>
      </c>
      <c r="R10130">
        <v>2.35222</v>
      </c>
    </row>
    <row r="10131" spans="1:18" x14ac:dyDescent="0.2">
      <c r="A10131" t="s">
        <v>663</v>
      </c>
      <c r="B10131" t="s">
        <v>664</v>
      </c>
      <c r="C10131">
        <v>1</v>
      </c>
      <c r="D10131" s="1">
        <v>44337.845312500001</v>
      </c>
      <c r="E10131" t="s">
        <v>31567</v>
      </c>
      <c r="F10131" t="s">
        <v>666</v>
      </c>
      <c r="G10131" t="s">
        <v>31568</v>
      </c>
      <c r="H10131" t="s">
        <v>667</v>
      </c>
      <c r="I10131" t="s">
        <v>29</v>
      </c>
      <c r="J10131">
        <v>1</v>
      </c>
      <c r="K10131">
        <f>1-844-853-1340</f>
        <v>-3036</v>
      </c>
      <c r="L10131" t="s">
        <v>31569</v>
      </c>
      <c r="M10131" t="s">
        <v>31570</v>
      </c>
      <c r="N10131" t="s">
        <v>213</v>
      </c>
      <c r="O10131" t="s">
        <v>28</v>
      </c>
      <c r="P10131" t="s">
        <v>29</v>
      </c>
      <c r="Q10131">
        <v>37</v>
      </c>
      <c r="R10131">
        <v>-99.999999000000003</v>
      </c>
    </row>
    <row r="10132" spans="1:18" x14ac:dyDescent="0.2">
      <c r="A10132" t="s">
        <v>2233</v>
      </c>
      <c r="B10132" t="s">
        <v>1638</v>
      </c>
      <c r="C10132">
        <v>1</v>
      </c>
      <c r="D10132" s="1">
        <v>44368.900775462964</v>
      </c>
      <c r="E10132" t="s">
        <v>31571</v>
      </c>
      <c r="F10132" t="s">
        <v>7023</v>
      </c>
      <c r="G10132" t="s">
        <v>31572</v>
      </c>
      <c r="H10132" t="s">
        <v>2237</v>
      </c>
      <c r="I10132" t="s">
        <v>29</v>
      </c>
      <c r="J10132">
        <v>1</v>
      </c>
      <c r="K10132">
        <f>1-888-202-3347</f>
        <v>-4436</v>
      </c>
      <c r="L10132" t="s">
        <v>31573</v>
      </c>
      <c r="M10132" t="s">
        <v>31574</v>
      </c>
      <c r="N10132" t="s">
        <v>278</v>
      </c>
      <c r="O10132" t="s">
        <v>28</v>
      </c>
      <c r="P10132" t="s">
        <v>292</v>
      </c>
      <c r="Q10132">
        <v>49</v>
      </c>
      <c r="R10132">
        <v>2.35222</v>
      </c>
    </row>
    <row r="10133" spans="1:18" x14ac:dyDescent="0.2">
      <c r="A10133" t="s">
        <v>2233</v>
      </c>
      <c r="B10133" t="s">
        <v>1638</v>
      </c>
      <c r="C10133">
        <v>1</v>
      </c>
      <c r="D10133" s="1">
        <v>44337.851840277777</v>
      </c>
      <c r="E10133" t="s">
        <v>31575</v>
      </c>
      <c r="F10133" t="s">
        <v>7023</v>
      </c>
      <c r="G10133" t="s">
        <v>31572</v>
      </c>
      <c r="H10133" t="s">
        <v>2237</v>
      </c>
      <c r="I10133" t="s">
        <v>29</v>
      </c>
      <c r="J10133">
        <v>1</v>
      </c>
      <c r="K10133">
        <f>1-888-782-5241</f>
        <v>-6910</v>
      </c>
      <c r="L10133" t="s">
        <v>31576</v>
      </c>
      <c r="M10133" t="s">
        <v>31577</v>
      </c>
      <c r="N10133" t="s">
        <v>278</v>
      </c>
      <c r="O10133" t="s">
        <v>28</v>
      </c>
      <c r="P10133" t="s">
        <v>292</v>
      </c>
      <c r="Q10133">
        <v>49</v>
      </c>
      <c r="R10133">
        <v>2.35222</v>
      </c>
    </row>
    <row r="10134" spans="1:18" x14ac:dyDescent="0.2">
      <c r="A10134" t="s">
        <v>439</v>
      </c>
      <c r="B10134" t="s">
        <v>4321</v>
      </c>
      <c r="C10134">
        <v>1</v>
      </c>
      <c r="D10134" s="1">
        <v>44337.866770833331</v>
      </c>
      <c r="E10134" t="s">
        <v>31578</v>
      </c>
      <c r="F10134" t="s">
        <v>442</v>
      </c>
      <c r="G10134" t="s">
        <v>31579</v>
      </c>
      <c r="H10134" t="s">
        <v>444</v>
      </c>
      <c r="I10134" t="s">
        <v>29</v>
      </c>
      <c r="J10134">
        <v>1</v>
      </c>
      <c r="K10134">
        <f>1-888-296-4961</f>
        <v>-6144</v>
      </c>
      <c r="L10134" t="s">
        <v>31580</v>
      </c>
      <c r="M10134" t="s">
        <v>31581</v>
      </c>
      <c r="N10134" t="s">
        <v>29454</v>
      </c>
      <c r="O10134" t="s">
        <v>28</v>
      </c>
      <c r="P10134" t="s">
        <v>29</v>
      </c>
      <c r="Q10134">
        <v>42</v>
      </c>
      <c r="R10134">
        <v>-87.629800000000003</v>
      </c>
    </row>
    <row r="10135" spans="1:18" x14ac:dyDescent="0.2">
      <c r="A10135" t="s">
        <v>2233</v>
      </c>
      <c r="B10135" t="s">
        <v>1638</v>
      </c>
      <c r="C10135">
        <v>1</v>
      </c>
      <c r="D10135" s="1">
        <v>44337.874328703707</v>
      </c>
      <c r="E10135" t="s">
        <v>31582</v>
      </c>
      <c r="F10135" t="s">
        <v>7023</v>
      </c>
      <c r="G10135" t="s">
        <v>31583</v>
      </c>
      <c r="H10135" t="s">
        <v>2237</v>
      </c>
      <c r="I10135" t="s">
        <v>29</v>
      </c>
      <c r="J10135">
        <v>1</v>
      </c>
      <c r="K10135">
        <f>1-888-598-1537</f>
        <v>-3022</v>
      </c>
      <c r="L10135" t="s">
        <v>31584</v>
      </c>
      <c r="M10135" t="s">
        <v>31585</v>
      </c>
      <c r="N10135" t="s">
        <v>278</v>
      </c>
      <c r="O10135" t="s">
        <v>28</v>
      </c>
      <c r="P10135" t="s">
        <v>292</v>
      </c>
      <c r="Q10135">
        <v>49</v>
      </c>
      <c r="R10135">
        <v>2.35222</v>
      </c>
    </row>
    <row r="10136" spans="1:18" x14ac:dyDescent="0.2">
      <c r="A10136" t="s">
        <v>2233</v>
      </c>
      <c r="B10136" t="s">
        <v>1638</v>
      </c>
      <c r="C10136">
        <v>1</v>
      </c>
      <c r="D10136" s="1">
        <v>44372.841273148151</v>
      </c>
      <c r="E10136" t="s">
        <v>31586</v>
      </c>
      <c r="F10136" t="s">
        <v>2236</v>
      </c>
      <c r="G10136" t="s">
        <v>31587</v>
      </c>
      <c r="H10136" t="s">
        <v>2237</v>
      </c>
      <c r="I10136" t="s">
        <v>29</v>
      </c>
      <c r="J10136">
        <v>1</v>
      </c>
      <c r="K10136">
        <f>1-888-393-8007</f>
        <v>-9287</v>
      </c>
      <c r="L10136" t="s">
        <v>31588</v>
      </c>
      <c r="M10136" t="s">
        <v>31589</v>
      </c>
      <c r="N10136" t="s">
        <v>278</v>
      </c>
      <c r="O10136" t="s">
        <v>28</v>
      </c>
      <c r="P10136" t="s">
        <v>292</v>
      </c>
      <c r="Q10136">
        <v>49</v>
      </c>
      <c r="R10136">
        <v>2.35222</v>
      </c>
    </row>
    <row r="10137" spans="1:18" x14ac:dyDescent="0.2">
      <c r="A10137" t="s">
        <v>2233</v>
      </c>
      <c r="B10137" t="s">
        <v>1638</v>
      </c>
      <c r="C10137">
        <v>1</v>
      </c>
      <c r="D10137" s="1">
        <v>44372.839849537035</v>
      </c>
      <c r="E10137" t="s">
        <v>31586</v>
      </c>
      <c r="F10137" t="s">
        <v>2236</v>
      </c>
      <c r="G10137" t="s">
        <v>31587</v>
      </c>
      <c r="H10137" t="s">
        <v>2237</v>
      </c>
      <c r="I10137" t="s">
        <v>29</v>
      </c>
      <c r="J10137">
        <v>1</v>
      </c>
      <c r="K10137">
        <f>1-888-312-1423</f>
        <v>-2622</v>
      </c>
      <c r="L10137" t="s">
        <v>31590</v>
      </c>
      <c r="M10137" t="s">
        <v>31591</v>
      </c>
      <c r="N10137" t="s">
        <v>278</v>
      </c>
      <c r="O10137" t="s">
        <v>28</v>
      </c>
      <c r="P10137" t="s">
        <v>292</v>
      </c>
      <c r="Q10137">
        <v>49</v>
      </c>
      <c r="R10137">
        <v>2.35222</v>
      </c>
    </row>
    <row r="10138" spans="1:18" x14ac:dyDescent="0.2">
      <c r="A10138" t="s">
        <v>2233</v>
      </c>
      <c r="B10138" t="s">
        <v>1638</v>
      </c>
      <c r="C10138">
        <v>1</v>
      </c>
      <c r="D10138" s="1">
        <v>44372.839560185188</v>
      </c>
      <c r="E10138" t="s">
        <v>31586</v>
      </c>
      <c r="F10138" t="s">
        <v>2236</v>
      </c>
      <c r="G10138" t="s">
        <v>31587</v>
      </c>
      <c r="H10138" t="s">
        <v>2237</v>
      </c>
      <c r="I10138" t="s">
        <v>29</v>
      </c>
      <c r="J10138">
        <v>1</v>
      </c>
      <c r="K10138">
        <f>1-888-312-1416</f>
        <v>-2615</v>
      </c>
      <c r="L10138" t="s">
        <v>31592</v>
      </c>
      <c r="M10138" t="s">
        <v>31593</v>
      </c>
      <c r="N10138" t="s">
        <v>278</v>
      </c>
      <c r="O10138" t="s">
        <v>28</v>
      </c>
      <c r="P10138" t="s">
        <v>292</v>
      </c>
      <c r="Q10138">
        <v>49</v>
      </c>
      <c r="R10138">
        <v>2.35222</v>
      </c>
    </row>
    <row r="10139" spans="1:18" x14ac:dyDescent="0.2">
      <c r="A10139" t="s">
        <v>2233</v>
      </c>
      <c r="B10139" t="s">
        <v>1638</v>
      </c>
      <c r="C10139">
        <v>1</v>
      </c>
      <c r="D10139" s="1">
        <v>44372.838043981479</v>
      </c>
      <c r="E10139" t="s">
        <v>31586</v>
      </c>
      <c r="F10139" t="s">
        <v>2236</v>
      </c>
      <c r="G10139" t="s">
        <v>31587</v>
      </c>
      <c r="H10139" t="s">
        <v>2237</v>
      </c>
      <c r="I10139" t="s">
        <v>29</v>
      </c>
      <c r="J10139">
        <v>1</v>
      </c>
      <c r="K10139">
        <f>1-888-598-1422</f>
        <v>-2907</v>
      </c>
      <c r="L10139" t="s">
        <v>31594</v>
      </c>
      <c r="M10139" t="s">
        <v>31595</v>
      </c>
      <c r="N10139" t="s">
        <v>278</v>
      </c>
      <c r="O10139" t="s">
        <v>28</v>
      </c>
      <c r="P10139" t="s">
        <v>292</v>
      </c>
      <c r="Q10139">
        <v>49</v>
      </c>
      <c r="R10139">
        <v>2.35222</v>
      </c>
    </row>
    <row r="10140" spans="1:18" x14ac:dyDescent="0.2">
      <c r="A10140" t="s">
        <v>2233</v>
      </c>
      <c r="B10140" t="s">
        <v>1638</v>
      </c>
      <c r="C10140">
        <v>1</v>
      </c>
      <c r="D10140" s="1">
        <v>44372.837534722225</v>
      </c>
      <c r="E10140" t="s">
        <v>31586</v>
      </c>
      <c r="F10140" t="s">
        <v>2236</v>
      </c>
      <c r="G10140" t="s">
        <v>31587</v>
      </c>
      <c r="H10140" t="s">
        <v>2237</v>
      </c>
      <c r="I10140" t="s">
        <v>29</v>
      </c>
      <c r="J10140">
        <v>1</v>
      </c>
      <c r="K10140">
        <f>1-888-367-4964</f>
        <v>-6218</v>
      </c>
      <c r="L10140" t="s">
        <v>31596</v>
      </c>
      <c r="M10140" t="s">
        <v>31597</v>
      </c>
      <c r="N10140" t="s">
        <v>278</v>
      </c>
      <c r="O10140" t="s">
        <v>28</v>
      </c>
      <c r="P10140" t="s">
        <v>292</v>
      </c>
      <c r="Q10140">
        <v>49</v>
      </c>
      <c r="R10140">
        <v>2.35222</v>
      </c>
    </row>
    <row r="10141" spans="1:18" x14ac:dyDescent="0.2">
      <c r="A10141" t="s">
        <v>2233</v>
      </c>
      <c r="B10141" t="s">
        <v>1638</v>
      </c>
      <c r="C10141">
        <v>1</v>
      </c>
      <c r="D10141" s="1">
        <v>44372.837141203701</v>
      </c>
      <c r="E10141" t="s">
        <v>31586</v>
      </c>
      <c r="F10141" t="s">
        <v>2236</v>
      </c>
      <c r="G10141" t="s">
        <v>31587</v>
      </c>
      <c r="H10141" t="s">
        <v>2237</v>
      </c>
      <c r="I10141" t="s">
        <v>29</v>
      </c>
      <c r="J10141">
        <v>1</v>
      </c>
      <c r="K10141">
        <f>1-888-291-147</f>
        <v>-1325</v>
      </c>
      <c r="L10141" t="s">
        <v>31598</v>
      </c>
      <c r="M10141" t="s">
        <v>31599</v>
      </c>
      <c r="N10141" t="s">
        <v>278</v>
      </c>
      <c r="O10141" t="s">
        <v>28</v>
      </c>
      <c r="P10141" t="s">
        <v>292</v>
      </c>
      <c r="Q10141">
        <v>49</v>
      </c>
      <c r="R10141">
        <v>2.35222</v>
      </c>
    </row>
    <row r="10142" spans="1:18" x14ac:dyDescent="0.2">
      <c r="A10142" t="s">
        <v>2233</v>
      </c>
      <c r="B10142" t="s">
        <v>1638</v>
      </c>
      <c r="C10142">
        <v>1</v>
      </c>
      <c r="D10142" s="1">
        <v>44337.894641203704</v>
      </c>
      <c r="E10142" t="s">
        <v>31600</v>
      </c>
      <c r="F10142" t="s">
        <v>2236</v>
      </c>
      <c r="G10142" t="s">
        <v>31587</v>
      </c>
      <c r="H10142" t="s">
        <v>2237</v>
      </c>
      <c r="I10142" t="s">
        <v>29</v>
      </c>
      <c r="J10142">
        <v>1</v>
      </c>
      <c r="K10142">
        <f>1-888-781-4051</f>
        <v>-5719</v>
      </c>
      <c r="L10142" t="s">
        <v>31601</v>
      </c>
      <c r="M10142" t="s">
        <v>31602</v>
      </c>
      <c r="N10142" t="s">
        <v>278</v>
      </c>
      <c r="O10142" t="s">
        <v>28</v>
      </c>
      <c r="P10142" t="s">
        <v>292</v>
      </c>
      <c r="Q10142">
        <v>49</v>
      </c>
      <c r="R10142">
        <v>2.35222</v>
      </c>
    </row>
    <row r="10143" spans="1:18" x14ac:dyDescent="0.2">
      <c r="A10143" t="s">
        <v>2233</v>
      </c>
      <c r="B10143" t="s">
        <v>1638</v>
      </c>
      <c r="C10143">
        <v>1</v>
      </c>
      <c r="D10143" s="1">
        <v>44337.882650462961</v>
      </c>
      <c r="E10143" t="s">
        <v>31600</v>
      </c>
      <c r="F10143" t="s">
        <v>2236</v>
      </c>
      <c r="G10143" t="s">
        <v>31587</v>
      </c>
      <c r="H10143" t="s">
        <v>2237</v>
      </c>
      <c r="I10143" t="s">
        <v>29</v>
      </c>
      <c r="J10143">
        <v>1</v>
      </c>
      <c r="K10143">
        <f>1-888-780-3261</f>
        <v>-4928</v>
      </c>
      <c r="L10143" t="s">
        <v>31603</v>
      </c>
      <c r="M10143" t="s">
        <v>31604</v>
      </c>
      <c r="N10143" t="s">
        <v>278</v>
      </c>
      <c r="O10143" t="s">
        <v>28</v>
      </c>
      <c r="P10143" t="s">
        <v>292</v>
      </c>
      <c r="Q10143">
        <v>49</v>
      </c>
      <c r="R10143">
        <v>2.35222</v>
      </c>
    </row>
    <row r="10144" spans="1:18" x14ac:dyDescent="0.2">
      <c r="A10144" t="s">
        <v>2233</v>
      </c>
      <c r="B10144" t="s">
        <v>1638</v>
      </c>
      <c r="C10144">
        <v>1</v>
      </c>
      <c r="D10144" s="1">
        <v>44373.929282407407</v>
      </c>
      <c r="E10144" t="s">
        <v>31605</v>
      </c>
      <c r="F10144" t="s">
        <v>2236</v>
      </c>
      <c r="G10144" t="s">
        <v>31606</v>
      </c>
      <c r="H10144" t="s">
        <v>2237</v>
      </c>
      <c r="I10144" t="s">
        <v>29</v>
      </c>
      <c r="J10144">
        <v>1</v>
      </c>
      <c r="K10144">
        <f>1-877-469-1078</f>
        <v>-2423</v>
      </c>
      <c r="L10144" t="s">
        <v>31607</v>
      </c>
      <c r="M10144" t="s">
        <v>31608</v>
      </c>
      <c r="N10144" t="s">
        <v>278</v>
      </c>
      <c r="O10144" t="s">
        <v>28</v>
      </c>
      <c r="P10144" t="s">
        <v>292</v>
      </c>
      <c r="Q10144">
        <v>49</v>
      </c>
      <c r="R10144">
        <v>2.35222</v>
      </c>
    </row>
    <row r="10145" spans="1:18" x14ac:dyDescent="0.2">
      <c r="A10145" t="s">
        <v>2233</v>
      </c>
      <c r="B10145" t="s">
        <v>1638</v>
      </c>
      <c r="C10145">
        <v>1</v>
      </c>
      <c r="D10145" s="1">
        <v>44337.892361111109</v>
      </c>
      <c r="E10145" t="s">
        <v>31600</v>
      </c>
      <c r="F10145" t="s">
        <v>2236</v>
      </c>
      <c r="G10145" t="s">
        <v>31606</v>
      </c>
      <c r="H10145" t="s">
        <v>2237</v>
      </c>
      <c r="I10145" t="s">
        <v>29</v>
      </c>
      <c r="J10145">
        <v>1</v>
      </c>
      <c r="K10145">
        <f>1-888-783-546</f>
        <v>-2216</v>
      </c>
      <c r="L10145" t="s">
        <v>31609</v>
      </c>
      <c r="M10145" t="s">
        <v>31610</v>
      </c>
      <c r="N10145" t="s">
        <v>278</v>
      </c>
      <c r="O10145" t="s">
        <v>28</v>
      </c>
      <c r="P10145" t="s">
        <v>292</v>
      </c>
      <c r="Q10145">
        <v>49</v>
      </c>
      <c r="R10145">
        <v>2.35222</v>
      </c>
    </row>
    <row r="10146" spans="1:18" x14ac:dyDescent="0.2">
      <c r="A10146" t="s">
        <v>2233</v>
      </c>
      <c r="B10146" t="s">
        <v>1638</v>
      </c>
      <c r="C10146">
        <v>1</v>
      </c>
      <c r="D10146" s="1">
        <v>44337.887094907404</v>
      </c>
      <c r="E10146" t="s">
        <v>31600</v>
      </c>
      <c r="F10146" t="s">
        <v>2236</v>
      </c>
      <c r="G10146" t="s">
        <v>31606</v>
      </c>
      <c r="H10146" t="s">
        <v>2237</v>
      </c>
      <c r="I10146" t="s">
        <v>29</v>
      </c>
      <c r="J10146">
        <v>1</v>
      </c>
      <c r="K10146">
        <f>1-888-785-1934</f>
        <v>-3606</v>
      </c>
      <c r="L10146" t="s">
        <v>31611</v>
      </c>
      <c r="M10146" t="s">
        <v>31612</v>
      </c>
      <c r="N10146" t="s">
        <v>278</v>
      </c>
      <c r="O10146" t="s">
        <v>28</v>
      </c>
      <c r="P10146" t="s">
        <v>292</v>
      </c>
      <c r="Q10146">
        <v>49</v>
      </c>
      <c r="R10146">
        <v>2.35222</v>
      </c>
    </row>
    <row r="10147" spans="1:18" x14ac:dyDescent="0.2">
      <c r="A10147" t="s">
        <v>2233</v>
      </c>
      <c r="B10147" t="s">
        <v>1638</v>
      </c>
      <c r="C10147">
        <v>1</v>
      </c>
      <c r="D10147" s="1">
        <v>44337.887777777774</v>
      </c>
      <c r="E10147" t="s">
        <v>31613</v>
      </c>
      <c r="F10147" t="s">
        <v>7023</v>
      </c>
      <c r="G10147" t="s">
        <v>31614</v>
      </c>
      <c r="H10147" t="s">
        <v>2237</v>
      </c>
      <c r="I10147" t="s">
        <v>29</v>
      </c>
      <c r="J10147">
        <v>1</v>
      </c>
      <c r="K10147">
        <f>1-888-312-1434</f>
        <v>-2633</v>
      </c>
      <c r="L10147" t="s">
        <v>31615</v>
      </c>
      <c r="M10147" t="s">
        <v>31616</v>
      </c>
      <c r="N10147" t="s">
        <v>278</v>
      </c>
      <c r="O10147" t="s">
        <v>28</v>
      </c>
      <c r="P10147" t="s">
        <v>292</v>
      </c>
      <c r="Q10147">
        <v>49</v>
      </c>
      <c r="R10147">
        <v>2.35222</v>
      </c>
    </row>
    <row r="10148" spans="1:18" x14ac:dyDescent="0.2">
      <c r="A10148" t="s">
        <v>2233</v>
      </c>
      <c r="B10148" t="s">
        <v>1638</v>
      </c>
      <c r="C10148">
        <v>1</v>
      </c>
      <c r="D10148" s="1">
        <v>44337.888078703705</v>
      </c>
      <c r="E10148" t="s">
        <v>31613</v>
      </c>
      <c r="F10148" t="s">
        <v>7023</v>
      </c>
      <c r="G10148" t="s">
        <v>31617</v>
      </c>
      <c r="H10148" t="s">
        <v>2237</v>
      </c>
      <c r="I10148" t="s">
        <v>29</v>
      </c>
      <c r="J10148">
        <v>1</v>
      </c>
      <c r="K10148">
        <f>1-888-383-572</f>
        <v>-1842</v>
      </c>
      <c r="L10148" t="s">
        <v>31618</v>
      </c>
      <c r="M10148" t="s">
        <v>31619</v>
      </c>
      <c r="N10148" t="s">
        <v>278</v>
      </c>
      <c r="O10148" t="s">
        <v>28</v>
      </c>
      <c r="P10148" t="s">
        <v>292</v>
      </c>
      <c r="Q10148">
        <v>49</v>
      </c>
      <c r="R10148">
        <v>2.35222</v>
      </c>
    </row>
    <row r="10149" spans="1:18" x14ac:dyDescent="0.2">
      <c r="A10149" t="s">
        <v>439</v>
      </c>
      <c r="B10149" t="s">
        <v>4321</v>
      </c>
      <c r="C10149">
        <v>1</v>
      </c>
      <c r="D10149" s="1">
        <v>44337.888206018521</v>
      </c>
      <c r="E10149" t="s">
        <v>31620</v>
      </c>
      <c r="F10149" t="s">
        <v>442</v>
      </c>
      <c r="G10149" t="s">
        <v>31621</v>
      </c>
      <c r="H10149" t="s">
        <v>444</v>
      </c>
      <c r="I10149" t="s">
        <v>29</v>
      </c>
      <c r="J10149">
        <v>1</v>
      </c>
      <c r="K10149">
        <f>1-888-296-4961</f>
        <v>-6144</v>
      </c>
      <c r="L10149" t="s">
        <v>31622</v>
      </c>
      <c r="M10149" t="s">
        <v>31623</v>
      </c>
      <c r="N10149" t="s">
        <v>29454</v>
      </c>
      <c r="O10149" t="s">
        <v>28</v>
      </c>
      <c r="P10149" t="s">
        <v>29</v>
      </c>
      <c r="Q10149">
        <v>42</v>
      </c>
      <c r="R10149">
        <v>-87.629800000000003</v>
      </c>
    </row>
    <row r="10150" spans="1:18" x14ac:dyDescent="0.2">
      <c r="A10150" t="s">
        <v>2233</v>
      </c>
      <c r="B10150" t="s">
        <v>1638</v>
      </c>
      <c r="C10150">
        <v>1</v>
      </c>
      <c r="D10150" s="1">
        <v>44337.88994212963</v>
      </c>
      <c r="E10150" t="s">
        <v>31600</v>
      </c>
      <c r="F10150" t="s">
        <v>2236</v>
      </c>
      <c r="G10150" t="s">
        <v>31624</v>
      </c>
      <c r="H10150" t="s">
        <v>2237</v>
      </c>
      <c r="I10150" t="s">
        <v>29</v>
      </c>
      <c r="J10150">
        <v>1</v>
      </c>
      <c r="K10150">
        <f>1-888-782-4406</f>
        <v>-6075</v>
      </c>
      <c r="L10150" t="s">
        <v>31625</v>
      </c>
      <c r="M10150" t="s">
        <v>31626</v>
      </c>
      <c r="N10150" t="s">
        <v>278</v>
      </c>
      <c r="O10150" t="s">
        <v>28</v>
      </c>
      <c r="P10150" t="s">
        <v>292</v>
      </c>
      <c r="Q10150">
        <v>49</v>
      </c>
      <c r="R10150">
        <v>2.35222</v>
      </c>
    </row>
    <row r="10151" spans="1:18" x14ac:dyDescent="0.2">
      <c r="A10151" t="s">
        <v>2233</v>
      </c>
      <c r="B10151" t="s">
        <v>1638</v>
      </c>
      <c r="C10151">
        <v>1</v>
      </c>
      <c r="D10151" s="1">
        <v>44337.889039351852</v>
      </c>
      <c r="E10151" t="s">
        <v>31600</v>
      </c>
      <c r="F10151" t="s">
        <v>2236</v>
      </c>
      <c r="G10151" t="s">
        <v>31624</v>
      </c>
      <c r="H10151" t="s">
        <v>2237</v>
      </c>
      <c r="I10151" t="s">
        <v>29</v>
      </c>
      <c r="J10151">
        <v>1</v>
      </c>
      <c r="K10151">
        <f>1-888-780-3405</f>
        <v>-5072</v>
      </c>
      <c r="L10151" t="s">
        <v>31627</v>
      </c>
      <c r="M10151" t="s">
        <v>31628</v>
      </c>
      <c r="N10151" t="s">
        <v>278</v>
      </c>
      <c r="O10151" t="s">
        <v>28</v>
      </c>
      <c r="P10151" t="s">
        <v>292</v>
      </c>
      <c r="Q10151">
        <v>49</v>
      </c>
      <c r="R10151">
        <v>2.35222</v>
      </c>
    </row>
    <row r="10152" spans="1:18" x14ac:dyDescent="0.2">
      <c r="A10152" t="s">
        <v>2233</v>
      </c>
      <c r="B10152" t="s">
        <v>1638</v>
      </c>
      <c r="C10152">
        <v>1</v>
      </c>
      <c r="D10152" s="1">
        <v>44337.90185185185</v>
      </c>
      <c r="E10152" t="s">
        <v>31629</v>
      </c>
      <c r="F10152" t="s">
        <v>7023</v>
      </c>
      <c r="G10152" t="s">
        <v>31630</v>
      </c>
      <c r="H10152" t="s">
        <v>2237</v>
      </c>
      <c r="I10152" t="s">
        <v>29</v>
      </c>
      <c r="J10152">
        <v>1</v>
      </c>
      <c r="K10152">
        <f>1-888-783-546</f>
        <v>-2216</v>
      </c>
      <c r="L10152" t="s">
        <v>31631</v>
      </c>
      <c r="M10152" t="s">
        <v>31632</v>
      </c>
      <c r="N10152" t="s">
        <v>278</v>
      </c>
      <c r="O10152" t="s">
        <v>28</v>
      </c>
      <c r="P10152" t="s">
        <v>292</v>
      </c>
      <c r="Q10152">
        <v>49</v>
      </c>
      <c r="R10152">
        <v>2.35222</v>
      </c>
    </row>
    <row r="10153" spans="1:18" x14ac:dyDescent="0.2">
      <c r="A10153" t="s">
        <v>439</v>
      </c>
      <c r="B10153" t="s">
        <v>4321</v>
      </c>
      <c r="C10153">
        <v>1</v>
      </c>
      <c r="D10153" s="1">
        <v>44337.90388888889</v>
      </c>
      <c r="E10153" t="s">
        <v>31633</v>
      </c>
      <c r="F10153" t="s">
        <v>442</v>
      </c>
      <c r="G10153" t="s">
        <v>31634</v>
      </c>
      <c r="H10153" t="s">
        <v>444</v>
      </c>
      <c r="I10153" t="s">
        <v>29</v>
      </c>
      <c r="J10153">
        <v>1</v>
      </c>
      <c r="K10153">
        <f>1-888-296-4961</f>
        <v>-6144</v>
      </c>
      <c r="L10153" t="s">
        <v>31635</v>
      </c>
      <c r="M10153" t="s">
        <v>31636</v>
      </c>
      <c r="N10153" t="s">
        <v>29454</v>
      </c>
      <c r="O10153" t="s">
        <v>28</v>
      </c>
      <c r="P10153" t="s">
        <v>29</v>
      </c>
      <c r="Q10153">
        <v>42</v>
      </c>
      <c r="R10153">
        <v>-87.629800000000003</v>
      </c>
    </row>
    <row r="10154" spans="1:18" x14ac:dyDescent="0.2">
      <c r="A10154" t="s">
        <v>2233</v>
      </c>
      <c r="B10154" t="s">
        <v>1638</v>
      </c>
      <c r="C10154">
        <v>1</v>
      </c>
      <c r="D10154" s="1">
        <v>44337.905624999999</v>
      </c>
      <c r="E10154" t="s">
        <v>31629</v>
      </c>
      <c r="F10154" t="s">
        <v>7023</v>
      </c>
      <c r="G10154" t="s">
        <v>31637</v>
      </c>
      <c r="H10154" t="s">
        <v>2237</v>
      </c>
      <c r="I10154" t="s">
        <v>29</v>
      </c>
      <c r="J10154">
        <v>1</v>
      </c>
      <c r="K10154">
        <f>1-888-779-9765</f>
        <v>-11431</v>
      </c>
      <c r="L10154" t="s">
        <v>31638</v>
      </c>
      <c r="M10154" t="s">
        <v>31639</v>
      </c>
      <c r="N10154" t="s">
        <v>278</v>
      </c>
      <c r="O10154" t="s">
        <v>28</v>
      </c>
      <c r="P10154" t="s">
        <v>292</v>
      </c>
      <c r="Q10154">
        <v>49</v>
      </c>
      <c r="R10154">
        <v>2.35222</v>
      </c>
    </row>
    <row r="10155" spans="1:18" x14ac:dyDescent="0.2">
      <c r="A10155" t="s">
        <v>2233</v>
      </c>
      <c r="B10155" t="s">
        <v>1638</v>
      </c>
      <c r="C10155">
        <v>1</v>
      </c>
      <c r="D10155" s="1">
        <v>44337.909074074072</v>
      </c>
      <c r="E10155" t="s">
        <v>31629</v>
      </c>
      <c r="F10155" t="s">
        <v>7023</v>
      </c>
      <c r="G10155" t="s">
        <v>31640</v>
      </c>
      <c r="H10155" t="s">
        <v>2237</v>
      </c>
      <c r="I10155" t="s">
        <v>29</v>
      </c>
      <c r="J10155">
        <v>1</v>
      </c>
      <c r="K10155">
        <f>1-888-781-4306</f>
        <v>-5974</v>
      </c>
      <c r="L10155" t="s">
        <v>31641</v>
      </c>
      <c r="M10155" t="s">
        <v>31642</v>
      </c>
      <c r="N10155" t="s">
        <v>278</v>
      </c>
      <c r="O10155" t="s">
        <v>28</v>
      </c>
      <c r="P10155" t="s">
        <v>292</v>
      </c>
      <c r="Q10155">
        <v>49</v>
      </c>
      <c r="R10155">
        <v>2.35222</v>
      </c>
    </row>
    <row r="10156" spans="1:18" x14ac:dyDescent="0.2">
      <c r="A10156" t="s">
        <v>439</v>
      </c>
      <c r="B10156" t="s">
        <v>5337</v>
      </c>
      <c r="C10156">
        <v>1</v>
      </c>
      <c r="D10156" s="1">
        <v>44337.910590277781</v>
      </c>
      <c r="E10156" t="s">
        <v>31643</v>
      </c>
      <c r="F10156" t="s">
        <v>442</v>
      </c>
      <c r="G10156" t="s">
        <v>31644</v>
      </c>
      <c r="H10156" t="s">
        <v>444</v>
      </c>
      <c r="I10156" t="s">
        <v>29</v>
      </c>
      <c r="J10156">
        <v>1</v>
      </c>
      <c r="K10156">
        <f>1-844-308-8256</f>
        <v>-9407</v>
      </c>
      <c r="L10156" t="s">
        <v>31645</v>
      </c>
      <c r="M10156" t="s">
        <v>31646</v>
      </c>
      <c r="N10156" t="s">
        <v>29454</v>
      </c>
      <c r="O10156" t="s">
        <v>28</v>
      </c>
      <c r="P10156" t="s">
        <v>29</v>
      </c>
      <c r="Q10156">
        <v>38</v>
      </c>
      <c r="R10156">
        <v>-99.999999000000003</v>
      </c>
    </row>
    <row r="10157" spans="1:18" x14ac:dyDescent="0.2">
      <c r="A10157" t="s">
        <v>2233</v>
      </c>
      <c r="B10157" t="s">
        <v>1638</v>
      </c>
      <c r="C10157">
        <v>1</v>
      </c>
      <c r="D10157" s="1">
        <v>44338.032280092593</v>
      </c>
      <c r="E10157" t="s">
        <v>31647</v>
      </c>
      <c r="F10157" t="s">
        <v>2236</v>
      </c>
      <c r="G10157" t="s">
        <v>31648</v>
      </c>
      <c r="H10157" t="s">
        <v>2237</v>
      </c>
      <c r="I10157" t="s">
        <v>29</v>
      </c>
      <c r="J10157">
        <v>1</v>
      </c>
      <c r="K10157">
        <f>1-888-772-9169</f>
        <v>-10828</v>
      </c>
      <c r="L10157" t="s">
        <v>31649</v>
      </c>
      <c r="M10157" t="s">
        <v>31650</v>
      </c>
      <c r="N10157" t="s">
        <v>278</v>
      </c>
      <c r="O10157" t="s">
        <v>28</v>
      </c>
      <c r="P10157" t="s">
        <v>292</v>
      </c>
      <c r="Q10157">
        <v>49</v>
      </c>
      <c r="R10157">
        <v>2.35222</v>
      </c>
    </row>
    <row r="10158" spans="1:18" x14ac:dyDescent="0.2">
      <c r="A10158" t="s">
        <v>2233</v>
      </c>
      <c r="B10158" t="s">
        <v>1638</v>
      </c>
      <c r="C10158">
        <v>1</v>
      </c>
      <c r="D10158" s="1">
        <v>44338.834791666668</v>
      </c>
      <c r="E10158" t="s">
        <v>31651</v>
      </c>
      <c r="F10158" t="s">
        <v>7023</v>
      </c>
      <c r="G10158" t="s">
        <v>31652</v>
      </c>
      <c r="H10158" t="s">
        <v>2237</v>
      </c>
      <c r="I10158" t="s">
        <v>29</v>
      </c>
      <c r="J10158">
        <v>1</v>
      </c>
      <c r="K10158">
        <f>1-888-351-1474</f>
        <v>-2712</v>
      </c>
      <c r="L10158" t="s">
        <v>31653</v>
      </c>
      <c r="M10158" t="s">
        <v>31654</v>
      </c>
      <c r="N10158" t="s">
        <v>278</v>
      </c>
      <c r="O10158" t="s">
        <v>28</v>
      </c>
      <c r="P10158" t="s">
        <v>292</v>
      </c>
      <c r="Q10158">
        <v>49</v>
      </c>
      <c r="R10158">
        <v>2.35222</v>
      </c>
    </row>
    <row r="10159" spans="1:18" x14ac:dyDescent="0.2">
      <c r="A10159" t="s">
        <v>2233</v>
      </c>
      <c r="B10159" t="s">
        <v>1638</v>
      </c>
      <c r="C10159">
        <v>1</v>
      </c>
      <c r="D10159" s="1">
        <v>44349.99359953704</v>
      </c>
      <c r="E10159" t="s">
        <v>31655</v>
      </c>
      <c r="F10159" t="s">
        <v>2236</v>
      </c>
      <c r="G10159" t="s">
        <v>31656</v>
      </c>
      <c r="H10159" t="s">
        <v>2237</v>
      </c>
      <c r="I10159" t="s">
        <v>29</v>
      </c>
      <c r="J10159">
        <v>1</v>
      </c>
      <c r="K10159">
        <f>1-888-531-9706</f>
        <v>-11124</v>
      </c>
      <c r="L10159" t="s">
        <v>31657</v>
      </c>
      <c r="M10159" t="s">
        <v>31658</v>
      </c>
      <c r="N10159" t="s">
        <v>278</v>
      </c>
      <c r="O10159" t="s">
        <v>28</v>
      </c>
      <c r="P10159" t="s">
        <v>292</v>
      </c>
      <c r="Q10159">
        <v>49</v>
      </c>
      <c r="R10159">
        <v>2.35222</v>
      </c>
    </row>
    <row r="10160" spans="1:18" x14ac:dyDescent="0.2">
      <c r="A10160" t="s">
        <v>2233</v>
      </c>
      <c r="B10160" t="s">
        <v>1638</v>
      </c>
      <c r="C10160">
        <v>1</v>
      </c>
      <c r="D10160" s="1">
        <v>44349.948888888888</v>
      </c>
      <c r="E10160" t="s">
        <v>31655</v>
      </c>
      <c r="F10160" t="s">
        <v>2236</v>
      </c>
      <c r="G10160" t="s">
        <v>31656</v>
      </c>
      <c r="H10160" t="s">
        <v>2237</v>
      </c>
      <c r="I10160" t="s">
        <v>29</v>
      </c>
      <c r="J10160">
        <v>1</v>
      </c>
      <c r="K10160">
        <f>1-888-598-1569</f>
        <v>-3054</v>
      </c>
      <c r="L10160" t="s">
        <v>31659</v>
      </c>
      <c r="M10160" t="s">
        <v>31660</v>
      </c>
      <c r="N10160" t="s">
        <v>278</v>
      </c>
      <c r="O10160" t="s">
        <v>28</v>
      </c>
      <c r="P10160" t="s">
        <v>292</v>
      </c>
      <c r="Q10160">
        <v>49</v>
      </c>
      <c r="R10160">
        <v>2.35222</v>
      </c>
    </row>
    <row r="10161" spans="1:18" x14ac:dyDescent="0.2">
      <c r="A10161" t="s">
        <v>2233</v>
      </c>
      <c r="B10161" t="s">
        <v>1638</v>
      </c>
      <c r="C10161">
        <v>1</v>
      </c>
      <c r="D10161" s="1">
        <v>44339.618391203701</v>
      </c>
      <c r="E10161" t="s">
        <v>31661</v>
      </c>
      <c r="F10161" t="s">
        <v>2236</v>
      </c>
      <c r="G10161" t="s">
        <v>31656</v>
      </c>
      <c r="H10161" t="s">
        <v>2237</v>
      </c>
      <c r="I10161" t="s">
        <v>29</v>
      </c>
      <c r="J10161">
        <v>1</v>
      </c>
      <c r="K10161">
        <f>1-954-824-9250</f>
        <v>-11027</v>
      </c>
      <c r="L10161" t="s">
        <v>31662</v>
      </c>
      <c r="M10161" t="s">
        <v>31663</v>
      </c>
      <c r="N10161" t="s">
        <v>278</v>
      </c>
      <c r="O10161" t="s">
        <v>28</v>
      </c>
      <c r="P10161" t="s">
        <v>292</v>
      </c>
      <c r="Q10161">
        <v>49</v>
      </c>
      <c r="R10161">
        <v>2.35222</v>
      </c>
    </row>
    <row r="10162" spans="1:18" x14ac:dyDescent="0.2">
      <c r="A10162" t="s">
        <v>2233</v>
      </c>
      <c r="B10162" t="s">
        <v>1638</v>
      </c>
      <c r="C10162">
        <v>1</v>
      </c>
      <c r="D10162" s="1">
        <v>44338.836087962962</v>
      </c>
      <c r="E10162" t="s">
        <v>31661</v>
      </c>
      <c r="F10162" t="s">
        <v>2236</v>
      </c>
      <c r="G10162" t="s">
        <v>31656</v>
      </c>
      <c r="H10162" t="s">
        <v>2237</v>
      </c>
      <c r="I10162" t="s">
        <v>29</v>
      </c>
      <c r="J10162">
        <v>1</v>
      </c>
      <c r="K10162">
        <f>1-888-773-9411</f>
        <v>-11071</v>
      </c>
      <c r="L10162" t="s">
        <v>31664</v>
      </c>
      <c r="M10162" t="s">
        <v>31665</v>
      </c>
      <c r="N10162" t="s">
        <v>278</v>
      </c>
      <c r="O10162" t="s">
        <v>28</v>
      </c>
      <c r="P10162" t="s">
        <v>292</v>
      </c>
      <c r="Q10162">
        <v>49</v>
      </c>
      <c r="R10162">
        <v>2.35222</v>
      </c>
    </row>
    <row r="10163" spans="1:18" x14ac:dyDescent="0.2">
      <c r="A10163" t="s">
        <v>439</v>
      </c>
      <c r="B10163" t="s">
        <v>4321</v>
      </c>
      <c r="C10163">
        <v>1</v>
      </c>
      <c r="D10163" s="1">
        <v>44338.843425925923</v>
      </c>
      <c r="E10163" t="s">
        <v>31666</v>
      </c>
      <c r="F10163" t="s">
        <v>442</v>
      </c>
      <c r="G10163" t="s">
        <v>31667</v>
      </c>
      <c r="H10163" t="s">
        <v>444</v>
      </c>
      <c r="I10163" t="s">
        <v>29</v>
      </c>
      <c r="J10163">
        <v>1</v>
      </c>
      <c r="K10163">
        <f>1-844-385-4420</f>
        <v>-5648</v>
      </c>
      <c r="L10163" t="s">
        <v>31668</v>
      </c>
      <c r="M10163" t="s">
        <v>31669</v>
      </c>
      <c r="N10163" t="s">
        <v>447</v>
      </c>
      <c r="O10163" t="s">
        <v>28</v>
      </c>
      <c r="P10163" t="s">
        <v>29</v>
      </c>
      <c r="Q10163">
        <v>42</v>
      </c>
      <c r="R10163">
        <v>-87.629800000000003</v>
      </c>
    </row>
    <row r="10164" spans="1:18" x14ac:dyDescent="0.2">
      <c r="A10164" t="s">
        <v>2233</v>
      </c>
      <c r="B10164" t="s">
        <v>1638</v>
      </c>
      <c r="C10164">
        <v>1</v>
      </c>
      <c r="D10164" s="1">
        <v>44338.860127314816</v>
      </c>
      <c r="E10164" t="s">
        <v>31670</v>
      </c>
      <c r="F10164" t="s">
        <v>2236</v>
      </c>
      <c r="G10164" t="s">
        <v>31671</v>
      </c>
      <c r="H10164" t="s">
        <v>2237</v>
      </c>
      <c r="I10164" t="s">
        <v>29</v>
      </c>
      <c r="J10164">
        <v>1</v>
      </c>
      <c r="K10164">
        <f>1-888-399-9146</f>
        <v>-10432</v>
      </c>
      <c r="L10164" t="s">
        <v>31672</v>
      </c>
      <c r="M10164" t="s">
        <v>31673</v>
      </c>
      <c r="N10164" t="s">
        <v>278</v>
      </c>
      <c r="O10164" t="s">
        <v>28</v>
      </c>
      <c r="P10164" t="s">
        <v>292</v>
      </c>
      <c r="Q10164">
        <v>49</v>
      </c>
      <c r="R10164">
        <v>2.35222</v>
      </c>
    </row>
    <row r="10165" spans="1:18" x14ac:dyDescent="0.2">
      <c r="A10165" t="s">
        <v>2233</v>
      </c>
      <c r="B10165" t="s">
        <v>1638</v>
      </c>
      <c r="C10165">
        <v>1</v>
      </c>
      <c r="D10165" s="1">
        <v>44351.029699074075</v>
      </c>
      <c r="E10165" t="s">
        <v>31674</v>
      </c>
      <c r="F10165" t="s">
        <v>2236</v>
      </c>
      <c r="G10165" t="s">
        <v>31675</v>
      </c>
      <c r="H10165" t="s">
        <v>2237</v>
      </c>
      <c r="I10165" t="s">
        <v>29</v>
      </c>
      <c r="J10165">
        <v>1</v>
      </c>
      <c r="K10165">
        <f>1-888-387-1855</f>
        <v>-3129</v>
      </c>
      <c r="L10165" t="s">
        <v>31676</v>
      </c>
      <c r="M10165" t="s">
        <v>31677</v>
      </c>
      <c r="N10165" t="s">
        <v>278</v>
      </c>
      <c r="O10165" t="s">
        <v>28</v>
      </c>
      <c r="P10165" t="s">
        <v>292</v>
      </c>
      <c r="Q10165">
        <v>49</v>
      </c>
      <c r="R10165">
        <v>2.35222</v>
      </c>
    </row>
    <row r="10166" spans="1:18" x14ac:dyDescent="0.2">
      <c r="A10166" t="s">
        <v>2233</v>
      </c>
      <c r="B10166" t="s">
        <v>1638</v>
      </c>
      <c r="C10166">
        <v>1</v>
      </c>
      <c r="D10166" s="1">
        <v>44338.87940972222</v>
      </c>
      <c r="E10166" t="s">
        <v>31678</v>
      </c>
      <c r="F10166" t="s">
        <v>2236</v>
      </c>
      <c r="G10166" t="s">
        <v>31675</v>
      </c>
      <c r="H10166" t="s">
        <v>2237</v>
      </c>
      <c r="I10166" t="s">
        <v>29</v>
      </c>
      <c r="J10166">
        <v>1</v>
      </c>
      <c r="K10166">
        <f>1-888-398-4027</f>
        <v>-5312</v>
      </c>
      <c r="L10166" t="s">
        <v>31679</v>
      </c>
      <c r="M10166" t="s">
        <v>31680</v>
      </c>
      <c r="N10166" t="s">
        <v>278</v>
      </c>
      <c r="O10166" t="s">
        <v>28</v>
      </c>
      <c r="P10166" t="s">
        <v>292</v>
      </c>
      <c r="Q10166">
        <v>49</v>
      </c>
      <c r="R10166">
        <v>2.35222</v>
      </c>
    </row>
    <row r="10167" spans="1:18" x14ac:dyDescent="0.2">
      <c r="A10167" t="s">
        <v>2233</v>
      </c>
      <c r="B10167" t="s">
        <v>1638</v>
      </c>
      <c r="C10167">
        <v>1</v>
      </c>
      <c r="D10167" s="1">
        <v>44338.884756944448</v>
      </c>
      <c r="E10167" t="s">
        <v>31661</v>
      </c>
      <c r="F10167" t="s">
        <v>2236</v>
      </c>
      <c r="G10167" t="s">
        <v>31681</v>
      </c>
      <c r="H10167" t="s">
        <v>2237</v>
      </c>
      <c r="I10167" t="s">
        <v>29</v>
      </c>
      <c r="J10167">
        <v>1</v>
      </c>
      <c r="K10167">
        <f>1-888-775-4689</f>
        <v>-6351</v>
      </c>
      <c r="L10167" t="s">
        <v>31682</v>
      </c>
      <c r="M10167" t="s">
        <v>31683</v>
      </c>
      <c r="N10167" t="s">
        <v>278</v>
      </c>
      <c r="O10167" t="s">
        <v>28</v>
      </c>
      <c r="P10167" t="s">
        <v>292</v>
      </c>
      <c r="Q10167">
        <v>49</v>
      </c>
      <c r="R10167">
        <v>2.35222</v>
      </c>
    </row>
    <row r="10168" spans="1:18" x14ac:dyDescent="0.2">
      <c r="A10168" t="s">
        <v>663</v>
      </c>
      <c r="B10168" t="s">
        <v>664</v>
      </c>
      <c r="C10168">
        <v>1</v>
      </c>
      <c r="D10168" s="1">
        <v>44338.995092592595</v>
      </c>
      <c r="E10168" t="s">
        <v>31684</v>
      </c>
      <c r="F10168" t="s">
        <v>666</v>
      </c>
      <c r="G10168" t="s">
        <v>31685</v>
      </c>
      <c r="H10168" t="s">
        <v>667</v>
      </c>
      <c r="I10168" t="s">
        <v>29</v>
      </c>
      <c r="J10168">
        <v>1</v>
      </c>
      <c r="K10168">
        <f>1-833-251-9126</f>
        <v>-10209</v>
      </c>
      <c r="L10168" t="s">
        <v>31686</v>
      </c>
      <c r="M10168" t="s">
        <v>31687</v>
      </c>
      <c r="N10168" t="s">
        <v>2475</v>
      </c>
      <c r="O10168" t="s">
        <v>28</v>
      </c>
      <c r="P10168" t="s">
        <v>29</v>
      </c>
      <c r="Q10168">
        <v>37</v>
      </c>
      <c r="R10168">
        <v>-99.999999000000003</v>
      </c>
    </row>
    <row r="10169" spans="1:18" x14ac:dyDescent="0.2">
      <c r="A10169" t="s">
        <v>2233</v>
      </c>
      <c r="B10169" t="s">
        <v>1638</v>
      </c>
      <c r="C10169">
        <v>1</v>
      </c>
      <c r="D10169" s="1">
        <v>44339.375277777777</v>
      </c>
      <c r="E10169" t="s">
        <v>31661</v>
      </c>
      <c r="F10169" t="s">
        <v>2236</v>
      </c>
      <c r="G10169" t="s">
        <v>31688</v>
      </c>
      <c r="H10169" t="s">
        <v>2237</v>
      </c>
      <c r="I10169" t="s">
        <v>29</v>
      </c>
      <c r="J10169">
        <v>1</v>
      </c>
      <c r="K10169">
        <f>1-917-418-3871</f>
        <v>-5205</v>
      </c>
      <c r="L10169" t="s">
        <v>31689</v>
      </c>
      <c r="M10169" t="s">
        <v>31690</v>
      </c>
      <c r="N10169" t="s">
        <v>278</v>
      </c>
      <c r="O10169" t="s">
        <v>28</v>
      </c>
      <c r="P10169" t="s">
        <v>292</v>
      </c>
      <c r="Q10169">
        <v>49</v>
      </c>
      <c r="R10169">
        <v>2.35222</v>
      </c>
    </row>
    <row r="10170" spans="1:18" x14ac:dyDescent="0.2">
      <c r="A10170" t="s">
        <v>439</v>
      </c>
      <c r="B10170" t="s">
        <v>5337</v>
      </c>
      <c r="C10170">
        <v>1</v>
      </c>
      <c r="D10170" s="1">
        <v>44339.651469907411</v>
      </c>
      <c r="E10170" t="s">
        <v>31691</v>
      </c>
      <c r="F10170" t="s">
        <v>442</v>
      </c>
      <c r="G10170" t="s">
        <v>31692</v>
      </c>
      <c r="H10170" t="s">
        <v>444</v>
      </c>
      <c r="I10170" t="s">
        <v>29</v>
      </c>
      <c r="J10170">
        <v>1</v>
      </c>
      <c r="K10170">
        <f>1-855-436-639</f>
        <v>-1929</v>
      </c>
      <c r="L10170" t="s">
        <v>31693</v>
      </c>
      <c r="M10170" t="s">
        <v>31694</v>
      </c>
      <c r="N10170" t="s">
        <v>2475</v>
      </c>
      <c r="O10170" t="s">
        <v>28</v>
      </c>
      <c r="P10170" t="s">
        <v>29</v>
      </c>
      <c r="Q10170">
        <v>38</v>
      </c>
      <c r="R10170">
        <v>-99.999999000000003</v>
      </c>
    </row>
    <row r="10171" spans="1:18" x14ac:dyDescent="0.2">
      <c r="A10171" t="s">
        <v>2233</v>
      </c>
      <c r="B10171" t="s">
        <v>2263</v>
      </c>
      <c r="C10171">
        <v>1</v>
      </c>
      <c r="D10171" s="1">
        <v>44339.814722222225</v>
      </c>
      <c r="E10171" t="s">
        <v>31695</v>
      </c>
      <c r="F10171" t="s">
        <v>2236</v>
      </c>
      <c r="G10171" t="s">
        <v>31696</v>
      </c>
      <c r="H10171" t="s">
        <v>2237</v>
      </c>
      <c r="I10171" t="s">
        <v>29</v>
      </c>
      <c r="J10171">
        <v>1</v>
      </c>
      <c r="K10171">
        <f>1-608-433-9020</f>
        <v>-10060</v>
      </c>
      <c r="L10171" t="s">
        <v>31697</v>
      </c>
      <c r="M10171" t="s">
        <v>31698</v>
      </c>
      <c r="N10171" t="s">
        <v>5354</v>
      </c>
      <c r="O10171" t="s">
        <v>28</v>
      </c>
      <c r="P10171" t="s">
        <v>2268</v>
      </c>
      <c r="Q10171">
        <v>44</v>
      </c>
      <c r="R10171">
        <v>-79.383200000000002</v>
      </c>
    </row>
    <row r="10172" spans="1:18" x14ac:dyDescent="0.2">
      <c r="A10172" t="s">
        <v>439</v>
      </c>
      <c r="B10172" t="s">
        <v>4321</v>
      </c>
      <c r="C10172">
        <v>1</v>
      </c>
      <c r="D10172" s="1">
        <v>44339.83734953704</v>
      </c>
      <c r="E10172" t="s">
        <v>31699</v>
      </c>
      <c r="F10172" t="s">
        <v>442</v>
      </c>
      <c r="G10172" t="s">
        <v>31700</v>
      </c>
      <c r="H10172" t="s">
        <v>444</v>
      </c>
      <c r="I10172" t="s">
        <v>29</v>
      </c>
      <c r="J10172">
        <v>1</v>
      </c>
      <c r="K10172">
        <f>1-855-731-118</f>
        <v>-1703</v>
      </c>
      <c r="L10172" t="s">
        <v>31701</v>
      </c>
      <c r="M10172" t="s">
        <v>31702</v>
      </c>
      <c r="N10172" t="s">
        <v>2475</v>
      </c>
      <c r="O10172" t="s">
        <v>28</v>
      </c>
      <c r="P10172" t="s">
        <v>29</v>
      </c>
      <c r="Q10172">
        <v>42</v>
      </c>
      <c r="R10172">
        <v>-87.629800000000003</v>
      </c>
    </row>
    <row r="10173" spans="1:18" x14ac:dyDescent="0.2">
      <c r="A10173" t="s">
        <v>439</v>
      </c>
      <c r="B10173" t="s">
        <v>4321</v>
      </c>
      <c r="C10173">
        <v>1</v>
      </c>
      <c r="D10173" s="1">
        <v>44339.868194444447</v>
      </c>
      <c r="E10173" t="s">
        <v>31703</v>
      </c>
      <c r="F10173" t="s">
        <v>442</v>
      </c>
      <c r="G10173" t="s">
        <v>31704</v>
      </c>
      <c r="H10173" t="s">
        <v>444</v>
      </c>
      <c r="I10173" t="s">
        <v>29</v>
      </c>
      <c r="J10173">
        <v>1</v>
      </c>
      <c r="K10173">
        <f>1-866-305-375</f>
        <v>-1545</v>
      </c>
      <c r="L10173" t="s">
        <v>31705</v>
      </c>
      <c r="M10173" t="s">
        <v>31706</v>
      </c>
      <c r="N10173" t="s">
        <v>2475</v>
      </c>
      <c r="O10173" t="s">
        <v>28</v>
      </c>
      <c r="P10173" t="s">
        <v>29</v>
      </c>
      <c r="Q10173">
        <v>42</v>
      </c>
      <c r="R10173">
        <v>-87.629800000000003</v>
      </c>
    </row>
    <row r="10174" spans="1:18" x14ac:dyDescent="0.2">
      <c r="A10174" t="s">
        <v>439</v>
      </c>
      <c r="B10174" t="s">
        <v>4321</v>
      </c>
      <c r="C10174">
        <v>1</v>
      </c>
      <c r="D10174" s="1">
        <v>44339.918738425928</v>
      </c>
      <c r="E10174" t="s">
        <v>31707</v>
      </c>
      <c r="F10174" t="s">
        <v>442</v>
      </c>
      <c r="G10174" t="s">
        <v>31708</v>
      </c>
      <c r="H10174" t="s">
        <v>444</v>
      </c>
      <c r="I10174" t="s">
        <v>29</v>
      </c>
      <c r="J10174">
        <v>1</v>
      </c>
      <c r="K10174">
        <f>1-877-729-3026</f>
        <v>-4631</v>
      </c>
      <c r="L10174" t="s">
        <v>31709</v>
      </c>
      <c r="M10174" t="s">
        <v>31710</v>
      </c>
      <c r="N10174" t="s">
        <v>2475</v>
      </c>
      <c r="O10174" t="s">
        <v>28</v>
      </c>
      <c r="P10174" t="s">
        <v>29</v>
      </c>
      <c r="Q10174">
        <v>42</v>
      </c>
      <c r="R10174">
        <v>-87.629800000000003</v>
      </c>
    </row>
    <row r="10175" spans="1:18" x14ac:dyDescent="0.2">
      <c r="A10175" t="s">
        <v>439</v>
      </c>
      <c r="B10175" t="s">
        <v>4321</v>
      </c>
      <c r="C10175">
        <v>1</v>
      </c>
      <c r="D10175" s="1">
        <v>44339.945104166669</v>
      </c>
      <c r="E10175" t="s">
        <v>31711</v>
      </c>
      <c r="F10175" t="s">
        <v>442</v>
      </c>
      <c r="G10175" t="s">
        <v>31712</v>
      </c>
      <c r="H10175" t="s">
        <v>444</v>
      </c>
      <c r="I10175" t="s">
        <v>29</v>
      </c>
      <c r="J10175">
        <v>1</v>
      </c>
      <c r="K10175">
        <f>1-866-698-1611</f>
        <v>-3174</v>
      </c>
      <c r="L10175" t="s">
        <v>31713</v>
      </c>
      <c r="M10175" t="s">
        <v>31714</v>
      </c>
      <c r="N10175" t="s">
        <v>2475</v>
      </c>
      <c r="O10175" t="s">
        <v>28</v>
      </c>
      <c r="P10175" t="s">
        <v>29</v>
      </c>
      <c r="Q10175">
        <v>42</v>
      </c>
      <c r="R10175">
        <v>-87.629800000000003</v>
      </c>
    </row>
    <row r="10176" spans="1:18" x14ac:dyDescent="0.2">
      <c r="A10176" t="s">
        <v>2233</v>
      </c>
      <c r="B10176" t="s">
        <v>1638</v>
      </c>
      <c r="C10176">
        <v>1</v>
      </c>
      <c r="D10176" s="1">
        <v>44342.748460648145</v>
      </c>
      <c r="E10176" t="s">
        <v>31715</v>
      </c>
      <c r="F10176" t="s">
        <v>2236</v>
      </c>
      <c r="G10176" t="s">
        <v>31716</v>
      </c>
      <c r="H10176" t="s">
        <v>2237</v>
      </c>
      <c r="I10176" t="s">
        <v>29</v>
      </c>
      <c r="J10176">
        <v>1</v>
      </c>
      <c r="K10176">
        <f>1-888-607-2898</f>
        <v>-4392</v>
      </c>
      <c r="L10176" t="s">
        <v>31717</v>
      </c>
      <c r="M10176" t="s">
        <v>31718</v>
      </c>
      <c r="N10176" t="s">
        <v>278</v>
      </c>
      <c r="O10176" t="s">
        <v>28</v>
      </c>
      <c r="P10176" t="s">
        <v>292</v>
      </c>
      <c r="Q10176">
        <v>49</v>
      </c>
      <c r="R10176">
        <v>2.35222</v>
      </c>
    </row>
    <row r="10177" spans="1:18" x14ac:dyDescent="0.2">
      <c r="A10177" t="s">
        <v>2233</v>
      </c>
      <c r="B10177" t="s">
        <v>1638</v>
      </c>
      <c r="C10177">
        <v>1</v>
      </c>
      <c r="D10177" s="1">
        <v>44342.746249999997</v>
      </c>
      <c r="E10177" t="s">
        <v>31715</v>
      </c>
      <c r="F10177" t="s">
        <v>2236</v>
      </c>
      <c r="G10177" t="s">
        <v>31716</v>
      </c>
      <c r="H10177" t="s">
        <v>2237</v>
      </c>
      <c r="I10177" t="s">
        <v>29</v>
      </c>
      <c r="J10177">
        <v>1</v>
      </c>
      <c r="K10177">
        <f>1-888-615-6569</f>
        <v>-8071</v>
      </c>
      <c r="L10177" t="s">
        <v>31719</v>
      </c>
      <c r="M10177" t="s">
        <v>31720</v>
      </c>
      <c r="N10177" t="s">
        <v>278</v>
      </c>
      <c r="O10177" t="s">
        <v>28</v>
      </c>
      <c r="P10177" t="s">
        <v>292</v>
      </c>
      <c r="Q10177">
        <v>49</v>
      </c>
      <c r="R10177">
        <v>2.35222</v>
      </c>
    </row>
    <row r="10178" spans="1:18" x14ac:dyDescent="0.2">
      <c r="A10178" t="s">
        <v>2233</v>
      </c>
      <c r="B10178" t="s">
        <v>1638</v>
      </c>
      <c r="C10178">
        <v>1</v>
      </c>
      <c r="D10178" s="1">
        <v>44342.742997685185</v>
      </c>
      <c r="E10178" t="s">
        <v>31715</v>
      </c>
      <c r="F10178" t="s">
        <v>2236</v>
      </c>
      <c r="G10178" t="s">
        <v>31716</v>
      </c>
      <c r="H10178" t="s">
        <v>2237</v>
      </c>
      <c r="I10178" t="s">
        <v>29</v>
      </c>
      <c r="J10178">
        <v>1</v>
      </c>
      <c r="K10178">
        <f>1-888-441-3229</f>
        <v>-4557</v>
      </c>
      <c r="L10178" t="s">
        <v>31721</v>
      </c>
      <c r="M10178" t="s">
        <v>31722</v>
      </c>
      <c r="N10178" t="s">
        <v>278</v>
      </c>
      <c r="O10178" t="s">
        <v>28</v>
      </c>
      <c r="P10178" t="s">
        <v>292</v>
      </c>
      <c r="Q10178">
        <v>49</v>
      </c>
      <c r="R10178">
        <v>2.35222</v>
      </c>
    </row>
    <row r="10179" spans="1:18" x14ac:dyDescent="0.2">
      <c r="A10179" t="s">
        <v>2233</v>
      </c>
      <c r="B10179" t="s">
        <v>1638</v>
      </c>
      <c r="C10179">
        <v>1</v>
      </c>
      <c r="D10179" s="1">
        <v>44342.74119212963</v>
      </c>
      <c r="E10179" t="s">
        <v>31715</v>
      </c>
      <c r="F10179" t="s">
        <v>2236</v>
      </c>
      <c r="G10179" t="s">
        <v>31716</v>
      </c>
      <c r="H10179" t="s">
        <v>2237</v>
      </c>
      <c r="I10179" t="s">
        <v>29</v>
      </c>
      <c r="J10179">
        <v>1</v>
      </c>
      <c r="K10179">
        <f>1-888-603-6486</f>
        <v>-7976</v>
      </c>
      <c r="L10179" t="s">
        <v>31723</v>
      </c>
      <c r="M10179" t="s">
        <v>31724</v>
      </c>
      <c r="N10179" t="s">
        <v>278</v>
      </c>
      <c r="O10179" t="s">
        <v>28</v>
      </c>
      <c r="P10179" t="s">
        <v>292</v>
      </c>
      <c r="Q10179">
        <v>49</v>
      </c>
      <c r="R10179">
        <v>2.35222</v>
      </c>
    </row>
    <row r="10180" spans="1:18" x14ac:dyDescent="0.2">
      <c r="A10180" t="s">
        <v>2233</v>
      </c>
      <c r="B10180" t="s">
        <v>2234</v>
      </c>
      <c r="C10180">
        <v>1</v>
      </c>
      <c r="D10180" s="1">
        <v>44342.744155092594</v>
      </c>
      <c r="E10180" t="s">
        <v>31725</v>
      </c>
      <c r="F10180" t="s">
        <v>2236</v>
      </c>
      <c r="G10180" t="s">
        <v>31726</v>
      </c>
      <c r="H10180" t="s">
        <v>2237</v>
      </c>
      <c r="I10180" t="s">
        <v>29</v>
      </c>
      <c r="J10180">
        <v>1</v>
      </c>
      <c r="K10180">
        <f>1-833-251-9233</f>
        <v>-10316</v>
      </c>
      <c r="L10180" t="s">
        <v>31727</v>
      </c>
      <c r="M10180" t="s">
        <v>31728</v>
      </c>
      <c r="N10180" t="s">
        <v>5354</v>
      </c>
      <c r="O10180" t="s">
        <v>28</v>
      </c>
      <c r="P10180" t="s">
        <v>29</v>
      </c>
      <c r="Q10180">
        <v>40</v>
      </c>
      <c r="R10180">
        <v>-83.114099999999993</v>
      </c>
    </row>
    <row r="10181" spans="1:18" x14ac:dyDescent="0.2">
      <c r="A10181" t="s">
        <v>2233</v>
      </c>
      <c r="B10181" t="s">
        <v>1638</v>
      </c>
      <c r="C10181">
        <v>1</v>
      </c>
      <c r="D10181" s="1">
        <v>44343.84103009259</v>
      </c>
      <c r="E10181" t="s">
        <v>31729</v>
      </c>
      <c r="F10181" t="s">
        <v>7023</v>
      </c>
      <c r="G10181" t="s">
        <v>31730</v>
      </c>
      <c r="H10181" t="s">
        <v>2237</v>
      </c>
      <c r="I10181" t="s">
        <v>29</v>
      </c>
      <c r="J10181">
        <v>1</v>
      </c>
      <c r="K10181">
        <f>1-888-383-571</f>
        <v>-1841</v>
      </c>
      <c r="L10181" t="s">
        <v>31731</v>
      </c>
      <c r="M10181" t="s">
        <v>31732</v>
      </c>
      <c r="N10181" t="s">
        <v>278</v>
      </c>
      <c r="O10181" t="s">
        <v>28</v>
      </c>
      <c r="P10181" t="s">
        <v>292</v>
      </c>
      <c r="Q10181">
        <v>49</v>
      </c>
      <c r="R10181">
        <v>2.35222</v>
      </c>
    </row>
    <row r="10182" spans="1:18" x14ac:dyDescent="0.2">
      <c r="A10182" t="s">
        <v>2233</v>
      </c>
      <c r="B10182" t="s">
        <v>1638</v>
      </c>
      <c r="C10182">
        <v>1</v>
      </c>
      <c r="D10182" s="1">
        <v>44343.820023148146</v>
      </c>
      <c r="E10182" t="s">
        <v>31729</v>
      </c>
      <c r="F10182" t="s">
        <v>7023</v>
      </c>
      <c r="G10182" t="s">
        <v>31730</v>
      </c>
      <c r="H10182" t="s">
        <v>2237</v>
      </c>
      <c r="I10182" t="s">
        <v>29</v>
      </c>
      <c r="J10182">
        <v>1</v>
      </c>
      <c r="K10182">
        <f>1-888-705-914</f>
        <v>-2506</v>
      </c>
      <c r="L10182" t="s">
        <v>31733</v>
      </c>
      <c r="M10182" t="s">
        <v>31734</v>
      </c>
      <c r="N10182" t="s">
        <v>278</v>
      </c>
      <c r="O10182" t="s">
        <v>28</v>
      </c>
      <c r="P10182" t="s">
        <v>292</v>
      </c>
      <c r="Q10182">
        <v>49</v>
      </c>
      <c r="R10182">
        <v>2.35222</v>
      </c>
    </row>
    <row r="10183" spans="1:18" x14ac:dyDescent="0.2">
      <c r="A10183" t="s">
        <v>2233</v>
      </c>
      <c r="B10183" t="s">
        <v>440</v>
      </c>
      <c r="C10183">
        <v>1</v>
      </c>
      <c r="D10183" s="1">
        <v>44342.745324074072</v>
      </c>
      <c r="E10183" t="s">
        <v>31735</v>
      </c>
      <c r="F10183" t="s">
        <v>2236</v>
      </c>
      <c r="G10183" t="s">
        <v>31736</v>
      </c>
      <c r="H10183" t="s">
        <v>2237</v>
      </c>
      <c r="I10183" t="s">
        <v>29</v>
      </c>
      <c r="J10183">
        <v>1</v>
      </c>
      <c r="K10183">
        <f>1-833-251-9187</f>
        <v>-10270</v>
      </c>
      <c r="L10183" t="s">
        <v>31737</v>
      </c>
      <c r="M10183" t="s">
        <v>31738</v>
      </c>
      <c r="N10183" t="s">
        <v>5354</v>
      </c>
      <c r="O10183" t="s">
        <v>28</v>
      </c>
      <c r="P10183" t="s">
        <v>29</v>
      </c>
      <c r="Q10183">
        <v>39</v>
      </c>
      <c r="R10183">
        <v>-77.487399999999994</v>
      </c>
    </row>
    <row r="10184" spans="1:18" x14ac:dyDescent="0.2">
      <c r="A10184" t="s">
        <v>2233</v>
      </c>
      <c r="B10184" t="s">
        <v>1638</v>
      </c>
      <c r="C10184">
        <v>1</v>
      </c>
      <c r="D10184" s="1">
        <v>44342.751377314817</v>
      </c>
      <c r="E10184" t="s">
        <v>31715</v>
      </c>
      <c r="F10184" t="s">
        <v>2236</v>
      </c>
      <c r="G10184" t="s">
        <v>31739</v>
      </c>
      <c r="H10184" t="s">
        <v>2237</v>
      </c>
      <c r="I10184" t="s">
        <v>29</v>
      </c>
      <c r="J10184">
        <v>1</v>
      </c>
      <c r="K10184">
        <f>1-888-637-9837</f>
        <v>-11361</v>
      </c>
      <c r="L10184" t="s">
        <v>31740</v>
      </c>
      <c r="M10184" t="s">
        <v>31741</v>
      </c>
      <c r="N10184" t="s">
        <v>278</v>
      </c>
      <c r="O10184" t="s">
        <v>28</v>
      </c>
      <c r="P10184" t="s">
        <v>292</v>
      </c>
      <c r="Q10184">
        <v>49</v>
      </c>
      <c r="R10184">
        <v>2.35222</v>
      </c>
    </row>
    <row r="10185" spans="1:18" x14ac:dyDescent="0.2">
      <c r="A10185" t="s">
        <v>439</v>
      </c>
      <c r="B10185" t="s">
        <v>4321</v>
      </c>
      <c r="C10185">
        <v>1</v>
      </c>
      <c r="D10185" s="1">
        <v>44343.733831018515</v>
      </c>
      <c r="E10185" t="s">
        <v>31742</v>
      </c>
      <c r="F10185" t="s">
        <v>442</v>
      </c>
      <c r="G10185" t="s">
        <v>31743</v>
      </c>
      <c r="H10185" t="s">
        <v>444</v>
      </c>
      <c r="I10185" t="s">
        <v>29</v>
      </c>
      <c r="J10185">
        <v>1</v>
      </c>
      <c r="K10185">
        <f>1-844-910-4479</f>
        <v>-6232</v>
      </c>
      <c r="L10185" t="s">
        <v>31744</v>
      </c>
      <c r="M10185" t="s">
        <v>31745</v>
      </c>
      <c r="N10185" t="s">
        <v>2475</v>
      </c>
      <c r="O10185" t="s">
        <v>28</v>
      </c>
      <c r="P10185" t="s">
        <v>29</v>
      </c>
      <c r="Q10185">
        <v>42</v>
      </c>
      <c r="R10185">
        <v>-87.629800000000003</v>
      </c>
    </row>
    <row r="10186" spans="1:18" x14ac:dyDescent="0.2">
      <c r="A10186" t="s">
        <v>270</v>
      </c>
      <c r="B10186" t="s">
        <v>271</v>
      </c>
      <c r="C10186">
        <v>1</v>
      </c>
      <c r="D10186" s="1">
        <v>44343.748368055552</v>
      </c>
      <c r="E10186" t="s">
        <v>31746</v>
      </c>
      <c r="F10186" t="s">
        <v>273</v>
      </c>
      <c r="G10186" t="s">
        <v>31747</v>
      </c>
      <c r="H10186" t="s">
        <v>275</v>
      </c>
      <c r="I10186" t="s">
        <v>29</v>
      </c>
      <c r="J10186">
        <v>1</v>
      </c>
      <c r="K10186">
        <f>1-888-290-4202</f>
        <v>-5379</v>
      </c>
      <c r="L10186" t="s">
        <v>31748</v>
      </c>
      <c r="M10186" t="s">
        <v>31749</v>
      </c>
      <c r="N10186" t="s">
        <v>278</v>
      </c>
      <c r="O10186" t="s">
        <v>28</v>
      </c>
      <c r="P10186" t="s">
        <v>29</v>
      </c>
      <c r="Q10186">
        <v>42</v>
      </c>
      <c r="R10186">
        <v>-93.620800000000003</v>
      </c>
    </row>
    <row r="10187" spans="1:18" x14ac:dyDescent="0.2">
      <c r="A10187" t="s">
        <v>2233</v>
      </c>
      <c r="B10187" t="s">
        <v>1638</v>
      </c>
      <c r="C10187">
        <v>1</v>
      </c>
      <c r="D10187" s="1">
        <v>44343.803946759261</v>
      </c>
      <c r="E10187" t="s">
        <v>31750</v>
      </c>
      <c r="F10187" t="s">
        <v>7023</v>
      </c>
      <c r="G10187" t="s">
        <v>31751</v>
      </c>
      <c r="H10187" t="s">
        <v>2237</v>
      </c>
      <c r="I10187" t="s">
        <v>29</v>
      </c>
      <c r="J10187">
        <v>1</v>
      </c>
      <c r="K10187">
        <f>1-888-404-1609</f>
        <v>-2900</v>
      </c>
      <c r="L10187" t="s">
        <v>31752</v>
      </c>
      <c r="M10187" t="s">
        <v>31753</v>
      </c>
      <c r="N10187" t="s">
        <v>278</v>
      </c>
      <c r="O10187" t="s">
        <v>28</v>
      </c>
      <c r="P10187" t="s">
        <v>292</v>
      </c>
      <c r="Q10187">
        <v>49</v>
      </c>
      <c r="R10187">
        <v>2.35222</v>
      </c>
    </row>
    <row r="10188" spans="1:18" x14ac:dyDescent="0.2">
      <c r="A10188" t="s">
        <v>439</v>
      </c>
      <c r="B10188" t="s">
        <v>4321</v>
      </c>
      <c r="C10188">
        <v>1</v>
      </c>
      <c r="D10188" s="1">
        <v>44343.805289351854</v>
      </c>
      <c r="E10188" t="s">
        <v>31754</v>
      </c>
      <c r="F10188" t="s">
        <v>442</v>
      </c>
      <c r="G10188" t="s">
        <v>31755</v>
      </c>
      <c r="H10188" t="s">
        <v>444</v>
      </c>
      <c r="I10188" t="s">
        <v>29</v>
      </c>
      <c r="J10188">
        <v>1</v>
      </c>
      <c r="K10188">
        <f>1-855-702-1237</f>
        <v>-2793</v>
      </c>
      <c r="L10188" t="s">
        <v>31756</v>
      </c>
      <c r="M10188" t="s">
        <v>31757</v>
      </c>
      <c r="N10188" t="s">
        <v>2475</v>
      </c>
      <c r="O10188" t="s">
        <v>28</v>
      </c>
      <c r="P10188" t="s">
        <v>29</v>
      </c>
      <c r="Q10188">
        <v>42</v>
      </c>
      <c r="R10188">
        <v>-87.629800000000003</v>
      </c>
    </row>
    <row r="10189" spans="1:18" x14ac:dyDescent="0.2">
      <c r="A10189" t="s">
        <v>663</v>
      </c>
      <c r="B10189" t="s">
        <v>454</v>
      </c>
      <c r="C10189">
        <v>1</v>
      </c>
      <c r="D10189" s="1">
        <v>44342.773495370369</v>
      </c>
      <c r="E10189" t="s">
        <v>31758</v>
      </c>
      <c r="F10189" t="s">
        <v>666</v>
      </c>
      <c r="G10189" t="s">
        <v>31759</v>
      </c>
      <c r="H10189" t="s">
        <v>667</v>
      </c>
      <c r="I10189" t="s">
        <v>29</v>
      </c>
      <c r="J10189">
        <v>1</v>
      </c>
      <c r="K10189">
        <f>1-888-888-8888</f>
        <v>-10663</v>
      </c>
      <c r="L10189" t="s">
        <v>31760</v>
      </c>
      <c r="M10189" t="s">
        <v>31761</v>
      </c>
      <c r="N10189" t="s">
        <v>213</v>
      </c>
      <c r="O10189" t="s">
        <v>28</v>
      </c>
      <c r="P10189" t="s">
        <v>461</v>
      </c>
      <c r="Q10189">
        <v>52</v>
      </c>
      <c r="R10189">
        <v>4.9391999999999996</v>
      </c>
    </row>
    <row r="10190" spans="1:18" x14ac:dyDescent="0.2">
      <c r="A10190" t="s">
        <v>2233</v>
      </c>
      <c r="B10190" t="s">
        <v>1638</v>
      </c>
      <c r="C10190">
        <v>1</v>
      </c>
      <c r="D10190" s="1">
        <v>44343.863217592596</v>
      </c>
      <c r="E10190" t="s">
        <v>31729</v>
      </c>
      <c r="F10190" t="s">
        <v>2236</v>
      </c>
      <c r="G10190" t="s">
        <v>31762</v>
      </c>
      <c r="H10190" t="s">
        <v>2237</v>
      </c>
      <c r="I10190" t="s">
        <v>29</v>
      </c>
      <c r="J10190">
        <v>1</v>
      </c>
      <c r="K10190">
        <f>1-888-634-7859</f>
        <v>-9380</v>
      </c>
      <c r="L10190" t="s">
        <v>31763</v>
      </c>
      <c r="M10190" t="s">
        <v>31764</v>
      </c>
      <c r="N10190" t="s">
        <v>278</v>
      </c>
      <c r="O10190" t="s">
        <v>28</v>
      </c>
      <c r="P10190" t="s">
        <v>292</v>
      </c>
      <c r="Q10190">
        <v>49</v>
      </c>
      <c r="R10190">
        <v>2.35222</v>
      </c>
    </row>
    <row r="10191" spans="1:18" x14ac:dyDescent="0.2">
      <c r="A10191" t="s">
        <v>2233</v>
      </c>
      <c r="B10191" t="s">
        <v>1638</v>
      </c>
      <c r="C10191">
        <v>1</v>
      </c>
      <c r="D10191" s="1">
        <v>44340.970324074071</v>
      </c>
      <c r="E10191" t="s">
        <v>31765</v>
      </c>
      <c r="F10191" t="s">
        <v>7023</v>
      </c>
      <c r="G10191" t="s">
        <v>31766</v>
      </c>
      <c r="H10191" t="s">
        <v>2237</v>
      </c>
      <c r="I10191" t="s">
        <v>29</v>
      </c>
      <c r="J10191">
        <v>1</v>
      </c>
      <c r="K10191">
        <f>1-888-775-7605</f>
        <v>-9267</v>
      </c>
      <c r="L10191" t="s">
        <v>31767</v>
      </c>
      <c r="M10191" t="s">
        <v>31768</v>
      </c>
      <c r="N10191" t="s">
        <v>278</v>
      </c>
      <c r="O10191" t="s">
        <v>28</v>
      </c>
      <c r="P10191" t="s">
        <v>292</v>
      </c>
      <c r="Q10191">
        <v>49</v>
      </c>
      <c r="R10191">
        <v>2.35222</v>
      </c>
    </row>
    <row r="10192" spans="1:18" x14ac:dyDescent="0.2">
      <c r="A10192" t="s">
        <v>2233</v>
      </c>
      <c r="B10192" t="s">
        <v>2263</v>
      </c>
      <c r="C10192">
        <v>1</v>
      </c>
      <c r="D10192" s="1">
        <v>44340.984918981485</v>
      </c>
      <c r="E10192" t="s">
        <v>31769</v>
      </c>
      <c r="F10192" t="s">
        <v>2236</v>
      </c>
      <c r="G10192" t="s">
        <v>31770</v>
      </c>
      <c r="H10192" t="s">
        <v>2237</v>
      </c>
      <c r="I10192" t="s">
        <v>29</v>
      </c>
      <c r="J10192">
        <v>1</v>
      </c>
      <c r="K10192">
        <f>1-608-433-9020</f>
        <v>-10060</v>
      </c>
      <c r="L10192" t="s">
        <v>31771</v>
      </c>
      <c r="M10192" t="s">
        <v>31772</v>
      </c>
      <c r="N10192" t="s">
        <v>5354</v>
      </c>
      <c r="O10192" t="s">
        <v>28</v>
      </c>
      <c r="P10192" t="s">
        <v>2268</v>
      </c>
      <c r="Q10192">
        <v>44</v>
      </c>
      <c r="R10192">
        <v>-79.383200000000002</v>
      </c>
    </row>
    <row r="10193" spans="1:18" x14ac:dyDescent="0.2">
      <c r="A10193" t="s">
        <v>439</v>
      </c>
      <c r="B10193" t="s">
        <v>4321</v>
      </c>
      <c r="C10193">
        <v>1</v>
      </c>
      <c r="D10193" s="1">
        <v>44344.917534722219</v>
      </c>
      <c r="E10193" t="s">
        <v>31773</v>
      </c>
      <c r="F10193" t="s">
        <v>442</v>
      </c>
      <c r="G10193" t="s">
        <v>31774</v>
      </c>
      <c r="H10193" t="s">
        <v>444</v>
      </c>
      <c r="I10193" t="s">
        <v>29</v>
      </c>
      <c r="J10193">
        <v>1</v>
      </c>
      <c r="K10193">
        <f>1-888-704-208</f>
        <v>-1799</v>
      </c>
      <c r="L10193" t="s">
        <v>31775</v>
      </c>
      <c r="M10193" t="s">
        <v>31776</v>
      </c>
      <c r="N10193" t="s">
        <v>3441</v>
      </c>
      <c r="O10193" t="s">
        <v>28</v>
      </c>
      <c r="P10193" t="s">
        <v>29</v>
      </c>
      <c r="Q10193">
        <v>42</v>
      </c>
      <c r="R10193">
        <v>-87.629800000000003</v>
      </c>
    </row>
    <row r="10194" spans="1:18" x14ac:dyDescent="0.2">
      <c r="A10194" t="s">
        <v>663</v>
      </c>
      <c r="B10194" t="s">
        <v>664</v>
      </c>
      <c r="C10194">
        <v>1</v>
      </c>
      <c r="D10194" s="1">
        <v>44344.81212962963</v>
      </c>
      <c r="E10194" t="s">
        <v>31777</v>
      </c>
      <c r="F10194" t="s">
        <v>666</v>
      </c>
      <c r="G10194" t="s">
        <v>31778</v>
      </c>
      <c r="H10194" t="s">
        <v>667</v>
      </c>
      <c r="I10194" t="s">
        <v>29</v>
      </c>
      <c r="J10194">
        <v>1</v>
      </c>
      <c r="K10194">
        <f>1-844-318-5956</f>
        <v>-7117</v>
      </c>
      <c r="L10194" t="s">
        <v>31779</v>
      </c>
      <c r="M10194" t="s">
        <v>31780</v>
      </c>
      <c r="N10194" t="s">
        <v>1645</v>
      </c>
      <c r="O10194" t="s">
        <v>28</v>
      </c>
      <c r="P10194" t="s">
        <v>29</v>
      </c>
      <c r="Q10194">
        <v>37</v>
      </c>
      <c r="R10194">
        <v>-99.999999000000003</v>
      </c>
    </row>
    <row r="10195" spans="1:18" x14ac:dyDescent="0.2">
      <c r="A10195" t="s">
        <v>2233</v>
      </c>
      <c r="B10195" t="s">
        <v>4281</v>
      </c>
      <c r="C10195">
        <v>49</v>
      </c>
      <c r="D10195" s="1">
        <v>44341.438599537039</v>
      </c>
      <c r="E10195" t="s">
        <v>31781</v>
      </c>
      <c r="F10195" t="s">
        <v>7023</v>
      </c>
      <c r="G10195" t="s">
        <v>31781</v>
      </c>
      <c r="H10195" t="s">
        <v>2237</v>
      </c>
      <c r="I10195" t="s">
        <v>24</v>
      </c>
      <c r="J10195">
        <v>49</v>
      </c>
      <c r="K10195">
        <f>49-202-6293-4662</f>
        <v>-11108</v>
      </c>
      <c r="L10195" t="s">
        <v>31782</v>
      </c>
      <c r="M10195" t="s">
        <v>31783</v>
      </c>
      <c r="N10195">
        <v>166</v>
      </c>
      <c r="O10195" t="s">
        <v>134</v>
      </c>
      <c r="P10195" t="s">
        <v>24</v>
      </c>
      <c r="Q10195">
        <v>50</v>
      </c>
      <c r="R10195">
        <v>8.6821300000000008</v>
      </c>
    </row>
    <row r="10196" spans="1:18" x14ac:dyDescent="0.2">
      <c r="A10196" t="s">
        <v>2233</v>
      </c>
      <c r="B10196" t="s">
        <v>1638</v>
      </c>
      <c r="C10196">
        <v>1</v>
      </c>
      <c r="D10196" s="1">
        <v>44341.794270833336</v>
      </c>
      <c r="E10196" t="s">
        <v>31784</v>
      </c>
      <c r="F10196" t="s">
        <v>2236</v>
      </c>
      <c r="G10196" t="s">
        <v>31785</v>
      </c>
      <c r="H10196" t="s">
        <v>2237</v>
      </c>
      <c r="I10196" t="s">
        <v>29</v>
      </c>
      <c r="J10196">
        <v>1</v>
      </c>
      <c r="K10196">
        <f>1-888-585-3962</f>
        <v>-5434</v>
      </c>
      <c r="L10196" t="s">
        <v>31786</v>
      </c>
      <c r="M10196" t="s">
        <v>31787</v>
      </c>
      <c r="N10196" t="s">
        <v>278</v>
      </c>
      <c r="O10196" t="s">
        <v>28</v>
      </c>
      <c r="P10196" t="s">
        <v>292</v>
      </c>
      <c r="Q10196">
        <v>49</v>
      </c>
      <c r="R10196">
        <v>2.35222</v>
      </c>
    </row>
    <row r="10197" spans="1:18" x14ac:dyDescent="0.2">
      <c r="A10197" t="s">
        <v>2233</v>
      </c>
      <c r="B10197" t="s">
        <v>1638</v>
      </c>
      <c r="C10197">
        <v>1</v>
      </c>
      <c r="D10197" s="1">
        <v>44341.81931712963</v>
      </c>
      <c r="E10197" t="s">
        <v>31788</v>
      </c>
      <c r="F10197" t="s">
        <v>2236</v>
      </c>
      <c r="G10197" t="s">
        <v>31789</v>
      </c>
      <c r="H10197" t="s">
        <v>2237</v>
      </c>
      <c r="I10197" t="s">
        <v>29</v>
      </c>
      <c r="J10197">
        <v>1</v>
      </c>
      <c r="K10197">
        <f>1-888-585-5401</f>
        <v>-6873</v>
      </c>
      <c r="L10197" t="s">
        <v>31790</v>
      </c>
      <c r="M10197" t="s">
        <v>31791</v>
      </c>
      <c r="N10197" t="s">
        <v>278</v>
      </c>
      <c r="O10197" t="s">
        <v>28</v>
      </c>
      <c r="P10197" t="s">
        <v>292</v>
      </c>
      <c r="Q10197">
        <v>49</v>
      </c>
      <c r="R10197">
        <v>2.35222</v>
      </c>
    </row>
    <row r="10198" spans="1:18" x14ac:dyDescent="0.2">
      <c r="A10198" t="s">
        <v>2233</v>
      </c>
      <c r="B10198" t="s">
        <v>1638</v>
      </c>
      <c r="C10198">
        <v>1</v>
      </c>
      <c r="D10198" s="1">
        <v>44341.808530092596</v>
      </c>
      <c r="E10198" t="s">
        <v>31788</v>
      </c>
      <c r="F10198" t="s">
        <v>2236</v>
      </c>
      <c r="G10198" t="s">
        <v>31789</v>
      </c>
      <c r="H10198" t="s">
        <v>2237</v>
      </c>
      <c r="I10198" t="s">
        <v>29</v>
      </c>
      <c r="J10198">
        <v>1</v>
      </c>
      <c r="K10198">
        <f>1-888-644-5243</f>
        <v>-6774</v>
      </c>
      <c r="L10198" t="s">
        <v>31792</v>
      </c>
      <c r="M10198" t="s">
        <v>31793</v>
      </c>
      <c r="N10198" t="s">
        <v>278</v>
      </c>
      <c r="O10198" t="s">
        <v>28</v>
      </c>
      <c r="P10198" t="s">
        <v>292</v>
      </c>
      <c r="Q10198">
        <v>49</v>
      </c>
      <c r="R10198">
        <v>2.35222</v>
      </c>
    </row>
    <row r="10199" spans="1:18" x14ac:dyDescent="0.2">
      <c r="A10199" t="s">
        <v>2233</v>
      </c>
      <c r="B10199" t="s">
        <v>2234</v>
      </c>
      <c r="C10199">
        <v>1</v>
      </c>
      <c r="D10199" s="1">
        <v>44341.824224537035</v>
      </c>
      <c r="E10199" t="s">
        <v>31794</v>
      </c>
      <c r="F10199" t="s">
        <v>2236</v>
      </c>
      <c r="G10199" t="s">
        <v>31795</v>
      </c>
      <c r="H10199" t="s">
        <v>2237</v>
      </c>
      <c r="I10199" t="s">
        <v>29</v>
      </c>
      <c r="J10199">
        <v>1</v>
      </c>
      <c r="K10199">
        <f>1-833-251-9233</f>
        <v>-10316</v>
      </c>
      <c r="L10199" t="s">
        <v>31796</v>
      </c>
      <c r="M10199" t="s">
        <v>31797</v>
      </c>
      <c r="N10199" t="s">
        <v>5354</v>
      </c>
      <c r="O10199" t="s">
        <v>28</v>
      </c>
      <c r="P10199" t="s">
        <v>29</v>
      </c>
      <c r="Q10199">
        <v>40</v>
      </c>
      <c r="R10199">
        <v>-83.114099999999993</v>
      </c>
    </row>
    <row r="10200" spans="1:18" x14ac:dyDescent="0.2">
      <c r="A10200" t="s">
        <v>439</v>
      </c>
      <c r="B10200" t="s">
        <v>4321</v>
      </c>
      <c r="C10200">
        <v>1</v>
      </c>
      <c r="D10200" s="1">
        <v>44343.641759259262</v>
      </c>
      <c r="E10200" t="s">
        <v>31798</v>
      </c>
      <c r="F10200" t="s">
        <v>442</v>
      </c>
      <c r="G10200" t="s">
        <v>31799</v>
      </c>
      <c r="H10200" t="s">
        <v>444</v>
      </c>
      <c r="I10200" t="s">
        <v>29</v>
      </c>
      <c r="J10200">
        <v>1</v>
      </c>
      <c r="K10200">
        <f>1-844-588-1250</f>
        <v>-2681</v>
      </c>
      <c r="L10200" t="s">
        <v>31800</v>
      </c>
      <c r="M10200" t="s">
        <v>31801</v>
      </c>
      <c r="N10200" t="s">
        <v>27125</v>
      </c>
      <c r="O10200" t="s">
        <v>28</v>
      </c>
      <c r="P10200" t="s">
        <v>29</v>
      </c>
      <c r="Q10200">
        <v>42</v>
      </c>
      <c r="R10200">
        <v>-87.629800000000003</v>
      </c>
    </row>
    <row r="10201" spans="1:18" x14ac:dyDescent="0.2">
      <c r="A10201" t="s">
        <v>439</v>
      </c>
      <c r="B10201" t="s">
        <v>4321</v>
      </c>
      <c r="C10201">
        <v>1</v>
      </c>
      <c r="D10201" s="1">
        <v>44343.697187500002</v>
      </c>
      <c r="E10201" t="s">
        <v>31802</v>
      </c>
      <c r="F10201" t="s">
        <v>442</v>
      </c>
      <c r="G10201" t="s">
        <v>31803</v>
      </c>
      <c r="H10201" t="s">
        <v>444</v>
      </c>
      <c r="I10201" t="s">
        <v>29</v>
      </c>
      <c r="J10201">
        <v>1</v>
      </c>
      <c r="K10201">
        <f>1-844-537-1136</f>
        <v>-2516</v>
      </c>
      <c r="L10201" t="s">
        <v>31804</v>
      </c>
      <c r="M10201" t="s">
        <v>31805</v>
      </c>
      <c r="N10201" t="s">
        <v>27125</v>
      </c>
      <c r="O10201" t="s">
        <v>134</v>
      </c>
      <c r="P10201" t="s">
        <v>29</v>
      </c>
      <c r="Q10201">
        <v>42</v>
      </c>
      <c r="R10201">
        <v>-87.629800000000003</v>
      </c>
    </row>
    <row r="10202" spans="1:18" x14ac:dyDescent="0.2">
      <c r="A10202" t="s">
        <v>663</v>
      </c>
      <c r="B10202" t="s">
        <v>2500</v>
      </c>
      <c r="C10202">
        <v>1</v>
      </c>
      <c r="D10202" s="1">
        <v>44343.898715277777</v>
      </c>
      <c r="E10202" t="s">
        <v>31806</v>
      </c>
      <c r="F10202" t="s">
        <v>666</v>
      </c>
      <c r="G10202" t="s">
        <v>31807</v>
      </c>
      <c r="H10202" t="s">
        <v>667</v>
      </c>
      <c r="I10202" t="s">
        <v>29</v>
      </c>
      <c r="J10202">
        <v>1</v>
      </c>
      <c r="K10202">
        <f>1-844-304-405</f>
        <v>-1552</v>
      </c>
      <c r="L10202" t="s">
        <v>31808</v>
      </c>
      <c r="M10202" t="s">
        <v>31809</v>
      </c>
      <c r="N10202" t="s">
        <v>31810</v>
      </c>
      <c r="O10202" t="s">
        <v>28</v>
      </c>
      <c r="P10202" t="s">
        <v>2500</v>
      </c>
      <c r="Q10202">
        <v>1</v>
      </c>
      <c r="R10202">
        <v>99.999999000000003</v>
      </c>
    </row>
    <row r="10203" spans="1:18" x14ac:dyDescent="0.2">
      <c r="A10203" t="s">
        <v>439</v>
      </c>
      <c r="B10203" t="s">
        <v>4321</v>
      </c>
      <c r="C10203">
        <v>1</v>
      </c>
      <c r="D10203" s="1">
        <v>44343.901782407411</v>
      </c>
      <c r="E10203" t="s">
        <v>31811</v>
      </c>
      <c r="F10203" t="s">
        <v>442</v>
      </c>
      <c r="G10203" t="s">
        <v>31812</v>
      </c>
      <c r="H10203" t="s">
        <v>444</v>
      </c>
      <c r="I10203" t="s">
        <v>29</v>
      </c>
      <c r="J10203">
        <v>1</v>
      </c>
      <c r="K10203">
        <f>1-855-536-1932</f>
        <v>-3322</v>
      </c>
      <c r="L10203" t="s">
        <v>31813</v>
      </c>
      <c r="M10203" t="s">
        <v>31814</v>
      </c>
      <c r="N10203" t="s">
        <v>2475</v>
      </c>
      <c r="O10203" t="s">
        <v>28</v>
      </c>
      <c r="P10203" t="s">
        <v>29</v>
      </c>
      <c r="Q10203">
        <v>42</v>
      </c>
      <c r="R10203">
        <v>-87.629800000000003</v>
      </c>
    </row>
    <row r="10204" spans="1:18" x14ac:dyDescent="0.2">
      <c r="A10204" t="s">
        <v>439</v>
      </c>
      <c r="B10204" t="s">
        <v>4321</v>
      </c>
      <c r="C10204">
        <v>1</v>
      </c>
      <c r="D10204" s="1">
        <v>44343.905162037037</v>
      </c>
      <c r="E10204" t="s">
        <v>31815</v>
      </c>
      <c r="F10204" t="s">
        <v>442</v>
      </c>
      <c r="G10204" t="s">
        <v>31816</v>
      </c>
      <c r="H10204" t="s">
        <v>444</v>
      </c>
      <c r="I10204" t="s">
        <v>29</v>
      </c>
      <c r="J10204">
        <v>1</v>
      </c>
      <c r="K10204">
        <f>1-888-713-3122</f>
        <v>-4722</v>
      </c>
      <c r="L10204" t="s">
        <v>31817</v>
      </c>
      <c r="M10204" t="s">
        <v>31818</v>
      </c>
      <c r="N10204" t="s">
        <v>30194</v>
      </c>
      <c r="O10204" t="s">
        <v>28</v>
      </c>
      <c r="P10204" t="s">
        <v>29</v>
      </c>
      <c r="Q10204">
        <v>42</v>
      </c>
      <c r="R10204">
        <v>-87.629800000000003</v>
      </c>
    </row>
    <row r="10205" spans="1:18" x14ac:dyDescent="0.2">
      <c r="A10205" t="s">
        <v>675</v>
      </c>
      <c r="B10205" t="s">
        <v>1412</v>
      </c>
      <c r="C10205">
        <v>1</v>
      </c>
      <c r="D10205" s="1">
        <v>44341.832013888888</v>
      </c>
      <c r="E10205" t="s">
        <v>31819</v>
      </c>
      <c r="F10205" t="s">
        <v>678</v>
      </c>
      <c r="G10205" t="s">
        <v>31820</v>
      </c>
      <c r="H10205" t="s">
        <v>680</v>
      </c>
      <c r="I10205" t="s">
        <v>29</v>
      </c>
      <c r="J10205">
        <v>1</v>
      </c>
      <c r="K10205">
        <f>1-855-601-1424</f>
        <v>-2879</v>
      </c>
      <c r="L10205" t="s">
        <v>31821</v>
      </c>
      <c r="M10205" t="s">
        <v>31822</v>
      </c>
      <c r="N10205" t="s">
        <v>3295</v>
      </c>
      <c r="O10205" t="s">
        <v>28</v>
      </c>
      <c r="P10205" t="s">
        <v>29</v>
      </c>
      <c r="Q10205">
        <v>41</v>
      </c>
      <c r="R10205">
        <v>-74.172399999999996</v>
      </c>
    </row>
    <row r="10206" spans="1:18" x14ac:dyDescent="0.2">
      <c r="A10206" t="s">
        <v>2233</v>
      </c>
      <c r="B10206" t="s">
        <v>1638</v>
      </c>
      <c r="C10206">
        <v>1</v>
      </c>
      <c r="D10206" s="1">
        <v>44341.832453703704</v>
      </c>
      <c r="E10206" t="s">
        <v>31788</v>
      </c>
      <c r="F10206" t="s">
        <v>2236</v>
      </c>
      <c r="G10206" t="s">
        <v>31823</v>
      </c>
      <c r="H10206" t="s">
        <v>2237</v>
      </c>
      <c r="I10206" t="s">
        <v>29</v>
      </c>
      <c r="J10206">
        <v>1</v>
      </c>
      <c r="K10206">
        <f>1-888-375-263</f>
        <v>-1525</v>
      </c>
      <c r="L10206" t="s">
        <v>31824</v>
      </c>
      <c r="M10206" t="s">
        <v>31825</v>
      </c>
      <c r="N10206" t="s">
        <v>278</v>
      </c>
      <c r="O10206" t="s">
        <v>28</v>
      </c>
      <c r="P10206" t="s">
        <v>292</v>
      </c>
      <c r="Q10206">
        <v>49</v>
      </c>
      <c r="R10206">
        <v>2.35222</v>
      </c>
    </row>
    <row r="10207" spans="1:18" x14ac:dyDescent="0.2">
      <c r="A10207" t="s">
        <v>439</v>
      </c>
      <c r="B10207" t="s">
        <v>5337</v>
      </c>
      <c r="C10207">
        <v>1</v>
      </c>
      <c r="D10207" s="1">
        <v>44341.833020833335</v>
      </c>
      <c r="E10207" t="s">
        <v>31826</v>
      </c>
      <c r="F10207" t="s">
        <v>442</v>
      </c>
      <c r="G10207" t="s">
        <v>31827</v>
      </c>
      <c r="H10207" t="s">
        <v>444</v>
      </c>
      <c r="I10207" t="s">
        <v>29</v>
      </c>
      <c r="J10207">
        <v>1</v>
      </c>
      <c r="K10207">
        <f>1-888-604-5418</f>
        <v>-6909</v>
      </c>
      <c r="L10207" t="s">
        <v>31828</v>
      </c>
      <c r="M10207" t="s">
        <v>31829</v>
      </c>
      <c r="N10207" t="s">
        <v>447</v>
      </c>
      <c r="O10207" t="s">
        <v>28</v>
      </c>
      <c r="P10207" t="s">
        <v>29</v>
      </c>
      <c r="Q10207">
        <v>38</v>
      </c>
      <c r="R10207">
        <v>-99.999999000000003</v>
      </c>
    </row>
    <row r="10208" spans="1:18" x14ac:dyDescent="0.2">
      <c r="A10208" t="s">
        <v>2233</v>
      </c>
      <c r="B10208" t="s">
        <v>1638</v>
      </c>
      <c r="C10208">
        <v>49</v>
      </c>
      <c r="D10208" s="1">
        <v>44342.564375000002</v>
      </c>
      <c r="E10208" t="s">
        <v>31830</v>
      </c>
      <c r="F10208" t="s">
        <v>2236</v>
      </c>
      <c r="G10208" t="s">
        <v>31831</v>
      </c>
      <c r="H10208" t="s">
        <v>2237</v>
      </c>
      <c r="I10208" t="s">
        <v>24</v>
      </c>
      <c r="J10208">
        <v>49</v>
      </c>
      <c r="K10208">
        <f>49-431-53-57-7-30</f>
        <v>-529</v>
      </c>
      <c r="L10208" t="s">
        <v>31832</v>
      </c>
      <c r="M10208" t="s">
        <v>31833</v>
      </c>
      <c r="N10208" t="s">
        <v>278</v>
      </c>
      <c r="O10208" t="s">
        <v>28</v>
      </c>
      <c r="P10208" t="s">
        <v>292</v>
      </c>
      <c r="Q10208">
        <v>49</v>
      </c>
      <c r="R10208">
        <v>2.35222</v>
      </c>
    </row>
    <row r="10209" spans="1:18" x14ac:dyDescent="0.2">
      <c r="A10209" t="s">
        <v>2233</v>
      </c>
      <c r="B10209" t="s">
        <v>1638</v>
      </c>
      <c r="C10209">
        <v>33</v>
      </c>
      <c r="D10209" s="1">
        <v>44342.585405092592</v>
      </c>
      <c r="E10209" t="s">
        <v>31834</v>
      </c>
      <c r="F10209" t="s">
        <v>7023</v>
      </c>
      <c r="G10209" t="s">
        <v>31835</v>
      </c>
      <c r="H10209" t="s">
        <v>2237</v>
      </c>
      <c r="I10209" t="s">
        <v>292</v>
      </c>
      <c r="J10209">
        <v>33</v>
      </c>
      <c r="K10209">
        <f>33-9-74-32-74-60</f>
        <v>-216</v>
      </c>
      <c r="L10209" t="s">
        <v>31836</v>
      </c>
      <c r="M10209" t="s">
        <v>31837</v>
      </c>
      <c r="N10209" t="s">
        <v>278</v>
      </c>
      <c r="O10209" t="s">
        <v>28</v>
      </c>
      <c r="P10209" t="s">
        <v>292</v>
      </c>
      <c r="Q10209">
        <v>49</v>
      </c>
      <c r="R10209">
        <v>2.35222</v>
      </c>
    </row>
    <row r="10210" spans="1:18" x14ac:dyDescent="0.2">
      <c r="A10210" t="s">
        <v>2233</v>
      </c>
      <c r="B10210" t="s">
        <v>1638</v>
      </c>
      <c r="C10210">
        <v>33</v>
      </c>
      <c r="D10210" s="1">
        <v>44342.585439814815</v>
      </c>
      <c r="E10210" t="s">
        <v>31838</v>
      </c>
      <c r="F10210" t="s">
        <v>2236</v>
      </c>
      <c r="G10210" t="s">
        <v>31839</v>
      </c>
      <c r="H10210" t="s">
        <v>2237</v>
      </c>
      <c r="I10210" t="s">
        <v>292</v>
      </c>
      <c r="J10210">
        <v>33</v>
      </c>
      <c r="K10210">
        <f>33-9-70-18-35-7</f>
        <v>-106</v>
      </c>
      <c r="L10210" t="s">
        <v>31840</v>
      </c>
      <c r="M10210" t="s">
        <v>31841</v>
      </c>
      <c r="N10210" t="s">
        <v>278</v>
      </c>
      <c r="O10210" t="s">
        <v>28</v>
      </c>
      <c r="P10210" t="s">
        <v>292</v>
      </c>
      <c r="Q10210">
        <v>49</v>
      </c>
      <c r="R10210">
        <v>2.35222</v>
      </c>
    </row>
    <row r="10211" spans="1:18" x14ac:dyDescent="0.2">
      <c r="A10211" t="s">
        <v>7005</v>
      </c>
      <c r="B10211" t="s">
        <v>25353</v>
      </c>
      <c r="C10211">
        <v>33</v>
      </c>
      <c r="D10211" s="1">
        <v>44342.612847222219</v>
      </c>
      <c r="E10211" t="s">
        <v>31842</v>
      </c>
      <c r="F10211" t="s">
        <v>7008</v>
      </c>
      <c r="G10211" t="s">
        <v>31842</v>
      </c>
      <c r="H10211" t="s">
        <v>7010</v>
      </c>
      <c r="I10211" t="s">
        <v>292</v>
      </c>
      <c r="J10211">
        <v>33</v>
      </c>
      <c r="K10211">
        <f>33-9-73-3-56-39</f>
        <v>-147</v>
      </c>
      <c r="L10211" t="s">
        <v>31843</v>
      </c>
      <c r="M10211" t="s">
        <v>31844</v>
      </c>
      <c r="N10211">
        <v>231</v>
      </c>
      <c r="O10211" t="s">
        <v>134</v>
      </c>
      <c r="P10211" t="s">
        <v>292</v>
      </c>
      <c r="Q10211">
        <v>49</v>
      </c>
      <c r="R10211">
        <v>7.7521100000000001</v>
      </c>
    </row>
    <row r="10212" spans="1:18" x14ac:dyDescent="0.2">
      <c r="A10212" t="s">
        <v>439</v>
      </c>
      <c r="B10212" t="s">
        <v>5337</v>
      </c>
      <c r="C10212">
        <v>1</v>
      </c>
      <c r="D10212" s="1">
        <v>44342.722881944443</v>
      </c>
      <c r="E10212" t="s">
        <v>31845</v>
      </c>
      <c r="F10212" t="s">
        <v>442</v>
      </c>
      <c r="G10212" t="s">
        <v>31846</v>
      </c>
      <c r="H10212" t="s">
        <v>444</v>
      </c>
      <c r="I10212" t="s">
        <v>29</v>
      </c>
      <c r="J10212">
        <v>1</v>
      </c>
      <c r="K10212">
        <f>1-888-984-4523</f>
        <v>-6394</v>
      </c>
      <c r="L10212" t="s">
        <v>31847</v>
      </c>
      <c r="M10212" t="s">
        <v>31848</v>
      </c>
      <c r="N10212" t="s">
        <v>2475</v>
      </c>
      <c r="O10212" t="s">
        <v>28</v>
      </c>
      <c r="P10212" t="s">
        <v>29</v>
      </c>
      <c r="Q10212">
        <v>38</v>
      </c>
      <c r="R10212">
        <v>-99.999999000000003</v>
      </c>
    </row>
    <row r="10213" spans="1:18" x14ac:dyDescent="0.2">
      <c r="A10213" t="s">
        <v>2233</v>
      </c>
      <c r="B10213" t="s">
        <v>1638</v>
      </c>
      <c r="C10213">
        <v>1</v>
      </c>
      <c r="D10213" s="1">
        <v>44341.842881944445</v>
      </c>
      <c r="E10213" t="s">
        <v>31849</v>
      </c>
      <c r="F10213" t="s">
        <v>2236</v>
      </c>
      <c r="G10213" t="s">
        <v>31850</v>
      </c>
      <c r="H10213" t="s">
        <v>2237</v>
      </c>
      <c r="I10213" t="s">
        <v>29</v>
      </c>
      <c r="J10213">
        <v>1</v>
      </c>
      <c r="K10213">
        <f>1-888-608-5182</f>
        <v>-6677</v>
      </c>
      <c r="L10213" t="s">
        <v>31851</v>
      </c>
      <c r="M10213" t="s">
        <v>31852</v>
      </c>
      <c r="N10213" t="s">
        <v>278</v>
      </c>
      <c r="O10213" t="s">
        <v>28</v>
      </c>
      <c r="P10213" t="s">
        <v>292</v>
      </c>
      <c r="Q10213">
        <v>49</v>
      </c>
      <c r="R10213">
        <v>2.35222</v>
      </c>
    </row>
    <row r="10214" spans="1:18" x14ac:dyDescent="0.2">
      <c r="A10214" t="s">
        <v>2233</v>
      </c>
      <c r="B10214" t="s">
        <v>1638</v>
      </c>
      <c r="C10214">
        <v>1</v>
      </c>
      <c r="D10214" s="1">
        <v>44341.840277777781</v>
      </c>
      <c r="E10214" t="s">
        <v>31849</v>
      </c>
      <c r="F10214" t="s">
        <v>2236</v>
      </c>
      <c r="G10214" t="s">
        <v>31850</v>
      </c>
      <c r="H10214" t="s">
        <v>2237</v>
      </c>
      <c r="I10214" t="s">
        <v>29</v>
      </c>
      <c r="J10214">
        <v>1</v>
      </c>
      <c r="K10214">
        <f>1-888-530-8462</f>
        <v>-9879</v>
      </c>
      <c r="L10214" t="s">
        <v>31853</v>
      </c>
      <c r="M10214" t="s">
        <v>31854</v>
      </c>
      <c r="N10214" t="s">
        <v>278</v>
      </c>
      <c r="O10214" t="s">
        <v>28</v>
      </c>
      <c r="P10214" t="s">
        <v>292</v>
      </c>
      <c r="Q10214">
        <v>49</v>
      </c>
      <c r="R10214">
        <v>2.35222</v>
      </c>
    </row>
    <row r="10215" spans="1:18" x14ac:dyDescent="0.2">
      <c r="A10215" t="s">
        <v>675</v>
      </c>
      <c r="B10215" t="s">
        <v>1412</v>
      </c>
      <c r="C10215">
        <v>1</v>
      </c>
      <c r="D10215" s="1">
        <v>44351.01767361111</v>
      </c>
      <c r="E10215" t="s">
        <v>31855</v>
      </c>
      <c r="F10215" t="s">
        <v>678</v>
      </c>
      <c r="G10215" t="s">
        <v>31856</v>
      </c>
      <c r="H10215" t="s">
        <v>680</v>
      </c>
      <c r="I10215" t="s">
        <v>29</v>
      </c>
      <c r="J10215">
        <v>1</v>
      </c>
      <c r="K10215">
        <f>1-888-407-605</f>
        <v>-1899</v>
      </c>
      <c r="L10215" t="s">
        <v>31857</v>
      </c>
      <c r="M10215" t="s">
        <v>31858</v>
      </c>
      <c r="N10215" t="s">
        <v>213</v>
      </c>
      <c r="O10215" t="s">
        <v>28</v>
      </c>
      <c r="P10215" t="s">
        <v>29</v>
      </c>
      <c r="Q10215">
        <v>41</v>
      </c>
      <c r="R10215">
        <v>-74.172399999999996</v>
      </c>
    </row>
    <row r="10216" spans="1:18" x14ac:dyDescent="0.2">
      <c r="A10216" t="s">
        <v>675</v>
      </c>
      <c r="B10216" t="s">
        <v>1412</v>
      </c>
      <c r="C10216">
        <v>1</v>
      </c>
      <c r="D10216" s="1">
        <v>44344.857349537036</v>
      </c>
      <c r="E10216" t="s">
        <v>31859</v>
      </c>
      <c r="F10216" t="s">
        <v>678</v>
      </c>
      <c r="G10216" t="s">
        <v>31856</v>
      </c>
      <c r="H10216" t="s">
        <v>680</v>
      </c>
      <c r="I10216" t="s">
        <v>29</v>
      </c>
      <c r="J10216">
        <v>1</v>
      </c>
      <c r="K10216">
        <f>1-855-200-5354</f>
        <v>-6408</v>
      </c>
      <c r="L10216" t="s">
        <v>31860</v>
      </c>
      <c r="M10216" t="s">
        <v>31861</v>
      </c>
      <c r="N10216" t="s">
        <v>3454</v>
      </c>
      <c r="O10216" t="s">
        <v>28</v>
      </c>
      <c r="P10216" t="s">
        <v>29</v>
      </c>
      <c r="Q10216">
        <v>41</v>
      </c>
      <c r="R10216">
        <v>-74.172399999999996</v>
      </c>
    </row>
    <row r="10217" spans="1:18" x14ac:dyDescent="0.2">
      <c r="A10217" t="s">
        <v>439</v>
      </c>
      <c r="B10217" t="s">
        <v>4321</v>
      </c>
      <c r="C10217">
        <v>1</v>
      </c>
      <c r="D10217" s="1">
        <v>44345.858217592591</v>
      </c>
      <c r="E10217" t="s">
        <v>31862</v>
      </c>
      <c r="F10217" t="s">
        <v>442</v>
      </c>
      <c r="G10217" t="s">
        <v>31863</v>
      </c>
      <c r="H10217" t="s">
        <v>444</v>
      </c>
      <c r="I10217" t="s">
        <v>29</v>
      </c>
      <c r="J10217">
        <v>1</v>
      </c>
      <c r="K10217">
        <f>1-844-924-1849</f>
        <v>-3616</v>
      </c>
      <c r="L10217" t="s">
        <v>31864</v>
      </c>
      <c r="M10217" t="s">
        <v>31865</v>
      </c>
      <c r="N10217" t="s">
        <v>2475</v>
      </c>
      <c r="O10217" t="s">
        <v>28</v>
      </c>
      <c r="P10217" t="s">
        <v>29</v>
      </c>
      <c r="Q10217">
        <v>42</v>
      </c>
      <c r="R10217">
        <v>-87.629800000000003</v>
      </c>
    </row>
    <row r="10218" spans="1:18" x14ac:dyDescent="0.2">
      <c r="A10218" t="s">
        <v>439</v>
      </c>
      <c r="B10218" t="s">
        <v>4321</v>
      </c>
      <c r="C10218">
        <v>1</v>
      </c>
      <c r="D10218" s="1">
        <v>44345.858043981483</v>
      </c>
      <c r="E10218" t="s">
        <v>31866</v>
      </c>
      <c r="F10218" t="s">
        <v>442</v>
      </c>
      <c r="G10218" t="s">
        <v>31867</v>
      </c>
      <c r="H10218" t="s">
        <v>444</v>
      </c>
      <c r="I10218" t="s">
        <v>29</v>
      </c>
      <c r="J10218">
        <v>1</v>
      </c>
      <c r="K10218">
        <f>1-844-509-1894</f>
        <v>-3246</v>
      </c>
      <c r="L10218" t="s">
        <v>31868</v>
      </c>
      <c r="M10218" t="s">
        <v>31869</v>
      </c>
      <c r="N10218" t="s">
        <v>2475</v>
      </c>
      <c r="O10218" t="s">
        <v>28</v>
      </c>
      <c r="P10218" t="s">
        <v>29</v>
      </c>
      <c r="Q10218">
        <v>42</v>
      </c>
      <c r="R10218">
        <v>-87.629800000000003</v>
      </c>
    </row>
    <row r="10219" spans="1:18" x14ac:dyDescent="0.2">
      <c r="A10219" t="s">
        <v>439</v>
      </c>
      <c r="B10219" t="s">
        <v>4321</v>
      </c>
      <c r="C10219">
        <v>1</v>
      </c>
      <c r="D10219" s="1">
        <v>44344.659699074073</v>
      </c>
      <c r="E10219" t="s">
        <v>31870</v>
      </c>
      <c r="F10219" t="s">
        <v>442</v>
      </c>
      <c r="G10219" t="s">
        <v>31871</v>
      </c>
      <c r="H10219" t="s">
        <v>444</v>
      </c>
      <c r="I10219" t="s">
        <v>29</v>
      </c>
      <c r="J10219">
        <v>1</v>
      </c>
      <c r="K10219">
        <f>1-844-678-333</f>
        <v>-1854</v>
      </c>
      <c r="L10219" t="s">
        <v>31872</v>
      </c>
      <c r="M10219" t="s">
        <v>31873</v>
      </c>
      <c r="N10219" t="s">
        <v>2475</v>
      </c>
      <c r="O10219" t="s">
        <v>28</v>
      </c>
      <c r="P10219" t="s">
        <v>29</v>
      </c>
      <c r="Q10219">
        <v>42</v>
      </c>
      <c r="R10219">
        <v>-87.629800000000003</v>
      </c>
    </row>
    <row r="10220" spans="1:18" x14ac:dyDescent="0.2">
      <c r="A10220" t="s">
        <v>439</v>
      </c>
      <c r="B10220" t="s">
        <v>4321</v>
      </c>
      <c r="C10220">
        <v>1</v>
      </c>
      <c r="D10220" s="1">
        <v>44341.846226851849</v>
      </c>
      <c r="E10220" t="s">
        <v>31874</v>
      </c>
      <c r="F10220" t="s">
        <v>442</v>
      </c>
      <c r="G10220" t="s">
        <v>31875</v>
      </c>
      <c r="H10220" t="s">
        <v>444</v>
      </c>
      <c r="I10220" t="s">
        <v>29</v>
      </c>
      <c r="J10220">
        <v>1</v>
      </c>
      <c r="K10220">
        <f>1-855-943-6103</f>
        <v>-7900</v>
      </c>
      <c r="L10220" t="s">
        <v>31876</v>
      </c>
      <c r="M10220" t="s">
        <v>31877</v>
      </c>
      <c r="N10220" t="s">
        <v>2475</v>
      </c>
      <c r="O10220" t="s">
        <v>28</v>
      </c>
      <c r="P10220" t="s">
        <v>29</v>
      </c>
      <c r="Q10220">
        <v>42</v>
      </c>
      <c r="R10220">
        <v>-87.629800000000003</v>
      </c>
    </row>
    <row r="10221" spans="1:18" x14ac:dyDescent="0.2">
      <c r="A10221" t="s">
        <v>2233</v>
      </c>
      <c r="B10221" t="s">
        <v>1638</v>
      </c>
      <c r="C10221">
        <v>1</v>
      </c>
      <c r="D10221" s="1">
        <v>44341.863449074073</v>
      </c>
      <c r="E10221" t="s">
        <v>31849</v>
      </c>
      <c r="F10221" t="s">
        <v>2236</v>
      </c>
      <c r="G10221" t="s">
        <v>31878</v>
      </c>
      <c r="H10221" t="s">
        <v>2237</v>
      </c>
      <c r="I10221" t="s">
        <v>29</v>
      </c>
      <c r="J10221">
        <v>1</v>
      </c>
      <c r="K10221">
        <f>1-888-598-3252</f>
        <v>-4737</v>
      </c>
      <c r="L10221" t="s">
        <v>31879</v>
      </c>
      <c r="M10221" t="s">
        <v>31880</v>
      </c>
      <c r="N10221" t="s">
        <v>278</v>
      </c>
      <c r="O10221" t="s">
        <v>28</v>
      </c>
      <c r="P10221" t="s">
        <v>292</v>
      </c>
      <c r="Q10221">
        <v>49</v>
      </c>
      <c r="R10221">
        <v>2.35222</v>
      </c>
    </row>
    <row r="10222" spans="1:18" x14ac:dyDescent="0.2">
      <c r="A10222" t="s">
        <v>2233</v>
      </c>
      <c r="B10222" t="s">
        <v>1638</v>
      </c>
      <c r="C10222">
        <v>1</v>
      </c>
      <c r="D10222" s="1">
        <v>44341.86178240741</v>
      </c>
      <c r="E10222" t="s">
        <v>31849</v>
      </c>
      <c r="F10222" t="s">
        <v>2236</v>
      </c>
      <c r="G10222" t="s">
        <v>31878</v>
      </c>
      <c r="H10222" t="s">
        <v>2237</v>
      </c>
      <c r="I10222" t="s">
        <v>29</v>
      </c>
      <c r="J10222">
        <v>1</v>
      </c>
      <c r="K10222">
        <f>1-561-424-9544</f>
        <v>-10528</v>
      </c>
      <c r="L10222" t="s">
        <v>31881</v>
      </c>
      <c r="M10222" t="s">
        <v>31882</v>
      </c>
      <c r="N10222" t="s">
        <v>278</v>
      </c>
      <c r="O10222" t="s">
        <v>28</v>
      </c>
      <c r="P10222" t="s">
        <v>292</v>
      </c>
      <c r="Q10222">
        <v>49</v>
      </c>
      <c r="R10222">
        <v>2.35222</v>
      </c>
    </row>
    <row r="10223" spans="1:18" x14ac:dyDescent="0.2">
      <c r="A10223" t="s">
        <v>2233</v>
      </c>
      <c r="B10223" t="s">
        <v>1638</v>
      </c>
      <c r="C10223">
        <v>1</v>
      </c>
      <c r="D10223" s="1">
        <v>44341.847037037034</v>
      </c>
      <c r="E10223" t="s">
        <v>31849</v>
      </c>
      <c r="F10223" t="s">
        <v>2236</v>
      </c>
      <c r="G10223" t="s">
        <v>31878</v>
      </c>
      <c r="H10223" t="s">
        <v>2237</v>
      </c>
      <c r="I10223" t="s">
        <v>29</v>
      </c>
      <c r="J10223">
        <v>1</v>
      </c>
      <c r="K10223">
        <f>1-888-308-5936</f>
        <v>-7131</v>
      </c>
      <c r="L10223" t="s">
        <v>31883</v>
      </c>
      <c r="M10223" t="s">
        <v>31884</v>
      </c>
      <c r="N10223" t="s">
        <v>278</v>
      </c>
      <c r="O10223" t="s">
        <v>28</v>
      </c>
      <c r="P10223" t="s">
        <v>292</v>
      </c>
      <c r="Q10223">
        <v>49</v>
      </c>
      <c r="R10223">
        <v>2.35222</v>
      </c>
    </row>
    <row r="10224" spans="1:18" x14ac:dyDescent="0.2">
      <c r="A10224" t="s">
        <v>2233</v>
      </c>
      <c r="B10224" t="s">
        <v>1638</v>
      </c>
      <c r="C10224">
        <v>1</v>
      </c>
      <c r="D10224" s="1">
        <v>44346.059641203705</v>
      </c>
      <c r="E10224" t="s">
        <v>31885</v>
      </c>
      <c r="F10224" t="s">
        <v>7023</v>
      </c>
      <c r="G10224" t="s">
        <v>31886</v>
      </c>
      <c r="H10224" t="s">
        <v>2237</v>
      </c>
      <c r="I10224" t="s">
        <v>29</v>
      </c>
      <c r="J10224">
        <v>1</v>
      </c>
      <c r="K10224">
        <f>1-888-312-1376</f>
        <v>-2575</v>
      </c>
      <c r="L10224" t="s">
        <v>31887</v>
      </c>
      <c r="M10224" t="s">
        <v>31888</v>
      </c>
      <c r="N10224" t="s">
        <v>278</v>
      </c>
      <c r="O10224" t="s">
        <v>28</v>
      </c>
      <c r="P10224" t="s">
        <v>292</v>
      </c>
      <c r="Q10224">
        <v>49</v>
      </c>
      <c r="R10224">
        <v>2.35222</v>
      </c>
    </row>
    <row r="10225" spans="1:18" x14ac:dyDescent="0.2">
      <c r="A10225" t="s">
        <v>2233</v>
      </c>
      <c r="B10225" t="s">
        <v>1638</v>
      </c>
      <c r="C10225">
        <v>1</v>
      </c>
      <c r="D10225" s="1">
        <v>44345.815983796296</v>
      </c>
      <c r="E10225" t="s">
        <v>31889</v>
      </c>
      <c r="F10225" t="s">
        <v>7023</v>
      </c>
      <c r="G10225" t="s">
        <v>31890</v>
      </c>
      <c r="H10225" t="s">
        <v>2237</v>
      </c>
      <c r="I10225" t="s">
        <v>29</v>
      </c>
      <c r="J10225">
        <v>1</v>
      </c>
      <c r="K10225">
        <f>1-888-347-91</f>
        <v>-1325</v>
      </c>
      <c r="L10225" t="s">
        <v>31891</v>
      </c>
      <c r="M10225" t="s">
        <v>31892</v>
      </c>
      <c r="N10225" t="s">
        <v>278</v>
      </c>
      <c r="O10225" t="s">
        <v>28</v>
      </c>
      <c r="P10225" t="s">
        <v>292</v>
      </c>
      <c r="Q10225">
        <v>49</v>
      </c>
      <c r="R10225">
        <v>2.35222</v>
      </c>
    </row>
    <row r="10226" spans="1:18" x14ac:dyDescent="0.2">
      <c r="A10226" t="s">
        <v>439</v>
      </c>
      <c r="B10226" t="s">
        <v>4321</v>
      </c>
      <c r="C10226">
        <v>1</v>
      </c>
      <c r="D10226" s="1">
        <v>44345.834583333337</v>
      </c>
      <c r="E10226" t="s">
        <v>31893</v>
      </c>
      <c r="F10226" t="s">
        <v>442</v>
      </c>
      <c r="G10226" t="s">
        <v>31894</v>
      </c>
      <c r="H10226" t="s">
        <v>444</v>
      </c>
      <c r="I10226" t="s">
        <v>29</v>
      </c>
      <c r="J10226">
        <v>1</v>
      </c>
      <c r="K10226">
        <f>1-888-598-3349</f>
        <v>-4834</v>
      </c>
      <c r="L10226" t="s">
        <v>31895</v>
      </c>
      <c r="M10226" t="s">
        <v>31896</v>
      </c>
      <c r="N10226" t="s">
        <v>452</v>
      </c>
      <c r="O10226" t="s">
        <v>28</v>
      </c>
      <c r="P10226" t="s">
        <v>29</v>
      </c>
      <c r="Q10226">
        <v>42</v>
      </c>
      <c r="R10226">
        <v>-87.629800000000003</v>
      </c>
    </row>
    <row r="10227" spans="1:18" x14ac:dyDescent="0.2">
      <c r="A10227" t="s">
        <v>439</v>
      </c>
      <c r="B10227" t="s">
        <v>4321</v>
      </c>
      <c r="C10227">
        <v>1</v>
      </c>
      <c r="D10227" s="1">
        <v>44345.834409722222</v>
      </c>
      <c r="E10227" t="s">
        <v>31893</v>
      </c>
      <c r="F10227" t="s">
        <v>442</v>
      </c>
      <c r="G10227" t="s">
        <v>31894</v>
      </c>
      <c r="H10227" t="s">
        <v>444</v>
      </c>
      <c r="I10227" t="s">
        <v>29</v>
      </c>
      <c r="J10227">
        <v>1</v>
      </c>
      <c r="K10227">
        <f>1-888-304-1384</f>
        <v>-2575</v>
      </c>
      <c r="L10227" t="s">
        <v>31897</v>
      </c>
      <c r="M10227" t="s">
        <v>31898</v>
      </c>
      <c r="N10227" t="s">
        <v>452</v>
      </c>
      <c r="O10227" t="s">
        <v>28</v>
      </c>
      <c r="P10227" t="s">
        <v>29</v>
      </c>
      <c r="Q10227">
        <v>42</v>
      </c>
      <c r="R10227">
        <v>-87.629800000000003</v>
      </c>
    </row>
    <row r="10228" spans="1:18" x14ac:dyDescent="0.2">
      <c r="A10228" t="s">
        <v>439</v>
      </c>
      <c r="B10228" t="s">
        <v>4321</v>
      </c>
      <c r="C10228">
        <v>1</v>
      </c>
      <c r="D10228" s="1">
        <v>44345.834282407406</v>
      </c>
      <c r="E10228" t="s">
        <v>31893</v>
      </c>
      <c r="F10228" t="s">
        <v>442</v>
      </c>
      <c r="G10228" t="s">
        <v>31894</v>
      </c>
      <c r="H10228" t="s">
        <v>444</v>
      </c>
      <c r="I10228" t="s">
        <v>29</v>
      </c>
      <c r="J10228">
        <v>1</v>
      </c>
      <c r="K10228">
        <f>1-888-785-4602</f>
        <v>-6274</v>
      </c>
      <c r="L10228" t="s">
        <v>31899</v>
      </c>
      <c r="M10228" t="s">
        <v>31900</v>
      </c>
      <c r="N10228" t="s">
        <v>452</v>
      </c>
      <c r="O10228" t="s">
        <v>28</v>
      </c>
      <c r="P10228" t="s">
        <v>29</v>
      </c>
      <c r="Q10228">
        <v>42</v>
      </c>
      <c r="R10228">
        <v>-87.629800000000003</v>
      </c>
    </row>
    <row r="10229" spans="1:18" x14ac:dyDescent="0.2">
      <c r="A10229" t="s">
        <v>439</v>
      </c>
      <c r="B10229" t="s">
        <v>4321</v>
      </c>
      <c r="C10229">
        <v>1</v>
      </c>
      <c r="D10229" s="1">
        <v>44345.832708333335</v>
      </c>
      <c r="E10229" t="s">
        <v>31893</v>
      </c>
      <c r="F10229" t="s">
        <v>442</v>
      </c>
      <c r="G10229" t="s">
        <v>31894</v>
      </c>
      <c r="H10229" t="s">
        <v>444</v>
      </c>
      <c r="I10229" t="s">
        <v>29</v>
      </c>
      <c r="J10229">
        <v>1</v>
      </c>
      <c r="K10229">
        <f>1-844-260-9689</f>
        <v>-10792</v>
      </c>
      <c r="L10229" t="s">
        <v>31901</v>
      </c>
      <c r="M10229" t="s">
        <v>31902</v>
      </c>
      <c r="N10229" t="s">
        <v>452</v>
      </c>
      <c r="O10229" t="s">
        <v>28</v>
      </c>
      <c r="P10229" t="s">
        <v>29</v>
      </c>
      <c r="Q10229">
        <v>42</v>
      </c>
      <c r="R10229">
        <v>-87.629800000000003</v>
      </c>
    </row>
    <row r="10230" spans="1:18" x14ac:dyDescent="0.2">
      <c r="A10230" t="s">
        <v>2233</v>
      </c>
      <c r="B10230" t="s">
        <v>1638</v>
      </c>
      <c r="C10230">
        <v>1</v>
      </c>
      <c r="D10230" s="1">
        <v>44341.856006944443</v>
      </c>
      <c r="E10230" t="s">
        <v>31849</v>
      </c>
      <c r="F10230" t="s">
        <v>2236</v>
      </c>
      <c r="G10230" t="s">
        <v>31903</v>
      </c>
      <c r="H10230" t="s">
        <v>2237</v>
      </c>
      <c r="I10230" t="s">
        <v>29</v>
      </c>
      <c r="J10230">
        <v>1</v>
      </c>
      <c r="K10230">
        <f>1-888-599-5119</f>
        <v>-6605</v>
      </c>
      <c r="L10230" t="s">
        <v>31904</v>
      </c>
      <c r="M10230" t="s">
        <v>31905</v>
      </c>
      <c r="N10230" t="s">
        <v>278</v>
      </c>
      <c r="O10230" t="s">
        <v>28</v>
      </c>
      <c r="P10230" t="s">
        <v>292</v>
      </c>
      <c r="Q10230">
        <v>49</v>
      </c>
      <c r="R10230">
        <v>2.35222</v>
      </c>
    </row>
    <row r="10231" spans="1:18" x14ac:dyDescent="0.2">
      <c r="A10231" t="s">
        <v>2233</v>
      </c>
      <c r="B10231" t="s">
        <v>1638</v>
      </c>
      <c r="C10231">
        <v>1</v>
      </c>
      <c r="D10231" s="1">
        <v>44341.853981481479</v>
      </c>
      <c r="E10231" t="s">
        <v>31849</v>
      </c>
      <c r="F10231" t="s">
        <v>2236</v>
      </c>
      <c r="G10231" t="s">
        <v>31903</v>
      </c>
      <c r="H10231" t="s">
        <v>2237</v>
      </c>
      <c r="I10231" t="s">
        <v>29</v>
      </c>
      <c r="J10231">
        <v>1</v>
      </c>
      <c r="K10231">
        <f>1-888-397-6072</f>
        <v>-7356</v>
      </c>
      <c r="L10231" t="s">
        <v>31906</v>
      </c>
      <c r="M10231" t="s">
        <v>31907</v>
      </c>
      <c r="N10231" t="s">
        <v>278</v>
      </c>
      <c r="O10231" t="s">
        <v>28</v>
      </c>
      <c r="P10231" t="s">
        <v>292</v>
      </c>
      <c r="Q10231">
        <v>49</v>
      </c>
      <c r="R10231">
        <v>2.35222</v>
      </c>
    </row>
    <row r="10232" spans="1:18" x14ac:dyDescent="0.2">
      <c r="A10232" t="s">
        <v>439</v>
      </c>
      <c r="B10232" t="s">
        <v>4321</v>
      </c>
      <c r="C10232">
        <v>1</v>
      </c>
      <c r="D10232" s="1">
        <v>44345.834050925929</v>
      </c>
      <c r="E10232" t="s">
        <v>31908</v>
      </c>
      <c r="F10232" t="s">
        <v>442</v>
      </c>
      <c r="G10232" t="s">
        <v>31909</v>
      </c>
      <c r="H10232" t="s">
        <v>444</v>
      </c>
      <c r="I10232" t="s">
        <v>29</v>
      </c>
      <c r="J10232">
        <v>1</v>
      </c>
      <c r="K10232">
        <f>1-844-612-285</f>
        <v>-1740</v>
      </c>
      <c r="L10232" t="s">
        <v>31910</v>
      </c>
      <c r="M10232" t="s">
        <v>31911</v>
      </c>
      <c r="N10232" t="s">
        <v>2475</v>
      </c>
      <c r="O10232" t="s">
        <v>28</v>
      </c>
      <c r="P10232" t="s">
        <v>29</v>
      </c>
      <c r="Q10232">
        <v>42</v>
      </c>
      <c r="R10232">
        <v>-87.629800000000003</v>
      </c>
    </row>
    <row r="10233" spans="1:18" x14ac:dyDescent="0.2">
      <c r="A10233" t="s">
        <v>439</v>
      </c>
      <c r="B10233" t="s">
        <v>4321</v>
      </c>
      <c r="C10233">
        <v>1</v>
      </c>
      <c r="D10233" s="1">
        <v>44341.89435185185</v>
      </c>
      <c r="E10233" t="s">
        <v>31912</v>
      </c>
      <c r="F10233" t="s">
        <v>442</v>
      </c>
      <c r="G10233" t="s">
        <v>31913</v>
      </c>
      <c r="H10233" t="s">
        <v>444</v>
      </c>
      <c r="I10233" t="s">
        <v>29</v>
      </c>
      <c r="J10233">
        <v>1</v>
      </c>
      <c r="K10233">
        <f>1-866-618-1108</f>
        <v>-2591</v>
      </c>
      <c r="L10233" t="s">
        <v>31914</v>
      </c>
      <c r="M10233" t="s">
        <v>31915</v>
      </c>
      <c r="N10233" t="s">
        <v>2475</v>
      </c>
      <c r="O10233" t="s">
        <v>28</v>
      </c>
      <c r="P10233" t="s">
        <v>29</v>
      </c>
      <c r="Q10233">
        <v>42</v>
      </c>
      <c r="R10233">
        <v>-87.629800000000003</v>
      </c>
    </row>
    <row r="10234" spans="1:18" x14ac:dyDescent="0.2">
      <c r="A10234" t="s">
        <v>2233</v>
      </c>
      <c r="B10234" t="s">
        <v>1638</v>
      </c>
      <c r="C10234">
        <v>1</v>
      </c>
      <c r="D10234" s="1">
        <v>44341.925335648149</v>
      </c>
      <c r="E10234" t="s">
        <v>31916</v>
      </c>
      <c r="F10234" t="s">
        <v>7023</v>
      </c>
      <c r="G10234" t="s">
        <v>31917</v>
      </c>
      <c r="H10234" t="s">
        <v>2237</v>
      </c>
      <c r="I10234" t="s">
        <v>29</v>
      </c>
      <c r="J10234">
        <v>1</v>
      </c>
      <c r="K10234">
        <f>1-888-655-2415</f>
        <v>-3957</v>
      </c>
      <c r="L10234" t="s">
        <v>31918</v>
      </c>
      <c r="M10234" t="s">
        <v>31919</v>
      </c>
      <c r="N10234" t="s">
        <v>278</v>
      </c>
      <c r="O10234" t="s">
        <v>28</v>
      </c>
      <c r="P10234" t="s">
        <v>292</v>
      </c>
      <c r="Q10234">
        <v>49</v>
      </c>
      <c r="R10234">
        <v>2.35222</v>
      </c>
    </row>
    <row r="10235" spans="1:18" x14ac:dyDescent="0.2">
      <c r="A10235" t="s">
        <v>6660</v>
      </c>
      <c r="B10235" t="s">
        <v>454</v>
      </c>
      <c r="C10235">
        <v>33</v>
      </c>
      <c r="D10235" s="1">
        <v>44346.502187500002</v>
      </c>
      <c r="E10235" t="s">
        <v>31920</v>
      </c>
      <c r="F10235" t="s">
        <v>6663</v>
      </c>
      <c r="G10235" t="s">
        <v>31921</v>
      </c>
      <c r="H10235" t="s">
        <v>6665</v>
      </c>
      <c r="I10235" t="s">
        <v>292</v>
      </c>
      <c r="J10235">
        <v>33</v>
      </c>
      <c r="K10235">
        <f>33-9-72-50-62-59</f>
        <v>-219</v>
      </c>
      <c r="L10235" t="s">
        <v>31922</v>
      </c>
      <c r="M10235" t="s">
        <v>31923</v>
      </c>
      <c r="N10235" t="s">
        <v>5354</v>
      </c>
      <c r="O10235" t="s">
        <v>134</v>
      </c>
      <c r="P10235" t="s">
        <v>461</v>
      </c>
      <c r="Q10235">
        <v>52</v>
      </c>
      <c r="R10235">
        <v>4.8951700000000002</v>
      </c>
    </row>
    <row r="10236" spans="1:18" x14ac:dyDescent="0.2">
      <c r="A10236" t="s">
        <v>2233</v>
      </c>
      <c r="B10236" t="s">
        <v>1638</v>
      </c>
      <c r="C10236">
        <v>1</v>
      </c>
      <c r="D10236" s="1">
        <v>44345.914525462962</v>
      </c>
      <c r="E10236" t="s">
        <v>31924</v>
      </c>
      <c r="F10236" t="s">
        <v>2236</v>
      </c>
      <c r="G10236" t="s">
        <v>31925</v>
      </c>
      <c r="H10236" t="s">
        <v>2237</v>
      </c>
      <c r="I10236" t="s">
        <v>29</v>
      </c>
      <c r="J10236">
        <v>1</v>
      </c>
      <c r="K10236">
        <f>1-888-291-196</f>
        <v>-1374</v>
      </c>
      <c r="L10236" t="s">
        <v>31926</v>
      </c>
      <c r="M10236" t="s">
        <v>31927</v>
      </c>
      <c r="N10236" t="s">
        <v>278</v>
      </c>
      <c r="O10236" t="s">
        <v>28</v>
      </c>
      <c r="P10236" t="s">
        <v>292</v>
      </c>
      <c r="Q10236">
        <v>49</v>
      </c>
      <c r="R10236">
        <v>2.35222</v>
      </c>
    </row>
    <row r="10237" spans="1:18" x14ac:dyDescent="0.2">
      <c r="A10237" t="s">
        <v>439</v>
      </c>
      <c r="B10237" t="s">
        <v>4321</v>
      </c>
      <c r="C10237">
        <v>1</v>
      </c>
      <c r="D10237" s="1">
        <v>44346.762881944444</v>
      </c>
      <c r="E10237" t="s">
        <v>31928</v>
      </c>
      <c r="F10237" t="s">
        <v>442</v>
      </c>
      <c r="G10237" t="s">
        <v>31929</v>
      </c>
      <c r="H10237" t="s">
        <v>444</v>
      </c>
      <c r="I10237" t="s">
        <v>29</v>
      </c>
      <c r="J10237">
        <v>1</v>
      </c>
      <c r="K10237">
        <f>1-855-674-2319</f>
        <v>-3847</v>
      </c>
      <c r="L10237" t="s">
        <v>31930</v>
      </c>
      <c r="M10237" t="s">
        <v>31931</v>
      </c>
      <c r="N10237" t="s">
        <v>2475</v>
      </c>
      <c r="O10237" t="s">
        <v>28</v>
      </c>
      <c r="P10237" t="s">
        <v>29</v>
      </c>
      <c r="Q10237">
        <v>42</v>
      </c>
      <c r="R10237">
        <v>-87.629800000000003</v>
      </c>
    </row>
    <row r="10238" spans="1:18" x14ac:dyDescent="0.2">
      <c r="A10238" t="s">
        <v>2233</v>
      </c>
      <c r="B10238" t="s">
        <v>1638</v>
      </c>
      <c r="C10238">
        <v>1</v>
      </c>
      <c r="D10238" s="1">
        <v>44346.811365740738</v>
      </c>
      <c r="E10238" t="s">
        <v>31932</v>
      </c>
      <c r="F10238" t="s">
        <v>7023</v>
      </c>
      <c r="G10238" t="s">
        <v>31933</v>
      </c>
      <c r="H10238" t="s">
        <v>2237</v>
      </c>
      <c r="I10238" t="s">
        <v>29</v>
      </c>
      <c r="J10238">
        <v>1</v>
      </c>
      <c r="K10238">
        <f>1-888-612-9957</f>
        <v>-11456</v>
      </c>
      <c r="L10238" t="s">
        <v>31934</v>
      </c>
      <c r="M10238" t="s">
        <v>31935</v>
      </c>
      <c r="N10238" t="s">
        <v>278</v>
      </c>
      <c r="O10238" t="s">
        <v>28</v>
      </c>
      <c r="P10238" t="s">
        <v>292</v>
      </c>
      <c r="Q10238">
        <v>49</v>
      </c>
      <c r="R10238">
        <v>2.35222</v>
      </c>
    </row>
    <row r="10239" spans="1:18" x14ac:dyDescent="0.2">
      <c r="A10239" t="s">
        <v>2233</v>
      </c>
      <c r="B10239" t="s">
        <v>1638</v>
      </c>
      <c r="C10239">
        <v>1</v>
      </c>
      <c r="D10239" s="1">
        <v>44346.807233796295</v>
      </c>
      <c r="E10239" t="s">
        <v>31932</v>
      </c>
      <c r="F10239" t="s">
        <v>7023</v>
      </c>
      <c r="G10239" t="s">
        <v>31933</v>
      </c>
      <c r="H10239" t="s">
        <v>2237</v>
      </c>
      <c r="I10239" t="s">
        <v>29</v>
      </c>
      <c r="J10239">
        <v>1</v>
      </c>
      <c r="K10239">
        <f>1-888-525-703</f>
        <v>-2115</v>
      </c>
      <c r="L10239" t="s">
        <v>31936</v>
      </c>
      <c r="M10239" t="s">
        <v>31937</v>
      </c>
      <c r="N10239" t="s">
        <v>278</v>
      </c>
      <c r="O10239" t="s">
        <v>28</v>
      </c>
      <c r="P10239" t="s">
        <v>292</v>
      </c>
      <c r="Q10239">
        <v>49</v>
      </c>
      <c r="R10239">
        <v>2.35222</v>
      </c>
    </row>
    <row r="10240" spans="1:18" x14ac:dyDescent="0.2">
      <c r="A10240" t="s">
        <v>439</v>
      </c>
      <c r="B10240" t="s">
        <v>4321</v>
      </c>
      <c r="C10240">
        <v>1</v>
      </c>
      <c r="D10240" s="1">
        <v>44346.824270833335</v>
      </c>
      <c r="E10240" t="s">
        <v>31938</v>
      </c>
      <c r="F10240" t="s">
        <v>442</v>
      </c>
      <c r="G10240" t="s">
        <v>31939</v>
      </c>
      <c r="H10240" t="s">
        <v>444</v>
      </c>
      <c r="I10240" t="s">
        <v>29</v>
      </c>
      <c r="J10240">
        <v>1</v>
      </c>
      <c r="K10240">
        <f>1-855-674-2353</f>
        <v>-3881</v>
      </c>
      <c r="L10240" t="s">
        <v>31940</v>
      </c>
      <c r="M10240" t="s">
        <v>31941</v>
      </c>
      <c r="N10240" t="s">
        <v>2475</v>
      </c>
      <c r="O10240" t="s">
        <v>28</v>
      </c>
      <c r="P10240" t="s">
        <v>29</v>
      </c>
      <c r="Q10240">
        <v>42</v>
      </c>
      <c r="R10240">
        <v>-87.629800000000003</v>
      </c>
    </row>
    <row r="10241" spans="1:18" x14ac:dyDescent="0.2">
      <c r="A10241" t="s">
        <v>439</v>
      </c>
      <c r="B10241" t="s">
        <v>4321</v>
      </c>
      <c r="C10241">
        <v>1</v>
      </c>
      <c r="D10241" s="1">
        <v>44346.832685185182</v>
      </c>
      <c r="E10241" t="s">
        <v>31942</v>
      </c>
      <c r="F10241" t="s">
        <v>442</v>
      </c>
      <c r="G10241" t="s">
        <v>31943</v>
      </c>
      <c r="H10241" t="s">
        <v>444</v>
      </c>
      <c r="I10241" t="s">
        <v>29</v>
      </c>
      <c r="J10241">
        <v>1</v>
      </c>
      <c r="K10241">
        <f>1-844-771-828</f>
        <v>-2442</v>
      </c>
      <c r="L10241" t="s">
        <v>31944</v>
      </c>
      <c r="M10241" t="s">
        <v>31945</v>
      </c>
      <c r="N10241" t="s">
        <v>2475</v>
      </c>
      <c r="O10241" t="s">
        <v>28</v>
      </c>
      <c r="P10241" t="s">
        <v>29</v>
      </c>
      <c r="Q10241">
        <v>42</v>
      </c>
      <c r="R10241">
        <v>-87.629800000000003</v>
      </c>
    </row>
    <row r="10242" spans="1:18" x14ac:dyDescent="0.2">
      <c r="A10242" t="s">
        <v>2233</v>
      </c>
      <c r="B10242" t="s">
        <v>2263</v>
      </c>
      <c r="C10242">
        <v>1</v>
      </c>
      <c r="D10242" s="1">
        <v>44347.055</v>
      </c>
      <c r="E10242" t="s">
        <v>31946</v>
      </c>
      <c r="F10242" t="s">
        <v>2236</v>
      </c>
      <c r="G10242" t="s">
        <v>31947</v>
      </c>
      <c r="H10242" t="s">
        <v>2237</v>
      </c>
      <c r="I10242" t="s">
        <v>29</v>
      </c>
      <c r="J10242">
        <v>1</v>
      </c>
      <c r="K10242">
        <f>1-866-454-1993</f>
        <v>-3312</v>
      </c>
      <c r="L10242" t="s">
        <v>31948</v>
      </c>
      <c r="M10242" t="s">
        <v>31949</v>
      </c>
      <c r="N10242" t="s">
        <v>5354</v>
      </c>
      <c r="O10242" t="s">
        <v>28</v>
      </c>
      <c r="P10242" t="s">
        <v>2268</v>
      </c>
      <c r="Q10242">
        <v>44</v>
      </c>
      <c r="R10242">
        <v>-79.383200000000002</v>
      </c>
    </row>
    <row r="10243" spans="1:18" x14ac:dyDescent="0.2">
      <c r="A10243" t="s">
        <v>2233</v>
      </c>
      <c r="B10243" t="s">
        <v>1638</v>
      </c>
      <c r="C10243">
        <v>1</v>
      </c>
      <c r="D10243" s="1">
        <v>44347.061481481483</v>
      </c>
      <c r="E10243" t="s">
        <v>31950</v>
      </c>
      <c r="F10243" t="s">
        <v>7023</v>
      </c>
      <c r="G10243" t="s">
        <v>31951</v>
      </c>
      <c r="H10243" t="s">
        <v>2237</v>
      </c>
      <c r="I10243" t="s">
        <v>29</v>
      </c>
      <c r="J10243">
        <v>1</v>
      </c>
      <c r="K10243">
        <f>1-888-529-5199</f>
        <v>-6615</v>
      </c>
      <c r="L10243" t="s">
        <v>31952</v>
      </c>
      <c r="M10243" t="s">
        <v>31953</v>
      </c>
      <c r="N10243" t="s">
        <v>278</v>
      </c>
      <c r="O10243" t="s">
        <v>28</v>
      </c>
      <c r="P10243" t="s">
        <v>292</v>
      </c>
      <c r="Q10243">
        <v>49</v>
      </c>
      <c r="R10243">
        <v>2.35222</v>
      </c>
    </row>
    <row r="10244" spans="1:18" x14ac:dyDescent="0.2">
      <c r="A10244" t="s">
        <v>2233</v>
      </c>
      <c r="B10244" t="s">
        <v>1638</v>
      </c>
      <c r="C10244">
        <v>81</v>
      </c>
      <c r="D10244" s="1">
        <v>44347.421319444446</v>
      </c>
      <c r="E10244" t="s">
        <v>31954</v>
      </c>
      <c r="F10244" t="s">
        <v>2236</v>
      </c>
      <c r="G10244" t="s">
        <v>31955</v>
      </c>
      <c r="H10244" t="s">
        <v>2237</v>
      </c>
      <c r="I10244" t="s">
        <v>53</v>
      </c>
      <c r="J10244">
        <v>81</v>
      </c>
      <c r="K10244">
        <f>81-50-3196-562</f>
        <v>-3727</v>
      </c>
      <c r="L10244" t="s">
        <v>31956</v>
      </c>
      <c r="M10244" t="s">
        <v>31957</v>
      </c>
      <c r="N10244" t="s">
        <v>278</v>
      </c>
      <c r="O10244" t="s">
        <v>134</v>
      </c>
      <c r="P10244" t="s">
        <v>292</v>
      </c>
      <c r="Q10244">
        <v>49</v>
      </c>
      <c r="R10244">
        <v>2.35222</v>
      </c>
    </row>
    <row r="10245" spans="1:18" x14ac:dyDescent="0.2">
      <c r="A10245" t="s">
        <v>2233</v>
      </c>
      <c r="B10245" t="s">
        <v>2234</v>
      </c>
      <c r="C10245">
        <v>1</v>
      </c>
      <c r="D10245" s="1">
        <v>44347.78396990741</v>
      </c>
      <c r="E10245" t="s">
        <v>31958</v>
      </c>
      <c r="F10245" t="s">
        <v>2236</v>
      </c>
      <c r="G10245" t="s">
        <v>31959</v>
      </c>
      <c r="H10245" t="s">
        <v>2237</v>
      </c>
      <c r="I10245" t="s">
        <v>29</v>
      </c>
      <c r="J10245">
        <v>1</v>
      </c>
      <c r="K10245">
        <f>1-833-251-9233</f>
        <v>-10316</v>
      </c>
      <c r="L10245" t="s">
        <v>31960</v>
      </c>
      <c r="M10245" t="s">
        <v>31961</v>
      </c>
      <c r="N10245" t="s">
        <v>5354</v>
      </c>
      <c r="O10245" t="s">
        <v>28</v>
      </c>
      <c r="P10245" t="s">
        <v>29</v>
      </c>
      <c r="Q10245">
        <v>40</v>
      </c>
      <c r="R10245">
        <v>-83.114099999999993</v>
      </c>
    </row>
    <row r="10246" spans="1:18" x14ac:dyDescent="0.2">
      <c r="A10246" t="s">
        <v>663</v>
      </c>
      <c r="B10246" t="s">
        <v>2493</v>
      </c>
      <c r="C10246">
        <v>1</v>
      </c>
      <c r="D10246" s="1">
        <v>44347.79965277778</v>
      </c>
      <c r="E10246" t="s">
        <v>31962</v>
      </c>
      <c r="F10246" t="s">
        <v>666</v>
      </c>
      <c r="G10246" t="s">
        <v>31963</v>
      </c>
      <c r="H10246" t="s">
        <v>667</v>
      </c>
      <c r="I10246" t="s">
        <v>29</v>
      </c>
      <c r="J10246">
        <v>1</v>
      </c>
      <c r="K10246">
        <f>1-844-215-1375</f>
        <v>-2433</v>
      </c>
      <c r="L10246" t="s">
        <v>31964</v>
      </c>
      <c r="M10246" t="s">
        <v>31965</v>
      </c>
      <c r="N10246" t="s">
        <v>447</v>
      </c>
      <c r="O10246" t="s">
        <v>28</v>
      </c>
      <c r="P10246" t="s">
        <v>29</v>
      </c>
      <c r="Q10246">
        <v>41</v>
      </c>
      <c r="R10246">
        <v>-74.024699999999996</v>
      </c>
    </row>
    <row r="10247" spans="1:18" x14ac:dyDescent="0.2">
      <c r="A10247" t="s">
        <v>439</v>
      </c>
      <c r="B10247" t="s">
        <v>4321</v>
      </c>
      <c r="C10247">
        <v>1</v>
      </c>
      <c r="D10247" s="1">
        <v>44347.801087962966</v>
      </c>
      <c r="E10247" t="s">
        <v>31966</v>
      </c>
      <c r="F10247" t="s">
        <v>442</v>
      </c>
      <c r="G10247" t="s">
        <v>31967</v>
      </c>
      <c r="H10247" t="s">
        <v>444</v>
      </c>
      <c r="I10247" t="s">
        <v>29</v>
      </c>
      <c r="J10247">
        <v>1</v>
      </c>
      <c r="K10247">
        <f>1-888-718-562</f>
        <v>-2167</v>
      </c>
      <c r="L10247" t="s">
        <v>31968</v>
      </c>
      <c r="M10247" t="s">
        <v>31969</v>
      </c>
      <c r="N10247" t="s">
        <v>30194</v>
      </c>
      <c r="O10247" t="s">
        <v>28</v>
      </c>
      <c r="P10247" t="s">
        <v>29</v>
      </c>
      <c r="Q10247">
        <v>42</v>
      </c>
      <c r="R10247">
        <v>-87.629800000000003</v>
      </c>
    </row>
    <row r="10248" spans="1:18" x14ac:dyDescent="0.2">
      <c r="A10248" t="s">
        <v>663</v>
      </c>
      <c r="B10248" t="s">
        <v>664</v>
      </c>
      <c r="C10248">
        <v>1</v>
      </c>
      <c r="D10248" s="1">
        <v>44347.807858796295</v>
      </c>
      <c r="E10248" t="s">
        <v>31970</v>
      </c>
      <c r="F10248" t="s">
        <v>2495</v>
      </c>
      <c r="G10248" t="s">
        <v>31970</v>
      </c>
      <c r="H10248" t="s">
        <v>667</v>
      </c>
      <c r="I10248" t="s">
        <v>29</v>
      </c>
      <c r="J10248">
        <v>1</v>
      </c>
      <c r="K10248">
        <f>1-937-685-7077</f>
        <v>-8698</v>
      </c>
      <c r="L10248" t="s">
        <v>31971</v>
      </c>
      <c r="M10248" t="s">
        <v>31972</v>
      </c>
      <c r="N10248">
        <v>179</v>
      </c>
      <c r="O10248" t="s">
        <v>134</v>
      </c>
      <c r="P10248" t="s">
        <v>29</v>
      </c>
      <c r="Q10248">
        <v>37</v>
      </c>
      <c r="R10248">
        <v>-99.999999000000003</v>
      </c>
    </row>
    <row r="10249" spans="1:18" x14ac:dyDescent="0.2">
      <c r="A10249" t="s">
        <v>2233</v>
      </c>
      <c r="B10249" t="s">
        <v>1638</v>
      </c>
      <c r="C10249">
        <v>1</v>
      </c>
      <c r="D10249" s="1">
        <v>44347.862847222219</v>
      </c>
      <c r="E10249" t="s">
        <v>31973</v>
      </c>
      <c r="F10249" t="s">
        <v>2236</v>
      </c>
      <c r="G10249" t="s">
        <v>31974</v>
      </c>
      <c r="H10249" t="s">
        <v>2237</v>
      </c>
      <c r="I10249" t="s">
        <v>29</v>
      </c>
      <c r="J10249">
        <v>1</v>
      </c>
      <c r="K10249">
        <f>1-888-660-7718</f>
        <v>-9265</v>
      </c>
      <c r="L10249" t="s">
        <v>31975</v>
      </c>
      <c r="M10249" t="s">
        <v>31976</v>
      </c>
      <c r="N10249" t="s">
        <v>278</v>
      </c>
      <c r="O10249" t="s">
        <v>28</v>
      </c>
      <c r="P10249" t="s">
        <v>292</v>
      </c>
      <c r="Q10249">
        <v>49</v>
      </c>
      <c r="R10249">
        <v>2.35222</v>
      </c>
    </row>
    <row r="10250" spans="1:18" x14ac:dyDescent="0.2">
      <c r="A10250" t="s">
        <v>2233</v>
      </c>
      <c r="B10250" t="s">
        <v>1638</v>
      </c>
      <c r="C10250">
        <v>1</v>
      </c>
      <c r="D10250" s="1">
        <v>44347.920902777776</v>
      </c>
      <c r="E10250" t="s">
        <v>31977</v>
      </c>
      <c r="F10250" t="s">
        <v>2236</v>
      </c>
      <c r="G10250" t="s">
        <v>31978</v>
      </c>
      <c r="H10250" t="s">
        <v>2237</v>
      </c>
      <c r="I10250" t="s">
        <v>29</v>
      </c>
      <c r="J10250">
        <v>1</v>
      </c>
      <c r="K10250">
        <f>1-888-381-1870</f>
        <v>-3138</v>
      </c>
      <c r="L10250" t="s">
        <v>31979</v>
      </c>
      <c r="M10250" t="s">
        <v>31980</v>
      </c>
      <c r="N10250" t="s">
        <v>278</v>
      </c>
      <c r="O10250" t="s">
        <v>28</v>
      </c>
      <c r="P10250" t="s">
        <v>292</v>
      </c>
      <c r="Q10250">
        <v>49</v>
      </c>
      <c r="R10250">
        <v>2.35222</v>
      </c>
    </row>
    <row r="10251" spans="1:18" x14ac:dyDescent="0.2">
      <c r="A10251" t="s">
        <v>2233</v>
      </c>
      <c r="B10251" t="s">
        <v>1638</v>
      </c>
      <c r="C10251">
        <v>1</v>
      </c>
      <c r="D10251" s="1">
        <v>44347.991585648146</v>
      </c>
      <c r="E10251" t="s">
        <v>31981</v>
      </c>
      <c r="F10251" t="s">
        <v>7023</v>
      </c>
      <c r="G10251" t="s">
        <v>31982</v>
      </c>
      <c r="H10251" t="s">
        <v>2237</v>
      </c>
      <c r="I10251" t="s">
        <v>29</v>
      </c>
      <c r="J10251">
        <v>1</v>
      </c>
      <c r="K10251">
        <f>1-888-599-2660</f>
        <v>-4146</v>
      </c>
      <c r="L10251" t="s">
        <v>31983</v>
      </c>
      <c r="M10251" t="s">
        <v>31984</v>
      </c>
      <c r="N10251" t="s">
        <v>278</v>
      </c>
      <c r="O10251" t="s">
        <v>28</v>
      </c>
      <c r="P10251" t="s">
        <v>292</v>
      </c>
      <c r="Q10251">
        <v>49</v>
      </c>
      <c r="R10251">
        <v>2.35222</v>
      </c>
    </row>
    <row r="10252" spans="1:18" x14ac:dyDescent="0.2">
      <c r="A10252" t="s">
        <v>2233</v>
      </c>
      <c r="B10252" t="s">
        <v>1638</v>
      </c>
      <c r="C10252">
        <v>1</v>
      </c>
      <c r="D10252" s="1">
        <v>44348.041261574072</v>
      </c>
      <c r="E10252" t="s">
        <v>31981</v>
      </c>
      <c r="F10252" t="s">
        <v>7023</v>
      </c>
      <c r="G10252" t="s">
        <v>31985</v>
      </c>
      <c r="H10252" t="s">
        <v>2237</v>
      </c>
      <c r="I10252" t="s">
        <v>29</v>
      </c>
      <c r="J10252">
        <v>1</v>
      </c>
      <c r="K10252">
        <f>1-888-598-1544</f>
        <v>-3029</v>
      </c>
      <c r="L10252" t="s">
        <v>31986</v>
      </c>
      <c r="M10252" t="s">
        <v>31987</v>
      </c>
      <c r="N10252" t="s">
        <v>278</v>
      </c>
      <c r="O10252" t="s">
        <v>28</v>
      </c>
      <c r="P10252" t="s">
        <v>292</v>
      </c>
      <c r="Q10252">
        <v>49</v>
      </c>
      <c r="R10252">
        <v>2.35222</v>
      </c>
    </row>
    <row r="10253" spans="1:18" x14ac:dyDescent="0.2">
      <c r="A10253" t="s">
        <v>439</v>
      </c>
      <c r="B10253" t="s">
        <v>4321</v>
      </c>
      <c r="C10253">
        <v>1</v>
      </c>
      <c r="D10253" s="1">
        <v>44348.656921296293</v>
      </c>
      <c r="E10253" t="s">
        <v>31988</v>
      </c>
      <c r="F10253" t="s">
        <v>442</v>
      </c>
      <c r="G10253" t="s">
        <v>31989</v>
      </c>
      <c r="H10253" t="s">
        <v>444</v>
      </c>
      <c r="I10253" t="s">
        <v>29</v>
      </c>
      <c r="J10253">
        <v>1</v>
      </c>
      <c r="K10253">
        <f>1-844-503-1656</f>
        <v>-3002</v>
      </c>
      <c r="L10253" t="s">
        <v>31990</v>
      </c>
      <c r="M10253" t="s">
        <v>31991</v>
      </c>
      <c r="N10253" t="s">
        <v>2475</v>
      </c>
      <c r="O10253" t="s">
        <v>28</v>
      </c>
      <c r="P10253" t="s">
        <v>29</v>
      </c>
      <c r="Q10253">
        <v>42</v>
      </c>
      <c r="R10253">
        <v>-87.629800000000003</v>
      </c>
    </row>
    <row r="10254" spans="1:18" x14ac:dyDescent="0.2">
      <c r="A10254" t="s">
        <v>439</v>
      </c>
      <c r="B10254" t="s">
        <v>4321</v>
      </c>
      <c r="C10254">
        <v>1</v>
      </c>
      <c r="D10254" s="1">
        <v>44348.660046296296</v>
      </c>
      <c r="E10254" t="s">
        <v>31992</v>
      </c>
      <c r="F10254" t="s">
        <v>442</v>
      </c>
      <c r="G10254" t="s">
        <v>31993</v>
      </c>
      <c r="H10254" t="s">
        <v>444</v>
      </c>
      <c r="I10254" t="s">
        <v>29</v>
      </c>
      <c r="J10254">
        <v>1</v>
      </c>
      <c r="K10254">
        <f>1-877-372-972</f>
        <v>-2220</v>
      </c>
      <c r="L10254" t="s">
        <v>31994</v>
      </c>
      <c r="M10254" t="s">
        <v>31995</v>
      </c>
      <c r="N10254" t="s">
        <v>2475</v>
      </c>
      <c r="O10254" t="s">
        <v>28</v>
      </c>
      <c r="P10254" t="s">
        <v>29</v>
      </c>
      <c r="Q10254">
        <v>42</v>
      </c>
      <c r="R10254">
        <v>-87.629800000000003</v>
      </c>
    </row>
    <row r="10255" spans="1:18" x14ac:dyDescent="0.2">
      <c r="A10255" t="s">
        <v>663</v>
      </c>
      <c r="B10255" t="s">
        <v>5784</v>
      </c>
      <c r="C10255">
        <v>1</v>
      </c>
      <c r="D10255" s="1">
        <v>44348.748993055553</v>
      </c>
      <c r="E10255" t="s">
        <v>31996</v>
      </c>
      <c r="F10255" t="s">
        <v>666</v>
      </c>
      <c r="G10255" t="s">
        <v>31997</v>
      </c>
      <c r="H10255" t="s">
        <v>667</v>
      </c>
      <c r="I10255" t="s">
        <v>29</v>
      </c>
      <c r="J10255">
        <v>1</v>
      </c>
      <c r="K10255">
        <f>1-833-220-3621</f>
        <v>-4673</v>
      </c>
      <c r="L10255" t="s">
        <v>31998</v>
      </c>
      <c r="M10255" t="s">
        <v>31999</v>
      </c>
      <c r="N10255" t="s">
        <v>25263</v>
      </c>
      <c r="O10255" t="s">
        <v>28</v>
      </c>
      <c r="P10255" t="s">
        <v>5789</v>
      </c>
      <c r="Q10255">
        <v>13</v>
      </c>
      <c r="R10255">
        <v>77.585499999999996</v>
      </c>
    </row>
    <row r="10256" spans="1:18" x14ac:dyDescent="0.2">
      <c r="A10256" t="s">
        <v>663</v>
      </c>
      <c r="B10256" t="s">
        <v>2493</v>
      </c>
      <c r="C10256">
        <v>1</v>
      </c>
      <c r="D10256" s="1">
        <v>44348.749965277777</v>
      </c>
      <c r="E10256" t="s">
        <v>32000</v>
      </c>
      <c r="F10256" t="s">
        <v>666</v>
      </c>
      <c r="G10256" t="s">
        <v>32001</v>
      </c>
      <c r="H10256" t="s">
        <v>667</v>
      </c>
      <c r="I10256" t="s">
        <v>29</v>
      </c>
      <c r="J10256">
        <v>1</v>
      </c>
      <c r="K10256">
        <f>1-833-220-3734</f>
        <v>-4786</v>
      </c>
      <c r="L10256" t="s">
        <v>32002</v>
      </c>
      <c r="M10256" t="s">
        <v>32003</v>
      </c>
      <c r="N10256" t="s">
        <v>3454</v>
      </c>
      <c r="O10256" t="s">
        <v>28</v>
      </c>
      <c r="P10256" t="s">
        <v>29</v>
      </c>
      <c r="Q10256">
        <v>41</v>
      </c>
      <c r="R10256">
        <v>-74.024699999999996</v>
      </c>
    </row>
    <row r="10257" spans="1:18" x14ac:dyDescent="0.2">
      <c r="A10257" t="s">
        <v>663</v>
      </c>
      <c r="B10257" t="s">
        <v>3245</v>
      </c>
      <c r="C10257">
        <v>1</v>
      </c>
      <c r="D10257" s="1">
        <v>44348.800000000003</v>
      </c>
      <c r="E10257" t="s">
        <v>32004</v>
      </c>
      <c r="F10257" t="s">
        <v>666</v>
      </c>
      <c r="G10257" t="s">
        <v>32005</v>
      </c>
      <c r="H10257" t="s">
        <v>667</v>
      </c>
      <c r="I10257" t="s">
        <v>29</v>
      </c>
      <c r="J10257">
        <v>1</v>
      </c>
      <c r="K10257">
        <f>1-833-220-3127</f>
        <v>-4179</v>
      </c>
      <c r="L10257" t="s">
        <v>32006</v>
      </c>
      <c r="M10257" t="s">
        <v>32007</v>
      </c>
      <c r="N10257" t="s">
        <v>3454</v>
      </c>
      <c r="O10257" t="s">
        <v>28</v>
      </c>
      <c r="P10257" t="s">
        <v>29</v>
      </c>
      <c r="Q10257">
        <v>41</v>
      </c>
      <c r="R10257">
        <v>-74.140299999999996</v>
      </c>
    </row>
    <row r="10258" spans="1:18" x14ac:dyDescent="0.2">
      <c r="A10258" t="s">
        <v>2233</v>
      </c>
      <c r="B10258" t="s">
        <v>1638</v>
      </c>
      <c r="C10258">
        <v>1</v>
      </c>
      <c r="D10258" s="1">
        <v>44348.80810185185</v>
      </c>
      <c r="E10258" t="s">
        <v>32008</v>
      </c>
      <c r="F10258" t="s">
        <v>6618</v>
      </c>
      <c r="G10258" t="s">
        <v>32009</v>
      </c>
      <c r="H10258" t="s">
        <v>2237</v>
      </c>
      <c r="I10258" t="s">
        <v>29</v>
      </c>
      <c r="J10258">
        <v>1</v>
      </c>
      <c r="K10258">
        <f>1-888-657-422</f>
        <v>-1966</v>
      </c>
      <c r="L10258" t="s">
        <v>32010</v>
      </c>
      <c r="M10258" t="s">
        <v>32011</v>
      </c>
      <c r="N10258" t="s">
        <v>278</v>
      </c>
      <c r="O10258" t="s">
        <v>28</v>
      </c>
      <c r="P10258" t="s">
        <v>292</v>
      </c>
      <c r="Q10258">
        <v>49</v>
      </c>
      <c r="R10258">
        <v>2.35222</v>
      </c>
    </row>
    <row r="10259" spans="1:18" x14ac:dyDescent="0.2">
      <c r="A10259" t="s">
        <v>439</v>
      </c>
      <c r="B10259" t="s">
        <v>4321</v>
      </c>
      <c r="C10259">
        <v>1</v>
      </c>
      <c r="D10259" s="1">
        <v>44349.672824074078</v>
      </c>
      <c r="E10259" t="s">
        <v>32012</v>
      </c>
      <c r="F10259" t="s">
        <v>442</v>
      </c>
      <c r="G10259" t="s">
        <v>32013</v>
      </c>
      <c r="H10259" t="s">
        <v>444</v>
      </c>
      <c r="I10259" t="s">
        <v>29</v>
      </c>
      <c r="J10259">
        <v>1</v>
      </c>
      <c r="K10259">
        <f>1-844-499-1069</f>
        <v>-2411</v>
      </c>
      <c r="L10259" t="s">
        <v>32014</v>
      </c>
      <c r="M10259" t="s">
        <v>32015</v>
      </c>
      <c r="N10259" t="s">
        <v>447</v>
      </c>
      <c r="O10259" t="s">
        <v>28</v>
      </c>
      <c r="P10259" t="s">
        <v>29</v>
      </c>
      <c r="Q10259">
        <v>42</v>
      </c>
      <c r="R10259">
        <v>-87.629800000000003</v>
      </c>
    </row>
    <row r="10260" spans="1:18" x14ac:dyDescent="0.2">
      <c r="A10260" t="s">
        <v>663</v>
      </c>
      <c r="B10260" t="s">
        <v>664</v>
      </c>
      <c r="C10260">
        <v>1</v>
      </c>
      <c r="D10260" s="1">
        <v>44349.820856481485</v>
      </c>
      <c r="E10260" t="s">
        <v>32016</v>
      </c>
      <c r="F10260" t="s">
        <v>666</v>
      </c>
      <c r="G10260" t="s">
        <v>32017</v>
      </c>
      <c r="H10260" t="s">
        <v>667</v>
      </c>
      <c r="I10260" t="s">
        <v>29</v>
      </c>
      <c r="J10260">
        <v>1</v>
      </c>
      <c r="K10260">
        <f>1-844-329-7368</f>
        <v>-8540</v>
      </c>
      <c r="L10260" t="s">
        <v>32018</v>
      </c>
      <c r="M10260" t="s">
        <v>32019</v>
      </c>
      <c r="N10260" t="s">
        <v>3454</v>
      </c>
      <c r="O10260" t="s">
        <v>28</v>
      </c>
      <c r="P10260" t="s">
        <v>29</v>
      </c>
      <c r="Q10260">
        <v>37</v>
      </c>
      <c r="R10260">
        <v>-99.999999000000003</v>
      </c>
    </row>
    <row r="10261" spans="1:18" x14ac:dyDescent="0.2">
      <c r="A10261" t="s">
        <v>439</v>
      </c>
      <c r="B10261" t="s">
        <v>4321</v>
      </c>
      <c r="C10261">
        <v>1</v>
      </c>
      <c r="D10261" s="1">
        <v>44348.900393518517</v>
      </c>
      <c r="E10261" t="s">
        <v>32020</v>
      </c>
      <c r="F10261" t="s">
        <v>442</v>
      </c>
      <c r="G10261" t="s">
        <v>32021</v>
      </c>
      <c r="H10261" t="s">
        <v>444</v>
      </c>
      <c r="I10261" t="s">
        <v>29</v>
      </c>
      <c r="J10261">
        <v>1</v>
      </c>
      <c r="K10261">
        <f>1-888-785-4602</f>
        <v>-6274</v>
      </c>
      <c r="L10261" t="s">
        <v>32022</v>
      </c>
      <c r="M10261" t="s">
        <v>32023</v>
      </c>
      <c r="N10261" t="s">
        <v>452</v>
      </c>
      <c r="O10261" t="s">
        <v>28</v>
      </c>
      <c r="P10261" t="s">
        <v>29</v>
      </c>
      <c r="Q10261">
        <v>42</v>
      </c>
      <c r="R10261">
        <v>-87.629800000000003</v>
      </c>
    </row>
    <row r="10262" spans="1:18" x14ac:dyDescent="0.2">
      <c r="A10262" t="s">
        <v>663</v>
      </c>
      <c r="B10262" t="s">
        <v>5784</v>
      </c>
      <c r="C10262">
        <v>1</v>
      </c>
      <c r="D10262" s="1">
        <v>44349.821770833332</v>
      </c>
      <c r="E10262" t="s">
        <v>32024</v>
      </c>
      <c r="F10262" t="s">
        <v>666</v>
      </c>
      <c r="G10262" t="s">
        <v>32025</v>
      </c>
      <c r="H10262" t="s">
        <v>667</v>
      </c>
      <c r="I10262" t="s">
        <v>29</v>
      </c>
      <c r="J10262">
        <v>1</v>
      </c>
      <c r="K10262">
        <f>1-844-254-8448</f>
        <v>-9545</v>
      </c>
      <c r="L10262" t="s">
        <v>32026</v>
      </c>
      <c r="M10262" t="s">
        <v>32027</v>
      </c>
      <c r="N10262" t="s">
        <v>25263</v>
      </c>
      <c r="O10262" t="s">
        <v>28</v>
      </c>
      <c r="P10262" t="s">
        <v>5789</v>
      </c>
      <c r="Q10262">
        <v>13</v>
      </c>
      <c r="R10262">
        <v>77.585499999999996</v>
      </c>
    </row>
    <row r="10263" spans="1:18" x14ac:dyDescent="0.2">
      <c r="A10263" t="s">
        <v>439</v>
      </c>
      <c r="B10263" t="s">
        <v>4321</v>
      </c>
      <c r="C10263">
        <v>1</v>
      </c>
      <c r="D10263" s="1">
        <v>44349.785162037035</v>
      </c>
      <c r="E10263" t="s">
        <v>32028</v>
      </c>
      <c r="F10263" t="s">
        <v>442</v>
      </c>
      <c r="G10263" t="s">
        <v>32029</v>
      </c>
      <c r="H10263" t="s">
        <v>444</v>
      </c>
      <c r="I10263" t="s">
        <v>29</v>
      </c>
      <c r="J10263">
        <v>1</v>
      </c>
      <c r="K10263">
        <f>1-844-730-542</f>
        <v>-2115</v>
      </c>
      <c r="L10263" t="s">
        <v>32030</v>
      </c>
      <c r="M10263" t="s">
        <v>32031</v>
      </c>
      <c r="N10263" t="s">
        <v>213</v>
      </c>
      <c r="O10263" t="s">
        <v>28</v>
      </c>
      <c r="P10263" t="s">
        <v>29</v>
      </c>
      <c r="Q10263">
        <v>42</v>
      </c>
      <c r="R10263">
        <v>-87.629800000000003</v>
      </c>
    </row>
    <row r="10264" spans="1:18" x14ac:dyDescent="0.2">
      <c r="A10264" t="s">
        <v>2233</v>
      </c>
      <c r="B10264" t="s">
        <v>1638</v>
      </c>
      <c r="C10264">
        <v>1</v>
      </c>
      <c r="D10264" s="1">
        <v>44349.80709490741</v>
      </c>
      <c r="E10264" t="s">
        <v>32032</v>
      </c>
      <c r="F10264" t="s">
        <v>7023</v>
      </c>
      <c r="G10264" t="s">
        <v>32033</v>
      </c>
      <c r="H10264" t="s">
        <v>2237</v>
      </c>
      <c r="I10264" t="s">
        <v>29</v>
      </c>
      <c r="J10264">
        <v>1</v>
      </c>
      <c r="K10264">
        <f>1-888-312-1421</f>
        <v>-2620</v>
      </c>
      <c r="L10264" t="s">
        <v>32034</v>
      </c>
      <c r="M10264" t="s">
        <v>32035</v>
      </c>
      <c r="N10264" t="s">
        <v>278</v>
      </c>
      <c r="O10264" t="s">
        <v>28</v>
      </c>
      <c r="P10264" t="s">
        <v>292</v>
      </c>
      <c r="Q10264">
        <v>49</v>
      </c>
      <c r="R10264">
        <v>2.35222</v>
      </c>
    </row>
    <row r="10265" spans="1:18" x14ac:dyDescent="0.2">
      <c r="A10265" t="s">
        <v>663</v>
      </c>
      <c r="B10265" t="s">
        <v>664</v>
      </c>
      <c r="C10265">
        <v>1</v>
      </c>
      <c r="D10265" s="1">
        <v>44349.830925925926</v>
      </c>
      <c r="E10265" t="s">
        <v>32036</v>
      </c>
      <c r="F10265" t="s">
        <v>666</v>
      </c>
      <c r="G10265" t="s">
        <v>32037</v>
      </c>
      <c r="H10265" t="s">
        <v>667</v>
      </c>
      <c r="I10265" t="s">
        <v>29</v>
      </c>
      <c r="J10265">
        <v>1</v>
      </c>
      <c r="K10265">
        <f>1-844-304-4108</f>
        <v>-5255</v>
      </c>
      <c r="L10265" t="s">
        <v>32038</v>
      </c>
      <c r="M10265" t="s">
        <v>32039</v>
      </c>
      <c r="N10265" t="s">
        <v>1645</v>
      </c>
      <c r="O10265" t="s">
        <v>28</v>
      </c>
      <c r="P10265" t="s">
        <v>29</v>
      </c>
      <c r="Q10265">
        <v>37</v>
      </c>
      <c r="R10265">
        <v>-99.999999000000003</v>
      </c>
    </row>
    <row r="10266" spans="1:18" x14ac:dyDescent="0.2">
      <c r="A10266" t="s">
        <v>2233</v>
      </c>
      <c r="B10266" t="s">
        <v>1638</v>
      </c>
      <c r="C10266">
        <v>1</v>
      </c>
      <c r="D10266" s="1">
        <v>44378.780868055554</v>
      </c>
      <c r="E10266" t="s">
        <v>32040</v>
      </c>
      <c r="F10266" t="s">
        <v>7023</v>
      </c>
      <c r="G10266" t="s">
        <v>32041</v>
      </c>
      <c r="H10266" t="s">
        <v>2237</v>
      </c>
      <c r="I10266" t="s">
        <v>29</v>
      </c>
      <c r="J10266">
        <v>1</v>
      </c>
      <c r="K10266">
        <f>1-888-348-9121</f>
        <v>-10356</v>
      </c>
      <c r="L10266" t="s">
        <v>32042</v>
      </c>
      <c r="M10266" t="s">
        <v>32043</v>
      </c>
      <c r="N10266" t="s">
        <v>278</v>
      </c>
      <c r="O10266" t="s">
        <v>28</v>
      </c>
      <c r="P10266" t="s">
        <v>292</v>
      </c>
      <c r="Q10266">
        <v>49</v>
      </c>
      <c r="R10266">
        <v>2.35222</v>
      </c>
    </row>
    <row r="10267" spans="1:18" x14ac:dyDescent="0.2">
      <c r="A10267" t="s">
        <v>2233</v>
      </c>
      <c r="B10267" t="s">
        <v>1638</v>
      </c>
      <c r="C10267">
        <v>1</v>
      </c>
      <c r="D10267" s="1">
        <v>44357.766770833332</v>
      </c>
      <c r="E10267" t="s">
        <v>32044</v>
      </c>
      <c r="F10267" t="s">
        <v>7023</v>
      </c>
      <c r="G10267" t="s">
        <v>32041</v>
      </c>
      <c r="H10267" t="s">
        <v>2237</v>
      </c>
      <c r="I10267" t="s">
        <v>29</v>
      </c>
      <c r="J10267">
        <v>1</v>
      </c>
      <c r="K10267">
        <f>1-888-251-5054</f>
        <v>-6192</v>
      </c>
      <c r="L10267" t="s">
        <v>32045</v>
      </c>
      <c r="M10267" t="s">
        <v>32046</v>
      </c>
      <c r="N10267" t="s">
        <v>278</v>
      </c>
      <c r="O10267" t="s">
        <v>28</v>
      </c>
      <c r="P10267" t="s">
        <v>292</v>
      </c>
      <c r="Q10267">
        <v>49</v>
      </c>
      <c r="R10267">
        <v>2.35222</v>
      </c>
    </row>
    <row r="10268" spans="1:18" x14ac:dyDescent="0.2">
      <c r="A10268" t="s">
        <v>2233</v>
      </c>
      <c r="B10268" t="s">
        <v>1638</v>
      </c>
      <c r="C10268">
        <v>1</v>
      </c>
      <c r="D10268" s="1">
        <v>44349.954039351855</v>
      </c>
      <c r="E10268" t="s">
        <v>32047</v>
      </c>
      <c r="F10268" t="s">
        <v>7023</v>
      </c>
      <c r="G10268" t="s">
        <v>32041</v>
      </c>
      <c r="H10268" t="s">
        <v>2237</v>
      </c>
      <c r="I10268" t="s">
        <v>29</v>
      </c>
      <c r="J10268">
        <v>1</v>
      </c>
      <c r="K10268">
        <f>1-888-490-90</f>
        <v>-1467</v>
      </c>
      <c r="L10268" t="s">
        <v>32048</v>
      </c>
      <c r="M10268" t="s">
        <v>32049</v>
      </c>
      <c r="N10268" t="s">
        <v>278</v>
      </c>
      <c r="O10268" t="s">
        <v>28</v>
      </c>
      <c r="P10268" t="s">
        <v>292</v>
      </c>
      <c r="Q10268">
        <v>49</v>
      </c>
      <c r="R10268">
        <v>2.35222</v>
      </c>
    </row>
    <row r="10269" spans="1:18" x14ac:dyDescent="0.2">
      <c r="A10269" t="s">
        <v>663</v>
      </c>
      <c r="B10269" t="s">
        <v>5784</v>
      </c>
      <c r="C10269">
        <v>1</v>
      </c>
      <c r="D10269" s="1">
        <v>44349.955983796295</v>
      </c>
      <c r="E10269" t="s">
        <v>32050</v>
      </c>
      <c r="F10269" t="s">
        <v>666</v>
      </c>
      <c r="G10269" t="s">
        <v>32051</v>
      </c>
      <c r="H10269" t="s">
        <v>667</v>
      </c>
      <c r="I10269" t="s">
        <v>29</v>
      </c>
      <c r="J10269">
        <v>1</v>
      </c>
      <c r="K10269">
        <f>1-844-468-8661</f>
        <v>-9972</v>
      </c>
      <c r="L10269" t="s">
        <v>32052</v>
      </c>
      <c r="M10269" t="s">
        <v>32053</v>
      </c>
      <c r="N10269" t="s">
        <v>25263</v>
      </c>
      <c r="O10269" t="s">
        <v>28</v>
      </c>
      <c r="P10269" t="s">
        <v>5789</v>
      </c>
      <c r="Q10269">
        <v>13</v>
      </c>
      <c r="R10269">
        <v>77.585499999999996</v>
      </c>
    </row>
    <row r="10270" spans="1:18" x14ac:dyDescent="0.2">
      <c r="A10270" t="s">
        <v>2233</v>
      </c>
      <c r="B10270" t="s">
        <v>1638</v>
      </c>
      <c r="C10270">
        <v>1</v>
      </c>
      <c r="D10270" s="1">
        <v>44349.963530092595</v>
      </c>
      <c r="E10270" t="s">
        <v>32047</v>
      </c>
      <c r="F10270" t="s">
        <v>7023</v>
      </c>
      <c r="G10270" t="s">
        <v>32054</v>
      </c>
      <c r="H10270" t="s">
        <v>2237</v>
      </c>
      <c r="I10270" t="s">
        <v>29</v>
      </c>
      <c r="J10270">
        <v>1</v>
      </c>
      <c r="K10270">
        <f>1-888-615-1975</f>
        <v>-3477</v>
      </c>
      <c r="L10270" t="s">
        <v>32055</v>
      </c>
      <c r="M10270" t="s">
        <v>32056</v>
      </c>
      <c r="N10270" t="s">
        <v>278</v>
      </c>
      <c r="O10270" t="s">
        <v>28</v>
      </c>
      <c r="P10270" t="s">
        <v>292</v>
      </c>
      <c r="Q10270">
        <v>49</v>
      </c>
      <c r="R10270">
        <v>2.35222</v>
      </c>
    </row>
    <row r="10271" spans="1:18" x14ac:dyDescent="0.2">
      <c r="A10271" t="s">
        <v>675</v>
      </c>
      <c r="B10271" t="s">
        <v>1212</v>
      </c>
      <c r="C10271">
        <v>1</v>
      </c>
      <c r="D10271" s="1">
        <v>44350.017893518518</v>
      </c>
      <c r="E10271" t="s">
        <v>32057</v>
      </c>
      <c r="F10271" t="s">
        <v>1396</v>
      </c>
      <c r="G10271" t="s">
        <v>32058</v>
      </c>
      <c r="H10271" t="s">
        <v>680</v>
      </c>
      <c r="I10271" t="s">
        <v>29</v>
      </c>
      <c r="J10271">
        <v>1</v>
      </c>
      <c r="K10271">
        <f>1-800-351-8426</f>
        <v>-9576</v>
      </c>
      <c r="L10271" t="s">
        <v>32059</v>
      </c>
      <c r="M10271" t="s">
        <v>32060</v>
      </c>
      <c r="N10271" t="s">
        <v>4620</v>
      </c>
      <c r="O10271" t="s">
        <v>28</v>
      </c>
      <c r="P10271" t="s">
        <v>618</v>
      </c>
      <c r="Q10271">
        <v>52</v>
      </c>
      <c r="R10271">
        <v>-0.12775800000000001</v>
      </c>
    </row>
    <row r="10272" spans="1:18" x14ac:dyDescent="0.2">
      <c r="A10272" t="s">
        <v>663</v>
      </c>
      <c r="B10272" t="s">
        <v>5784</v>
      </c>
      <c r="C10272">
        <v>1</v>
      </c>
      <c r="D10272" s="1">
        <v>44350.673541666663</v>
      </c>
      <c r="E10272" t="s">
        <v>32061</v>
      </c>
      <c r="F10272" t="s">
        <v>666</v>
      </c>
      <c r="G10272" t="s">
        <v>32062</v>
      </c>
      <c r="H10272" t="s">
        <v>667</v>
      </c>
      <c r="I10272" t="s">
        <v>29</v>
      </c>
      <c r="J10272">
        <v>1</v>
      </c>
      <c r="K10272">
        <f>1-833-220-3837</f>
        <v>-4889</v>
      </c>
      <c r="L10272" t="s">
        <v>32063</v>
      </c>
      <c r="M10272" t="s">
        <v>32064</v>
      </c>
      <c r="N10272" t="s">
        <v>25263</v>
      </c>
      <c r="O10272" t="s">
        <v>28</v>
      </c>
      <c r="P10272" t="s">
        <v>5789</v>
      </c>
      <c r="Q10272">
        <v>13</v>
      </c>
      <c r="R10272">
        <v>77.585499999999996</v>
      </c>
    </row>
    <row r="10273" spans="1:18" x14ac:dyDescent="0.2">
      <c r="A10273" t="s">
        <v>439</v>
      </c>
      <c r="B10273" t="s">
        <v>4321</v>
      </c>
      <c r="C10273">
        <v>1</v>
      </c>
      <c r="D10273" s="1">
        <v>44350.674930555557</v>
      </c>
      <c r="E10273" t="s">
        <v>32065</v>
      </c>
      <c r="F10273" t="s">
        <v>442</v>
      </c>
      <c r="G10273" t="s">
        <v>32066</v>
      </c>
      <c r="H10273" t="s">
        <v>444</v>
      </c>
      <c r="I10273" t="s">
        <v>29</v>
      </c>
      <c r="J10273">
        <v>1</v>
      </c>
      <c r="K10273">
        <f>1-844-612-508</f>
        <v>-1963</v>
      </c>
      <c r="L10273" t="s">
        <v>32067</v>
      </c>
      <c r="M10273" t="s">
        <v>32068</v>
      </c>
      <c r="N10273" t="s">
        <v>36</v>
      </c>
      <c r="O10273" t="s">
        <v>28</v>
      </c>
      <c r="P10273" t="s">
        <v>29</v>
      </c>
      <c r="Q10273">
        <v>42</v>
      </c>
      <c r="R10273">
        <v>-87.629800000000003</v>
      </c>
    </row>
    <row r="10274" spans="1:18" x14ac:dyDescent="0.2">
      <c r="A10274" t="s">
        <v>439</v>
      </c>
      <c r="B10274" t="s">
        <v>4321</v>
      </c>
      <c r="C10274">
        <v>1</v>
      </c>
      <c r="D10274" s="1">
        <v>44350.681539351855</v>
      </c>
      <c r="E10274" t="s">
        <v>32069</v>
      </c>
      <c r="F10274" t="s">
        <v>442</v>
      </c>
      <c r="G10274" t="s">
        <v>32070</v>
      </c>
      <c r="H10274" t="s">
        <v>444</v>
      </c>
      <c r="I10274" t="s">
        <v>29</v>
      </c>
      <c r="J10274">
        <v>1</v>
      </c>
      <c r="K10274">
        <f>1-855-710-498</f>
        <v>-2062</v>
      </c>
      <c r="L10274" t="s">
        <v>32071</v>
      </c>
      <c r="M10274" t="s">
        <v>32072</v>
      </c>
      <c r="N10274" t="s">
        <v>32073</v>
      </c>
      <c r="O10274" t="s">
        <v>28</v>
      </c>
      <c r="P10274" t="s">
        <v>29</v>
      </c>
      <c r="Q10274">
        <v>42</v>
      </c>
      <c r="R10274">
        <v>-87.629800000000003</v>
      </c>
    </row>
    <row r="10275" spans="1:18" x14ac:dyDescent="0.2">
      <c r="A10275" t="s">
        <v>663</v>
      </c>
      <c r="B10275" t="s">
        <v>2493</v>
      </c>
      <c r="C10275">
        <v>1</v>
      </c>
      <c r="D10275" s="1">
        <v>44350.787835648145</v>
      </c>
      <c r="E10275" t="s">
        <v>32074</v>
      </c>
      <c r="F10275" t="s">
        <v>666</v>
      </c>
      <c r="G10275" t="s">
        <v>32075</v>
      </c>
      <c r="H10275" t="s">
        <v>667</v>
      </c>
      <c r="I10275" t="s">
        <v>29</v>
      </c>
      <c r="J10275">
        <v>1</v>
      </c>
      <c r="K10275">
        <f>1-844-854-8332</f>
        <v>-10029</v>
      </c>
      <c r="L10275" t="s">
        <v>32076</v>
      </c>
      <c r="M10275" t="s">
        <v>32077</v>
      </c>
      <c r="N10275" t="s">
        <v>447</v>
      </c>
      <c r="O10275" t="s">
        <v>28</v>
      </c>
      <c r="P10275" t="s">
        <v>29</v>
      </c>
      <c r="Q10275">
        <v>41</v>
      </c>
      <c r="R10275">
        <v>-74.024699999999996</v>
      </c>
    </row>
    <row r="10276" spans="1:18" x14ac:dyDescent="0.2">
      <c r="A10276" t="s">
        <v>2233</v>
      </c>
      <c r="B10276" t="s">
        <v>1638</v>
      </c>
      <c r="C10276">
        <v>1</v>
      </c>
      <c r="D10276" s="1">
        <v>44350.800451388888</v>
      </c>
      <c r="E10276" t="s">
        <v>32078</v>
      </c>
      <c r="F10276" t="s">
        <v>7023</v>
      </c>
      <c r="G10276" t="s">
        <v>32079</v>
      </c>
      <c r="H10276" t="s">
        <v>2237</v>
      </c>
      <c r="I10276" t="s">
        <v>29</v>
      </c>
      <c r="J10276">
        <v>1</v>
      </c>
      <c r="K10276">
        <f>1-888-538-9347</f>
        <v>-10772</v>
      </c>
      <c r="L10276" t="s">
        <v>32080</v>
      </c>
      <c r="M10276" t="s">
        <v>32081</v>
      </c>
      <c r="N10276" t="s">
        <v>278</v>
      </c>
      <c r="O10276" t="s">
        <v>28</v>
      </c>
      <c r="P10276" t="s">
        <v>292</v>
      </c>
      <c r="Q10276">
        <v>49</v>
      </c>
      <c r="R10276">
        <v>2.35222</v>
      </c>
    </row>
    <row r="10277" spans="1:18" x14ac:dyDescent="0.2">
      <c r="A10277" t="s">
        <v>2233</v>
      </c>
      <c r="B10277" t="s">
        <v>1638</v>
      </c>
      <c r="C10277">
        <v>1</v>
      </c>
      <c r="D10277" s="1">
        <v>44350.825624999998</v>
      </c>
      <c r="E10277" t="s">
        <v>32082</v>
      </c>
      <c r="F10277" t="s">
        <v>7023</v>
      </c>
      <c r="G10277" t="s">
        <v>32083</v>
      </c>
      <c r="H10277" t="s">
        <v>2237</v>
      </c>
      <c r="I10277" t="s">
        <v>29</v>
      </c>
      <c r="J10277">
        <v>1</v>
      </c>
      <c r="K10277">
        <f>1-888-372-1342</f>
        <v>-2601</v>
      </c>
      <c r="L10277" t="s">
        <v>32084</v>
      </c>
      <c r="M10277" t="s">
        <v>32085</v>
      </c>
      <c r="N10277" t="s">
        <v>278</v>
      </c>
      <c r="O10277" t="s">
        <v>28</v>
      </c>
      <c r="P10277" t="s">
        <v>292</v>
      </c>
      <c r="Q10277">
        <v>49</v>
      </c>
      <c r="R10277">
        <v>2.35222</v>
      </c>
    </row>
    <row r="10278" spans="1:18" x14ac:dyDescent="0.2">
      <c r="A10278" t="s">
        <v>2233</v>
      </c>
      <c r="B10278" t="s">
        <v>1638</v>
      </c>
      <c r="C10278">
        <v>1</v>
      </c>
      <c r="D10278" s="1">
        <v>44350.827337962961</v>
      </c>
      <c r="E10278" t="s">
        <v>32082</v>
      </c>
      <c r="F10278" t="s">
        <v>7023</v>
      </c>
      <c r="G10278" t="s">
        <v>32086</v>
      </c>
      <c r="H10278" t="s">
        <v>2237</v>
      </c>
      <c r="I10278" t="s">
        <v>29</v>
      </c>
      <c r="J10278">
        <v>1</v>
      </c>
      <c r="K10278">
        <f>1-888-229-8406</f>
        <v>-9522</v>
      </c>
      <c r="L10278" t="s">
        <v>32087</v>
      </c>
      <c r="M10278" t="s">
        <v>32088</v>
      </c>
      <c r="N10278" t="s">
        <v>278</v>
      </c>
      <c r="O10278" t="s">
        <v>28</v>
      </c>
      <c r="P10278" t="s">
        <v>292</v>
      </c>
      <c r="Q10278">
        <v>49</v>
      </c>
      <c r="R10278">
        <v>2.35222</v>
      </c>
    </row>
    <row r="10279" spans="1:18" x14ac:dyDescent="0.2">
      <c r="A10279" t="s">
        <v>2233</v>
      </c>
      <c r="B10279" t="s">
        <v>1638</v>
      </c>
      <c r="C10279">
        <v>1</v>
      </c>
      <c r="D10279" s="1">
        <v>44350.826898148145</v>
      </c>
      <c r="E10279" t="s">
        <v>32082</v>
      </c>
      <c r="F10279" t="s">
        <v>7023</v>
      </c>
      <c r="G10279" t="s">
        <v>32086</v>
      </c>
      <c r="H10279" t="s">
        <v>2237</v>
      </c>
      <c r="I10279" t="s">
        <v>29</v>
      </c>
      <c r="J10279">
        <v>1</v>
      </c>
      <c r="K10279">
        <f>1-888-541-3209</f>
        <v>-4637</v>
      </c>
      <c r="L10279" t="s">
        <v>32089</v>
      </c>
      <c r="M10279" t="s">
        <v>32090</v>
      </c>
      <c r="N10279" t="s">
        <v>278</v>
      </c>
      <c r="O10279" t="s">
        <v>28</v>
      </c>
      <c r="P10279" t="s">
        <v>292</v>
      </c>
      <c r="Q10279">
        <v>49</v>
      </c>
      <c r="R10279">
        <v>2.35222</v>
      </c>
    </row>
    <row r="10280" spans="1:18" x14ac:dyDescent="0.2">
      <c r="A10280" t="s">
        <v>663</v>
      </c>
      <c r="B10280" t="s">
        <v>5784</v>
      </c>
      <c r="C10280">
        <v>1</v>
      </c>
      <c r="D10280" s="1">
        <v>44350.83390046296</v>
      </c>
      <c r="E10280" t="s">
        <v>32091</v>
      </c>
      <c r="F10280" t="s">
        <v>666</v>
      </c>
      <c r="G10280" t="s">
        <v>32092</v>
      </c>
      <c r="H10280" t="s">
        <v>667</v>
      </c>
      <c r="I10280" t="s">
        <v>29</v>
      </c>
      <c r="J10280">
        <v>1</v>
      </c>
      <c r="K10280">
        <f>1-844-385-4306</f>
        <v>-5534</v>
      </c>
      <c r="L10280" t="s">
        <v>32093</v>
      </c>
      <c r="M10280" t="s">
        <v>32094</v>
      </c>
      <c r="N10280" t="s">
        <v>25263</v>
      </c>
      <c r="O10280" t="s">
        <v>28</v>
      </c>
      <c r="P10280" t="s">
        <v>5789</v>
      </c>
      <c r="Q10280">
        <v>13</v>
      </c>
      <c r="R10280">
        <v>77.585499999999996</v>
      </c>
    </row>
    <row r="10281" spans="1:18" x14ac:dyDescent="0.2">
      <c r="A10281" t="s">
        <v>439</v>
      </c>
      <c r="B10281" t="s">
        <v>4321</v>
      </c>
      <c r="C10281">
        <v>1</v>
      </c>
      <c r="D10281" s="1">
        <v>44350.857939814814</v>
      </c>
      <c r="E10281" t="s">
        <v>32095</v>
      </c>
      <c r="F10281" t="s">
        <v>442</v>
      </c>
      <c r="G10281" t="s">
        <v>32096</v>
      </c>
      <c r="H10281" t="s">
        <v>444</v>
      </c>
      <c r="I10281" t="s">
        <v>29</v>
      </c>
      <c r="J10281">
        <v>1</v>
      </c>
      <c r="K10281">
        <f>1-844-517-1219</f>
        <v>-2579</v>
      </c>
      <c r="L10281" t="s">
        <v>32097</v>
      </c>
      <c r="M10281" t="s">
        <v>32098</v>
      </c>
      <c r="N10281" t="s">
        <v>36</v>
      </c>
      <c r="O10281" t="s">
        <v>28</v>
      </c>
      <c r="P10281" t="s">
        <v>29</v>
      </c>
      <c r="Q10281">
        <v>42</v>
      </c>
      <c r="R10281">
        <v>-87.629800000000003</v>
      </c>
    </row>
    <row r="10282" spans="1:18" x14ac:dyDescent="0.2">
      <c r="A10282" t="s">
        <v>675</v>
      </c>
      <c r="B10282" t="s">
        <v>6390</v>
      </c>
      <c r="C10282">
        <v>81</v>
      </c>
      <c r="D10282" s="1">
        <v>44350.859965277778</v>
      </c>
      <c r="E10282" t="s">
        <v>32099</v>
      </c>
      <c r="F10282" t="s">
        <v>678</v>
      </c>
      <c r="G10282" t="s">
        <v>32100</v>
      </c>
      <c r="H10282" t="s">
        <v>680</v>
      </c>
      <c r="I10282" t="s">
        <v>53</v>
      </c>
      <c r="J10282">
        <v>81</v>
      </c>
      <c r="K10282">
        <f>81-50-5539-4611</f>
        <v>-10119</v>
      </c>
      <c r="L10282" t="s">
        <v>32101</v>
      </c>
      <c r="M10282" t="s">
        <v>32102</v>
      </c>
      <c r="N10282" t="s">
        <v>2475</v>
      </c>
      <c r="O10282" t="s">
        <v>28</v>
      </c>
      <c r="P10282" t="s">
        <v>29</v>
      </c>
      <c r="Q10282">
        <v>37</v>
      </c>
      <c r="R10282">
        <v>-99.999999000000003</v>
      </c>
    </row>
    <row r="10283" spans="1:18" x14ac:dyDescent="0.2">
      <c r="A10283" t="s">
        <v>439</v>
      </c>
      <c r="B10283" t="s">
        <v>4321</v>
      </c>
      <c r="C10283">
        <v>1</v>
      </c>
      <c r="D10283" s="1">
        <v>44350.863229166665</v>
      </c>
      <c r="E10283" t="s">
        <v>32103</v>
      </c>
      <c r="F10283" t="s">
        <v>442</v>
      </c>
      <c r="G10283" t="s">
        <v>32104</v>
      </c>
      <c r="H10283" t="s">
        <v>444</v>
      </c>
      <c r="I10283" t="s">
        <v>29</v>
      </c>
      <c r="J10283">
        <v>1</v>
      </c>
      <c r="K10283">
        <f>1-855-751-2384</f>
        <v>-3989</v>
      </c>
      <c r="L10283" t="s">
        <v>32105</v>
      </c>
      <c r="M10283" t="s">
        <v>32106</v>
      </c>
      <c r="N10283" t="s">
        <v>36</v>
      </c>
      <c r="O10283" t="s">
        <v>28</v>
      </c>
      <c r="P10283" t="s">
        <v>29</v>
      </c>
      <c r="Q10283">
        <v>42</v>
      </c>
      <c r="R10283">
        <v>-87.629800000000003</v>
      </c>
    </row>
    <row r="10284" spans="1:18" x14ac:dyDescent="0.2">
      <c r="A10284" t="s">
        <v>2233</v>
      </c>
      <c r="B10284" t="s">
        <v>2500</v>
      </c>
      <c r="C10284">
        <v>1</v>
      </c>
      <c r="D10284" s="1">
        <v>44350.866030092591</v>
      </c>
      <c r="E10284" t="s">
        <v>32107</v>
      </c>
      <c r="F10284" t="s">
        <v>2236</v>
      </c>
      <c r="G10284" t="s">
        <v>32108</v>
      </c>
      <c r="H10284" t="s">
        <v>2237</v>
      </c>
      <c r="I10284" t="s">
        <v>29</v>
      </c>
      <c r="J10284">
        <v>1</v>
      </c>
      <c r="K10284">
        <f>1-877-221-27</f>
        <v>-1124</v>
      </c>
      <c r="L10284" t="s">
        <v>32109</v>
      </c>
      <c r="M10284" t="s">
        <v>32110</v>
      </c>
      <c r="N10284" t="s">
        <v>5354</v>
      </c>
      <c r="O10284" t="s">
        <v>28</v>
      </c>
      <c r="P10284" t="s">
        <v>2500</v>
      </c>
      <c r="Q10284">
        <v>1</v>
      </c>
      <c r="R10284">
        <v>99.999999000000003</v>
      </c>
    </row>
    <row r="10285" spans="1:18" x14ac:dyDescent="0.2">
      <c r="A10285" t="s">
        <v>663</v>
      </c>
      <c r="B10285" t="s">
        <v>2493</v>
      </c>
      <c r="C10285">
        <v>1</v>
      </c>
      <c r="D10285" s="1">
        <v>44350.879270833335</v>
      </c>
      <c r="E10285" t="s">
        <v>32111</v>
      </c>
      <c r="F10285" t="s">
        <v>666</v>
      </c>
      <c r="G10285" t="s">
        <v>32112</v>
      </c>
      <c r="H10285" t="s">
        <v>667</v>
      </c>
      <c r="I10285" t="s">
        <v>29</v>
      </c>
      <c r="J10285">
        <v>1</v>
      </c>
      <c r="K10285">
        <f>1-844-335-8752</f>
        <v>-9930</v>
      </c>
      <c r="L10285" t="s">
        <v>32113</v>
      </c>
      <c r="M10285" t="s">
        <v>32114</v>
      </c>
      <c r="N10285" t="s">
        <v>3441</v>
      </c>
      <c r="O10285" t="s">
        <v>28</v>
      </c>
      <c r="P10285" t="s">
        <v>29</v>
      </c>
      <c r="Q10285">
        <v>41</v>
      </c>
      <c r="R10285">
        <v>-74.024699999999996</v>
      </c>
    </row>
    <row r="10286" spans="1:18" x14ac:dyDescent="0.2">
      <c r="A10286" t="s">
        <v>663</v>
      </c>
      <c r="B10286" t="s">
        <v>5784</v>
      </c>
      <c r="C10286">
        <v>1</v>
      </c>
      <c r="D10286" s="1">
        <v>44350.879837962966</v>
      </c>
      <c r="E10286" t="s">
        <v>32115</v>
      </c>
      <c r="F10286" t="s">
        <v>666</v>
      </c>
      <c r="G10286" t="s">
        <v>32116</v>
      </c>
      <c r="H10286" t="s">
        <v>667</v>
      </c>
      <c r="I10286" t="s">
        <v>29</v>
      </c>
      <c r="J10286">
        <v>1</v>
      </c>
      <c r="K10286">
        <f>1-833-220-3128</f>
        <v>-4180</v>
      </c>
      <c r="L10286" t="s">
        <v>32117</v>
      </c>
      <c r="M10286" t="s">
        <v>32118</v>
      </c>
      <c r="N10286" t="s">
        <v>25263</v>
      </c>
      <c r="O10286" t="s">
        <v>28</v>
      </c>
      <c r="P10286" t="s">
        <v>5789</v>
      </c>
      <c r="Q10286">
        <v>13</v>
      </c>
      <c r="R10286">
        <v>77.585499999999996</v>
      </c>
    </row>
    <row r="10287" spans="1:18" x14ac:dyDescent="0.2">
      <c r="A10287" t="s">
        <v>2233</v>
      </c>
      <c r="B10287" t="s">
        <v>2263</v>
      </c>
      <c r="C10287">
        <v>1</v>
      </c>
      <c r="D10287" s="1">
        <v>44351.884814814817</v>
      </c>
      <c r="E10287" t="s">
        <v>32119</v>
      </c>
      <c r="F10287" t="s">
        <v>2236</v>
      </c>
      <c r="G10287" t="s">
        <v>32120</v>
      </c>
      <c r="H10287" t="s">
        <v>2237</v>
      </c>
      <c r="I10287" t="s">
        <v>29</v>
      </c>
      <c r="J10287">
        <v>1</v>
      </c>
      <c r="K10287">
        <f>1-844-303-593</f>
        <v>-1739</v>
      </c>
      <c r="L10287" t="s">
        <v>32121</v>
      </c>
      <c r="M10287" t="s">
        <v>32122</v>
      </c>
      <c r="N10287" t="s">
        <v>5354</v>
      </c>
      <c r="O10287" t="s">
        <v>28</v>
      </c>
      <c r="P10287" t="s">
        <v>2268</v>
      </c>
      <c r="Q10287">
        <v>44</v>
      </c>
      <c r="R10287">
        <v>-79.383200000000002</v>
      </c>
    </row>
    <row r="10288" spans="1:18" x14ac:dyDescent="0.2">
      <c r="A10288" t="s">
        <v>2233</v>
      </c>
      <c r="B10288" t="s">
        <v>2263</v>
      </c>
      <c r="C10288">
        <v>1</v>
      </c>
      <c r="D10288" s="1">
        <v>44350.904629629629</v>
      </c>
      <c r="E10288" t="s">
        <v>32123</v>
      </c>
      <c r="F10288" t="s">
        <v>2236</v>
      </c>
      <c r="G10288" t="s">
        <v>32120</v>
      </c>
      <c r="H10288" t="s">
        <v>2237</v>
      </c>
      <c r="I10288" t="s">
        <v>29</v>
      </c>
      <c r="J10288">
        <v>1</v>
      </c>
      <c r="K10288">
        <f>1-833-220-3007</f>
        <v>-4059</v>
      </c>
      <c r="L10288" t="s">
        <v>32124</v>
      </c>
      <c r="M10288" t="s">
        <v>32125</v>
      </c>
      <c r="N10288" t="s">
        <v>5354</v>
      </c>
      <c r="O10288" t="s">
        <v>28</v>
      </c>
      <c r="P10288" t="s">
        <v>2268</v>
      </c>
      <c r="Q10288">
        <v>44</v>
      </c>
      <c r="R10288">
        <v>-79.383200000000002</v>
      </c>
    </row>
    <row r="10289" spans="1:18" x14ac:dyDescent="0.2">
      <c r="A10289" t="s">
        <v>663</v>
      </c>
      <c r="B10289" t="s">
        <v>5784</v>
      </c>
      <c r="C10289">
        <v>1</v>
      </c>
      <c r="D10289" s="1">
        <v>44350.914155092592</v>
      </c>
      <c r="E10289" t="s">
        <v>32126</v>
      </c>
      <c r="F10289" t="s">
        <v>666</v>
      </c>
      <c r="G10289" t="s">
        <v>32127</v>
      </c>
      <c r="H10289" t="s">
        <v>667</v>
      </c>
      <c r="I10289" t="s">
        <v>29</v>
      </c>
      <c r="J10289">
        <v>1</v>
      </c>
      <c r="K10289">
        <f>1-844-308-1405</f>
        <v>-2556</v>
      </c>
      <c r="L10289" t="s">
        <v>32128</v>
      </c>
      <c r="M10289" t="s">
        <v>32129</v>
      </c>
      <c r="N10289" t="s">
        <v>25263</v>
      </c>
      <c r="O10289" t="s">
        <v>28</v>
      </c>
      <c r="P10289" t="s">
        <v>5789</v>
      </c>
      <c r="Q10289">
        <v>13</v>
      </c>
      <c r="R10289">
        <v>77.585499999999996</v>
      </c>
    </row>
    <row r="10290" spans="1:18" x14ac:dyDescent="0.2">
      <c r="A10290" t="s">
        <v>663</v>
      </c>
      <c r="B10290" t="s">
        <v>5784</v>
      </c>
      <c r="C10290">
        <v>1</v>
      </c>
      <c r="D10290" s="1">
        <v>44350.948680555557</v>
      </c>
      <c r="E10290" t="s">
        <v>32130</v>
      </c>
      <c r="F10290" t="s">
        <v>666</v>
      </c>
      <c r="G10290" t="s">
        <v>32131</v>
      </c>
      <c r="H10290" t="s">
        <v>667</v>
      </c>
      <c r="I10290" t="s">
        <v>29</v>
      </c>
      <c r="J10290">
        <v>1</v>
      </c>
      <c r="K10290">
        <f>1-844-309-6252</f>
        <v>-7404</v>
      </c>
      <c r="L10290" t="s">
        <v>32132</v>
      </c>
      <c r="M10290" t="s">
        <v>32133</v>
      </c>
      <c r="N10290" t="s">
        <v>25263</v>
      </c>
      <c r="O10290" t="s">
        <v>28</v>
      </c>
      <c r="P10290" t="s">
        <v>5789</v>
      </c>
      <c r="Q10290">
        <v>13</v>
      </c>
      <c r="R10290">
        <v>77.585499999999996</v>
      </c>
    </row>
    <row r="10291" spans="1:18" x14ac:dyDescent="0.2">
      <c r="A10291" t="s">
        <v>439</v>
      </c>
      <c r="B10291" t="s">
        <v>4321</v>
      </c>
      <c r="C10291">
        <v>1</v>
      </c>
      <c r="D10291" s="1">
        <v>44351.683194444442</v>
      </c>
      <c r="E10291" t="s">
        <v>32134</v>
      </c>
      <c r="F10291" t="s">
        <v>442</v>
      </c>
      <c r="G10291" t="s">
        <v>32135</v>
      </c>
      <c r="H10291" t="s">
        <v>444</v>
      </c>
      <c r="I10291" t="s">
        <v>29</v>
      </c>
      <c r="J10291">
        <v>1</v>
      </c>
      <c r="K10291">
        <f>1-844-973-2973</f>
        <v>-4789</v>
      </c>
      <c r="L10291" t="s">
        <v>32136</v>
      </c>
      <c r="M10291" t="s">
        <v>32137</v>
      </c>
      <c r="N10291" t="s">
        <v>32073</v>
      </c>
      <c r="O10291" t="s">
        <v>28</v>
      </c>
      <c r="P10291" t="s">
        <v>29</v>
      </c>
      <c r="Q10291">
        <v>42</v>
      </c>
      <c r="R10291">
        <v>-87.629800000000003</v>
      </c>
    </row>
    <row r="10292" spans="1:18" x14ac:dyDescent="0.2">
      <c r="A10292" t="s">
        <v>663</v>
      </c>
      <c r="B10292" t="s">
        <v>2493</v>
      </c>
      <c r="C10292">
        <v>1</v>
      </c>
      <c r="D10292" s="1">
        <v>44351.690289351849</v>
      </c>
      <c r="E10292" t="s">
        <v>32138</v>
      </c>
      <c r="F10292" t="s">
        <v>666</v>
      </c>
      <c r="G10292" t="s">
        <v>32138</v>
      </c>
      <c r="H10292" t="s">
        <v>667</v>
      </c>
      <c r="I10292" t="s">
        <v>29</v>
      </c>
      <c r="J10292">
        <v>1</v>
      </c>
      <c r="K10292">
        <f>1-888-592-9773</f>
        <v>-11252</v>
      </c>
      <c r="L10292" t="s">
        <v>32139</v>
      </c>
      <c r="M10292" t="s">
        <v>32140</v>
      </c>
      <c r="N10292">
        <v>176</v>
      </c>
      <c r="O10292" t="s">
        <v>134</v>
      </c>
      <c r="P10292" t="s">
        <v>29</v>
      </c>
      <c r="Q10292">
        <v>41</v>
      </c>
      <c r="R10292">
        <v>-74.024699999999996</v>
      </c>
    </row>
    <row r="10293" spans="1:18" x14ac:dyDescent="0.2">
      <c r="A10293" t="s">
        <v>2233</v>
      </c>
      <c r="B10293" t="s">
        <v>1638</v>
      </c>
      <c r="C10293">
        <v>1</v>
      </c>
      <c r="D10293" s="1">
        <v>44351.755150462966</v>
      </c>
      <c r="E10293" t="s">
        <v>32141</v>
      </c>
      <c r="F10293" t="s">
        <v>2236</v>
      </c>
      <c r="G10293" t="s">
        <v>32142</v>
      </c>
      <c r="H10293" t="s">
        <v>2237</v>
      </c>
      <c r="I10293" t="s">
        <v>29</v>
      </c>
      <c r="J10293">
        <v>1</v>
      </c>
      <c r="K10293">
        <f>1-888-334-1293</f>
        <v>-2514</v>
      </c>
      <c r="L10293" t="s">
        <v>32143</v>
      </c>
      <c r="M10293" t="s">
        <v>32144</v>
      </c>
      <c r="N10293" t="s">
        <v>278</v>
      </c>
      <c r="O10293" t="s">
        <v>28</v>
      </c>
      <c r="P10293" t="s">
        <v>292</v>
      </c>
      <c r="Q10293">
        <v>49</v>
      </c>
      <c r="R10293">
        <v>2.35222</v>
      </c>
    </row>
    <row r="10294" spans="1:18" x14ac:dyDescent="0.2">
      <c r="A10294" t="s">
        <v>2233</v>
      </c>
      <c r="B10294" t="s">
        <v>1638</v>
      </c>
      <c r="C10294">
        <v>1</v>
      </c>
      <c r="D10294" s="1">
        <v>44351.769791666666</v>
      </c>
      <c r="E10294" t="s">
        <v>32141</v>
      </c>
      <c r="F10294" t="s">
        <v>2236</v>
      </c>
      <c r="G10294" t="s">
        <v>32145</v>
      </c>
      <c r="H10294" t="s">
        <v>2237</v>
      </c>
      <c r="I10294" t="s">
        <v>29</v>
      </c>
      <c r="J10294">
        <v>1</v>
      </c>
      <c r="K10294">
        <f>1-888-225-8148</f>
        <v>-9260</v>
      </c>
      <c r="L10294" t="s">
        <v>32146</v>
      </c>
      <c r="M10294" t="s">
        <v>32147</v>
      </c>
      <c r="N10294" t="s">
        <v>278</v>
      </c>
      <c r="O10294" t="s">
        <v>28</v>
      </c>
      <c r="P10294" t="s">
        <v>292</v>
      </c>
      <c r="Q10294">
        <v>49</v>
      </c>
      <c r="R10294">
        <v>2.35222</v>
      </c>
    </row>
    <row r="10295" spans="1:18" x14ac:dyDescent="0.2">
      <c r="A10295" t="s">
        <v>2233</v>
      </c>
      <c r="B10295" t="s">
        <v>1638</v>
      </c>
      <c r="C10295">
        <v>1</v>
      </c>
      <c r="D10295" s="1">
        <v>44351.77003472222</v>
      </c>
      <c r="E10295" t="s">
        <v>32141</v>
      </c>
      <c r="F10295" t="s">
        <v>2236</v>
      </c>
      <c r="G10295" t="s">
        <v>32148</v>
      </c>
      <c r="H10295" t="s">
        <v>2237</v>
      </c>
      <c r="I10295" t="s">
        <v>29</v>
      </c>
      <c r="J10295">
        <v>1</v>
      </c>
      <c r="K10295">
        <f>1-888-268-9204</f>
        <v>-10359</v>
      </c>
      <c r="L10295" t="s">
        <v>32149</v>
      </c>
      <c r="M10295" t="s">
        <v>32150</v>
      </c>
      <c r="N10295" t="s">
        <v>278</v>
      </c>
      <c r="O10295" t="s">
        <v>28</v>
      </c>
      <c r="P10295" t="s">
        <v>292</v>
      </c>
      <c r="Q10295">
        <v>49</v>
      </c>
      <c r="R10295">
        <v>2.35222</v>
      </c>
    </row>
    <row r="10296" spans="1:18" x14ac:dyDescent="0.2">
      <c r="A10296" t="s">
        <v>663</v>
      </c>
      <c r="B10296" t="s">
        <v>5784</v>
      </c>
      <c r="C10296">
        <v>1</v>
      </c>
      <c r="D10296" s="1">
        <v>44351.794259259259</v>
      </c>
      <c r="E10296" t="s">
        <v>32151</v>
      </c>
      <c r="F10296" t="s">
        <v>666</v>
      </c>
      <c r="G10296" t="s">
        <v>32152</v>
      </c>
      <c r="H10296" t="s">
        <v>667</v>
      </c>
      <c r="I10296" t="s">
        <v>29</v>
      </c>
      <c r="J10296">
        <v>1</v>
      </c>
      <c r="K10296">
        <f>1-844-243-1955</f>
        <v>-3041</v>
      </c>
      <c r="L10296" t="s">
        <v>32153</v>
      </c>
      <c r="M10296" t="s">
        <v>32154</v>
      </c>
      <c r="N10296" t="s">
        <v>25263</v>
      </c>
      <c r="O10296" t="s">
        <v>28</v>
      </c>
      <c r="P10296" t="s">
        <v>5789</v>
      </c>
      <c r="Q10296">
        <v>13</v>
      </c>
      <c r="R10296">
        <v>77.585499999999996</v>
      </c>
    </row>
    <row r="10297" spans="1:18" x14ac:dyDescent="0.2">
      <c r="A10297" t="s">
        <v>2233</v>
      </c>
      <c r="B10297" t="s">
        <v>1638</v>
      </c>
      <c r="C10297">
        <v>1</v>
      </c>
      <c r="D10297" s="1">
        <v>44351.79546296296</v>
      </c>
      <c r="E10297" t="s">
        <v>32155</v>
      </c>
      <c r="F10297" t="s">
        <v>6618</v>
      </c>
      <c r="G10297" t="s">
        <v>32156</v>
      </c>
      <c r="H10297" t="s">
        <v>2237</v>
      </c>
      <c r="I10297" t="s">
        <v>29</v>
      </c>
      <c r="J10297">
        <v>1</v>
      </c>
      <c r="K10297">
        <f>1-888-210-2041</f>
        <v>-3138</v>
      </c>
      <c r="L10297" t="s">
        <v>32157</v>
      </c>
      <c r="M10297" t="s">
        <v>32158</v>
      </c>
      <c r="N10297" t="s">
        <v>278</v>
      </c>
      <c r="O10297" t="s">
        <v>28</v>
      </c>
      <c r="P10297" t="s">
        <v>292</v>
      </c>
      <c r="Q10297">
        <v>49</v>
      </c>
      <c r="R10297">
        <v>2.35222</v>
      </c>
    </row>
    <row r="10298" spans="1:18" x14ac:dyDescent="0.2">
      <c r="A10298" t="s">
        <v>663</v>
      </c>
      <c r="B10298" t="s">
        <v>5784</v>
      </c>
      <c r="C10298">
        <v>1</v>
      </c>
      <c r="D10298" s="1">
        <v>44351.814166666663</v>
      </c>
      <c r="E10298" t="s">
        <v>32159</v>
      </c>
      <c r="F10298" t="s">
        <v>666</v>
      </c>
      <c r="G10298" t="s">
        <v>32160</v>
      </c>
      <c r="H10298" t="s">
        <v>667</v>
      </c>
      <c r="I10298" t="s">
        <v>29</v>
      </c>
      <c r="J10298">
        <v>1</v>
      </c>
      <c r="K10298">
        <f>1-844-385-4306</f>
        <v>-5534</v>
      </c>
      <c r="L10298" t="s">
        <v>32161</v>
      </c>
      <c r="M10298" t="s">
        <v>32162</v>
      </c>
      <c r="N10298" t="s">
        <v>25263</v>
      </c>
      <c r="O10298" t="s">
        <v>28</v>
      </c>
      <c r="P10298" t="s">
        <v>5789</v>
      </c>
      <c r="Q10298">
        <v>13</v>
      </c>
      <c r="R10298">
        <v>77.585499999999996</v>
      </c>
    </row>
    <row r="10299" spans="1:18" x14ac:dyDescent="0.2">
      <c r="A10299" t="s">
        <v>439</v>
      </c>
      <c r="B10299" t="s">
        <v>4321</v>
      </c>
      <c r="C10299">
        <v>1</v>
      </c>
      <c r="D10299" s="1">
        <v>44351.829236111109</v>
      </c>
      <c r="E10299" t="s">
        <v>32163</v>
      </c>
      <c r="F10299" t="s">
        <v>442</v>
      </c>
      <c r="G10299" t="s">
        <v>32164</v>
      </c>
      <c r="H10299" t="s">
        <v>444</v>
      </c>
      <c r="I10299" t="s">
        <v>29</v>
      </c>
      <c r="J10299">
        <v>1</v>
      </c>
      <c r="K10299">
        <f>1-855-914-6112</f>
        <v>-7880</v>
      </c>
      <c r="L10299" t="s">
        <v>32165</v>
      </c>
      <c r="M10299" t="s">
        <v>32166</v>
      </c>
      <c r="N10299" t="s">
        <v>2475</v>
      </c>
      <c r="O10299" t="s">
        <v>28</v>
      </c>
      <c r="P10299" t="s">
        <v>29</v>
      </c>
      <c r="Q10299">
        <v>42</v>
      </c>
      <c r="R10299">
        <v>-87.629800000000003</v>
      </c>
    </row>
    <row r="10300" spans="1:18" x14ac:dyDescent="0.2">
      <c r="A10300" t="s">
        <v>439</v>
      </c>
      <c r="B10300" t="s">
        <v>4321</v>
      </c>
      <c r="C10300">
        <v>1</v>
      </c>
      <c r="D10300" s="1">
        <v>44351.831944444442</v>
      </c>
      <c r="E10300" t="s">
        <v>32167</v>
      </c>
      <c r="F10300" t="s">
        <v>442</v>
      </c>
      <c r="G10300" t="s">
        <v>32168</v>
      </c>
      <c r="H10300" t="s">
        <v>444</v>
      </c>
      <c r="I10300" t="s">
        <v>29</v>
      </c>
      <c r="J10300">
        <v>1</v>
      </c>
      <c r="K10300">
        <f>1-855-935-6130</f>
        <v>-7919</v>
      </c>
      <c r="L10300" t="s">
        <v>32169</v>
      </c>
      <c r="M10300" t="s">
        <v>32170</v>
      </c>
      <c r="N10300" t="s">
        <v>32171</v>
      </c>
      <c r="O10300" t="s">
        <v>28</v>
      </c>
      <c r="P10300" t="s">
        <v>29</v>
      </c>
      <c r="Q10300">
        <v>42</v>
      </c>
      <c r="R10300">
        <v>-87.629800000000003</v>
      </c>
    </row>
    <row r="10301" spans="1:18" x14ac:dyDescent="0.2">
      <c r="A10301" t="s">
        <v>2233</v>
      </c>
      <c r="B10301" t="s">
        <v>1638</v>
      </c>
      <c r="C10301">
        <v>1</v>
      </c>
      <c r="D10301" s="1">
        <v>44351.8359837963</v>
      </c>
      <c r="E10301" t="s">
        <v>32172</v>
      </c>
      <c r="F10301" t="s">
        <v>2236</v>
      </c>
      <c r="G10301" t="s">
        <v>32173</v>
      </c>
      <c r="H10301" t="s">
        <v>2237</v>
      </c>
      <c r="I10301" t="s">
        <v>29</v>
      </c>
      <c r="J10301">
        <v>1</v>
      </c>
      <c r="K10301">
        <f>1-888-341-6701</f>
        <v>-7929</v>
      </c>
      <c r="L10301" t="s">
        <v>32174</v>
      </c>
      <c r="M10301" t="s">
        <v>32175</v>
      </c>
      <c r="N10301" t="s">
        <v>278</v>
      </c>
      <c r="O10301" t="s">
        <v>28</v>
      </c>
      <c r="P10301" t="s">
        <v>292</v>
      </c>
      <c r="Q10301">
        <v>49</v>
      </c>
      <c r="R10301">
        <v>2.35222</v>
      </c>
    </row>
    <row r="10302" spans="1:18" x14ac:dyDescent="0.2">
      <c r="A10302" t="s">
        <v>663</v>
      </c>
      <c r="B10302" t="s">
        <v>5784</v>
      </c>
      <c r="C10302">
        <v>1</v>
      </c>
      <c r="D10302" s="1">
        <v>44351.837719907409</v>
      </c>
      <c r="E10302" t="s">
        <v>32176</v>
      </c>
      <c r="F10302" t="s">
        <v>666</v>
      </c>
      <c r="G10302" t="s">
        <v>32177</v>
      </c>
      <c r="H10302" t="s">
        <v>667</v>
      </c>
      <c r="I10302" t="s">
        <v>29</v>
      </c>
      <c r="J10302">
        <v>1</v>
      </c>
      <c r="K10302">
        <f>1-833-220-3208</f>
        <v>-4260</v>
      </c>
      <c r="L10302" t="s">
        <v>32178</v>
      </c>
      <c r="M10302" t="s">
        <v>32179</v>
      </c>
      <c r="N10302" t="s">
        <v>25263</v>
      </c>
      <c r="O10302" t="s">
        <v>28</v>
      </c>
      <c r="P10302" t="s">
        <v>5789</v>
      </c>
      <c r="Q10302">
        <v>13</v>
      </c>
      <c r="R10302">
        <v>77.585499999999996</v>
      </c>
    </row>
    <row r="10303" spans="1:18" x14ac:dyDescent="0.2">
      <c r="A10303" t="s">
        <v>439</v>
      </c>
      <c r="B10303" t="s">
        <v>4321</v>
      </c>
      <c r="C10303">
        <v>1</v>
      </c>
      <c r="D10303" s="1">
        <v>44351.841678240744</v>
      </c>
      <c r="E10303" t="s">
        <v>32180</v>
      </c>
      <c r="F10303" t="s">
        <v>442</v>
      </c>
      <c r="G10303" t="s">
        <v>32181</v>
      </c>
      <c r="H10303" t="s">
        <v>444</v>
      </c>
      <c r="I10303" t="s">
        <v>29</v>
      </c>
      <c r="J10303">
        <v>1</v>
      </c>
      <c r="K10303">
        <f>1-855-927-5838</f>
        <v>-7619</v>
      </c>
      <c r="L10303" t="s">
        <v>32182</v>
      </c>
      <c r="M10303" t="s">
        <v>32183</v>
      </c>
      <c r="N10303" t="s">
        <v>2499</v>
      </c>
      <c r="O10303" t="s">
        <v>28</v>
      </c>
      <c r="P10303" t="s">
        <v>29</v>
      </c>
      <c r="Q10303">
        <v>42</v>
      </c>
      <c r="R10303">
        <v>-87.629800000000003</v>
      </c>
    </row>
    <row r="10304" spans="1:18" x14ac:dyDescent="0.2">
      <c r="A10304" t="s">
        <v>663</v>
      </c>
      <c r="B10304" t="s">
        <v>454</v>
      </c>
      <c r="C10304">
        <v>1</v>
      </c>
      <c r="D10304" s="1">
        <v>44352.026342592595</v>
      </c>
      <c r="E10304" t="s">
        <v>32184</v>
      </c>
      <c r="F10304" t="s">
        <v>666</v>
      </c>
      <c r="G10304" t="s">
        <v>32184</v>
      </c>
      <c r="H10304" t="s">
        <v>667</v>
      </c>
      <c r="I10304" t="s">
        <v>29</v>
      </c>
      <c r="J10304">
        <v>1</v>
      </c>
      <c r="K10304">
        <f>1-866-362-8087</f>
        <v>-9314</v>
      </c>
      <c r="L10304" t="s">
        <v>32185</v>
      </c>
      <c r="M10304" t="s">
        <v>32186</v>
      </c>
      <c r="N10304">
        <v>29</v>
      </c>
      <c r="O10304" t="s">
        <v>134</v>
      </c>
      <c r="P10304" t="s">
        <v>461</v>
      </c>
      <c r="Q10304">
        <v>52</v>
      </c>
      <c r="R10304">
        <v>4.9391999999999996</v>
      </c>
    </row>
    <row r="10305" spans="1:18" x14ac:dyDescent="0.2">
      <c r="A10305" t="s">
        <v>663</v>
      </c>
      <c r="B10305" t="s">
        <v>454</v>
      </c>
      <c r="C10305">
        <v>1</v>
      </c>
      <c r="D10305" s="1">
        <v>44351.871979166666</v>
      </c>
      <c r="E10305" t="s">
        <v>32184</v>
      </c>
      <c r="F10305" t="s">
        <v>666</v>
      </c>
      <c r="G10305" t="s">
        <v>32184</v>
      </c>
      <c r="H10305" t="s">
        <v>667</v>
      </c>
      <c r="I10305" t="s">
        <v>29</v>
      </c>
      <c r="J10305">
        <v>1</v>
      </c>
      <c r="K10305">
        <f>1-844-302-1229</f>
        <v>-2374</v>
      </c>
      <c r="L10305" t="s">
        <v>32187</v>
      </c>
      <c r="M10305" t="s">
        <v>32188</v>
      </c>
      <c r="N10305">
        <v>29</v>
      </c>
      <c r="O10305" t="s">
        <v>134</v>
      </c>
      <c r="P10305" t="s">
        <v>461</v>
      </c>
      <c r="Q10305">
        <v>52</v>
      </c>
      <c r="R10305">
        <v>4.9391999999999996</v>
      </c>
    </row>
    <row r="10306" spans="1:18" x14ac:dyDescent="0.2">
      <c r="A10306" t="s">
        <v>2233</v>
      </c>
      <c r="B10306" t="s">
        <v>1638</v>
      </c>
      <c r="C10306">
        <v>1</v>
      </c>
      <c r="D10306" s="1">
        <v>44363.756655092591</v>
      </c>
      <c r="E10306" t="s">
        <v>32189</v>
      </c>
      <c r="F10306" t="s">
        <v>2236</v>
      </c>
      <c r="G10306" t="s">
        <v>32190</v>
      </c>
      <c r="H10306" t="s">
        <v>2237</v>
      </c>
      <c r="I10306" t="s">
        <v>29</v>
      </c>
      <c r="J10306">
        <v>1</v>
      </c>
      <c r="K10306">
        <f>1-888-531-5349</f>
        <v>-6767</v>
      </c>
      <c r="L10306" t="s">
        <v>32191</v>
      </c>
      <c r="M10306" t="s">
        <v>32192</v>
      </c>
      <c r="N10306" t="s">
        <v>278</v>
      </c>
      <c r="O10306" t="s">
        <v>28</v>
      </c>
      <c r="P10306" t="s">
        <v>292</v>
      </c>
      <c r="Q10306">
        <v>49</v>
      </c>
      <c r="R10306">
        <v>2.35222</v>
      </c>
    </row>
    <row r="10307" spans="1:18" x14ac:dyDescent="0.2">
      <c r="A10307" t="s">
        <v>2233</v>
      </c>
      <c r="B10307" t="s">
        <v>1638</v>
      </c>
      <c r="C10307">
        <v>1</v>
      </c>
      <c r="D10307" s="1">
        <v>44351.882997685185</v>
      </c>
      <c r="E10307" t="s">
        <v>32193</v>
      </c>
      <c r="F10307" t="s">
        <v>2236</v>
      </c>
      <c r="G10307" t="s">
        <v>32190</v>
      </c>
      <c r="H10307" t="s">
        <v>2237</v>
      </c>
      <c r="I10307" t="s">
        <v>29</v>
      </c>
      <c r="J10307">
        <v>1</v>
      </c>
      <c r="K10307">
        <f>1-888-210-1722</f>
        <v>-2819</v>
      </c>
      <c r="L10307" t="s">
        <v>32194</v>
      </c>
      <c r="M10307" t="s">
        <v>32195</v>
      </c>
      <c r="N10307" t="s">
        <v>278</v>
      </c>
      <c r="O10307" t="s">
        <v>28</v>
      </c>
      <c r="P10307" t="s">
        <v>292</v>
      </c>
      <c r="Q10307">
        <v>49</v>
      </c>
      <c r="R10307">
        <v>2.35222</v>
      </c>
    </row>
    <row r="10308" spans="1:18" x14ac:dyDescent="0.2">
      <c r="A10308" t="s">
        <v>270</v>
      </c>
      <c r="B10308" t="s">
        <v>271</v>
      </c>
      <c r="C10308">
        <v>1</v>
      </c>
      <c r="D10308" s="1">
        <v>44351.912060185183</v>
      </c>
      <c r="E10308" t="s">
        <v>32196</v>
      </c>
      <c r="F10308" t="s">
        <v>273</v>
      </c>
      <c r="G10308" t="s">
        <v>32197</v>
      </c>
      <c r="H10308" t="s">
        <v>275</v>
      </c>
      <c r="I10308" t="s">
        <v>29</v>
      </c>
      <c r="J10308">
        <v>1</v>
      </c>
      <c r="K10308">
        <f>1-888-531-986</f>
        <v>-2404</v>
      </c>
      <c r="L10308" t="s">
        <v>32198</v>
      </c>
      <c r="M10308" t="s">
        <v>32199</v>
      </c>
      <c r="N10308" t="s">
        <v>278</v>
      </c>
      <c r="O10308" t="s">
        <v>134</v>
      </c>
      <c r="P10308" t="s">
        <v>29</v>
      </c>
      <c r="Q10308">
        <v>42</v>
      </c>
      <c r="R10308">
        <v>-93.620800000000003</v>
      </c>
    </row>
    <row r="10309" spans="1:18" x14ac:dyDescent="0.2">
      <c r="A10309" t="s">
        <v>663</v>
      </c>
      <c r="B10309" t="s">
        <v>5784</v>
      </c>
      <c r="C10309">
        <v>1</v>
      </c>
      <c r="D10309" s="1">
        <v>44351.915717592594</v>
      </c>
      <c r="E10309" t="s">
        <v>32200</v>
      </c>
      <c r="F10309" t="s">
        <v>666</v>
      </c>
      <c r="G10309" t="s">
        <v>32201</v>
      </c>
      <c r="H10309" t="s">
        <v>667</v>
      </c>
      <c r="I10309" t="s">
        <v>29</v>
      </c>
      <c r="J10309">
        <v>1</v>
      </c>
      <c r="K10309">
        <f>1-844-271-293</f>
        <v>-1407</v>
      </c>
      <c r="L10309" t="s">
        <v>32202</v>
      </c>
      <c r="M10309" t="s">
        <v>32203</v>
      </c>
      <c r="N10309" t="s">
        <v>25263</v>
      </c>
      <c r="O10309" t="s">
        <v>28</v>
      </c>
      <c r="P10309" t="s">
        <v>5789</v>
      </c>
      <c r="Q10309">
        <v>13</v>
      </c>
      <c r="R10309">
        <v>77.585499999999996</v>
      </c>
    </row>
    <row r="10310" spans="1:18" x14ac:dyDescent="0.2">
      <c r="B10310" t="s">
        <v>1412</v>
      </c>
      <c r="C10310">
        <v>1</v>
      </c>
      <c r="D10310" s="1">
        <v>44351.935219907406</v>
      </c>
      <c r="E10310" t="s">
        <v>32204</v>
      </c>
      <c r="F10310" t="s">
        <v>2495</v>
      </c>
      <c r="G10310" t="s">
        <v>32205</v>
      </c>
      <c r="H10310" t="s">
        <v>667</v>
      </c>
      <c r="I10310" t="s">
        <v>29</v>
      </c>
      <c r="J10310">
        <v>1</v>
      </c>
      <c r="K10310">
        <f>1-844-317-157</f>
        <v>-1317</v>
      </c>
      <c r="L10310" t="s">
        <v>32206</v>
      </c>
      <c r="M10310" t="s">
        <v>32207</v>
      </c>
      <c r="N10310" t="s">
        <v>452</v>
      </c>
      <c r="O10310" t="s">
        <v>28</v>
      </c>
      <c r="P10310" t="s">
        <v>29</v>
      </c>
      <c r="Q10310">
        <v>41</v>
      </c>
      <c r="R10310">
        <v>-74.172399999999996</v>
      </c>
    </row>
    <row r="10311" spans="1:18" x14ac:dyDescent="0.2">
      <c r="A10311" t="s">
        <v>2233</v>
      </c>
      <c r="B10311" t="s">
        <v>2263</v>
      </c>
      <c r="C10311">
        <v>1</v>
      </c>
      <c r="D10311" s="1">
        <v>44351.940706018519</v>
      </c>
      <c r="E10311" t="s">
        <v>32208</v>
      </c>
      <c r="F10311" t="s">
        <v>2236</v>
      </c>
      <c r="G10311" t="s">
        <v>32209</v>
      </c>
      <c r="H10311" t="s">
        <v>2237</v>
      </c>
      <c r="I10311" t="s">
        <v>29</v>
      </c>
      <c r="J10311">
        <v>1</v>
      </c>
      <c r="K10311">
        <f>1-833-251-9062</f>
        <v>-10145</v>
      </c>
      <c r="L10311" t="s">
        <v>32210</v>
      </c>
      <c r="M10311" t="s">
        <v>32211</v>
      </c>
      <c r="N10311" t="s">
        <v>5354</v>
      </c>
      <c r="O10311" t="s">
        <v>28</v>
      </c>
      <c r="P10311" t="s">
        <v>2268</v>
      </c>
      <c r="Q10311">
        <v>44</v>
      </c>
      <c r="R10311">
        <v>-79.383200000000002</v>
      </c>
    </row>
    <row r="10312" spans="1:18" x14ac:dyDescent="0.2">
      <c r="A10312" t="s">
        <v>2233</v>
      </c>
      <c r="B10312" t="s">
        <v>2234</v>
      </c>
      <c r="C10312">
        <v>1</v>
      </c>
      <c r="D10312" s="1">
        <v>44351.947476851848</v>
      </c>
      <c r="E10312" t="s">
        <v>32212</v>
      </c>
      <c r="F10312" t="s">
        <v>2236</v>
      </c>
      <c r="G10312" t="s">
        <v>32212</v>
      </c>
      <c r="H10312" t="s">
        <v>2237</v>
      </c>
      <c r="I10312" t="s">
        <v>29</v>
      </c>
      <c r="J10312">
        <v>1</v>
      </c>
      <c r="K10312">
        <f>1-866-481-999</f>
        <v>-2345</v>
      </c>
      <c r="L10312" t="s">
        <v>32213</v>
      </c>
      <c r="M10312" t="s">
        <v>32214</v>
      </c>
      <c r="N10312">
        <v>180</v>
      </c>
      <c r="O10312" t="s">
        <v>134</v>
      </c>
      <c r="P10312" t="s">
        <v>29</v>
      </c>
      <c r="Q10312">
        <v>40</v>
      </c>
      <c r="R10312">
        <v>-83.114099999999993</v>
      </c>
    </row>
    <row r="10313" spans="1:18" x14ac:dyDescent="0.2">
      <c r="A10313" t="s">
        <v>663</v>
      </c>
      <c r="B10313" t="s">
        <v>5784</v>
      </c>
      <c r="C10313">
        <v>1</v>
      </c>
      <c r="D10313" s="1">
        <v>44351.952824074076</v>
      </c>
      <c r="E10313" t="s">
        <v>32215</v>
      </c>
      <c r="F10313" t="s">
        <v>666</v>
      </c>
      <c r="G10313" t="s">
        <v>32216</v>
      </c>
      <c r="H10313" t="s">
        <v>667</v>
      </c>
      <c r="I10313" t="s">
        <v>29</v>
      </c>
      <c r="J10313">
        <v>1</v>
      </c>
      <c r="K10313">
        <f>1-844-214-8227</f>
        <v>-9284</v>
      </c>
      <c r="L10313" t="s">
        <v>32217</v>
      </c>
      <c r="M10313" t="s">
        <v>32218</v>
      </c>
      <c r="N10313" t="s">
        <v>25263</v>
      </c>
      <c r="O10313" t="s">
        <v>28</v>
      </c>
      <c r="P10313" t="s">
        <v>5789</v>
      </c>
      <c r="Q10313">
        <v>13</v>
      </c>
      <c r="R10313">
        <v>77.585499999999996</v>
      </c>
    </row>
    <row r="10314" spans="1:18" x14ac:dyDescent="0.2">
      <c r="A10314" t="s">
        <v>2233</v>
      </c>
      <c r="B10314" t="s">
        <v>1638</v>
      </c>
      <c r="C10314">
        <v>1</v>
      </c>
      <c r="D10314" s="1">
        <v>44352.003506944442</v>
      </c>
      <c r="E10314" t="s">
        <v>32219</v>
      </c>
      <c r="F10314" t="s">
        <v>6618</v>
      </c>
      <c r="G10314" t="s">
        <v>32220</v>
      </c>
      <c r="H10314" t="s">
        <v>2237</v>
      </c>
      <c r="I10314" t="s">
        <v>29</v>
      </c>
      <c r="J10314">
        <v>1</v>
      </c>
      <c r="K10314">
        <f>1-888-210-2041</f>
        <v>-3138</v>
      </c>
      <c r="L10314" t="s">
        <v>32221</v>
      </c>
      <c r="M10314" t="s">
        <v>32222</v>
      </c>
      <c r="N10314" t="s">
        <v>278</v>
      </c>
      <c r="O10314" t="s">
        <v>28</v>
      </c>
      <c r="P10314" t="s">
        <v>292</v>
      </c>
      <c r="Q10314">
        <v>49</v>
      </c>
      <c r="R10314">
        <v>2.35222</v>
      </c>
    </row>
    <row r="10315" spans="1:18" x14ac:dyDescent="0.2">
      <c r="B10315" t="s">
        <v>1412</v>
      </c>
      <c r="C10315">
        <v>1</v>
      </c>
      <c r="D10315" s="1">
        <v>44352.006331018521</v>
      </c>
      <c r="E10315" t="s">
        <v>32223</v>
      </c>
      <c r="F10315" t="s">
        <v>2495</v>
      </c>
      <c r="G10315" t="s">
        <v>32224</v>
      </c>
      <c r="H10315" t="s">
        <v>667</v>
      </c>
      <c r="I10315" t="s">
        <v>29</v>
      </c>
      <c r="J10315">
        <v>1</v>
      </c>
      <c r="K10315">
        <f>1-888-308-5971</f>
        <v>-7166</v>
      </c>
      <c r="L10315" t="s">
        <v>32225</v>
      </c>
      <c r="M10315" t="s">
        <v>32226</v>
      </c>
      <c r="N10315" t="s">
        <v>5354</v>
      </c>
      <c r="O10315" t="s">
        <v>28</v>
      </c>
      <c r="P10315" t="s">
        <v>29</v>
      </c>
      <c r="Q10315">
        <v>41</v>
      </c>
      <c r="R10315">
        <v>-74.172399999999996</v>
      </c>
    </row>
    <row r="10316" spans="1:18" x14ac:dyDescent="0.2">
      <c r="A10316" t="s">
        <v>663</v>
      </c>
      <c r="B10316" t="s">
        <v>5784</v>
      </c>
      <c r="C10316">
        <v>1</v>
      </c>
      <c r="D10316" s="1">
        <v>44352.023530092592</v>
      </c>
      <c r="E10316" t="s">
        <v>32227</v>
      </c>
      <c r="F10316" t="s">
        <v>666</v>
      </c>
      <c r="G10316" t="s">
        <v>32228</v>
      </c>
      <c r="H10316" t="s">
        <v>667</v>
      </c>
      <c r="I10316" t="s">
        <v>29</v>
      </c>
      <c r="J10316">
        <v>1</v>
      </c>
      <c r="K10316">
        <f>1-833-220-4055</f>
        <v>-5107</v>
      </c>
      <c r="L10316" t="s">
        <v>32229</v>
      </c>
      <c r="M10316" t="s">
        <v>32230</v>
      </c>
      <c r="N10316" t="s">
        <v>25263</v>
      </c>
      <c r="O10316" t="s">
        <v>28</v>
      </c>
      <c r="P10316" t="s">
        <v>5789</v>
      </c>
      <c r="Q10316">
        <v>13</v>
      </c>
      <c r="R10316">
        <v>77.585499999999996</v>
      </c>
    </row>
    <row r="10317" spans="1:18" x14ac:dyDescent="0.2">
      <c r="B10317" t="s">
        <v>1412</v>
      </c>
      <c r="C10317">
        <v>1</v>
      </c>
      <c r="D10317" s="1">
        <v>44352.062511574077</v>
      </c>
      <c r="E10317" t="s">
        <v>32231</v>
      </c>
      <c r="F10317" t="s">
        <v>2495</v>
      </c>
      <c r="G10317" t="s">
        <v>32232</v>
      </c>
      <c r="H10317" t="s">
        <v>667</v>
      </c>
      <c r="I10317" t="s">
        <v>29</v>
      </c>
      <c r="J10317">
        <v>1</v>
      </c>
      <c r="K10317">
        <f>1-844-304-2729</f>
        <v>-3876</v>
      </c>
      <c r="L10317" t="s">
        <v>32233</v>
      </c>
      <c r="M10317" t="s">
        <v>32234</v>
      </c>
      <c r="N10317" t="s">
        <v>452</v>
      </c>
      <c r="O10317" t="s">
        <v>28</v>
      </c>
      <c r="P10317" t="s">
        <v>29</v>
      </c>
      <c r="Q10317">
        <v>41</v>
      </c>
      <c r="R10317">
        <v>-74.172399999999996</v>
      </c>
    </row>
    <row r="10318" spans="1:18" x14ac:dyDescent="0.2">
      <c r="A10318" t="s">
        <v>2233</v>
      </c>
      <c r="B10318" t="s">
        <v>1638</v>
      </c>
      <c r="C10318">
        <v>1</v>
      </c>
      <c r="D10318" s="1">
        <v>44352.766446759262</v>
      </c>
      <c r="E10318" t="s">
        <v>32235</v>
      </c>
      <c r="F10318" t="s">
        <v>2236</v>
      </c>
      <c r="G10318" t="s">
        <v>32236</v>
      </c>
      <c r="H10318" t="s">
        <v>2237</v>
      </c>
      <c r="I10318" t="s">
        <v>29</v>
      </c>
      <c r="J10318">
        <v>1</v>
      </c>
      <c r="K10318">
        <f>1-888-650-4886</f>
        <v>-6423</v>
      </c>
      <c r="L10318" t="s">
        <v>32237</v>
      </c>
      <c r="M10318" t="s">
        <v>32238</v>
      </c>
      <c r="N10318" t="s">
        <v>278</v>
      </c>
      <c r="O10318" t="s">
        <v>28</v>
      </c>
      <c r="P10318" t="s">
        <v>292</v>
      </c>
      <c r="Q10318">
        <v>49</v>
      </c>
      <c r="R10318">
        <v>2.35222</v>
      </c>
    </row>
    <row r="10319" spans="1:18" x14ac:dyDescent="0.2">
      <c r="A10319" t="s">
        <v>663</v>
      </c>
      <c r="B10319" t="s">
        <v>5784</v>
      </c>
      <c r="C10319">
        <v>1</v>
      </c>
      <c r="D10319" s="1">
        <v>44352.810243055559</v>
      </c>
      <c r="E10319" t="s">
        <v>32239</v>
      </c>
      <c r="F10319" t="s">
        <v>666</v>
      </c>
      <c r="G10319" t="s">
        <v>32240</v>
      </c>
      <c r="H10319" t="s">
        <v>667</v>
      </c>
      <c r="I10319" t="s">
        <v>29</v>
      </c>
      <c r="J10319">
        <v>1</v>
      </c>
      <c r="K10319">
        <f>1-844-474-4383</f>
        <v>-5700</v>
      </c>
      <c r="L10319" t="s">
        <v>32241</v>
      </c>
      <c r="M10319" t="s">
        <v>32242</v>
      </c>
      <c r="N10319" t="s">
        <v>25263</v>
      </c>
      <c r="O10319" t="s">
        <v>28</v>
      </c>
      <c r="P10319" t="s">
        <v>5789</v>
      </c>
      <c r="Q10319">
        <v>13</v>
      </c>
      <c r="R10319">
        <v>77.585499999999996</v>
      </c>
    </row>
    <row r="10320" spans="1:18" x14ac:dyDescent="0.2">
      <c r="A10320" t="s">
        <v>2233</v>
      </c>
      <c r="B10320" t="s">
        <v>1638</v>
      </c>
      <c r="C10320">
        <v>1</v>
      </c>
      <c r="D10320" s="1">
        <v>44352.830613425926</v>
      </c>
      <c r="E10320" t="s">
        <v>32243</v>
      </c>
      <c r="F10320" t="s">
        <v>2236</v>
      </c>
      <c r="G10320" t="s">
        <v>32244</v>
      </c>
      <c r="H10320" t="s">
        <v>2237</v>
      </c>
      <c r="I10320" t="s">
        <v>29</v>
      </c>
      <c r="J10320">
        <v>1</v>
      </c>
      <c r="K10320">
        <f>1-888-203-2793</f>
        <v>-3883</v>
      </c>
      <c r="L10320" t="s">
        <v>32245</v>
      </c>
      <c r="M10320" t="s">
        <v>32246</v>
      </c>
      <c r="N10320" t="s">
        <v>278</v>
      </c>
      <c r="O10320" t="s">
        <v>28</v>
      </c>
      <c r="P10320" t="s">
        <v>292</v>
      </c>
      <c r="Q10320">
        <v>49</v>
      </c>
      <c r="R10320">
        <v>2.35222</v>
      </c>
    </row>
    <row r="10321" spans="1:18" x14ac:dyDescent="0.2">
      <c r="A10321" t="s">
        <v>663</v>
      </c>
      <c r="B10321" t="s">
        <v>2500</v>
      </c>
      <c r="C10321">
        <v>1</v>
      </c>
      <c r="D10321" s="1">
        <v>44352.872673611113</v>
      </c>
      <c r="E10321" t="s">
        <v>32247</v>
      </c>
      <c r="F10321" t="s">
        <v>666</v>
      </c>
      <c r="G10321" t="s">
        <v>32247</v>
      </c>
      <c r="H10321" t="s">
        <v>667</v>
      </c>
      <c r="I10321" t="s">
        <v>29</v>
      </c>
      <c r="J10321">
        <v>1</v>
      </c>
      <c r="K10321">
        <f>1-866-319-7062</f>
        <v>-8246</v>
      </c>
      <c r="L10321" t="s">
        <v>32248</v>
      </c>
      <c r="M10321" t="s">
        <v>32249</v>
      </c>
      <c r="N10321">
        <v>145</v>
      </c>
      <c r="O10321" t="s">
        <v>134</v>
      </c>
      <c r="P10321" t="s">
        <v>2500</v>
      </c>
      <c r="Q10321">
        <v>1</v>
      </c>
      <c r="R10321">
        <v>99.999999000000003</v>
      </c>
    </row>
    <row r="10322" spans="1:18" x14ac:dyDescent="0.2">
      <c r="A10322" t="s">
        <v>663</v>
      </c>
      <c r="B10322" t="s">
        <v>2493</v>
      </c>
      <c r="C10322">
        <v>1</v>
      </c>
      <c r="D10322" s="1">
        <v>44352.879699074074</v>
      </c>
      <c r="E10322" t="s">
        <v>32250</v>
      </c>
      <c r="F10322" t="s">
        <v>666</v>
      </c>
      <c r="G10322" t="s">
        <v>32251</v>
      </c>
      <c r="H10322" t="s">
        <v>667</v>
      </c>
      <c r="I10322" t="s">
        <v>29</v>
      </c>
      <c r="J10322">
        <v>1</v>
      </c>
      <c r="K10322">
        <f>1-888-297-1155</f>
        <v>-2339</v>
      </c>
      <c r="L10322" t="s">
        <v>32252</v>
      </c>
      <c r="M10322" t="s">
        <v>32253</v>
      </c>
      <c r="N10322" t="s">
        <v>452</v>
      </c>
      <c r="O10322" t="s">
        <v>28</v>
      </c>
      <c r="P10322" t="s">
        <v>29</v>
      </c>
      <c r="Q10322">
        <v>41</v>
      </c>
      <c r="R10322">
        <v>-74.024699999999996</v>
      </c>
    </row>
    <row r="10323" spans="1:18" x14ac:dyDescent="0.2">
      <c r="A10323" t="s">
        <v>439</v>
      </c>
      <c r="B10323" t="s">
        <v>4321</v>
      </c>
      <c r="C10323">
        <v>1</v>
      </c>
      <c r="D10323" s="1">
        <v>44352.882731481484</v>
      </c>
      <c r="E10323" t="s">
        <v>32254</v>
      </c>
      <c r="F10323" t="s">
        <v>442</v>
      </c>
      <c r="G10323" t="s">
        <v>32255</v>
      </c>
      <c r="H10323" t="s">
        <v>444</v>
      </c>
      <c r="I10323" t="s">
        <v>29</v>
      </c>
      <c r="J10323">
        <v>1</v>
      </c>
      <c r="K10323">
        <f>1-855-925-5139</f>
        <v>-6918</v>
      </c>
      <c r="L10323" t="s">
        <v>32256</v>
      </c>
      <c r="M10323" t="s">
        <v>32257</v>
      </c>
      <c r="N10323" t="s">
        <v>36</v>
      </c>
      <c r="O10323" t="s">
        <v>28</v>
      </c>
      <c r="P10323" t="s">
        <v>29</v>
      </c>
      <c r="Q10323">
        <v>42</v>
      </c>
      <c r="R10323">
        <v>-87.629800000000003</v>
      </c>
    </row>
    <row r="10324" spans="1:18" x14ac:dyDescent="0.2">
      <c r="A10324" t="s">
        <v>439</v>
      </c>
      <c r="B10324" t="s">
        <v>4321</v>
      </c>
      <c r="C10324">
        <v>1</v>
      </c>
      <c r="D10324" s="1">
        <v>44352.88484953704</v>
      </c>
      <c r="E10324" t="s">
        <v>32258</v>
      </c>
      <c r="F10324" t="s">
        <v>442</v>
      </c>
      <c r="G10324" t="s">
        <v>32259</v>
      </c>
      <c r="H10324" t="s">
        <v>444</v>
      </c>
      <c r="I10324" t="s">
        <v>29</v>
      </c>
      <c r="J10324">
        <v>1</v>
      </c>
      <c r="K10324">
        <f>1-844-730-458</f>
        <v>-2031</v>
      </c>
      <c r="L10324" t="s">
        <v>32260</v>
      </c>
      <c r="M10324" t="s">
        <v>32261</v>
      </c>
      <c r="N10324" t="s">
        <v>36</v>
      </c>
      <c r="O10324" t="s">
        <v>28</v>
      </c>
      <c r="P10324" t="s">
        <v>29</v>
      </c>
      <c r="Q10324">
        <v>42</v>
      </c>
      <c r="R10324">
        <v>-87.629800000000003</v>
      </c>
    </row>
    <row r="10325" spans="1:18" x14ac:dyDescent="0.2">
      <c r="A10325" t="s">
        <v>2233</v>
      </c>
      <c r="B10325" t="s">
        <v>1638</v>
      </c>
      <c r="C10325">
        <v>1</v>
      </c>
      <c r="D10325" s="1">
        <v>44352.886932870373</v>
      </c>
      <c r="E10325" t="s">
        <v>32262</v>
      </c>
      <c r="F10325" t="s">
        <v>2236</v>
      </c>
      <c r="G10325" t="s">
        <v>32263</v>
      </c>
      <c r="H10325" t="s">
        <v>2237</v>
      </c>
      <c r="I10325" t="s">
        <v>29</v>
      </c>
      <c r="J10325">
        <v>1</v>
      </c>
      <c r="K10325">
        <f>1-888-242-1394</f>
        <v>-2523</v>
      </c>
      <c r="L10325" t="s">
        <v>32264</v>
      </c>
      <c r="M10325" t="s">
        <v>32265</v>
      </c>
      <c r="N10325" t="s">
        <v>278</v>
      </c>
      <c r="O10325" t="s">
        <v>28</v>
      </c>
      <c r="P10325" t="s">
        <v>292</v>
      </c>
      <c r="Q10325">
        <v>49</v>
      </c>
      <c r="R10325">
        <v>2.35222</v>
      </c>
    </row>
    <row r="10326" spans="1:18" x14ac:dyDescent="0.2">
      <c r="A10326" t="s">
        <v>663</v>
      </c>
      <c r="B10326" t="s">
        <v>5784</v>
      </c>
      <c r="C10326">
        <v>1</v>
      </c>
      <c r="D10326" s="1">
        <v>44352.956331018519</v>
      </c>
      <c r="E10326" t="s">
        <v>32266</v>
      </c>
      <c r="F10326" t="s">
        <v>666</v>
      </c>
      <c r="G10326" t="s">
        <v>32267</v>
      </c>
      <c r="H10326" t="s">
        <v>667</v>
      </c>
      <c r="I10326" t="s">
        <v>29</v>
      </c>
      <c r="J10326">
        <v>1</v>
      </c>
      <c r="K10326">
        <f>1-833-220-3860</f>
        <v>-4912</v>
      </c>
      <c r="L10326" t="s">
        <v>32268</v>
      </c>
      <c r="M10326" t="s">
        <v>32269</v>
      </c>
      <c r="N10326" t="s">
        <v>25263</v>
      </c>
      <c r="O10326" t="s">
        <v>28</v>
      </c>
      <c r="P10326" t="s">
        <v>5789</v>
      </c>
      <c r="Q10326">
        <v>13</v>
      </c>
      <c r="R10326">
        <v>77.585499999999996</v>
      </c>
    </row>
    <row r="10327" spans="1:18" x14ac:dyDescent="0.2">
      <c r="A10327" t="s">
        <v>2233</v>
      </c>
      <c r="B10327" t="s">
        <v>2263</v>
      </c>
      <c r="C10327">
        <v>1</v>
      </c>
      <c r="D10327" s="1">
        <v>44352.974976851852</v>
      </c>
      <c r="E10327" t="s">
        <v>32270</v>
      </c>
      <c r="F10327" t="s">
        <v>2236</v>
      </c>
      <c r="G10327" t="s">
        <v>32271</v>
      </c>
      <c r="H10327" t="s">
        <v>2237</v>
      </c>
      <c r="I10327" t="s">
        <v>29</v>
      </c>
      <c r="J10327">
        <v>1</v>
      </c>
      <c r="K10327">
        <f>1-808-319-4391</f>
        <v>-5517</v>
      </c>
      <c r="L10327" t="s">
        <v>32272</v>
      </c>
      <c r="M10327" t="s">
        <v>32273</v>
      </c>
      <c r="N10327" t="s">
        <v>5354</v>
      </c>
      <c r="O10327" t="s">
        <v>28</v>
      </c>
      <c r="P10327" t="s">
        <v>2268</v>
      </c>
      <c r="Q10327">
        <v>44</v>
      </c>
      <c r="R10327">
        <v>-79.383200000000002</v>
      </c>
    </row>
    <row r="10328" spans="1:18" x14ac:dyDescent="0.2">
      <c r="A10328" t="s">
        <v>439</v>
      </c>
      <c r="B10328" t="s">
        <v>4321</v>
      </c>
      <c r="C10328">
        <v>1</v>
      </c>
      <c r="D10328" s="1">
        <v>44352.978055555555</v>
      </c>
      <c r="E10328" t="s">
        <v>32274</v>
      </c>
      <c r="F10328" t="s">
        <v>442</v>
      </c>
      <c r="G10328" t="s">
        <v>32275</v>
      </c>
      <c r="H10328" t="s">
        <v>444</v>
      </c>
      <c r="I10328" t="s">
        <v>29</v>
      </c>
      <c r="J10328">
        <v>1</v>
      </c>
      <c r="K10328">
        <f>1-844-910-3784</f>
        <v>-5537</v>
      </c>
      <c r="L10328" t="s">
        <v>32276</v>
      </c>
      <c r="M10328" t="s">
        <v>32277</v>
      </c>
      <c r="N10328" t="s">
        <v>2475</v>
      </c>
      <c r="O10328" t="s">
        <v>134</v>
      </c>
      <c r="P10328" t="s">
        <v>29</v>
      </c>
      <c r="Q10328">
        <v>42</v>
      </c>
      <c r="R10328">
        <v>-87.629800000000003</v>
      </c>
    </row>
    <row r="10329" spans="1:18" x14ac:dyDescent="0.2">
      <c r="A10329" t="s">
        <v>439</v>
      </c>
      <c r="B10329" t="s">
        <v>4321</v>
      </c>
      <c r="C10329">
        <v>81</v>
      </c>
      <c r="D10329" s="1">
        <v>44352.978518518517</v>
      </c>
      <c r="E10329" t="s">
        <v>32278</v>
      </c>
      <c r="F10329" t="s">
        <v>442</v>
      </c>
      <c r="G10329" t="s">
        <v>32279</v>
      </c>
      <c r="H10329" t="s">
        <v>444</v>
      </c>
      <c r="I10329" t="s">
        <v>53</v>
      </c>
      <c r="J10329">
        <v>81</v>
      </c>
      <c r="K10329">
        <f>81-50-5532-1572</f>
        <v>-7073</v>
      </c>
      <c r="L10329" t="s">
        <v>32280</v>
      </c>
      <c r="M10329" t="s">
        <v>32281</v>
      </c>
      <c r="N10329" t="s">
        <v>213</v>
      </c>
      <c r="O10329" t="s">
        <v>28</v>
      </c>
      <c r="P10329" t="s">
        <v>29</v>
      </c>
      <c r="Q10329">
        <v>42</v>
      </c>
      <c r="R10329">
        <v>-87.629800000000003</v>
      </c>
    </row>
    <row r="10330" spans="1:18" x14ac:dyDescent="0.2">
      <c r="A10330" t="s">
        <v>439</v>
      </c>
      <c r="B10330" t="s">
        <v>4321</v>
      </c>
      <c r="C10330">
        <v>81</v>
      </c>
      <c r="D10330" s="1">
        <v>44352.979953703703</v>
      </c>
      <c r="E10330" t="s">
        <v>32282</v>
      </c>
      <c r="F10330" t="s">
        <v>442</v>
      </c>
      <c r="G10330" t="s">
        <v>32283</v>
      </c>
      <c r="H10330" t="s">
        <v>444</v>
      </c>
      <c r="I10330" t="s">
        <v>53</v>
      </c>
      <c r="J10330">
        <v>81</v>
      </c>
      <c r="K10330">
        <f>81-50-5532-1572</f>
        <v>-7073</v>
      </c>
      <c r="L10330" t="s">
        <v>32284</v>
      </c>
      <c r="M10330" t="s">
        <v>32285</v>
      </c>
      <c r="N10330" t="s">
        <v>447</v>
      </c>
      <c r="O10330" t="s">
        <v>28</v>
      </c>
      <c r="P10330" t="s">
        <v>29</v>
      </c>
      <c r="Q10330">
        <v>42</v>
      </c>
      <c r="R10330">
        <v>-87.629800000000003</v>
      </c>
    </row>
    <row r="10331" spans="1:18" x14ac:dyDescent="0.2">
      <c r="A10331" t="s">
        <v>439</v>
      </c>
      <c r="B10331" t="s">
        <v>4321</v>
      </c>
      <c r="C10331">
        <v>81</v>
      </c>
      <c r="D10331" s="1">
        <v>44352.983773148146</v>
      </c>
      <c r="E10331" t="s">
        <v>32286</v>
      </c>
      <c r="F10331" t="s">
        <v>442</v>
      </c>
      <c r="G10331" t="s">
        <v>32287</v>
      </c>
      <c r="H10331" t="s">
        <v>444</v>
      </c>
      <c r="I10331" t="s">
        <v>53</v>
      </c>
      <c r="J10331">
        <v>81</v>
      </c>
      <c r="K10331">
        <f>81-50-5532-7182</f>
        <v>-12683</v>
      </c>
      <c r="L10331" t="s">
        <v>32288</v>
      </c>
      <c r="M10331" t="s">
        <v>32289</v>
      </c>
      <c r="N10331" t="s">
        <v>213</v>
      </c>
      <c r="O10331" t="s">
        <v>28</v>
      </c>
      <c r="P10331" t="s">
        <v>29</v>
      </c>
      <c r="Q10331">
        <v>42</v>
      </c>
      <c r="R10331">
        <v>-87.629800000000003</v>
      </c>
    </row>
    <row r="10332" spans="1:18" x14ac:dyDescent="0.2">
      <c r="A10332" t="s">
        <v>439</v>
      </c>
      <c r="B10332" t="s">
        <v>4321</v>
      </c>
      <c r="C10332">
        <v>81</v>
      </c>
      <c r="D10332" s="1">
        <v>44352.985532407409</v>
      </c>
      <c r="E10332" t="s">
        <v>32290</v>
      </c>
      <c r="F10332" t="s">
        <v>442</v>
      </c>
      <c r="G10332" t="s">
        <v>32291</v>
      </c>
      <c r="H10332" t="s">
        <v>444</v>
      </c>
      <c r="I10332" t="s">
        <v>53</v>
      </c>
      <c r="J10332">
        <v>81</v>
      </c>
      <c r="K10332">
        <f>81-50-5532-7182</f>
        <v>-12683</v>
      </c>
      <c r="L10332" t="s">
        <v>32292</v>
      </c>
      <c r="M10332" t="s">
        <v>32293</v>
      </c>
      <c r="N10332" t="s">
        <v>447</v>
      </c>
      <c r="O10332" t="s">
        <v>28</v>
      </c>
      <c r="P10332" t="s">
        <v>29</v>
      </c>
      <c r="Q10332">
        <v>42</v>
      </c>
      <c r="R10332">
        <v>-87.629800000000003</v>
      </c>
    </row>
    <row r="10333" spans="1:18" x14ac:dyDescent="0.2">
      <c r="A10333" t="s">
        <v>663</v>
      </c>
      <c r="B10333" t="s">
        <v>5784</v>
      </c>
      <c r="C10333">
        <v>1</v>
      </c>
      <c r="D10333" s="1">
        <v>44353.085914351854</v>
      </c>
      <c r="E10333" t="s">
        <v>32294</v>
      </c>
      <c r="F10333" t="s">
        <v>666</v>
      </c>
      <c r="G10333" t="s">
        <v>32295</v>
      </c>
      <c r="H10333" t="s">
        <v>667</v>
      </c>
      <c r="I10333" t="s">
        <v>29</v>
      </c>
      <c r="J10333">
        <v>1</v>
      </c>
      <c r="K10333">
        <f>1-844-228-181</f>
        <v>-1252</v>
      </c>
      <c r="L10333" t="s">
        <v>32296</v>
      </c>
      <c r="M10333" t="s">
        <v>32297</v>
      </c>
      <c r="N10333" t="s">
        <v>25263</v>
      </c>
      <c r="O10333" t="s">
        <v>28</v>
      </c>
      <c r="P10333" t="s">
        <v>5789</v>
      </c>
      <c r="Q10333">
        <v>13</v>
      </c>
      <c r="R10333">
        <v>77.585499999999996</v>
      </c>
    </row>
    <row r="10334" spans="1:18" x14ac:dyDescent="0.2">
      <c r="A10334" t="s">
        <v>2233</v>
      </c>
      <c r="B10334" t="s">
        <v>1638</v>
      </c>
      <c r="C10334">
        <v>1</v>
      </c>
      <c r="D10334" s="1">
        <v>44353.856435185182</v>
      </c>
      <c r="E10334" t="s">
        <v>32298</v>
      </c>
      <c r="F10334" t="s">
        <v>2236</v>
      </c>
      <c r="G10334" t="s">
        <v>32299</v>
      </c>
      <c r="H10334" t="s">
        <v>2237</v>
      </c>
      <c r="I10334" t="s">
        <v>29</v>
      </c>
      <c r="J10334">
        <v>1</v>
      </c>
      <c r="K10334">
        <f>1-888-491-1208</f>
        <v>-2586</v>
      </c>
      <c r="L10334" t="s">
        <v>32300</v>
      </c>
      <c r="M10334" t="s">
        <v>32301</v>
      </c>
      <c r="N10334" t="s">
        <v>278</v>
      </c>
      <c r="O10334" t="s">
        <v>28</v>
      </c>
      <c r="P10334" t="s">
        <v>292</v>
      </c>
      <c r="Q10334">
        <v>49</v>
      </c>
      <c r="R10334">
        <v>2.35222</v>
      </c>
    </row>
    <row r="10335" spans="1:18" x14ac:dyDescent="0.2">
      <c r="A10335" t="s">
        <v>663</v>
      </c>
      <c r="B10335" t="s">
        <v>5784</v>
      </c>
      <c r="C10335">
        <v>1</v>
      </c>
      <c r="D10335" s="1">
        <v>44353.857685185183</v>
      </c>
      <c r="E10335" t="s">
        <v>32302</v>
      </c>
      <c r="F10335" t="s">
        <v>666</v>
      </c>
      <c r="G10335" t="s">
        <v>32303</v>
      </c>
      <c r="H10335" t="s">
        <v>667</v>
      </c>
      <c r="I10335" t="s">
        <v>29</v>
      </c>
      <c r="J10335">
        <v>1</v>
      </c>
      <c r="K10335">
        <f>1-833-220-3685</f>
        <v>-4737</v>
      </c>
      <c r="L10335" t="s">
        <v>32304</v>
      </c>
      <c r="M10335" t="s">
        <v>32305</v>
      </c>
      <c r="N10335" t="s">
        <v>25263</v>
      </c>
      <c r="O10335" t="s">
        <v>28</v>
      </c>
      <c r="P10335" t="s">
        <v>5789</v>
      </c>
      <c r="Q10335">
        <v>13</v>
      </c>
      <c r="R10335">
        <v>77.585499999999996</v>
      </c>
    </row>
    <row r="10336" spans="1:18" x14ac:dyDescent="0.2">
      <c r="A10336" t="s">
        <v>2233</v>
      </c>
      <c r="B10336" t="s">
        <v>2234</v>
      </c>
      <c r="C10336">
        <v>33</v>
      </c>
      <c r="D10336" s="1">
        <v>44354.589467592596</v>
      </c>
      <c r="E10336" t="s">
        <v>32306</v>
      </c>
      <c r="F10336" t="s">
        <v>2236</v>
      </c>
      <c r="G10336" t="s">
        <v>32306</v>
      </c>
      <c r="H10336" t="s">
        <v>2237</v>
      </c>
      <c r="I10336" t="s">
        <v>292</v>
      </c>
      <c r="J10336">
        <v>33</v>
      </c>
      <c r="K10336">
        <f>33-970-405-13</f>
        <v>-1355</v>
      </c>
      <c r="L10336" t="s">
        <v>32307</v>
      </c>
      <c r="M10336" t="s">
        <v>32308</v>
      </c>
      <c r="N10336">
        <v>239</v>
      </c>
      <c r="O10336" t="s">
        <v>134</v>
      </c>
      <c r="P10336" t="s">
        <v>6188</v>
      </c>
      <c r="Q10336">
        <v>53</v>
      </c>
      <c r="R10336">
        <v>-6.2603099999999996</v>
      </c>
    </row>
    <row r="10337" spans="1:18" x14ac:dyDescent="0.2">
      <c r="A10337" t="s">
        <v>2233</v>
      </c>
      <c r="B10337" t="s">
        <v>1638</v>
      </c>
      <c r="C10337">
        <v>33</v>
      </c>
      <c r="D10337" s="1">
        <v>44354.59202546296</v>
      </c>
      <c r="E10337" t="s">
        <v>32309</v>
      </c>
      <c r="F10337" t="s">
        <v>2236</v>
      </c>
      <c r="G10337" t="s">
        <v>32310</v>
      </c>
      <c r="H10337" t="s">
        <v>2237</v>
      </c>
      <c r="I10337" t="s">
        <v>292</v>
      </c>
      <c r="J10337">
        <v>33</v>
      </c>
      <c r="K10337">
        <f>33-9-70-18-32</f>
        <v>-96</v>
      </c>
      <c r="L10337" t="s">
        <v>32311</v>
      </c>
      <c r="M10337" t="s">
        <v>32312</v>
      </c>
      <c r="N10337" t="s">
        <v>278</v>
      </c>
      <c r="O10337" t="s">
        <v>28</v>
      </c>
      <c r="P10337" t="s">
        <v>292</v>
      </c>
      <c r="Q10337">
        <v>49</v>
      </c>
      <c r="R10337">
        <v>2.35222</v>
      </c>
    </row>
    <row r="10338" spans="1:18" x14ac:dyDescent="0.2">
      <c r="A10338" t="s">
        <v>439</v>
      </c>
      <c r="B10338" t="s">
        <v>4321</v>
      </c>
      <c r="C10338">
        <v>1</v>
      </c>
      <c r="D10338" s="1">
        <v>44354.660543981481</v>
      </c>
      <c r="E10338" t="s">
        <v>32313</v>
      </c>
      <c r="F10338" t="s">
        <v>442</v>
      </c>
      <c r="G10338" t="s">
        <v>32314</v>
      </c>
      <c r="H10338" t="s">
        <v>444</v>
      </c>
      <c r="I10338" t="s">
        <v>29</v>
      </c>
      <c r="J10338">
        <v>1</v>
      </c>
      <c r="K10338">
        <f>1-855-795-2663</f>
        <v>-4312</v>
      </c>
      <c r="L10338" t="s">
        <v>32315</v>
      </c>
      <c r="M10338" t="s">
        <v>32316</v>
      </c>
      <c r="N10338" t="s">
        <v>447</v>
      </c>
      <c r="O10338" t="s">
        <v>28</v>
      </c>
      <c r="P10338" t="s">
        <v>29</v>
      </c>
      <c r="Q10338">
        <v>42</v>
      </c>
      <c r="R10338">
        <v>-87.629800000000003</v>
      </c>
    </row>
    <row r="10339" spans="1:18" x14ac:dyDescent="0.2">
      <c r="A10339" t="s">
        <v>439</v>
      </c>
      <c r="B10339" t="s">
        <v>4321</v>
      </c>
      <c r="C10339">
        <v>1</v>
      </c>
      <c r="D10339" s="1">
        <v>44355.771168981482</v>
      </c>
      <c r="E10339" t="s">
        <v>32317</v>
      </c>
      <c r="F10339" t="s">
        <v>442</v>
      </c>
      <c r="G10339" t="s">
        <v>32318</v>
      </c>
      <c r="H10339" t="s">
        <v>444</v>
      </c>
      <c r="I10339" t="s">
        <v>29</v>
      </c>
      <c r="J10339">
        <v>1</v>
      </c>
      <c r="K10339">
        <f>1-844-384-5692</f>
        <v>-6919</v>
      </c>
      <c r="L10339" t="s">
        <v>32319</v>
      </c>
      <c r="M10339" t="s">
        <v>32320</v>
      </c>
      <c r="N10339" t="s">
        <v>447</v>
      </c>
      <c r="O10339" t="s">
        <v>28</v>
      </c>
      <c r="P10339" t="s">
        <v>29</v>
      </c>
      <c r="Q10339">
        <v>42</v>
      </c>
      <c r="R10339">
        <v>-87.629800000000003</v>
      </c>
    </row>
    <row r="10340" spans="1:18" x14ac:dyDescent="0.2">
      <c r="A10340" t="s">
        <v>439</v>
      </c>
      <c r="B10340" t="s">
        <v>4321</v>
      </c>
      <c r="C10340">
        <v>1</v>
      </c>
      <c r="D10340" s="1">
        <v>44354.783946759257</v>
      </c>
      <c r="E10340" t="s">
        <v>32321</v>
      </c>
      <c r="F10340" t="s">
        <v>442</v>
      </c>
      <c r="G10340" t="s">
        <v>32322</v>
      </c>
      <c r="H10340" t="s">
        <v>444</v>
      </c>
      <c r="I10340" t="s">
        <v>29</v>
      </c>
      <c r="J10340">
        <v>1</v>
      </c>
      <c r="K10340">
        <f>1-844-910-4482</f>
        <v>-6235</v>
      </c>
      <c r="L10340" t="s">
        <v>32323</v>
      </c>
      <c r="M10340" t="s">
        <v>32324</v>
      </c>
      <c r="N10340" t="s">
        <v>213</v>
      </c>
      <c r="O10340" t="s">
        <v>28</v>
      </c>
      <c r="P10340" t="s">
        <v>29</v>
      </c>
      <c r="Q10340">
        <v>42</v>
      </c>
      <c r="R10340">
        <v>-87.629800000000003</v>
      </c>
    </row>
    <row r="10341" spans="1:18" x14ac:dyDescent="0.2">
      <c r="A10341" t="s">
        <v>663</v>
      </c>
      <c r="B10341" t="s">
        <v>5784</v>
      </c>
      <c r="C10341">
        <v>1</v>
      </c>
      <c r="D10341" s="1">
        <v>44354.814953703702</v>
      </c>
      <c r="E10341" t="s">
        <v>32325</v>
      </c>
      <c r="F10341" t="s">
        <v>666</v>
      </c>
      <c r="G10341" t="s">
        <v>32326</v>
      </c>
      <c r="H10341" t="s">
        <v>667</v>
      </c>
      <c r="I10341" t="s">
        <v>29</v>
      </c>
      <c r="J10341">
        <v>1</v>
      </c>
      <c r="K10341">
        <f>1-844-297-822</f>
        <v>-1962</v>
      </c>
      <c r="L10341" t="s">
        <v>32327</v>
      </c>
      <c r="M10341" t="s">
        <v>32328</v>
      </c>
      <c r="N10341" t="s">
        <v>25263</v>
      </c>
      <c r="O10341" t="s">
        <v>28</v>
      </c>
      <c r="P10341" t="s">
        <v>5789</v>
      </c>
      <c r="Q10341">
        <v>13</v>
      </c>
      <c r="R10341">
        <v>77.585499999999996</v>
      </c>
    </row>
    <row r="10342" spans="1:18" x14ac:dyDescent="0.2">
      <c r="A10342" t="s">
        <v>2233</v>
      </c>
      <c r="B10342" t="s">
        <v>1638</v>
      </c>
      <c r="C10342">
        <v>1</v>
      </c>
      <c r="D10342" s="1">
        <v>44354.825208333335</v>
      </c>
      <c r="E10342" t="s">
        <v>32329</v>
      </c>
      <c r="F10342" t="s">
        <v>7023</v>
      </c>
      <c r="G10342" t="s">
        <v>32330</v>
      </c>
      <c r="H10342" t="s">
        <v>2237</v>
      </c>
      <c r="I10342" t="s">
        <v>29</v>
      </c>
      <c r="J10342">
        <v>1</v>
      </c>
      <c r="K10342">
        <f>1-888-401-5130</f>
        <v>-6418</v>
      </c>
      <c r="L10342" t="s">
        <v>32331</v>
      </c>
      <c r="M10342" t="s">
        <v>32332</v>
      </c>
      <c r="N10342" t="s">
        <v>278</v>
      </c>
      <c r="O10342" t="s">
        <v>28</v>
      </c>
      <c r="P10342" t="s">
        <v>292</v>
      </c>
      <c r="Q10342">
        <v>49</v>
      </c>
      <c r="R10342">
        <v>2.35222</v>
      </c>
    </row>
    <row r="10343" spans="1:18" x14ac:dyDescent="0.2">
      <c r="A10343" t="s">
        <v>2233</v>
      </c>
      <c r="B10343" t="s">
        <v>1638</v>
      </c>
      <c r="C10343">
        <v>1</v>
      </c>
      <c r="D10343" s="1">
        <v>44354.852303240739</v>
      </c>
      <c r="E10343" t="s">
        <v>32333</v>
      </c>
      <c r="F10343" t="s">
        <v>2236</v>
      </c>
      <c r="G10343" t="s">
        <v>32334</v>
      </c>
      <c r="H10343" t="s">
        <v>2237</v>
      </c>
      <c r="I10343" t="s">
        <v>29</v>
      </c>
      <c r="J10343">
        <v>1</v>
      </c>
      <c r="K10343">
        <f>1-888-383-569</f>
        <v>-1839</v>
      </c>
      <c r="L10343" t="s">
        <v>32335</v>
      </c>
      <c r="M10343" t="s">
        <v>32336</v>
      </c>
      <c r="N10343" t="s">
        <v>278</v>
      </c>
      <c r="O10343" t="s">
        <v>28</v>
      </c>
      <c r="P10343" t="s">
        <v>292</v>
      </c>
      <c r="Q10343">
        <v>49</v>
      </c>
      <c r="R10343">
        <v>2.35222</v>
      </c>
    </row>
    <row r="10344" spans="1:18" x14ac:dyDescent="0.2">
      <c r="A10344" t="s">
        <v>2233</v>
      </c>
      <c r="B10344" t="s">
        <v>1638</v>
      </c>
      <c r="C10344">
        <v>1</v>
      </c>
      <c r="D10344" s="1">
        <v>44354.852777777778</v>
      </c>
      <c r="E10344" t="s">
        <v>32333</v>
      </c>
      <c r="F10344" t="s">
        <v>2236</v>
      </c>
      <c r="G10344" t="s">
        <v>32337</v>
      </c>
      <c r="H10344" t="s">
        <v>2237</v>
      </c>
      <c r="I10344" t="s">
        <v>29</v>
      </c>
      <c r="J10344">
        <v>1</v>
      </c>
      <c r="K10344">
        <f>1-888-506-477</f>
        <v>-1870</v>
      </c>
      <c r="L10344" t="s">
        <v>32338</v>
      </c>
      <c r="M10344" t="s">
        <v>32339</v>
      </c>
      <c r="N10344" t="s">
        <v>278</v>
      </c>
      <c r="O10344" t="s">
        <v>28</v>
      </c>
      <c r="P10344" t="s">
        <v>292</v>
      </c>
      <c r="Q10344">
        <v>49</v>
      </c>
      <c r="R10344">
        <v>2.35222</v>
      </c>
    </row>
    <row r="10345" spans="1:18" x14ac:dyDescent="0.2">
      <c r="A10345" t="s">
        <v>663</v>
      </c>
      <c r="B10345" t="s">
        <v>5784</v>
      </c>
      <c r="C10345">
        <v>1</v>
      </c>
      <c r="D10345" s="1">
        <v>44354.853206018517</v>
      </c>
      <c r="E10345" t="s">
        <v>32340</v>
      </c>
      <c r="F10345" t="s">
        <v>666</v>
      </c>
      <c r="G10345" t="s">
        <v>32341</v>
      </c>
      <c r="H10345" t="s">
        <v>667</v>
      </c>
      <c r="I10345" t="s">
        <v>29</v>
      </c>
      <c r="J10345">
        <v>1</v>
      </c>
      <c r="K10345">
        <f>1-833-888-690</f>
        <v>-2410</v>
      </c>
      <c r="L10345" t="s">
        <v>32342</v>
      </c>
      <c r="M10345" t="s">
        <v>32343</v>
      </c>
      <c r="N10345" t="s">
        <v>25263</v>
      </c>
      <c r="O10345" t="s">
        <v>28</v>
      </c>
      <c r="P10345" t="s">
        <v>5789</v>
      </c>
      <c r="Q10345">
        <v>13</v>
      </c>
      <c r="R10345">
        <v>77.585499999999996</v>
      </c>
    </row>
    <row r="10346" spans="1:18" x14ac:dyDescent="0.2">
      <c r="A10346" t="s">
        <v>439</v>
      </c>
      <c r="B10346" t="s">
        <v>4321</v>
      </c>
      <c r="C10346">
        <v>1</v>
      </c>
      <c r="D10346" s="1">
        <v>44354.857592592591</v>
      </c>
      <c r="E10346" t="s">
        <v>32344</v>
      </c>
      <c r="F10346" t="s">
        <v>442</v>
      </c>
      <c r="G10346" t="s">
        <v>32345</v>
      </c>
      <c r="H10346" t="s">
        <v>444</v>
      </c>
      <c r="I10346" t="s">
        <v>29</v>
      </c>
      <c r="J10346">
        <v>1</v>
      </c>
      <c r="K10346">
        <f>1-844-295-1307</f>
        <v>-2445</v>
      </c>
      <c r="L10346" t="s">
        <v>32346</v>
      </c>
      <c r="M10346" t="s">
        <v>32347</v>
      </c>
      <c r="N10346" t="s">
        <v>213</v>
      </c>
      <c r="O10346" t="s">
        <v>28</v>
      </c>
      <c r="P10346" t="s">
        <v>29</v>
      </c>
      <c r="Q10346">
        <v>42</v>
      </c>
      <c r="R10346">
        <v>-87.629800000000003</v>
      </c>
    </row>
    <row r="10347" spans="1:18" x14ac:dyDescent="0.2">
      <c r="A10347" t="s">
        <v>663</v>
      </c>
      <c r="B10347" t="s">
        <v>5784</v>
      </c>
      <c r="C10347">
        <v>1</v>
      </c>
      <c r="D10347" s="1">
        <v>44354.857708333337</v>
      </c>
      <c r="E10347" t="s">
        <v>32348</v>
      </c>
      <c r="F10347" t="s">
        <v>666</v>
      </c>
      <c r="G10347" t="s">
        <v>32349</v>
      </c>
      <c r="H10347" t="s">
        <v>667</v>
      </c>
      <c r="I10347" t="s">
        <v>29</v>
      </c>
      <c r="J10347">
        <v>1</v>
      </c>
      <c r="K10347">
        <f>1-844-389-1775</f>
        <v>-3007</v>
      </c>
      <c r="L10347" t="s">
        <v>32350</v>
      </c>
      <c r="M10347" t="s">
        <v>32351</v>
      </c>
      <c r="N10347" t="s">
        <v>25263</v>
      </c>
      <c r="O10347" t="s">
        <v>28</v>
      </c>
      <c r="P10347" t="s">
        <v>5789</v>
      </c>
      <c r="Q10347">
        <v>13</v>
      </c>
      <c r="R10347">
        <v>77.585499999999996</v>
      </c>
    </row>
    <row r="10348" spans="1:18" x14ac:dyDescent="0.2">
      <c r="A10348" t="s">
        <v>439</v>
      </c>
      <c r="B10348" t="s">
        <v>4321</v>
      </c>
      <c r="C10348">
        <v>1</v>
      </c>
      <c r="D10348" s="1">
        <v>44354.863287037035</v>
      </c>
      <c r="E10348" t="s">
        <v>32352</v>
      </c>
      <c r="F10348" t="s">
        <v>442</v>
      </c>
      <c r="G10348" t="s">
        <v>32353</v>
      </c>
      <c r="H10348" t="s">
        <v>444</v>
      </c>
      <c r="I10348" t="s">
        <v>29</v>
      </c>
      <c r="J10348">
        <v>1</v>
      </c>
      <c r="K10348">
        <f>1-844-295-1307</f>
        <v>-2445</v>
      </c>
      <c r="L10348" t="s">
        <v>32354</v>
      </c>
      <c r="M10348" t="s">
        <v>32355</v>
      </c>
      <c r="N10348" t="s">
        <v>447</v>
      </c>
      <c r="O10348" t="s">
        <v>28</v>
      </c>
      <c r="P10348" t="s">
        <v>29</v>
      </c>
      <c r="Q10348">
        <v>42</v>
      </c>
      <c r="R10348">
        <v>-87.629800000000003</v>
      </c>
    </row>
    <row r="10349" spans="1:18" x14ac:dyDescent="0.2">
      <c r="A10349" t="s">
        <v>439</v>
      </c>
      <c r="B10349" t="s">
        <v>4321</v>
      </c>
      <c r="C10349">
        <v>1</v>
      </c>
      <c r="D10349" s="1">
        <v>44354.894212962965</v>
      </c>
      <c r="E10349" t="s">
        <v>32356</v>
      </c>
      <c r="F10349" t="s">
        <v>442</v>
      </c>
      <c r="G10349" t="s">
        <v>32357</v>
      </c>
      <c r="H10349" t="s">
        <v>444</v>
      </c>
      <c r="I10349" t="s">
        <v>29</v>
      </c>
      <c r="J10349">
        <v>1</v>
      </c>
      <c r="K10349">
        <f>1-844-248-121</f>
        <v>-1212</v>
      </c>
      <c r="L10349" t="s">
        <v>32358</v>
      </c>
      <c r="M10349" t="s">
        <v>32359</v>
      </c>
      <c r="N10349" t="s">
        <v>452</v>
      </c>
      <c r="O10349" t="s">
        <v>28</v>
      </c>
      <c r="P10349" t="s">
        <v>29</v>
      </c>
      <c r="Q10349">
        <v>42</v>
      </c>
      <c r="R10349">
        <v>-87.629800000000003</v>
      </c>
    </row>
    <row r="10350" spans="1:18" x14ac:dyDescent="0.2">
      <c r="A10350" t="s">
        <v>439</v>
      </c>
      <c r="B10350" t="s">
        <v>4321</v>
      </c>
      <c r="C10350">
        <v>1</v>
      </c>
      <c r="D10350" s="1">
        <v>44354.893912037034</v>
      </c>
      <c r="E10350" t="s">
        <v>32356</v>
      </c>
      <c r="F10350" t="s">
        <v>442</v>
      </c>
      <c r="G10350" t="s">
        <v>32357</v>
      </c>
      <c r="H10350" t="s">
        <v>444</v>
      </c>
      <c r="I10350" t="s">
        <v>29</v>
      </c>
      <c r="J10350">
        <v>1</v>
      </c>
      <c r="K10350">
        <f>1-844-322-8635</f>
        <v>-9800</v>
      </c>
      <c r="L10350" t="s">
        <v>32360</v>
      </c>
      <c r="M10350" t="s">
        <v>32361</v>
      </c>
      <c r="N10350" t="s">
        <v>452</v>
      </c>
      <c r="O10350" t="s">
        <v>28</v>
      </c>
      <c r="P10350" t="s">
        <v>29</v>
      </c>
      <c r="Q10350">
        <v>42</v>
      </c>
      <c r="R10350">
        <v>-87.629800000000003</v>
      </c>
    </row>
    <row r="10351" spans="1:18" x14ac:dyDescent="0.2">
      <c r="A10351" t="s">
        <v>439</v>
      </c>
      <c r="B10351" t="s">
        <v>4321</v>
      </c>
      <c r="C10351">
        <v>1</v>
      </c>
      <c r="D10351" s="1">
        <v>44354.891770833332</v>
      </c>
      <c r="E10351" t="s">
        <v>32356</v>
      </c>
      <c r="F10351" t="s">
        <v>442</v>
      </c>
      <c r="G10351" t="s">
        <v>32357</v>
      </c>
      <c r="H10351" t="s">
        <v>444</v>
      </c>
      <c r="I10351" t="s">
        <v>29</v>
      </c>
      <c r="J10351">
        <v>1</v>
      </c>
      <c r="K10351">
        <f>1-844-385-2875</f>
        <v>-4103</v>
      </c>
      <c r="L10351" t="s">
        <v>32362</v>
      </c>
      <c r="M10351" t="s">
        <v>32363</v>
      </c>
      <c r="N10351" t="s">
        <v>452</v>
      </c>
      <c r="O10351" t="s">
        <v>28</v>
      </c>
      <c r="P10351" t="s">
        <v>29</v>
      </c>
      <c r="Q10351">
        <v>42</v>
      </c>
      <c r="R10351">
        <v>-87.629800000000003</v>
      </c>
    </row>
    <row r="10352" spans="1:18" x14ac:dyDescent="0.2">
      <c r="A10352" t="s">
        <v>439</v>
      </c>
      <c r="B10352" t="s">
        <v>4321</v>
      </c>
      <c r="C10352">
        <v>1</v>
      </c>
      <c r="D10352" s="1">
        <v>44354.880983796298</v>
      </c>
      <c r="E10352" t="s">
        <v>32356</v>
      </c>
      <c r="F10352" t="s">
        <v>442</v>
      </c>
      <c r="G10352" t="s">
        <v>32357</v>
      </c>
      <c r="H10352" t="s">
        <v>444</v>
      </c>
      <c r="I10352" t="s">
        <v>29</v>
      </c>
      <c r="J10352">
        <v>1</v>
      </c>
      <c r="K10352">
        <f>1-888-304-1384</f>
        <v>-2575</v>
      </c>
      <c r="L10352" t="s">
        <v>32364</v>
      </c>
      <c r="M10352" t="s">
        <v>32365</v>
      </c>
      <c r="N10352" t="s">
        <v>452</v>
      </c>
      <c r="O10352" t="s">
        <v>28</v>
      </c>
      <c r="P10352" t="s">
        <v>29</v>
      </c>
      <c r="Q10352">
        <v>42</v>
      </c>
      <c r="R10352">
        <v>-87.629800000000003</v>
      </c>
    </row>
    <row r="10353" spans="1:18" x14ac:dyDescent="0.2">
      <c r="A10353" t="s">
        <v>439</v>
      </c>
      <c r="B10353" t="s">
        <v>4321</v>
      </c>
      <c r="C10353">
        <v>1</v>
      </c>
      <c r="D10353" s="1">
        <v>44354.892604166664</v>
      </c>
      <c r="E10353" t="s">
        <v>32356</v>
      </c>
      <c r="F10353" t="s">
        <v>442</v>
      </c>
      <c r="G10353" t="s">
        <v>32366</v>
      </c>
      <c r="H10353" t="s">
        <v>444</v>
      </c>
      <c r="I10353" t="s">
        <v>29</v>
      </c>
      <c r="J10353">
        <v>1</v>
      </c>
      <c r="K10353">
        <f>1-844-342-787</f>
        <v>-1972</v>
      </c>
      <c r="L10353" t="s">
        <v>32367</v>
      </c>
      <c r="M10353" t="s">
        <v>32368</v>
      </c>
      <c r="N10353" t="s">
        <v>452</v>
      </c>
      <c r="O10353" t="s">
        <v>28</v>
      </c>
      <c r="P10353" t="s">
        <v>29</v>
      </c>
      <c r="Q10353">
        <v>42</v>
      </c>
      <c r="R10353">
        <v>-87.629800000000003</v>
      </c>
    </row>
    <row r="10354" spans="1:18" x14ac:dyDescent="0.2">
      <c r="A10354" t="s">
        <v>2233</v>
      </c>
      <c r="B10354" t="s">
        <v>1638</v>
      </c>
      <c r="C10354">
        <v>1</v>
      </c>
      <c r="D10354" s="1">
        <v>44355.752534722225</v>
      </c>
      <c r="E10354" t="s">
        <v>32369</v>
      </c>
      <c r="F10354" t="s">
        <v>2236</v>
      </c>
      <c r="G10354" t="s">
        <v>32370</v>
      </c>
      <c r="H10354" t="s">
        <v>2237</v>
      </c>
      <c r="I10354" t="s">
        <v>29</v>
      </c>
      <c r="J10354">
        <v>1</v>
      </c>
      <c r="K10354">
        <f>1-888-304-1372</f>
        <v>-2563</v>
      </c>
      <c r="L10354" t="s">
        <v>32371</v>
      </c>
      <c r="M10354" t="s">
        <v>32372</v>
      </c>
      <c r="N10354" t="s">
        <v>278</v>
      </c>
      <c r="O10354" t="s">
        <v>28</v>
      </c>
      <c r="P10354" t="s">
        <v>292</v>
      </c>
      <c r="Q10354">
        <v>49</v>
      </c>
      <c r="R10354">
        <v>2.35222</v>
      </c>
    </row>
    <row r="10355" spans="1:18" x14ac:dyDescent="0.2">
      <c r="A10355" t="s">
        <v>2233</v>
      </c>
      <c r="B10355" t="s">
        <v>1638</v>
      </c>
      <c r="C10355">
        <v>1</v>
      </c>
      <c r="D10355" s="1">
        <v>44355.75340277778</v>
      </c>
      <c r="E10355" t="s">
        <v>32369</v>
      </c>
      <c r="F10355" t="s">
        <v>2236</v>
      </c>
      <c r="G10355" t="s">
        <v>32370</v>
      </c>
      <c r="H10355" t="s">
        <v>2237</v>
      </c>
      <c r="I10355" t="s">
        <v>29</v>
      </c>
      <c r="J10355">
        <v>1</v>
      </c>
      <c r="K10355">
        <f>1-888-351-6176</f>
        <v>-7414</v>
      </c>
      <c r="L10355" t="s">
        <v>32373</v>
      </c>
      <c r="M10355" t="s">
        <v>32374</v>
      </c>
      <c r="N10355" t="s">
        <v>278</v>
      </c>
      <c r="O10355" t="s">
        <v>28</v>
      </c>
      <c r="P10355" t="s">
        <v>292</v>
      </c>
      <c r="Q10355">
        <v>49</v>
      </c>
      <c r="R10355">
        <v>2.35222</v>
      </c>
    </row>
    <row r="10356" spans="1:18" x14ac:dyDescent="0.2">
      <c r="A10356" t="s">
        <v>2233</v>
      </c>
      <c r="B10356" t="s">
        <v>1638</v>
      </c>
      <c r="C10356">
        <v>1</v>
      </c>
      <c r="D10356" s="1">
        <v>44355.768726851849</v>
      </c>
      <c r="E10356" t="s">
        <v>32369</v>
      </c>
      <c r="F10356" t="s">
        <v>2236</v>
      </c>
      <c r="G10356" t="s">
        <v>32370</v>
      </c>
      <c r="H10356" t="s">
        <v>2237</v>
      </c>
      <c r="I10356" t="s">
        <v>29</v>
      </c>
      <c r="J10356">
        <v>1</v>
      </c>
      <c r="K10356">
        <f>1-888-291-166</f>
        <v>-1344</v>
      </c>
      <c r="L10356" t="s">
        <v>32375</v>
      </c>
      <c r="M10356" t="s">
        <v>32376</v>
      </c>
      <c r="N10356" t="s">
        <v>278</v>
      </c>
      <c r="O10356" t="s">
        <v>28</v>
      </c>
      <c r="P10356" t="s">
        <v>292</v>
      </c>
      <c r="Q10356">
        <v>49</v>
      </c>
      <c r="R10356">
        <v>2.35222</v>
      </c>
    </row>
    <row r="10357" spans="1:18" x14ac:dyDescent="0.2">
      <c r="A10357" t="s">
        <v>663</v>
      </c>
      <c r="B10357" t="s">
        <v>5784</v>
      </c>
      <c r="C10357">
        <v>1</v>
      </c>
      <c r="D10357" s="1">
        <v>44355.752962962964</v>
      </c>
      <c r="E10357" t="s">
        <v>32377</v>
      </c>
      <c r="F10357" t="s">
        <v>666</v>
      </c>
      <c r="G10357" t="s">
        <v>32378</v>
      </c>
      <c r="H10357" t="s">
        <v>667</v>
      </c>
      <c r="I10357" t="s">
        <v>29</v>
      </c>
      <c r="J10357">
        <v>1</v>
      </c>
      <c r="K10357">
        <f>1-833-220-3950</f>
        <v>-5002</v>
      </c>
      <c r="L10357" t="s">
        <v>32379</v>
      </c>
      <c r="M10357" t="s">
        <v>32380</v>
      </c>
      <c r="N10357" t="s">
        <v>25263</v>
      </c>
      <c r="O10357" t="s">
        <v>28</v>
      </c>
      <c r="P10357" t="s">
        <v>5789</v>
      </c>
      <c r="Q10357">
        <v>13</v>
      </c>
      <c r="R10357">
        <v>77.585499999999996</v>
      </c>
    </row>
    <row r="10358" spans="1:18" x14ac:dyDescent="0.2">
      <c r="A10358" t="s">
        <v>663</v>
      </c>
      <c r="B10358" t="s">
        <v>454</v>
      </c>
      <c r="C10358">
        <v>1</v>
      </c>
      <c r="D10358" s="1">
        <v>44355.015115740738</v>
      </c>
      <c r="E10358" t="s">
        <v>32381</v>
      </c>
      <c r="F10358" t="s">
        <v>666</v>
      </c>
      <c r="G10358" t="s">
        <v>32381</v>
      </c>
      <c r="H10358" t="s">
        <v>667</v>
      </c>
      <c r="I10358" t="s">
        <v>29</v>
      </c>
      <c r="J10358">
        <v>1</v>
      </c>
      <c r="K10358">
        <f>1-844-374-3934</f>
        <v>-5151</v>
      </c>
      <c r="L10358" t="s">
        <v>32382</v>
      </c>
      <c r="M10358" t="s">
        <v>32383</v>
      </c>
      <c r="N10358">
        <v>142</v>
      </c>
      <c r="O10358" t="s">
        <v>134</v>
      </c>
      <c r="P10358" t="s">
        <v>461</v>
      </c>
      <c r="Q10358">
        <v>52</v>
      </c>
      <c r="R10358">
        <v>4.9391999999999996</v>
      </c>
    </row>
    <row r="10359" spans="1:18" x14ac:dyDescent="0.2">
      <c r="A10359" t="s">
        <v>663</v>
      </c>
      <c r="B10359" t="s">
        <v>454</v>
      </c>
      <c r="C10359">
        <v>1</v>
      </c>
      <c r="D10359" s="1">
        <v>44354.931712962964</v>
      </c>
      <c r="E10359" t="s">
        <v>32381</v>
      </c>
      <c r="F10359" t="s">
        <v>666</v>
      </c>
      <c r="G10359" t="s">
        <v>32381</v>
      </c>
      <c r="H10359" t="s">
        <v>667</v>
      </c>
      <c r="I10359" t="s">
        <v>29</v>
      </c>
      <c r="J10359">
        <v>1</v>
      </c>
      <c r="K10359">
        <f>1-877-863-5778</f>
        <v>-7517</v>
      </c>
      <c r="L10359" t="s">
        <v>32384</v>
      </c>
      <c r="M10359" t="s">
        <v>32385</v>
      </c>
      <c r="N10359">
        <v>142</v>
      </c>
      <c r="O10359" t="s">
        <v>134</v>
      </c>
      <c r="P10359" t="s">
        <v>461</v>
      </c>
      <c r="Q10359">
        <v>52</v>
      </c>
      <c r="R10359">
        <v>4.9391999999999996</v>
      </c>
    </row>
    <row r="10360" spans="1:18" x14ac:dyDescent="0.2">
      <c r="A10360" t="s">
        <v>2233</v>
      </c>
      <c r="B10360" t="s">
        <v>1638</v>
      </c>
      <c r="C10360">
        <v>1</v>
      </c>
      <c r="D10360" s="1">
        <v>44355.748680555553</v>
      </c>
      <c r="E10360" t="s">
        <v>32369</v>
      </c>
      <c r="F10360" t="s">
        <v>2236</v>
      </c>
      <c r="G10360" t="s">
        <v>32386</v>
      </c>
      <c r="H10360" t="s">
        <v>2237</v>
      </c>
      <c r="I10360" t="s">
        <v>29</v>
      </c>
      <c r="J10360">
        <v>1</v>
      </c>
      <c r="K10360">
        <f>1-888-614-2598</f>
        <v>-4099</v>
      </c>
      <c r="L10360" t="s">
        <v>32387</v>
      </c>
      <c r="M10360" t="s">
        <v>32388</v>
      </c>
      <c r="N10360" t="s">
        <v>278</v>
      </c>
      <c r="O10360" t="s">
        <v>28</v>
      </c>
      <c r="P10360" t="s">
        <v>292</v>
      </c>
      <c r="Q10360">
        <v>49</v>
      </c>
      <c r="R10360">
        <v>2.35222</v>
      </c>
    </row>
    <row r="10361" spans="1:18" x14ac:dyDescent="0.2">
      <c r="A10361" t="s">
        <v>439</v>
      </c>
      <c r="B10361" t="s">
        <v>4321</v>
      </c>
      <c r="C10361">
        <v>1</v>
      </c>
      <c r="D10361" s="1">
        <v>44355.634930555556</v>
      </c>
      <c r="E10361" t="s">
        <v>32389</v>
      </c>
      <c r="F10361" t="s">
        <v>442</v>
      </c>
      <c r="G10361" t="s">
        <v>32390</v>
      </c>
      <c r="H10361" t="s">
        <v>444</v>
      </c>
      <c r="I10361" t="s">
        <v>29</v>
      </c>
      <c r="J10361">
        <v>1</v>
      </c>
      <c r="K10361">
        <f>1-844-322-8635</f>
        <v>-9800</v>
      </c>
      <c r="L10361" t="s">
        <v>32391</v>
      </c>
      <c r="M10361" t="s">
        <v>32392</v>
      </c>
      <c r="N10361" t="s">
        <v>452</v>
      </c>
      <c r="O10361" t="s">
        <v>28</v>
      </c>
      <c r="P10361" t="s">
        <v>29</v>
      </c>
      <c r="Q10361">
        <v>42</v>
      </c>
      <c r="R10361">
        <v>-87.629800000000003</v>
      </c>
    </row>
    <row r="10362" spans="1:18" x14ac:dyDescent="0.2">
      <c r="A10362" t="s">
        <v>439</v>
      </c>
      <c r="B10362" t="s">
        <v>4321</v>
      </c>
      <c r="C10362">
        <v>1</v>
      </c>
      <c r="D10362" s="1">
        <v>44355.634236111109</v>
      </c>
      <c r="E10362" t="s">
        <v>32389</v>
      </c>
      <c r="F10362" t="s">
        <v>442</v>
      </c>
      <c r="G10362" t="s">
        <v>32390</v>
      </c>
      <c r="H10362" t="s">
        <v>444</v>
      </c>
      <c r="I10362" t="s">
        <v>29</v>
      </c>
      <c r="J10362">
        <v>1</v>
      </c>
      <c r="K10362">
        <f>1-844-342-787</f>
        <v>-1972</v>
      </c>
      <c r="L10362" t="s">
        <v>32393</v>
      </c>
      <c r="M10362" t="s">
        <v>32394</v>
      </c>
      <c r="N10362" t="s">
        <v>452</v>
      </c>
      <c r="O10362" t="s">
        <v>28</v>
      </c>
      <c r="P10362" t="s">
        <v>29</v>
      </c>
      <c r="Q10362">
        <v>42</v>
      </c>
      <c r="R10362">
        <v>-87.629800000000003</v>
      </c>
    </row>
    <row r="10363" spans="1:18" x14ac:dyDescent="0.2">
      <c r="A10363" t="s">
        <v>439</v>
      </c>
      <c r="B10363" t="s">
        <v>4321</v>
      </c>
      <c r="C10363">
        <v>1</v>
      </c>
      <c r="D10363" s="1">
        <v>44355.63386574074</v>
      </c>
      <c r="E10363" t="s">
        <v>32389</v>
      </c>
      <c r="F10363" t="s">
        <v>442</v>
      </c>
      <c r="G10363" t="s">
        <v>32390</v>
      </c>
      <c r="H10363" t="s">
        <v>444</v>
      </c>
      <c r="I10363" t="s">
        <v>29</v>
      </c>
      <c r="J10363">
        <v>1</v>
      </c>
      <c r="K10363">
        <f>1-844-385-2875</f>
        <v>-4103</v>
      </c>
      <c r="L10363" t="s">
        <v>32395</v>
      </c>
      <c r="M10363" t="s">
        <v>32396</v>
      </c>
      <c r="N10363" t="s">
        <v>452</v>
      </c>
      <c r="O10363" t="s">
        <v>28</v>
      </c>
      <c r="P10363" t="s">
        <v>29</v>
      </c>
      <c r="Q10363">
        <v>42</v>
      </c>
      <c r="R10363">
        <v>-87.629800000000003</v>
      </c>
    </row>
    <row r="10364" spans="1:18" x14ac:dyDescent="0.2">
      <c r="A10364" t="s">
        <v>439</v>
      </c>
      <c r="B10364" t="s">
        <v>4321</v>
      </c>
      <c r="C10364">
        <v>1</v>
      </c>
      <c r="D10364" s="1">
        <v>44355.634664351855</v>
      </c>
      <c r="E10364" t="s">
        <v>32389</v>
      </c>
      <c r="F10364" t="s">
        <v>442</v>
      </c>
      <c r="G10364" t="s">
        <v>32397</v>
      </c>
      <c r="H10364" t="s">
        <v>444</v>
      </c>
      <c r="I10364" t="s">
        <v>29</v>
      </c>
      <c r="J10364">
        <v>1</v>
      </c>
      <c r="K10364">
        <f>1-844-248-121</f>
        <v>-1212</v>
      </c>
      <c r="L10364" t="s">
        <v>32398</v>
      </c>
      <c r="M10364" t="s">
        <v>32399</v>
      </c>
      <c r="N10364" t="s">
        <v>452</v>
      </c>
      <c r="O10364" t="s">
        <v>28</v>
      </c>
      <c r="P10364" t="s">
        <v>29</v>
      </c>
      <c r="Q10364">
        <v>42</v>
      </c>
      <c r="R10364">
        <v>-87.629800000000003</v>
      </c>
    </row>
    <row r="10365" spans="1:18" x14ac:dyDescent="0.2">
      <c r="A10365" t="s">
        <v>439</v>
      </c>
      <c r="B10365" t="s">
        <v>4321</v>
      </c>
      <c r="C10365">
        <v>1</v>
      </c>
      <c r="D10365" s="1">
        <v>44355.695810185185</v>
      </c>
      <c r="E10365" t="s">
        <v>32400</v>
      </c>
      <c r="F10365" t="s">
        <v>442</v>
      </c>
      <c r="G10365" t="s">
        <v>32401</v>
      </c>
      <c r="H10365" t="s">
        <v>444</v>
      </c>
      <c r="I10365" t="s">
        <v>29</v>
      </c>
      <c r="J10365">
        <v>1</v>
      </c>
      <c r="K10365">
        <f>1-877-349-1193</f>
        <v>-2418</v>
      </c>
      <c r="L10365" t="s">
        <v>32402</v>
      </c>
      <c r="M10365" t="s">
        <v>32403</v>
      </c>
      <c r="N10365" t="s">
        <v>213</v>
      </c>
      <c r="O10365" t="s">
        <v>28</v>
      </c>
      <c r="P10365" t="s">
        <v>29</v>
      </c>
      <c r="Q10365">
        <v>42</v>
      </c>
      <c r="R10365">
        <v>-87.629800000000003</v>
      </c>
    </row>
    <row r="10366" spans="1:18" x14ac:dyDescent="0.2">
      <c r="A10366" t="s">
        <v>2233</v>
      </c>
      <c r="B10366" t="s">
        <v>1638</v>
      </c>
      <c r="C10366">
        <v>1</v>
      </c>
      <c r="D10366" s="1">
        <v>44355.842268518521</v>
      </c>
      <c r="E10366" t="s">
        <v>32404</v>
      </c>
      <c r="F10366" t="s">
        <v>2236</v>
      </c>
      <c r="G10366" t="s">
        <v>32405</v>
      </c>
      <c r="H10366" t="s">
        <v>2237</v>
      </c>
      <c r="I10366" t="s">
        <v>29</v>
      </c>
      <c r="J10366">
        <v>1</v>
      </c>
      <c r="K10366">
        <f>1-888-705-836</f>
        <v>-2428</v>
      </c>
      <c r="L10366" t="s">
        <v>32406</v>
      </c>
      <c r="M10366" t="s">
        <v>32407</v>
      </c>
      <c r="N10366" t="s">
        <v>278</v>
      </c>
      <c r="O10366" t="s">
        <v>28</v>
      </c>
      <c r="P10366" t="s">
        <v>292</v>
      </c>
      <c r="Q10366">
        <v>49</v>
      </c>
      <c r="R10366">
        <v>2.35222</v>
      </c>
    </row>
    <row r="10367" spans="1:18" x14ac:dyDescent="0.2">
      <c r="A10367" t="s">
        <v>663</v>
      </c>
      <c r="B10367" t="s">
        <v>2493</v>
      </c>
      <c r="C10367">
        <v>1</v>
      </c>
      <c r="D10367" s="1">
        <v>44355.847685185188</v>
      </c>
      <c r="E10367" t="s">
        <v>32408</v>
      </c>
      <c r="F10367" t="s">
        <v>666</v>
      </c>
      <c r="G10367" t="s">
        <v>32409</v>
      </c>
      <c r="H10367" t="s">
        <v>667</v>
      </c>
      <c r="I10367" t="s">
        <v>29</v>
      </c>
      <c r="J10367">
        <v>1</v>
      </c>
      <c r="K10367">
        <f>1-888-406-6030</f>
        <v>-7323</v>
      </c>
      <c r="L10367" t="s">
        <v>32410</v>
      </c>
      <c r="M10367" t="s">
        <v>32411</v>
      </c>
      <c r="N10367" t="s">
        <v>5354</v>
      </c>
      <c r="O10367" t="s">
        <v>28</v>
      </c>
      <c r="P10367" t="s">
        <v>29</v>
      </c>
      <c r="Q10367">
        <v>41</v>
      </c>
      <c r="R10367">
        <v>-74.024699999999996</v>
      </c>
    </row>
    <row r="10368" spans="1:18" x14ac:dyDescent="0.2">
      <c r="A10368" t="s">
        <v>663</v>
      </c>
      <c r="B10368" t="s">
        <v>2493</v>
      </c>
      <c r="C10368">
        <v>1</v>
      </c>
      <c r="D10368" s="1">
        <v>44355.847048611111</v>
      </c>
      <c r="E10368" t="s">
        <v>32408</v>
      </c>
      <c r="F10368" t="s">
        <v>666</v>
      </c>
      <c r="G10368" t="s">
        <v>32409</v>
      </c>
      <c r="H10368" t="s">
        <v>667</v>
      </c>
      <c r="I10368" t="s">
        <v>29</v>
      </c>
      <c r="J10368">
        <v>1</v>
      </c>
      <c r="K10368">
        <f>1-888-539-2209</f>
        <v>-3635</v>
      </c>
      <c r="L10368" t="s">
        <v>32412</v>
      </c>
      <c r="M10368" t="s">
        <v>32411</v>
      </c>
      <c r="N10368" t="s">
        <v>5354</v>
      </c>
      <c r="O10368" t="s">
        <v>28</v>
      </c>
      <c r="P10368" t="s">
        <v>29</v>
      </c>
      <c r="Q10368">
        <v>41</v>
      </c>
      <c r="R10368">
        <v>-74.024699999999996</v>
      </c>
    </row>
    <row r="10369" spans="1:18" x14ac:dyDescent="0.2">
      <c r="A10369" t="s">
        <v>439</v>
      </c>
      <c r="B10369" t="s">
        <v>4321</v>
      </c>
      <c r="C10369">
        <v>1</v>
      </c>
      <c r="D10369" s="1">
        <v>44355.850497685184</v>
      </c>
      <c r="E10369" t="s">
        <v>32413</v>
      </c>
      <c r="F10369" t="s">
        <v>442</v>
      </c>
      <c r="G10369" t="s">
        <v>32414</v>
      </c>
      <c r="H10369" t="s">
        <v>444</v>
      </c>
      <c r="I10369" t="s">
        <v>29</v>
      </c>
      <c r="J10369">
        <v>1</v>
      </c>
      <c r="K10369">
        <f>1-844-294-6225</f>
        <v>-7362</v>
      </c>
      <c r="L10369" t="s">
        <v>32415</v>
      </c>
      <c r="M10369" t="s">
        <v>32416</v>
      </c>
      <c r="N10369" t="s">
        <v>447</v>
      </c>
      <c r="O10369" t="s">
        <v>28</v>
      </c>
      <c r="P10369" t="s">
        <v>29</v>
      </c>
      <c r="Q10369">
        <v>42</v>
      </c>
      <c r="R10369">
        <v>-87.629800000000003</v>
      </c>
    </row>
    <row r="10370" spans="1:18" x14ac:dyDescent="0.2">
      <c r="A10370" t="s">
        <v>439</v>
      </c>
      <c r="B10370" t="s">
        <v>4321</v>
      </c>
      <c r="C10370">
        <v>1</v>
      </c>
      <c r="D10370" s="1">
        <v>44355.853252314817</v>
      </c>
      <c r="E10370" t="s">
        <v>32417</v>
      </c>
      <c r="F10370" t="s">
        <v>442</v>
      </c>
      <c r="G10370" t="s">
        <v>32418</v>
      </c>
      <c r="H10370" t="s">
        <v>444</v>
      </c>
      <c r="I10370" t="s">
        <v>29</v>
      </c>
      <c r="J10370">
        <v>1</v>
      </c>
      <c r="K10370">
        <f>1-844-384-5692</f>
        <v>-6919</v>
      </c>
      <c r="L10370" t="s">
        <v>32419</v>
      </c>
      <c r="M10370" t="s">
        <v>32420</v>
      </c>
      <c r="N10370" t="s">
        <v>213</v>
      </c>
      <c r="O10370" t="s">
        <v>28</v>
      </c>
      <c r="P10370" t="s">
        <v>29</v>
      </c>
      <c r="Q10370">
        <v>42</v>
      </c>
      <c r="R10370">
        <v>-87.629800000000003</v>
      </c>
    </row>
    <row r="10371" spans="1:18" x14ac:dyDescent="0.2">
      <c r="A10371" t="s">
        <v>663</v>
      </c>
      <c r="B10371" t="s">
        <v>5784</v>
      </c>
      <c r="C10371">
        <v>1</v>
      </c>
      <c r="D10371" s="1">
        <v>44355.863252314812</v>
      </c>
      <c r="E10371" t="s">
        <v>32421</v>
      </c>
      <c r="F10371" t="s">
        <v>666</v>
      </c>
      <c r="G10371" t="s">
        <v>32422</v>
      </c>
      <c r="H10371" t="s">
        <v>667</v>
      </c>
      <c r="I10371" t="s">
        <v>29</v>
      </c>
      <c r="J10371">
        <v>1</v>
      </c>
      <c r="K10371">
        <f>1-888-732-5062</f>
        <v>-6681</v>
      </c>
      <c r="L10371" t="s">
        <v>32423</v>
      </c>
      <c r="M10371" t="s">
        <v>32424</v>
      </c>
      <c r="N10371" t="s">
        <v>25263</v>
      </c>
      <c r="O10371" t="s">
        <v>28</v>
      </c>
      <c r="P10371" t="s">
        <v>5789</v>
      </c>
      <c r="Q10371">
        <v>13</v>
      </c>
      <c r="R10371">
        <v>77.585499999999996</v>
      </c>
    </row>
    <row r="10372" spans="1:18" x14ac:dyDescent="0.2">
      <c r="A10372" t="s">
        <v>2233</v>
      </c>
      <c r="B10372" t="s">
        <v>1638</v>
      </c>
      <c r="C10372">
        <v>1</v>
      </c>
      <c r="D10372" s="1">
        <v>44355.882013888891</v>
      </c>
      <c r="E10372" t="s">
        <v>32404</v>
      </c>
      <c r="F10372" t="s">
        <v>2236</v>
      </c>
      <c r="G10372" t="s">
        <v>32425</v>
      </c>
      <c r="H10372" t="s">
        <v>2237</v>
      </c>
      <c r="I10372" t="s">
        <v>29</v>
      </c>
      <c r="J10372">
        <v>1</v>
      </c>
      <c r="K10372">
        <f>1-888-585-6924</f>
        <v>-8396</v>
      </c>
      <c r="L10372" t="s">
        <v>32426</v>
      </c>
      <c r="M10372" t="s">
        <v>32427</v>
      </c>
      <c r="N10372" t="s">
        <v>278</v>
      </c>
      <c r="O10372" t="s">
        <v>28</v>
      </c>
      <c r="P10372" t="s">
        <v>292</v>
      </c>
      <c r="Q10372">
        <v>49</v>
      </c>
      <c r="R10372">
        <v>2.35222</v>
      </c>
    </row>
    <row r="10373" spans="1:18" x14ac:dyDescent="0.2">
      <c r="A10373" t="s">
        <v>663</v>
      </c>
      <c r="B10373" t="s">
        <v>2263</v>
      </c>
      <c r="C10373">
        <v>1</v>
      </c>
      <c r="D10373" s="1">
        <v>44357.817395833335</v>
      </c>
      <c r="E10373" t="s">
        <v>32428</v>
      </c>
      <c r="F10373" t="s">
        <v>666</v>
      </c>
      <c r="G10373" t="s">
        <v>32429</v>
      </c>
      <c r="H10373" t="s">
        <v>667</v>
      </c>
      <c r="I10373" t="s">
        <v>29</v>
      </c>
      <c r="J10373">
        <v>1</v>
      </c>
      <c r="K10373">
        <f>1-888-369-1998</f>
        <v>-3254</v>
      </c>
      <c r="L10373" t="s">
        <v>32430</v>
      </c>
      <c r="M10373" t="s">
        <v>32431</v>
      </c>
      <c r="N10373" t="s">
        <v>5354</v>
      </c>
      <c r="O10373" t="s">
        <v>28</v>
      </c>
      <c r="P10373" t="s">
        <v>2268</v>
      </c>
      <c r="Q10373">
        <v>44</v>
      </c>
      <c r="R10373">
        <v>-79.362300000000005</v>
      </c>
    </row>
    <row r="10374" spans="1:18" x14ac:dyDescent="0.2">
      <c r="A10374" t="s">
        <v>439</v>
      </c>
      <c r="B10374" t="s">
        <v>4321</v>
      </c>
      <c r="C10374">
        <v>1</v>
      </c>
      <c r="D10374" s="1">
        <v>44357.852708333332</v>
      </c>
      <c r="E10374" t="s">
        <v>32432</v>
      </c>
      <c r="F10374" t="s">
        <v>442</v>
      </c>
      <c r="G10374" t="s">
        <v>32433</v>
      </c>
      <c r="H10374" t="s">
        <v>444</v>
      </c>
      <c r="I10374" t="s">
        <v>29</v>
      </c>
      <c r="J10374">
        <v>1</v>
      </c>
      <c r="K10374">
        <f>1-888-392-1035</f>
        <v>-2314</v>
      </c>
      <c r="L10374" t="s">
        <v>32434</v>
      </c>
      <c r="M10374" t="s">
        <v>32435</v>
      </c>
      <c r="N10374" t="s">
        <v>452</v>
      </c>
      <c r="O10374" t="s">
        <v>28</v>
      </c>
      <c r="P10374" t="s">
        <v>29</v>
      </c>
      <c r="Q10374">
        <v>42</v>
      </c>
      <c r="R10374">
        <v>-87.629800000000003</v>
      </c>
    </row>
    <row r="10375" spans="1:18" x14ac:dyDescent="0.2">
      <c r="A10375" t="s">
        <v>439</v>
      </c>
      <c r="B10375" t="s">
        <v>4321</v>
      </c>
      <c r="C10375">
        <v>1</v>
      </c>
      <c r="D10375" s="1">
        <v>44357.853321759256</v>
      </c>
      <c r="E10375" t="s">
        <v>32432</v>
      </c>
      <c r="F10375" t="s">
        <v>442</v>
      </c>
      <c r="G10375" t="s">
        <v>32436</v>
      </c>
      <c r="H10375" t="s">
        <v>444</v>
      </c>
      <c r="I10375" t="s">
        <v>29</v>
      </c>
      <c r="J10375">
        <v>1</v>
      </c>
      <c r="K10375">
        <f>1-833-220-4052</f>
        <v>-5104</v>
      </c>
      <c r="L10375" t="s">
        <v>32437</v>
      </c>
      <c r="M10375" t="s">
        <v>32438</v>
      </c>
      <c r="N10375" t="s">
        <v>452</v>
      </c>
      <c r="O10375" t="s">
        <v>28</v>
      </c>
      <c r="P10375" t="s">
        <v>29</v>
      </c>
      <c r="Q10375">
        <v>42</v>
      </c>
      <c r="R10375">
        <v>-87.629800000000003</v>
      </c>
    </row>
    <row r="10376" spans="1:18" x14ac:dyDescent="0.2">
      <c r="A10376" t="s">
        <v>439</v>
      </c>
      <c r="B10376" t="s">
        <v>4321</v>
      </c>
      <c r="C10376">
        <v>1</v>
      </c>
      <c r="D10376" s="1">
        <v>44357.853159722225</v>
      </c>
      <c r="E10376" t="s">
        <v>32432</v>
      </c>
      <c r="F10376" t="s">
        <v>442</v>
      </c>
      <c r="G10376" t="s">
        <v>32436</v>
      </c>
      <c r="H10376" t="s">
        <v>444</v>
      </c>
      <c r="I10376" t="s">
        <v>29</v>
      </c>
      <c r="J10376">
        <v>1</v>
      </c>
      <c r="K10376">
        <f>1-833-220-3949</f>
        <v>-5001</v>
      </c>
      <c r="L10376" t="s">
        <v>32439</v>
      </c>
      <c r="M10376" t="s">
        <v>32440</v>
      </c>
      <c r="N10376" t="s">
        <v>452</v>
      </c>
      <c r="O10376" t="s">
        <v>28</v>
      </c>
      <c r="P10376" t="s">
        <v>29</v>
      </c>
      <c r="Q10376">
        <v>42</v>
      </c>
      <c r="R10376">
        <v>-87.629800000000003</v>
      </c>
    </row>
    <row r="10377" spans="1:18" x14ac:dyDescent="0.2">
      <c r="A10377" t="s">
        <v>439</v>
      </c>
      <c r="B10377" t="s">
        <v>4321</v>
      </c>
      <c r="C10377">
        <v>1</v>
      </c>
      <c r="D10377" s="1">
        <v>44357.852939814817</v>
      </c>
      <c r="E10377" t="s">
        <v>32432</v>
      </c>
      <c r="F10377" t="s">
        <v>442</v>
      </c>
      <c r="G10377" t="s">
        <v>32436</v>
      </c>
      <c r="H10377" t="s">
        <v>444</v>
      </c>
      <c r="I10377" t="s">
        <v>29</v>
      </c>
      <c r="J10377">
        <v>1</v>
      </c>
      <c r="K10377">
        <f>1-833-888-971</f>
        <v>-2691</v>
      </c>
      <c r="L10377" t="s">
        <v>32441</v>
      </c>
      <c r="M10377" t="s">
        <v>32442</v>
      </c>
      <c r="N10377" t="s">
        <v>452</v>
      </c>
      <c r="O10377" t="s">
        <v>28</v>
      </c>
      <c r="P10377" t="s">
        <v>29</v>
      </c>
      <c r="Q10377">
        <v>42</v>
      </c>
      <c r="R10377">
        <v>-87.629800000000003</v>
      </c>
    </row>
    <row r="10378" spans="1:18" x14ac:dyDescent="0.2">
      <c r="A10378" t="s">
        <v>27081</v>
      </c>
      <c r="B10378" t="s">
        <v>1201</v>
      </c>
      <c r="C10378">
        <v>1</v>
      </c>
      <c r="D10378" s="1">
        <v>44357.853113425925</v>
      </c>
      <c r="E10378" t="s">
        <v>32443</v>
      </c>
      <c r="F10378" t="s">
        <v>1203</v>
      </c>
      <c r="G10378" t="s">
        <v>32444</v>
      </c>
      <c r="H10378" t="s">
        <v>1205</v>
      </c>
      <c r="I10378" t="s">
        <v>29</v>
      </c>
      <c r="J10378">
        <v>1</v>
      </c>
      <c r="K10378">
        <f>1-855-500-8699</f>
        <v>-10053</v>
      </c>
      <c r="L10378" t="s">
        <v>32445</v>
      </c>
      <c r="M10378" t="s">
        <v>32446</v>
      </c>
      <c r="N10378" t="s">
        <v>5354</v>
      </c>
      <c r="O10378" t="s">
        <v>134</v>
      </c>
      <c r="P10378" t="s">
        <v>29</v>
      </c>
      <c r="Q10378">
        <v>34</v>
      </c>
      <c r="R10378">
        <v>-99.999999000000003</v>
      </c>
    </row>
    <row r="10379" spans="1:18" x14ac:dyDescent="0.2">
      <c r="A10379" t="s">
        <v>439</v>
      </c>
      <c r="B10379" t="s">
        <v>4321</v>
      </c>
      <c r="C10379">
        <v>1</v>
      </c>
      <c r="D10379" s="1">
        <v>44355.917141203703</v>
      </c>
      <c r="E10379" t="s">
        <v>32447</v>
      </c>
      <c r="F10379" t="s">
        <v>442</v>
      </c>
      <c r="G10379" t="s">
        <v>32448</v>
      </c>
      <c r="H10379" t="s">
        <v>444</v>
      </c>
      <c r="I10379" t="s">
        <v>29</v>
      </c>
      <c r="J10379">
        <v>1</v>
      </c>
      <c r="K10379">
        <f>1-844-399-2367</f>
        <v>-3609</v>
      </c>
      <c r="L10379" t="s">
        <v>32449</v>
      </c>
      <c r="M10379" t="s">
        <v>32450</v>
      </c>
      <c r="N10379" t="s">
        <v>213</v>
      </c>
      <c r="O10379" t="s">
        <v>28</v>
      </c>
      <c r="P10379" t="s">
        <v>29</v>
      </c>
      <c r="Q10379">
        <v>42</v>
      </c>
      <c r="R10379">
        <v>-87.629800000000003</v>
      </c>
    </row>
    <row r="10380" spans="1:18" x14ac:dyDescent="0.2">
      <c r="A10380" t="s">
        <v>663</v>
      </c>
      <c r="B10380" t="s">
        <v>2493</v>
      </c>
      <c r="C10380">
        <v>1</v>
      </c>
      <c r="D10380" s="1">
        <v>44357.857488425929</v>
      </c>
      <c r="E10380" t="s">
        <v>32451</v>
      </c>
      <c r="F10380" t="s">
        <v>666</v>
      </c>
      <c r="G10380" t="s">
        <v>32452</v>
      </c>
      <c r="H10380" t="s">
        <v>667</v>
      </c>
      <c r="I10380" t="s">
        <v>29</v>
      </c>
      <c r="J10380">
        <v>1</v>
      </c>
      <c r="K10380">
        <f>1-213-357-5939</f>
        <v>-6508</v>
      </c>
      <c r="L10380" t="s">
        <v>32453</v>
      </c>
      <c r="M10380" t="s">
        <v>32454</v>
      </c>
      <c r="N10380" t="s">
        <v>674</v>
      </c>
      <c r="O10380" t="s">
        <v>28</v>
      </c>
      <c r="P10380" t="s">
        <v>29</v>
      </c>
      <c r="Q10380">
        <v>41</v>
      </c>
      <c r="R10380">
        <v>-74.024699999999996</v>
      </c>
    </row>
    <row r="10381" spans="1:18" x14ac:dyDescent="0.2">
      <c r="A10381" t="s">
        <v>439</v>
      </c>
      <c r="B10381" t="s">
        <v>4321</v>
      </c>
      <c r="C10381">
        <v>1</v>
      </c>
      <c r="D10381" s="1">
        <v>44357.854548611111</v>
      </c>
      <c r="E10381" t="s">
        <v>32455</v>
      </c>
      <c r="F10381" t="s">
        <v>442</v>
      </c>
      <c r="G10381" t="s">
        <v>32456</v>
      </c>
      <c r="H10381" t="s">
        <v>444</v>
      </c>
      <c r="I10381" t="s">
        <v>29</v>
      </c>
      <c r="J10381">
        <v>1</v>
      </c>
      <c r="K10381">
        <f>1-844-390-5827</f>
        <v>-7060</v>
      </c>
      <c r="L10381" t="s">
        <v>32457</v>
      </c>
      <c r="M10381" t="s">
        <v>32458</v>
      </c>
      <c r="N10381" t="s">
        <v>213</v>
      </c>
      <c r="O10381" t="s">
        <v>28</v>
      </c>
      <c r="P10381" t="s">
        <v>29</v>
      </c>
      <c r="Q10381">
        <v>42</v>
      </c>
      <c r="R10381">
        <v>-87.629800000000003</v>
      </c>
    </row>
    <row r="10382" spans="1:18" x14ac:dyDescent="0.2">
      <c r="A10382" t="s">
        <v>663</v>
      </c>
      <c r="B10382" t="s">
        <v>5784</v>
      </c>
      <c r="C10382">
        <v>1</v>
      </c>
      <c r="D10382" s="1">
        <v>44356.722662037035</v>
      </c>
      <c r="E10382" t="s">
        <v>32459</v>
      </c>
      <c r="F10382" t="s">
        <v>666</v>
      </c>
      <c r="G10382" t="s">
        <v>32460</v>
      </c>
      <c r="H10382" t="s">
        <v>667</v>
      </c>
      <c r="I10382" t="s">
        <v>29</v>
      </c>
      <c r="J10382">
        <v>1</v>
      </c>
      <c r="K10382">
        <f>1-833-220-3919</f>
        <v>-4971</v>
      </c>
      <c r="L10382" t="s">
        <v>32461</v>
      </c>
      <c r="M10382" t="s">
        <v>32462</v>
      </c>
      <c r="N10382" t="s">
        <v>25263</v>
      </c>
      <c r="O10382" t="s">
        <v>28</v>
      </c>
      <c r="P10382" t="s">
        <v>5789</v>
      </c>
      <c r="Q10382">
        <v>13</v>
      </c>
      <c r="R10382">
        <v>77.585499999999996</v>
      </c>
    </row>
    <row r="10383" spans="1:18" x14ac:dyDescent="0.2">
      <c r="A10383" t="s">
        <v>663</v>
      </c>
      <c r="B10383" t="s">
        <v>5784</v>
      </c>
      <c r="C10383">
        <v>1</v>
      </c>
      <c r="D10383" s="1">
        <v>44357.856689814813</v>
      </c>
      <c r="E10383" t="s">
        <v>32463</v>
      </c>
      <c r="F10383" t="s">
        <v>666</v>
      </c>
      <c r="G10383" t="s">
        <v>32464</v>
      </c>
      <c r="H10383" t="s">
        <v>667</v>
      </c>
      <c r="I10383" t="s">
        <v>29</v>
      </c>
      <c r="J10383">
        <v>1</v>
      </c>
      <c r="K10383">
        <f>1-844-296-5572</f>
        <v>-6711</v>
      </c>
      <c r="L10383" t="s">
        <v>32465</v>
      </c>
      <c r="M10383" t="s">
        <v>32466</v>
      </c>
      <c r="N10383" t="s">
        <v>25263</v>
      </c>
      <c r="O10383" t="s">
        <v>28</v>
      </c>
      <c r="P10383" t="s">
        <v>5789</v>
      </c>
      <c r="Q10383">
        <v>13</v>
      </c>
      <c r="R10383">
        <v>77.585499999999996</v>
      </c>
    </row>
    <row r="10384" spans="1:18" x14ac:dyDescent="0.2">
      <c r="A10384" t="s">
        <v>2233</v>
      </c>
      <c r="B10384" t="s">
        <v>1638</v>
      </c>
      <c r="C10384">
        <v>1</v>
      </c>
      <c r="D10384" s="1">
        <v>44372.840462962966</v>
      </c>
      <c r="E10384" t="s">
        <v>31586</v>
      </c>
      <c r="F10384" t="s">
        <v>2236</v>
      </c>
      <c r="G10384" t="s">
        <v>32467</v>
      </c>
      <c r="H10384" t="s">
        <v>2237</v>
      </c>
      <c r="I10384" t="s">
        <v>29</v>
      </c>
      <c r="J10384">
        <v>1</v>
      </c>
      <c r="K10384">
        <f>1-888-282-4803</f>
        <v>-5972</v>
      </c>
      <c r="L10384" t="s">
        <v>32468</v>
      </c>
      <c r="M10384" t="s">
        <v>32469</v>
      </c>
      <c r="N10384" t="s">
        <v>278</v>
      </c>
      <c r="O10384" t="s">
        <v>28</v>
      </c>
      <c r="P10384" t="s">
        <v>292</v>
      </c>
      <c r="Q10384">
        <v>49</v>
      </c>
      <c r="R10384">
        <v>2.35222</v>
      </c>
    </row>
    <row r="10385" spans="1:18" x14ac:dyDescent="0.2">
      <c r="A10385" t="s">
        <v>2233</v>
      </c>
      <c r="B10385" t="s">
        <v>1638</v>
      </c>
      <c r="C10385">
        <v>1</v>
      </c>
      <c r="D10385" s="1">
        <v>44372.838182870371</v>
      </c>
      <c r="E10385" t="s">
        <v>31586</v>
      </c>
      <c r="F10385" t="s">
        <v>2236</v>
      </c>
      <c r="G10385" t="s">
        <v>32467</v>
      </c>
      <c r="H10385" t="s">
        <v>2237</v>
      </c>
      <c r="I10385" t="s">
        <v>29</v>
      </c>
      <c r="J10385">
        <v>1</v>
      </c>
      <c r="K10385">
        <f>1-888-525-750</f>
        <v>-2162</v>
      </c>
      <c r="L10385" t="s">
        <v>32470</v>
      </c>
      <c r="M10385" t="s">
        <v>32471</v>
      </c>
      <c r="N10385" t="s">
        <v>278</v>
      </c>
      <c r="O10385" t="s">
        <v>28</v>
      </c>
      <c r="P10385" t="s">
        <v>292</v>
      </c>
      <c r="Q10385">
        <v>49</v>
      </c>
      <c r="R10385">
        <v>2.35222</v>
      </c>
    </row>
    <row r="10386" spans="1:18" x14ac:dyDescent="0.2">
      <c r="A10386" t="s">
        <v>2233</v>
      </c>
      <c r="B10386" t="s">
        <v>1638</v>
      </c>
      <c r="C10386">
        <v>1</v>
      </c>
      <c r="D10386" s="1">
        <v>44372.837870370371</v>
      </c>
      <c r="E10386" t="s">
        <v>31586</v>
      </c>
      <c r="F10386" t="s">
        <v>2236</v>
      </c>
      <c r="G10386" t="s">
        <v>32467</v>
      </c>
      <c r="H10386" t="s">
        <v>2237</v>
      </c>
      <c r="I10386" t="s">
        <v>29</v>
      </c>
      <c r="J10386">
        <v>1</v>
      </c>
      <c r="K10386">
        <f>1-888-525-749</f>
        <v>-2161</v>
      </c>
      <c r="L10386" t="s">
        <v>32472</v>
      </c>
      <c r="M10386" t="s">
        <v>32473</v>
      </c>
      <c r="N10386" t="s">
        <v>278</v>
      </c>
      <c r="O10386" t="s">
        <v>28</v>
      </c>
      <c r="P10386" t="s">
        <v>292</v>
      </c>
      <c r="Q10386">
        <v>49</v>
      </c>
      <c r="R10386">
        <v>2.35222</v>
      </c>
    </row>
    <row r="10387" spans="1:18" x14ac:dyDescent="0.2">
      <c r="A10387" t="s">
        <v>2233</v>
      </c>
      <c r="B10387" t="s">
        <v>1638</v>
      </c>
      <c r="C10387">
        <v>1</v>
      </c>
      <c r="D10387" s="1">
        <v>44357.856319444443</v>
      </c>
      <c r="E10387" t="s">
        <v>32474</v>
      </c>
      <c r="F10387" t="s">
        <v>2236</v>
      </c>
      <c r="G10387" t="s">
        <v>32467</v>
      </c>
      <c r="H10387" t="s">
        <v>2237</v>
      </c>
      <c r="I10387" t="s">
        <v>29</v>
      </c>
      <c r="J10387">
        <v>1</v>
      </c>
      <c r="K10387">
        <f>1-888-297-1152</f>
        <v>-2336</v>
      </c>
      <c r="L10387" t="s">
        <v>32475</v>
      </c>
      <c r="M10387" t="s">
        <v>32476</v>
      </c>
      <c r="N10387" t="s">
        <v>278</v>
      </c>
      <c r="O10387" t="s">
        <v>28</v>
      </c>
      <c r="P10387" t="s">
        <v>292</v>
      </c>
      <c r="Q10387">
        <v>49</v>
      </c>
      <c r="R10387">
        <v>2.35222</v>
      </c>
    </row>
    <row r="10388" spans="1:18" x14ac:dyDescent="0.2">
      <c r="A10388" t="s">
        <v>663</v>
      </c>
      <c r="B10388" t="s">
        <v>2263</v>
      </c>
      <c r="C10388">
        <v>1</v>
      </c>
      <c r="D10388" s="1">
        <v>44357.879699074074</v>
      </c>
      <c r="E10388" t="s">
        <v>32477</v>
      </c>
      <c r="F10388" t="s">
        <v>666</v>
      </c>
      <c r="G10388" t="s">
        <v>32478</v>
      </c>
      <c r="H10388" t="s">
        <v>667</v>
      </c>
      <c r="I10388" t="s">
        <v>29</v>
      </c>
      <c r="J10388">
        <v>1</v>
      </c>
      <c r="K10388">
        <f>1-888-210-1029</f>
        <v>-2126</v>
      </c>
      <c r="L10388" t="s">
        <v>32479</v>
      </c>
      <c r="M10388" t="s">
        <v>32480</v>
      </c>
      <c r="N10388" t="s">
        <v>5354</v>
      </c>
      <c r="O10388" t="s">
        <v>28</v>
      </c>
      <c r="P10388" t="s">
        <v>2268</v>
      </c>
      <c r="Q10388">
        <v>44</v>
      </c>
      <c r="R10388">
        <v>-79.362300000000005</v>
      </c>
    </row>
    <row r="10389" spans="1:18" x14ac:dyDescent="0.2">
      <c r="A10389" t="s">
        <v>663</v>
      </c>
      <c r="B10389" t="s">
        <v>2263</v>
      </c>
      <c r="C10389">
        <v>1</v>
      </c>
      <c r="D10389" s="1">
        <v>44357.879652777781</v>
      </c>
      <c r="E10389" t="s">
        <v>32477</v>
      </c>
      <c r="F10389" t="s">
        <v>666</v>
      </c>
      <c r="G10389" t="s">
        <v>32478</v>
      </c>
      <c r="H10389" t="s">
        <v>667</v>
      </c>
      <c r="I10389" t="s">
        <v>29</v>
      </c>
      <c r="J10389">
        <v>1</v>
      </c>
      <c r="K10389">
        <f>1-888-251-5089</f>
        <v>-6227</v>
      </c>
      <c r="L10389" t="s">
        <v>32481</v>
      </c>
      <c r="M10389" t="s">
        <v>32480</v>
      </c>
      <c r="N10389" t="s">
        <v>5354</v>
      </c>
      <c r="O10389" t="s">
        <v>28</v>
      </c>
      <c r="P10389" t="s">
        <v>2268</v>
      </c>
      <c r="Q10389">
        <v>44</v>
      </c>
      <c r="R10389">
        <v>-79.362300000000005</v>
      </c>
    </row>
    <row r="10390" spans="1:18" x14ac:dyDescent="0.2">
      <c r="A10390" t="s">
        <v>663</v>
      </c>
      <c r="B10390" t="s">
        <v>2263</v>
      </c>
      <c r="C10390">
        <v>1</v>
      </c>
      <c r="D10390" s="1">
        <v>44357.87709490741</v>
      </c>
      <c r="E10390" t="s">
        <v>32477</v>
      </c>
      <c r="F10390" t="s">
        <v>666</v>
      </c>
      <c r="G10390" t="s">
        <v>32478</v>
      </c>
      <c r="H10390" t="s">
        <v>667</v>
      </c>
      <c r="I10390" t="s">
        <v>29</v>
      </c>
      <c r="J10390">
        <v>1</v>
      </c>
      <c r="K10390">
        <f>1-888-616-722</f>
        <v>-2225</v>
      </c>
      <c r="L10390" t="s">
        <v>32482</v>
      </c>
      <c r="M10390" t="s">
        <v>32480</v>
      </c>
      <c r="N10390" t="s">
        <v>5354</v>
      </c>
      <c r="O10390" t="s">
        <v>28</v>
      </c>
      <c r="P10390" t="s">
        <v>2268</v>
      </c>
      <c r="Q10390">
        <v>44</v>
      </c>
      <c r="R10390">
        <v>-79.362300000000005</v>
      </c>
    </row>
    <row r="10391" spans="1:18" x14ac:dyDescent="0.2">
      <c r="A10391" t="s">
        <v>663</v>
      </c>
      <c r="B10391" t="s">
        <v>2263</v>
      </c>
      <c r="C10391">
        <v>1</v>
      </c>
      <c r="D10391" s="1">
        <v>44357.876481481479</v>
      </c>
      <c r="E10391" t="s">
        <v>32477</v>
      </c>
      <c r="F10391" t="s">
        <v>666</v>
      </c>
      <c r="G10391" t="s">
        <v>32478</v>
      </c>
      <c r="H10391" t="s">
        <v>667</v>
      </c>
      <c r="I10391" t="s">
        <v>29</v>
      </c>
      <c r="J10391">
        <v>1</v>
      </c>
      <c r="K10391">
        <f>1-888-269-4826</f>
        <v>-5982</v>
      </c>
      <c r="L10391" t="s">
        <v>32483</v>
      </c>
      <c r="M10391" t="s">
        <v>32480</v>
      </c>
      <c r="N10391" t="s">
        <v>5354</v>
      </c>
      <c r="O10391" t="s">
        <v>28</v>
      </c>
      <c r="P10391" t="s">
        <v>2268</v>
      </c>
      <c r="Q10391">
        <v>44</v>
      </c>
      <c r="R10391">
        <v>-79.362300000000005</v>
      </c>
    </row>
    <row r="10392" spans="1:18" x14ac:dyDescent="0.2">
      <c r="A10392" t="s">
        <v>663</v>
      </c>
      <c r="B10392" t="s">
        <v>2263</v>
      </c>
      <c r="C10392">
        <v>1</v>
      </c>
      <c r="D10392" s="1">
        <v>44357.876423611109</v>
      </c>
      <c r="E10392" t="s">
        <v>32477</v>
      </c>
      <c r="F10392" t="s">
        <v>666</v>
      </c>
      <c r="G10392" t="s">
        <v>32478</v>
      </c>
      <c r="H10392" t="s">
        <v>667</v>
      </c>
      <c r="I10392" t="s">
        <v>29</v>
      </c>
      <c r="J10392">
        <v>1</v>
      </c>
      <c r="K10392">
        <f>1-888-337-4372</f>
        <v>-5596</v>
      </c>
      <c r="L10392" t="s">
        <v>32484</v>
      </c>
      <c r="M10392" t="s">
        <v>32480</v>
      </c>
      <c r="N10392" t="s">
        <v>5354</v>
      </c>
      <c r="O10392" t="s">
        <v>28</v>
      </c>
      <c r="P10392" t="s">
        <v>2268</v>
      </c>
      <c r="Q10392">
        <v>44</v>
      </c>
      <c r="R10392">
        <v>-79.362300000000005</v>
      </c>
    </row>
    <row r="10393" spans="1:18" x14ac:dyDescent="0.2">
      <c r="A10393" t="s">
        <v>663</v>
      </c>
      <c r="B10393" t="s">
        <v>2263</v>
      </c>
      <c r="C10393">
        <v>1</v>
      </c>
      <c r="D10393" s="1">
        <v>44357.87636574074</v>
      </c>
      <c r="E10393" t="s">
        <v>32477</v>
      </c>
      <c r="F10393" t="s">
        <v>666</v>
      </c>
      <c r="G10393" t="s">
        <v>32478</v>
      </c>
      <c r="H10393" t="s">
        <v>667</v>
      </c>
      <c r="I10393" t="s">
        <v>29</v>
      </c>
      <c r="J10393">
        <v>1</v>
      </c>
      <c r="K10393">
        <f>1-888-344-8431</f>
        <v>-9662</v>
      </c>
      <c r="L10393" t="s">
        <v>32485</v>
      </c>
      <c r="M10393" t="s">
        <v>32480</v>
      </c>
      <c r="N10393" t="s">
        <v>5354</v>
      </c>
      <c r="O10393" t="s">
        <v>28</v>
      </c>
      <c r="P10393" t="s">
        <v>2268</v>
      </c>
      <c r="Q10393">
        <v>44</v>
      </c>
      <c r="R10393">
        <v>-79.362300000000005</v>
      </c>
    </row>
    <row r="10394" spans="1:18" x14ac:dyDescent="0.2">
      <c r="A10394" t="s">
        <v>663</v>
      </c>
      <c r="B10394" t="s">
        <v>2263</v>
      </c>
      <c r="C10394">
        <v>1</v>
      </c>
      <c r="D10394" s="1">
        <v>44357.876296296294</v>
      </c>
      <c r="E10394" t="s">
        <v>32477</v>
      </c>
      <c r="F10394" t="s">
        <v>666</v>
      </c>
      <c r="G10394" t="s">
        <v>32478</v>
      </c>
      <c r="H10394" t="s">
        <v>667</v>
      </c>
      <c r="I10394" t="s">
        <v>29</v>
      </c>
      <c r="J10394">
        <v>1</v>
      </c>
      <c r="K10394">
        <f>1-888-525-4763</f>
        <v>-6175</v>
      </c>
      <c r="L10394" t="s">
        <v>32486</v>
      </c>
      <c r="M10394" t="s">
        <v>32480</v>
      </c>
      <c r="N10394" t="s">
        <v>5354</v>
      </c>
      <c r="O10394" t="s">
        <v>28</v>
      </c>
      <c r="P10394" t="s">
        <v>2268</v>
      </c>
      <c r="Q10394">
        <v>44</v>
      </c>
      <c r="R10394">
        <v>-79.362300000000005</v>
      </c>
    </row>
    <row r="10395" spans="1:18" x14ac:dyDescent="0.2">
      <c r="A10395" t="s">
        <v>663</v>
      </c>
      <c r="B10395" t="s">
        <v>2263</v>
      </c>
      <c r="C10395">
        <v>1</v>
      </c>
      <c r="D10395" s="1">
        <v>44357.876168981478</v>
      </c>
      <c r="E10395" t="s">
        <v>32477</v>
      </c>
      <c r="F10395" t="s">
        <v>666</v>
      </c>
      <c r="G10395" t="s">
        <v>32478</v>
      </c>
      <c r="H10395" t="s">
        <v>667</v>
      </c>
      <c r="I10395" t="s">
        <v>29</v>
      </c>
      <c r="J10395">
        <v>1</v>
      </c>
      <c r="K10395">
        <f>1-888-589-9270</f>
        <v>-10746</v>
      </c>
      <c r="L10395" t="s">
        <v>32487</v>
      </c>
      <c r="M10395" t="s">
        <v>32480</v>
      </c>
      <c r="N10395" t="s">
        <v>5354</v>
      </c>
      <c r="O10395" t="s">
        <v>28</v>
      </c>
      <c r="P10395" t="s">
        <v>2268</v>
      </c>
      <c r="Q10395">
        <v>44</v>
      </c>
      <c r="R10395">
        <v>-79.362300000000005</v>
      </c>
    </row>
    <row r="10396" spans="1:18" x14ac:dyDescent="0.2">
      <c r="A10396" t="s">
        <v>663</v>
      </c>
      <c r="B10396" t="s">
        <v>2263</v>
      </c>
      <c r="C10396">
        <v>1</v>
      </c>
      <c r="D10396" s="1">
        <v>44357.874328703707</v>
      </c>
      <c r="E10396" t="s">
        <v>32477</v>
      </c>
      <c r="F10396" t="s">
        <v>666</v>
      </c>
      <c r="G10396" t="s">
        <v>32478</v>
      </c>
      <c r="H10396" t="s">
        <v>667</v>
      </c>
      <c r="I10396" t="s">
        <v>29</v>
      </c>
      <c r="J10396">
        <v>1</v>
      </c>
      <c r="K10396">
        <f>1-888-365-9643</f>
        <v>-10895</v>
      </c>
      <c r="L10396" t="s">
        <v>32488</v>
      </c>
      <c r="M10396" t="s">
        <v>32489</v>
      </c>
      <c r="N10396" t="s">
        <v>5354</v>
      </c>
      <c r="O10396" t="s">
        <v>28</v>
      </c>
      <c r="P10396" t="s">
        <v>2268</v>
      </c>
      <c r="Q10396">
        <v>44</v>
      </c>
      <c r="R10396">
        <v>-79.362300000000005</v>
      </c>
    </row>
    <row r="10397" spans="1:18" x14ac:dyDescent="0.2">
      <c r="A10397" t="s">
        <v>663</v>
      </c>
      <c r="B10397" t="s">
        <v>2263</v>
      </c>
      <c r="C10397">
        <v>1</v>
      </c>
      <c r="D10397" s="1">
        <v>44357.872986111113</v>
      </c>
      <c r="E10397" t="s">
        <v>32477</v>
      </c>
      <c r="F10397" t="s">
        <v>666</v>
      </c>
      <c r="G10397" t="s">
        <v>32478</v>
      </c>
      <c r="H10397" t="s">
        <v>667</v>
      </c>
      <c r="I10397" t="s">
        <v>29</v>
      </c>
      <c r="J10397">
        <v>1</v>
      </c>
      <c r="K10397">
        <f>1-888-535-8475</f>
        <v>-9897</v>
      </c>
      <c r="L10397" t="s">
        <v>32490</v>
      </c>
      <c r="M10397" t="s">
        <v>32489</v>
      </c>
      <c r="N10397" t="s">
        <v>5354</v>
      </c>
      <c r="O10397" t="s">
        <v>28</v>
      </c>
      <c r="P10397" t="s">
        <v>2268</v>
      </c>
      <c r="Q10397">
        <v>44</v>
      </c>
      <c r="R10397">
        <v>-79.362300000000005</v>
      </c>
    </row>
    <row r="10398" spans="1:18" x14ac:dyDescent="0.2">
      <c r="A10398" t="s">
        <v>663</v>
      </c>
      <c r="B10398" t="s">
        <v>2263</v>
      </c>
      <c r="C10398">
        <v>1</v>
      </c>
      <c r="D10398" s="1">
        <v>44357.872928240744</v>
      </c>
      <c r="E10398" t="s">
        <v>32477</v>
      </c>
      <c r="F10398" t="s">
        <v>666</v>
      </c>
      <c r="G10398" t="s">
        <v>32478</v>
      </c>
      <c r="H10398" t="s">
        <v>667</v>
      </c>
      <c r="I10398" t="s">
        <v>29</v>
      </c>
      <c r="J10398">
        <v>1</v>
      </c>
      <c r="K10398">
        <f>1-888-243-1590</f>
        <v>-2720</v>
      </c>
      <c r="L10398" t="s">
        <v>32491</v>
      </c>
      <c r="M10398" t="s">
        <v>32489</v>
      </c>
      <c r="N10398" t="s">
        <v>5354</v>
      </c>
      <c r="O10398" t="s">
        <v>28</v>
      </c>
      <c r="P10398" t="s">
        <v>2268</v>
      </c>
      <c r="Q10398">
        <v>44</v>
      </c>
      <c r="R10398">
        <v>-79.362300000000005</v>
      </c>
    </row>
    <row r="10399" spans="1:18" x14ac:dyDescent="0.2">
      <c r="A10399" t="s">
        <v>663</v>
      </c>
      <c r="B10399" t="s">
        <v>2263</v>
      </c>
      <c r="C10399">
        <v>1</v>
      </c>
      <c r="D10399" s="1">
        <v>44357.872870370367</v>
      </c>
      <c r="E10399" t="s">
        <v>32477</v>
      </c>
      <c r="F10399" t="s">
        <v>666</v>
      </c>
      <c r="G10399" t="s">
        <v>32478</v>
      </c>
      <c r="H10399" t="s">
        <v>667</v>
      </c>
      <c r="I10399" t="s">
        <v>29</v>
      </c>
      <c r="J10399">
        <v>1</v>
      </c>
      <c r="K10399">
        <f>1-888-330-5213</f>
        <v>-6430</v>
      </c>
      <c r="L10399" t="s">
        <v>32492</v>
      </c>
      <c r="M10399" t="s">
        <v>32489</v>
      </c>
      <c r="N10399" t="s">
        <v>5354</v>
      </c>
      <c r="O10399" t="s">
        <v>28</v>
      </c>
      <c r="P10399" t="s">
        <v>2268</v>
      </c>
      <c r="Q10399">
        <v>44</v>
      </c>
      <c r="R10399">
        <v>-79.362300000000005</v>
      </c>
    </row>
    <row r="10400" spans="1:18" x14ac:dyDescent="0.2">
      <c r="A10400" t="s">
        <v>663</v>
      </c>
      <c r="B10400" t="s">
        <v>2263</v>
      </c>
      <c r="C10400">
        <v>1</v>
      </c>
      <c r="D10400" s="1">
        <v>44357.872824074075</v>
      </c>
      <c r="E10400" t="s">
        <v>32477</v>
      </c>
      <c r="F10400" t="s">
        <v>666</v>
      </c>
      <c r="G10400" t="s">
        <v>32478</v>
      </c>
      <c r="H10400" t="s">
        <v>667</v>
      </c>
      <c r="I10400" t="s">
        <v>29</v>
      </c>
      <c r="J10400">
        <v>1</v>
      </c>
      <c r="K10400">
        <f>1-833-428-1174</f>
        <v>-2434</v>
      </c>
      <c r="L10400" t="s">
        <v>32493</v>
      </c>
      <c r="M10400" t="s">
        <v>32489</v>
      </c>
      <c r="N10400" t="s">
        <v>5354</v>
      </c>
      <c r="O10400" t="s">
        <v>28</v>
      </c>
      <c r="P10400" t="s">
        <v>2268</v>
      </c>
      <c r="Q10400">
        <v>44</v>
      </c>
      <c r="R10400">
        <v>-79.362300000000005</v>
      </c>
    </row>
    <row r="10401" spans="1:18" x14ac:dyDescent="0.2">
      <c r="A10401" t="s">
        <v>663</v>
      </c>
      <c r="B10401" t="s">
        <v>2263</v>
      </c>
      <c r="C10401">
        <v>1</v>
      </c>
      <c r="D10401" s="1">
        <v>44357.872604166667</v>
      </c>
      <c r="E10401" t="s">
        <v>32477</v>
      </c>
      <c r="F10401" t="s">
        <v>666</v>
      </c>
      <c r="G10401" t="s">
        <v>32478</v>
      </c>
      <c r="H10401" t="s">
        <v>667</v>
      </c>
      <c r="I10401" t="s">
        <v>29</v>
      </c>
      <c r="J10401">
        <v>1</v>
      </c>
      <c r="K10401">
        <f>1-844-227-2067</f>
        <v>-3137</v>
      </c>
      <c r="L10401" t="s">
        <v>32494</v>
      </c>
      <c r="M10401" t="s">
        <v>32495</v>
      </c>
      <c r="N10401" t="s">
        <v>5354</v>
      </c>
      <c r="O10401" t="s">
        <v>28</v>
      </c>
      <c r="P10401" t="s">
        <v>2268</v>
      </c>
      <c r="Q10401">
        <v>44</v>
      </c>
      <c r="R10401">
        <v>-79.362300000000005</v>
      </c>
    </row>
    <row r="10402" spans="1:18" x14ac:dyDescent="0.2">
      <c r="A10402" t="s">
        <v>663</v>
      </c>
      <c r="B10402" t="s">
        <v>2263</v>
      </c>
      <c r="C10402">
        <v>1</v>
      </c>
      <c r="D10402" s="1">
        <v>44357.872453703705</v>
      </c>
      <c r="E10402" t="s">
        <v>32477</v>
      </c>
      <c r="F10402" t="s">
        <v>666</v>
      </c>
      <c r="G10402" t="s">
        <v>32478</v>
      </c>
      <c r="H10402" t="s">
        <v>667</v>
      </c>
      <c r="I10402" t="s">
        <v>29</v>
      </c>
      <c r="J10402">
        <v>1</v>
      </c>
      <c r="K10402">
        <f>1-844-227-2067</f>
        <v>-3137</v>
      </c>
      <c r="L10402" t="s">
        <v>32496</v>
      </c>
      <c r="M10402" t="s">
        <v>32495</v>
      </c>
      <c r="N10402" t="s">
        <v>5354</v>
      </c>
      <c r="O10402" t="s">
        <v>28</v>
      </c>
      <c r="P10402" t="s">
        <v>2268</v>
      </c>
      <c r="Q10402">
        <v>44</v>
      </c>
      <c r="R10402">
        <v>-79.362300000000005</v>
      </c>
    </row>
    <row r="10403" spans="1:18" x14ac:dyDescent="0.2">
      <c r="A10403" t="s">
        <v>663</v>
      </c>
      <c r="B10403" t="s">
        <v>2263</v>
      </c>
      <c r="C10403">
        <v>1</v>
      </c>
      <c r="D10403" s="1">
        <v>44357.870370370372</v>
      </c>
      <c r="E10403" t="s">
        <v>32477</v>
      </c>
      <c r="F10403" t="s">
        <v>666</v>
      </c>
      <c r="G10403" t="s">
        <v>32478</v>
      </c>
      <c r="H10403" t="s">
        <v>667</v>
      </c>
      <c r="I10403" t="s">
        <v>29</v>
      </c>
      <c r="J10403">
        <v>1</v>
      </c>
      <c r="K10403">
        <f>1-844-227-2067</f>
        <v>-3137</v>
      </c>
      <c r="L10403" t="s">
        <v>32497</v>
      </c>
      <c r="M10403" t="s">
        <v>32489</v>
      </c>
      <c r="N10403" t="s">
        <v>5354</v>
      </c>
      <c r="O10403" t="s">
        <v>28</v>
      </c>
      <c r="P10403" t="s">
        <v>2268</v>
      </c>
      <c r="Q10403">
        <v>44</v>
      </c>
      <c r="R10403">
        <v>-79.362300000000005</v>
      </c>
    </row>
    <row r="10404" spans="1:18" x14ac:dyDescent="0.2">
      <c r="A10404" t="s">
        <v>663</v>
      </c>
      <c r="B10404" t="s">
        <v>2263</v>
      </c>
      <c r="C10404">
        <v>1</v>
      </c>
      <c r="D10404" s="1">
        <v>44357.870312500003</v>
      </c>
      <c r="E10404" t="s">
        <v>32477</v>
      </c>
      <c r="F10404" t="s">
        <v>666</v>
      </c>
      <c r="G10404" t="s">
        <v>32478</v>
      </c>
      <c r="H10404" t="s">
        <v>667</v>
      </c>
      <c r="I10404" t="s">
        <v>29</v>
      </c>
      <c r="J10404">
        <v>1</v>
      </c>
      <c r="K10404">
        <f>1-888-341-7497</f>
        <v>-8725</v>
      </c>
      <c r="L10404" t="s">
        <v>32498</v>
      </c>
      <c r="M10404" t="s">
        <v>32489</v>
      </c>
      <c r="N10404" t="s">
        <v>5354</v>
      </c>
      <c r="O10404" t="s">
        <v>28</v>
      </c>
      <c r="P10404" t="s">
        <v>2268</v>
      </c>
      <c r="Q10404">
        <v>44</v>
      </c>
      <c r="R10404">
        <v>-79.362300000000005</v>
      </c>
    </row>
    <row r="10405" spans="1:18" x14ac:dyDescent="0.2">
      <c r="A10405" t="s">
        <v>663</v>
      </c>
      <c r="B10405" t="s">
        <v>2263</v>
      </c>
      <c r="C10405">
        <v>1</v>
      </c>
      <c r="D10405" s="1">
        <v>44357.870254629626</v>
      </c>
      <c r="E10405" t="s">
        <v>32477</v>
      </c>
      <c r="F10405" t="s">
        <v>666</v>
      </c>
      <c r="G10405" t="s">
        <v>32478</v>
      </c>
      <c r="H10405" t="s">
        <v>667</v>
      </c>
      <c r="I10405" t="s">
        <v>29</v>
      </c>
      <c r="J10405">
        <v>1</v>
      </c>
      <c r="K10405">
        <f>1-844-475-8794</f>
        <v>-10112</v>
      </c>
      <c r="L10405" t="s">
        <v>32499</v>
      </c>
      <c r="M10405" t="s">
        <v>32489</v>
      </c>
      <c r="N10405" t="s">
        <v>5354</v>
      </c>
      <c r="O10405" t="s">
        <v>28</v>
      </c>
      <c r="P10405" t="s">
        <v>2268</v>
      </c>
      <c r="Q10405">
        <v>44</v>
      </c>
      <c r="R10405">
        <v>-79.362300000000005</v>
      </c>
    </row>
    <row r="10406" spans="1:18" x14ac:dyDescent="0.2">
      <c r="A10406" t="s">
        <v>663</v>
      </c>
      <c r="B10406" t="s">
        <v>2263</v>
      </c>
      <c r="C10406">
        <v>1</v>
      </c>
      <c r="D10406" s="1">
        <v>44357.870196759257</v>
      </c>
      <c r="E10406" t="s">
        <v>32477</v>
      </c>
      <c r="F10406" t="s">
        <v>666</v>
      </c>
      <c r="G10406" t="s">
        <v>32478</v>
      </c>
      <c r="H10406" t="s">
        <v>667</v>
      </c>
      <c r="I10406" t="s">
        <v>29</v>
      </c>
      <c r="J10406">
        <v>1</v>
      </c>
      <c r="K10406">
        <f>1-844-227-2067</f>
        <v>-3137</v>
      </c>
      <c r="L10406" t="s">
        <v>32500</v>
      </c>
      <c r="M10406" t="s">
        <v>32489</v>
      </c>
      <c r="N10406" t="s">
        <v>5354</v>
      </c>
      <c r="O10406" t="s">
        <v>28</v>
      </c>
      <c r="P10406" t="s">
        <v>2268</v>
      </c>
      <c r="Q10406">
        <v>44</v>
      </c>
      <c r="R10406">
        <v>-79.362300000000005</v>
      </c>
    </row>
    <row r="10407" spans="1:18" x14ac:dyDescent="0.2">
      <c r="A10407" t="s">
        <v>663</v>
      </c>
      <c r="B10407" t="s">
        <v>2263</v>
      </c>
      <c r="C10407">
        <v>1</v>
      </c>
      <c r="D10407" s="1">
        <v>44357.869930555556</v>
      </c>
      <c r="E10407" t="s">
        <v>32477</v>
      </c>
      <c r="F10407" t="s">
        <v>666</v>
      </c>
      <c r="G10407" t="s">
        <v>32478</v>
      </c>
      <c r="H10407" t="s">
        <v>667</v>
      </c>
      <c r="I10407" t="s">
        <v>29</v>
      </c>
      <c r="J10407">
        <v>1</v>
      </c>
      <c r="K10407">
        <f>1-888-336-7952</f>
        <v>-9175</v>
      </c>
      <c r="L10407" t="s">
        <v>32501</v>
      </c>
      <c r="M10407" t="s">
        <v>32489</v>
      </c>
      <c r="N10407" t="s">
        <v>5354</v>
      </c>
      <c r="O10407" t="s">
        <v>28</v>
      </c>
      <c r="P10407" t="s">
        <v>2268</v>
      </c>
      <c r="Q10407">
        <v>44</v>
      </c>
      <c r="R10407">
        <v>-79.362300000000005</v>
      </c>
    </row>
    <row r="10408" spans="1:18" x14ac:dyDescent="0.2">
      <c r="A10408" t="s">
        <v>663</v>
      </c>
      <c r="B10408" t="s">
        <v>2263</v>
      </c>
      <c r="C10408">
        <v>1</v>
      </c>
      <c r="D10408" s="1">
        <v>44357.869884259257</v>
      </c>
      <c r="E10408" t="s">
        <v>32477</v>
      </c>
      <c r="F10408" t="s">
        <v>666</v>
      </c>
      <c r="G10408" t="s">
        <v>32478</v>
      </c>
      <c r="H10408" t="s">
        <v>667</v>
      </c>
      <c r="I10408" t="s">
        <v>29</v>
      </c>
      <c r="J10408">
        <v>1</v>
      </c>
      <c r="K10408">
        <f>1-844-227-2067</f>
        <v>-3137</v>
      </c>
      <c r="L10408" t="s">
        <v>32502</v>
      </c>
      <c r="M10408" t="s">
        <v>32489</v>
      </c>
      <c r="N10408" t="s">
        <v>5354</v>
      </c>
      <c r="O10408" t="s">
        <v>28</v>
      </c>
      <c r="P10408" t="s">
        <v>2268</v>
      </c>
      <c r="Q10408">
        <v>44</v>
      </c>
      <c r="R10408">
        <v>-79.362300000000005</v>
      </c>
    </row>
    <row r="10409" spans="1:18" x14ac:dyDescent="0.2">
      <c r="A10409" t="s">
        <v>663</v>
      </c>
      <c r="B10409" t="s">
        <v>2263</v>
      </c>
      <c r="C10409">
        <v>1</v>
      </c>
      <c r="D10409" s="1">
        <v>44357.869814814818</v>
      </c>
      <c r="E10409" t="s">
        <v>32477</v>
      </c>
      <c r="F10409" t="s">
        <v>666</v>
      </c>
      <c r="G10409" t="s">
        <v>32478</v>
      </c>
      <c r="H10409" t="s">
        <v>667</v>
      </c>
      <c r="I10409" t="s">
        <v>29</v>
      </c>
      <c r="J10409">
        <v>1</v>
      </c>
      <c r="K10409">
        <f>1-888-353-8179</f>
        <v>-9419</v>
      </c>
      <c r="L10409" t="s">
        <v>32503</v>
      </c>
      <c r="M10409" t="s">
        <v>32489</v>
      </c>
      <c r="N10409" t="s">
        <v>5354</v>
      </c>
      <c r="O10409" t="s">
        <v>28</v>
      </c>
      <c r="P10409" t="s">
        <v>2268</v>
      </c>
      <c r="Q10409">
        <v>44</v>
      </c>
      <c r="R10409">
        <v>-79.362300000000005</v>
      </c>
    </row>
    <row r="10410" spans="1:18" x14ac:dyDescent="0.2">
      <c r="A10410" t="s">
        <v>663</v>
      </c>
      <c r="B10410" t="s">
        <v>2263</v>
      </c>
      <c r="C10410">
        <v>1</v>
      </c>
      <c r="D10410" s="1">
        <v>44357.869421296295</v>
      </c>
      <c r="E10410" t="s">
        <v>32477</v>
      </c>
      <c r="F10410" t="s">
        <v>666</v>
      </c>
      <c r="G10410" t="s">
        <v>32478</v>
      </c>
      <c r="H10410" t="s">
        <v>667</v>
      </c>
      <c r="I10410" t="s">
        <v>29</v>
      </c>
      <c r="J10410">
        <v>1</v>
      </c>
      <c r="K10410">
        <f>1-888-374-1360</f>
        <v>-2621</v>
      </c>
      <c r="L10410" t="s">
        <v>32504</v>
      </c>
      <c r="M10410" t="s">
        <v>32489</v>
      </c>
      <c r="N10410" t="s">
        <v>5354</v>
      </c>
      <c r="O10410" t="s">
        <v>28</v>
      </c>
      <c r="P10410" t="s">
        <v>2268</v>
      </c>
      <c r="Q10410">
        <v>44</v>
      </c>
      <c r="R10410">
        <v>-79.362300000000005</v>
      </c>
    </row>
    <row r="10411" spans="1:18" x14ac:dyDescent="0.2">
      <c r="A10411" t="s">
        <v>663</v>
      </c>
      <c r="B10411" t="s">
        <v>2263</v>
      </c>
      <c r="C10411">
        <v>1</v>
      </c>
      <c r="D10411" s="1">
        <v>44357.86891203704</v>
      </c>
      <c r="E10411" t="s">
        <v>32477</v>
      </c>
      <c r="F10411" t="s">
        <v>666</v>
      </c>
      <c r="G10411" t="s">
        <v>32478</v>
      </c>
      <c r="H10411" t="s">
        <v>667</v>
      </c>
      <c r="I10411" t="s">
        <v>29</v>
      </c>
      <c r="J10411">
        <v>1</v>
      </c>
      <c r="K10411">
        <f>1-844-336-9859</f>
        <v>-11038</v>
      </c>
      <c r="L10411" t="s">
        <v>32505</v>
      </c>
      <c r="M10411" t="s">
        <v>32489</v>
      </c>
      <c r="N10411" t="s">
        <v>5354</v>
      </c>
      <c r="O10411" t="s">
        <v>28</v>
      </c>
      <c r="P10411" t="s">
        <v>2268</v>
      </c>
      <c r="Q10411">
        <v>44</v>
      </c>
      <c r="R10411">
        <v>-79.362300000000005</v>
      </c>
    </row>
    <row r="10412" spans="1:18" x14ac:dyDescent="0.2">
      <c r="A10412" t="s">
        <v>663</v>
      </c>
      <c r="B10412" t="s">
        <v>2263</v>
      </c>
      <c r="C10412">
        <v>1</v>
      </c>
      <c r="D10412" s="1">
        <v>44357.869375000002</v>
      </c>
      <c r="E10412" t="s">
        <v>32477</v>
      </c>
      <c r="F10412" t="s">
        <v>666</v>
      </c>
      <c r="G10412" t="s">
        <v>32478</v>
      </c>
      <c r="H10412" t="s">
        <v>667</v>
      </c>
      <c r="I10412" t="s">
        <v>29</v>
      </c>
      <c r="J10412">
        <v>1</v>
      </c>
      <c r="K10412">
        <f>1-844-385-5806</f>
        <v>-7034</v>
      </c>
      <c r="L10412" t="s">
        <v>32506</v>
      </c>
      <c r="M10412" t="s">
        <v>32489</v>
      </c>
      <c r="N10412" t="s">
        <v>5354</v>
      </c>
      <c r="O10412" t="s">
        <v>28</v>
      </c>
      <c r="P10412" t="s">
        <v>2268</v>
      </c>
      <c r="Q10412">
        <v>44</v>
      </c>
      <c r="R10412">
        <v>-79.362300000000005</v>
      </c>
    </row>
    <row r="10413" spans="1:18" x14ac:dyDescent="0.2">
      <c r="A10413" t="s">
        <v>663</v>
      </c>
      <c r="B10413" t="s">
        <v>2263</v>
      </c>
      <c r="C10413">
        <v>1</v>
      </c>
      <c r="D10413" s="1">
        <v>44357.869027777779</v>
      </c>
      <c r="E10413" t="s">
        <v>32477</v>
      </c>
      <c r="F10413" t="s">
        <v>666</v>
      </c>
      <c r="G10413" t="s">
        <v>32478</v>
      </c>
      <c r="H10413" t="s">
        <v>667</v>
      </c>
      <c r="I10413" t="s">
        <v>29</v>
      </c>
      <c r="J10413">
        <v>1</v>
      </c>
      <c r="K10413">
        <f>1-844-227-2067</f>
        <v>-3137</v>
      </c>
      <c r="L10413" t="s">
        <v>32507</v>
      </c>
      <c r="M10413" t="s">
        <v>32489</v>
      </c>
      <c r="N10413" t="s">
        <v>5354</v>
      </c>
      <c r="O10413" t="s">
        <v>28</v>
      </c>
      <c r="P10413" t="s">
        <v>2268</v>
      </c>
      <c r="Q10413">
        <v>44</v>
      </c>
      <c r="R10413">
        <v>-79.362300000000005</v>
      </c>
    </row>
    <row r="10414" spans="1:18" x14ac:dyDescent="0.2">
      <c r="A10414" t="s">
        <v>663</v>
      </c>
      <c r="B10414" t="s">
        <v>2263</v>
      </c>
      <c r="C10414">
        <v>1</v>
      </c>
      <c r="D10414" s="1">
        <v>44357.866967592592</v>
      </c>
      <c r="E10414" t="s">
        <v>32477</v>
      </c>
      <c r="F10414" t="s">
        <v>666</v>
      </c>
      <c r="G10414" t="s">
        <v>32478</v>
      </c>
      <c r="H10414" t="s">
        <v>667</v>
      </c>
      <c r="I10414" t="s">
        <v>29</v>
      </c>
      <c r="J10414">
        <v>1</v>
      </c>
      <c r="K10414">
        <f>1-888-239-5452</f>
        <v>-6578</v>
      </c>
      <c r="L10414" t="s">
        <v>32508</v>
      </c>
      <c r="M10414" t="s">
        <v>32489</v>
      </c>
      <c r="N10414" t="s">
        <v>5354</v>
      </c>
      <c r="O10414" t="s">
        <v>28</v>
      </c>
      <c r="P10414" t="s">
        <v>2268</v>
      </c>
      <c r="Q10414">
        <v>44</v>
      </c>
      <c r="R10414">
        <v>-79.362300000000005</v>
      </c>
    </row>
    <row r="10415" spans="1:18" x14ac:dyDescent="0.2">
      <c r="A10415" t="s">
        <v>663</v>
      </c>
      <c r="B10415" t="s">
        <v>2263</v>
      </c>
      <c r="C10415">
        <v>1</v>
      </c>
      <c r="D10415" s="1">
        <v>44357.867245370369</v>
      </c>
      <c r="E10415" t="s">
        <v>32477</v>
      </c>
      <c r="F10415" t="s">
        <v>666</v>
      </c>
      <c r="G10415" t="s">
        <v>32478</v>
      </c>
      <c r="H10415" t="s">
        <v>667</v>
      </c>
      <c r="I10415" t="s">
        <v>29</v>
      </c>
      <c r="J10415">
        <v>1</v>
      </c>
      <c r="K10415">
        <f>1-888-605-6395</f>
        <v>-7887</v>
      </c>
      <c r="L10415" t="s">
        <v>32509</v>
      </c>
      <c r="M10415" t="s">
        <v>32489</v>
      </c>
      <c r="N10415" t="s">
        <v>5354</v>
      </c>
      <c r="O10415" t="s">
        <v>28</v>
      </c>
      <c r="P10415" t="s">
        <v>2268</v>
      </c>
      <c r="Q10415">
        <v>44</v>
      </c>
      <c r="R10415">
        <v>-79.362300000000005</v>
      </c>
    </row>
    <row r="10416" spans="1:18" x14ac:dyDescent="0.2">
      <c r="A10416" t="s">
        <v>663</v>
      </c>
      <c r="B10416" t="s">
        <v>2263</v>
      </c>
      <c r="C10416">
        <v>1</v>
      </c>
      <c r="D10416" s="1">
        <v>44357.867199074077</v>
      </c>
      <c r="E10416" t="s">
        <v>32477</v>
      </c>
      <c r="F10416" t="s">
        <v>666</v>
      </c>
      <c r="G10416" t="s">
        <v>32478</v>
      </c>
      <c r="H10416" t="s">
        <v>667</v>
      </c>
      <c r="I10416" t="s">
        <v>29</v>
      </c>
      <c r="J10416">
        <v>1</v>
      </c>
      <c r="K10416">
        <f>1-844-227-2067</f>
        <v>-3137</v>
      </c>
      <c r="L10416" t="s">
        <v>32510</v>
      </c>
      <c r="M10416" t="s">
        <v>32489</v>
      </c>
      <c r="N10416" t="s">
        <v>5354</v>
      </c>
      <c r="O10416" t="s">
        <v>28</v>
      </c>
      <c r="P10416" t="s">
        <v>2268</v>
      </c>
      <c r="Q10416">
        <v>44</v>
      </c>
      <c r="R10416">
        <v>-79.362300000000005</v>
      </c>
    </row>
    <row r="10417" spans="1:18" x14ac:dyDescent="0.2">
      <c r="A10417" t="s">
        <v>663</v>
      </c>
      <c r="B10417" t="s">
        <v>2263</v>
      </c>
      <c r="C10417">
        <v>1</v>
      </c>
      <c r="D10417" s="1">
        <v>44357.868298611109</v>
      </c>
      <c r="E10417" t="s">
        <v>32477</v>
      </c>
      <c r="F10417" t="s">
        <v>666</v>
      </c>
      <c r="G10417" t="s">
        <v>32478</v>
      </c>
      <c r="H10417" t="s">
        <v>667</v>
      </c>
      <c r="I10417" t="s">
        <v>29</v>
      </c>
      <c r="J10417">
        <v>1</v>
      </c>
      <c r="K10417">
        <f>1-844-227-2067</f>
        <v>-3137</v>
      </c>
      <c r="L10417" t="s">
        <v>32511</v>
      </c>
      <c r="M10417" t="s">
        <v>32489</v>
      </c>
      <c r="N10417" t="s">
        <v>5354</v>
      </c>
      <c r="O10417" t="s">
        <v>28</v>
      </c>
      <c r="P10417" t="s">
        <v>2268</v>
      </c>
      <c r="Q10417">
        <v>44</v>
      </c>
      <c r="R10417">
        <v>-79.362300000000005</v>
      </c>
    </row>
    <row r="10418" spans="1:18" x14ac:dyDescent="0.2">
      <c r="A10418" t="s">
        <v>663</v>
      </c>
      <c r="B10418" t="s">
        <v>2263</v>
      </c>
      <c r="C10418">
        <v>1</v>
      </c>
      <c r="D10418" s="1">
        <v>44357.868113425924</v>
      </c>
      <c r="E10418" t="s">
        <v>32477</v>
      </c>
      <c r="F10418" t="s">
        <v>666</v>
      </c>
      <c r="G10418" t="s">
        <v>32478</v>
      </c>
      <c r="H10418" t="s">
        <v>667</v>
      </c>
      <c r="I10418" t="s">
        <v>29</v>
      </c>
      <c r="J10418">
        <v>1</v>
      </c>
      <c r="K10418">
        <f>1-844-227-2067</f>
        <v>-3137</v>
      </c>
      <c r="L10418" t="s">
        <v>32512</v>
      </c>
      <c r="M10418" t="s">
        <v>32489</v>
      </c>
      <c r="N10418" t="s">
        <v>5354</v>
      </c>
      <c r="O10418" t="s">
        <v>28</v>
      </c>
      <c r="P10418" t="s">
        <v>2268</v>
      </c>
      <c r="Q10418">
        <v>44</v>
      </c>
      <c r="R10418">
        <v>-79.362300000000005</v>
      </c>
    </row>
    <row r="10419" spans="1:18" x14ac:dyDescent="0.2">
      <c r="A10419" t="s">
        <v>663</v>
      </c>
      <c r="B10419" t="s">
        <v>2263</v>
      </c>
      <c r="C10419">
        <v>1</v>
      </c>
      <c r="D10419" s="1">
        <v>44357.867361111108</v>
      </c>
      <c r="E10419" t="s">
        <v>32477</v>
      </c>
      <c r="F10419" t="s">
        <v>666</v>
      </c>
      <c r="G10419" t="s">
        <v>32478</v>
      </c>
      <c r="H10419" t="s">
        <v>667</v>
      </c>
      <c r="I10419" t="s">
        <v>29</v>
      </c>
      <c r="J10419">
        <v>1</v>
      </c>
      <c r="K10419">
        <f>1-888-307-3930</f>
        <v>-5124</v>
      </c>
      <c r="L10419" t="s">
        <v>32513</v>
      </c>
      <c r="M10419" t="s">
        <v>32489</v>
      </c>
      <c r="N10419" t="s">
        <v>5354</v>
      </c>
      <c r="O10419" t="s">
        <v>28</v>
      </c>
      <c r="P10419" t="s">
        <v>2268</v>
      </c>
      <c r="Q10419">
        <v>44</v>
      </c>
      <c r="R10419">
        <v>-79.362300000000005</v>
      </c>
    </row>
    <row r="10420" spans="1:18" x14ac:dyDescent="0.2">
      <c r="A10420" t="s">
        <v>663</v>
      </c>
      <c r="B10420" t="s">
        <v>2263</v>
      </c>
      <c r="C10420">
        <v>1</v>
      </c>
      <c r="D10420" s="1">
        <v>44357.867303240739</v>
      </c>
      <c r="E10420" t="s">
        <v>32477</v>
      </c>
      <c r="F10420" t="s">
        <v>666</v>
      </c>
      <c r="G10420" t="s">
        <v>32478</v>
      </c>
      <c r="H10420" t="s">
        <v>667</v>
      </c>
      <c r="I10420" t="s">
        <v>29</v>
      </c>
      <c r="J10420">
        <v>1</v>
      </c>
      <c r="K10420">
        <f>1-888-803-793</f>
        <v>-2483</v>
      </c>
      <c r="L10420" t="s">
        <v>32514</v>
      </c>
      <c r="M10420" t="s">
        <v>32489</v>
      </c>
      <c r="N10420" t="s">
        <v>5354</v>
      </c>
      <c r="O10420" t="s">
        <v>28</v>
      </c>
      <c r="P10420" t="s">
        <v>2268</v>
      </c>
      <c r="Q10420">
        <v>44</v>
      </c>
      <c r="R10420">
        <v>-79.362300000000005</v>
      </c>
    </row>
    <row r="10421" spans="1:18" x14ac:dyDescent="0.2">
      <c r="A10421" t="s">
        <v>663</v>
      </c>
      <c r="B10421" t="s">
        <v>2493</v>
      </c>
      <c r="C10421">
        <v>1</v>
      </c>
      <c r="D10421" s="1">
        <v>44366.885289351849</v>
      </c>
      <c r="E10421" t="s">
        <v>32515</v>
      </c>
      <c r="F10421" t="s">
        <v>666</v>
      </c>
      <c r="G10421" t="s">
        <v>32516</v>
      </c>
      <c r="H10421" t="s">
        <v>667</v>
      </c>
      <c r="I10421" t="s">
        <v>29</v>
      </c>
      <c r="J10421">
        <v>1</v>
      </c>
      <c r="K10421">
        <f>1-888-345-9827</f>
        <v>-11059</v>
      </c>
      <c r="L10421" t="s">
        <v>32517</v>
      </c>
      <c r="M10421" t="s">
        <v>32518</v>
      </c>
      <c r="N10421" t="s">
        <v>447</v>
      </c>
      <c r="O10421" t="s">
        <v>134</v>
      </c>
      <c r="P10421" t="s">
        <v>29</v>
      </c>
      <c r="Q10421">
        <v>41</v>
      </c>
      <c r="R10421">
        <v>-74.024699999999996</v>
      </c>
    </row>
    <row r="10422" spans="1:18" x14ac:dyDescent="0.2">
      <c r="A10422" t="s">
        <v>663</v>
      </c>
      <c r="B10422" t="s">
        <v>2493</v>
      </c>
      <c r="C10422">
        <v>1</v>
      </c>
      <c r="D10422" s="1">
        <v>44358.768599537034</v>
      </c>
      <c r="E10422" t="s">
        <v>32519</v>
      </c>
      <c r="F10422" t="s">
        <v>666</v>
      </c>
      <c r="G10422" t="s">
        <v>32516</v>
      </c>
      <c r="H10422" t="s">
        <v>667</v>
      </c>
      <c r="I10422" t="s">
        <v>29</v>
      </c>
      <c r="J10422">
        <v>1</v>
      </c>
      <c r="K10422">
        <f>1-888-345-9827</f>
        <v>-11059</v>
      </c>
      <c r="L10422" t="s">
        <v>32520</v>
      </c>
      <c r="M10422" t="s">
        <v>32521</v>
      </c>
      <c r="N10422" t="s">
        <v>447</v>
      </c>
      <c r="O10422" t="s">
        <v>28</v>
      </c>
      <c r="P10422" t="s">
        <v>29</v>
      </c>
      <c r="Q10422">
        <v>41</v>
      </c>
      <c r="R10422">
        <v>-74.024699999999996</v>
      </c>
    </row>
    <row r="10423" spans="1:18" x14ac:dyDescent="0.2">
      <c r="A10423" t="s">
        <v>663</v>
      </c>
      <c r="B10423" t="s">
        <v>2493</v>
      </c>
      <c r="C10423">
        <v>1</v>
      </c>
      <c r="D10423" s="1">
        <v>44358.9065625</v>
      </c>
      <c r="E10423" t="s">
        <v>32522</v>
      </c>
      <c r="F10423" t="s">
        <v>666</v>
      </c>
      <c r="G10423" t="s">
        <v>32516</v>
      </c>
      <c r="H10423" t="s">
        <v>667</v>
      </c>
      <c r="I10423" t="s">
        <v>29</v>
      </c>
      <c r="J10423">
        <v>1</v>
      </c>
      <c r="K10423">
        <f>1-888-345-9827</f>
        <v>-11059</v>
      </c>
      <c r="L10423" t="s">
        <v>32523</v>
      </c>
      <c r="M10423" t="s">
        <v>32524</v>
      </c>
      <c r="N10423" t="s">
        <v>447</v>
      </c>
      <c r="O10423" t="s">
        <v>28</v>
      </c>
      <c r="P10423" t="s">
        <v>29</v>
      </c>
      <c r="Q10423">
        <v>41</v>
      </c>
      <c r="R10423">
        <v>-74.024699999999996</v>
      </c>
    </row>
    <row r="10424" spans="1:18" x14ac:dyDescent="0.2">
      <c r="A10424" t="s">
        <v>663</v>
      </c>
      <c r="B10424" t="s">
        <v>2493</v>
      </c>
      <c r="C10424">
        <v>1</v>
      </c>
      <c r="D10424" s="1">
        <v>44358.906585648147</v>
      </c>
      <c r="E10424" t="s">
        <v>32525</v>
      </c>
      <c r="F10424" t="s">
        <v>666</v>
      </c>
      <c r="G10424" t="s">
        <v>32526</v>
      </c>
      <c r="H10424" t="s">
        <v>667</v>
      </c>
      <c r="I10424" t="s">
        <v>29</v>
      </c>
      <c r="J10424">
        <v>1</v>
      </c>
      <c r="K10424">
        <f>1-806-329-3058</f>
        <v>-4192</v>
      </c>
      <c r="L10424" t="s">
        <v>32527</v>
      </c>
      <c r="M10424" t="s">
        <v>32528</v>
      </c>
      <c r="N10424" t="s">
        <v>674</v>
      </c>
      <c r="O10424" t="s">
        <v>28</v>
      </c>
      <c r="P10424" t="s">
        <v>29</v>
      </c>
      <c r="Q10424">
        <v>41</v>
      </c>
      <c r="R10424">
        <v>-74.024699999999996</v>
      </c>
    </row>
    <row r="10425" spans="1:18" x14ac:dyDescent="0.2">
      <c r="A10425" t="s">
        <v>439</v>
      </c>
      <c r="B10425" t="s">
        <v>4321</v>
      </c>
      <c r="C10425">
        <v>1</v>
      </c>
      <c r="D10425" s="1">
        <v>44358.93372685185</v>
      </c>
      <c r="E10425" t="s">
        <v>32529</v>
      </c>
      <c r="F10425" t="s">
        <v>442</v>
      </c>
      <c r="G10425" t="s">
        <v>32530</v>
      </c>
      <c r="H10425" t="s">
        <v>444</v>
      </c>
      <c r="I10425" t="s">
        <v>29</v>
      </c>
      <c r="J10425">
        <v>1</v>
      </c>
      <c r="K10425">
        <f>1-888-786-4714</f>
        <v>-6387</v>
      </c>
      <c r="L10425" t="s">
        <v>32531</v>
      </c>
      <c r="M10425" t="s">
        <v>32532</v>
      </c>
      <c r="N10425" t="s">
        <v>452</v>
      </c>
      <c r="O10425" t="s">
        <v>28</v>
      </c>
      <c r="P10425" t="s">
        <v>29</v>
      </c>
      <c r="Q10425">
        <v>42</v>
      </c>
      <c r="R10425">
        <v>-87.629800000000003</v>
      </c>
    </row>
    <row r="10426" spans="1:18" x14ac:dyDescent="0.2">
      <c r="A10426" t="s">
        <v>439</v>
      </c>
      <c r="B10426" t="s">
        <v>4321</v>
      </c>
      <c r="C10426">
        <v>1</v>
      </c>
      <c r="D10426" s="1">
        <v>44358.933449074073</v>
      </c>
      <c r="E10426" t="s">
        <v>32529</v>
      </c>
      <c r="F10426" t="s">
        <v>442</v>
      </c>
      <c r="G10426" t="s">
        <v>32530</v>
      </c>
      <c r="H10426" t="s">
        <v>444</v>
      </c>
      <c r="I10426" t="s">
        <v>29</v>
      </c>
      <c r="J10426">
        <v>1</v>
      </c>
      <c r="K10426">
        <f>1-888-787-4557</f>
        <v>-6231</v>
      </c>
      <c r="L10426" t="s">
        <v>32533</v>
      </c>
      <c r="M10426" t="s">
        <v>32534</v>
      </c>
      <c r="N10426" t="s">
        <v>452</v>
      </c>
      <c r="O10426" t="s">
        <v>28</v>
      </c>
      <c r="P10426" t="s">
        <v>29</v>
      </c>
      <c r="Q10426">
        <v>42</v>
      </c>
      <c r="R10426">
        <v>-87.629800000000003</v>
      </c>
    </row>
    <row r="10427" spans="1:18" x14ac:dyDescent="0.2">
      <c r="A10427" t="s">
        <v>439</v>
      </c>
      <c r="B10427" t="s">
        <v>4321</v>
      </c>
      <c r="C10427">
        <v>1</v>
      </c>
      <c r="D10427" s="1">
        <v>44358.908078703702</v>
      </c>
      <c r="E10427" t="s">
        <v>32529</v>
      </c>
      <c r="F10427" t="s">
        <v>442</v>
      </c>
      <c r="G10427" t="s">
        <v>32530</v>
      </c>
      <c r="H10427" t="s">
        <v>444</v>
      </c>
      <c r="I10427" t="s">
        <v>29</v>
      </c>
      <c r="J10427">
        <v>1</v>
      </c>
      <c r="K10427">
        <f>1-888-787-3351</f>
        <v>-5025</v>
      </c>
      <c r="L10427" t="s">
        <v>32535</v>
      </c>
      <c r="M10427" t="s">
        <v>32536</v>
      </c>
      <c r="N10427" t="s">
        <v>452</v>
      </c>
      <c r="O10427" t="s">
        <v>28</v>
      </c>
      <c r="P10427" t="s">
        <v>29</v>
      </c>
      <c r="Q10427">
        <v>42</v>
      </c>
      <c r="R10427">
        <v>-87.629800000000003</v>
      </c>
    </row>
    <row r="10428" spans="1:18" x14ac:dyDescent="0.2">
      <c r="A10428" t="s">
        <v>439</v>
      </c>
      <c r="B10428" t="s">
        <v>4321</v>
      </c>
      <c r="C10428">
        <v>1</v>
      </c>
      <c r="D10428" s="1">
        <v>44358.933564814812</v>
      </c>
      <c r="E10428" t="s">
        <v>32529</v>
      </c>
      <c r="F10428" t="s">
        <v>442</v>
      </c>
      <c r="G10428" t="s">
        <v>32537</v>
      </c>
      <c r="H10428" t="s">
        <v>444</v>
      </c>
      <c r="I10428" t="s">
        <v>29</v>
      </c>
      <c r="J10428">
        <v>1</v>
      </c>
      <c r="K10428">
        <f>1-888-786-4549</f>
        <v>-6222</v>
      </c>
      <c r="L10428" t="s">
        <v>32538</v>
      </c>
      <c r="M10428" t="s">
        <v>32539</v>
      </c>
      <c r="N10428" t="s">
        <v>452</v>
      </c>
      <c r="O10428" t="s">
        <v>28</v>
      </c>
      <c r="P10428" t="s">
        <v>29</v>
      </c>
      <c r="Q10428">
        <v>42</v>
      </c>
      <c r="R10428">
        <v>-87.629800000000003</v>
      </c>
    </row>
    <row r="10429" spans="1:18" x14ac:dyDescent="0.2">
      <c r="A10429" t="s">
        <v>439</v>
      </c>
      <c r="B10429" t="s">
        <v>4321</v>
      </c>
      <c r="C10429">
        <v>1</v>
      </c>
      <c r="D10429" s="1">
        <v>44358.909791666665</v>
      </c>
      <c r="E10429" t="s">
        <v>32529</v>
      </c>
      <c r="F10429" t="s">
        <v>442</v>
      </c>
      <c r="G10429" t="s">
        <v>32537</v>
      </c>
      <c r="H10429" t="s">
        <v>444</v>
      </c>
      <c r="I10429" t="s">
        <v>29</v>
      </c>
      <c r="J10429">
        <v>1</v>
      </c>
      <c r="K10429">
        <f>1-888-786-8597</f>
        <v>-10270</v>
      </c>
      <c r="L10429" t="s">
        <v>32540</v>
      </c>
      <c r="M10429" t="s">
        <v>32541</v>
      </c>
      <c r="N10429" t="s">
        <v>452</v>
      </c>
      <c r="O10429" t="s">
        <v>28</v>
      </c>
      <c r="P10429" t="s">
        <v>29</v>
      </c>
      <c r="Q10429">
        <v>42</v>
      </c>
      <c r="R10429">
        <v>-87.629800000000003</v>
      </c>
    </row>
    <row r="10430" spans="1:18" x14ac:dyDescent="0.2">
      <c r="A10430" t="s">
        <v>2233</v>
      </c>
      <c r="B10430" t="s">
        <v>1638</v>
      </c>
      <c r="C10430">
        <v>1</v>
      </c>
      <c r="D10430" s="1">
        <v>44357.868888888886</v>
      </c>
      <c r="E10430" t="s">
        <v>32542</v>
      </c>
      <c r="F10430" t="s">
        <v>2236</v>
      </c>
      <c r="G10430" t="s">
        <v>32543</v>
      </c>
      <c r="H10430" t="s">
        <v>2237</v>
      </c>
      <c r="I10430" t="s">
        <v>29</v>
      </c>
      <c r="J10430">
        <v>1</v>
      </c>
      <c r="K10430">
        <f>1-888-604-4153</f>
        <v>-5644</v>
      </c>
      <c r="L10430" t="s">
        <v>32544</v>
      </c>
      <c r="M10430" t="s">
        <v>32545</v>
      </c>
      <c r="N10430" t="s">
        <v>278</v>
      </c>
      <c r="O10430" t="s">
        <v>28</v>
      </c>
      <c r="P10430" t="s">
        <v>292</v>
      </c>
      <c r="Q10430">
        <v>49</v>
      </c>
      <c r="R10430">
        <v>2.35222</v>
      </c>
    </row>
    <row r="10431" spans="1:18" x14ac:dyDescent="0.2">
      <c r="A10431" t="s">
        <v>439</v>
      </c>
      <c r="B10431" t="s">
        <v>4321</v>
      </c>
      <c r="C10431">
        <v>1</v>
      </c>
      <c r="D10431" s="1">
        <v>44357.860335648147</v>
      </c>
      <c r="E10431" t="s">
        <v>32546</v>
      </c>
      <c r="F10431" t="s">
        <v>442</v>
      </c>
      <c r="G10431" t="s">
        <v>32547</v>
      </c>
      <c r="H10431" t="s">
        <v>444</v>
      </c>
      <c r="I10431" t="s">
        <v>29</v>
      </c>
      <c r="J10431">
        <v>1</v>
      </c>
      <c r="K10431">
        <f>1-844-390-5827</f>
        <v>-7060</v>
      </c>
      <c r="L10431" t="s">
        <v>32548</v>
      </c>
      <c r="M10431" t="s">
        <v>32549</v>
      </c>
      <c r="N10431" t="s">
        <v>447</v>
      </c>
      <c r="O10431" t="s">
        <v>28</v>
      </c>
      <c r="P10431" t="s">
        <v>29</v>
      </c>
      <c r="Q10431">
        <v>42</v>
      </c>
      <c r="R10431">
        <v>-87.629800000000003</v>
      </c>
    </row>
    <row r="10432" spans="1:18" x14ac:dyDescent="0.2">
      <c r="A10432" t="s">
        <v>663</v>
      </c>
      <c r="B10432" t="s">
        <v>1412</v>
      </c>
      <c r="C10432">
        <v>1</v>
      </c>
      <c r="D10432" s="1">
        <v>44358.97320601852</v>
      </c>
      <c r="E10432" t="s">
        <v>32550</v>
      </c>
      <c r="F10432" t="s">
        <v>2495</v>
      </c>
      <c r="G10432" t="s">
        <v>32551</v>
      </c>
      <c r="H10432" t="s">
        <v>667</v>
      </c>
      <c r="I10432" t="s">
        <v>29</v>
      </c>
      <c r="J10432">
        <v>1</v>
      </c>
      <c r="K10432">
        <f>1-317-316-9473</f>
        <v>-10105</v>
      </c>
      <c r="L10432" t="s">
        <v>32552</v>
      </c>
      <c r="M10432" t="s">
        <v>32553</v>
      </c>
      <c r="N10432" t="s">
        <v>452</v>
      </c>
      <c r="O10432" t="s">
        <v>28</v>
      </c>
      <c r="P10432" t="s">
        <v>29</v>
      </c>
      <c r="Q10432">
        <v>41</v>
      </c>
      <c r="R10432">
        <v>-74.172399999999996</v>
      </c>
    </row>
    <row r="10433" spans="1:18" x14ac:dyDescent="0.2">
      <c r="A10433" t="s">
        <v>2233</v>
      </c>
      <c r="B10433" t="s">
        <v>1638</v>
      </c>
      <c r="C10433">
        <v>1</v>
      </c>
      <c r="D10433" s="1">
        <v>44358.995810185188</v>
      </c>
      <c r="E10433" t="s">
        <v>32554</v>
      </c>
      <c r="F10433" t="s">
        <v>7023</v>
      </c>
      <c r="G10433" t="s">
        <v>32555</v>
      </c>
      <c r="H10433" t="s">
        <v>2237</v>
      </c>
      <c r="I10433" t="s">
        <v>29</v>
      </c>
      <c r="J10433">
        <v>1</v>
      </c>
      <c r="K10433">
        <f>1-888-787-4610</f>
        <v>-6284</v>
      </c>
      <c r="L10433" t="s">
        <v>32556</v>
      </c>
      <c r="M10433" t="s">
        <v>32557</v>
      </c>
      <c r="N10433" t="s">
        <v>278</v>
      </c>
      <c r="O10433" t="s">
        <v>28</v>
      </c>
      <c r="P10433" t="s">
        <v>292</v>
      </c>
      <c r="Q10433">
        <v>49</v>
      </c>
      <c r="R10433">
        <v>2.35222</v>
      </c>
    </row>
    <row r="10434" spans="1:18" x14ac:dyDescent="0.2">
      <c r="A10434" t="s">
        <v>663</v>
      </c>
      <c r="B10434" t="s">
        <v>2493</v>
      </c>
      <c r="C10434">
        <v>1</v>
      </c>
      <c r="D10434" s="1">
        <v>44360.779722222222</v>
      </c>
      <c r="E10434" t="s">
        <v>32558</v>
      </c>
      <c r="F10434" t="s">
        <v>666</v>
      </c>
      <c r="G10434" t="s">
        <v>32558</v>
      </c>
      <c r="H10434" t="s">
        <v>667</v>
      </c>
      <c r="I10434" t="s">
        <v>29</v>
      </c>
      <c r="J10434">
        <v>1</v>
      </c>
      <c r="K10434">
        <f>1-844-339-7964</f>
        <v>-9146</v>
      </c>
      <c r="L10434" t="s">
        <v>32559</v>
      </c>
      <c r="M10434" t="s">
        <v>32560</v>
      </c>
      <c r="N10434">
        <v>137</v>
      </c>
      <c r="O10434" t="s">
        <v>134</v>
      </c>
      <c r="P10434" t="s">
        <v>29</v>
      </c>
      <c r="Q10434">
        <v>41</v>
      </c>
      <c r="R10434">
        <v>-74.024699999999996</v>
      </c>
    </row>
    <row r="10435" spans="1:18" x14ac:dyDescent="0.2">
      <c r="A10435" t="s">
        <v>663</v>
      </c>
      <c r="B10435" t="s">
        <v>2263</v>
      </c>
      <c r="C10435">
        <v>1</v>
      </c>
      <c r="D10435" s="1">
        <v>44359.011724537035</v>
      </c>
      <c r="E10435" t="s">
        <v>32561</v>
      </c>
      <c r="F10435" t="s">
        <v>666</v>
      </c>
      <c r="G10435" t="s">
        <v>32562</v>
      </c>
      <c r="H10435" t="s">
        <v>667</v>
      </c>
      <c r="I10435" t="s">
        <v>29</v>
      </c>
      <c r="J10435">
        <v>1</v>
      </c>
      <c r="K10435">
        <f>1-888-369-1902</f>
        <v>-3158</v>
      </c>
      <c r="L10435" t="s">
        <v>32563</v>
      </c>
      <c r="M10435" t="s">
        <v>32564</v>
      </c>
      <c r="N10435" t="s">
        <v>5354</v>
      </c>
      <c r="O10435" t="s">
        <v>28</v>
      </c>
      <c r="P10435" t="s">
        <v>2268</v>
      </c>
      <c r="Q10435">
        <v>44</v>
      </c>
      <c r="R10435">
        <v>-79.362300000000005</v>
      </c>
    </row>
    <row r="10436" spans="1:18" x14ac:dyDescent="0.2">
      <c r="A10436" t="s">
        <v>663</v>
      </c>
      <c r="B10436" t="s">
        <v>2263</v>
      </c>
      <c r="C10436">
        <v>1</v>
      </c>
      <c r="D10436" s="1">
        <v>44359.011180555557</v>
      </c>
      <c r="E10436" t="s">
        <v>32561</v>
      </c>
      <c r="F10436" t="s">
        <v>666</v>
      </c>
      <c r="G10436" t="s">
        <v>32562</v>
      </c>
      <c r="H10436" t="s">
        <v>667</v>
      </c>
      <c r="I10436" t="s">
        <v>29</v>
      </c>
      <c r="J10436">
        <v>1</v>
      </c>
      <c r="K10436">
        <f>1-833-888-1365</f>
        <v>-3085</v>
      </c>
      <c r="L10436" t="s">
        <v>32565</v>
      </c>
      <c r="M10436" t="s">
        <v>32566</v>
      </c>
      <c r="N10436" t="s">
        <v>5354</v>
      </c>
      <c r="O10436" t="s">
        <v>28</v>
      </c>
      <c r="P10436" t="s">
        <v>2268</v>
      </c>
      <c r="Q10436">
        <v>44</v>
      </c>
      <c r="R10436">
        <v>-79.362300000000005</v>
      </c>
    </row>
    <row r="10437" spans="1:18" x14ac:dyDescent="0.2">
      <c r="A10437" t="s">
        <v>663</v>
      </c>
      <c r="B10437" t="s">
        <v>2263</v>
      </c>
      <c r="C10437">
        <v>1</v>
      </c>
      <c r="D10437" s="1">
        <v>44359.010682870372</v>
      </c>
      <c r="E10437" t="s">
        <v>32561</v>
      </c>
      <c r="F10437" t="s">
        <v>666</v>
      </c>
      <c r="G10437" t="s">
        <v>32562</v>
      </c>
      <c r="H10437" t="s">
        <v>667</v>
      </c>
      <c r="I10437" t="s">
        <v>29</v>
      </c>
      <c r="J10437">
        <v>1</v>
      </c>
      <c r="K10437">
        <f>1-888-322-9912</f>
        <v>-11121</v>
      </c>
      <c r="L10437" t="s">
        <v>32567</v>
      </c>
      <c r="M10437" t="s">
        <v>32568</v>
      </c>
      <c r="N10437" t="s">
        <v>5354</v>
      </c>
      <c r="O10437" t="s">
        <v>28</v>
      </c>
      <c r="P10437" t="s">
        <v>2268</v>
      </c>
      <c r="Q10437">
        <v>44</v>
      </c>
      <c r="R10437">
        <v>-79.362300000000005</v>
      </c>
    </row>
    <row r="10438" spans="1:18" x14ac:dyDescent="0.2">
      <c r="A10438" t="s">
        <v>663</v>
      </c>
      <c r="B10438" t="s">
        <v>2263</v>
      </c>
      <c r="C10438">
        <v>1</v>
      </c>
      <c r="D10438" s="1">
        <v>44359.010636574072</v>
      </c>
      <c r="E10438" t="s">
        <v>32561</v>
      </c>
      <c r="F10438" t="s">
        <v>666</v>
      </c>
      <c r="G10438" t="s">
        <v>32562</v>
      </c>
      <c r="H10438" t="s">
        <v>667</v>
      </c>
      <c r="I10438" t="s">
        <v>29</v>
      </c>
      <c r="J10438">
        <v>1</v>
      </c>
      <c r="K10438">
        <f>1-888-399-2478</f>
        <v>-3764</v>
      </c>
      <c r="L10438" t="s">
        <v>32569</v>
      </c>
      <c r="M10438" t="s">
        <v>32568</v>
      </c>
      <c r="N10438" t="s">
        <v>5354</v>
      </c>
      <c r="O10438" t="s">
        <v>28</v>
      </c>
      <c r="P10438" t="s">
        <v>2268</v>
      </c>
      <c r="Q10438">
        <v>44</v>
      </c>
      <c r="R10438">
        <v>-79.362300000000005</v>
      </c>
    </row>
    <row r="10439" spans="1:18" x14ac:dyDescent="0.2">
      <c r="A10439" t="s">
        <v>663</v>
      </c>
      <c r="B10439" t="s">
        <v>2263</v>
      </c>
      <c r="C10439">
        <v>1</v>
      </c>
      <c r="D10439" s="1">
        <v>44359.01053240741</v>
      </c>
      <c r="E10439" t="s">
        <v>32561</v>
      </c>
      <c r="F10439" t="s">
        <v>666</v>
      </c>
      <c r="G10439" t="s">
        <v>32562</v>
      </c>
      <c r="H10439" t="s">
        <v>667</v>
      </c>
      <c r="I10439" t="s">
        <v>29</v>
      </c>
      <c r="J10439">
        <v>1</v>
      </c>
      <c r="K10439">
        <f>1-888-396-3023</f>
        <v>-4306</v>
      </c>
      <c r="L10439" t="s">
        <v>32570</v>
      </c>
      <c r="M10439" t="s">
        <v>32568</v>
      </c>
      <c r="N10439" t="s">
        <v>5354</v>
      </c>
      <c r="O10439" t="s">
        <v>28</v>
      </c>
      <c r="P10439" t="s">
        <v>2268</v>
      </c>
      <c r="Q10439">
        <v>44</v>
      </c>
      <c r="R10439">
        <v>-79.362300000000005</v>
      </c>
    </row>
    <row r="10440" spans="1:18" x14ac:dyDescent="0.2">
      <c r="A10440" t="s">
        <v>663</v>
      </c>
      <c r="B10440" t="s">
        <v>2263</v>
      </c>
      <c r="C10440">
        <v>1</v>
      </c>
      <c r="D10440" s="1">
        <v>44359.010335648149</v>
      </c>
      <c r="E10440" t="s">
        <v>32561</v>
      </c>
      <c r="F10440" t="s">
        <v>666</v>
      </c>
      <c r="G10440" t="s">
        <v>32562</v>
      </c>
      <c r="H10440" t="s">
        <v>667</v>
      </c>
      <c r="I10440" t="s">
        <v>29</v>
      </c>
      <c r="J10440">
        <v>1</v>
      </c>
      <c r="K10440">
        <f>1-888-614-2686</f>
        <v>-4187</v>
      </c>
      <c r="L10440" t="s">
        <v>32571</v>
      </c>
      <c r="M10440" t="s">
        <v>32568</v>
      </c>
      <c r="N10440" t="s">
        <v>5354</v>
      </c>
      <c r="O10440" t="s">
        <v>28</v>
      </c>
      <c r="P10440" t="s">
        <v>2268</v>
      </c>
      <c r="Q10440">
        <v>44</v>
      </c>
      <c r="R10440">
        <v>-79.362300000000005</v>
      </c>
    </row>
    <row r="10441" spans="1:18" x14ac:dyDescent="0.2">
      <c r="A10441" t="s">
        <v>663</v>
      </c>
      <c r="B10441" t="s">
        <v>2263</v>
      </c>
      <c r="C10441">
        <v>1</v>
      </c>
      <c r="D10441" s="1">
        <v>44359.010150462964</v>
      </c>
      <c r="E10441" t="s">
        <v>32561</v>
      </c>
      <c r="F10441" t="s">
        <v>666</v>
      </c>
      <c r="G10441" t="s">
        <v>32562</v>
      </c>
      <c r="H10441" t="s">
        <v>667</v>
      </c>
      <c r="I10441" t="s">
        <v>29</v>
      </c>
      <c r="J10441">
        <v>1</v>
      </c>
      <c r="K10441">
        <f>1-888-374-1360</f>
        <v>-2621</v>
      </c>
      <c r="L10441" t="s">
        <v>32572</v>
      </c>
      <c r="M10441" t="s">
        <v>32568</v>
      </c>
      <c r="N10441" t="s">
        <v>5354</v>
      </c>
      <c r="O10441" t="s">
        <v>28</v>
      </c>
      <c r="P10441" t="s">
        <v>2268</v>
      </c>
      <c r="Q10441">
        <v>44</v>
      </c>
      <c r="R10441">
        <v>-79.362300000000005</v>
      </c>
    </row>
    <row r="10442" spans="1:18" x14ac:dyDescent="0.2">
      <c r="A10442" t="s">
        <v>663</v>
      </c>
      <c r="B10442" t="s">
        <v>2263</v>
      </c>
      <c r="C10442">
        <v>1</v>
      </c>
      <c r="D10442" s="1">
        <v>44359.009930555556</v>
      </c>
      <c r="E10442" t="s">
        <v>32561</v>
      </c>
      <c r="F10442" t="s">
        <v>666</v>
      </c>
      <c r="G10442" t="s">
        <v>32562</v>
      </c>
      <c r="H10442" t="s">
        <v>667</v>
      </c>
      <c r="I10442" t="s">
        <v>29</v>
      </c>
      <c r="J10442">
        <v>1</v>
      </c>
      <c r="K10442">
        <f>1-888-382-1921</f>
        <v>-3190</v>
      </c>
      <c r="L10442" t="s">
        <v>32573</v>
      </c>
      <c r="M10442" t="s">
        <v>32574</v>
      </c>
      <c r="N10442" t="s">
        <v>5354</v>
      </c>
      <c r="O10442" t="s">
        <v>28</v>
      </c>
      <c r="P10442" t="s">
        <v>2268</v>
      </c>
      <c r="Q10442">
        <v>44</v>
      </c>
      <c r="R10442">
        <v>-79.362300000000005</v>
      </c>
    </row>
    <row r="10443" spans="1:18" x14ac:dyDescent="0.2">
      <c r="A10443" t="s">
        <v>663</v>
      </c>
      <c r="B10443" t="s">
        <v>2263</v>
      </c>
      <c r="C10443">
        <v>1</v>
      </c>
      <c r="D10443" s="1">
        <v>44359.010740740741</v>
      </c>
      <c r="E10443" t="s">
        <v>32561</v>
      </c>
      <c r="F10443" t="s">
        <v>666</v>
      </c>
      <c r="G10443" t="s">
        <v>32562</v>
      </c>
      <c r="H10443" t="s">
        <v>667</v>
      </c>
      <c r="I10443" t="s">
        <v>29</v>
      </c>
      <c r="J10443">
        <v>1</v>
      </c>
      <c r="K10443">
        <f>1-833-888-1365</f>
        <v>-3085</v>
      </c>
      <c r="L10443" t="s">
        <v>32575</v>
      </c>
      <c r="M10443" t="s">
        <v>32568</v>
      </c>
      <c r="N10443" t="s">
        <v>5354</v>
      </c>
      <c r="O10443" t="s">
        <v>28</v>
      </c>
      <c r="P10443" t="s">
        <v>2268</v>
      </c>
      <c r="Q10443">
        <v>44</v>
      </c>
      <c r="R10443">
        <v>-79.362300000000005</v>
      </c>
    </row>
    <row r="10444" spans="1:18" x14ac:dyDescent="0.2">
      <c r="A10444" t="s">
        <v>663</v>
      </c>
      <c r="B10444" t="s">
        <v>2263</v>
      </c>
      <c r="C10444">
        <v>1</v>
      </c>
      <c r="D10444" s="1">
        <v>44359.008611111109</v>
      </c>
      <c r="E10444" t="s">
        <v>32561</v>
      </c>
      <c r="F10444" t="s">
        <v>666</v>
      </c>
      <c r="G10444" t="s">
        <v>32562</v>
      </c>
      <c r="H10444" t="s">
        <v>667</v>
      </c>
      <c r="I10444" t="s">
        <v>29</v>
      </c>
      <c r="J10444">
        <v>1</v>
      </c>
      <c r="K10444">
        <f>1-844-279-4562</f>
        <v>-5684</v>
      </c>
      <c r="L10444" t="s">
        <v>32576</v>
      </c>
      <c r="M10444" t="s">
        <v>32568</v>
      </c>
      <c r="N10444" t="s">
        <v>5354</v>
      </c>
      <c r="O10444" t="s">
        <v>28</v>
      </c>
      <c r="P10444" t="s">
        <v>2268</v>
      </c>
      <c r="Q10444">
        <v>44</v>
      </c>
      <c r="R10444">
        <v>-79.362300000000005</v>
      </c>
    </row>
    <row r="10445" spans="1:18" x14ac:dyDescent="0.2">
      <c r="A10445" t="s">
        <v>663</v>
      </c>
      <c r="B10445" t="s">
        <v>2263</v>
      </c>
      <c r="C10445">
        <v>1</v>
      </c>
      <c r="D10445" s="1">
        <v>44359.008518518516</v>
      </c>
      <c r="E10445" t="s">
        <v>32561</v>
      </c>
      <c r="F10445" t="s">
        <v>666</v>
      </c>
      <c r="G10445" t="s">
        <v>32562</v>
      </c>
      <c r="H10445" t="s">
        <v>667</v>
      </c>
      <c r="I10445" t="s">
        <v>29</v>
      </c>
      <c r="J10445">
        <v>1</v>
      </c>
      <c r="K10445">
        <f>1-844-285-2503</f>
        <v>-3631</v>
      </c>
      <c r="L10445" t="s">
        <v>32577</v>
      </c>
      <c r="M10445" t="s">
        <v>32568</v>
      </c>
      <c r="N10445" t="s">
        <v>5354</v>
      </c>
      <c r="O10445" t="s">
        <v>28</v>
      </c>
      <c r="P10445" t="s">
        <v>2268</v>
      </c>
      <c r="Q10445">
        <v>44</v>
      </c>
      <c r="R10445">
        <v>-79.362300000000005</v>
      </c>
    </row>
    <row r="10446" spans="1:18" x14ac:dyDescent="0.2">
      <c r="A10446" t="s">
        <v>663</v>
      </c>
      <c r="B10446" t="s">
        <v>2263</v>
      </c>
      <c r="C10446">
        <v>1</v>
      </c>
      <c r="D10446" s="1">
        <v>44359.008437500001</v>
      </c>
      <c r="E10446" t="s">
        <v>32561</v>
      </c>
      <c r="F10446" t="s">
        <v>666</v>
      </c>
      <c r="G10446" t="s">
        <v>32562</v>
      </c>
      <c r="H10446" t="s">
        <v>667</v>
      </c>
      <c r="I10446" t="s">
        <v>29</v>
      </c>
      <c r="J10446">
        <v>1</v>
      </c>
      <c r="K10446">
        <f>1-844-385-2726</f>
        <v>-3954</v>
      </c>
      <c r="L10446" t="s">
        <v>32578</v>
      </c>
      <c r="M10446" t="s">
        <v>32568</v>
      </c>
      <c r="N10446" t="s">
        <v>5354</v>
      </c>
      <c r="O10446" t="s">
        <v>28</v>
      </c>
      <c r="P10446" t="s">
        <v>2268</v>
      </c>
      <c r="Q10446">
        <v>44</v>
      </c>
      <c r="R10446">
        <v>-79.362300000000005</v>
      </c>
    </row>
    <row r="10447" spans="1:18" x14ac:dyDescent="0.2">
      <c r="A10447" t="s">
        <v>663</v>
      </c>
      <c r="B10447" t="s">
        <v>2263</v>
      </c>
      <c r="C10447">
        <v>1</v>
      </c>
      <c r="D10447" s="1">
        <v>44359.009050925924</v>
      </c>
      <c r="E10447" t="s">
        <v>32561</v>
      </c>
      <c r="F10447" t="s">
        <v>666</v>
      </c>
      <c r="G10447" t="s">
        <v>32562</v>
      </c>
      <c r="H10447" t="s">
        <v>667</v>
      </c>
      <c r="I10447" t="s">
        <v>29</v>
      </c>
      <c r="J10447">
        <v>1</v>
      </c>
      <c r="K10447">
        <f>1-888-334-1105</f>
        <v>-2326</v>
      </c>
      <c r="L10447" t="s">
        <v>32579</v>
      </c>
      <c r="M10447" t="s">
        <v>32568</v>
      </c>
      <c r="N10447" t="s">
        <v>5354</v>
      </c>
      <c r="O10447" t="s">
        <v>28</v>
      </c>
      <c r="P10447" t="s">
        <v>2268</v>
      </c>
      <c r="Q10447">
        <v>44</v>
      </c>
      <c r="R10447">
        <v>-79.362300000000005</v>
      </c>
    </row>
    <row r="10448" spans="1:18" x14ac:dyDescent="0.2">
      <c r="A10448" t="s">
        <v>663</v>
      </c>
      <c r="B10448" t="s">
        <v>2263</v>
      </c>
      <c r="C10448">
        <v>1</v>
      </c>
      <c r="D10448" s="1">
        <v>44359.00886574074</v>
      </c>
      <c r="E10448" t="s">
        <v>32561</v>
      </c>
      <c r="F10448" t="s">
        <v>666</v>
      </c>
      <c r="G10448" t="s">
        <v>32562</v>
      </c>
      <c r="H10448" t="s">
        <v>667</v>
      </c>
      <c r="I10448" t="s">
        <v>29</v>
      </c>
      <c r="J10448">
        <v>1</v>
      </c>
      <c r="K10448">
        <f>1-888-272-5820</f>
        <v>-6979</v>
      </c>
      <c r="L10448" t="s">
        <v>32580</v>
      </c>
      <c r="M10448" t="s">
        <v>32568</v>
      </c>
      <c r="N10448" t="s">
        <v>5354</v>
      </c>
      <c r="O10448" t="s">
        <v>28</v>
      </c>
      <c r="P10448" t="s">
        <v>2268</v>
      </c>
      <c r="Q10448">
        <v>44</v>
      </c>
      <c r="R10448">
        <v>-79.362300000000005</v>
      </c>
    </row>
    <row r="10449" spans="1:18" x14ac:dyDescent="0.2">
      <c r="A10449" t="s">
        <v>663</v>
      </c>
      <c r="B10449" t="s">
        <v>2263</v>
      </c>
      <c r="C10449">
        <v>1</v>
      </c>
      <c r="D10449" s="1">
        <v>44359.009259259263</v>
      </c>
      <c r="E10449" t="s">
        <v>32561</v>
      </c>
      <c r="F10449" t="s">
        <v>666</v>
      </c>
      <c r="G10449" t="s">
        <v>32562</v>
      </c>
      <c r="H10449" t="s">
        <v>667</v>
      </c>
      <c r="I10449" t="s">
        <v>29</v>
      </c>
      <c r="J10449">
        <v>1</v>
      </c>
      <c r="K10449">
        <f>1-833-888-1365</f>
        <v>-3085</v>
      </c>
      <c r="L10449" t="s">
        <v>32581</v>
      </c>
      <c r="M10449" t="s">
        <v>32568</v>
      </c>
      <c r="N10449" t="s">
        <v>5354</v>
      </c>
      <c r="O10449" t="s">
        <v>28</v>
      </c>
      <c r="P10449" t="s">
        <v>2268</v>
      </c>
      <c r="Q10449">
        <v>44</v>
      </c>
      <c r="R10449">
        <v>-79.362300000000005</v>
      </c>
    </row>
    <row r="10450" spans="1:18" x14ac:dyDescent="0.2">
      <c r="A10450" t="s">
        <v>663</v>
      </c>
      <c r="B10450" t="s">
        <v>2263</v>
      </c>
      <c r="C10450">
        <v>1</v>
      </c>
      <c r="D10450" s="1">
        <v>44359.009421296294</v>
      </c>
      <c r="E10450" t="s">
        <v>32561</v>
      </c>
      <c r="F10450" t="s">
        <v>666</v>
      </c>
      <c r="G10450" t="s">
        <v>32562</v>
      </c>
      <c r="H10450" t="s">
        <v>667</v>
      </c>
      <c r="I10450" t="s">
        <v>29</v>
      </c>
      <c r="J10450">
        <v>1</v>
      </c>
      <c r="K10450">
        <f>1-888-396-2710</f>
        <v>-3993</v>
      </c>
      <c r="L10450" t="s">
        <v>32582</v>
      </c>
      <c r="M10450" t="s">
        <v>32568</v>
      </c>
      <c r="N10450" t="s">
        <v>5354</v>
      </c>
      <c r="O10450" t="s">
        <v>28</v>
      </c>
      <c r="P10450" t="s">
        <v>2268</v>
      </c>
      <c r="Q10450">
        <v>44</v>
      </c>
      <c r="R10450">
        <v>-79.362300000000005</v>
      </c>
    </row>
    <row r="10451" spans="1:18" x14ac:dyDescent="0.2">
      <c r="A10451" t="s">
        <v>663</v>
      </c>
      <c r="B10451" t="s">
        <v>2263</v>
      </c>
      <c r="C10451">
        <v>1</v>
      </c>
      <c r="D10451" s="1">
        <v>44359.007337962961</v>
      </c>
      <c r="E10451" t="s">
        <v>32561</v>
      </c>
      <c r="F10451" t="s">
        <v>666</v>
      </c>
      <c r="G10451" t="s">
        <v>32562</v>
      </c>
      <c r="H10451" t="s">
        <v>667</v>
      </c>
      <c r="I10451" t="s">
        <v>29</v>
      </c>
      <c r="J10451">
        <v>1</v>
      </c>
      <c r="K10451">
        <f>1-833-888-1365</f>
        <v>-3085</v>
      </c>
      <c r="L10451" t="s">
        <v>32583</v>
      </c>
      <c r="M10451" t="s">
        <v>32568</v>
      </c>
      <c r="N10451" t="s">
        <v>5354</v>
      </c>
      <c r="O10451" t="s">
        <v>28</v>
      </c>
      <c r="P10451" t="s">
        <v>2268</v>
      </c>
      <c r="Q10451">
        <v>44</v>
      </c>
      <c r="R10451">
        <v>-79.362300000000005</v>
      </c>
    </row>
    <row r="10452" spans="1:18" x14ac:dyDescent="0.2">
      <c r="A10452" t="s">
        <v>663</v>
      </c>
      <c r="B10452" t="s">
        <v>2263</v>
      </c>
      <c r="C10452">
        <v>1</v>
      </c>
      <c r="D10452" s="1">
        <v>44359.008148148147</v>
      </c>
      <c r="E10452" t="s">
        <v>32561</v>
      </c>
      <c r="F10452" t="s">
        <v>666</v>
      </c>
      <c r="G10452" t="s">
        <v>32562</v>
      </c>
      <c r="H10452" t="s">
        <v>667</v>
      </c>
      <c r="I10452" t="s">
        <v>29</v>
      </c>
      <c r="J10452">
        <v>1</v>
      </c>
      <c r="K10452">
        <f>1-888-598-1413</f>
        <v>-2898</v>
      </c>
      <c r="L10452" t="s">
        <v>32584</v>
      </c>
      <c r="M10452" t="s">
        <v>32568</v>
      </c>
      <c r="N10452" t="s">
        <v>5354</v>
      </c>
      <c r="O10452" t="s">
        <v>28</v>
      </c>
      <c r="P10452" t="s">
        <v>2268</v>
      </c>
      <c r="Q10452">
        <v>44</v>
      </c>
      <c r="R10452">
        <v>-79.362300000000005</v>
      </c>
    </row>
    <row r="10453" spans="1:18" x14ac:dyDescent="0.2">
      <c r="A10453" t="s">
        <v>663</v>
      </c>
      <c r="B10453" t="s">
        <v>2263</v>
      </c>
      <c r="C10453">
        <v>1</v>
      </c>
      <c r="D10453" s="1">
        <v>44359.008032407408</v>
      </c>
      <c r="E10453" t="s">
        <v>32561</v>
      </c>
      <c r="F10453" t="s">
        <v>666</v>
      </c>
      <c r="G10453" t="s">
        <v>32562</v>
      </c>
      <c r="H10453" t="s">
        <v>667</v>
      </c>
      <c r="I10453" t="s">
        <v>29</v>
      </c>
      <c r="J10453">
        <v>1</v>
      </c>
      <c r="K10453">
        <f>1-888-532-2990</f>
        <v>-4409</v>
      </c>
      <c r="L10453" t="s">
        <v>32585</v>
      </c>
      <c r="M10453" t="s">
        <v>32568</v>
      </c>
      <c r="N10453" t="s">
        <v>5354</v>
      </c>
      <c r="O10453" t="s">
        <v>28</v>
      </c>
      <c r="P10453" t="s">
        <v>2268</v>
      </c>
      <c r="Q10453">
        <v>44</v>
      </c>
      <c r="R10453">
        <v>-79.362300000000005</v>
      </c>
    </row>
    <row r="10454" spans="1:18" x14ac:dyDescent="0.2">
      <c r="A10454" t="s">
        <v>663</v>
      </c>
      <c r="B10454" t="s">
        <v>2263</v>
      </c>
      <c r="C10454">
        <v>1</v>
      </c>
      <c r="D10454" s="1">
        <v>44359.007789351854</v>
      </c>
      <c r="E10454" t="s">
        <v>32561</v>
      </c>
      <c r="F10454" t="s">
        <v>666</v>
      </c>
      <c r="G10454" t="s">
        <v>32562</v>
      </c>
      <c r="H10454" t="s">
        <v>667</v>
      </c>
      <c r="I10454" t="s">
        <v>29</v>
      </c>
      <c r="J10454">
        <v>1</v>
      </c>
      <c r="K10454">
        <f>1-888-356-9583</f>
        <v>-10826</v>
      </c>
      <c r="L10454" t="s">
        <v>32586</v>
      </c>
      <c r="M10454" t="s">
        <v>32568</v>
      </c>
      <c r="N10454" t="s">
        <v>5354</v>
      </c>
      <c r="O10454" t="s">
        <v>28</v>
      </c>
      <c r="P10454" t="s">
        <v>2268</v>
      </c>
      <c r="Q10454">
        <v>44</v>
      </c>
      <c r="R10454">
        <v>-79.362300000000005</v>
      </c>
    </row>
    <row r="10455" spans="1:18" x14ac:dyDescent="0.2">
      <c r="A10455" t="s">
        <v>663</v>
      </c>
      <c r="B10455" t="s">
        <v>2263</v>
      </c>
      <c r="C10455">
        <v>1</v>
      </c>
      <c r="D10455" s="1">
        <v>44359.007592592592</v>
      </c>
      <c r="E10455" t="s">
        <v>32561</v>
      </c>
      <c r="F10455" t="s">
        <v>666</v>
      </c>
      <c r="G10455" t="s">
        <v>32562</v>
      </c>
      <c r="H10455" t="s">
        <v>667</v>
      </c>
      <c r="I10455" t="s">
        <v>29</v>
      </c>
      <c r="J10455">
        <v>1</v>
      </c>
      <c r="K10455">
        <f>1-833-888-1365</f>
        <v>-3085</v>
      </c>
      <c r="L10455" t="s">
        <v>32587</v>
      </c>
      <c r="M10455" t="s">
        <v>32568</v>
      </c>
      <c r="N10455" t="s">
        <v>5354</v>
      </c>
      <c r="O10455" t="s">
        <v>28</v>
      </c>
      <c r="P10455" t="s">
        <v>2268</v>
      </c>
      <c r="Q10455">
        <v>44</v>
      </c>
      <c r="R10455">
        <v>-79.362300000000005</v>
      </c>
    </row>
    <row r="10456" spans="1:18" x14ac:dyDescent="0.2">
      <c r="A10456" t="s">
        <v>663</v>
      </c>
      <c r="B10456" t="s">
        <v>2263</v>
      </c>
      <c r="C10456">
        <v>1</v>
      </c>
      <c r="D10456" s="1">
        <v>44359.007430555554</v>
      </c>
      <c r="E10456" t="s">
        <v>32561</v>
      </c>
      <c r="F10456" t="s">
        <v>666</v>
      </c>
      <c r="G10456" t="s">
        <v>32562</v>
      </c>
      <c r="H10456" t="s">
        <v>667</v>
      </c>
      <c r="I10456" t="s">
        <v>29</v>
      </c>
      <c r="J10456">
        <v>1</v>
      </c>
      <c r="K10456">
        <f>1-833-888-1365</f>
        <v>-3085</v>
      </c>
      <c r="L10456" t="s">
        <v>32588</v>
      </c>
      <c r="M10456" t="s">
        <v>32568</v>
      </c>
      <c r="N10456" t="s">
        <v>5354</v>
      </c>
      <c r="O10456" t="s">
        <v>28</v>
      </c>
      <c r="P10456" t="s">
        <v>2268</v>
      </c>
      <c r="Q10456">
        <v>44</v>
      </c>
      <c r="R10456">
        <v>-79.362300000000005</v>
      </c>
    </row>
    <row r="10457" spans="1:18" x14ac:dyDescent="0.2">
      <c r="A10457" t="s">
        <v>663</v>
      </c>
      <c r="B10457" t="s">
        <v>2263</v>
      </c>
      <c r="C10457">
        <v>1</v>
      </c>
      <c r="D10457" s="1">
        <v>44359.007199074076</v>
      </c>
      <c r="E10457" t="s">
        <v>32561</v>
      </c>
      <c r="F10457" t="s">
        <v>666</v>
      </c>
      <c r="G10457" t="s">
        <v>32562</v>
      </c>
      <c r="H10457" t="s">
        <v>667</v>
      </c>
      <c r="I10457" t="s">
        <v>29</v>
      </c>
      <c r="J10457">
        <v>1</v>
      </c>
      <c r="K10457">
        <f>1-844-385-3651</f>
        <v>-4879</v>
      </c>
      <c r="L10457" t="s">
        <v>32589</v>
      </c>
      <c r="M10457" t="s">
        <v>32568</v>
      </c>
      <c r="N10457" t="s">
        <v>5354</v>
      </c>
      <c r="O10457" t="s">
        <v>28</v>
      </c>
      <c r="P10457" t="s">
        <v>2268</v>
      </c>
      <c r="Q10457">
        <v>44</v>
      </c>
      <c r="R10457">
        <v>-79.362300000000005</v>
      </c>
    </row>
    <row r="10458" spans="1:18" x14ac:dyDescent="0.2">
      <c r="A10458" t="s">
        <v>663</v>
      </c>
      <c r="B10458" t="s">
        <v>2263</v>
      </c>
      <c r="C10458">
        <v>1</v>
      </c>
      <c r="D10458" s="1">
        <v>44359.006990740738</v>
      </c>
      <c r="E10458" t="s">
        <v>32561</v>
      </c>
      <c r="F10458" t="s">
        <v>666</v>
      </c>
      <c r="G10458" t="s">
        <v>32562</v>
      </c>
      <c r="H10458" t="s">
        <v>667</v>
      </c>
      <c r="I10458" t="s">
        <v>29</v>
      </c>
      <c r="J10458">
        <v>1</v>
      </c>
      <c r="K10458">
        <f>1-888-339-2705</f>
        <v>-3931</v>
      </c>
      <c r="L10458" t="s">
        <v>32590</v>
      </c>
      <c r="M10458" t="s">
        <v>32568</v>
      </c>
      <c r="N10458" t="s">
        <v>5354</v>
      </c>
      <c r="O10458" t="s">
        <v>28</v>
      </c>
      <c r="P10458" t="s">
        <v>2268</v>
      </c>
      <c r="Q10458">
        <v>44</v>
      </c>
      <c r="R10458">
        <v>-79.362300000000005</v>
      </c>
    </row>
    <row r="10459" spans="1:18" x14ac:dyDescent="0.2">
      <c r="A10459" t="s">
        <v>663</v>
      </c>
      <c r="B10459" t="s">
        <v>2263</v>
      </c>
      <c r="C10459">
        <v>1</v>
      </c>
      <c r="D10459" s="1">
        <v>44359.00677083333</v>
      </c>
      <c r="E10459" t="s">
        <v>32561</v>
      </c>
      <c r="F10459" t="s">
        <v>666</v>
      </c>
      <c r="G10459" t="s">
        <v>32562</v>
      </c>
      <c r="H10459" t="s">
        <v>667</v>
      </c>
      <c r="I10459" t="s">
        <v>29</v>
      </c>
      <c r="J10459">
        <v>1</v>
      </c>
      <c r="K10459">
        <f>1-833-888-1365</f>
        <v>-3085</v>
      </c>
      <c r="L10459" t="s">
        <v>32591</v>
      </c>
      <c r="M10459" t="s">
        <v>32568</v>
      </c>
      <c r="N10459" t="s">
        <v>5354</v>
      </c>
      <c r="O10459" t="s">
        <v>28</v>
      </c>
      <c r="P10459" t="s">
        <v>2268</v>
      </c>
      <c r="Q10459">
        <v>44</v>
      </c>
      <c r="R10459">
        <v>-79.362300000000005</v>
      </c>
    </row>
    <row r="10460" spans="1:18" x14ac:dyDescent="0.2">
      <c r="A10460" t="s">
        <v>663</v>
      </c>
      <c r="B10460" t="s">
        <v>2263</v>
      </c>
      <c r="C10460">
        <v>1</v>
      </c>
      <c r="D10460" s="1">
        <v>44359.006493055553</v>
      </c>
      <c r="E10460" t="s">
        <v>32561</v>
      </c>
      <c r="F10460" t="s">
        <v>666</v>
      </c>
      <c r="G10460" t="s">
        <v>32562</v>
      </c>
      <c r="H10460" t="s">
        <v>667</v>
      </c>
      <c r="I10460" t="s">
        <v>29</v>
      </c>
      <c r="J10460">
        <v>1</v>
      </c>
      <c r="K10460">
        <f>1-888-230-279</f>
        <v>-1396</v>
      </c>
      <c r="L10460" t="s">
        <v>32592</v>
      </c>
      <c r="M10460" t="s">
        <v>32568</v>
      </c>
      <c r="N10460" t="s">
        <v>5354</v>
      </c>
      <c r="O10460" t="s">
        <v>28</v>
      </c>
      <c r="P10460" t="s">
        <v>2268</v>
      </c>
      <c r="Q10460">
        <v>44</v>
      </c>
      <c r="R10460">
        <v>-79.362300000000005</v>
      </c>
    </row>
    <row r="10461" spans="1:18" x14ac:dyDescent="0.2">
      <c r="A10461" t="s">
        <v>663</v>
      </c>
      <c r="B10461" t="s">
        <v>2263</v>
      </c>
      <c r="C10461">
        <v>1</v>
      </c>
      <c r="D10461" s="1">
        <v>44359.006006944444</v>
      </c>
      <c r="E10461" t="s">
        <v>32561</v>
      </c>
      <c r="F10461" t="s">
        <v>666</v>
      </c>
      <c r="G10461" t="s">
        <v>32562</v>
      </c>
      <c r="H10461" t="s">
        <v>667</v>
      </c>
      <c r="I10461" t="s">
        <v>29</v>
      </c>
      <c r="J10461">
        <v>1</v>
      </c>
      <c r="K10461">
        <f>1-833-888-1365</f>
        <v>-3085</v>
      </c>
      <c r="L10461" t="s">
        <v>32593</v>
      </c>
      <c r="M10461" t="s">
        <v>32568</v>
      </c>
      <c r="N10461" t="s">
        <v>5354</v>
      </c>
      <c r="O10461" t="s">
        <v>28</v>
      </c>
      <c r="P10461" t="s">
        <v>2268</v>
      </c>
      <c r="Q10461">
        <v>44</v>
      </c>
      <c r="R10461">
        <v>-79.362300000000005</v>
      </c>
    </row>
    <row r="10462" spans="1:18" x14ac:dyDescent="0.2">
      <c r="A10462" t="s">
        <v>2233</v>
      </c>
      <c r="B10462" t="s">
        <v>4281</v>
      </c>
      <c r="C10462">
        <v>49</v>
      </c>
      <c r="D10462" s="1">
        <v>44357.622245370374</v>
      </c>
      <c r="E10462" t="s">
        <v>32594</v>
      </c>
      <c r="F10462" t="s">
        <v>7023</v>
      </c>
      <c r="G10462" t="s">
        <v>32594</v>
      </c>
      <c r="H10462" t="s">
        <v>2237</v>
      </c>
      <c r="I10462" t="s">
        <v>24</v>
      </c>
      <c r="J10462">
        <v>49</v>
      </c>
      <c r="K10462">
        <f>49-71615099721</f>
        <v>-71615099672</v>
      </c>
      <c r="L10462" t="s">
        <v>32595</v>
      </c>
      <c r="M10462" t="s">
        <v>32596</v>
      </c>
      <c r="N10462">
        <v>217</v>
      </c>
      <c r="O10462" t="s">
        <v>134</v>
      </c>
      <c r="P10462" t="s">
        <v>24</v>
      </c>
      <c r="Q10462">
        <v>50</v>
      </c>
      <c r="R10462">
        <v>8.6821300000000008</v>
      </c>
    </row>
    <row r="10463" spans="1:18" x14ac:dyDescent="0.2">
      <c r="A10463" t="s">
        <v>439</v>
      </c>
      <c r="B10463" t="s">
        <v>4321</v>
      </c>
      <c r="C10463">
        <v>1</v>
      </c>
      <c r="D10463" s="1">
        <v>44357.687997685185</v>
      </c>
      <c r="E10463" t="s">
        <v>32597</v>
      </c>
      <c r="F10463" t="s">
        <v>442</v>
      </c>
      <c r="G10463" t="s">
        <v>32598</v>
      </c>
      <c r="H10463" t="s">
        <v>444</v>
      </c>
      <c r="I10463" t="s">
        <v>29</v>
      </c>
      <c r="J10463">
        <v>1</v>
      </c>
      <c r="K10463">
        <f>1-855-763-2083</f>
        <v>-3700</v>
      </c>
      <c r="L10463" t="s">
        <v>32599</v>
      </c>
      <c r="M10463" t="s">
        <v>32600</v>
      </c>
      <c r="N10463" t="s">
        <v>213</v>
      </c>
      <c r="O10463" t="s">
        <v>28</v>
      </c>
      <c r="P10463" t="s">
        <v>29</v>
      </c>
      <c r="Q10463">
        <v>42</v>
      </c>
      <c r="R10463">
        <v>-87.629800000000003</v>
      </c>
    </row>
    <row r="10464" spans="1:18" x14ac:dyDescent="0.2">
      <c r="A10464" t="s">
        <v>439</v>
      </c>
      <c r="B10464" t="s">
        <v>4321</v>
      </c>
      <c r="C10464">
        <v>1</v>
      </c>
      <c r="D10464" s="1">
        <v>44357.87290509259</v>
      </c>
      <c r="E10464" t="s">
        <v>32601</v>
      </c>
      <c r="F10464" t="s">
        <v>442</v>
      </c>
      <c r="G10464" t="s">
        <v>32602</v>
      </c>
      <c r="H10464" t="s">
        <v>444</v>
      </c>
      <c r="I10464" t="s">
        <v>29</v>
      </c>
      <c r="J10464">
        <v>1</v>
      </c>
      <c r="K10464">
        <f>1-844-390-5827</f>
        <v>-7060</v>
      </c>
      <c r="L10464" t="s">
        <v>32603</v>
      </c>
      <c r="M10464" t="s">
        <v>32604</v>
      </c>
      <c r="N10464" t="s">
        <v>213</v>
      </c>
      <c r="O10464" t="s">
        <v>28</v>
      </c>
      <c r="P10464" t="s">
        <v>29</v>
      </c>
      <c r="Q10464">
        <v>42</v>
      </c>
      <c r="R10464">
        <v>-87.629800000000003</v>
      </c>
    </row>
    <row r="10465" spans="1:18" x14ac:dyDescent="0.2">
      <c r="A10465" t="s">
        <v>663</v>
      </c>
      <c r="B10465" t="s">
        <v>5784</v>
      </c>
      <c r="C10465">
        <v>1</v>
      </c>
      <c r="D10465" s="1">
        <v>44357.878750000003</v>
      </c>
      <c r="E10465" t="s">
        <v>32605</v>
      </c>
      <c r="F10465" t="s">
        <v>666</v>
      </c>
      <c r="G10465" t="s">
        <v>32606</v>
      </c>
      <c r="H10465" t="s">
        <v>667</v>
      </c>
      <c r="I10465" t="s">
        <v>29</v>
      </c>
      <c r="J10465">
        <v>1</v>
      </c>
      <c r="K10465">
        <f>1-844-304-8093</f>
        <v>-9240</v>
      </c>
      <c r="L10465" t="s">
        <v>32607</v>
      </c>
      <c r="M10465" t="s">
        <v>32608</v>
      </c>
      <c r="N10465" t="s">
        <v>25263</v>
      </c>
      <c r="O10465" t="s">
        <v>28</v>
      </c>
      <c r="P10465" t="s">
        <v>5789</v>
      </c>
      <c r="Q10465">
        <v>13</v>
      </c>
      <c r="R10465">
        <v>77.585499999999996</v>
      </c>
    </row>
    <row r="10466" spans="1:18" x14ac:dyDescent="0.2">
      <c r="A10466" t="s">
        <v>2233</v>
      </c>
      <c r="B10466" t="s">
        <v>2234</v>
      </c>
      <c r="C10466">
        <v>1</v>
      </c>
      <c r="D10466" s="1">
        <v>44357.890532407408</v>
      </c>
      <c r="E10466" t="s">
        <v>32609</v>
      </c>
      <c r="F10466" t="s">
        <v>2236</v>
      </c>
      <c r="G10466" t="s">
        <v>32609</v>
      </c>
      <c r="H10466" t="s">
        <v>2237</v>
      </c>
      <c r="I10466" t="s">
        <v>29</v>
      </c>
      <c r="J10466">
        <v>1</v>
      </c>
      <c r="K10466">
        <f>1-833-471-1916</f>
        <v>-3219</v>
      </c>
      <c r="L10466" t="s">
        <v>32610</v>
      </c>
      <c r="M10466" t="s">
        <v>32611</v>
      </c>
      <c r="N10466">
        <v>147</v>
      </c>
      <c r="O10466" t="s">
        <v>134</v>
      </c>
      <c r="P10466" t="s">
        <v>29</v>
      </c>
      <c r="Q10466">
        <v>40</v>
      </c>
      <c r="R10466">
        <v>-83.114099999999993</v>
      </c>
    </row>
    <row r="10467" spans="1:18" x14ac:dyDescent="0.2">
      <c r="A10467" t="s">
        <v>439</v>
      </c>
      <c r="B10467" t="s">
        <v>4321</v>
      </c>
      <c r="C10467">
        <v>1</v>
      </c>
      <c r="D10467" s="1">
        <v>44357.909212962964</v>
      </c>
      <c r="E10467" t="s">
        <v>32612</v>
      </c>
      <c r="F10467" t="s">
        <v>442</v>
      </c>
      <c r="G10467" t="s">
        <v>32613</v>
      </c>
      <c r="H10467" t="s">
        <v>444</v>
      </c>
      <c r="I10467" t="s">
        <v>29</v>
      </c>
      <c r="J10467">
        <v>1</v>
      </c>
      <c r="K10467">
        <f>1-844-390-5827</f>
        <v>-7060</v>
      </c>
      <c r="L10467" t="s">
        <v>32614</v>
      </c>
      <c r="M10467" t="s">
        <v>32615</v>
      </c>
      <c r="N10467" t="s">
        <v>447</v>
      </c>
      <c r="O10467" t="s">
        <v>28</v>
      </c>
      <c r="P10467" t="s">
        <v>29</v>
      </c>
      <c r="Q10467">
        <v>42</v>
      </c>
      <c r="R10467">
        <v>-87.629800000000003</v>
      </c>
    </row>
    <row r="10468" spans="1:18" x14ac:dyDescent="0.2">
      <c r="A10468" t="s">
        <v>439</v>
      </c>
      <c r="B10468" t="s">
        <v>4321</v>
      </c>
      <c r="C10468">
        <v>1</v>
      </c>
      <c r="D10468" s="1">
        <v>44357.967361111114</v>
      </c>
      <c r="E10468" t="s">
        <v>32616</v>
      </c>
      <c r="F10468" t="s">
        <v>442</v>
      </c>
      <c r="G10468" t="s">
        <v>32617</v>
      </c>
      <c r="H10468" t="s">
        <v>444</v>
      </c>
      <c r="I10468" t="s">
        <v>29</v>
      </c>
      <c r="J10468">
        <v>1</v>
      </c>
      <c r="K10468">
        <f>1-833-888-971</f>
        <v>-2691</v>
      </c>
      <c r="L10468" t="s">
        <v>32618</v>
      </c>
      <c r="M10468" t="s">
        <v>32619</v>
      </c>
      <c r="N10468" t="s">
        <v>452</v>
      </c>
      <c r="O10468" t="s">
        <v>28</v>
      </c>
      <c r="P10468" t="s">
        <v>29</v>
      </c>
      <c r="Q10468">
        <v>42</v>
      </c>
      <c r="R10468">
        <v>-87.629800000000003</v>
      </c>
    </row>
    <row r="10469" spans="1:18" x14ac:dyDescent="0.2">
      <c r="A10469" t="s">
        <v>439</v>
      </c>
      <c r="B10469" t="s">
        <v>4321</v>
      </c>
      <c r="C10469">
        <v>1</v>
      </c>
      <c r="D10469" s="1">
        <v>44357.920162037037</v>
      </c>
      <c r="E10469" t="s">
        <v>32616</v>
      </c>
      <c r="F10469" t="s">
        <v>442</v>
      </c>
      <c r="G10469" t="s">
        <v>32617</v>
      </c>
      <c r="H10469" t="s">
        <v>444</v>
      </c>
      <c r="I10469" t="s">
        <v>29</v>
      </c>
      <c r="J10469">
        <v>1</v>
      </c>
      <c r="K10469">
        <f>1-888-392-1035</f>
        <v>-2314</v>
      </c>
      <c r="L10469" t="s">
        <v>32620</v>
      </c>
      <c r="M10469" t="s">
        <v>32621</v>
      </c>
      <c r="N10469" t="s">
        <v>452</v>
      </c>
      <c r="O10469" t="s">
        <v>28</v>
      </c>
      <c r="P10469" t="s">
        <v>29</v>
      </c>
      <c r="Q10469">
        <v>42</v>
      </c>
      <c r="R10469">
        <v>-87.629800000000003</v>
      </c>
    </row>
    <row r="10470" spans="1:18" x14ac:dyDescent="0.2">
      <c r="A10470" t="s">
        <v>439</v>
      </c>
      <c r="B10470" t="s">
        <v>4321</v>
      </c>
      <c r="C10470">
        <v>1</v>
      </c>
      <c r="D10470" s="1">
        <v>44357.969270833331</v>
      </c>
      <c r="E10470" t="s">
        <v>32616</v>
      </c>
      <c r="F10470" t="s">
        <v>442</v>
      </c>
      <c r="G10470" t="s">
        <v>32622</v>
      </c>
      <c r="H10470" t="s">
        <v>444</v>
      </c>
      <c r="I10470" t="s">
        <v>29</v>
      </c>
      <c r="J10470">
        <v>1</v>
      </c>
      <c r="K10470">
        <f>1-833-220-3949</f>
        <v>-5001</v>
      </c>
      <c r="L10470" t="s">
        <v>32623</v>
      </c>
      <c r="M10470" t="s">
        <v>32624</v>
      </c>
      <c r="N10470" t="s">
        <v>452</v>
      </c>
      <c r="O10470" t="s">
        <v>28</v>
      </c>
      <c r="P10470" t="s">
        <v>29</v>
      </c>
      <c r="Q10470">
        <v>42</v>
      </c>
      <c r="R10470">
        <v>-87.629800000000003</v>
      </c>
    </row>
    <row r="10471" spans="1:18" x14ac:dyDescent="0.2">
      <c r="A10471" t="s">
        <v>439</v>
      </c>
      <c r="B10471" t="s">
        <v>4321</v>
      </c>
      <c r="C10471">
        <v>1</v>
      </c>
      <c r="D10471" s="1">
        <v>44357.96769675926</v>
      </c>
      <c r="E10471" t="s">
        <v>32616</v>
      </c>
      <c r="F10471" t="s">
        <v>442</v>
      </c>
      <c r="G10471" t="s">
        <v>32622</v>
      </c>
      <c r="H10471" t="s">
        <v>444</v>
      </c>
      <c r="I10471" t="s">
        <v>29</v>
      </c>
      <c r="J10471">
        <v>1</v>
      </c>
      <c r="K10471">
        <f>1-833-220-4052</f>
        <v>-5104</v>
      </c>
      <c r="L10471" t="s">
        <v>32625</v>
      </c>
      <c r="M10471" t="s">
        <v>32626</v>
      </c>
      <c r="N10471" t="s">
        <v>452</v>
      </c>
      <c r="O10471" t="s">
        <v>28</v>
      </c>
      <c r="P10471" t="s">
        <v>29</v>
      </c>
      <c r="Q10471">
        <v>42</v>
      </c>
      <c r="R10471">
        <v>-87.629800000000003</v>
      </c>
    </row>
    <row r="10472" spans="1:18" x14ac:dyDescent="0.2">
      <c r="A10472" t="s">
        <v>439</v>
      </c>
      <c r="B10472" t="s">
        <v>4321</v>
      </c>
      <c r="C10472">
        <v>1</v>
      </c>
      <c r="D10472" s="1">
        <v>44357.967534722222</v>
      </c>
      <c r="E10472" t="s">
        <v>32616</v>
      </c>
      <c r="F10472" t="s">
        <v>442</v>
      </c>
      <c r="G10472" t="s">
        <v>32622</v>
      </c>
      <c r="H10472" t="s">
        <v>444</v>
      </c>
      <c r="I10472" t="s">
        <v>29</v>
      </c>
      <c r="J10472">
        <v>1</v>
      </c>
      <c r="K10472">
        <f>1-833-220-3904</f>
        <v>-4956</v>
      </c>
      <c r="L10472" t="s">
        <v>32627</v>
      </c>
      <c r="M10472" t="s">
        <v>32628</v>
      </c>
      <c r="N10472" t="s">
        <v>452</v>
      </c>
      <c r="O10472" t="s">
        <v>28</v>
      </c>
      <c r="P10472" t="s">
        <v>29</v>
      </c>
      <c r="Q10472">
        <v>42</v>
      </c>
      <c r="R10472">
        <v>-87.629800000000003</v>
      </c>
    </row>
    <row r="10473" spans="1:18" x14ac:dyDescent="0.2">
      <c r="A10473" t="s">
        <v>663</v>
      </c>
      <c r="B10473" t="s">
        <v>2263</v>
      </c>
      <c r="C10473">
        <v>1</v>
      </c>
      <c r="D10473" s="1">
        <v>44358.003506944442</v>
      </c>
      <c r="E10473" t="s">
        <v>32629</v>
      </c>
      <c r="F10473" t="s">
        <v>666</v>
      </c>
      <c r="G10473" t="s">
        <v>32630</v>
      </c>
      <c r="H10473" t="s">
        <v>667</v>
      </c>
      <c r="I10473" t="s">
        <v>29</v>
      </c>
      <c r="J10473">
        <v>1</v>
      </c>
      <c r="K10473">
        <f>1-888-210-1029</f>
        <v>-2126</v>
      </c>
      <c r="L10473" t="s">
        <v>32631</v>
      </c>
      <c r="M10473" t="s">
        <v>32632</v>
      </c>
      <c r="N10473" t="s">
        <v>5354</v>
      </c>
      <c r="O10473" t="s">
        <v>28</v>
      </c>
      <c r="P10473" t="s">
        <v>2268</v>
      </c>
      <c r="Q10473">
        <v>44</v>
      </c>
      <c r="R10473">
        <v>-79.362300000000005</v>
      </c>
    </row>
    <row r="10474" spans="1:18" x14ac:dyDescent="0.2">
      <c r="A10474" t="s">
        <v>663</v>
      </c>
      <c r="B10474" t="s">
        <v>2263</v>
      </c>
      <c r="C10474">
        <v>1</v>
      </c>
      <c r="D10474" s="1">
        <v>44358.002546296295</v>
      </c>
      <c r="E10474" t="s">
        <v>32629</v>
      </c>
      <c r="F10474" t="s">
        <v>666</v>
      </c>
      <c r="G10474" t="s">
        <v>32630</v>
      </c>
      <c r="H10474" t="s">
        <v>667</v>
      </c>
      <c r="I10474" t="s">
        <v>29</v>
      </c>
      <c r="J10474">
        <v>1</v>
      </c>
      <c r="K10474">
        <f>1-888-530-6218</f>
        <v>-7635</v>
      </c>
      <c r="L10474" t="s">
        <v>32633</v>
      </c>
      <c r="M10474" t="s">
        <v>32632</v>
      </c>
      <c r="N10474" t="s">
        <v>5354</v>
      </c>
      <c r="O10474" t="s">
        <v>28</v>
      </c>
      <c r="P10474" t="s">
        <v>2268</v>
      </c>
      <c r="Q10474">
        <v>44</v>
      </c>
      <c r="R10474">
        <v>-79.362300000000005</v>
      </c>
    </row>
    <row r="10475" spans="1:18" x14ac:dyDescent="0.2">
      <c r="A10475" t="s">
        <v>663</v>
      </c>
      <c r="B10475" t="s">
        <v>2263</v>
      </c>
      <c r="C10475">
        <v>1</v>
      </c>
      <c r="D10475" s="1">
        <v>44358.001967592594</v>
      </c>
      <c r="E10475" t="s">
        <v>32629</v>
      </c>
      <c r="F10475" t="s">
        <v>666</v>
      </c>
      <c r="G10475" t="s">
        <v>32630</v>
      </c>
      <c r="H10475" t="s">
        <v>667</v>
      </c>
      <c r="I10475" t="s">
        <v>29</v>
      </c>
      <c r="J10475">
        <v>1</v>
      </c>
      <c r="K10475">
        <f>1-888-398-2215</f>
        <v>-3500</v>
      </c>
      <c r="L10475" t="s">
        <v>32634</v>
      </c>
      <c r="M10475" t="s">
        <v>32635</v>
      </c>
      <c r="N10475" t="s">
        <v>5354</v>
      </c>
      <c r="O10475" t="s">
        <v>28</v>
      </c>
      <c r="P10475" t="s">
        <v>2268</v>
      </c>
      <c r="Q10475">
        <v>44</v>
      </c>
      <c r="R10475">
        <v>-79.362300000000005</v>
      </c>
    </row>
    <row r="10476" spans="1:18" x14ac:dyDescent="0.2">
      <c r="A10476" t="s">
        <v>663</v>
      </c>
      <c r="B10476" t="s">
        <v>2263</v>
      </c>
      <c r="C10476">
        <v>1</v>
      </c>
      <c r="D10476" s="1">
        <v>44358.001736111109</v>
      </c>
      <c r="E10476" t="s">
        <v>32629</v>
      </c>
      <c r="F10476" t="s">
        <v>666</v>
      </c>
      <c r="G10476" t="s">
        <v>32630</v>
      </c>
      <c r="H10476" t="s">
        <v>667</v>
      </c>
      <c r="I10476" t="s">
        <v>29</v>
      </c>
      <c r="J10476">
        <v>1</v>
      </c>
      <c r="K10476">
        <f>1-888-803-801</f>
        <v>-2491</v>
      </c>
      <c r="L10476" t="s">
        <v>32636</v>
      </c>
      <c r="M10476" t="s">
        <v>32632</v>
      </c>
      <c r="N10476" t="s">
        <v>5354</v>
      </c>
      <c r="O10476" t="s">
        <v>28</v>
      </c>
      <c r="P10476" t="s">
        <v>2268</v>
      </c>
      <c r="Q10476">
        <v>44</v>
      </c>
      <c r="R10476">
        <v>-79.362300000000005</v>
      </c>
    </row>
    <row r="10477" spans="1:18" x14ac:dyDescent="0.2">
      <c r="A10477" t="s">
        <v>663</v>
      </c>
      <c r="B10477" t="s">
        <v>2263</v>
      </c>
      <c r="C10477">
        <v>1</v>
      </c>
      <c r="D10477" s="1">
        <v>44358.001516203702</v>
      </c>
      <c r="E10477" t="s">
        <v>32629</v>
      </c>
      <c r="F10477" t="s">
        <v>666</v>
      </c>
      <c r="G10477" t="s">
        <v>32630</v>
      </c>
      <c r="H10477" t="s">
        <v>667</v>
      </c>
      <c r="I10477" t="s">
        <v>29</v>
      </c>
      <c r="J10477">
        <v>1</v>
      </c>
      <c r="K10477">
        <f>1-888-592-7841</f>
        <v>-9320</v>
      </c>
      <c r="L10477" t="s">
        <v>32637</v>
      </c>
      <c r="M10477" t="s">
        <v>32635</v>
      </c>
      <c r="N10477" t="s">
        <v>5354</v>
      </c>
      <c r="O10477" t="s">
        <v>28</v>
      </c>
      <c r="P10477" t="s">
        <v>2268</v>
      </c>
      <c r="Q10477">
        <v>44</v>
      </c>
      <c r="R10477">
        <v>-79.362300000000005</v>
      </c>
    </row>
    <row r="10478" spans="1:18" x14ac:dyDescent="0.2">
      <c r="A10478" t="s">
        <v>663</v>
      </c>
      <c r="B10478" t="s">
        <v>2263</v>
      </c>
      <c r="C10478">
        <v>1</v>
      </c>
      <c r="D10478" s="1">
        <v>44358.00136574074</v>
      </c>
      <c r="E10478" t="s">
        <v>32629</v>
      </c>
      <c r="F10478" t="s">
        <v>666</v>
      </c>
      <c r="G10478" t="s">
        <v>32630</v>
      </c>
      <c r="H10478" t="s">
        <v>667</v>
      </c>
      <c r="I10478" t="s">
        <v>29</v>
      </c>
      <c r="J10478">
        <v>1</v>
      </c>
      <c r="K10478">
        <f>1-888-594-1726</f>
        <v>-3207</v>
      </c>
      <c r="L10478" t="s">
        <v>32638</v>
      </c>
      <c r="M10478" t="s">
        <v>32632</v>
      </c>
      <c r="N10478" t="s">
        <v>5354</v>
      </c>
      <c r="O10478" t="s">
        <v>28</v>
      </c>
      <c r="P10478" t="s">
        <v>2268</v>
      </c>
      <c r="Q10478">
        <v>44</v>
      </c>
      <c r="R10478">
        <v>-79.362300000000005</v>
      </c>
    </row>
    <row r="10479" spans="1:18" x14ac:dyDescent="0.2">
      <c r="A10479" t="s">
        <v>663</v>
      </c>
      <c r="B10479" t="s">
        <v>2263</v>
      </c>
      <c r="C10479">
        <v>1</v>
      </c>
      <c r="D10479" s="1">
        <v>44358.001261574071</v>
      </c>
      <c r="E10479" t="s">
        <v>32629</v>
      </c>
      <c r="F10479" t="s">
        <v>666</v>
      </c>
      <c r="G10479" t="s">
        <v>32630</v>
      </c>
      <c r="H10479" t="s">
        <v>667</v>
      </c>
      <c r="I10479" t="s">
        <v>29</v>
      </c>
      <c r="J10479">
        <v>1</v>
      </c>
      <c r="K10479">
        <f>1-888-604-2341</f>
        <v>-3832</v>
      </c>
      <c r="L10479" t="s">
        <v>32639</v>
      </c>
      <c r="M10479" t="s">
        <v>32635</v>
      </c>
      <c r="N10479" t="s">
        <v>5354</v>
      </c>
      <c r="O10479" t="s">
        <v>28</v>
      </c>
      <c r="P10479" t="s">
        <v>2268</v>
      </c>
      <c r="Q10479">
        <v>44</v>
      </c>
      <c r="R10479">
        <v>-79.362300000000005</v>
      </c>
    </row>
    <row r="10480" spans="1:18" x14ac:dyDescent="0.2">
      <c r="A10480" t="s">
        <v>663</v>
      </c>
      <c r="B10480" t="s">
        <v>2263</v>
      </c>
      <c r="C10480">
        <v>1</v>
      </c>
      <c r="D10480" s="1">
        <v>44358.001192129632</v>
      </c>
      <c r="E10480" t="s">
        <v>32629</v>
      </c>
      <c r="F10480" t="s">
        <v>666</v>
      </c>
      <c r="G10480" t="s">
        <v>32630</v>
      </c>
      <c r="H10480" t="s">
        <v>667</v>
      </c>
      <c r="I10480" t="s">
        <v>29</v>
      </c>
      <c r="J10480">
        <v>1</v>
      </c>
      <c r="K10480">
        <f>1-888-348-6494</f>
        <v>-7729</v>
      </c>
      <c r="L10480" t="s">
        <v>32640</v>
      </c>
      <c r="M10480" t="s">
        <v>32632</v>
      </c>
      <c r="N10480" t="s">
        <v>5354</v>
      </c>
      <c r="O10480" t="s">
        <v>28</v>
      </c>
      <c r="P10480" t="s">
        <v>2268</v>
      </c>
      <c r="Q10480">
        <v>44</v>
      </c>
      <c r="R10480">
        <v>-79.362300000000005</v>
      </c>
    </row>
    <row r="10481" spans="1:18" x14ac:dyDescent="0.2">
      <c r="A10481" t="s">
        <v>663</v>
      </c>
      <c r="B10481" t="s">
        <v>2263</v>
      </c>
      <c r="C10481">
        <v>1</v>
      </c>
      <c r="D10481" s="1">
        <v>44358.001111111109</v>
      </c>
      <c r="E10481" t="s">
        <v>32629</v>
      </c>
      <c r="F10481" t="s">
        <v>666</v>
      </c>
      <c r="G10481" t="s">
        <v>32630</v>
      </c>
      <c r="H10481" t="s">
        <v>667</v>
      </c>
      <c r="I10481" t="s">
        <v>29</v>
      </c>
      <c r="J10481">
        <v>1</v>
      </c>
      <c r="K10481">
        <f>1-888-609-2645</f>
        <v>-4141</v>
      </c>
      <c r="L10481" t="s">
        <v>32641</v>
      </c>
      <c r="M10481" t="s">
        <v>32635</v>
      </c>
      <c r="N10481" t="s">
        <v>5354</v>
      </c>
      <c r="O10481" t="s">
        <v>28</v>
      </c>
      <c r="P10481" t="s">
        <v>2268</v>
      </c>
      <c r="Q10481">
        <v>44</v>
      </c>
      <c r="R10481">
        <v>-79.362300000000005</v>
      </c>
    </row>
    <row r="10482" spans="1:18" x14ac:dyDescent="0.2">
      <c r="A10482" t="s">
        <v>663</v>
      </c>
      <c r="B10482" t="s">
        <v>2263</v>
      </c>
      <c r="C10482">
        <v>1</v>
      </c>
      <c r="D10482" s="1">
        <v>44358.000983796293</v>
      </c>
      <c r="E10482" t="s">
        <v>32629</v>
      </c>
      <c r="F10482" t="s">
        <v>666</v>
      </c>
      <c r="G10482" t="s">
        <v>32630</v>
      </c>
      <c r="H10482" t="s">
        <v>667</v>
      </c>
      <c r="I10482" t="s">
        <v>29</v>
      </c>
      <c r="J10482">
        <v>1</v>
      </c>
      <c r="K10482">
        <f>1-888-354-6056</f>
        <v>-7297</v>
      </c>
      <c r="L10482" t="s">
        <v>32642</v>
      </c>
      <c r="M10482" t="s">
        <v>32632</v>
      </c>
      <c r="N10482" t="s">
        <v>5354</v>
      </c>
      <c r="O10482" t="s">
        <v>28</v>
      </c>
      <c r="P10482" t="s">
        <v>2268</v>
      </c>
      <c r="Q10482">
        <v>44</v>
      </c>
      <c r="R10482">
        <v>-79.362300000000005</v>
      </c>
    </row>
    <row r="10483" spans="1:18" x14ac:dyDescent="0.2">
      <c r="A10483" t="s">
        <v>663</v>
      </c>
      <c r="B10483" t="s">
        <v>2263</v>
      </c>
      <c r="C10483">
        <v>1</v>
      </c>
      <c r="D10483" s="1">
        <v>44358.000856481478</v>
      </c>
      <c r="E10483" t="s">
        <v>32629</v>
      </c>
      <c r="F10483" t="s">
        <v>666</v>
      </c>
      <c r="G10483" t="s">
        <v>32630</v>
      </c>
      <c r="H10483" t="s">
        <v>667</v>
      </c>
      <c r="I10483" t="s">
        <v>29</v>
      </c>
      <c r="J10483">
        <v>1</v>
      </c>
      <c r="K10483">
        <f>1-888-608-6430</f>
        <v>-7925</v>
      </c>
      <c r="L10483" t="s">
        <v>32643</v>
      </c>
      <c r="M10483" t="s">
        <v>32635</v>
      </c>
      <c r="N10483" t="s">
        <v>5354</v>
      </c>
      <c r="O10483" t="s">
        <v>28</v>
      </c>
      <c r="P10483" t="s">
        <v>2268</v>
      </c>
      <c r="Q10483">
        <v>44</v>
      </c>
      <c r="R10483">
        <v>-79.362300000000005</v>
      </c>
    </row>
    <row r="10484" spans="1:18" x14ac:dyDescent="0.2">
      <c r="A10484" t="s">
        <v>663</v>
      </c>
      <c r="B10484" t="s">
        <v>2263</v>
      </c>
      <c r="C10484">
        <v>1</v>
      </c>
      <c r="D10484" s="1">
        <v>44358.000497685185</v>
      </c>
      <c r="E10484" t="s">
        <v>32629</v>
      </c>
      <c r="F10484" t="s">
        <v>666</v>
      </c>
      <c r="G10484" t="s">
        <v>32630</v>
      </c>
      <c r="H10484" t="s">
        <v>667</v>
      </c>
      <c r="I10484" t="s">
        <v>29</v>
      </c>
      <c r="J10484">
        <v>1</v>
      </c>
      <c r="K10484">
        <f>1-888-334-1291</f>
        <v>-2512</v>
      </c>
      <c r="L10484" t="s">
        <v>32644</v>
      </c>
      <c r="M10484" t="s">
        <v>32632</v>
      </c>
      <c r="N10484" t="s">
        <v>5354</v>
      </c>
      <c r="O10484" t="s">
        <v>28</v>
      </c>
      <c r="P10484" t="s">
        <v>2268</v>
      </c>
      <c r="Q10484">
        <v>44</v>
      </c>
      <c r="R10484">
        <v>-79.362300000000005</v>
      </c>
    </row>
    <row r="10485" spans="1:18" x14ac:dyDescent="0.2">
      <c r="A10485" t="s">
        <v>663</v>
      </c>
      <c r="B10485" t="s">
        <v>2263</v>
      </c>
      <c r="C10485">
        <v>1</v>
      </c>
      <c r="D10485" s="1">
        <v>44358.000115740739</v>
      </c>
      <c r="E10485" t="s">
        <v>32629</v>
      </c>
      <c r="F10485" t="s">
        <v>666</v>
      </c>
      <c r="G10485" t="s">
        <v>32630</v>
      </c>
      <c r="H10485" t="s">
        <v>667</v>
      </c>
      <c r="I10485" t="s">
        <v>29</v>
      </c>
      <c r="J10485">
        <v>1</v>
      </c>
      <c r="K10485">
        <f>1-888-339-9013</f>
        <v>-10239</v>
      </c>
      <c r="L10485" t="s">
        <v>32645</v>
      </c>
      <c r="M10485" t="s">
        <v>32635</v>
      </c>
      <c r="N10485" t="s">
        <v>5354</v>
      </c>
      <c r="O10485" t="s">
        <v>28</v>
      </c>
      <c r="P10485" t="s">
        <v>2268</v>
      </c>
      <c r="Q10485">
        <v>44</v>
      </c>
      <c r="R10485">
        <v>-79.362300000000005</v>
      </c>
    </row>
    <row r="10486" spans="1:18" x14ac:dyDescent="0.2">
      <c r="A10486" t="s">
        <v>663</v>
      </c>
      <c r="B10486" t="s">
        <v>2263</v>
      </c>
      <c r="C10486">
        <v>1</v>
      </c>
      <c r="D10486" s="1">
        <v>44357.999166666668</v>
      </c>
      <c r="E10486" t="s">
        <v>32629</v>
      </c>
      <c r="F10486" t="s">
        <v>666</v>
      </c>
      <c r="G10486" t="s">
        <v>32630</v>
      </c>
      <c r="H10486" t="s">
        <v>667</v>
      </c>
      <c r="I10486" t="s">
        <v>29</v>
      </c>
      <c r="J10486">
        <v>1</v>
      </c>
      <c r="K10486">
        <f>1-888-351-734</f>
        <v>-1972</v>
      </c>
      <c r="L10486" t="s">
        <v>32646</v>
      </c>
      <c r="M10486" t="s">
        <v>32635</v>
      </c>
      <c r="N10486" t="s">
        <v>5354</v>
      </c>
      <c r="O10486" t="s">
        <v>28</v>
      </c>
      <c r="P10486" t="s">
        <v>2268</v>
      </c>
      <c r="Q10486">
        <v>44</v>
      </c>
      <c r="R10486">
        <v>-79.362300000000005</v>
      </c>
    </row>
    <row r="10487" spans="1:18" x14ac:dyDescent="0.2">
      <c r="A10487" t="s">
        <v>663</v>
      </c>
      <c r="B10487" t="s">
        <v>2263</v>
      </c>
      <c r="C10487">
        <v>1</v>
      </c>
      <c r="D10487" s="1">
        <v>44357.999131944445</v>
      </c>
      <c r="E10487" t="s">
        <v>32629</v>
      </c>
      <c r="F10487" t="s">
        <v>666</v>
      </c>
      <c r="G10487" t="s">
        <v>32630</v>
      </c>
      <c r="H10487" t="s">
        <v>667</v>
      </c>
      <c r="I10487" t="s">
        <v>29</v>
      </c>
      <c r="J10487">
        <v>1</v>
      </c>
      <c r="K10487">
        <f>1-888-353-2282</f>
        <v>-3522</v>
      </c>
      <c r="L10487" t="s">
        <v>32647</v>
      </c>
      <c r="M10487" t="s">
        <v>32632</v>
      </c>
      <c r="N10487" t="s">
        <v>5354</v>
      </c>
      <c r="O10487" t="s">
        <v>28</v>
      </c>
      <c r="P10487" t="s">
        <v>2268</v>
      </c>
      <c r="Q10487">
        <v>44</v>
      </c>
      <c r="R10487">
        <v>-79.362300000000005</v>
      </c>
    </row>
    <row r="10488" spans="1:18" x14ac:dyDescent="0.2">
      <c r="A10488" t="s">
        <v>663</v>
      </c>
      <c r="B10488" t="s">
        <v>2263</v>
      </c>
      <c r="C10488">
        <v>1</v>
      </c>
      <c r="D10488" s="1">
        <v>44357.999120370368</v>
      </c>
      <c r="E10488" t="s">
        <v>32629</v>
      </c>
      <c r="F10488" t="s">
        <v>666</v>
      </c>
      <c r="G10488" t="s">
        <v>32630</v>
      </c>
      <c r="H10488" t="s">
        <v>667</v>
      </c>
      <c r="I10488" t="s">
        <v>29</v>
      </c>
      <c r="J10488">
        <v>1</v>
      </c>
      <c r="K10488">
        <f>1-888-354-8522</f>
        <v>-9763</v>
      </c>
      <c r="L10488" t="s">
        <v>32648</v>
      </c>
      <c r="M10488" t="s">
        <v>32632</v>
      </c>
      <c r="N10488" t="s">
        <v>5354</v>
      </c>
      <c r="O10488" t="s">
        <v>28</v>
      </c>
      <c r="P10488" t="s">
        <v>2268</v>
      </c>
      <c r="Q10488">
        <v>44</v>
      </c>
      <c r="R10488">
        <v>-79.362300000000005</v>
      </c>
    </row>
    <row r="10489" spans="1:18" x14ac:dyDescent="0.2">
      <c r="A10489" t="s">
        <v>663</v>
      </c>
      <c r="B10489" t="s">
        <v>2263</v>
      </c>
      <c r="C10489">
        <v>1</v>
      </c>
      <c r="D10489" s="1">
        <v>44357.998993055553</v>
      </c>
      <c r="E10489" t="s">
        <v>32629</v>
      </c>
      <c r="F10489" t="s">
        <v>666</v>
      </c>
      <c r="G10489" t="s">
        <v>32630</v>
      </c>
      <c r="H10489" t="s">
        <v>667</v>
      </c>
      <c r="I10489" t="s">
        <v>29</v>
      </c>
      <c r="J10489">
        <v>1</v>
      </c>
      <c r="K10489">
        <f>1-888-357-1363</f>
        <v>-2607</v>
      </c>
      <c r="L10489" t="s">
        <v>32649</v>
      </c>
      <c r="M10489" t="s">
        <v>32632</v>
      </c>
      <c r="N10489" t="s">
        <v>5354</v>
      </c>
      <c r="O10489" t="s">
        <v>28</v>
      </c>
      <c r="P10489" t="s">
        <v>2268</v>
      </c>
      <c r="Q10489">
        <v>44</v>
      </c>
      <c r="R10489">
        <v>-79.362300000000005</v>
      </c>
    </row>
    <row r="10490" spans="1:18" x14ac:dyDescent="0.2">
      <c r="A10490" t="s">
        <v>663</v>
      </c>
      <c r="B10490" t="s">
        <v>2263</v>
      </c>
      <c r="C10490">
        <v>1</v>
      </c>
      <c r="D10490" s="1">
        <v>44357.998865740738</v>
      </c>
      <c r="E10490" t="s">
        <v>32629</v>
      </c>
      <c r="F10490" t="s">
        <v>666</v>
      </c>
      <c r="G10490" t="s">
        <v>32630</v>
      </c>
      <c r="H10490" t="s">
        <v>667</v>
      </c>
      <c r="I10490" t="s">
        <v>29</v>
      </c>
      <c r="J10490">
        <v>1</v>
      </c>
      <c r="K10490">
        <f>1-888-365-9643</f>
        <v>-10895</v>
      </c>
      <c r="L10490" t="s">
        <v>32650</v>
      </c>
      <c r="M10490" t="s">
        <v>32632</v>
      </c>
      <c r="N10490" t="s">
        <v>5354</v>
      </c>
      <c r="O10490" t="s">
        <v>28</v>
      </c>
      <c r="P10490" t="s">
        <v>2268</v>
      </c>
      <c r="Q10490">
        <v>44</v>
      </c>
      <c r="R10490">
        <v>-79.362300000000005</v>
      </c>
    </row>
    <row r="10491" spans="1:18" x14ac:dyDescent="0.2">
      <c r="A10491" t="s">
        <v>663</v>
      </c>
      <c r="B10491" t="s">
        <v>2263</v>
      </c>
      <c r="C10491">
        <v>1</v>
      </c>
      <c r="D10491" s="1">
        <v>44357.998796296299</v>
      </c>
      <c r="E10491" t="s">
        <v>32629</v>
      </c>
      <c r="F10491" t="s">
        <v>666</v>
      </c>
      <c r="G10491" t="s">
        <v>32630</v>
      </c>
      <c r="H10491" t="s">
        <v>667</v>
      </c>
      <c r="I10491" t="s">
        <v>29</v>
      </c>
      <c r="J10491">
        <v>1</v>
      </c>
      <c r="K10491">
        <f>1-888-374-7005</f>
        <v>-8266</v>
      </c>
      <c r="L10491" t="s">
        <v>32651</v>
      </c>
      <c r="M10491" t="s">
        <v>32632</v>
      </c>
      <c r="N10491" t="s">
        <v>5354</v>
      </c>
      <c r="O10491" t="s">
        <v>28</v>
      </c>
      <c r="P10491" t="s">
        <v>2268</v>
      </c>
      <c r="Q10491">
        <v>44</v>
      </c>
      <c r="R10491">
        <v>-79.362300000000005</v>
      </c>
    </row>
    <row r="10492" spans="1:18" x14ac:dyDescent="0.2">
      <c r="A10492" t="s">
        <v>663</v>
      </c>
      <c r="B10492" t="s">
        <v>2263</v>
      </c>
      <c r="C10492">
        <v>1</v>
      </c>
      <c r="D10492" s="1">
        <v>44357.998749999999</v>
      </c>
      <c r="E10492" t="s">
        <v>32629</v>
      </c>
      <c r="F10492" t="s">
        <v>666</v>
      </c>
      <c r="G10492" t="s">
        <v>32630</v>
      </c>
      <c r="H10492" t="s">
        <v>667</v>
      </c>
      <c r="I10492" t="s">
        <v>29</v>
      </c>
      <c r="J10492">
        <v>1</v>
      </c>
      <c r="K10492">
        <f>1-888-526-2110</f>
        <v>-3523</v>
      </c>
      <c r="L10492" t="s">
        <v>32652</v>
      </c>
      <c r="M10492" t="s">
        <v>32632</v>
      </c>
      <c r="N10492" t="s">
        <v>5354</v>
      </c>
      <c r="O10492" t="s">
        <v>28</v>
      </c>
      <c r="P10492" t="s">
        <v>2268</v>
      </c>
      <c r="Q10492">
        <v>44</v>
      </c>
      <c r="R10492">
        <v>-79.362300000000005</v>
      </c>
    </row>
    <row r="10493" spans="1:18" x14ac:dyDescent="0.2">
      <c r="A10493" t="s">
        <v>663</v>
      </c>
      <c r="B10493" t="s">
        <v>2263</v>
      </c>
      <c r="C10493">
        <v>1</v>
      </c>
      <c r="D10493" s="1">
        <v>44357.998483796298</v>
      </c>
      <c r="E10493" t="s">
        <v>32629</v>
      </c>
      <c r="F10493" t="s">
        <v>666</v>
      </c>
      <c r="G10493" t="s">
        <v>32630</v>
      </c>
      <c r="H10493" t="s">
        <v>667</v>
      </c>
      <c r="I10493" t="s">
        <v>29</v>
      </c>
      <c r="J10493">
        <v>1</v>
      </c>
      <c r="K10493">
        <f>1-844-385-5806</f>
        <v>-7034</v>
      </c>
      <c r="L10493" t="s">
        <v>32653</v>
      </c>
      <c r="M10493" t="s">
        <v>32632</v>
      </c>
      <c r="N10493" t="s">
        <v>5354</v>
      </c>
      <c r="O10493" t="s">
        <v>28</v>
      </c>
      <c r="P10493" t="s">
        <v>2268</v>
      </c>
      <c r="Q10493">
        <v>44</v>
      </c>
      <c r="R10493">
        <v>-79.362300000000005</v>
      </c>
    </row>
    <row r="10494" spans="1:18" x14ac:dyDescent="0.2">
      <c r="A10494" t="s">
        <v>663</v>
      </c>
      <c r="B10494" t="s">
        <v>2263</v>
      </c>
      <c r="C10494">
        <v>1</v>
      </c>
      <c r="D10494" s="1">
        <v>44357.998148148145</v>
      </c>
      <c r="E10494" t="s">
        <v>32629</v>
      </c>
      <c r="F10494" t="s">
        <v>666</v>
      </c>
      <c r="G10494" t="s">
        <v>32630</v>
      </c>
      <c r="H10494" t="s">
        <v>667</v>
      </c>
      <c r="I10494" t="s">
        <v>29</v>
      </c>
      <c r="J10494">
        <v>1</v>
      </c>
      <c r="K10494">
        <f>1-844-390-2788</f>
        <v>-4021</v>
      </c>
      <c r="L10494" t="s">
        <v>32654</v>
      </c>
      <c r="M10494" t="s">
        <v>32632</v>
      </c>
      <c r="N10494" t="s">
        <v>5354</v>
      </c>
      <c r="O10494" t="s">
        <v>28</v>
      </c>
      <c r="P10494" t="s">
        <v>2268</v>
      </c>
      <c r="Q10494">
        <v>44</v>
      </c>
      <c r="R10494">
        <v>-79.362300000000005</v>
      </c>
    </row>
    <row r="10495" spans="1:18" x14ac:dyDescent="0.2">
      <c r="A10495" t="s">
        <v>663</v>
      </c>
      <c r="B10495" t="s">
        <v>2263</v>
      </c>
      <c r="C10495">
        <v>1</v>
      </c>
      <c r="D10495" s="1">
        <v>44357.997928240744</v>
      </c>
      <c r="E10495" t="s">
        <v>32629</v>
      </c>
      <c r="F10495" t="s">
        <v>666</v>
      </c>
      <c r="G10495" t="s">
        <v>32630</v>
      </c>
      <c r="H10495" t="s">
        <v>667</v>
      </c>
      <c r="I10495" t="s">
        <v>29</v>
      </c>
      <c r="J10495">
        <v>1</v>
      </c>
      <c r="K10495">
        <f>1-844-393-981</f>
        <v>-2217</v>
      </c>
      <c r="L10495" t="s">
        <v>32655</v>
      </c>
      <c r="M10495" t="s">
        <v>32632</v>
      </c>
      <c r="N10495" t="s">
        <v>5354</v>
      </c>
      <c r="O10495" t="s">
        <v>28</v>
      </c>
      <c r="P10495" t="s">
        <v>2268</v>
      </c>
      <c r="Q10495">
        <v>44</v>
      </c>
      <c r="R10495">
        <v>-79.362300000000005</v>
      </c>
    </row>
    <row r="10496" spans="1:18" x14ac:dyDescent="0.2">
      <c r="A10496" t="s">
        <v>663</v>
      </c>
      <c r="B10496" t="s">
        <v>2263</v>
      </c>
      <c r="C10496">
        <v>1</v>
      </c>
      <c r="D10496" s="1">
        <v>44357.997800925928</v>
      </c>
      <c r="E10496" t="s">
        <v>32629</v>
      </c>
      <c r="F10496" t="s">
        <v>666</v>
      </c>
      <c r="G10496" t="s">
        <v>32630</v>
      </c>
      <c r="H10496" t="s">
        <v>667</v>
      </c>
      <c r="I10496" t="s">
        <v>29</v>
      </c>
      <c r="J10496">
        <v>1</v>
      </c>
      <c r="K10496">
        <f>1-844-312-7859</f>
        <v>-9014</v>
      </c>
      <c r="L10496" t="s">
        <v>32656</v>
      </c>
      <c r="M10496" t="s">
        <v>32632</v>
      </c>
      <c r="N10496" t="s">
        <v>5354</v>
      </c>
      <c r="O10496" t="s">
        <v>28</v>
      </c>
      <c r="P10496" t="s">
        <v>2268</v>
      </c>
      <c r="Q10496">
        <v>44</v>
      </c>
      <c r="R10496">
        <v>-79.362300000000005</v>
      </c>
    </row>
    <row r="10497" spans="1:18" x14ac:dyDescent="0.2">
      <c r="A10497" t="s">
        <v>663</v>
      </c>
      <c r="B10497" t="s">
        <v>2263</v>
      </c>
      <c r="C10497">
        <v>1</v>
      </c>
      <c r="D10497" s="1">
        <v>44357.997476851851</v>
      </c>
      <c r="E10497" t="s">
        <v>32629</v>
      </c>
      <c r="F10497" t="s">
        <v>666</v>
      </c>
      <c r="G10497" t="s">
        <v>32630</v>
      </c>
      <c r="H10497" t="s">
        <v>667</v>
      </c>
      <c r="I10497" t="s">
        <v>29</v>
      </c>
      <c r="J10497">
        <v>1</v>
      </c>
      <c r="K10497">
        <f>1-888-272-3509</f>
        <v>-4668</v>
      </c>
      <c r="L10497" t="s">
        <v>32657</v>
      </c>
      <c r="M10497" t="s">
        <v>32632</v>
      </c>
      <c r="N10497" t="s">
        <v>5354</v>
      </c>
      <c r="O10497" t="s">
        <v>28</v>
      </c>
      <c r="P10497" t="s">
        <v>2268</v>
      </c>
      <c r="Q10497">
        <v>44</v>
      </c>
      <c r="R10497">
        <v>-79.362300000000005</v>
      </c>
    </row>
    <row r="10498" spans="1:18" x14ac:dyDescent="0.2">
      <c r="A10498" t="s">
        <v>663</v>
      </c>
      <c r="B10498" t="s">
        <v>2263</v>
      </c>
      <c r="C10498">
        <v>1</v>
      </c>
      <c r="D10498" s="1">
        <v>44357.997349537036</v>
      </c>
      <c r="E10498" t="s">
        <v>32629</v>
      </c>
      <c r="F10498" t="s">
        <v>666</v>
      </c>
      <c r="G10498" t="s">
        <v>32630</v>
      </c>
      <c r="H10498" t="s">
        <v>667</v>
      </c>
      <c r="I10498" t="s">
        <v>29</v>
      </c>
      <c r="J10498">
        <v>1</v>
      </c>
      <c r="K10498">
        <f>1-888-283-3493</f>
        <v>-4663</v>
      </c>
      <c r="L10498" t="s">
        <v>32658</v>
      </c>
      <c r="M10498" t="s">
        <v>32632</v>
      </c>
      <c r="N10498" t="s">
        <v>5354</v>
      </c>
      <c r="O10498" t="s">
        <v>28</v>
      </c>
      <c r="P10498" t="s">
        <v>2268</v>
      </c>
      <c r="Q10498">
        <v>44</v>
      </c>
      <c r="R10498">
        <v>-79.362300000000005</v>
      </c>
    </row>
    <row r="10499" spans="1:18" x14ac:dyDescent="0.2">
      <c r="A10499" t="s">
        <v>663</v>
      </c>
      <c r="B10499" t="s">
        <v>2263</v>
      </c>
      <c r="C10499">
        <v>1</v>
      </c>
      <c r="D10499" s="1">
        <v>44357.997094907405</v>
      </c>
      <c r="E10499" t="s">
        <v>32629</v>
      </c>
      <c r="F10499" t="s">
        <v>666</v>
      </c>
      <c r="G10499" t="s">
        <v>32630</v>
      </c>
      <c r="H10499" t="s">
        <v>667</v>
      </c>
      <c r="I10499" t="s">
        <v>29</v>
      </c>
      <c r="J10499">
        <v>1</v>
      </c>
      <c r="K10499">
        <f>1-888-308-5923</f>
        <v>-7118</v>
      </c>
      <c r="L10499" t="s">
        <v>32659</v>
      </c>
      <c r="M10499" t="s">
        <v>32632</v>
      </c>
      <c r="N10499" t="s">
        <v>5354</v>
      </c>
      <c r="O10499" t="s">
        <v>28</v>
      </c>
      <c r="P10499" t="s">
        <v>2268</v>
      </c>
      <c r="Q10499">
        <v>44</v>
      </c>
      <c r="R10499">
        <v>-79.362300000000005</v>
      </c>
    </row>
    <row r="10500" spans="1:18" x14ac:dyDescent="0.2">
      <c r="A10500" t="s">
        <v>663</v>
      </c>
      <c r="B10500" t="s">
        <v>2263</v>
      </c>
      <c r="C10500">
        <v>1</v>
      </c>
      <c r="D10500" s="1">
        <v>44357.996168981481</v>
      </c>
      <c r="E10500" t="s">
        <v>32629</v>
      </c>
      <c r="F10500" t="s">
        <v>666</v>
      </c>
      <c r="G10500" t="s">
        <v>32630</v>
      </c>
      <c r="H10500" t="s">
        <v>667</v>
      </c>
      <c r="I10500" t="s">
        <v>29</v>
      </c>
      <c r="J10500">
        <v>1</v>
      </c>
      <c r="K10500">
        <f>1-888-362-4541</f>
        <v>-5790</v>
      </c>
      <c r="L10500" t="s">
        <v>32660</v>
      </c>
      <c r="M10500" t="s">
        <v>32661</v>
      </c>
      <c r="N10500" t="s">
        <v>5354</v>
      </c>
      <c r="O10500" t="s">
        <v>28</v>
      </c>
      <c r="P10500" t="s">
        <v>2268</v>
      </c>
      <c r="Q10500">
        <v>44</v>
      </c>
      <c r="R10500">
        <v>-79.362300000000005</v>
      </c>
    </row>
    <row r="10501" spans="1:18" x14ac:dyDescent="0.2">
      <c r="A10501" t="s">
        <v>663</v>
      </c>
      <c r="B10501" t="s">
        <v>2263</v>
      </c>
      <c r="C10501">
        <v>1</v>
      </c>
      <c r="D10501" s="1">
        <v>44357.995798611111</v>
      </c>
      <c r="E10501" t="s">
        <v>32629</v>
      </c>
      <c r="F10501" t="s">
        <v>666</v>
      </c>
      <c r="G10501" t="s">
        <v>32630</v>
      </c>
      <c r="H10501" t="s">
        <v>667</v>
      </c>
      <c r="I10501" t="s">
        <v>29</v>
      </c>
      <c r="J10501">
        <v>1</v>
      </c>
      <c r="K10501">
        <f>1-888-382-1921</f>
        <v>-3190</v>
      </c>
      <c r="L10501" t="s">
        <v>32662</v>
      </c>
      <c r="M10501" t="s">
        <v>32632</v>
      </c>
      <c r="N10501" t="s">
        <v>5354</v>
      </c>
      <c r="O10501" t="s">
        <v>28</v>
      </c>
      <c r="P10501" t="s">
        <v>2268</v>
      </c>
      <c r="Q10501">
        <v>44</v>
      </c>
      <c r="R10501">
        <v>-79.362300000000005</v>
      </c>
    </row>
    <row r="10502" spans="1:18" x14ac:dyDescent="0.2">
      <c r="A10502" t="s">
        <v>663</v>
      </c>
      <c r="B10502" t="s">
        <v>2263</v>
      </c>
      <c r="C10502">
        <v>1</v>
      </c>
      <c r="D10502" s="1">
        <v>44357.995289351849</v>
      </c>
      <c r="E10502" t="s">
        <v>32629</v>
      </c>
      <c r="F10502" t="s">
        <v>666</v>
      </c>
      <c r="G10502" t="s">
        <v>32630</v>
      </c>
      <c r="H10502" t="s">
        <v>667</v>
      </c>
      <c r="I10502" t="s">
        <v>29</v>
      </c>
      <c r="J10502">
        <v>1</v>
      </c>
      <c r="K10502">
        <f>1-833-462-7712</f>
        <v>-9006</v>
      </c>
      <c r="L10502" t="s">
        <v>32663</v>
      </c>
      <c r="M10502" t="s">
        <v>32635</v>
      </c>
      <c r="N10502" t="s">
        <v>5354</v>
      </c>
      <c r="O10502" t="s">
        <v>28</v>
      </c>
      <c r="P10502" t="s">
        <v>2268</v>
      </c>
      <c r="Q10502">
        <v>44</v>
      </c>
      <c r="R10502">
        <v>-79.362300000000005</v>
      </c>
    </row>
    <row r="10503" spans="1:18" x14ac:dyDescent="0.2">
      <c r="A10503" t="s">
        <v>663</v>
      </c>
      <c r="B10503" t="s">
        <v>2263</v>
      </c>
      <c r="C10503">
        <v>1</v>
      </c>
      <c r="D10503" s="1">
        <v>44357.995000000003</v>
      </c>
      <c r="E10503" t="s">
        <v>32629</v>
      </c>
      <c r="F10503" t="s">
        <v>666</v>
      </c>
      <c r="G10503" t="s">
        <v>32630</v>
      </c>
      <c r="H10503" t="s">
        <v>667</v>
      </c>
      <c r="I10503" t="s">
        <v>29</v>
      </c>
      <c r="J10503">
        <v>1</v>
      </c>
      <c r="K10503">
        <f>1-888-384-3812</f>
        <v>-5083</v>
      </c>
      <c r="L10503" t="s">
        <v>32664</v>
      </c>
      <c r="M10503" t="s">
        <v>32632</v>
      </c>
      <c r="N10503" t="s">
        <v>5354</v>
      </c>
      <c r="O10503" t="s">
        <v>28</v>
      </c>
      <c r="P10503" t="s">
        <v>2268</v>
      </c>
      <c r="Q10503">
        <v>44</v>
      </c>
      <c r="R10503">
        <v>-79.362300000000005</v>
      </c>
    </row>
    <row r="10504" spans="1:18" x14ac:dyDescent="0.2">
      <c r="A10504" t="s">
        <v>663</v>
      </c>
      <c r="B10504" t="s">
        <v>2263</v>
      </c>
      <c r="C10504">
        <v>1</v>
      </c>
      <c r="D10504" s="1">
        <v>44357.994756944441</v>
      </c>
      <c r="E10504" t="s">
        <v>32629</v>
      </c>
      <c r="F10504" t="s">
        <v>666</v>
      </c>
      <c r="G10504" t="s">
        <v>32630</v>
      </c>
      <c r="H10504" t="s">
        <v>667</v>
      </c>
      <c r="I10504" t="s">
        <v>29</v>
      </c>
      <c r="J10504">
        <v>1</v>
      </c>
      <c r="K10504">
        <f>1-888-392-125</f>
        <v>-1404</v>
      </c>
      <c r="L10504" t="s">
        <v>32665</v>
      </c>
      <c r="M10504" t="s">
        <v>32635</v>
      </c>
      <c r="N10504" t="s">
        <v>5354</v>
      </c>
      <c r="O10504" t="s">
        <v>28</v>
      </c>
      <c r="P10504" t="s">
        <v>2268</v>
      </c>
      <c r="Q10504">
        <v>44</v>
      </c>
      <c r="R10504">
        <v>-79.362300000000005</v>
      </c>
    </row>
    <row r="10505" spans="1:18" x14ac:dyDescent="0.2">
      <c r="A10505" t="s">
        <v>663</v>
      </c>
      <c r="B10505" t="s">
        <v>2263</v>
      </c>
      <c r="C10505">
        <v>1</v>
      </c>
      <c r="D10505" s="1">
        <v>44357.993807870371</v>
      </c>
      <c r="E10505" t="s">
        <v>32629</v>
      </c>
      <c r="F10505" t="s">
        <v>666</v>
      </c>
      <c r="G10505" t="s">
        <v>32630</v>
      </c>
      <c r="H10505" t="s">
        <v>667</v>
      </c>
      <c r="I10505" t="s">
        <v>29</v>
      </c>
      <c r="J10505">
        <v>1</v>
      </c>
      <c r="K10505">
        <f>1-888-396-4070</f>
        <v>-5353</v>
      </c>
      <c r="L10505" t="s">
        <v>32666</v>
      </c>
      <c r="M10505" t="s">
        <v>32632</v>
      </c>
      <c r="N10505" t="s">
        <v>5354</v>
      </c>
      <c r="O10505" t="s">
        <v>28</v>
      </c>
      <c r="P10505" t="s">
        <v>2268</v>
      </c>
      <c r="Q10505">
        <v>44</v>
      </c>
      <c r="R10505">
        <v>-79.362300000000005</v>
      </c>
    </row>
    <row r="10506" spans="1:18" x14ac:dyDescent="0.2">
      <c r="A10506" t="s">
        <v>663</v>
      </c>
      <c r="B10506" t="s">
        <v>2263</v>
      </c>
      <c r="C10506">
        <v>1</v>
      </c>
      <c r="D10506" s="1">
        <v>44357.993402777778</v>
      </c>
      <c r="E10506" t="s">
        <v>32629</v>
      </c>
      <c r="F10506" t="s">
        <v>666</v>
      </c>
      <c r="G10506" t="s">
        <v>32630</v>
      </c>
      <c r="H10506" t="s">
        <v>667</v>
      </c>
      <c r="I10506" t="s">
        <v>29</v>
      </c>
      <c r="J10506">
        <v>1</v>
      </c>
      <c r="K10506">
        <f>1-888-401-5360</f>
        <v>-6648</v>
      </c>
      <c r="L10506" t="s">
        <v>32667</v>
      </c>
      <c r="M10506" t="s">
        <v>32635</v>
      </c>
      <c r="N10506" t="s">
        <v>5354</v>
      </c>
      <c r="O10506" t="s">
        <v>28</v>
      </c>
      <c r="P10506" t="s">
        <v>2268</v>
      </c>
      <c r="Q10506">
        <v>44</v>
      </c>
      <c r="R10506">
        <v>-79.362300000000005</v>
      </c>
    </row>
    <row r="10507" spans="1:18" x14ac:dyDescent="0.2">
      <c r="A10507" t="s">
        <v>663</v>
      </c>
      <c r="B10507" t="s">
        <v>2263</v>
      </c>
      <c r="C10507">
        <v>1</v>
      </c>
      <c r="D10507" s="1">
        <v>44357.992835648147</v>
      </c>
      <c r="E10507" t="s">
        <v>32629</v>
      </c>
      <c r="F10507" t="s">
        <v>666</v>
      </c>
      <c r="G10507" t="s">
        <v>32630</v>
      </c>
      <c r="H10507" t="s">
        <v>667</v>
      </c>
      <c r="I10507" t="s">
        <v>29</v>
      </c>
      <c r="J10507">
        <v>1</v>
      </c>
      <c r="K10507">
        <f>1-844-328-9285</f>
        <v>-10456</v>
      </c>
      <c r="L10507" t="s">
        <v>32668</v>
      </c>
      <c r="M10507" t="s">
        <v>32632</v>
      </c>
      <c r="N10507" t="s">
        <v>5354</v>
      </c>
      <c r="O10507" t="s">
        <v>28</v>
      </c>
      <c r="P10507" t="s">
        <v>2268</v>
      </c>
      <c r="Q10507">
        <v>44</v>
      </c>
      <c r="R10507">
        <v>-79.362300000000005</v>
      </c>
    </row>
    <row r="10508" spans="1:18" x14ac:dyDescent="0.2">
      <c r="A10508" t="s">
        <v>663</v>
      </c>
      <c r="B10508" t="s">
        <v>2263</v>
      </c>
      <c r="C10508">
        <v>1</v>
      </c>
      <c r="D10508" s="1">
        <v>44357.992523148147</v>
      </c>
      <c r="E10508" t="s">
        <v>32629</v>
      </c>
      <c r="F10508" t="s">
        <v>666</v>
      </c>
      <c r="G10508" t="s">
        <v>32630</v>
      </c>
      <c r="H10508" t="s">
        <v>667</v>
      </c>
      <c r="I10508" t="s">
        <v>29</v>
      </c>
      <c r="J10508">
        <v>1</v>
      </c>
      <c r="K10508">
        <f>1-833-316-8067</f>
        <v>-9215</v>
      </c>
      <c r="L10508" t="s">
        <v>32669</v>
      </c>
      <c r="M10508" t="s">
        <v>32635</v>
      </c>
      <c r="N10508" t="s">
        <v>5354</v>
      </c>
      <c r="O10508" t="s">
        <v>28</v>
      </c>
      <c r="P10508" t="s">
        <v>2268</v>
      </c>
      <c r="Q10508">
        <v>44</v>
      </c>
      <c r="R10508">
        <v>-79.362300000000005</v>
      </c>
    </row>
    <row r="10509" spans="1:18" x14ac:dyDescent="0.2">
      <c r="A10509" t="s">
        <v>663</v>
      </c>
      <c r="B10509" t="s">
        <v>2263</v>
      </c>
      <c r="C10509">
        <v>1</v>
      </c>
      <c r="D10509" s="1">
        <v>44357.990439814814</v>
      </c>
      <c r="E10509" t="s">
        <v>32629</v>
      </c>
      <c r="F10509" t="s">
        <v>666</v>
      </c>
      <c r="G10509" t="s">
        <v>32630</v>
      </c>
      <c r="H10509" t="s">
        <v>667</v>
      </c>
      <c r="I10509" t="s">
        <v>29</v>
      </c>
      <c r="J10509">
        <v>1</v>
      </c>
      <c r="K10509">
        <f>1-833-403-2772</f>
        <v>-4007</v>
      </c>
      <c r="L10509" t="s">
        <v>32670</v>
      </c>
      <c r="M10509" t="s">
        <v>32632</v>
      </c>
      <c r="N10509" t="s">
        <v>5354</v>
      </c>
      <c r="O10509" t="s">
        <v>28</v>
      </c>
      <c r="P10509" t="s">
        <v>2268</v>
      </c>
      <c r="Q10509">
        <v>44</v>
      </c>
      <c r="R10509">
        <v>-79.362300000000005</v>
      </c>
    </row>
    <row r="10510" spans="1:18" x14ac:dyDescent="0.2">
      <c r="A10510" t="s">
        <v>663</v>
      </c>
      <c r="B10510" t="s">
        <v>2263</v>
      </c>
      <c r="C10510">
        <v>1</v>
      </c>
      <c r="D10510" s="1">
        <v>44357.990393518521</v>
      </c>
      <c r="E10510" t="s">
        <v>32629</v>
      </c>
      <c r="F10510" t="s">
        <v>666</v>
      </c>
      <c r="G10510" t="s">
        <v>32630</v>
      </c>
      <c r="H10510" t="s">
        <v>667</v>
      </c>
      <c r="I10510" t="s">
        <v>29</v>
      </c>
      <c r="J10510">
        <v>1</v>
      </c>
      <c r="K10510">
        <f>1-844-282-6415</f>
        <v>-7540</v>
      </c>
      <c r="L10510" t="s">
        <v>32671</v>
      </c>
      <c r="M10510" t="s">
        <v>32632</v>
      </c>
      <c r="N10510" t="s">
        <v>5354</v>
      </c>
      <c r="O10510" t="s">
        <v>28</v>
      </c>
      <c r="P10510" t="s">
        <v>2268</v>
      </c>
      <c r="Q10510">
        <v>44</v>
      </c>
      <c r="R10510">
        <v>-79.362300000000005</v>
      </c>
    </row>
    <row r="10511" spans="1:18" x14ac:dyDescent="0.2">
      <c r="A10511" t="s">
        <v>663</v>
      </c>
      <c r="B10511" t="s">
        <v>2263</v>
      </c>
      <c r="C10511">
        <v>1</v>
      </c>
      <c r="D10511" s="1">
        <v>44357.989675925928</v>
      </c>
      <c r="E10511" t="s">
        <v>32629</v>
      </c>
      <c r="F10511" t="s">
        <v>666</v>
      </c>
      <c r="G10511" t="s">
        <v>32630</v>
      </c>
      <c r="H10511" t="s">
        <v>667</v>
      </c>
      <c r="I10511" t="s">
        <v>29</v>
      </c>
      <c r="J10511">
        <v>1</v>
      </c>
      <c r="K10511">
        <f>1-844-369-9574</f>
        <v>-10786</v>
      </c>
      <c r="L10511" t="s">
        <v>32672</v>
      </c>
      <c r="M10511" t="s">
        <v>32635</v>
      </c>
      <c r="N10511" t="s">
        <v>5354</v>
      </c>
      <c r="O10511" t="s">
        <v>28</v>
      </c>
      <c r="P10511" t="s">
        <v>2268</v>
      </c>
      <c r="Q10511">
        <v>44</v>
      </c>
      <c r="R10511">
        <v>-79.362300000000005</v>
      </c>
    </row>
    <row r="10512" spans="1:18" x14ac:dyDescent="0.2">
      <c r="A10512" t="s">
        <v>663</v>
      </c>
      <c r="B10512" t="s">
        <v>2263</v>
      </c>
      <c r="C10512">
        <v>1</v>
      </c>
      <c r="D10512" s="1">
        <v>44357.989247685182</v>
      </c>
      <c r="E10512" t="s">
        <v>32629</v>
      </c>
      <c r="F10512" t="s">
        <v>666</v>
      </c>
      <c r="G10512" t="s">
        <v>32630</v>
      </c>
      <c r="H10512" t="s">
        <v>667</v>
      </c>
      <c r="I10512" t="s">
        <v>29</v>
      </c>
      <c r="J10512">
        <v>1</v>
      </c>
      <c r="K10512">
        <f>1-844-346-8964</f>
        <v>-10153</v>
      </c>
      <c r="L10512" t="s">
        <v>32673</v>
      </c>
      <c r="M10512" t="s">
        <v>32632</v>
      </c>
      <c r="N10512" t="s">
        <v>5354</v>
      </c>
      <c r="O10512" t="s">
        <v>28</v>
      </c>
      <c r="P10512" t="s">
        <v>2268</v>
      </c>
      <c r="Q10512">
        <v>44</v>
      </c>
      <c r="R10512">
        <v>-79.362300000000005</v>
      </c>
    </row>
    <row r="10513" spans="1:18" x14ac:dyDescent="0.2">
      <c r="A10513" t="s">
        <v>663</v>
      </c>
      <c r="B10513" t="s">
        <v>2263</v>
      </c>
      <c r="C10513">
        <v>1</v>
      </c>
      <c r="D10513" s="1">
        <v>44357.988668981481</v>
      </c>
      <c r="E10513" t="s">
        <v>32629</v>
      </c>
      <c r="F10513" t="s">
        <v>666</v>
      </c>
      <c r="G10513" t="s">
        <v>32630</v>
      </c>
      <c r="H10513" t="s">
        <v>667</v>
      </c>
      <c r="I10513" t="s">
        <v>29</v>
      </c>
      <c r="J10513">
        <v>1</v>
      </c>
      <c r="K10513">
        <f>1-833-256-2774</f>
        <v>-3862</v>
      </c>
      <c r="L10513" t="s">
        <v>32674</v>
      </c>
      <c r="M10513" t="s">
        <v>32632</v>
      </c>
      <c r="N10513" t="s">
        <v>5354</v>
      </c>
      <c r="O10513" t="s">
        <v>28</v>
      </c>
      <c r="P10513" t="s">
        <v>2268</v>
      </c>
      <c r="Q10513">
        <v>44</v>
      </c>
      <c r="R10513">
        <v>-79.362300000000005</v>
      </c>
    </row>
    <row r="10514" spans="1:18" x14ac:dyDescent="0.2">
      <c r="A10514" t="s">
        <v>663</v>
      </c>
      <c r="B10514" t="s">
        <v>2263</v>
      </c>
      <c r="C10514">
        <v>1</v>
      </c>
      <c r="D10514" s="1">
        <v>44357.988553240742</v>
      </c>
      <c r="E10514" t="s">
        <v>32629</v>
      </c>
      <c r="F10514" t="s">
        <v>666</v>
      </c>
      <c r="G10514" t="s">
        <v>32630</v>
      </c>
      <c r="H10514" t="s">
        <v>667</v>
      </c>
      <c r="I10514" t="s">
        <v>29</v>
      </c>
      <c r="J10514">
        <v>1</v>
      </c>
      <c r="K10514">
        <f>1-833-455-9042</f>
        <v>-10329</v>
      </c>
      <c r="L10514" t="s">
        <v>32675</v>
      </c>
      <c r="M10514" t="s">
        <v>32676</v>
      </c>
      <c r="N10514" t="s">
        <v>5354</v>
      </c>
      <c r="O10514" t="s">
        <v>28</v>
      </c>
      <c r="P10514" t="s">
        <v>2268</v>
      </c>
      <c r="Q10514">
        <v>44</v>
      </c>
      <c r="R10514">
        <v>-79.362300000000005</v>
      </c>
    </row>
    <row r="10515" spans="1:18" x14ac:dyDescent="0.2">
      <c r="A10515" t="s">
        <v>663</v>
      </c>
      <c r="B10515" t="s">
        <v>2263</v>
      </c>
      <c r="C10515">
        <v>1</v>
      </c>
      <c r="D10515" s="1">
        <v>44357.985671296294</v>
      </c>
      <c r="E10515" t="s">
        <v>32629</v>
      </c>
      <c r="F10515" t="s">
        <v>666</v>
      </c>
      <c r="G10515" t="s">
        <v>32630</v>
      </c>
      <c r="H10515" t="s">
        <v>667</v>
      </c>
      <c r="I10515" t="s">
        <v>29</v>
      </c>
      <c r="J10515">
        <v>1</v>
      </c>
      <c r="K10515">
        <f>1-844-322-8655</f>
        <v>-9820</v>
      </c>
      <c r="L10515" t="s">
        <v>32677</v>
      </c>
      <c r="M10515" t="s">
        <v>32632</v>
      </c>
      <c r="N10515" t="s">
        <v>5354</v>
      </c>
      <c r="O10515" t="s">
        <v>28</v>
      </c>
      <c r="P10515" t="s">
        <v>2268</v>
      </c>
      <c r="Q10515">
        <v>44</v>
      </c>
      <c r="R10515">
        <v>-79.362300000000005</v>
      </c>
    </row>
    <row r="10516" spans="1:18" x14ac:dyDescent="0.2">
      <c r="A10516" t="s">
        <v>663</v>
      </c>
      <c r="B10516" t="s">
        <v>2263</v>
      </c>
      <c r="C10516">
        <v>1</v>
      </c>
      <c r="D10516" s="1">
        <v>44357.985509259262</v>
      </c>
      <c r="E10516" t="s">
        <v>32629</v>
      </c>
      <c r="F10516" t="s">
        <v>666</v>
      </c>
      <c r="G10516" t="s">
        <v>32630</v>
      </c>
      <c r="H10516" t="s">
        <v>667</v>
      </c>
      <c r="I10516" t="s">
        <v>29</v>
      </c>
      <c r="J10516">
        <v>1</v>
      </c>
      <c r="K10516">
        <f>1-833-213-439</f>
        <v>-1484</v>
      </c>
      <c r="L10516" t="s">
        <v>32678</v>
      </c>
      <c r="M10516" t="s">
        <v>32632</v>
      </c>
      <c r="N10516" t="s">
        <v>5354</v>
      </c>
      <c r="O10516" t="s">
        <v>28</v>
      </c>
      <c r="P10516" t="s">
        <v>2268</v>
      </c>
      <c r="Q10516">
        <v>44</v>
      </c>
      <c r="R10516">
        <v>-79.362300000000005</v>
      </c>
    </row>
    <row r="10517" spans="1:18" x14ac:dyDescent="0.2">
      <c r="A10517" t="s">
        <v>663</v>
      </c>
      <c r="B10517" t="s">
        <v>2263</v>
      </c>
      <c r="C10517">
        <v>1</v>
      </c>
      <c r="D10517" s="1">
        <v>44357.985451388886</v>
      </c>
      <c r="E10517" t="s">
        <v>32629</v>
      </c>
      <c r="F10517" t="s">
        <v>666</v>
      </c>
      <c r="G10517" t="s">
        <v>32630</v>
      </c>
      <c r="H10517" t="s">
        <v>667</v>
      </c>
      <c r="I10517" t="s">
        <v>29</v>
      </c>
      <c r="J10517">
        <v>1</v>
      </c>
      <c r="K10517">
        <f>1-888-301-232</f>
        <v>-1420</v>
      </c>
      <c r="L10517" t="s">
        <v>32679</v>
      </c>
      <c r="M10517" t="s">
        <v>32632</v>
      </c>
      <c r="N10517" t="s">
        <v>5354</v>
      </c>
      <c r="O10517" t="s">
        <v>28</v>
      </c>
      <c r="P10517" t="s">
        <v>2268</v>
      </c>
      <c r="Q10517">
        <v>44</v>
      </c>
      <c r="R10517">
        <v>-79.362300000000005</v>
      </c>
    </row>
    <row r="10518" spans="1:18" x14ac:dyDescent="0.2">
      <c r="A10518" t="s">
        <v>663</v>
      </c>
      <c r="B10518" t="s">
        <v>2263</v>
      </c>
      <c r="C10518">
        <v>1</v>
      </c>
      <c r="D10518" s="1">
        <v>44357.985324074078</v>
      </c>
      <c r="E10518" t="s">
        <v>32629</v>
      </c>
      <c r="F10518" t="s">
        <v>666</v>
      </c>
      <c r="G10518" t="s">
        <v>32630</v>
      </c>
      <c r="H10518" t="s">
        <v>667</v>
      </c>
      <c r="I10518" t="s">
        <v>29</v>
      </c>
      <c r="J10518">
        <v>1</v>
      </c>
      <c r="K10518">
        <f>1-888-397-7703</f>
        <v>-8987</v>
      </c>
      <c r="L10518" t="s">
        <v>32680</v>
      </c>
      <c r="M10518" t="s">
        <v>32632</v>
      </c>
      <c r="N10518" t="s">
        <v>5354</v>
      </c>
      <c r="O10518" t="s">
        <v>28</v>
      </c>
      <c r="P10518" t="s">
        <v>2268</v>
      </c>
      <c r="Q10518">
        <v>44</v>
      </c>
      <c r="R10518">
        <v>-79.362300000000005</v>
      </c>
    </row>
    <row r="10519" spans="1:18" x14ac:dyDescent="0.2">
      <c r="A10519" t="s">
        <v>663</v>
      </c>
      <c r="B10519" t="s">
        <v>2263</v>
      </c>
      <c r="C10519">
        <v>1</v>
      </c>
      <c r="D10519" s="1">
        <v>44357.982824074075</v>
      </c>
      <c r="E10519" t="s">
        <v>32629</v>
      </c>
      <c r="F10519" t="s">
        <v>666</v>
      </c>
      <c r="G10519" t="s">
        <v>32630</v>
      </c>
      <c r="H10519" t="s">
        <v>667</v>
      </c>
      <c r="I10519" t="s">
        <v>29</v>
      </c>
      <c r="J10519">
        <v>1</v>
      </c>
      <c r="K10519">
        <f>1-844-346-8964</f>
        <v>-10153</v>
      </c>
      <c r="L10519" t="s">
        <v>32681</v>
      </c>
      <c r="M10519" t="s">
        <v>32632</v>
      </c>
      <c r="N10519" t="s">
        <v>5354</v>
      </c>
      <c r="O10519" t="s">
        <v>28</v>
      </c>
      <c r="P10519" t="s">
        <v>2268</v>
      </c>
      <c r="Q10519">
        <v>44</v>
      </c>
      <c r="R10519">
        <v>-79.362300000000005</v>
      </c>
    </row>
    <row r="10520" spans="1:18" x14ac:dyDescent="0.2">
      <c r="A10520" t="s">
        <v>663</v>
      </c>
      <c r="B10520" t="s">
        <v>2263</v>
      </c>
      <c r="C10520">
        <v>1</v>
      </c>
      <c r="D10520" s="1">
        <v>44357.98269675926</v>
      </c>
      <c r="E10520" t="s">
        <v>32629</v>
      </c>
      <c r="F10520" t="s">
        <v>666</v>
      </c>
      <c r="G10520" t="s">
        <v>32630</v>
      </c>
      <c r="H10520" t="s">
        <v>667</v>
      </c>
      <c r="I10520" t="s">
        <v>29</v>
      </c>
      <c r="J10520">
        <v>1</v>
      </c>
      <c r="K10520">
        <f>1-888-358-364</f>
        <v>-1609</v>
      </c>
      <c r="L10520" t="s">
        <v>32682</v>
      </c>
      <c r="M10520" t="s">
        <v>32632</v>
      </c>
      <c r="N10520" t="s">
        <v>5354</v>
      </c>
      <c r="O10520" t="s">
        <v>28</v>
      </c>
      <c r="P10520" t="s">
        <v>2268</v>
      </c>
      <c r="Q10520">
        <v>44</v>
      </c>
      <c r="R10520">
        <v>-79.362300000000005</v>
      </c>
    </row>
    <row r="10521" spans="1:18" x14ac:dyDescent="0.2">
      <c r="A10521" t="s">
        <v>663</v>
      </c>
      <c r="B10521" t="s">
        <v>2263</v>
      </c>
      <c r="C10521">
        <v>1</v>
      </c>
      <c r="D10521" s="1">
        <v>44357.982210648152</v>
      </c>
      <c r="E10521" t="s">
        <v>32629</v>
      </c>
      <c r="F10521" t="s">
        <v>666</v>
      </c>
      <c r="G10521" t="s">
        <v>32630</v>
      </c>
      <c r="H10521" t="s">
        <v>667</v>
      </c>
      <c r="I10521" t="s">
        <v>29</v>
      </c>
      <c r="J10521">
        <v>1</v>
      </c>
      <c r="K10521">
        <f>1-888-334-1291</f>
        <v>-2512</v>
      </c>
      <c r="L10521" t="s">
        <v>32683</v>
      </c>
      <c r="M10521" t="s">
        <v>32632</v>
      </c>
      <c r="N10521" t="s">
        <v>5354</v>
      </c>
      <c r="O10521" t="s">
        <v>28</v>
      </c>
      <c r="P10521" t="s">
        <v>2268</v>
      </c>
      <c r="Q10521">
        <v>44</v>
      </c>
      <c r="R10521">
        <v>-79.362300000000005</v>
      </c>
    </row>
    <row r="10522" spans="1:18" x14ac:dyDescent="0.2">
      <c r="A10522" t="s">
        <v>663</v>
      </c>
      <c r="B10522" t="s">
        <v>2263</v>
      </c>
      <c r="C10522">
        <v>1</v>
      </c>
      <c r="D10522" s="1">
        <v>44357.981828703705</v>
      </c>
      <c r="E10522" t="s">
        <v>32629</v>
      </c>
      <c r="F10522" t="s">
        <v>666</v>
      </c>
      <c r="G10522" t="s">
        <v>32630</v>
      </c>
      <c r="H10522" t="s">
        <v>667</v>
      </c>
      <c r="I10522" t="s">
        <v>29</v>
      </c>
      <c r="J10522">
        <v>1</v>
      </c>
      <c r="K10522">
        <f>1-888-397-743</f>
        <v>-2027</v>
      </c>
      <c r="L10522" t="s">
        <v>32684</v>
      </c>
      <c r="M10522" t="s">
        <v>32632</v>
      </c>
      <c r="N10522" t="s">
        <v>5354</v>
      </c>
      <c r="O10522" t="s">
        <v>28</v>
      </c>
      <c r="P10522" t="s">
        <v>2268</v>
      </c>
      <c r="Q10522">
        <v>44</v>
      </c>
      <c r="R10522">
        <v>-79.362300000000005</v>
      </c>
    </row>
    <row r="10523" spans="1:18" x14ac:dyDescent="0.2">
      <c r="A10523" t="s">
        <v>663</v>
      </c>
      <c r="B10523" t="s">
        <v>2263</v>
      </c>
      <c r="C10523">
        <v>1</v>
      </c>
      <c r="D10523" s="1">
        <v>44357.981736111113</v>
      </c>
      <c r="E10523" t="s">
        <v>32629</v>
      </c>
      <c r="F10523" t="s">
        <v>666</v>
      </c>
      <c r="G10523" t="s">
        <v>32630</v>
      </c>
      <c r="H10523" t="s">
        <v>667</v>
      </c>
      <c r="I10523" t="s">
        <v>29</v>
      </c>
      <c r="J10523">
        <v>1</v>
      </c>
      <c r="K10523">
        <f>1-844-216-9384</f>
        <v>-10443</v>
      </c>
      <c r="L10523" t="s">
        <v>32685</v>
      </c>
      <c r="M10523" t="s">
        <v>32632</v>
      </c>
      <c r="N10523" t="s">
        <v>5354</v>
      </c>
      <c r="O10523" t="s">
        <v>28</v>
      </c>
      <c r="P10523" t="s">
        <v>2268</v>
      </c>
      <c r="Q10523">
        <v>44</v>
      </c>
      <c r="R10523">
        <v>-79.362300000000005</v>
      </c>
    </row>
    <row r="10524" spans="1:18" x14ac:dyDescent="0.2">
      <c r="A10524" t="s">
        <v>663</v>
      </c>
      <c r="B10524" t="s">
        <v>2263</v>
      </c>
      <c r="C10524">
        <v>1</v>
      </c>
      <c r="D10524" s="1">
        <v>44357.981493055559</v>
      </c>
      <c r="E10524" t="s">
        <v>32629</v>
      </c>
      <c r="F10524" t="s">
        <v>666</v>
      </c>
      <c r="G10524" t="s">
        <v>32630</v>
      </c>
      <c r="H10524" t="s">
        <v>667</v>
      </c>
      <c r="I10524" t="s">
        <v>29</v>
      </c>
      <c r="J10524">
        <v>1</v>
      </c>
      <c r="K10524">
        <f>1-888-301-232</f>
        <v>-1420</v>
      </c>
      <c r="L10524" t="s">
        <v>32686</v>
      </c>
      <c r="M10524" t="s">
        <v>32632</v>
      </c>
      <c r="N10524" t="s">
        <v>5354</v>
      </c>
      <c r="O10524" t="s">
        <v>28</v>
      </c>
      <c r="P10524" t="s">
        <v>2268</v>
      </c>
      <c r="Q10524">
        <v>44</v>
      </c>
      <c r="R10524">
        <v>-79.362300000000005</v>
      </c>
    </row>
    <row r="10525" spans="1:18" x14ac:dyDescent="0.2">
      <c r="A10525" t="s">
        <v>663</v>
      </c>
      <c r="B10525" t="s">
        <v>2263</v>
      </c>
      <c r="C10525">
        <v>1</v>
      </c>
      <c r="D10525" s="1">
        <v>44357.98128472222</v>
      </c>
      <c r="E10525" t="s">
        <v>32629</v>
      </c>
      <c r="F10525" t="s">
        <v>666</v>
      </c>
      <c r="G10525" t="s">
        <v>32630</v>
      </c>
      <c r="H10525" t="s">
        <v>667</v>
      </c>
      <c r="I10525" t="s">
        <v>29</v>
      </c>
      <c r="J10525">
        <v>1</v>
      </c>
      <c r="K10525">
        <f>1-888-441-3254</f>
        <v>-4582</v>
      </c>
      <c r="L10525" t="s">
        <v>32687</v>
      </c>
      <c r="M10525" t="s">
        <v>32632</v>
      </c>
      <c r="N10525" t="s">
        <v>5354</v>
      </c>
      <c r="O10525" t="s">
        <v>28</v>
      </c>
      <c r="P10525" t="s">
        <v>2268</v>
      </c>
      <c r="Q10525">
        <v>44</v>
      </c>
      <c r="R10525">
        <v>-79.362300000000005</v>
      </c>
    </row>
    <row r="10526" spans="1:18" x14ac:dyDescent="0.2">
      <c r="A10526" t="s">
        <v>663</v>
      </c>
      <c r="B10526" t="s">
        <v>2263</v>
      </c>
      <c r="C10526">
        <v>1</v>
      </c>
      <c r="D10526" s="1">
        <v>44357.981041666666</v>
      </c>
      <c r="E10526" t="s">
        <v>32629</v>
      </c>
      <c r="F10526" t="s">
        <v>666</v>
      </c>
      <c r="G10526" t="s">
        <v>32630</v>
      </c>
      <c r="H10526" t="s">
        <v>667</v>
      </c>
      <c r="I10526" t="s">
        <v>29</v>
      </c>
      <c r="J10526">
        <v>1</v>
      </c>
      <c r="K10526">
        <f>1-888-372-1013</f>
        <v>-2272</v>
      </c>
      <c r="L10526" t="s">
        <v>32688</v>
      </c>
      <c r="M10526" t="s">
        <v>32632</v>
      </c>
      <c r="N10526" t="s">
        <v>5354</v>
      </c>
      <c r="O10526" t="s">
        <v>28</v>
      </c>
      <c r="P10526" t="s">
        <v>2268</v>
      </c>
      <c r="Q10526">
        <v>44</v>
      </c>
      <c r="R10526">
        <v>-79.362300000000005</v>
      </c>
    </row>
    <row r="10527" spans="1:18" x14ac:dyDescent="0.2">
      <c r="A10527" t="s">
        <v>663</v>
      </c>
      <c r="B10527" t="s">
        <v>2263</v>
      </c>
      <c r="C10527">
        <v>1</v>
      </c>
      <c r="D10527" s="1">
        <v>44357.980810185189</v>
      </c>
      <c r="E10527" t="s">
        <v>32629</v>
      </c>
      <c r="F10527" t="s">
        <v>666</v>
      </c>
      <c r="G10527" t="s">
        <v>32630</v>
      </c>
      <c r="H10527" t="s">
        <v>667</v>
      </c>
      <c r="I10527" t="s">
        <v>29</v>
      </c>
      <c r="J10527">
        <v>1</v>
      </c>
      <c r="K10527">
        <f>1-844-312-7859</f>
        <v>-9014</v>
      </c>
      <c r="L10527" t="s">
        <v>32689</v>
      </c>
      <c r="M10527" t="s">
        <v>32632</v>
      </c>
      <c r="N10527" t="s">
        <v>5354</v>
      </c>
      <c r="O10527" t="s">
        <v>28</v>
      </c>
      <c r="P10527" t="s">
        <v>2268</v>
      </c>
      <c r="Q10527">
        <v>44</v>
      </c>
      <c r="R10527">
        <v>-79.362300000000005</v>
      </c>
    </row>
    <row r="10528" spans="1:18" x14ac:dyDescent="0.2">
      <c r="A10528" t="s">
        <v>663</v>
      </c>
      <c r="B10528" t="s">
        <v>2263</v>
      </c>
      <c r="C10528">
        <v>1</v>
      </c>
      <c r="D10528" s="1">
        <v>44357.980532407404</v>
      </c>
      <c r="E10528" t="s">
        <v>32629</v>
      </c>
      <c r="F10528" t="s">
        <v>666</v>
      </c>
      <c r="G10528" t="s">
        <v>32630</v>
      </c>
      <c r="H10528" t="s">
        <v>667</v>
      </c>
      <c r="I10528" t="s">
        <v>29</v>
      </c>
      <c r="J10528">
        <v>1</v>
      </c>
      <c r="K10528">
        <f>1-888-521-1948</f>
        <v>-3356</v>
      </c>
      <c r="L10528" t="s">
        <v>32690</v>
      </c>
      <c r="M10528" t="s">
        <v>32632</v>
      </c>
      <c r="N10528" t="s">
        <v>5354</v>
      </c>
      <c r="O10528" t="s">
        <v>28</v>
      </c>
      <c r="P10528" t="s">
        <v>2268</v>
      </c>
      <c r="Q10528">
        <v>44</v>
      </c>
      <c r="R10528">
        <v>-79.362300000000005</v>
      </c>
    </row>
    <row r="10529" spans="1:18" x14ac:dyDescent="0.2">
      <c r="A10529" t="s">
        <v>663</v>
      </c>
      <c r="B10529" t="s">
        <v>2263</v>
      </c>
      <c r="C10529">
        <v>1</v>
      </c>
      <c r="D10529" s="1">
        <v>44357.980312500003</v>
      </c>
      <c r="E10529" t="s">
        <v>32629</v>
      </c>
      <c r="F10529" t="s">
        <v>666</v>
      </c>
      <c r="G10529" t="s">
        <v>32630</v>
      </c>
      <c r="H10529" t="s">
        <v>667</v>
      </c>
      <c r="I10529" t="s">
        <v>29</v>
      </c>
      <c r="J10529">
        <v>1</v>
      </c>
      <c r="K10529">
        <f>1-833-253-360</f>
        <v>-1445</v>
      </c>
      <c r="L10529" t="s">
        <v>32691</v>
      </c>
      <c r="M10529" t="s">
        <v>32632</v>
      </c>
      <c r="N10529" t="s">
        <v>5354</v>
      </c>
      <c r="O10529" t="s">
        <v>28</v>
      </c>
      <c r="P10529" t="s">
        <v>2268</v>
      </c>
      <c r="Q10529">
        <v>44</v>
      </c>
      <c r="R10529">
        <v>-79.362300000000005</v>
      </c>
    </row>
    <row r="10530" spans="1:18" x14ac:dyDescent="0.2">
      <c r="A10530" t="s">
        <v>663</v>
      </c>
      <c r="B10530" t="s">
        <v>2263</v>
      </c>
      <c r="C10530">
        <v>1</v>
      </c>
      <c r="D10530" s="1">
        <v>44357.980081018519</v>
      </c>
      <c r="E10530" t="s">
        <v>32629</v>
      </c>
      <c r="F10530" t="s">
        <v>666</v>
      </c>
      <c r="G10530" t="s">
        <v>32630</v>
      </c>
      <c r="H10530" t="s">
        <v>667</v>
      </c>
      <c r="I10530" t="s">
        <v>29</v>
      </c>
      <c r="J10530">
        <v>1</v>
      </c>
      <c r="K10530">
        <f>1-888-384-584</f>
        <v>-1855</v>
      </c>
      <c r="L10530" t="s">
        <v>32692</v>
      </c>
      <c r="M10530" t="s">
        <v>32632</v>
      </c>
      <c r="N10530" t="s">
        <v>5354</v>
      </c>
      <c r="O10530" t="s">
        <v>28</v>
      </c>
      <c r="P10530" t="s">
        <v>2268</v>
      </c>
      <c r="Q10530">
        <v>44</v>
      </c>
      <c r="R10530">
        <v>-79.362300000000005</v>
      </c>
    </row>
    <row r="10531" spans="1:18" x14ac:dyDescent="0.2">
      <c r="A10531" t="s">
        <v>663</v>
      </c>
      <c r="B10531" t="s">
        <v>2263</v>
      </c>
      <c r="C10531">
        <v>1</v>
      </c>
      <c r="D10531" s="1">
        <v>44357.979861111111</v>
      </c>
      <c r="E10531" t="s">
        <v>32629</v>
      </c>
      <c r="F10531" t="s">
        <v>666</v>
      </c>
      <c r="G10531" t="s">
        <v>32630</v>
      </c>
      <c r="H10531" t="s">
        <v>667</v>
      </c>
      <c r="I10531" t="s">
        <v>29</v>
      </c>
      <c r="J10531">
        <v>1</v>
      </c>
      <c r="K10531">
        <f>1-888-604-5123</f>
        <v>-6614</v>
      </c>
      <c r="L10531" t="s">
        <v>32693</v>
      </c>
      <c r="M10531" t="s">
        <v>32632</v>
      </c>
      <c r="N10531" t="s">
        <v>5354</v>
      </c>
      <c r="O10531" t="s">
        <v>28</v>
      </c>
      <c r="P10531" t="s">
        <v>2268</v>
      </c>
      <c r="Q10531">
        <v>44</v>
      </c>
      <c r="R10531">
        <v>-79.362300000000005</v>
      </c>
    </row>
    <row r="10532" spans="1:18" x14ac:dyDescent="0.2">
      <c r="A10532" t="s">
        <v>663</v>
      </c>
      <c r="B10532" t="s">
        <v>2263</v>
      </c>
      <c r="C10532">
        <v>1</v>
      </c>
      <c r="D10532" s="1">
        <v>44357.979756944442</v>
      </c>
      <c r="E10532" t="s">
        <v>32629</v>
      </c>
      <c r="F10532" t="s">
        <v>666</v>
      </c>
      <c r="G10532" t="s">
        <v>32630</v>
      </c>
      <c r="H10532" t="s">
        <v>667</v>
      </c>
      <c r="I10532" t="s">
        <v>29</v>
      </c>
      <c r="J10532">
        <v>1</v>
      </c>
      <c r="K10532">
        <f>1-844-227-2067</f>
        <v>-3137</v>
      </c>
      <c r="L10532" t="s">
        <v>32694</v>
      </c>
      <c r="M10532" t="s">
        <v>32632</v>
      </c>
      <c r="N10532" t="s">
        <v>5354</v>
      </c>
      <c r="O10532" t="s">
        <v>28</v>
      </c>
      <c r="P10532" t="s">
        <v>2268</v>
      </c>
      <c r="Q10532">
        <v>44</v>
      </c>
      <c r="R10532">
        <v>-79.362300000000005</v>
      </c>
    </row>
    <row r="10533" spans="1:18" x14ac:dyDescent="0.2">
      <c r="A10533" t="s">
        <v>663</v>
      </c>
      <c r="B10533" t="s">
        <v>2263</v>
      </c>
      <c r="C10533">
        <v>1</v>
      </c>
      <c r="D10533" s="1">
        <v>44357.979629629626</v>
      </c>
      <c r="E10533" t="s">
        <v>32629</v>
      </c>
      <c r="F10533" t="s">
        <v>666</v>
      </c>
      <c r="G10533" t="s">
        <v>32630</v>
      </c>
      <c r="H10533" t="s">
        <v>667</v>
      </c>
      <c r="I10533" t="s">
        <v>29</v>
      </c>
      <c r="J10533">
        <v>1</v>
      </c>
      <c r="K10533">
        <f>1-888-597-1384</f>
        <v>-2868</v>
      </c>
      <c r="L10533" t="s">
        <v>32695</v>
      </c>
      <c r="M10533" t="s">
        <v>32632</v>
      </c>
      <c r="N10533" t="s">
        <v>5354</v>
      </c>
      <c r="O10533" t="s">
        <v>28</v>
      </c>
      <c r="P10533" t="s">
        <v>2268</v>
      </c>
      <c r="Q10533">
        <v>44</v>
      </c>
      <c r="R10533">
        <v>-79.362300000000005</v>
      </c>
    </row>
    <row r="10534" spans="1:18" x14ac:dyDescent="0.2">
      <c r="A10534" t="s">
        <v>663</v>
      </c>
      <c r="B10534" t="s">
        <v>2263</v>
      </c>
      <c r="C10534">
        <v>1</v>
      </c>
      <c r="D10534" s="1">
        <v>44357.979386574072</v>
      </c>
      <c r="E10534" t="s">
        <v>32629</v>
      </c>
      <c r="F10534" t="s">
        <v>666</v>
      </c>
      <c r="G10534" t="s">
        <v>32630</v>
      </c>
      <c r="H10534" t="s">
        <v>667</v>
      </c>
      <c r="I10534" t="s">
        <v>29</v>
      </c>
      <c r="J10534">
        <v>1</v>
      </c>
      <c r="K10534">
        <f>1-888-364-4655</f>
        <v>-5906</v>
      </c>
      <c r="L10534" t="s">
        <v>32696</v>
      </c>
      <c r="M10534" t="s">
        <v>32632</v>
      </c>
      <c r="N10534" t="s">
        <v>5354</v>
      </c>
      <c r="O10534" t="s">
        <v>28</v>
      </c>
      <c r="P10534" t="s">
        <v>2268</v>
      </c>
      <c r="Q10534">
        <v>44</v>
      </c>
      <c r="R10534">
        <v>-79.362300000000005</v>
      </c>
    </row>
    <row r="10535" spans="1:18" x14ac:dyDescent="0.2">
      <c r="A10535" t="s">
        <v>663</v>
      </c>
      <c r="B10535" t="s">
        <v>2263</v>
      </c>
      <c r="C10535">
        <v>1</v>
      </c>
      <c r="D10535" s="1">
        <v>44357.979143518518</v>
      </c>
      <c r="E10535" t="s">
        <v>32629</v>
      </c>
      <c r="F10535" t="s">
        <v>666</v>
      </c>
      <c r="G10535" t="s">
        <v>32630</v>
      </c>
      <c r="H10535" t="s">
        <v>667</v>
      </c>
      <c r="I10535" t="s">
        <v>29</v>
      </c>
      <c r="J10535">
        <v>1</v>
      </c>
      <c r="K10535">
        <f>1-844-351-3262</f>
        <v>-4456</v>
      </c>
      <c r="L10535" t="s">
        <v>32697</v>
      </c>
      <c r="M10535" t="s">
        <v>32632</v>
      </c>
      <c r="N10535" t="s">
        <v>5354</v>
      </c>
      <c r="O10535" t="s">
        <v>28</v>
      </c>
      <c r="P10535" t="s">
        <v>2268</v>
      </c>
      <c r="Q10535">
        <v>44</v>
      </c>
      <c r="R10535">
        <v>-79.362300000000005</v>
      </c>
    </row>
    <row r="10536" spans="1:18" x14ac:dyDescent="0.2">
      <c r="A10536" t="s">
        <v>663</v>
      </c>
      <c r="B10536" t="s">
        <v>2263</v>
      </c>
      <c r="C10536">
        <v>1</v>
      </c>
      <c r="D10536" s="1">
        <v>44357.978900462964</v>
      </c>
      <c r="E10536" t="s">
        <v>32629</v>
      </c>
      <c r="F10536" t="s">
        <v>666</v>
      </c>
      <c r="G10536" t="s">
        <v>32630</v>
      </c>
      <c r="H10536" t="s">
        <v>667</v>
      </c>
      <c r="I10536" t="s">
        <v>29</v>
      </c>
      <c r="J10536">
        <v>1</v>
      </c>
      <c r="K10536">
        <f>1-888-368-6681</f>
        <v>-7936</v>
      </c>
      <c r="L10536" t="s">
        <v>32698</v>
      </c>
      <c r="M10536" t="s">
        <v>32632</v>
      </c>
      <c r="N10536" t="s">
        <v>5354</v>
      </c>
      <c r="O10536" t="s">
        <v>28</v>
      </c>
      <c r="P10536" t="s">
        <v>2268</v>
      </c>
      <c r="Q10536">
        <v>44</v>
      </c>
      <c r="R10536">
        <v>-79.362300000000005</v>
      </c>
    </row>
    <row r="10537" spans="1:18" x14ac:dyDescent="0.2">
      <c r="A10537" t="s">
        <v>663</v>
      </c>
      <c r="B10537" t="s">
        <v>2263</v>
      </c>
      <c r="C10537">
        <v>1</v>
      </c>
      <c r="D10537" s="1">
        <v>44357.97861111111</v>
      </c>
      <c r="E10537" t="s">
        <v>32629</v>
      </c>
      <c r="F10537" t="s">
        <v>666</v>
      </c>
      <c r="G10537" t="s">
        <v>32630</v>
      </c>
      <c r="H10537" t="s">
        <v>667</v>
      </c>
      <c r="I10537" t="s">
        <v>29</v>
      </c>
      <c r="J10537">
        <v>1</v>
      </c>
      <c r="K10537">
        <f>1-888-605-358</f>
        <v>-1850</v>
      </c>
      <c r="L10537" t="s">
        <v>32699</v>
      </c>
      <c r="M10537" t="s">
        <v>32632</v>
      </c>
      <c r="N10537" t="s">
        <v>5354</v>
      </c>
      <c r="O10537" t="s">
        <v>28</v>
      </c>
      <c r="P10537" t="s">
        <v>2268</v>
      </c>
      <c r="Q10537">
        <v>44</v>
      </c>
      <c r="R10537">
        <v>-79.362300000000005</v>
      </c>
    </row>
    <row r="10538" spans="1:18" x14ac:dyDescent="0.2">
      <c r="A10538" t="s">
        <v>663</v>
      </c>
      <c r="B10538" t="s">
        <v>2263</v>
      </c>
      <c r="C10538">
        <v>1</v>
      </c>
      <c r="D10538" s="1">
        <v>44357.978402777779</v>
      </c>
      <c r="E10538" t="s">
        <v>32629</v>
      </c>
      <c r="F10538" t="s">
        <v>666</v>
      </c>
      <c r="G10538" t="s">
        <v>32630</v>
      </c>
      <c r="H10538" t="s">
        <v>667</v>
      </c>
      <c r="I10538" t="s">
        <v>29</v>
      </c>
      <c r="J10538">
        <v>1</v>
      </c>
      <c r="K10538">
        <f>1-844-389-9303</f>
        <v>-10535</v>
      </c>
      <c r="L10538" t="s">
        <v>32700</v>
      </c>
      <c r="M10538" t="s">
        <v>32632</v>
      </c>
      <c r="N10538" t="s">
        <v>5354</v>
      </c>
      <c r="O10538" t="s">
        <v>28</v>
      </c>
      <c r="P10538" t="s">
        <v>2268</v>
      </c>
      <c r="Q10538">
        <v>44</v>
      </c>
      <c r="R10538">
        <v>-79.362300000000005</v>
      </c>
    </row>
    <row r="10539" spans="1:18" x14ac:dyDescent="0.2">
      <c r="A10539" t="s">
        <v>663</v>
      </c>
      <c r="B10539" t="s">
        <v>2263</v>
      </c>
      <c r="C10539">
        <v>1</v>
      </c>
      <c r="D10539" s="1">
        <v>44357.978194444448</v>
      </c>
      <c r="E10539" t="s">
        <v>32629</v>
      </c>
      <c r="F10539" t="s">
        <v>666</v>
      </c>
      <c r="G10539" t="s">
        <v>32630</v>
      </c>
      <c r="H10539" t="s">
        <v>667</v>
      </c>
      <c r="I10539" t="s">
        <v>29</v>
      </c>
      <c r="J10539">
        <v>1</v>
      </c>
      <c r="K10539">
        <f>1-888-382-8075</f>
        <v>-9344</v>
      </c>
      <c r="L10539" t="s">
        <v>32701</v>
      </c>
      <c r="M10539" t="s">
        <v>32632</v>
      </c>
      <c r="N10539" t="s">
        <v>5354</v>
      </c>
      <c r="O10539" t="s">
        <v>28</v>
      </c>
      <c r="P10539" t="s">
        <v>2268</v>
      </c>
      <c r="Q10539">
        <v>44</v>
      </c>
      <c r="R10539">
        <v>-79.362300000000005</v>
      </c>
    </row>
    <row r="10540" spans="1:18" x14ac:dyDescent="0.2">
      <c r="A10540" t="s">
        <v>663</v>
      </c>
      <c r="B10540" t="s">
        <v>2263</v>
      </c>
      <c r="C10540">
        <v>1</v>
      </c>
      <c r="D10540" s="1">
        <v>44357.977951388886</v>
      </c>
      <c r="E10540" t="s">
        <v>32629</v>
      </c>
      <c r="F10540" t="s">
        <v>666</v>
      </c>
      <c r="G10540" t="s">
        <v>32630</v>
      </c>
      <c r="H10540" t="s">
        <v>667</v>
      </c>
      <c r="I10540" t="s">
        <v>29</v>
      </c>
      <c r="J10540">
        <v>1</v>
      </c>
      <c r="K10540">
        <f>1-844-285-2493</f>
        <v>-3621</v>
      </c>
      <c r="L10540" t="s">
        <v>32702</v>
      </c>
      <c r="M10540" t="s">
        <v>32632</v>
      </c>
      <c r="N10540" t="s">
        <v>5354</v>
      </c>
      <c r="O10540" t="s">
        <v>28</v>
      </c>
      <c r="P10540" t="s">
        <v>2268</v>
      </c>
      <c r="Q10540">
        <v>44</v>
      </c>
      <c r="R10540">
        <v>-79.362300000000005</v>
      </c>
    </row>
    <row r="10541" spans="1:18" x14ac:dyDescent="0.2">
      <c r="A10541" t="s">
        <v>439</v>
      </c>
      <c r="B10541" t="s">
        <v>4321</v>
      </c>
      <c r="C10541">
        <v>1</v>
      </c>
      <c r="D10541" s="1">
        <v>44361.753379629627</v>
      </c>
      <c r="E10541" t="s">
        <v>32703</v>
      </c>
      <c r="F10541" t="s">
        <v>442</v>
      </c>
      <c r="G10541" t="s">
        <v>32704</v>
      </c>
      <c r="H10541" t="s">
        <v>444</v>
      </c>
      <c r="I10541" t="s">
        <v>29</v>
      </c>
      <c r="J10541">
        <v>1</v>
      </c>
      <c r="K10541">
        <f>1-888-786-4714</f>
        <v>-6387</v>
      </c>
      <c r="L10541" t="s">
        <v>32705</v>
      </c>
      <c r="M10541" t="s">
        <v>32706</v>
      </c>
      <c r="N10541" t="s">
        <v>5354</v>
      </c>
      <c r="O10541" t="s">
        <v>28</v>
      </c>
      <c r="P10541" t="s">
        <v>29</v>
      </c>
      <c r="Q10541">
        <v>42</v>
      </c>
      <c r="R10541">
        <v>-87.629800000000003</v>
      </c>
    </row>
    <row r="10542" spans="1:18" x14ac:dyDescent="0.2">
      <c r="A10542" t="s">
        <v>439</v>
      </c>
      <c r="B10542" t="s">
        <v>4321</v>
      </c>
      <c r="C10542">
        <v>1</v>
      </c>
      <c r="D10542" s="1">
        <v>44361.753159722219</v>
      </c>
      <c r="E10542" t="s">
        <v>32703</v>
      </c>
      <c r="F10542" t="s">
        <v>442</v>
      </c>
      <c r="G10542" t="s">
        <v>32704</v>
      </c>
      <c r="H10542" t="s">
        <v>444</v>
      </c>
      <c r="I10542" t="s">
        <v>29</v>
      </c>
      <c r="J10542">
        <v>1</v>
      </c>
      <c r="K10542">
        <f>1-888-786-4549</f>
        <v>-6222</v>
      </c>
      <c r="L10542" t="s">
        <v>32707</v>
      </c>
      <c r="M10542" t="s">
        <v>32708</v>
      </c>
      <c r="N10542" t="s">
        <v>5354</v>
      </c>
      <c r="O10542" t="s">
        <v>28</v>
      </c>
      <c r="P10542" t="s">
        <v>29</v>
      </c>
      <c r="Q10542">
        <v>42</v>
      </c>
      <c r="R10542">
        <v>-87.629800000000003</v>
      </c>
    </row>
    <row r="10543" spans="1:18" x14ac:dyDescent="0.2">
      <c r="A10543" t="s">
        <v>439</v>
      </c>
      <c r="B10543" t="s">
        <v>4321</v>
      </c>
      <c r="C10543">
        <v>1</v>
      </c>
      <c r="D10543" s="1">
        <v>44361.752824074072</v>
      </c>
      <c r="E10543" t="s">
        <v>32703</v>
      </c>
      <c r="F10543" t="s">
        <v>442</v>
      </c>
      <c r="G10543" t="s">
        <v>32704</v>
      </c>
      <c r="H10543" t="s">
        <v>444</v>
      </c>
      <c r="I10543" t="s">
        <v>29</v>
      </c>
      <c r="J10543">
        <v>1</v>
      </c>
      <c r="K10543">
        <f>1-844-858-7749</f>
        <v>-9450</v>
      </c>
      <c r="L10543" t="s">
        <v>32709</v>
      </c>
      <c r="M10543" t="s">
        <v>32710</v>
      </c>
      <c r="N10543" t="s">
        <v>5354</v>
      </c>
      <c r="O10543" t="s">
        <v>28</v>
      </c>
      <c r="P10543" t="s">
        <v>29</v>
      </c>
      <c r="Q10543">
        <v>42</v>
      </c>
      <c r="R10543">
        <v>-87.629800000000003</v>
      </c>
    </row>
    <row r="10544" spans="1:18" x14ac:dyDescent="0.2">
      <c r="A10544" t="s">
        <v>439</v>
      </c>
      <c r="B10544" t="s">
        <v>4321</v>
      </c>
      <c r="C10544">
        <v>1</v>
      </c>
      <c r="D10544" s="1">
        <v>44361.752581018518</v>
      </c>
      <c r="E10544" t="s">
        <v>32703</v>
      </c>
      <c r="F10544" t="s">
        <v>442</v>
      </c>
      <c r="G10544" t="s">
        <v>32704</v>
      </c>
      <c r="H10544" t="s">
        <v>444</v>
      </c>
      <c r="I10544" t="s">
        <v>29</v>
      </c>
      <c r="J10544">
        <v>1</v>
      </c>
      <c r="K10544">
        <f>1-888-787-3351</f>
        <v>-5025</v>
      </c>
      <c r="L10544" t="s">
        <v>32711</v>
      </c>
      <c r="M10544" t="s">
        <v>32712</v>
      </c>
      <c r="N10544" t="s">
        <v>5354</v>
      </c>
      <c r="O10544" t="s">
        <v>28</v>
      </c>
      <c r="P10544" t="s">
        <v>29</v>
      </c>
      <c r="Q10544">
        <v>42</v>
      </c>
      <c r="R10544">
        <v>-87.629800000000003</v>
      </c>
    </row>
    <row r="10545" spans="1:18" x14ac:dyDescent="0.2">
      <c r="A10545" t="s">
        <v>439</v>
      </c>
      <c r="B10545" t="s">
        <v>4321</v>
      </c>
      <c r="C10545">
        <v>1</v>
      </c>
      <c r="D10545" s="1">
        <v>44361.752986111111</v>
      </c>
      <c r="E10545" t="s">
        <v>32703</v>
      </c>
      <c r="F10545" t="s">
        <v>442</v>
      </c>
      <c r="G10545" t="s">
        <v>32704</v>
      </c>
      <c r="H10545" t="s">
        <v>444</v>
      </c>
      <c r="I10545" t="s">
        <v>29</v>
      </c>
      <c r="J10545">
        <v>1</v>
      </c>
      <c r="K10545">
        <f>1-888-787-4557</f>
        <v>-6231</v>
      </c>
      <c r="L10545" t="s">
        <v>32713</v>
      </c>
      <c r="M10545" t="s">
        <v>32714</v>
      </c>
      <c r="N10545" t="s">
        <v>5354</v>
      </c>
      <c r="O10545" t="s">
        <v>28</v>
      </c>
      <c r="P10545" t="s">
        <v>29</v>
      </c>
      <c r="Q10545">
        <v>42</v>
      </c>
      <c r="R10545">
        <v>-87.629800000000003</v>
      </c>
    </row>
    <row r="10546" spans="1:18" x14ac:dyDescent="0.2">
      <c r="A10546" t="s">
        <v>2233</v>
      </c>
      <c r="B10546" t="s">
        <v>1638</v>
      </c>
      <c r="C10546">
        <v>1</v>
      </c>
      <c r="D10546" s="1">
        <v>44361.751655092594</v>
      </c>
      <c r="E10546" t="s">
        <v>32715</v>
      </c>
      <c r="F10546" t="s">
        <v>7023</v>
      </c>
      <c r="G10546" t="s">
        <v>32716</v>
      </c>
      <c r="H10546" t="s">
        <v>2237</v>
      </c>
      <c r="I10546" t="s">
        <v>29</v>
      </c>
      <c r="J10546">
        <v>1</v>
      </c>
      <c r="K10546">
        <f>1-888-909-1342</f>
        <v>-3138</v>
      </c>
      <c r="L10546" t="s">
        <v>32717</v>
      </c>
      <c r="M10546" t="s">
        <v>32718</v>
      </c>
      <c r="N10546" t="s">
        <v>278</v>
      </c>
      <c r="O10546" t="s">
        <v>28</v>
      </c>
      <c r="P10546" t="s">
        <v>292</v>
      </c>
      <c r="Q10546">
        <v>49</v>
      </c>
      <c r="R10546">
        <v>2.35222</v>
      </c>
    </row>
    <row r="10547" spans="1:18" x14ac:dyDescent="0.2">
      <c r="A10547" t="s">
        <v>2233</v>
      </c>
      <c r="B10547" t="s">
        <v>1638</v>
      </c>
      <c r="C10547">
        <v>1</v>
      </c>
      <c r="D10547" s="1">
        <v>44361.751956018517</v>
      </c>
      <c r="E10547" t="s">
        <v>32715</v>
      </c>
      <c r="F10547" t="s">
        <v>7023</v>
      </c>
      <c r="G10547" t="s">
        <v>32719</v>
      </c>
      <c r="H10547" t="s">
        <v>2237</v>
      </c>
      <c r="I10547" t="s">
        <v>29</v>
      </c>
      <c r="J10547">
        <v>1</v>
      </c>
      <c r="K10547">
        <f>1-888-851-613</f>
        <v>-2351</v>
      </c>
      <c r="L10547" t="s">
        <v>32720</v>
      </c>
      <c r="M10547" t="s">
        <v>32721</v>
      </c>
      <c r="N10547" t="s">
        <v>278</v>
      </c>
      <c r="O10547" t="s">
        <v>28</v>
      </c>
      <c r="P10547" t="s">
        <v>292</v>
      </c>
      <c r="Q10547">
        <v>49</v>
      </c>
      <c r="R10547">
        <v>2.35222</v>
      </c>
    </row>
    <row r="10548" spans="1:18" x14ac:dyDescent="0.2">
      <c r="A10548" t="s">
        <v>663</v>
      </c>
      <c r="B10548" t="s">
        <v>5784</v>
      </c>
      <c r="C10548">
        <v>1</v>
      </c>
      <c r="D10548" s="1">
        <v>44361.756874999999</v>
      </c>
      <c r="E10548" t="s">
        <v>32722</v>
      </c>
      <c r="F10548" t="s">
        <v>666</v>
      </c>
      <c r="G10548" t="s">
        <v>32723</v>
      </c>
      <c r="H10548" t="s">
        <v>667</v>
      </c>
      <c r="I10548" t="s">
        <v>29</v>
      </c>
      <c r="J10548">
        <v>1</v>
      </c>
      <c r="K10548">
        <f>1-888-384-1259</f>
        <v>-2530</v>
      </c>
      <c r="L10548" t="s">
        <v>32724</v>
      </c>
      <c r="M10548" t="s">
        <v>32725</v>
      </c>
      <c r="N10548" t="s">
        <v>25263</v>
      </c>
      <c r="O10548" t="s">
        <v>28</v>
      </c>
      <c r="P10548" t="s">
        <v>5789</v>
      </c>
      <c r="Q10548">
        <v>13</v>
      </c>
      <c r="R10548">
        <v>77.585499999999996</v>
      </c>
    </row>
    <row r="10549" spans="1:18" x14ac:dyDescent="0.2">
      <c r="A10549" t="s">
        <v>2233</v>
      </c>
      <c r="B10549" t="s">
        <v>2234</v>
      </c>
      <c r="C10549">
        <v>1</v>
      </c>
      <c r="D10549" s="1">
        <v>44361.131006944444</v>
      </c>
      <c r="E10549" t="s">
        <v>32726</v>
      </c>
      <c r="F10549" t="s">
        <v>2236</v>
      </c>
      <c r="G10549" t="s">
        <v>32726</v>
      </c>
      <c r="H10549" t="s">
        <v>2237</v>
      </c>
      <c r="I10549" t="s">
        <v>29</v>
      </c>
      <c r="J10549">
        <v>1</v>
      </c>
      <c r="K10549">
        <f>1-866-481-995</f>
        <v>-2341</v>
      </c>
      <c r="L10549" t="s">
        <v>32727</v>
      </c>
      <c r="M10549" t="s">
        <v>32728</v>
      </c>
      <c r="N10549">
        <v>226</v>
      </c>
      <c r="O10549" t="s">
        <v>134</v>
      </c>
      <c r="P10549" t="s">
        <v>29</v>
      </c>
      <c r="Q10549">
        <v>40</v>
      </c>
      <c r="R10549">
        <v>-83.114099999999993</v>
      </c>
    </row>
    <row r="10550" spans="1:18" x14ac:dyDescent="0.2">
      <c r="A10550" t="s">
        <v>663</v>
      </c>
      <c r="B10550" t="s">
        <v>5784</v>
      </c>
      <c r="C10550">
        <v>1</v>
      </c>
      <c r="D10550" s="1">
        <v>44361.739479166667</v>
      </c>
      <c r="E10550" t="s">
        <v>32729</v>
      </c>
      <c r="F10550" t="s">
        <v>666</v>
      </c>
      <c r="G10550" t="s">
        <v>32730</v>
      </c>
      <c r="H10550" t="s">
        <v>667</v>
      </c>
      <c r="I10550" t="s">
        <v>29</v>
      </c>
      <c r="J10550">
        <v>1</v>
      </c>
      <c r="K10550">
        <f>1-844-467-9732</f>
        <v>-11042</v>
      </c>
      <c r="L10550" t="s">
        <v>32731</v>
      </c>
      <c r="M10550" t="s">
        <v>32732</v>
      </c>
      <c r="N10550" t="s">
        <v>25263</v>
      </c>
      <c r="O10550" t="s">
        <v>28</v>
      </c>
      <c r="P10550" t="s">
        <v>5789</v>
      </c>
      <c r="Q10550">
        <v>13</v>
      </c>
      <c r="R10550">
        <v>77.585499999999996</v>
      </c>
    </row>
    <row r="10551" spans="1:18" x14ac:dyDescent="0.2">
      <c r="A10551" t="s">
        <v>439</v>
      </c>
      <c r="B10551" t="s">
        <v>4321</v>
      </c>
      <c r="C10551">
        <v>1</v>
      </c>
      <c r="D10551" s="1">
        <v>44360.854386574072</v>
      </c>
      <c r="E10551" t="s">
        <v>32733</v>
      </c>
      <c r="F10551" t="s">
        <v>442</v>
      </c>
      <c r="G10551" t="s">
        <v>32734</v>
      </c>
      <c r="H10551" t="s">
        <v>444</v>
      </c>
      <c r="I10551" t="s">
        <v>29</v>
      </c>
      <c r="J10551">
        <v>1</v>
      </c>
      <c r="K10551">
        <f>1-844-610-1539</f>
        <v>-2992</v>
      </c>
      <c r="L10551" t="s">
        <v>32735</v>
      </c>
      <c r="M10551" t="s">
        <v>32736</v>
      </c>
      <c r="N10551" t="s">
        <v>213</v>
      </c>
      <c r="O10551" t="s">
        <v>28</v>
      </c>
      <c r="P10551" t="s">
        <v>29</v>
      </c>
      <c r="Q10551">
        <v>42</v>
      </c>
      <c r="R10551">
        <v>-87.629800000000003</v>
      </c>
    </row>
    <row r="10552" spans="1:18" x14ac:dyDescent="0.2">
      <c r="A10552" t="s">
        <v>439</v>
      </c>
      <c r="B10552" t="s">
        <v>4321</v>
      </c>
      <c r="C10552">
        <v>1</v>
      </c>
      <c r="D10552" s="1">
        <v>44360.931990740741</v>
      </c>
      <c r="E10552" t="s">
        <v>32737</v>
      </c>
      <c r="F10552" t="s">
        <v>442</v>
      </c>
      <c r="G10552" t="s">
        <v>32738</v>
      </c>
      <c r="H10552" t="s">
        <v>444</v>
      </c>
      <c r="I10552" t="s">
        <v>29</v>
      </c>
      <c r="J10552">
        <v>1</v>
      </c>
      <c r="K10552">
        <f>1-844-949-4839</f>
        <v>-6631</v>
      </c>
      <c r="L10552" t="s">
        <v>32739</v>
      </c>
      <c r="M10552" t="s">
        <v>32740</v>
      </c>
      <c r="N10552" t="s">
        <v>447</v>
      </c>
      <c r="O10552" t="s">
        <v>28</v>
      </c>
      <c r="P10552" t="s">
        <v>29</v>
      </c>
      <c r="Q10552">
        <v>42</v>
      </c>
      <c r="R10552">
        <v>-87.629800000000003</v>
      </c>
    </row>
    <row r="10553" spans="1:18" x14ac:dyDescent="0.2">
      <c r="A10553" t="s">
        <v>2233</v>
      </c>
      <c r="B10553" t="s">
        <v>2234</v>
      </c>
      <c r="C10553">
        <v>1</v>
      </c>
      <c r="D10553" s="1">
        <v>44361.085682870369</v>
      </c>
      <c r="E10553" t="s">
        <v>32741</v>
      </c>
      <c r="F10553" t="s">
        <v>2236</v>
      </c>
      <c r="G10553" t="s">
        <v>32741</v>
      </c>
      <c r="H10553" t="s">
        <v>2237</v>
      </c>
      <c r="I10553" t="s">
        <v>29</v>
      </c>
      <c r="J10553">
        <v>1</v>
      </c>
      <c r="K10553">
        <f>1-866-481-995</f>
        <v>-2341</v>
      </c>
      <c r="L10553" t="s">
        <v>32742</v>
      </c>
      <c r="M10553" t="s">
        <v>32743</v>
      </c>
      <c r="N10553">
        <v>49</v>
      </c>
      <c r="O10553" t="s">
        <v>134</v>
      </c>
      <c r="P10553" t="s">
        <v>29</v>
      </c>
      <c r="Q10553">
        <v>40</v>
      </c>
      <c r="R10553">
        <v>-83.114099999999993</v>
      </c>
    </row>
    <row r="10554" spans="1:18" x14ac:dyDescent="0.2">
      <c r="A10554" t="s">
        <v>2233</v>
      </c>
      <c r="B10554" t="s">
        <v>2234</v>
      </c>
      <c r="C10554">
        <v>1</v>
      </c>
      <c r="D10554" s="1">
        <v>44361.091180555559</v>
      </c>
      <c r="E10554" t="s">
        <v>32744</v>
      </c>
      <c r="F10554" t="s">
        <v>2236</v>
      </c>
      <c r="G10554" t="s">
        <v>32744</v>
      </c>
      <c r="H10554" t="s">
        <v>2237</v>
      </c>
      <c r="I10554" t="s">
        <v>29</v>
      </c>
      <c r="J10554">
        <v>1</v>
      </c>
      <c r="K10554">
        <f>1-866-481-995</f>
        <v>-2341</v>
      </c>
      <c r="L10554" t="s">
        <v>32745</v>
      </c>
      <c r="M10554" t="s">
        <v>32746</v>
      </c>
      <c r="N10554">
        <v>141</v>
      </c>
      <c r="O10554" t="s">
        <v>134</v>
      </c>
      <c r="P10554" t="s">
        <v>29</v>
      </c>
      <c r="Q10554">
        <v>40</v>
      </c>
      <c r="R10554">
        <v>-83.114099999999993</v>
      </c>
    </row>
    <row r="10555" spans="1:18" x14ac:dyDescent="0.2">
      <c r="A10555" t="s">
        <v>2233</v>
      </c>
      <c r="B10555" t="s">
        <v>2234</v>
      </c>
      <c r="C10555">
        <v>1</v>
      </c>
      <c r="D10555" s="1">
        <v>44361.106585648151</v>
      </c>
      <c r="E10555" t="s">
        <v>32747</v>
      </c>
      <c r="F10555" t="s">
        <v>2236</v>
      </c>
      <c r="G10555" t="s">
        <v>32747</v>
      </c>
      <c r="H10555" t="s">
        <v>2237</v>
      </c>
      <c r="I10555" t="s">
        <v>29</v>
      </c>
      <c r="J10555">
        <v>1</v>
      </c>
      <c r="K10555">
        <f>1-866-481-995</f>
        <v>-2341</v>
      </c>
      <c r="L10555" t="s">
        <v>32748</v>
      </c>
      <c r="M10555" t="s">
        <v>32749</v>
      </c>
      <c r="N10555">
        <v>69</v>
      </c>
      <c r="O10555" t="s">
        <v>134</v>
      </c>
      <c r="P10555" t="s">
        <v>29</v>
      </c>
      <c r="Q10555">
        <v>40</v>
      </c>
      <c r="R10555">
        <v>-83.114099999999993</v>
      </c>
    </row>
    <row r="10556" spans="1:18" x14ac:dyDescent="0.2">
      <c r="A10556" t="s">
        <v>2233</v>
      </c>
      <c r="B10556" t="s">
        <v>2234</v>
      </c>
      <c r="C10556">
        <v>1</v>
      </c>
      <c r="D10556" s="1">
        <v>44361.109247685185</v>
      </c>
      <c r="E10556" t="s">
        <v>32750</v>
      </c>
      <c r="F10556" t="s">
        <v>2236</v>
      </c>
      <c r="G10556" t="s">
        <v>32750</v>
      </c>
      <c r="H10556" t="s">
        <v>2237</v>
      </c>
      <c r="I10556" t="s">
        <v>29</v>
      </c>
      <c r="J10556">
        <v>1</v>
      </c>
      <c r="K10556">
        <f>1-866-481-995</f>
        <v>-2341</v>
      </c>
      <c r="L10556" t="s">
        <v>32751</v>
      </c>
      <c r="M10556" t="s">
        <v>32752</v>
      </c>
      <c r="N10556">
        <v>86</v>
      </c>
      <c r="O10556" t="s">
        <v>134</v>
      </c>
      <c r="P10556" t="s">
        <v>29</v>
      </c>
      <c r="Q10556">
        <v>40</v>
      </c>
      <c r="R10556">
        <v>-83.114099999999993</v>
      </c>
    </row>
    <row r="10557" spans="1:18" x14ac:dyDescent="0.2">
      <c r="A10557" t="s">
        <v>2233</v>
      </c>
      <c r="B10557" t="s">
        <v>2234</v>
      </c>
      <c r="C10557">
        <v>1</v>
      </c>
      <c r="D10557" s="1">
        <v>44361.124976851854</v>
      </c>
      <c r="E10557" t="s">
        <v>32753</v>
      </c>
      <c r="F10557" t="s">
        <v>2236</v>
      </c>
      <c r="G10557" t="s">
        <v>32753</v>
      </c>
      <c r="H10557" t="s">
        <v>2237</v>
      </c>
      <c r="I10557" t="s">
        <v>29</v>
      </c>
      <c r="J10557">
        <v>1</v>
      </c>
      <c r="K10557">
        <f>1-866-481-995</f>
        <v>-2341</v>
      </c>
      <c r="L10557" t="s">
        <v>32754</v>
      </c>
      <c r="M10557" t="s">
        <v>32755</v>
      </c>
      <c r="N10557">
        <v>160</v>
      </c>
      <c r="O10557" t="s">
        <v>134</v>
      </c>
      <c r="P10557" t="s">
        <v>29</v>
      </c>
      <c r="Q10557">
        <v>40</v>
      </c>
      <c r="R10557">
        <v>-83.114099999999993</v>
      </c>
    </row>
    <row r="10558" spans="1:18" x14ac:dyDescent="0.2">
      <c r="A10558" t="s">
        <v>2233</v>
      </c>
      <c r="B10558" t="s">
        <v>1638</v>
      </c>
      <c r="C10558">
        <v>1</v>
      </c>
      <c r="D10558" s="1">
        <v>44361.757430555554</v>
      </c>
      <c r="E10558" t="s">
        <v>32715</v>
      </c>
      <c r="F10558" t="s">
        <v>7023</v>
      </c>
      <c r="G10558" t="s">
        <v>32756</v>
      </c>
      <c r="H10558" t="s">
        <v>2237</v>
      </c>
      <c r="I10558" t="s">
        <v>29</v>
      </c>
      <c r="J10558">
        <v>1</v>
      </c>
      <c r="K10558">
        <f>1-888-909-1326</f>
        <v>-3122</v>
      </c>
      <c r="L10558" t="s">
        <v>32757</v>
      </c>
      <c r="M10558" t="s">
        <v>32758</v>
      </c>
      <c r="N10558" t="s">
        <v>278</v>
      </c>
      <c r="O10558" t="s">
        <v>28</v>
      </c>
      <c r="P10558" t="s">
        <v>292</v>
      </c>
      <c r="Q10558">
        <v>49</v>
      </c>
      <c r="R10558">
        <v>2.35222</v>
      </c>
    </row>
    <row r="10559" spans="1:18" x14ac:dyDescent="0.2">
      <c r="A10559" t="s">
        <v>663</v>
      </c>
      <c r="B10559" t="s">
        <v>2493</v>
      </c>
      <c r="C10559">
        <v>1</v>
      </c>
      <c r="D10559" s="1">
        <v>44361.7575462963</v>
      </c>
      <c r="E10559" t="s">
        <v>32759</v>
      </c>
      <c r="F10559" t="s">
        <v>666</v>
      </c>
      <c r="G10559" t="s">
        <v>32760</v>
      </c>
      <c r="H10559" t="s">
        <v>667</v>
      </c>
      <c r="I10559" t="s">
        <v>29</v>
      </c>
      <c r="J10559">
        <v>1</v>
      </c>
      <c r="K10559">
        <f>1-888-635-4198</f>
        <v>-5720</v>
      </c>
      <c r="L10559" t="s">
        <v>32761</v>
      </c>
      <c r="M10559" t="s">
        <v>32762</v>
      </c>
      <c r="N10559" t="s">
        <v>683</v>
      </c>
      <c r="O10559" t="s">
        <v>28</v>
      </c>
      <c r="P10559" t="s">
        <v>29</v>
      </c>
      <c r="Q10559">
        <v>41</v>
      </c>
      <c r="R10559">
        <v>-74.024699999999996</v>
      </c>
    </row>
    <row r="10560" spans="1:18" x14ac:dyDescent="0.2">
      <c r="A10560" t="s">
        <v>2233</v>
      </c>
      <c r="B10560" t="s">
        <v>2234</v>
      </c>
      <c r="C10560">
        <v>1</v>
      </c>
      <c r="D10560" s="1">
        <v>44361.784016203703</v>
      </c>
      <c r="E10560" t="s">
        <v>32763</v>
      </c>
      <c r="F10560" t="s">
        <v>2236</v>
      </c>
      <c r="G10560" t="s">
        <v>32763</v>
      </c>
      <c r="H10560" t="s">
        <v>2237</v>
      </c>
      <c r="I10560" t="s">
        <v>29</v>
      </c>
      <c r="J10560">
        <v>1</v>
      </c>
      <c r="K10560">
        <f>1-888-927-798</f>
        <v>-2612</v>
      </c>
      <c r="L10560" t="s">
        <v>32764</v>
      </c>
      <c r="M10560" t="s">
        <v>32765</v>
      </c>
      <c r="N10560">
        <v>142</v>
      </c>
      <c r="O10560" t="s">
        <v>134</v>
      </c>
      <c r="P10560" t="s">
        <v>29</v>
      </c>
      <c r="Q10560">
        <v>40</v>
      </c>
      <c r="R10560">
        <v>-83.114099999999993</v>
      </c>
    </row>
    <row r="10561" spans="1:18" x14ac:dyDescent="0.2">
      <c r="A10561" t="s">
        <v>439</v>
      </c>
      <c r="B10561" t="s">
        <v>4321</v>
      </c>
      <c r="C10561">
        <v>1</v>
      </c>
      <c r="D10561" s="1">
        <v>44361.791064814817</v>
      </c>
      <c r="E10561" t="s">
        <v>32766</v>
      </c>
      <c r="F10561" t="s">
        <v>442</v>
      </c>
      <c r="G10561" t="s">
        <v>32767</v>
      </c>
      <c r="H10561" t="s">
        <v>444</v>
      </c>
      <c r="I10561" t="s">
        <v>29</v>
      </c>
      <c r="J10561">
        <v>1</v>
      </c>
      <c r="K10561">
        <f>1-888-786-4714</f>
        <v>-6387</v>
      </c>
      <c r="L10561" t="s">
        <v>32768</v>
      </c>
      <c r="M10561" t="s">
        <v>32769</v>
      </c>
      <c r="N10561" t="s">
        <v>452</v>
      </c>
      <c r="O10561" t="s">
        <v>28</v>
      </c>
      <c r="P10561" t="s">
        <v>29</v>
      </c>
      <c r="Q10561">
        <v>42</v>
      </c>
      <c r="R10561">
        <v>-87.629800000000003</v>
      </c>
    </row>
    <row r="10562" spans="1:18" x14ac:dyDescent="0.2">
      <c r="A10562" t="s">
        <v>439</v>
      </c>
      <c r="B10562" t="s">
        <v>4321</v>
      </c>
      <c r="C10562">
        <v>1</v>
      </c>
      <c r="D10562" s="1">
        <v>44361.790324074071</v>
      </c>
      <c r="E10562" t="s">
        <v>32766</v>
      </c>
      <c r="F10562" t="s">
        <v>442</v>
      </c>
      <c r="G10562" t="s">
        <v>32767</v>
      </c>
      <c r="H10562" t="s">
        <v>444</v>
      </c>
      <c r="I10562" t="s">
        <v>29</v>
      </c>
      <c r="J10562">
        <v>1</v>
      </c>
      <c r="K10562">
        <f>1-888-909-1333</f>
        <v>-3129</v>
      </c>
      <c r="L10562" t="s">
        <v>32770</v>
      </c>
      <c r="M10562" t="s">
        <v>32771</v>
      </c>
      <c r="N10562" t="s">
        <v>452</v>
      </c>
      <c r="O10562" t="s">
        <v>28</v>
      </c>
      <c r="P10562" t="s">
        <v>29</v>
      </c>
      <c r="Q10562">
        <v>42</v>
      </c>
      <c r="R10562">
        <v>-87.629800000000003</v>
      </c>
    </row>
    <row r="10563" spans="1:18" x14ac:dyDescent="0.2">
      <c r="A10563" t="s">
        <v>439</v>
      </c>
      <c r="B10563" t="s">
        <v>4321</v>
      </c>
      <c r="C10563">
        <v>1</v>
      </c>
      <c r="D10563" s="1">
        <v>44361.790196759262</v>
      </c>
      <c r="E10563" t="s">
        <v>32766</v>
      </c>
      <c r="F10563" t="s">
        <v>442</v>
      </c>
      <c r="G10563" t="s">
        <v>32767</v>
      </c>
      <c r="H10563" t="s">
        <v>444</v>
      </c>
      <c r="I10563" t="s">
        <v>29</v>
      </c>
      <c r="J10563">
        <v>1</v>
      </c>
      <c r="K10563">
        <f>1-888-787-3351</f>
        <v>-5025</v>
      </c>
      <c r="L10563" t="s">
        <v>32772</v>
      </c>
      <c r="M10563" t="s">
        <v>32773</v>
      </c>
      <c r="N10563" t="s">
        <v>452</v>
      </c>
      <c r="O10563" t="s">
        <v>28</v>
      </c>
      <c r="P10563" t="s">
        <v>29</v>
      </c>
      <c r="Q10563">
        <v>42</v>
      </c>
      <c r="R10563">
        <v>-87.629800000000003</v>
      </c>
    </row>
    <row r="10564" spans="1:18" x14ac:dyDescent="0.2">
      <c r="A10564" t="s">
        <v>439</v>
      </c>
      <c r="B10564" t="s">
        <v>4321</v>
      </c>
      <c r="C10564">
        <v>1</v>
      </c>
      <c r="D10564" s="1">
        <v>44361.790578703702</v>
      </c>
      <c r="E10564" t="s">
        <v>32766</v>
      </c>
      <c r="F10564" t="s">
        <v>442</v>
      </c>
      <c r="G10564" t="s">
        <v>32774</v>
      </c>
      <c r="H10564" t="s">
        <v>444</v>
      </c>
      <c r="I10564" t="s">
        <v>29</v>
      </c>
      <c r="J10564">
        <v>1</v>
      </c>
      <c r="K10564">
        <f>1-844-858-7749</f>
        <v>-9450</v>
      </c>
      <c r="L10564" t="s">
        <v>32775</v>
      </c>
      <c r="M10564" t="s">
        <v>32776</v>
      </c>
      <c r="N10564" t="s">
        <v>452</v>
      </c>
      <c r="O10564" t="s">
        <v>28</v>
      </c>
      <c r="P10564" t="s">
        <v>29</v>
      </c>
      <c r="Q10564">
        <v>42</v>
      </c>
      <c r="R10564">
        <v>-87.629800000000003</v>
      </c>
    </row>
    <row r="10565" spans="1:18" x14ac:dyDescent="0.2">
      <c r="A10565" t="s">
        <v>439</v>
      </c>
      <c r="B10565" t="s">
        <v>4321</v>
      </c>
      <c r="C10565">
        <v>1</v>
      </c>
      <c r="D10565" s="1">
        <v>44361.795381944445</v>
      </c>
      <c r="E10565" t="s">
        <v>32777</v>
      </c>
      <c r="F10565" t="s">
        <v>442</v>
      </c>
      <c r="G10565" t="s">
        <v>32778</v>
      </c>
      <c r="H10565" t="s">
        <v>444</v>
      </c>
      <c r="I10565" t="s">
        <v>29</v>
      </c>
      <c r="J10565">
        <v>1</v>
      </c>
      <c r="K10565">
        <f>1-844-471-2681</f>
        <v>-3995</v>
      </c>
      <c r="L10565" t="s">
        <v>32779</v>
      </c>
      <c r="M10565" t="s">
        <v>32780</v>
      </c>
      <c r="N10565" t="s">
        <v>213</v>
      </c>
      <c r="O10565" t="s">
        <v>28</v>
      </c>
      <c r="P10565" t="s">
        <v>29</v>
      </c>
      <c r="Q10565">
        <v>42</v>
      </c>
      <c r="R10565">
        <v>-87.629800000000003</v>
      </c>
    </row>
    <row r="10566" spans="1:18" x14ac:dyDescent="0.2">
      <c r="A10566" t="s">
        <v>2233</v>
      </c>
      <c r="B10566" t="s">
        <v>2234</v>
      </c>
      <c r="C10566">
        <v>1</v>
      </c>
      <c r="D10566" s="1">
        <v>44361.800173611111</v>
      </c>
      <c r="E10566" t="s">
        <v>32781</v>
      </c>
      <c r="F10566" t="s">
        <v>2236</v>
      </c>
      <c r="G10566" t="s">
        <v>32781</v>
      </c>
      <c r="H10566" t="s">
        <v>2237</v>
      </c>
      <c r="I10566" t="s">
        <v>29</v>
      </c>
      <c r="J10566">
        <v>1</v>
      </c>
      <c r="K10566">
        <f>1-888-927-798</f>
        <v>-2612</v>
      </c>
      <c r="L10566" t="s">
        <v>32782</v>
      </c>
      <c r="M10566" t="s">
        <v>32783</v>
      </c>
      <c r="N10566">
        <v>142</v>
      </c>
      <c r="O10566" t="s">
        <v>134</v>
      </c>
      <c r="P10566" t="s">
        <v>29</v>
      </c>
      <c r="Q10566">
        <v>40</v>
      </c>
      <c r="R10566">
        <v>-83.114099999999993</v>
      </c>
    </row>
    <row r="10567" spans="1:18" x14ac:dyDescent="0.2">
      <c r="A10567" t="s">
        <v>439</v>
      </c>
      <c r="B10567" t="s">
        <v>4321</v>
      </c>
      <c r="C10567">
        <v>1</v>
      </c>
      <c r="D10567" s="1">
        <v>44361.757800925923</v>
      </c>
      <c r="E10567" t="s">
        <v>32784</v>
      </c>
      <c r="F10567" t="s">
        <v>442</v>
      </c>
      <c r="G10567" t="s">
        <v>32785</v>
      </c>
      <c r="H10567" t="s">
        <v>444</v>
      </c>
      <c r="I10567" t="s">
        <v>29</v>
      </c>
      <c r="J10567">
        <v>1</v>
      </c>
      <c r="K10567">
        <f>1-844-303-1521</f>
        <v>-2667</v>
      </c>
      <c r="L10567" t="s">
        <v>32786</v>
      </c>
      <c r="M10567" t="s">
        <v>32787</v>
      </c>
      <c r="N10567" t="s">
        <v>213</v>
      </c>
      <c r="O10567" t="s">
        <v>28</v>
      </c>
      <c r="P10567" t="s">
        <v>29</v>
      </c>
      <c r="Q10567">
        <v>42</v>
      </c>
      <c r="R10567">
        <v>-87.629800000000003</v>
      </c>
    </row>
    <row r="10568" spans="1:18" x14ac:dyDescent="0.2">
      <c r="A10568" t="s">
        <v>2233</v>
      </c>
      <c r="B10568" t="s">
        <v>2234</v>
      </c>
      <c r="C10568">
        <v>1</v>
      </c>
      <c r="D10568" s="1">
        <v>44361.762314814812</v>
      </c>
      <c r="E10568" t="s">
        <v>32788</v>
      </c>
      <c r="F10568" t="s">
        <v>2236</v>
      </c>
      <c r="G10568" t="s">
        <v>32788</v>
      </c>
      <c r="H10568" t="s">
        <v>2237</v>
      </c>
      <c r="I10568" t="s">
        <v>29</v>
      </c>
      <c r="J10568">
        <v>1</v>
      </c>
      <c r="K10568">
        <f>1-877-327-2716</f>
        <v>-3919</v>
      </c>
      <c r="L10568" t="s">
        <v>32789</v>
      </c>
      <c r="M10568" t="s">
        <v>32790</v>
      </c>
      <c r="N10568">
        <v>72</v>
      </c>
      <c r="O10568" t="s">
        <v>134</v>
      </c>
      <c r="P10568" t="s">
        <v>29</v>
      </c>
      <c r="Q10568">
        <v>40</v>
      </c>
      <c r="R10568">
        <v>-83.114099999999993</v>
      </c>
    </row>
    <row r="10569" spans="1:18" x14ac:dyDescent="0.2">
      <c r="A10569" t="s">
        <v>2233</v>
      </c>
      <c r="B10569" t="s">
        <v>2234</v>
      </c>
      <c r="C10569">
        <v>1</v>
      </c>
      <c r="D10569" s="1">
        <v>44361.763148148151</v>
      </c>
      <c r="E10569" t="s">
        <v>32791</v>
      </c>
      <c r="F10569" t="s">
        <v>2236</v>
      </c>
      <c r="G10569" t="s">
        <v>32791</v>
      </c>
      <c r="H10569" t="s">
        <v>2237</v>
      </c>
      <c r="I10569" t="s">
        <v>29</v>
      </c>
      <c r="J10569">
        <v>1</v>
      </c>
      <c r="K10569">
        <f>1-877-327-2716</f>
        <v>-3919</v>
      </c>
      <c r="L10569" t="s">
        <v>32792</v>
      </c>
      <c r="M10569" t="s">
        <v>32793</v>
      </c>
      <c r="N10569">
        <v>186</v>
      </c>
      <c r="O10569" t="s">
        <v>134</v>
      </c>
      <c r="P10569" t="s">
        <v>29</v>
      </c>
      <c r="Q10569">
        <v>40</v>
      </c>
      <c r="R10569">
        <v>-83.114099999999993</v>
      </c>
    </row>
    <row r="10570" spans="1:18" x14ac:dyDescent="0.2">
      <c r="A10570" t="s">
        <v>439</v>
      </c>
      <c r="B10570" t="s">
        <v>4321</v>
      </c>
      <c r="C10570">
        <v>1</v>
      </c>
      <c r="D10570" s="1">
        <v>44361.771597222221</v>
      </c>
      <c r="E10570" t="s">
        <v>32794</v>
      </c>
      <c r="F10570" t="s">
        <v>442</v>
      </c>
      <c r="G10570" t="s">
        <v>32795</v>
      </c>
      <c r="H10570" t="s">
        <v>444</v>
      </c>
      <c r="I10570" t="s">
        <v>29</v>
      </c>
      <c r="J10570">
        <v>1</v>
      </c>
      <c r="K10570">
        <f>1-833-220-3998</f>
        <v>-5050</v>
      </c>
      <c r="L10570" t="s">
        <v>32796</v>
      </c>
      <c r="M10570" t="s">
        <v>32797</v>
      </c>
      <c r="N10570" t="s">
        <v>447</v>
      </c>
      <c r="O10570" t="s">
        <v>28</v>
      </c>
      <c r="P10570" t="s">
        <v>29</v>
      </c>
      <c r="Q10570">
        <v>42</v>
      </c>
      <c r="R10570">
        <v>-87.629800000000003</v>
      </c>
    </row>
    <row r="10571" spans="1:18" x14ac:dyDescent="0.2">
      <c r="A10571" t="s">
        <v>439</v>
      </c>
      <c r="B10571" t="s">
        <v>4321</v>
      </c>
      <c r="C10571">
        <v>1</v>
      </c>
      <c r="D10571" s="1">
        <v>44361.776504629626</v>
      </c>
      <c r="E10571" t="s">
        <v>32798</v>
      </c>
      <c r="F10571" t="s">
        <v>442</v>
      </c>
      <c r="G10571" t="s">
        <v>32799</v>
      </c>
      <c r="H10571" t="s">
        <v>444</v>
      </c>
      <c r="I10571" t="s">
        <v>29</v>
      </c>
      <c r="J10571">
        <v>1</v>
      </c>
      <c r="K10571">
        <f>1-844-471-2681</f>
        <v>-3995</v>
      </c>
      <c r="L10571" t="s">
        <v>32800</v>
      </c>
      <c r="M10571" t="s">
        <v>32801</v>
      </c>
      <c r="N10571" t="s">
        <v>213</v>
      </c>
      <c r="O10571" t="s">
        <v>28</v>
      </c>
      <c r="P10571" t="s">
        <v>29</v>
      </c>
      <c r="Q10571">
        <v>42</v>
      </c>
      <c r="R10571">
        <v>-87.629800000000003</v>
      </c>
    </row>
    <row r="10572" spans="1:18" x14ac:dyDescent="0.2">
      <c r="A10572" t="s">
        <v>2233</v>
      </c>
      <c r="B10572" t="s">
        <v>2234</v>
      </c>
      <c r="C10572">
        <v>1</v>
      </c>
      <c r="D10572" s="1">
        <v>44361.780497685184</v>
      </c>
      <c r="E10572" t="s">
        <v>32802</v>
      </c>
      <c r="F10572" t="s">
        <v>2236</v>
      </c>
      <c r="G10572" t="s">
        <v>32802</v>
      </c>
      <c r="H10572" t="s">
        <v>2237</v>
      </c>
      <c r="I10572" t="s">
        <v>29</v>
      </c>
      <c r="J10572">
        <v>1</v>
      </c>
      <c r="K10572">
        <f>1-888-927-798</f>
        <v>-2612</v>
      </c>
      <c r="L10572" t="s">
        <v>32803</v>
      </c>
      <c r="M10572" t="s">
        <v>32804</v>
      </c>
      <c r="N10572">
        <v>125</v>
      </c>
      <c r="O10572" t="s">
        <v>134</v>
      </c>
      <c r="P10572" t="s">
        <v>29</v>
      </c>
      <c r="Q10572">
        <v>40</v>
      </c>
      <c r="R10572">
        <v>-83.114099999999993</v>
      </c>
    </row>
    <row r="10573" spans="1:18" x14ac:dyDescent="0.2">
      <c r="A10573" t="s">
        <v>2233</v>
      </c>
      <c r="B10573" t="s">
        <v>1638</v>
      </c>
      <c r="C10573">
        <v>1</v>
      </c>
      <c r="D10573" s="1">
        <v>44361.812002314815</v>
      </c>
      <c r="E10573" t="s">
        <v>32805</v>
      </c>
      <c r="F10573" t="s">
        <v>7023</v>
      </c>
      <c r="G10573" t="s">
        <v>32806</v>
      </c>
      <c r="H10573" t="s">
        <v>2237</v>
      </c>
      <c r="I10573" t="s">
        <v>29</v>
      </c>
      <c r="J10573">
        <v>1</v>
      </c>
      <c r="K10573">
        <f>1-888-909-1343</f>
        <v>-3139</v>
      </c>
      <c r="L10573" t="s">
        <v>32807</v>
      </c>
      <c r="M10573" t="s">
        <v>32808</v>
      </c>
      <c r="N10573" t="s">
        <v>278</v>
      </c>
      <c r="O10573" t="s">
        <v>28</v>
      </c>
      <c r="P10573" t="s">
        <v>292</v>
      </c>
      <c r="Q10573">
        <v>49</v>
      </c>
      <c r="R10573">
        <v>2.35222</v>
      </c>
    </row>
    <row r="10574" spans="1:18" x14ac:dyDescent="0.2">
      <c r="A10574" t="s">
        <v>2233</v>
      </c>
      <c r="B10574" t="s">
        <v>2234</v>
      </c>
      <c r="C10574">
        <v>1</v>
      </c>
      <c r="D10574" s="1">
        <v>44361.815636574072</v>
      </c>
      <c r="E10574" t="s">
        <v>32809</v>
      </c>
      <c r="F10574" t="s">
        <v>2236</v>
      </c>
      <c r="G10574" t="s">
        <v>32809</v>
      </c>
      <c r="H10574" t="s">
        <v>2237</v>
      </c>
      <c r="I10574" t="s">
        <v>29</v>
      </c>
      <c r="J10574">
        <v>1</v>
      </c>
      <c r="K10574">
        <f>1-888-927-798</f>
        <v>-2612</v>
      </c>
      <c r="L10574" t="s">
        <v>32810</v>
      </c>
      <c r="M10574" t="s">
        <v>32811</v>
      </c>
      <c r="N10574">
        <v>50</v>
      </c>
      <c r="O10574" t="s">
        <v>134</v>
      </c>
      <c r="P10574" t="s">
        <v>29</v>
      </c>
      <c r="Q10574">
        <v>40</v>
      </c>
      <c r="R10574">
        <v>-83.114099999999993</v>
      </c>
    </row>
    <row r="10575" spans="1:18" x14ac:dyDescent="0.2">
      <c r="A10575" t="s">
        <v>439</v>
      </c>
      <c r="B10575" t="s">
        <v>4321</v>
      </c>
      <c r="C10575">
        <v>1</v>
      </c>
      <c r="D10575" s="1">
        <v>44361.815995370373</v>
      </c>
      <c r="E10575" t="s">
        <v>32812</v>
      </c>
      <c r="F10575" t="s">
        <v>442</v>
      </c>
      <c r="G10575" t="s">
        <v>32813</v>
      </c>
      <c r="H10575" t="s">
        <v>444</v>
      </c>
      <c r="I10575" t="s">
        <v>29</v>
      </c>
      <c r="J10575">
        <v>1</v>
      </c>
      <c r="K10575">
        <f>1-844-610-1528</f>
        <v>-2981</v>
      </c>
      <c r="L10575" t="s">
        <v>32814</v>
      </c>
      <c r="M10575" t="s">
        <v>32815</v>
      </c>
      <c r="N10575" t="s">
        <v>213</v>
      </c>
      <c r="O10575" t="s">
        <v>28</v>
      </c>
      <c r="P10575" t="s">
        <v>29</v>
      </c>
      <c r="Q10575">
        <v>42</v>
      </c>
      <c r="R10575">
        <v>-87.629800000000003</v>
      </c>
    </row>
    <row r="10576" spans="1:18" x14ac:dyDescent="0.2">
      <c r="A10576" t="s">
        <v>439</v>
      </c>
      <c r="B10576" t="s">
        <v>4321</v>
      </c>
      <c r="C10576">
        <v>1</v>
      </c>
      <c r="D10576" s="1">
        <v>44361.847997685189</v>
      </c>
      <c r="E10576" t="s">
        <v>32816</v>
      </c>
      <c r="F10576" t="s">
        <v>442</v>
      </c>
      <c r="G10576" t="s">
        <v>32817</v>
      </c>
      <c r="H10576" t="s">
        <v>444</v>
      </c>
      <c r="I10576" t="s">
        <v>29</v>
      </c>
      <c r="J10576">
        <v>1</v>
      </c>
      <c r="K10576">
        <f>1-844-303-6548</f>
        <v>-7694</v>
      </c>
      <c r="L10576" t="s">
        <v>32818</v>
      </c>
      <c r="M10576" t="s">
        <v>32819</v>
      </c>
      <c r="N10576" t="s">
        <v>447</v>
      </c>
      <c r="O10576" t="s">
        <v>28</v>
      </c>
      <c r="P10576" t="s">
        <v>29</v>
      </c>
      <c r="Q10576">
        <v>42</v>
      </c>
      <c r="R10576">
        <v>-87.629800000000003</v>
      </c>
    </row>
    <row r="10577" spans="1:18" x14ac:dyDescent="0.2">
      <c r="A10577" t="s">
        <v>439</v>
      </c>
      <c r="B10577" t="s">
        <v>4321</v>
      </c>
      <c r="C10577">
        <v>1</v>
      </c>
      <c r="D10577" s="1">
        <v>44361.836435185185</v>
      </c>
      <c r="E10577" t="s">
        <v>32820</v>
      </c>
      <c r="F10577" t="s">
        <v>442</v>
      </c>
      <c r="G10577" t="s">
        <v>32821</v>
      </c>
      <c r="H10577" t="s">
        <v>444</v>
      </c>
      <c r="I10577" t="s">
        <v>29</v>
      </c>
      <c r="J10577">
        <v>1</v>
      </c>
      <c r="K10577">
        <f>1-844-292-4960</f>
        <v>-6095</v>
      </c>
      <c r="L10577" t="s">
        <v>32822</v>
      </c>
      <c r="M10577" t="s">
        <v>32823</v>
      </c>
      <c r="N10577" t="s">
        <v>213</v>
      </c>
      <c r="O10577" t="s">
        <v>28</v>
      </c>
      <c r="P10577" t="s">
        <v>29</v>
      </c>
      <c r="Q10577">
        <v>42</v>
      </c>
      <c r="R10577">
        <v>-87.629800000000003</v>
      </c>
    </row>
    <row r="10578" spans="1:18" x14ac:dyDescent="0.2">
      <c r="A10578" t="s">
        <v>2233</v>
      </c>
      <c r="B10578" t="s">
        <v>1638</v>
      </c>
      <c r="C10578">
        <v>1</v>
      </c>
      <c r="D10578" s="1">
        <v>44361.836736111109</v>
      </c>
      <c r="E10578" t="s">
        <v>32824</v>
      </c>
      <c r="F10578" t="s">
        <v>7023</v>
      </c>
      <c r="G10578" t="s">
        <v>32825</v>
      </c>
      <c r="H10578" t="s">
        <v>2237</v>
      </c>
      <c r="I10578" t="s">
        <v>29</v>
      </c>
      <c r="J10578">
        <v>1</v>
      </c>
      <c r="K10578">
        <f>1-888-909-1210</f>
        <v>-3006</v>
      </c>
      <c r="L10578" t="s">
        <v>32826</v>
      </c>
      <c r="M10578" t="s">
        <v>32827</v>
      </c>
      <c r="N10578" t="s">
        <v>278</v>
      </c>
      <c r="O10578" t="s">
        <v>28</v>
      </c>
      <c r="P10578" t="s">
        <v>292</v>
      </c>
      <c r="Q10578">
        <v>49</v>
      </c>
      <c r="R10578">
        <v>2.35222</v>
      </c>
    </row>
    <row r="10579" spans="1:18" x14ac:dyDescent="0.2">
      <c r="A10579" t="s">
        <v>663</v>
      </c>
      <c r="B10579" t="s">
        <v>5784</v>
      </c>
      <c r="C10579">
        <v>1</v>
      </c>
      <c r="D10579" s="1">
        <v>44361.850358796299</v>
      </c>
      <c r="E10579" t="s">
        <v>32828</v>
      </c>
      <c r="F10579" t="s">
        <v>666</v>
      </c>
      <c r="G10579" t="s">
        <v>32829</v>
      </c>
      <c r="H10579" t="s">
        <v>667</v>
      </c>
      <c r="I10579" t="s">
        <v>29</v>
      </c>
      <c r="J10579">
        <v>1</v>
      </c>
      <c r="K10579">
        <f>1-844-474-7646</f>
        <v>-8963</v>
      </c>
      <c r="L10579" t="s">
        <v>32830</v>
      </c>
      <c r="M10579" t="s">
        <v>32831</v>
      </c>
      <c r="N10579" t="s">
        <v>25263</v>
      </c>
      <c r="O10579" t="s">
        <v>28</v>
      </c>
      <c r="P10579" t="s">
        <v>5789</v>
      </c>
      <c r="Q10579">
        <v>13</v>
      </c>
      <c r="R10579">
        <v>77.585499999999996</v>
      </c>
    </row>
    <row r="10580" spans="1:18" x14ac:dyDescent="0.2">
      <c r="A10580" t="s">
        <v>439</v>
      </c>
      <c r="B10580" t="s">
        <v>4321</v>
      </c>
      <c r="C10580">
        <v>1</v>
      </c>
      <c r="D10580" s="1">
        <v>44361.892858796295</v>
      </c>
      <c r="E10580" t="s">
        <v>32832</v>
      </c>
      <c r="F10580" t="s">
        <v>442</v>
      </c>
      <c r="G10580" t="s">
        <v>32833</v>
      </c>
      <c r="H10580" t="s">
        <v>444</v>
      </c>
      <c r="I10580" t="s">
        <v>29</v>
      </c>
      <c r="J10580">
        <v>1</v>
      </c>
      <c r="K10580">
        <f>1-888-786-4714</f>
        <v>-6387</v>
      </c>
      <c r="L10580" t="s">
        <v>32834</v>
      </c>
      <c r="M10580" t="s">
        <v>32835</v>
      </c>
      <c r="N10580" t="s">
        <v>452</v>
      </c>
      <c r="O10580" t="s">
        <v>28</v>
      </c>
      <c r="P10580" t="s">
        <v>29</v>
      </c>
      <c r="Q10580">
        <v>42</v>
      </c>
      <c r="R10580">
        <v>-87.629800000000003</v>
      </c>
    </row>
    <row r="10581" spans="1:18" x14ac:dyDescent="0.2">
      <c r="A10581" t="s">
        <v>439</v>
      </c>
      <c r="B10581" t="s">
        <v>4321</v>
      </c>
      <c r="C10581">
        <v>1</v>
      </c>
      <c r="D10581" s="1">
        <v>44361.892534722225</v>
      </c>
      <c r="E10581" t="s">
        <v>32832</v>
      </c>
      <c r="F10581" t="s">
        <v>442</v>
      </c>
      <c r="G10581" t="s">
        <v>32833</v>
      </c>
      <c r="H10581" t="s">
        <v>444</v>
      </c>
      <c r="I10581" t="s">
        <v>29</v>
      </c>
      <c r="J10581">
        <v>1</v>
      </c>
      <c r="K10581">
        <f>1-888-909-1333</f>
        <v>-3129</v>
      </c>
      <c r="L10581" t="s">
        <v>32836</v>
      </c>
      <c r="M10581" t="s">
        <v>32837</v>
      </c>
      <c r="N10581" t="s">
        <v>452</v>
      </c>
      <c r="O10581" t="s">
        <v>28</v>
      </c>
      <c r="P10581" t="s">
        <v>29</v>
      </c>
      <c r="Q10581">
        <v>42</v>
      </c>
      <c r="R10581">
        <v>-87.629800000000003</v>
      </c>
    </row>
    <row r="10582" spans="1:18" x14ac:dyDescent="0.2">
      <c r="A10582" t="s">
        <v>439</v>
      </c>
      <c r="B10582" t="s">
        <v>4321</v>
      </c>
      <c r="C10582">
        <v>1</v>
      </c>
      <c r="D10582" s="1">
        <v>44361.892233796294</v>
      </c>
      <c r="E10582" t="s">
        <v>32832</v>
      </c>
      <c r="F10582" t="s">
        <v>442</v>
      </c>
      <c r="G10582" t="s">
        <v>32833</v>
      </c>
      <c r="H10582" t="s">
        <v>444</v>
      </c>
      <c r="I10582" t="s">
        <v>29</v>
      </c>
      <c r="J10582">
        <v>1</v>
      </c>
      <c r="K10582">
        <f>1-888-803-824</f>
        <v>-2514</v>
      </c>
      <c r="L10582" t="s">
        <v>32838</v>
      </c>
      <c r="M10582" t="s">
        <v>32839</v>
      </c>
      <c r="N10582" t="s">
        <v>452</v>
      </c>
      <c r="O10582" t="s">
        <v>28</v>
      </c>
      <c r="P10582" t="s">
        <v>29</v>
      </c>
      <c r="Q10582">
        <v>42</v>
      </c>
      <c r="R10582">
        <v>-87.629800000000003</v>
      </c>
    </row>
    <row r="10583" spans="1:18" x14ac:dyDescent="0.2">
      <c r="A10583" t="s">
        <v>439</v>
      </c>
      <c r="B10583" t="s">
        <v>4321</v>
      </c>
      <c r="C10583">
        <v>1</v>
      </c>
      <c r="D10583" s="1">
        <v>44361.892060185186</v>
      </c>
      <c r="E10583" t="s">
        <v>32832</v>
      </c>
      <c r="F10583" t="s">
        <v>442</v>
      </c>
      <c r="G10583" t="s">
        <v>32833</v>
      </c>
      <c r="H10583" t="s">
        <v>444</v>
      </c>
      <c r="I10583" t="s">
        <v>29</v>
      </c>
      <c r="J10583">
        <v>1</v>
      </c>
      <c r="K10583">
        <f>1-888-787-3351</f>
        <v>-5025</v>
      </c>
      <c r="L10583" t="s">
        <v>32840</v>
      </c>
      <c r="M10583" t="s">
        <v>32841</v>
      </c>
      <c r="N10583" t="s">
        <v>452</v>
      </c>
      <c r="O10583" t="s">
        <v>28</v>
      </c>
      <c r="P10583" t="s">
        <v>29</v>
      </c>
      <c r="Q10583">
        <v>42</v>
      </c>
      <c r="R10583">
        <v>-87.629800000000003</v>
      </c>
    </row>
    <row r="10584" spans="1:18" x14ac:dyDescent="0.2">
      <c r="A10584" t="s">
        <v>663</v>
      </c>
      <c r="B10584" t="s">
        <v>5784</v>
      </c>
      <c r="C10584">
        <v>1</v>
      </c>
      <c r="D10584" s="1">
        <v>44361.893553240741</v>
      </c>
      <c r="E10584" t="s">
        <v>32842</v>
      </c>
      <c r="F10584" t="s">
        <v>666</v>
      </c>
      <c r="G10584" t="s">
        <v>32843</v>
      </c>
      <c r="H10584" t="s">
        <v>667</v>
      </c>
      <c r="I10584" t="s">
        <v>29</v>
      </c>
      <c r="J10584">
        <v>1</v>
      </c>
      <c r="K10584">
        <f>1-844-206-3713</f>
        <v>-4762</v>
      </c>
      <c r="L10584" t="s">
        <v>32844</v>
      </c>
      <c r="M10584" t="s">
        <v>32845</v>
      </c>
      <c r="N10584" t="s">
        <v>25263</v>
      </c>
      <c r="O10584" t="s">
        <v>28</v>
      </c>
      <c r="P10584" t="s">
        <v>5789</v>
      </c>
      <c r="Q10584">
        <v>13</v>
      </c>
      <c r="R10584">
        <v>77.585499999999996</v>
      </c>
    </row>
    <row r="10585" spans="1:18" x14ac:dyDescent="0.2">
      <c r="A10585" t="s">
        <v>439</v>
      </c>
      <c r="B10585" t="s">
        <v>4321</v>
      </c>
      <c r="C10585">
        <v>1</v>
      </c>
      <c r="D10585" s="1">
        <v>44361.894305555557</v>
      </c>
      <c r="E10585" t="s">
        <v>32846</v>
      </c>
      <c r="F10585" t="s">
        <v>442</v>
      </c>
      <c r="G10585" t="s">
        <v>32847</v>
      </c>
      <c r="H10585" t="s">
        <v>444</v>
      </c>
      <c r="I10585" t="s">
        <v>29</v>
      </c>
      <c r="J10585">
        <v>1</v>
      </c>
      <c r="K10585">
        <f>1-855-707-2108</f>
        <v>-3669</v>
      </c>
      <c r="L10585" t="s">
        <v>32848</v>
      </c>
      <c r="M10585" t="s">
        <v>32849</v>
      </c>
      <c r="N10585" t="s">
        <v>213</v>
      </c>
      <c r="O10585" t="s">
        <v>28</v>
      </c>
      <c r="P10585" t="s">
        <v>29</v>
      </c>
      <c r="Q10585">
        <v>42</v>
      </c>
      <c r="R10585">
        <v>-87.629800000000003</v>
      </c>
    </row>
    <row r="10586" spans="1:18" x14ac:dyDescent="0.2">
      <c r="A10586" t="s">
        <v>439</v>
      </c>
      <c r="B10586" t="s">
        <v>4321</v>
      </c>
      <c r="C10586">
        <v>1</v>
      </c>
      <c r="D10586" s="1">
        <v>44361.944178240738</v>
      </c>
      <c r="E10586" t="s">
        <v>32850</v>
      </c>
      <c r="F10586" t="s">
        <v>442</v>
      </c>
      <c r="G10586" t="s">
        <v>32851</v>
      </c>
      <c r="H10586" t="s">
        <v>444</v>
      </c>
      <c r="I10586" t="s">
        <v>29</v>
      </c>
      <c r="J10586">
        <v>1</v>
      </c>
      <c r="K10586">
        <f>1-888-786-4714</f>
        <v>-6387</v>
      </c>
      <c r="L10586" t="s">
        <v>32852</v>
      </c>
      <c r="M10586" t="s">
        <v>32853</v>
      </c>
      <c r="N10586" t="s">
        <v>452</v>
      </c>
      <c r="O10586" t="s">
        <v>28</v>
      </c>
      <c r="P10586" t="s">
        <v>29</v>
      </c>
      <c r="Q10586">
        <v>42</v>
      </c>
      <c r="R10586">
        <v>-87.629800000000003</v>
      </c>
    </row>
    <row r="10587" spans="1:18" x14ac:dyDescent="0.2">
      <c r="A10587" t="s">
        <v>439</v>
      </c>
      <c r="B10587" t="s">
        <v>4321</v>
      </c>
      <c r="C10587">
        <v>1</v>
      </c>
      <c r="D10587" s="1">
        <v>44361.943865740737</v>
      </c>
      <c r="E10587" t="s">
        <v>32850</v>
      </c>
      <c r="F10587" t="s">
        <v>442</v>
      </c>
      <c r="G10587" t="s">
        <v>32851</v>
      </c>
      <c r="H10587" t="s">
        <v>444</v>
      </c>
      <c r="I10587" t="s">
        <v>29</v>
      </c>
      <c r="J10587">
        <v>1</v>
      </c>
      <c r="K10587">
        <f>1-888-787-4557</f>
        <v>-6231</v>
      </c>
      <c r="L10587" t="s">
        <v>32854</v>
      </c>
      <c r="M10587" t="s">
        <v>32855</v>
      </c>
      <c r="N10587" t="s">
        <v>452</v>
      </c>
      <c r="O10587" t="s">
        <v>28</v>
      </c>
      <c r="P10587" t="s">
        <v>29</v>
      </c>
      <c r="Q10587">
        <v>42</v>
      </c>
      <c r="R10587">
        <v>-87.629800000000003</v>
      </c>
    </row>
    <row r="10588" spans="1:18" x14ac:dyDescent="0.2">
      <c r="A10588" t="s">
        <v>439</v>
      </c>
      <c r="B10588" t="s">
        <v>4321</v>
      </c>
      <c r="C10588">
        <v>1</v>
      </c>
      <c r="D10588" s="1">
        <v>44361.943749999999</v>
      </c>
      <c r="E10588" t="s">
        <v>32850</v>
      </c>
      <c r="F10588" t="s">
        <v>442</v>
      </c>
      <c r="G10588" t="s">
        <v>32851</v>
      </c>
      <c r="H10588" t="s">
        <v>444</v>
      </c>
      <c r="I10588" t="s">
        <v>29</v>
      </c>
      <c r="J10588">
        <v>1</v>
      </c>
      <c r="K10588">
        <f>1-888-909-1333</f>
        <v>-3129</v>
      </c>
      <c r="L10588" t="s">
        <v>32856</v>
      </c>
      <c r="M10588" t="s">
        <v>32857</v>
      </c>
      <c r="N10588" t="s">
        <v>452</v>
      </c>
      <c r="O10588" t="s">
        <v>28</v>
      </c>
      <c r="P10588" t="s">
        <v>29</v>
      </c>
      <c r="Q10588">
        <v>42</v>
      </c>
      <c r="R10588">
        <v>-87.629800000000003</v>
      </c>
    </row>
    <row r="10589" spans="1:18" x14ac:dyDescent="0.2">
      <c r="A10589" t="s">
        <v>439</v>
      </c>
      <c r="B10589" t="s">
        <v>4321</v>
      </c>
      <c r="C10589">
        <v>1</v>
      </c>
      <c r="D10589" s="1">
        <v>44361.943333333336</v>
      </c>
      <c r="E10589" t="s">
        <v>32850</v>
      </c>
      <c r="F10589" t="s">
        <v>442</v>
      </c>
      <c r="G10589" t="s">
        <v>32851</v>
      </c>
      <c r="H10589" t="s">
        <v>444</v>
      </c>
      <c r="I10589" t="s">
        <v>29</v>
      </c>
      <c r="J10589">
        <v>1</v>
      </c>
      <c r="K10589">
        <f>1-888-787-3351</f>
        <v>-5025</v>
      </c>
      <c r="L10589" t="s">
        <v>32858</v>
      </c>
      <c r="M10589" t="s">
        <v>32859</v>
      </c>
      <c r="N10589" t="s">
        <v>452</v>
      </c>
      <c r="O10589" t="s">
        <v>28</v>
      </c>
      <c r="P10589" t="s">
        <v>29</v>
      </c>
      <c r="Q10589">
        <v>42</v>
      </c>
      <c r="R10589">
        <v>-87.629800000000003</v>
      </c>
    </row>
    <row r="10590" spans="1:18" x14ac:dyDescent="0.2">
      <c r="A10590" t="s">
        <v>439</v>
      </c>
      <c r="B10590" t="s">
        <v>4321</v>
      </c>
      <c r="C10590">
        <v>1</v>
      </c>
      <c r="D10590" s="1">
        <v>44361.919641203705</v>
      </c>
      <c r="E10590" t="s">
        <v>32850</v>
      </c>
      <c r="F10590" t="s">
        <v>442</v>
      </c>
      <c r="G10590" t="s">
        <v>32851</v>
      </c>
      <c r="H10590" t="s">
        <v>444</v>
      </c>
      <c r="I10590" t="s">
        <v>29</v>
      </c>
      <c r="J10590">
        <v>1</v>
      </c>
      <c r="K10590">
        <f>1-888-803-824</f>
        <v>-2514</v>
      </c>
      <c r="L10590" t="s">
        <v>32860</v>
      </c>
      <c r="M10590" t="s">
        <v>32861</v>
      </c>
      <c r="N10590" t="s">
        <v>452</v>
      </c>
      <c r="O10590" t="s">
        <v>28</v>
      </c>
      <c r="P10590" t="s">
        <v>29</v>
      </c>
      <c r="Q10590">
        <v>42</v>
      </c>
      <c r="R10590">
        <v>-87.629800000000003</v>
      </c>
    </row>
    <row r="10591" spans="1:18" x14ac:dyDescent="0.2">
      <c r="A10591" t="s">
        <v>439</v>
      </c>
      <c r="B10591" t="s">
        <v>4321</v>
      </c>
      <c r="C10591">
        <v>1</v>
      </c>
      <c r="D10591" s="1">
        <v>44359.009675925925</v>
      </c>
      <c r="E10591" t="s">
        <v>32862</v>
      </c>
      <c r="F10591" t="s">
        <v>442</v>
      </c>
      <c r="G10591" t="s">
        <v>32863</v>
      </c>
      <c r="H10591" t="s">
        <v>444</v>
      </c>
      <c r="I10591" t="s">
        <v>29</v>
      </c>
      <c r="J10591">
        <v>1</v>
      </c>
      <c r="K10591">
        <f>1-844-721-633</f>
        <v>-2197</v>
      </c>
      <c r="L10591" t="s">
        <v>32864</v>
      </c>
      <c r="M10591" t="s">
        <v>32865</v>
      </c>
      <c r="N10591" t="s">
        <v>447</v>
      </c>
      <c r="O10591" t="s">
        <v>28</v>
      </c>
      <c r="P10591" t="s">
        <v>29</v>
      </c>
      <c r="Q10591">
        <v>42</v>
      </c>
      <c r="R10591">
        <v>-87.629800000000003</v>
      </c>
    </row>
    <row r="10592" spans="1:18" x14ac:dyDescent="0.2">
      <c r="A10592" t="s">
        <v>270</v>
      </c>
      <c r="B10592" t="s">
        <v>271</v>
      </c>
      <c r="C10592">
        <v>1</v>
      </c>
      <c r="D10592" s="1">
        <v>44368.983460648145</v>
      </c>
      <c r="E10592" t="s">
        <v>32866</v>
      </c>
      <c r="F10592" t="s">
        <v>273</v>
      </c>
      <c r="G10592" t="s">
        <v>32867</v>
      </c>
      <c r="H10592" t="s">
        <v>275</v>
      </c>
      <c r="I10592" t="s">
        <v>29</v>
      </c>
      <c r="J10592">
        <v>1</v>
      </c>
      <c r="K10592">
        <f t="shared" ref="K10592:K10600" si="67">1-602-563-5577</f>
        <v>-6741</v>
      </c>
      <c r="L10592" t="s">
        <v>32868</v>
      </c>
      <c r="M10592" t="s">
        <v>32869</v>
      </c>
      <c r="N10592" t="s">
        <v>278</v>
      </c>
      <c r="O10592" t="s">
        <v>28</v>
      </c>
      <c r="P10592" t="s">
        <v>29</v>
      </c>
      <c r="Q10592">
        <v>42</v>
      </c>
      <c r="R10592">
        <v>-93.620800000000003</v>
      </c>
    </row>
    <row r="10593" spans="1:18" x14ac:dyDescent="0.2">
      <c r="A10593" t="s">
        <v>270</v>
      </c>
      <c r="B10593" t="s">
        <v>271</v>
      </c>
      <c r="C10593">
        <v>1</v>
      </c>
      <c r="D10593" s="1">
        <v>44368.983402777776</v>
      </c>
      <c r="E10593" t="s">
        <v>32870</v>
      </c>
      <c r="F10593" t="s">
        <v>273</v>
      </c>
      <c r="G10593" t="s">
        <v>32867</v>
      </c>
      <c r="H10593" t="s">
        <v>275</v>
      </c>
      <c r="I10593" t="s">
        <v>29</v>
      </c>
      <c r="J10593">
        <v>1</v>
      </c>
      <c r="K10593">
        <f t="shared" si="67"/>
        <v>-6741</v>
      </c>
      <c r="L10593" t="s">
        <v>32871</v>
      </c>
      <c r="M10593" t="s">
        <v>32872</v>
      </c>
      <c r="N10593" t="s">
        <v>278</v>
      </c>
      <c r="O10593" t="s">
        <v>28</v>
      </c>
      <c r="P10593" t="s">
        <v>29</v>
      </c>
      <c r="Q10593">
        <v>42</v>
      </c>
      <c r="R10593">
        <v>-93.620800000000003</v>
      </c>
    </row>
    <row r="10594" spans="1:18" x14ac:dyDescent="0.2">
      <c r="A10594" t="s">
        <v>270</v>
      </c>
      <c r="B10594" t="s">
        <v>271</v>
      </c>
      <c r="C10594">
        <v>1</v>
      </c>
      <c r="D10594" s="1">
        <v>44368.983344907407</v>
      </c>
      <c r="E10594" t="s">
        <v>32873</v>
      </c>
      <c r="F10594" t="s">
        <v>273</v>
      </c>
      <c r="G10594" t="s">
        <v>32867</v>
      </c>
      <c r="H10594" t="s">
        <v>275</v>
      </c>
      <c r="I10594" t="s">
        <v>29</v>
      </c>
      <c r="J10594">
        <v>1</v>
      </c>
      <c r="K10594">
        <f t="shared" si="67"/>
        <v>-6741</v>
      </c>
      <c r="L10594" t="s">
        <v>32874</v>
      </c>
      <c r="M10594" t="s">
        <v>32875</v>
      </c>
      <c r="N10594" t="s">
        <v>278</v>
      </c>
      <c r="O10594" t="s">
        <v>28</v>
      </c>
      <c r="P10594" t="s">
        <v>29</v>
      </c>
      <c r="Q10594">
        <v>42</v>
      </c>
      <c r="R10594">
        <v>-93.620800000000003</v>
      </c>
    </row>
    <row r="10595" spans="1:18" x14ac:dyDescent="0.2">
      <c r="A10595" t="s">
        <v>270</v>
      </c>
      <c r="B10595" t="s">
        <v>271</v>
      </c>
      <c r="C10595">
        <v>1</v>
      </c>
      <c r="D10595" s="1">
        <v>44368.983287037037</v>
      </c>
      <c r="E10595" t="s">
        <v>32876</v>
      </c>
      <c r="F10595" t="s">
        <v>273</v>
      </c>
      <c r="G10595" t="s">
        <v>32867</v>
      </c>
      <c r="H10595" t="s">
        <v>275</v>
      </c>
      <c r="I10595" t="s">
        <v>29</v>
      </c>
      <c r="J10595">
        <v>1</v>
      </c>
      <c r="K10595">
        <f t="shared" si="67"/>
        <v>-6741</v>
      </c>
      <c r="L10595" t="s">
        <v>32877</v>
      </c>
      <c r="M10595" t="s">
        <v>32878</v>
      </c>
      <c r="N10595" t="s">
        <v>278</v>
      </c>
      <c r="O10595" t="s">
        <v>28</v>
      </c>
      <c r="P10595" t="s">
        <v>29</v>
      </c>
      <c r="Q10595">
        <v>42</v>
      </c>
      <c r="R10595">
        <v>-93.620800000000003</v>
      </c>
    </row>
    <row r="10596" spans="1:18" x14ac:dyDescent="0.2">
      <c r="A10596" t="s">
        <v>270</v>
      </c>
      <c r="B10596" t="s">
        <v>271</v>
      </c>
      <c r="C10596">
        <v>1</v>
      </c>
      <c r="D10596" s="1">
        <v>44368.983229166668</v>
      </c>
      <c r="E10596" t="s">
        <v>32879</v>
      </c>
      <c r="F10596" t="s">
        <v>273</v>
      </c>
      <c r="G10596" t="s">
        <v>32867</v>
      </c>
      <c r="H10596" t="s">
        <v>275</v>
      </c>
      <c r="I10596" t="s">
        <v>29</v>
      </c>
      <c r="J10596">
        <v>1</v>
      </c>
      <c r="K10596">
        <f t="shared" si="67"/>
        <v>-6741</v>
      </c>
      <c r="L10596" t="s">
        <v>32880</v>
      </c>
      <c r="M10596" t="s">
        <v>32881</v>
      </c>
      <c r="N10596" t="s">
        <v>278</v>
      </c>
      <c r="O10596" t="s">
        <v>28</v>
      </c>
      <c r="P10596" t="s">
        <v>29</v>
      </c>
      <c r="Q10596">
        <v>42</v>
      </c>
      <c r="R10596">
        <v>-93.620800000000003</v>
      </c>
    </row>
    <row r="10597" spans="1:18" x14ac:dyDescent="0.2">
      <c r="A10597" t="s">
        <v>270</v>
      </c>
      <c r="B10597" t="s">
        <v>271</v>
      </c>
      <c r="C10597">
        <v>1</v>
      </c>
      <c r="D10597" s="1">
        <v>44368.983171296299</v>
      </c>
      <c r="E10597" t="s">
        <v>32882</v>
      </c>
      <c r="F10597" t="s">
        <v>273</v>
      </c>
      <c r="G10597" t="s">
        <v>32867</v>
      </c>
      <c r="H10597" t="s">
        <v>275</v>
      </c>
      <c r="I10597" t="s">
        <v>29</v>
      </c>
      <c r="J10597">
        <v>1</v>
      </c>
      <c r="K10597">
        <f t="shared" si="67"/>
        <v>-6741</v>
      </c>
      <c r="L10597" t="s">
        <v>32883</v>
      </c>
      <c r="M10597" t="s">
        <v>32884</v>
      </c>
      <c r="N10597" t="s">
        <v>278</v>
      </c>
      <c r="O10597" t="s">
        <v>28</v>
      </c>
      <c r="P10597" t="s">
        <v>29</v>
      </c>
      <c r="Q10597">
        <v>42</v>
      </c>
      <c r="R10597">
        <v>-93.620800000000003</v>
      </c>
    </row>
    <row r="10598" spans="1:18" x14ac:dyDescent="0.2">
      <c r="A10598" t="s">
        <v>270</v>
      </c>
      <c r="B10598" t="s">
        <v>271</v>
      </c>
      <c r="C10598">
        <v>1</v>
      </c>
      <c r="D10598" s="1">
        <v>44368.983113425929</v>
      </c>
      <c r="E10598" t="s">
        <v>32885</v>
      </c>
      <c r="F10598" t="s">
        <v>273</v>
      </c>
      <c r="G10598" t="s">
        <v>32867</v>
      </c>
      <c r="H10598" t="s">
        <v>275</v>
      </c>
      <c r="I10598" t="s">
        <v>29</v>
      </c>
      <c r="J10598">
        <v>1</v>
      </c>
      <c r="K10598">
        <f t="shared" si="67"/>
        <v>-6741</v>
      </c>
      <c r="L10598" t="s">
        <v>32886</v>
      </c>
      <c r="M10598" t="s">
        <v>32887</v>
      </c>
      <c r="N10598" t="s">
        <v>278</v>
      </c>
      <c r="O10598" t="s">
        <v>28</v>
      </c>
      <c r="P10598" t="s">
        <v>29</v>
      </c>
      <c r="Q10598">
        <v>42</v>
      </c>
      <c r="R10598">
        <v>-93.620800000000003</v>
      </c>
    </row>
    <row r="10599" spans="1:18" x14ac:dyDescent="0.2">
      <c r="A10599" t="s">
        <v>270</v>
      </c>
      <c r="B10599" t="s">
        <v>271</v>
      </c>
      <c r="C10599">
        <v>1</v>
      </c>
      <c r="D10599" s="1">
        <v>44368.982604166667</v>
      </c>
      <c r="E10599" t="s">
        <v>32888</v>
      </c>
      <c r="F10599" t="s">
        <v>273</v>
      </c>
      <c r="G10599" t="s">
        <v>32867</v>
      </c>
      <c r="H10599" t="s">
        <v>275</v>
      </c>
      <c r="I10599" t="s">
        <v>29</v>
      </c>
      <c r="J10599">
        <v>1</v>
      </c>
      <c r="K10599">
        <f t="shared" si="67"/>
        <v>-6741</v>
      </c>
      <c r="L10599" t="s">
        <v>32889</v>
      </c>
      <c r="M10599" t="s">
        <v>32890</v>
      </c>
      <c r="N10599" t="s">
        <v>278</v>
      </c>
      <c r="O10599" t="s">
        <v>28</v>
      </c>
      <c r="P10599" t="s">
        <v>29</v>
      </c>
      <c r="Q10599">
        <v>42</v>
      </c>
      <c r="R10599">
        <v>-93.620800000000003</v>
      </c>
    </row>
    <row r="10600" spans="1:18" x14ac:dyDescent="0.2">
      <c r="A10600" t="s">
        <v>270</v>
      </c>
      <c r="B10600" t="s">
        <v>271</v>
      </c>
      <c r="C10600">
        <v>1</v>
      </c>
      <c r="D10600" s="1">
        <v>44368.874861111108</v>
      </c>
      <c r="E10600" t="s">
        <v>32891</v>
      </c>
      <c r="F10600" t="s">
        <v>273</v>
      </c>
      <c r="G10600" t="s">
        <v>32867</v>
      </c>
      <c r="H10600" t="s">
        <v>275</v>
      </c>
      <c r="I10600" t="s">
        <v>29</v>
      </c>
      <c r="J10600">
        <v>1</v>
      </c>
      <c r="K10600">
        <f t="shared" si="67"/>
        <v>-6741</v>
      </c>
      <c r="L10600" t="s">
        <v>32892</v>
      </c>
      <c r="M10600" t="s">
        <v>32893</v>
      </c>
      <c r="N10600" t="s">
        <v>278</v>
      </c>
      <c r="O10600" t="s">
        <v>28</v>
      </c>
      <c r="P10600" t="s">
        <v>29</v>
      </c>
      <c r="Q10600">
        <v>42</v>
      </c>
      <c r="R10600">
        <v>-93.620800000000003</v>
      </c>
    </row>
    <row r="10601" spans="1:18" x14ac:dyDescent="0.2">
      <c r="A10601" t="s">
        <v>270</v>
      </c>
      <c r="B10601" t="s">
        <v>271</v>
      </c>
      <c r="C10601">
        <v>1</v>
      </c>
      <c r="D10601" s="1">
        <v>44361.953715277778</v>
      </c>
      <c r="E10601" t="s">
        <v>32894</v>
      </c>
      <c r="F10601" t="s">
        <v>273</v>
      </c>
      <c r="G10601" t="s">
        <v>32867</v>
      </c>
      <c r="H10601" t="s">
        <v>275</v>
      </c>
      <c r="I10601" t="s">
        <v>29</v>
      </c>
      <c r="J10601">
        <v>1</v>
      </c>
      <c r="K10601">
        <f t="shared" ref="K10601:K10610" si="68">1-804-223-945</f>
        <v>-1971</v>
      </c>
      <c r="L10601" t="s">
        <v>32895</v>
      </c>
      <c r="M10601" t="s">
        <v>32896</v>
      </c>
      <c r="N10601" t="s">
        <v>278</v>
      </c>
      <c r="O10601" t="s">
        <v>28</v>
      </c>
      <c r="P10601" t="s">
        <v>29</v>
      </c>
      <c r="Q10601">
        <v>42</v>
      </c>
      <c r="R10601">
        <v>-93.620800000000003</v>
      </c>
    </row>
    <row r="10602" spans="1:18" x14ac:dyDescent="0.2">
      <c r="A10602" t="s">
        <v>270</v>
      </c>
      <c r="B10602" t="s">
        <v>271</v>
      </c>
      <c r="C10602">
        <v>1</v>
      </c>
      <c r="D10602" s="1">
        <v>44361.952731481484</v>
      </c>
      <c r="E10602" t="s">
        <v>32897</v>
      </c>
      <c r="F10602" t="s">
        <v>273</v>
      </c>
      <c r="G10602" t="s">
        <v>32867</v>
      </c>
      <c r="H10602" t="s">
        <v>275</v>
      </c>
      <c r="I10602" t="s">
        <v>29</v>
      </c>
      <c r="J10602">
        <v>1</v>
      </c>
      <c r="K10602">
        <f t="shared" si="68"/>
        <v>-1971</v>
      </c>
      <c r="L10602" t="s">
        <v>32898</v>
      </c>
      <c r="M10602" t="s">
        <v>32899</v>
      </c>
      <c r="N10602" t="s">
        <v>278</v>
      </c>
      <c r="O10602" t="s">
        <v>28</v>
      </c>
      <c r="P10602" t="s">
        <v>29</v>
      </c>
      <c r="Q10602">
        <v>42</v>
      </c>
      <c r="R10602">
        <v>-93.620800000000003</v>
      </c>
    </row>
    <row r="10603" spans="1:18" x14ac:dyDescent="0.2">
      <c r="A10603" t="s">
        <v>270</v>
      </c>
      <c r="B10603" t="s">
        <v>271</v>
      </c>
      <c r="C10603">
        <v>1</v>
      </c>
      <c r="D10603" s="1">
        <v>44361.952650462961</v>
      </c>
      <c r="E10603" t="s">
        <v>32900</v>
      </c>
      <c r="F10603" t="s">
        <v>273</v>
      </c>
      <c r="G10603" t="s">
        <v>32867</v>
      </c>
      <c r="H10603" t="s">
        <v>275</v>
      </c>
      <c r="I10603" t="s">
        <v>29</v>
      </c>
      <c r="J10603">
        <v>1</v>
      </c>
      <c r="K10603">
        <f t="shared" si="68"/>
        <v>-1971</v>
      </c>
      <c r="L10603" t="s">
        <v>32901</v>
      </c>
      <c r="M10603" t="s">
        <v>32902</v>
      </c>
      <c r="N10603" t="s">
        <v>278</v>
      </c>
      <c r="O10603" t="s">
        <v>28</v>
      </c>
      <c r="P10603" t="s">
        <v>29</v>
      </c>
      <c r="Q10603">
        <v>42</v>
      </c>
      <c r="R10603">
        <v>-93.620800000000003</v>
      </c>
    </row>
    <row r="10604" spans="1:18" x14ac:dyDescent="0.2">
      <c r="A10604" t="s">
        <v>270</v>
      </c>
      <c r="B10604" t="s">
        <v>271</v>
      </c>
      <c r="C10604">
        <v>1</v>
      </c>
      <c r="D10604" s="1">
        <v>44361.952604166669</v>
      </c>
      <c r="E10604" t="s">
        <v>32903</v>
      </c>
      <c r="F10604" t="s">
        <v>273</v>
      </c>
      <c r="G10604" t="s">
        <v>32867</v>
      </c>
      <c r="H10604" t="s">
        <v>275</v>
      </c>
      <c r="I10604" t="s">
        <v>29</v>
      </c>
      <c r="J10604">
        <v>1</v>
      </c>
      <c r="K10604">
        <f t="shared" si="68"/>
        <v>-1971</v>
      </c>
      <c r="L10604" t="s">
        <v>32904</v>
      </c>
      <c r="M10604" t="s">
        <v>32905</v>
      </c>
      <c r="N10604" t="s">
        <v>278</v>
      </c>
      <c r="O10604" t="s">
        <v>28</v>
      </c>
      <c r="P10604" t="s">
        <v>29</v>
      </c>
      <c r="Q10604">
        <v>42</v>
      </c>
      <c r="R10604">
        <v>-93.620800000000003</v>
      </c>
    </row>
    <row r="10605" spans="1:18" x14ac:dyDescent="0.2">
      <c r="A10605" t="s">
        <v>270</v>
      </c>
      <c r="B10605" t="s">
        <v>271</v>
      </c>
      <c r="C10605">
        <v>1</v>
      </c>
      <c r="D10605" s="1">
        <v>44361.952546296299</v>
      </c>
      <c r="E10605" t="s">
        <v>32906</v>
      </c>
      <c r="F10605" t="s">
        <v>273</v>
      </c>
      <c r="G10605" t="s">
        <v>32867</v>
      </c>
      <c r="H10605" t="s">
        <v>275</v>
      </c>
      <c r="I10605" t="s">
        <v>29</v>
      </c>
      <c r="J10605">
        <v>1</v>
      </c>
      <c r="K10605">
        <f t="shared" si="68"/>
        <v>-1971</v>
      </c>
      <c r="L10605" t="s">
        <v>32907</v>
      </c>
      <c r="M10605" t="s">
        <v>32908</v>
      </c>
      <c r="N10605" t="s">
        <v>278</v>
      </c>
      <c r="O10605" t="s">
        <v>28</v>
      </c>
      <c r="P10605" t="s">
        <v>29</v>
      </c>
      <c r="Q10605">
        <v>42</v>
      </c>
      <c r="R10605">
        <v>-93.620800000000003</v>
      </c>
    </row>
    <row r="10606" spans="1:18" x14ac:dyDescent="0.2">
      <c r="A10606" t="s">
        <v>270</v>
      </c>
      <c r="B10606" t="s">
        <v>271</v>
      </c>
      <c r="C10606">
        <v>1</v>
      </c>
      <c r="D10606" s="1">
        <v>44361.952488425923</v>
      </c>
      <c r="E10606" t="s">
        <v>32909</v>
      </c>
      <c r="F10606" t="s">
        <v>273</v>
      </c>
      <c r="G10606" t="s">
        <v>32867</v>
      </c>
      <c r="H10606" t="s">
        <v>275</v>
      </c>
      <c r="I10606" t="s">
        <v>29</v>
      </c>
      <c r="J10606">
        <v>1</v>
      </c>
      <c r="K10606">
        <f t="shared" si="68"/>
        <v>-1971</v>
      </c>
      <c r="L10606" t="s">
        <v>32910</v>
      </c>
      <c r="M10606" t="s">
        <v>32911</v>
      </c>
      <c r="N10606" t="s">
        <v>278</v>
      </c>
      <c r="O10606" t="s">
        <v>28</v>
      </c>
      <c r="P10606" t="s">
        <v>29</v>
      </c>
      <c r="Q10606">
        <v>42</v>
      </c>
      <c r="R10606">
        <v>-93.620800000000003</v>
      </c>
    </row>
    <row r="10607" spans="1:18" x14ac:dyDescent="0.2">
      <c r="A10607" t="s">
        <v>270</v>
      </c>
      <c r="B10607" t="s">
        <v>271</v>
      </c>
      <c r="C10607">
        <v>1</v>
      </c>
      <c r="D10607" s="1">
        <v>44361.952349537038</v>
      </c>
      <c r="E10607" t="s">
        <v>32912</v>
      </c>
      <c r="F10607" t="s">
        <v>273</v>
      </c>
      <c r="G10607" t="s">
        <v>32867</v>
      </c>
      <c r="H10607" t="s">
        <v>275</v>
      </c>
      <c r="I10607" t="s">
        <v>29</v>
      </c>
      <c r="J10607">
        <v>1</v>
      </c>
      <c r="K10607">
        <f t="shared" si="68"/>
        <v>-1971</v>
      </c>
      <c r="L10607" t="s">
        <v>32913</v>
      </c>
      <c r="M10607" t="s">
        <v>32914</v>
      </c>
      <c r="N10607" t="s">
        <v>278</v>
      </c>
      <c r="O10607" t="s">
        <v>28</v>
      </c>
      <c r="P10607" t="s">
        <v>29</v>
      </c>
      <c r="Q10607">
        <v>42</v>
      </c>
      <c r="R10607">
        <v>-93.620800000000003</v>
      </c>
    </row>
    <row r="10608" spans="1:18" x14ac:dyDescent="0.2">
      <c r="A10608" t="s">
        <v>270</v>
      </c>
      <c r="B10608" t="s">
        <v>271</v>
      </c>
      <c r="C10608">
        <v>1</v>
      </c>
      <c r="D10608" s="1">
        <v>44361.951643518521</v>
      </c>
      <c r="E10608" t="s">
        <v>32915</v>
      </c>
      <c r="F10608" t="s">
        <v>273</v>
      </c>
      <c r="G10608" t="s">
        <v>32867</v>
      </c>
      <c r="H10608" t="s">
        <v>275</v>
      </c>
      <c r="I10608" t="s">
        <v>29</v>
      </c>
      <c r="J10608">
        <v>1</v>
      </c>
      <c r="K10608">
        <f t="shared" si="68"/>
        <v>-1971</v>
      </c>
      <c r="L10608" t="s">
        <v>32916</v>
      </c>
      <c r="M10608" t="s">
        <v>32917</v>
      </c>
      <c r="N10608" t="s">
        <v>278</v>
      </c>
      <c r="O10608" t="s">
        <v>28</v>
      </c>
      <c r="P10608" t="s">
        <v>29</v>
      </c>
      <c r="Q10608">
        <v>42</v>
      </c>
      <c r="R10608">
        <v>-93.620800000000003</v>
      </c>
    </row>
    <row r="10609" spans="1:18" x14ac:dyDescent="0.2">
      <c r="A10609" t="s">
        <v>270</v>
      </c>
      <c r="B10609" t="s">
        <v>271</v>
      </c>
      <c r="C10609">
        <v>1</v>
      </c>
      <c r="D10609" s="1">
        <v>44361.951782407406</v>
      </c>
      <c r="E10609" t="s">
        <v>32918</v>
      </c>
      <c r="F10609" t="s">
        <v>273</v>
      </c>
      <c r="G10609" t="s">
        <v>32867</v>
      </c>
      <c r="H10609" t="s">
        <v>275</v>
      </c>
      <c r="I10609" t="s">
        <v>29</v>
      </c>
      <c r="J10609">
        <v>1</v>
      </c>
      <c r="K10609">
        <f t="shared" si="68"/>
        <v>-1971</v>
      </c>
      <c r="L10609" t="s">
        <v>32919</v>
      </c>
      <c r="M10609" t="s">
        <v>32920</v>
      </c>
      <c r="N10609" t="s">
        <v>278</v>
      </c>
      <c r="O10609" t="s">
        <v>28</v>
      </c>
      <c r="P10609" t="s">
        <v>29</v>
      </c>
      <c r="Q10609">
        <v>42</v>
      </c>
      <c r="R10609">
        <v>-93.620800000000003</v>
      </c>
    </row>
    <row r="10610" spans="1:18" x14ac:dyDescent="0.2">
      <c r="A10610" t="s">
        <v>270</v>
      </c>
      <c r="B10610" t="s">
        <v>271</v>
      </c>
      <c r="C10610">
        <v>1</v>
      </c>
      <c r="D10610" s="1">
        <v>44361.929513888892</v>
      </c>
      <c r="E10610" t="s">
        <v>32921</v>
      </c>
      <c r="F10610" t="s">
        <v>273</v>
      </c>
      <c r="G10610" t="s">
        <v>32867</v>
      </c>
      <c r="H10610" t="s">
        <v>275</v>
      </c>
      <c r="I10610" t="s">
        <v>29</v>
      </c>
      <c r="J10610">
        <v>1</v>
      </c>
      <c r="K10610">
        <f t="shared" si="68"/>
        <v>-1971</v>
      </c>
      <c r="L10610" t="s">
        <v>32922</v>
      </c>
      <c r="M10610" t="s">
        <v>32923</v>
      </c>
      <c r="N10610" t="s">
        <v>278</v>
      </c>
      <c r="O10610" t="s">
        <v>28</v>
      </c>
      <c r="P10610" t="s">
        <v>29</v>
      </c>
      <c r="Q10610">
        <v>42</v>
      </c>
      <c r="R10610">
        <v>-93.620800000000003</v>
      </c>
    </row>
    <row r="10611" spans="1:18" x14ac:dyDescent="0.2">
      <c r="A10611" t="s">
        <v>663</v>
      </c>
      <c r="B10611" t="s">
        <v>5784</v>
      </c>
      <c r="C10611">
        <v>1</v>
      </c>
      <c r="D10611" s="1">
        <v>44358.879247685189</v>
      </c>
      <c r="E10611" t="s">
        <v>32924</v>
      </c>
      <c r="F10611" t="s">
        <v>666</v>
      </c>
      <c r="G10611" t="s">
        <v>32925</v>
      </c>
      <c r="H10611" t="s">
        <v>667</v>
      </c>
      <c r="I10611" t="s">
        <v>29</v>
      </c>
      <c r="J10611">
        <v>1</v>
      </c>
      <c r="K10611">
        <f>1-844-214-8227</f>
        <v>-9284</v>
      </c>
      <c r="L10611" t="s">
        <v>32926</v>
      </c>
      <c r="M10611" t="s">
        <v>32927</v>
      </c>
      <c r="N10611" t="s">
        <v>25263</v>
      </c>
      <c r="O10611" t="s">
        <v>28</v>
      </c>
      <c r="P10611" t="s">
        <v>5789</v>
      </c>
      <c r="Q10611">
        <v>13</v>
      </c>
      <c r="R10611">
        <v>77.585499999999996</v>
      </c>
    </row>
    <row r="10612" spans="1:18" x14ac:dyDescent="0.2">
      <c r="A10612" t="s">
        <v>2233</v>
      </c>
      <c r="B10612" t="s">
        <v>1638</v>
      </c>
      <c r="C10612">
        <v>1</v>
      </c>
      <c r="D10612" s="1">
        <v>44359.011574074073</v>
      </c>
      <c r="E10612" t="s">
        <v>32554</v>
      </c>
      <c r="F10612" t="s">
        <v>7023</v>
      </c>
      <c r="G10612" t="s">
        <v>32928</v>
      </c>
      <c r="H10612" t="s">
        <v>2237</v>
      </c>
      <c r="I10612" t="s">
        <v>29</v>
      </c>
      <c r="J10612">
        <v>1</v>
      </c>
      <c r="K10612">
        <f>1-888-787-4185</f>
        <v>-5859</v>
      </c>
      <c r="L10612" t="s">
        <v>32929</v>
      </c>
      <c r="M10612" t="s">
        <v>32930</v>
      </c>
      <c r="N10612" t="s">
        <v>278</v>
      </c>
      <c r="O10612" t="s">
        <v>28</v>
      </c>
      <c r="P10612" t="s">
        <v>292</v>
      </c>
      <c r="Q10612">
        <v>49</v>
      </c>
      <c r="R10612">
        <v>2.35222</v>
      </c>
    </row>
    <row r="10613" spans="1:18" x14ac:dyDescent="0.2">
      <c r="A10613" t="s">
        <v>2233</v>
      </c>
      <c r="B10613" t="s">
        <v>1638</v>
      </c>
      <c r="C10613">
        <v>1</v>
      </c>
      <c r="D10613" s="1">
        <v>44359.014467592591</v>
      </c>
      <c r="E10613" t="s">
        <v>32554</v>
      </c>
      <c r="F10613" t="s">
        <v>2236</v>
      </c>
      <c r="G10613" t="s">
        <v>32931</v>
      </c>
      <c r="H10613" t="s">
        <v>2237</v>
      </c>
      <c r="I10613" t="s">
        <v>29</v>
      </c>
      <c r="J10613">
        <v>1</v>
      </c>
      <c r="K10613">
        <f>1-888-786-4486</f>
        <v>-6159</v>
      </c>
      <c r="L10613" t="s">
        <v>32932</v>
      </c>
      <c r="M10613" t="s">
        <v>32933</v>
      </c>
      <c r="N10613" t="s">
        <v>278</v>
      </c>
      <c r="O10613" t="s">
        <v>28</v>
      </c>
      <c r="P10613" t="s">
        <v>292</v>
      </c>
      <c r="Q10613">
        <v>49</v>
      </c>
      <c r="R10613">
        <v>2.35222</v>
      </c>
    </row>
    <row r="10614" spans="1:18" x14ac:dyDescent="0.2">
      <c r="A10614" t="s">
        <v>663</v>
      </c>
      <c r="B10614" t="s">
        <v>454</v>
      </c>
      <c r="C10614">
        <v>1</v>
      </c>
      <c r="D10614" s="1">
        <v>44358.028865740744</v>
      </c>
      <c r="E10614" t="s">
        <v>32934</v>
      </c>
      <c r="F10614" t="s">
        <v>666</v>
      </c>
      <c r="G10614" t="s">
        <v>32935</v>
      </c>
      <c r="H10614" t="s">
        <v>667</v>
      </c>
      <c r="I10614" t="s">
        <v>29</v>
      </c>
      <c r="J10614">
        <v>1</v>
      </c>
      <c r="K10614">
        <f>1-888-308-2710</f>
        <v>-3905</v>
      </c>
      <c r="L10614" t="s">
        <v>32936</v>
      </c>
      <c r="M10614" t="s">
        <v>32937</v>
      </c>
      <c r="N10614" t="s">
        <v>452</v>
      </c>
      <c r="O10614" t="s">
        <v>28</v>
      </c>
      <c r="P10614" t="s">
        <v>461</v>
      </c>
      <c r="Q10614">
        <v>52</v>
      </c>
      <c r="R10614">
        <v>4.9391999999999996</v>
      </c>
    </row>
    <row r="10615" spans="1:18" x14ac:dyDescent="0.2">
      <c r="A10615" t="s">
        <v>439</v>
      </c>
      <c r="B10615" t="s">
        <v>4321</v>
      </c>
      <c r="C10615">
        <v>1</v>
      </c>
      <c r="D10615" s="1">
        <v>44358.692060185182</v>
      </c>
      <c r="E10615" t="s">
        <v>32938</v>
      </c>
      <c r="F10615" t="s">
        <v>442</v>
      </c>
      <c r="G10615" t="s">
        <v>32939</v>
      </c>
      <c r="H10615" t="s">
        <v>444</v>
      </c>
      <c r="I10615" t="s">
        <v>29</v>
      </c>
      <c r="J10615">
        <v>1</v>
      </c>
      <c r="K10615">
        <f>1-833-220-4052</f>
        <v>-5104</v>
      </c>
      <c r="L10615" t="s">
        <v>32940</v>
      </c>
      <c r="M10615" t="s">
        <v>32941</v>
      </c>
      <c r="N10615" t="s">
        <v>452</v>
      </c>
      <c r="O10615" t="s">
        <v>28</v>
      </c>
      <c r="P10615" t="s">
        <v>29</v>
      </c>
      <c r="Q10615">
        <v>42</v>
      </c>
      <c r="R10615">
        <v>-87.629800000000003</v>
      </c>
    </row>
    <row r="10616" spans="1:18" x14ac:dyDescent="0.2">
      <c r="A10616" t="s">
        <v>439</v>
      </c>
      <c r="B10616" t="s">
        <v>4321</v>
      </c>
      <c r="C10616">
        <v>1</v>
      </c>
      <c r="D10616" s="1">
        <v>44358.691874999997</v>
      </c>
      <c r="E10616" t="s">
        <v>32938</v>
      </c>
      <c r="F10616" t="s">
        <v>442</v>
      </c>
      <c r="G10616" t="s">
        <v>32939</v>
      </c>
      <c r="H10616" t="s">
        <v>444</v>
      </c>
      <c r="I10616" t="s">
        <v>29</v>
      </c>
      <c r="J10616">
        <v>1</v>
      </c>
      <c r="K10616">
        <f>1-833-220-3949</f>
        <v>-5001</v>
      </c>
      <c r="L10616" t="s">
        <v>32942</v>
      </c>
      <c r="M10616" t="s">
        <v>32943</v>
      </c>
      <c r="N10616" t="s">
        <v>452</v>
      </c>
      <c r="O10616" t="s">
        <v>28</v>
      </c>
      <c r="P10616" t="s">
        <v>29</v>
      </c>
      <c r="Q10616">
        <v>42</v>
      </c>
      <c r="R10616">
        <v>-87.629800000000003</v>
      </c>
    </row>
    <row r="10617" spans="1:18" x14ac:dyDescent="0.2">
      <c r="A10617" t="s">
        <v>439</v>
      </c>
      <c r="B10617" t="s">
        <v>4321</v>
      </c>
      <c r="C10617">
        <v>1</v>
      </c>
      <c r="D10617" s="1">
        <v>44358.69158564815</v>
      </c>
      <c r="E10617" t="s">
        <v>32938</v>
      </c>
      <c r="F10617" t="s">
        <v>442</v>
      </c>
      <c r="G10617" t="s">
        <v>32939</v>
      </c>
      <c r="H10617" t="s">
        <v>444</v>
      </c>
      <c r="I10617" t="s">
        <v>29</v>
      </c>
      <c r="J10617">
        <v>1</v>
      </c>
      <c r="K10617">
        <f>1-833-888-971</f>
        <v>-2691</v>
      </c>
      <c r="L10617" t="s">
        <v>32944</v>
      </c>
      <c r="M10617" t="s">
        <v>32945</v>
      </c>
      <c r="N10617" t="s">
        <v>452</v>
      </c>
      <c r="O10617" t="s">
        <v>28</v>
      </c>
      <c r="P10617" t="s">
        <v>29</v>
      </c>
      <c r="Q10617">
        <v>42</v>
      </c>
      <c r="R10617">
        <v>-87.629800000000003</v>
      </c>
    </row>
    <row r="10618" spans="1:18" x14ac:dyDescent="0.2">
      <c r="A10618" t="s">
        <v>439</v>
      </c>
      <c r="B10618" t="s">
        <v>4321</v>
      </c>
      <c r="C10618">
        <v>1</v>
      </c>
      <c r="D10618" s="1">
        <v>44358.691458333335</v>
      </c>
      <c r="E10618" t="s">
        <v>32938</v>
      </c>
      <c r="F10618" t="s">
        <v>442</v>
      </c>
      <c r="G10618" t="s">
        <v>32939</v>
      </c>
      <c r="H10618" t="s">
        <v>444</v>
      </c>
      <c r="I10618" t="s">
        <v>29</v>
      </c>
      <c r="J10618">
        <v>1</v>
      </c>
      <c r="K10618">
        <f>1-888-392-1035</f>
        <v>-2314</v>
      </c>
      <c r="L10618" t="s">
        <v>32946</v>
      </c>
      <c r="M10618" t="s">
        <v>32947</v>
      </c>
      <c r="N10618" t="s">
        <v>452</v>
      </c>
      <c r="O10618" t="s">
        <v>28</v>
      </c>
      <c r="P10618" t="s">
        <v>29</v>
      </c>
      <c r="Q10618">
        <v>42</v>
      </c>
      <c r="R10618">
        <v>-87.629800000000003</v>
      </c>
    </row>
    <row r="10619" spans="1:18" x14ac:dyDescent="0.2">
      <c r="A10619" t="s">
        <v>439</v>
      </c>
      <c r="B10619" t="s">
        <v>4321</v>
      </c>
      <c r="C10619">
        <v>1</v>
      </c>
      <c r="D10619" s="1">
        <v>44358.691111111111</v>
      </c>
      <c r="E10619" t="s">
        <v>32938</v>
      </c>
      <c r="F10619" t="s">
        <v>442</v>
      </c>
      <c r="G10619" t="s">
        <v>32939</v>
      </c>
      <c r="H10619" t="s">
        <v>444</v>
      </c>
      <c r="I10619" t="s">
        <v>29</v>
      </c>
      <c r="J10619">
        <v>1</v>
      </c>
      <c r="K10619">
        <f>1-833-220-3904</f>
        <v>-4956</v>
      </c>
      <c r="L10619" t="s">
        <v>32948</v>
      </c>
      <c r="M10619" t="s">
        <v>32949</v>
      </c>
      <c r="N10619" t="s">
        <v>452</v>
      </c>
      <c r="O10619" t="s">
        <v>28</v>
      </c>
      <c r="P10619" t="s">
        <v>29</v>
      </c>
      <c r="Q10619">
        <v>42</v>
      </c>
      <c r="R10619">
        <v>-87.629800000000003</v>
      </c>
    </row>
    <row r="10620" spans="1:18" x14ac:dyDescent="0.2">
      <c r="A10620" t="s">
        <v>439</v>
      </c>
      <c r="B10620" t="s">
        <v>4321</v>
      </c>
      <c r="C10620">
        <v>1</v>
      </c>
      <c r="D10620" s="1">
        <v>44358.719050925924</v>
      </c>
      <c r="E10620" t="s">
        <v>32950</v>
      </c>
      <c r="F10620" t="s">
        <v>442</v>
      </c>
      <c r="G10620" t="s">
        <v>32951</v>
      </c>
      <c r="H10620" t="s">
        <v>444</v>
      </c>
      <c r="I10620" t="s">
        <v>29</v>
      </c>
      <c r="J10620">
        <v>1</v>
      </c>
      <c r="K10620">
        <f>1-833-888-971</f>
        <v>-2691</v>
      </c>
      <c r="L10620" t="s">
        <v>32952</v>
      </c>
      <c r="M10620" t="s">
        <v>32953</v>
      </c>
      <c r="N10620" t="s">
        <v>452</v>
      </c>
      <c r="O10620" t="s">
        <v>28</v>
      </c>
      <c r="P10620" t="s">
        <v>29</v>
      </c>
      <c r="Q10620">
        <v>42</v>
      </c>
      <c r="R10620">
        <v>-87.629800000000003</v>
      </c>
    </row>
    <row r="10621" spans="1:18" x14ac:dyDescent="0.2">
      <c r="A10621" t="s">
        <v>439</v>
      </c>
      <c r="B10621" t="s">
        <v>4321</v>
      </c>
      <c r="C10621">
        <v>1</v>
      </c>
      <c r="D10621" s="1">
        <v>44358.718518518515</v>
      </c>
      <c r="E10621" t="s">
        <v>32950</v>
      </c>
      <c r="F10621" t="s">
        <v>442</v>
      </c>
      <c r="G10621" t="s">
        <v>32951</v>
      </c>
      <c r="H10621" t="s">
        <v>444</v>
      </c>
      <c r="I10621" t="s">
        <v>29</v>
      </c>
      <c r="J10621">
        <v>1</v>
      </c>
      <c r="K10621">
        <f>1-833-220-3904</f>
        <v>-4956</v>
      </c>
      <c r="L10621" t="s">
        <v>32954</v>
      </c>
      <c r="M10621" t="s">
        <v>32955</v>
      </c>
      <c r="N10621" t="s">
        <v>452</v>
      </c>
      <c r="O10621" t="s">
        <v>28</v>
      </c>
      <c r="P10621" t="s">
        <v>29</v>
      </c>
      <c r="Q10621">
        <v>42</v>
      </c>
      <c r="R10621">
        <v>-87.629800000000003</v>
      </c>
    </row>
    <row r="10622" spans="1:18" x14ac:dyDescent="0.2">
      <c r="A10622" t="s">
        <v>439</v>
      </c>
      <c r="B10622" t="s">
        <v>4321</v>
      </c>
      <c r="C10622">
        <v>1</v>
      </c>
      <c r="D10622" s="1">
        <v>44358.719537037039</v>
      </c>
      <c r="E10622" t="s">
        <v>32950</v>
      </c>
      <c r="F10622" t="s">
        <v>442</v>
      </c>
      <c r="G10622" t="s">
        <v>32956</v>
      </c>
      <c r="H10622" t="s">
        <v>444</v>
      </c>
      <c r="I10622" t="s">
        <v>29</v>
      </c>
      <c r="J10622">
        <v>1</v>
      </c>
      <c r="K10622">
        <f>1-833-220-4052</f>
        <v>-5104</v>
      </c>
      <c r="L10622" t="s">
        <v>32957</v>
      </c>
      <c r="M10622" t="s">
        <v>32958</v>
      </c>
      <c r="N10622" t="s">
        <v>452</v>
      </c>
      <c r="O10622" t="s">
        <v>28</v>
      </c>
      <c r="P10622" t="s">
        <v>29</v>
      </c>
      <c r="Q10622">
        <v>42</v>
      </c>
      <c r="R10622">
        <v>-87.629800000000003</v>
      </c>
    </row>
    <row r="10623" spans="1:18" x14ac:dyDescent="0.2">
      <c r="A10623" t="s">
        <v>439</v>
      </c>
      <c r="B10623" t="s">
        <v>4321</v>
      </c>
      <c r="C10623">
        <v>1</v>
      </c>
      <c r="D10623" s="1">
        <v>44358.719363425924</v>
      </c>
      <c r="E10623" t="s">
        <v>32950</v>
      </c>
      <c r="F10623" t="s">
        <v>442</v>
      </c>
      <c r="G10623" t="s">
        <v>32956</v>
      </c>
      <c r="H10623" t="s">
        <v>444</v>
      </c>
      <c r="I10623" t="s">
        <v>29</v>
      </c>
      <c r="J10623">
        <v>1</v>
      </c>
      <c r="K10623">
        <f>1-833-220-3949</f>
        <v>-5001</v>
      </c>
      <c r="L10623" t="s">
        <v>32959</v>
      </c>
      <c r="M10623" t="s">
        <v>32960</v>
      </c>
      <c r="N10623" t="s">
        <v>452</v>
      </c>
      <c r="O10623" t="s">
        <v>28</v>
      </c>
      <c r="P10623" t="s">
        <v>29</v>
      </c>
      <c r="Q10623">
        <v>42</v>
      </c>
      <c r="R10623">
        <v>-87.629800000000003</v>
      </c>
    </row>
    <row r="10624" spans="1:18" x14ac:dyDescent="0.2">
      <c r="A10624" t="s">
        <v>439</v>
      </c>
      <c r="B10624" t="s">
        <v>4321</v>
      </c>
      <c r="C10624">
        <v>1</v>
      </c>
      <c r="D10624" s="1">
        <v>44358.718912037039</v>
      </c>
      <c r="E10624" t="s">
        <v>32950</v>
      </c>
      <c r="F10624" t="s">
        <v>442</v>
      </c>
      <c r="G10624" t="s">
        <v>32956</v>
      </c>
      <c r="H10624" t="s">
        <v>444</v>
      </c>
      <c r="I10624" t="s">
        <v>29</v>
      </c>
      <c r="J10624">
        <v>1</v>
      </c>
      <c r="K10624">
        <f>1-888-392-1035</f>
        <v>-2314</v>
      </c>
      <c r="L10624" t="s">
        <v>32961</v>
      </c>
      <c r="M10624" t="s">
        <v>32962</v>
      </c>
      <c r="N10624" t="s">
        <v>452</v>
      </c>
      <c r="O10624" t="s">
        <v>28</v>
      </c>
      <c r="P10624" t="s">
        <v>29</v>
      </c>
      <c r="Q10624">
        <v>42</v>
      </c>
      <c r="R10624">
        <v>-87.629800000000003</v>
      </c>
    </row>
    <row r="10625" spans="1:18" x14ac:dyDescent="0.2">
      <c r="A10625" t="s">
        <v>2233</v>
      </c>
      <c r="B10625" t="s">
        <v>1638</v>
      </c>
      <c r="C10625">
        <v>1</v>
      </c>
      <c r="D10625" s="1">
        <v>44358.76358796296</v>
      </c>
      <c r="E10625" t="s">
        <v>32963</v>
      </c>
      <c r="F10625" t="s">
        <v>2236</v>
      </c>
      <c r="G10625" t="s">
        <v>32964</v>
      </c>
      <c r="H10625" t="s">
        <v>2237</v>
      </c>
      <c r="I10625" t="s">
        <v>29</v>
      </c>
      <c r="J10625">
        <v>1</v>
      </c>
      <c r="K10625">
        <f>1-888-786-9961</f>
        <v>-11634</v>
      </c>
      <c r="L10625" t="s">
        <v>32965</v>
      </c>
      <c r="M10625" t="s">
        <v>32966</v>
      </c>
      <c r="N10625" t="s">
        <v>278</v>
      </c>
      <c r="O10625" t="s">
        <v>28</v>
      </c>
      <c r="P10625" t="s">
        <v>292</v>
      </c>
      <c r="Q10625">
        <v>49</v>
      </c>
      <c r="R10625">
        <v>2.35222</v>
      </c>
    </row>
    <row r="10626" spans="1:18" x14ac:dyDescent="0.2">
      <c r="A10626" t="s">
        <v>2233</v>
      </c>
      <c r="B10626" t="s">
        <v>1638</v>
      </c>
      <c r="C10626">
        <v>1</v>
      </c>
      <c r="D10626" s="1">
        <v>44358.764062499999</v>
      </c>
      <c r="E10626" t="s">
        <v>32963</v>
      </c>
      <c r="F10626" t="s">
        <v>2236</v>
      </c>
      <c r="G10626" t="s">
        <v>32967</v>
      </c>
      <c r="H10626" t="s">
        <v>2237</v>
      </c>
      <c r="I10626" t="s">
        <v>29</v>
      </c>
      <c r="J10626">
        <v>1</v>
      </c>
      <c r="K10626">
        <f>1-888-787-3879</f>
        <v>-5553</v>
      </c>
      <c r="L10626" t="s">
        <v>32968</v>
      </c>
      <c r="M10626" t="s">
        <v>32969</v>
      </c>
      <c r="N10626" t="s">
        <v>278</v>
      </c>
      <c r="O10626" t="s">
        <v>28</v>
      </c>
      <c r="P10626" t="s">
        <v>292</v>
      </c>
      <c r="Q10626">
        <v>49</v>
      </c>
      <c r="R10626">
        <v>2.35222</v>
      </c>
    </row>
    <row r="10627" spans="1:18" x14ac:dyDescent="0.2">
      <c r="A10627" t="s">
        <v>439</v>
      </c>
      <c r="B10627" t="s">
        <v>4321</v>
      </c>
      <c r="C10627">
        <v>1</v>
      </c>
      <c r="D10627" s="1">
        <v>44358.765011574076</v>
      </c>
      <c r="E10627" t="s">
        <v>32970</v>
      </c>
      <c r="F10627" t="s">
        <v>442</v>
      </c>
      <c r="G10627" t="s">
        <v>32971</v>
      </c>
      <c r="H10627" t="s">
        <v>444</v>
      </c>
      <c r="I10627" t="s">
        <v>29</v>
      </c>
      <c r="J10627">
        <v>1</v>
      </c>
      <c r="K10627">
        <f>1-833-888-1420</f>
        <v>-3140</v>
      </c>
      <c r="L10627" t="s">
        <v>32972</v>
      </c>
      <c r="M10627" t="s">
        <v>32973</v>
      </c>
      <c r="N10627" t="s">
        <v>213</v>
      </c>
      <c r="O10627" t="s">
        <v>28</v>
      </c>
      <c r="P10627" t="s">
        <v>29</v>
      </c>
      <c r="Q10627">
        <v>42</v>
      </c>
      <c r="R10627">
        <v>-87.629800000000003</v>
      </c>
    </row>
    <row r="10628" spans="1:18" x14ac:dyDescent="0.2">
      <c r="A10628" t="s">
        <v>439</v>
      </c>
      <c r="B10628" t="s">
        <v>4321</v>
      </c>
      <c r="C10628">
        <v>1</v>
      </c>
      <c r="D10628" s="1">
        <v>44358.771053240744</v>
      </c>
      <c r="E10628" t="s">
        <v>32974</v>
      </c>
      <c r="F10628" t="s">
        <v>442</v>
      </c>
      <c r="G10628" t="s">
        <v>32975</v>
      </c>
      <c r="H10628" t="s">
        <v>444</v>
      </c>
      <c r="I10628" t="s">
        <v>29</v>
      </c>
      <c r="J10628">
        <v>1</v>
      </c>
      <c r="K10628">
        <f>1-888-392-1035</f>
        <v>-2314</v>
      </c>
      <c r="L10628" t="s">
        <v>32976</v>
      </c>
      <c r="M10628" t="s">
        <v>32977</v>
      </c>
      <c r="N10628" t="s">
        <v>452</v>
      </c>
      <c r="O10628" t="s">
        <v>28</v>
      </c>
      <c r="P10628" t="s">
        <v>29</v>
      </c>
      <c r="Q10628">
        <v>42</v>
      </c>
      <c r="R10628">
        <v>-87.629800000000003</v>
      </c>
    </row>
    <row r="10629" spans="1:18" x14ac:dyDescent="0.2">
      <c r="A10629" t="s">
        <v>663</v>
      </c>
      <c r="B10629" t="s">
        <v>2263</v>
      </c>
      <c r="C10629">
        <v>1</v>
      </c>
      <c r="D10629" s="1">
        <v>44358.780694444446</v>
      </c>
      <c r="E10629" t="s">
        <v>32978</v>
      </c>
      <c r="F10629" t="s">
        <v>2495</v>
      </c>
      <c r="G10629" t="s">
        <v>32979</v>
      </c>
      <c r="H10629" t="s">
        <v>667</v>
      </c>
      <c r="I10629" t="s">
        <v>29</v>
      </c>
      <c r="J10629">
        <v>1</v>
      </c>
      <c r="K10629">
        <f>1-844-390-1550</f>
        <v>-2783</v>
      </c>
      <c r="L10629" t="s">
        <v>32980</v>
      </c>
      <c r="M10629" t="s">
        <v>32981</v>
      </c>
      <c r="N10629" t="s">
        <v>5354</v>
      </c>
      <c r="O10629" t="s">
        <v>28</v>
      </c>
      <c r="P10629" t="s">
        <v>2268</v>
      </c>
      <c r="Q10629">
        <v>44</v>
      </c>
      <c r="R10629">
        <v>-79.362300000000005</v>
      </c>
    </row>
    <row r="10630" spans="1:18" x14ac:dyDescent="0.2">
      <c r="A10630" t="s">
        <v>663</v>
      </c>
      <c r="B10630" t="s">
        <v>2263</v>
      </c>
      <c r="C10630">
        <v>1</v>
      </c>
      <c r="D10630" s="1">
        <v>44358.780624999999</v>
      </c>
      <c r="E10630" t="s">
        <v>32978</v>
      </c>
      <c r="F10630" t="s">
        <v>2495</v>
      </c>
      <c r="G10630" t="s">
        <v>32979</v>
      </c>
      <c r="H10630" t="s">
        <v>667</v>
      </c>
      <c r="I10630" t="s">
        <v>29</v>
      </c>
      <c r="J10630">
        <v>1</v>
      </c>
      <c r="K10630">
        <f>1-888-283-3493</f>
        <v>-4663</v>
      </c>
      <c r="L10630" t="s">
        <v>32982</v>
      </c>
      <c r="M10630" t="s">
        <v>32981</v>
      </c>
      <c r="N10630" t="s">
        <v>5354</v>
      </c>
      <c r="O10630" t="s">
        <v>28</v>
      </c>
      <c r="P10630" t="s">
        <v>2268</v>
      </c>
      <c r="Q10630">
        <v>44</v>
      </c>
      <c r="R10630">
        <v>-79.362300000000005</v>
      </c>
    </row>
    <row r="10631" spans="1:18" x14ac:dyDescent="0.2">
      <c r="A10631" t="s">
        <v>663</v>
      </c>
      <c r="B10631" t="s">
        <v>2263</v>
      </c>
      <c r="C10631">
        <v>1</v>
      </c>
      <c r="D10631" s="1">
        <v>44358.780578703707</v>
      </c>
      <c r="E10631" t="s">
        <v>32978</v>
      </c>
      <c r="F10631" t="s">
        <v>2495</v>
      </c>
      <c r="G10631" t="s">
        <v>32979</v>
      </c>
      <c r="H10631" t="s">
        <v>667</v>
      </c>
      <c r="I10631" t="s">
        <v>29</v>
      </c>
      <c r="J10631">
        <v>1</v>
      </c>
      <c r="K10631">
        <f>1-844-227-2067</f>
        <v>-3137</v>
      </c>
      <c r="L10631" t="s">
        <v>32983</v>
      </c>
      <c r="M10631" t="s">
        <v>32981</v>
      </c>
      <c r="N10631" t="s">
        <v>5354</v>
      </c>
      <c r="O10631" t="s">
        <v>28</v>
      </c>
      <c r="P10631" t="s">
        <v>2268</v>
      </c>
      <c r="Q10631">
        <v>44</v>
      </c>
      <c r="R10631">
        <v>-79.362300000000005</v>
      </c>
    </row>
    <row r="10632" spans="1:18" x14ac:dyDescent="0.2">
      <c r="A10632" t="s">
        <v>663</v>
      </c>
      <c r="B10632" t="s">
        <v>2263</v>
      </c>
      <c r="C10632">
        <v>1</v>
      </c>
      <c r="D10632" s="1">
        <v>44358.780543981484</v>
      </c>
      <c r="E10632" t="s">
        <v>32978</v>
      </c>
      <c r="F10632" t="s">
        <v>2495</v>
      </c>
      <c r="G10632" t="s">
        <v>32979</v>
      </c>
      <c r="H10632" t="s">
        <v>667</v>
      </c>
      <c r="I10632" t="s">
        <v>29</v>
      </c>
      <c r="J10632">
        <v>1</v>
      </c>
      <c r="K10632">
        <f>1-888-350-2292</f>
        <v>-3529</v>
      </c>
      <c r="L10632" t="s">
        <v>32984</v>
      </c>
      <c r="M10632" t="s">
        <v>32981</v>
      </c>
      <c r="N10632" t="s">
        <v>5354</v>
      </c>
      <c r="O10632" t="s">
        <v>28</v>
      </c>
      <c r="P10632" t="s">
        <v>2268</v>
      </c>
      <c r="Q10632">
        <v>44</v>
      </c>
      <c r="R10632">
        <v>-79.362300000000005</v>
      </c>
    </row>
    <row r="10633" spans="1:18" x14ac:dyDescent="0.2">
      <c r="A10633" t="s">
        <v>663</v>
      </c>
      <c r="B10633" t="s">
        <v>2263</v>
      </c>
      <c r="C10633">
        <v>1</v>
      </c>
      <c r="D10633" s="1">
        <v>44358.780486111114</v>
      </c>
      <c r="E10633" t="s">
        <v>32978</v>
      </c>
      <c r="F10633" t="s">
        <v>2495</v>
      </c>
      <c r="G10633" t="s">
        <v>32979</v>
      </c>
      <c r="H10633" t="s">
        <v>667</v>
      </c>
      <c r="I10633" t="s">
        <v>29</v>
      </c>
      <c r="J10633">
        <v>1</v>
      </c>
      <c r="K10633">
        <f>1-844-227-2067</f>
        <v>-3137</v>
      </c>
      <c r="L10633" t="s">
        <v>32985</v>
      </c>
      <c r="M10633" t="s">
        <v>32981</v>
      </c>
      <c r="N10633" t="s">
        <v>5354</v>
      </c>
      <c r="O10633" t="s">
        <v>28</v>
      </c>
      <c r="P10633" t="s">
        <v>2268</v>
      </c>
      <c r="Q10633">
        <v>44</v>
      </c>
      <c r="R10633">
        <v>-79.362300000000005</v>
      </c>
    </row>
    <row r="10634" spans="1:18" x14ac:dyDescent="0.2">
      <c r="A10634" t="s">
        <v>663</v>
      </c>
      <c r="B10634" t="s">
        <v>2263</v>
      </c>
      <c r="C10634">
        <v>1</v>
      </c>
      <c r="D10634" s="1">
        <v>44358.780439814815</v>
      </c>
      <c r="E10634" t="s">
        <v>32978</v>
      </c>
      <c r="F10634" t="s">
        <v>2495</v>
      </c>
      <c r="G10634" t="s">
        <v>32979</v>
      </c>
      <c r="H10634" t="s">
        <v>667</v>
      </c>
      <c r="I10634" t="s">
        <v>29</v>
      </c>
      <c r="J10634">
        <v>1</v>
      </c>
      <c r="K10634">
        <f>1-888-399-6839</f>
        <v>-8125</v>
      </c>
      <c r="L10634" t="s">
        <v>32986</v>
      </c>
      <c r="M10634" t="s">
        <v>32981</v>
      </c>
      <c r="N10634" t="s">
        <v>5354</v>
      </c>
      <c r="O10634" t="s">
        <v>28</v>
      </c>
      <c r="P10634" t="s">
        <v>2268</v>
      </c>
      <c r="Q10634">
        <v>44</v>
      </c>
      <c r="R10634">
        <v>-79.362300000000005</v>
      </c>
    </row>
    <row r="10635" spans="1:18" x14ac:dyDescent="0.2">
      <c r="A10635" t="s">
        <v>663</v>
      </c>
      <c r="B10635" t="s">
        <v>2263</v>
      </c>
      <c r="C10635">
        <v>1</v>
      </c>
      <c r="D10635" s="1">
        <v>44358.780277777776</v>
      </c>
      <c r="E10635" t="s">
        <v>32978</v>
      </c>
      <c r="F10635" t="s">
        <v>2495</v>
      </c>
      <c r="G10635" t="s">
        <v>32979</v>
      </c>
      <c r="H10635" t="s">
        <v>667</v>
      </c>
      <c r="I10635" t="s">
        <v>29</v>
      </c>
      <c r="J10635">
        <v>1</v>
      </c>
      <c r="K10635">
        <f>1-844-227-2067</f>
        <v>-3137</v>
      </c>
      <c r="L10635" t="s">
        <v>32987</v>
      </c>
      <c r="M10635" t="s">
        <v>32981</v>
      </c>
      <c r="N10635" t="s">
        <v>5354</v>
      </c>
      <c r="O10635" t="s">
        <v>28</v>
      </c>
      <c r="P10635" t="s">
        <v>2268</v>
      </c>
      <c r="Q10635">
        <v>44</v>
      </c>
      <c r="R10635">
        <v>-79.362300000000005</v>
      </c>
    </row>
    <row r="10636" spans="1:18" x14ac:dyDescent="0.2">
      <c r="A10636" t="s">
        <v>663</v>
      </c>
      <c r="B10636" t="s">
        <v>2263</v>
      </c>
      <c r="C10636">
        <v>1</v>
      </c>
      <c r="D10636" s="1">
        <v>44358.77915509259</v>
      </c>
      <c r="E10636" t="s">
        <v>32978</v>
      </c>
      <c r="F10636" t="s">
        <v>2495</v>
      </c>
      <c r="G10636" t="s">
        <v>32979</v>
      </c>
      <c r="H10636" t="s">
        <v>667</v>
      </c>
      <c r="I10636" t="s">
        <v>29</v>
      </c>
      <c r="J10636">
        <v>1</v>
      </c>
      <c r="K10636">
        <f>1-844-276-662</f>
        <v>-1781</v>
      </c>
      <c r="L10636" t="s">
        <v>32988</v>
      </c>
      <c r="M10636" t="s">
        <v>32989</v>
      </c>
      <c r="N10636" t="s">
        <v>5354</v>
      </c>
      <c r="O10636" t="s">
        <v>28</v>
      </c>
      <c r="P10636" t="s">
        <v>2268</v>
      </c>
      <c r="Q10636">
        <v>44</v>
      </c>
      <c r="R10636">
        <v>-79.362300000000005</v>
      </c>
    </row>
    <row r="10637" spans="1:18" x14ac:dyDescent="0.2">
      <c r="A10637" t="s">
        <v>663</v>
      </c>
      <c r="B10637" t="s">
        <v>2263</v>
      </c>
      <c r="C10637">
        <v>1</v>
      </c>
      <c r="D10637" s="1">
        <v>44358.779074074075</v>
      </c>
      <c r="E10637" t="s">
        <v>32978</v>
      </c>
      <c r="F10637" t="s">
        <v>2495</v>
      </c>
      <c r="G10637" t="s">
        <v>32979</v>
      </c>
      <c r="H10637" t="s">
        <v>667</v>
      </c>
      <c r="I10637" t="s">
        <v>29</v>
      </c>
      <c r="J10637">
        <v>1</v>
      </c>
      <c r="K10637">
        <f>1-844-227-2067</f>
        <v>-3137</v>
      </c>
      <c r="L10637" t="s">
        <v>32990</v>
      </c>
      <c r="M10637" t="s">
        <v>32981</v>
      </c>
      <c r="N10637" t="s">
        <v>5354</v>
      </c>
      <c r="O10637" t="s">
        <v>28</v>
      </c>
      <c r="P10637" t="s">
        <v>2268</v>
      </c>
      <c r="Q10637">
        <v>44</v>
      </c>
      <c r="R10637">
        <v>-79.362300000000005</v>
      </c>
    </row>
    <row r="10638" spans="1:18" x14ac:dyDescent="0.2">
      <c r="A10638" t="s">
        <v>663</v>
      </c>
      <c r="B10638" t="s">
        <v>2263</v>
      </c>
      <c r="C10638">
        <v>1</v>
      </c>
      <c r="D10638" s="1">
        <v>44358.778935185182</v>
      </c>
      <c r="E10638" t="s">
        <v>32978</v>
      </c>
      <c r="F10638" t="s">
        <v>2495</v>
      </c>
      <c r="G10638" t="s">
        <v>32979</v>
      </c>
      <c r="H10638" t="s">
        <v>667</v>
      </c>
      <c r="I10638" t="s">
        <v>29</v>
      </c>
      <c r="J10638">
        <v>1</v>
      </c>
      <c r="K10638">
        <f>1-888-353-6893</f>
        <v>-8133</v>
      </c>
      <c r="L10638" t="s">
        <v>32991</v>
      </c>
      <c r="M10638" t="s">
        <v>32981</v>
      </c>
      <c r="N10638" t="s">
        <v>5354</v>
      </c>
      <c r="O10638" t="s">
        <v>28</v>
      </c>
      <c r="P10638" t="s">
        <v>2268</v>
      </c>
      <c r="Q10638">
        <v>44</v>
      </c>
      <c r="R10638">
        <v>-79.362300000000005</v>
      </c>
    </row>
    <row r="10639" spans="1:18" x14ac:dyDescent="0.2">
      <c r="A10639" t="s">
        <v>663</v>
      </c>
      <c r="B10639" t="s">
        <v>2263</v>
      </c>
      <c r="C10639">
        <v>1</v>
      </c>
      <c r="D10639" s="1">
        <v>44358.778877314813</v>
      </c>
      <c r="E10639" t="s">
        <v>32978</v>
      </c>
      <c r="F10639" t="s">
        <v>2495</v>
      </c>
      <c r="G10639" t="s">
        <v>32979</v>
      </c>
      <c r="H10639" t="s">
        <v>667</v>
      </c>
      <c r="I10639" t="s">
        <v>29</v>
      </c>
      <c r="J10639">
        <v>1</v>
      </c>
      <c r="K10639">
        <f>1-888-397-7703</f>
        <v>-8987</v>
      </c>
      <c r="L10639" t="s">
        <v>32992</v>
      </c>
      <c r="M10639" t="s">
        <v>32981</v>
      </c>
      <c r="N10639" t="s">
        <v>5354</v>
      </c>
      <c r="O10639" t="s">
        <v>28</v>
      </c>
      <c r="P10639" t="s">
        <v>2268</v>
      </c>
      <c r="Q10639">
        <v>44</v>
      </c>
      <c r="R10639">
        <v>-79.362300000000005</v>
      </c>
    </row>
    <row r="10640" spans="1:18" x14ac:dyDescent="0.2">
      <c r="A10640" t="s">
        <v>663</v>
      </c>
      <c r="B10640" t="s">
        <v>2263</v>
      </c>
      <c r="C10640">
        <v>1</v>
      </c>
      <c r="D10640" s="1">
        <v>44358.778819444444</v>
      </c>
      <c r="E10640" t="s">
        <v>32978</v>
      </c>
      <c r="F10640" t="s">
        <v>2495</v>
      </c>
      <c r="G10640" t="s">
        <v>32979</v>
      </c>
      <c r="H10640" t="s">
        <v>667</v>
      </c>
      <c r="I10640" t="s">
        <v>29</v>
      </c>
      <c r="J10640">
        <v>1</v>
      </c>
      <c r="K10640">
        <f>1-844-227-2067</f>
        <v>-3137</v>
      </c>
      <c r="L10640" t="s">
        <v>32993</v>
      </c>
      <c r="M10640" t="s">
        <v>32981</v>
      </c>
      <c r="N10640" t="s">
        <v>5354</v>
      </c>
      <c r="O10640" t="s">
        <v>28</v>
      </c>
      <c r="P10640" t="s">
        <v>2268</v>
      </c>
      <c r="Q10640">
        <v>44</v>
      </c>
      <c r="R10640">
        <v>-79.362300000000005</v>
      </c>
    </row>
    <row r="10641" spans="1:18" x14ac:dyDescent="0.2">
      <c r="A10641" t="s">
        <v>663</v>
      </c>
      <c r="B10641" t="s">
        <v>2263</v>
      </c>
      <c r="C10641">
        <v>1</v>
      </c>
      <c r="D10641" s="1">
        <v>44358.778784722221</v>
      </c>
      <c r="E10641" t="s">
        <v>32978</v>
      </c>
      <c r="F10641" t="s">
        <v>2495</v>
      </c>
      <c r="G10641" t="s">
        <v>32979</v>
      </c>
      <c r="H10641" t="s">
        <v>667</v>
      </c>
      <c r="I10641" t="s">
        <v>29</v>
      </c>
      <c r="J10641">
        <v>1</v>
      </c>
      <c r="K10641">
        <f>1-888-265-7045</f>
        <v>-8197</v>
      </c>
      <c r="L10641" t="s">
        <v>32994</v>
      </c>
      <c r="M10641" t="s">
        <v>32981</v>
      </c>
      <c r="N10641" t="s">
        <v>5354</v>
      </c>
      <c r="O10641" t="s">
        <v>28</v>
      </c>
      <c r="P10641" t="s">
        <v>2268</v>
      </c>
      <c r="Q10641">
        <v>44</v>
      </c>
      <c r="R10641">
        <v>-79.362300000000005</v>
      </c>
    </row>
    <row r="10642" spans="1:18" x14ac:dyDescent="0.2">
      <c r="A10642" t="s">
        <v>663</v>
      </c>
      <c r="B10642" t="s">
        <v>2263</v>
      </c>
      <c r="C10642">
        <v>1</v>
      </c>
      <c r="D10642" s="1">
        <v>44358.778749999998</v>
      </c>
      <c r="E10642" t="s">
        <v>32978</v>
      </c>
      <c r="F10642" t="s">
        <v>2495</v>
      </c>
      <c r="G10642" t="s">
        <v>32979</v>
      </c>
      <c r="H10642" t="s">
        <v>667</v>
      </c>
      <c r="I10642" t="s">
        <v>29</v>
      </c>
      <c r="J10642">
        <v>1</v>
      </c>
      <c r="K10642">
        <f>1-844-227-2067</f>
        <v>-3137</v>
      </c>
      <c r="L10642" t="s">
        <v>32995</v>
      </c>
      <c r="M10642" t="s">
        <v>32981</v>
      </c>
      <c r="N10642" t="s">
        <v>5354</v>
      </c>
      <c r="O10642" t="s">
        <v>28</v>
      </c>
      <c r="P10642" t="s">
        <v>2268</v>
      </c>
      <c r="Q10642">
        <v>44</v>
      </c>
      <c r="R10642">
        <v>-79.362300000000005</v>
      </c>
    </row>
    <row r="10643" spans="1:18" x14ac:dyDescent="0.2">
      <c r="A10643" t="s">
        <v>663</v>
      </c>
      <c r="B10643" t="s">
        <v>2263</v>
      </c>
      <c r="C10643">
        <v>1</v>
      </c>
      <c r="D10643" s="1">
        <v>44358.778599537036</v>
      </c>
      <c r="E10643" t="s">
        <v>32978</v>
      </c>
      <c r="F10643" t="s">
        <v>2495</v>
      </c>
      <c r="G10643" t="s">
        <v>32979</v>
      </c>
      <c r="H10643" t="s">
        <v>667</v>
      </c>
      <c r="I10643" t="s">
        <v>29</v>
      </c>
      <c r="J10643">
        <v>1</v>
      </c>
      <c r="K10643">
        <f>1-888-504-364</f>
        <v>-1755</v>
      </c>
      <c r="L10643" t="s">
        <v>32996</v>
      </c>
      <c r="M10643" t="s">
        <v>32981</v>
      </c>
      <c r="N10643" t="s">
        <v>5354</v>
      </c>
      <c r="O10643" t="s">
        <v>28</v>
      </c>
      <c r="P10643" t="s">
        <v>2268</v>
      </c>
      <c r="Q10643">
        <v>44</v>
      </c>
      <c r="R10643">
        <v>-79.362300000000005</v>
      </c>
    </row>
    <row r="10644" spans="1:18" x14ac:dyDescent="0.2">
      <c r="A10644" t="s">
        <v>663</v>
      </c>
      <c r="B10644" t="s">
        <v>2263</v>
      </c>
      <c r="C10644">
        <v>1</v>
      </c>
      <c r="D10644" s="1">
        <v>44358.778379629628</v>
      </c>
      <c r="E10644" t="s">
        <v>32978</v>
      </c>
      <c r="F10644" t="s">
        <v>2495</v>
      </c>
      <c r="G10644" t="s">
        <v>32979</v>
      </c>
      <c r="H10644" t="s">
        <v>667</v>
      </c>
      <c r="I10644" t="s">
        <v>29</v>
      </c>
      <c r="J10644">
        <v>1</v>
      </c>
      <c r="K10644">
        <f>1-844-227-2067</f>
        <v>-3137</v>
      </c>
      <c r="L10644" t="s">
        <v>32997</v>
      </c>
      <c r="M10644" t="s">
        <v>32981</v>
      </c>
      <c r="N10644" t="s">
        <v>5354</v>
      </c>
      <c r="O10644" t="s">
        <v>28</v>
      </c>
      <c r="P10644" t="s">
        <v>2268</v>
      </c>
      <c r="Q10644">
        <v>44</v>
      </c>
      <c r="R10644">
        <v>-79.362300000000005</v>
      </c>
    </row>
    <row r="10645" spans="1:18" x14ac:dyDescent="0.2">
      <c r="A10645" t="s">
        <v>663</v>
      </c>
      <c r="B10645" t="s">
        <v>2263</v>
      </c>
      <c r="C10645">
        <v>1</v>
      </c>
      <c r="D10645" s="1">
        <v>44358.777384259258</v>
      </c>
      <c r="E10645" t="s">
        <v>32978</v>
      </c>
      <c r="F10645" t="s">
        <v>2495</v>
      </c>
      <c r="G10645" t="s">
        <v>32979</v>
      </c>
      <c r="H10645" t="s">
        <v>667</v>
      </c>
      <c r="I10645" t="s">
        <v>29</v>
      </c>
      <c r="J10645">
        <v>1</v>
      </c>
      <c r="K10645">
        <f>1-888-523-6112</f>
        <v>-7522</v>
      </c>
      <c r="L10645" t="s">
        <v>32998</v>
      </c>
      <c r="M10645" t="s">
        <v>32999</v>
      </c>
      <c r="N10645" t="s">
        <v>5354</v>
      </c>
      <c r="O10645" t="s">
        <v>28</v>
      </c>
      <c r="P10645" t="s">
        <v>2268</v>
      </c>
      <c r="Q10645">
        <v>44</v>
      </c>
      <c r="R10645">
        <v>-79.362300000000005</v>
      </c>
    </row>
    <row r="10646" spans="1:18" x14ac:dyDescent="0.2">
      <c r="A10646" t="s">
        <v>2233</v>
      </c>
      <c r="B10646" t="s">
        <v>1638</v>
      </c>
      <c r="C10646">
        <v>1</v>
      </c>
      <c r="D10646" s="1">
        <v>44359.905115740738</v>
      </c>
      <c r="E10646" t="s">
        <v>33000</v>
      </c>
      <c r="F10646" t="s">
        <v>2236</v>
      </c>
      <c r="G10646" t="s">
        <v>33001</v>
      </c>
      <c r="H10646" t="s">
        <v>2237</v>
      </c>
      <c r="I10646" t="s">
        <v>29</v>
      </c>
      <c r="J10646">
        <v>1</v>
      </c>
      <c r="K10646">
        <f>1-830-627-3769</f>
        <v>-5225</v>
      </c>
      <c r="L10646" t="s">
        <v>33002</v>
      </c>
      <c r="M10646" t="s">
        <v>33003</v>
      </c>
      <c r="N10646" t="s">
        <v>278</v>
      </c>
      <c r="O10646" t="s">
        <v>28</v>
      </c>
      <c r="P10646" t="s">
        <v>292</v>
      </c>
      <c r="Q10646">
        <v>49</v>
      </c>
      <c r="R10646">
        <v>2.35222</v>
      </c>
    </row>
    <row r="10647" spans="1:18" x14ac:dyDescent="0.2">
      <c r="A10647" t="s">
        <v>439</v>
      </c>
      <c r="B10647" t="s">
        <v>4321</v>
      </c>
      <c r="C10647">
        <v>1</v>
      </c>
      <c r="D10647" s="1">
        <v>44359.912569444445</v>
      </c>
      <c r="E10647" t="s">
        <v>33004</v>
      </c>
      <c r="F10647" t="s">
        <v>442</v>
      </c>
      <c r="G10647" t="s">
        <v>33005</v>
      </c>
      <c r="H10647" t="s">
        <v>444</v>
      </c>
      <c r="I10647" t="s">
        <v>29</v>
      </c>
      <c r="J10647">
        <v>1</v>
      </c>
      <c r="K10647">
        <f>1-844-858-7749</f>
        <v>-9450</v>
      </c>
      <c r="L10647" t="s">
        <v>33006</v>
      </c>
      <c r="M10647" t="s">
        <v>33007</v>
      </c>
      <c r="N10647" t="s">
        <v>452</v>
      </c>
      <c r="O10647" t="s">
        <v>28</v>
      </c>
      <c r="P10647" t="s">
        <v>29</v>
      </c>
      <c r="Q10647">
        <v>42</v>
      </c>
      <c r="R10647">
        <v>-87.629800000000003</v>
      </c>
    </row>
    <row r="10648" spans="1:18" x14ac:dyDescent="0.2">
      <c r="A10648" t="s">
        <v>439</v>
      </c>
      <c r="B10648" t="s">
        <v>4321</v>
      </c>
      <c r="C10648">
        <v>1</v>
      </c>
      <c r="D10648" s="1">
        <v>44360.170648148145</v>
      </c>
      <c r="E10648" t="s">
        <v>33008</v>
      </c>
      <c r="F10648" t="s">
        <v>442</v>
      </c>
      <c r="G10648" t="s">
        <v>33009</v>
      </c>
      <c r="H10648" t="s">
        <v>444</v>
      </c>
      <c r="I10648" t="s">
        <v>29</v>
      </c>
      <c r="J10648">
        <v>1</v>
      </c>
      <c r="K10648">
        <f>1-888-786-4714</f>
        <v>-6387</v>
      </c>
      <c r="L10648" t="s">
        <v>33010</v>
      </c>
      <c r="M10648" t="s">
        <v>33011</v>
      </c>
      <c r="N10648" t="s">
        <v>452</v>
      </c>
      <c r="O10648" t="s">
        <v>28</v>
      </c>
      <c r="P10648" t="s">
        <v>29</v>
      </c>
      <c r="Q10648">
        <v>42</v>
      </c>
      <c r="R10648">
        <v>-87.629800000000003</v>
      </c>
    </row>
    <row r="10649" spans="1:18" x14ac:dyDescent="0.2">
      <c r="A10649" t="s">
        <v>439</v>
      </c>
      <c r="B10649" t="s">
        <v>4321</v>
      </c>
      <c r="C10649">
        <v>1</v>
      </c>
      <c r="D10649" s="1">
        <v>44359.927002314813</v>
      </c>
      <c r="E10649" t="s">
        <v>33008</v>
      </c>
      <c r="F10649" t="s">
        <v>442</v>
      </c>
      <c r="G10649" t="s">
        <v>33009</v>
      </c>
      <c r="H10649" t="s">
        <v>444</v>
      </c>
      <c r="I10649" t="s">
        <v>29</v>
      </c>
      <c r="J10649">
        <v>1</v>
      </c>
      <c r="K10649">
        <f>1-844-858-7749</f>
        <v>-9450</v>
      </c>
      <c r="L10649" t="s">
        <v>33012</v>
      </c>
      <c r="M10649" t="s">
        <v>33013</v>
      </c>
      <c r="N10649" t="s">
        <v>452</v>
      </c>
      <c r="O10649" t="s">
        <v>28</v>
      </c>
      <c r="P10649" t="s">
        <v>29</v>
      </c>
      <c r="Q10649">
        <v>42</v>
      </c>
      <c r="R10649">
        <v>-87.629800000000003</v>
      </c>
    </row>
    <row r="10650" spans="1:18" x14ac:dyDescent="0.2">
      <c r="A10650" t="s">
        <v>2233</v>
      </c>
      <c r="B10650" t="s">
        <v>1638</v>
      </c>
      <c r="C10650">
        <v>1</v>
      </c>
      <c r="D10650" s="1">
        <v>44359.938067129631</v>
      </c>
      <c r="E10650" t="s">
        <v>33014</v>
      </c>
      <c r="F10650" t="s">
        <v>2236</v>
      </c>
      <c r="G10650" t="s">
        <v>33015</v>
      </c>
      <c r="H10650" t="s">
        <v>2237</v>
      </c>
      <c r="I10650" t="s">
        <v>29</v>
      </c>
      <c r="J10650">
        <v>1</v>
      </c>
      <c r="K10650">
        <f>1-888-851-621</f>
        <v>-2359</v>
      </c>
      <c r="L10650" t="s">
        <v>33016</v>
      </c>
      <c r="M10650" t="s">
        <v>33017</v>
      </c>
      <c r="N10650" t="s">
        <v>278</v>
      </c>
      <c r="O10650" t="s">
        <v>28</v>
      </c>
      <c r="P10650" t="s">
        <v>292</v>
      </c>
      <c r="Q10650">
        <v>49</v>
      </c>
      <c r="R10650">
        <v>2.35222</v>
      </c>
    </row>
    <row r="10651" spans="1:18" x14ac:dyDescent="0.2">
      <c r="A10651" t="s">
        <v>439</v>
      </c>
      <c r="B10651" t="s">
        <v>4321</v>
      </c>
      <c r="C10651">
        <v>1</v>
      </c>
      <c r="D10651" s="1">
        <v>44359.941712962966</v>
      </c>
      <c r="E10651" t="s">
        <v>33018</v>
      </c>
      <c r="F10651" t="s">
        <v>442</v>
      </c>
      <c r="G10651" t="s">
        <v>33019</v>
      </c>
      <c r="H10651" t="s">
        <v>444</v>
      </c>
      <c r="I10651" t="s">
        <v>29</v>
      </c>
      <c r="J10651">
        <v>1</v>
      </c>
      <c r="K10651">
        <f>1-844-858-7248</f>
        <v>-8949</v>
      </c>
      <c r="L10651" t="s">
        <v>33020</v>
      </c>
      <c r="M10651" t="s">
        <v>33021</v>
      </c>
      <c r="N10651" t="s">
        <v>213</v>
      </c>
      <c r="O10651" t="s">
        <v>28</v>
      </c>
      <c r="P10651" t="s">
        <v>29</v>
      </c>
      <c r="Q10651">
        <v>42</v>
      </c>
      <c r="R10651">
        <v>-87.629800000000003</v>
      </c>
    </row>
    <row r="10652" spans="1:18" x14ac:dyDescent="0.2">
      <c r="A10652" t="s">
        <v>2233</v>
      </c>
      <c r="B10652" t="s">
        <v>2234</v>
      </c>
      <c r="C10652">
        <v>1</v>
      </c>
      <c r="D10652" s="1">
        <v>44359.942881944444</v>
      </c>
      <c r="E10652" t="s">
        <v>33022</v>
      </c>
      <c r="F10652" t="s">
        <v>2236</v>
      </c>
      <c r="G10652" t="s">
        <v>33022</v>
      </c>
      <c r="H10652" t="s">
        <v>2237</v>
      </c>
      <c r="I10652" t="s">
        <v>29</v>
      </c>
      <c r="J10652">
        <v>1</v>
      </c>
      <c r="K10652">
        <f>1-833-471-1916</f>
        <v>-3219</v>
      </c>
      <c r="L10652" t="s">
        <v>33023</v>
      </c>
      <c r="M10652" t="s">
        <v>33024</v>
      </c>
      <c r="N10652">
        <v>191</v>
      </c>
      <c r="O10652" t="s">
        <v>134</v>
      </c>
      <c r="P10652" t="s">
        <v>29</v>
      </c>
      <c r="Q10652">
        <v>40</v>
      </c>
      <c r="R10652">
        <v>-83.114099999999993</v>
      </c>
    </row>
    <row r="10653" spans="1:18" x14ac:dyDescent="0.2">
      <c r="A10653" t="s">
        <v>2233</v>
      </c>
      <c r="B10653" t="s">
        <v>1638</v>
      </c>
      <c r="C10653">
        <v>1</v>
      </c>
      <c r="D10653" s="1">
        <v>44359.946550925924</v>
      </c>
      <c r="E10653" t="s">
        <v>33025</v>
      </c>
      <c r="F10653" t="s">
        <v>2236</v>
      </c>
      <c r="G10653" t="s">
        <v>33026</v>
      </c>
      <c r="H10653" t="s">
        <v>2237</v>
      </c>
      <c r="I10653" t="s">
        <v>29</v>
      </c>
      <c r="J10653">
        <v>1</v>
      </c>
      <c r="K10653">
        <f>1-888-851-655</f>
        <v>-2393</v>
      </c>
      <c r="L10653" t="s">
        <v>33027</v>
      </c>
      <c r="M10653" t="s">
        <v>33028</v>
      </c>
      <c r="N10653" t="s">
        <v>278</v>
      </c>
      <c r="O10653" t="s">
        <v>28</v>
      </c>
      <c r="P10653" t="s">
        <v>292</v>
      </c>
      <c r="Q10653">
        <v>49</v>
      </c>
      <c r="R10653">
        <v>2.35222</v>
      </c>
    </row>
    <row r="10654" spans="1:18" x14ac:dyDescent="0.2">
      <c r="A10654" t="s">
        <v>663</v>
      </c>
      <c r="B10654" t="s">
        <v>664</v>
      </c>
      <c r="C10654">
        <v>1</v>
      </c>
      <c r="D10654" s="1">
        <v>44360.008402777778</v>
      </c>
      <c r="E10654" t="s">
        <v>33029</v>
      </c>
      <c r="F10654" t="s">
        <v>666</v>
      </c>
      <c r="G10654" t="s">
        <v>33030</v>
      </c>
      <c r="H10654" t="s">
        <v>667</v>
      </c>
      <c r="I10654" t="s">
        <v>29</v>
      </c>
      <c r="J10654">
        <v>1</v>
      </c>
      <c r="K10654">
        <f>1-844-858-5771</f>
        <v>-7472</v>
      </c>
      <c r="L10654" t="s">
        <v>33031</v>
      </c>
      <c r="M10654" t="s">
        <v>33032</v>
      </c>
      <c r="N10654" t="s">
        <v>674</v>
      </c>
      <c r="O10654" t="s">
        <v>28</v>
      </c>
      <c r="P10654" t="s">
        <v>29</v>
      </c>
      <c r="Q10654">
        <v>37</v>
      </c>
      <c r="R10654">
        <v>-99.999999000000003</v>
      </c>
    </row>
    <row r="10655" spans="1:18" x14ac:dyDescent="0.2">
      <c r="A10655" t="s">
        <v>663</v>
      </c>
      <c r="B10655" t="s">
        <v>664</v>
      </c>
      <c r="C10655">
        <v>1</v>
      </c>
      <c r="D10655" s="1">
        <v>44360.009814814817</v>
      </c>
      <c r="E10655" t="s">
        <v>33033</v>
      </c>
      <c r="F10655" t="s">
        <v>666</v>
      </c>
      <c r="G10655" t="s">
        <v>33034</v>
      </c>
      <c r="H10655" t="s">
        <v>667</v>
      </c>
      <c r="I10655" t="s">
        <v>29</v>
      </c>
      <c r="J10655">
        <v>1</v>
      </c>
      <c r="K10655">
        <f>1-844-858-5771</f>
        <v>-7472</v>
      </c>
      <c r="L10655" t="s">
        <v>33035</v>
      </c>
      <c r="M10655" t="s">
        <v>33036</v>
      </c>
      <c r="N10655" t="s">
        <v>674</v>
      </c>
      <c r="O10655" t="s">
        <v>28</v>
      </c>
      <c r="P10655" t="s">
        <v>29</v>
      </c>
      <c r="Q10655">
        <v>37</v>
      </c>
      <c r="R10655">
        <v>-99.999999000000003</v>
      </c>
    </row>
    <row r="10656" spans="1:18" x14ac:dyDescent="0.2">
      <c r="A10656" t="s">
        <v>663</v>
      </c>
      <c r="B10656" t="s">
        <v>664</v>
      </c>
      <c r="C10656">
        <v>1</v>
      </c>
      <c r="D10656" s="1">
        <v>44360.028275462966</v>
      </c>
      <c r="E10656" t="s">
        <v>33037</v>
      </c>
      <c r="F10656" t="s">
        <v>666</v>
      </c>
      <c r="G10656" t="s">
        <v>33038</v>
      </c>
      <c r="H10656" t="s">
        <v>667</v>
      </c>
      <c r="I10656" t="s">
        <v>29</v>
      </c>
      <c r="J10656">
        <v>1</v>
      </c>
      <c r="K10656">
        <f>1-844-858-5771</f>
        <v>-7472</v>
      </c>
      <c r="L10656" t="s">
        <v>33039</v>
      </c>
      <c r="M10656" t="s">
        <v>33040</v>
      </c>
      <c r="N10656" t="s">
        <v>213</v>
      </c>
      <c r="O10656" t="s">
        <v>28</v>
      </c>
      <c r="P10656" t="s">
        <v>29</v>
      </c>
      <c r="Q10656">
        <v>37</v>
      </c>
      <c r="R10656">
        <v>-99.999999000000003</v>
      </c>
    </row>
    <row r="10657" spans="1:18" x14ac:dyDescent="0.2">
      <c r="A10657" t="s">
        <v>2233</v>
      </c>
      <c r="B10657" t="s">
        <v>2234</v>
      </c>
      <c r="C10657">
        <v>1</v>
      </c>
      <c r="D10657" s="1">
        <v>44360.039733796293</v>
      </c>
      <c r="E10657" t="s">
        <v>33041</v>
      </c>
      <c r="F10657" t="s">
        <v>2236</v>
      </c>
      <c r="G10657" t="s">
        <v>33041</v>
      </c>
      <c r="H10657" t="s">
        <v>2237</v>
      </c>
      <c r="I10657" t="s">
        <v>29</v>
      </c>
      <c r="J10657">
        <v>1</v>
      </c>
      <c r="K10657">
        <f>1-866-481-1008</f>
        <v>-2354</v>
      </c>
      <c r="L10657" t="s">
        <v>33042</v>
      </c>
      <c r="M10657" t="s">
        <v>33043</v>
      </c>
      <c r="N10657">
        <v>194</v>
      </c>
      <c r="O10657" t="s">
        <v>134</v>
      </c>
      <c r="P10657" t="s">
        <v>29</v>
      </c>
      <c r="Q10657">
        <v>40</v>
      </c>
      <c r="R10657">
        <v>-83.114099999999993</v>
      </c>
    </row>
    <row r="10658" spans="1:18" x14ac:dyDescent="0.2">
      <c r="A10658" t="s">
        <v>2233</v>
      </c>
      <c r="B10658" t="s">
        <v>2234</v>
      </c>
      <c r="C10658">
        <v>1</v>
      </c>
      <c r="D10658" s="1">
        <v>44360.043124999997</v>
      </c>
      <c r="E10658" t="s">
        <v>33044</v>
      </c>
      <c r="F10658" t="s">
        <v>2236</v>
      </c>
      <c r="G10658" t="s">
        <v>33044</v>
      </c>
      <c r="H10658" t="s">
        <v>2237</v>
      </c>
      <c r="I10658" t="s">
        <v>29</v>
      </c>
      <c r="J10658">
        <v>1</v>
      </c>
      <c r="K10658">
        <f>1-866-481-1008</f>
        <v>-2354</v>
      </c>
      <c r="L10658" t="s">
        <v>33045</v>
      </c>
      <c r="M10658" t="s">
        <v>33046</v>
      </c>
      <c r="N10658">
        <v>193</v>
      </c>
      <c r="O10658" t="s">
        <v>134</v>
      </c>
      <c r="P10658" t="s">
        <v>29</v>
      </c>
      <c r="Q10658">
        <v>40</v>
      </c>
      <c r="R10658">
        <v>-83.114099999999993</v>
      </c>
    </row>
    <row r="10659" spans="1:18" x14ac:dyDescent="0.2">
      <c r="A10659" t="s">
        <v>2233</v>
      </c>
      <c r="B10659" t="s">
        <v>1638</v>
      </c>
      <c r="C10659">
        <v>1</v>
      </c>
      <c r="D10659" s="1">
        <v>44359.898148148146</v>
      </c>
      <c r="E10659" t="s">
        <v>33014</v>
      </c>
      <c r="F10659" t="s">
        <v>2236</v>
      </c>
      <c r="G10659" t="s">
        <v>33047</v>
      </c>
      <c r="H10659" t="s">
        <v>2237</v>
      </c>
      <c r="I10659" t="s">
        <v>29</v>
      </c>
      <c r="J10659">
        <v>1</v>
      </c>
      <c r="K10659">
        <f>1-888-909-1328</f>
        <v>-3124</v>
      </c>
      <c r="L10659" t="s">
        <v>33048</v>
      </c>
      <c r="M10659" t="s">
        <v>33049</v>
      </c>
      <c r="N10659" t="s">
        <v>278</v>
      </c>
      <c r="O10659" t="s">
        <v>28</v>
      </c>
      <c r="P10659" t="s">
        <v>292</v>
      </c>
      <c r="Q10659">
        <v>49</v>
      </c>
      <c r="R10659">
        <v>2.35222</v>
      </c>
    </row>
    <row r="10660" spans="1:18" x14ac:dyDescent="0.2">
      <c r="A10660" t="s">
        <v>663</v>
      </c>
      <c r="B10660" t="s">
        <v>5784</v>
      </c>
      <c r="C10660">
        <v>1</v>
      </c>
      <c r="D10660" s="1">
        <v>44358.863993055558</v>
      </c>
      <c r="E10660" t="s">
        <v>33050</v>
      </c>
      <c r="F10660" t="s">
        <v>666</v>
      </c>
      <c r="G10660" t="s">
        <v>33051</v>
      </c>
      <c r="H10660" t="s">
        <v>667</v>
      </c>
      <c r="I10660" t="s">
        <v>29</v>
      </c>
      <c r="J10660">
        <v>1</v>
      </c>
      <c r="K10660">
        <f>1-844-468-139</f>
        <v>-1450</v>
      </c>
      <c r="L10660" t="s">
        <v>33052</v>
      </c>
      <c r="M10660" t="s">
        <v>33053</v>
      </c>
      <c r="N10660" t="s">
        <v>25263</v>
      </c>
      <c r="O10660" t="s">
        <v>28</v>
      </c>
      <c r="P10660" t="s">
        <v>5789</v>
      </c>
      <c r="Q10660">
        <v>13</v>
      </c>
      <c r="R10660">
        <v>77.585499999999996</v>
      </c>
    </row>
    <row r="10661" spans="1:18" x14ac:dyDescent="0.2">
      <c r="A10661" t="s">
        <v>439</v>
      </c>
      <c r="B10661" t="s">
        <v>4321</v>
      </c>
      <c r="C10661">
        <v>1</v>
      </c>
      <c r="D10661" s="1">
        <v>44358.864374999997</v>
      </c>
      <c r="E10661" t="s">
        <v>33054</v>
      </c>
      <c r="F10661" t="s">
        <v>442</v>
      </c>
      <c r="G10661" t="s">
        <v>33055</v>
      </c>
      <c r="H10661" t="s">
        <v>444</v>
      </c>
      <c r="I10661" t="s">
        <v>29</v>
      </c>
      <c r="J10661">
        <v>1</v>
      </c>
      <c r="K10661">
        <f>1-844-858-6186</f>
        <v>-7887</v>
      </c>
      <c r="L10661" t="s">
        <v>33056</v>
      </c>
      <c r="M10661" t="s">
        <v>33057</v>
      </c>
      <c r="N10661" t="s">
        <v>447</v>
      </c>
      <c r="O10661" t="s">
        <v>28</v>
      </c>
      <c r="P10661" t="s">
        <v>29</v>
      </c>
      <c r="Q10661">
        <v>42</v>
      </c>
      <c r="R10661">
        <v>-87.629800000000003</v>
      </c>
    </row>
    <row r="10662" spans="1:18" x14ac:dyDescent="0.2">
      <c r="A10662" t="s">
        <v>439</v>
      </c>
      <c r="B10662" t="s">
        <v>4321</v>
      </c>
      <c r="C10662">
        <v>1</v>
      </c>
      <c r="D10662" s="1">
        <v>44359.771620370368</v>
      </c>
      <c r="E10662" t="s">
        <v>33058</v>
      </c>
      <c r="F10662" t="s">
        <v>442</v>
      </c>
      <c r="G10662" t="s">
        <v>33059</v>
      </c>
      <c r="H10662" t="s">
        <v>444</v>
      </c>
      <c r="I10662" t="s">
        <v>29</v>
      </c>
      <c r="J10662">
        <v>1</v>
      </c>
      <c r="K10662">
        <f>1-844-858-7749</f>
        <v>-9450</v>
      </c>
      <c r="L10662" t="s">
        <v>33060</v>
      </c>
      <c r="M10662" t="s">
        <v>33061</v>
      </c>
      <c r="N10662" t="s">
        <v>452</v>
      </c>
      <c r="O10662" t="s">
        <v>28</v>
      </c>
      <c r="P10662" t="s">
        <v>29</v>
      </c>
      <c r="Q10662">
        <v>42</v>
      </c>
      <c r="R10662">
        <v>-87.629800000000003</v>
      </c>
    </row>
    <row r="10663" spans="1:18" x14ac:dyDescent="0.2">
      <c r="A10663" t="s">
        <v>2233</v>
      </c>
      <c r="B10663" t="s">
        <v>1638</v>
      </c>
      <c r="C10663">
        <v>1</v>
      </c>
      <c r="D10663" s="1">
        <v>44359.799317129633</v>
      </c>
      <c r="E10663" t="s">
        <v>33000</v>
      </c>
      <c r="F10663" t="s">
        <v>2236</v>
      </c>
      <c r="G10663" t="s">
        <v>33062</v>
      </c>
      <c r="H10663" t="s">
        <v>2237</v>
      </c>
      <c r="I10663" t="s">
        <v>29</v>
      </c>
      <c r="J10663">
        <v>1</v>
      </c>
      <c r="K10663">
        <f>1-888-909-1203</f>
        <v>-2999</v>
      </c>
      <c r="L10663" t="s">
        <v>33063</v>
      </c>
      <c r="M10663" t="s">
        <v>33064</v>
      </c>
      <c r="N10663" t="s">
        <v>278</v>
      </c>
      <c r="O10663" t="s">
        <v>28</v>
      </c>
      <c r="P10663" t="s">
        <v>292</v>
      </c>
      <c r="Q10663">
        <v>49</v>
      </c>
      <c r="R10663">
        <v>2.35222</v>
      </c>
    </row>
    <row r="10664" spans="1:18" x14ac:dyDescent="0.2">
      <c r="A10664" t="s">
        <v>439</v>
      </c>
      <c r="B10664" t="s">
        <v>4321</v>
      </c>
      <c r="C10664">
        <v>1</v>
      </c>
      <c r="D10664" s="1">
        <v>44359.864976851852</v>
      </c>
      <c r="E10664" t="s">
        <v>33065</v>
      </c>
      <c r="F10664" t="s">
        <v>442</v>
      </c>
      <c r="G10664" t="s">
        <v>33066</v>
      </c>
      <c r="H10664" t="s">
        <v>444</v>
      </c>
      <c r="I10664" t="s">
        <v>29</v>
      </c>
      <c r="J10664">
        <v>1</v>
      </c>
      <c r="K10664">
        <f>1-855-612-864</f>
        <v>-2330</v>
      </c>
      <c r="L10664" t="s">
        <v>33067</v>
      </c>
      <c r="M10664" t="s">
        <v>33068</v>
      </c>
      <c r="N10664" t="s">
        <v>213</v>
      </c>
      <c r="O10664" t="s">
        <v>28</v>
      </c>
      <c r="P10664" t="s">
        <v>29</v>
      </c>
      <c r="Q10664">
        <v>42</v>
      </c>
      <c r="R10664">
        <v>-87.629800000000003</v>
      </c>
    </row>
    <row r="10665" spans="1:18" x14ac:dyDescent="0.2">
      <c r="A10665" t="s">
        <v>663</v>
      </c>
      <c r="B10665" t="s">
        <v>664</v>
      </c>
      <c r="C10665">
        <v>1</v>
      </c>
      <c r="D10665" s="1">
        <v>44360.051030092596</v>
      </c>
      <c r="E10665" t="s">
        <v>33069</v>
      </c>
      <c r="F10665" t="s">
        <v>666</v>
      </c>
      <c r="G10665" t="s">
        <v>33070</v>
      </c>
      <c r="H10665" t="s">
        <v>667</v>
      </c>
      <c r="I10665" t="s">
        <v>29</v>
      </c>
      <c r="J10665">
        <v>1</v>
      </c>
      <c r="K10665">
        <f>1-844-858-5771</f>
        <v>-7472</v>
      </c>
      <c r="L10665" t="s">
        <v>33071</v>
      </c>
      <c r="M10665" t="s">
        <v>33072</v>
      </c>
      <c r="N10665" t="s">
        <v>3454</v>
      </c>
      <c r="O10665" t="s">
        <v>28</v>
      </c>
      <c r="P10665" t="s">
        <v>29</v>
      </c>
      <c r="Q10665">
        <v>37</v>
      </c>
      <c r="R10665">
        <v>-99.999999000000003</v>
      </c>
    </row>
    <row r="10666" spans="1:18" x14ac:dyDescent="0.2">
      <c r="A10666" t="s">
        <v>439</v>
      </c>
      <c r="B10666" t="s">
        <v>4321</v>
      </c>
      <c r="C10666">
        <v>1</v>
      </c>
      <c r="D10666" s="1">
        <v>44360.17046296296</v>
      </c>
      <c r="E10666" t="s">
        <v>33008</v>
      </c>
      <c r="F10666" t="s">
        <v>442</v>
      </c>
      <c r="G10666" t="s">
        <v>33073</v>
      </c>
      <c r="H10666" t="s">
        <v>444</v>
      </c>
      <c r="I10666" t="s">
        <v>29</v>
      </c>
      <c r="J10666">
        <v>1</v>
      </c>
      <c r="K10666">
        <f>1-888-787-3351</f>
        <v>-5025</v>
      </c>
      <c r="L10666" t="s">
        <v>33074</v>
      </c>
      <c r="M10666" t="s">
        <v>33075</v>
      </c>
      <c r="N10666" t="s">
        <v>452</v>
      </c>
      <c r="O10666" t="s">
        <v>28</v>
      </c>
      <c r="P10666" t="s">
        <v>29</v>
      </c>
      <c r="Q10666">
        <v>42</v>
      </c>
      <c r="R10666">
        <v>-87.629800000000003</v>
      </c>
    </row>
    <row r="10667" spans="1:18" x14ac:dyDescent="0.2">
      <c r="A10667" t="s">
        <v>439</v>
      </c>
      <c r="B10667" t="s">
        <v>4321</v>
      </c>
      <c r="C10667">
        <v>1</v>
      </c>
      <c r="D10667" s="1">
        <v>44360.170335648145</v>
      </c>
      <c r="E10667" t="s">
        <v>33008</v>
      </c>
      <c r="F10667" t="s">
        <v>442</v>
      </c>
      <c r="G10667" t="s">
        <v>33073</v>
      </c>
      <c r="H10667" t="s">
        <v>444</v>
      </c>
      <c r="I10667" t="s">
        <v>29</v>
      </c>
      <c r="J10667">
        <v>1</v>
      </c>
      <c r="K10667">
        <f>1-888-786-4549</f>
        <v>-6222</v>
      </c>
      <c r="L10667" t="s">
        <v>33076</v>
      </c>
      <c r="M10667" t="s">
        <v>33077</v>
      </c>
      <c r="N10667" t="s">
        <v>452</v>
      </c>
      <c r="O10667" t="s">
        <v>28</v>
      </c>
      <c r="P10667" t="s">
        <v>29</v>
      </c>
      <c r="Q10667">
        <v>42</v>
      </c>
      <c r="R10667">
        <v>-87.629800000000003</v>
      </c>
    </row>
    <row r="10668" spans="1:18" x14ac:dyDescent="0.2">
      <c r="A10668" t="s">
        <v>439</v>
      </c>
      <c r="B10668" t="s">
        <v>4321</v>
      </c>
      <c r="C10668">
        <v>1</v>
      </c>
      <c r="D10668" s="1">
        <v>44360.17019675926</v>
      </c>
      <c r="E10668" t="s">
        <v>33008</v>
      </c>
      <c r="F10668" t="s">
        <v>442</v>
      </c>
      <c r="G10668" t="s">
        <v>33073</v>
      </c>
      <c r="H10668" t="s">
        <v>444</v>
      </c>
      <c r="I10668" t="s">
        <v>29</v>
      </c>
      <c r="J10668">
        <v>1</v>
      </c>
      <c r="K10668">
        <f>1-888-787-4557</f>
        <v>-6231</v>
      </c>
      <c r="L10668" t="s">
        <v>33078</v>
      </c>
      <c r="M10668" t="s">
        <v>33079</v>
      </c>
      <c r="N10668" t="s">
        <v>452</v>
      </c>
      <c r="O10668" t="s">
        <v>28</v>
      </c>
      <c r="P10668" t="s">
        <v>29</v>
      </c>
      <c r="Q10668">
        <v>42</v>
      </c>
      <c r="R10668">
        <v>-87.629800000000003</v>
      </c>
    </row>
    <row r="10669" spans="1:18" x14ac:dyDescent="0.2">
      <c r="A10669" t="s">
        <v>2233</v>
      </c>
      <c r="B10669" t="s">
        <v>2234</v>
      </c>
      <c r="C10669">
        <v>1</v>
      </c>
      <c r="D10669" s="1">
        <v>44358.782280092593</v>
      </c>
      <c r="E10669" t="s">
        <v>33080</v>
      </c>
      <c r="F10669" t="s">
        <v>2236</v>
      </c>
      <c r="G10669" t="s">
        <v>33081</v>
      </c>
      <c r="H10669" t="s">
        <v>2237</v>
      </c>
      <c r="I10669" t="s">
        <v>29</v>
      </c>
      <c r="J10669">
        <v>1</v>
      </c>
      <c r="K10669">
        <f>1-216-249-6939</f>
        <v>-7403</v>
      </c>
      <c r="L10669" t="s">
        <v>33082</v>
      </c>
      <c r="M10669" t="s">
        <v>33083</v>
      </c>
      <c r="N10669" t="s">
        <v>5354</v>
      </c>
      <c r="O10669" t="s">
        <v>134</v>
      </c>
      <c r="P10669" t="s">
        <v>29</v>
      </c>
      <c r="Q10669">
        <v>40</v>
      </c>
      <c r="R10669">
        <v>-83.114099999999993</v>
      </c>
    </row>
    <row r="10670" spans="1:18" x14ac:dyDescent="0.2">
      <c r="A10670" t="s">
        <v>439</v>
      </c>
      <c r="B10670" t="s">
        <v>4321</v>
      </c>
      <c r="C10670">
        <v>1</v>
      </c>
      <c r="D10670" s="1">
        <v>44361.954050925924</v>
      </c>
      <c r="E10670" t="s">
        <v>33084</v>
      </c>
      <c r="F10670" t="s">
        <v>442</v>
      </c>
      <c r="G10670" t="s">
        <v>33085</v>
      </c>
      <c r="H10670" t="s">
        <v>444</v>
      </c>
      <c r="I10670" t="s">
        <v>29</v>
      </c>
      <c r="J10670">
        <v>1</v>
      </c>
      <c r="K10670">
        <f>1-844-400-29</f>
        <v>-1272</v>
      </c>
      <c r="L10670" t="s">
        <v>33086</v>
      </c>
      <c r="M10670" t="s">
        <v>33087</v>
      </c>
      <c r="N10670" t="s">
        <v>447</v>
      </c>
      <c r="O10670" t="s">
        <v>28</v>
      </c>
      <c r="P10670" t="s">
        <v>29</v>
      </c>
      <c r="Q10670">
        <v>42</v>
      </c>
      <c r="R10670">
        <v>-87.629800000000003</v>
      </c>
    </row>
    <row r="10671" spans="1:18" x14ac:dyDescent="0.2">
      <c r="A10671" t="s">
        <v>439</v>
      </c>
      <c r="B10671" t="s">
        <v>4321</v>
      </c>
      <c r="C10671">
        <v>1</v>
      </c>
      <c r="D10671" s="1">
        <v>44361.955428240741</v>
      </c>
      <c r="E10671" t="s">
        <v>33088</v>
      </c>
      <c r="F10671" t="s">
        <v>442</v>
      </c>
      <c r="G10671" t="s">
        <v>33089</v>
      </c>
      <c r="H10671" t="s">
        <v>444</v>
      </c>
      <c r="I10671" t="s">
        <v>29</v>
      </c>
      <c r="J10671">
        <v>1</v>
      </c>
      <c r="K10671">
        <f>1-888-787-4557</f>
        <v>-6231</v>
      </c>
      <c r="L10671" t="s">
        <v>33090</v>
      </c>
      <c r="M10671" t="s">
        <v>33091</v>
      </c>
      <c r="N10671" t="s">
        <v>452</v>
      </c>
      <c r="O10671" t="s">
        <v>28</v>
      </c>
      <c r="P10671" t="s">
        <v>29</v>
      </c>
      <c r="Q10671">
        <v>42</v>
      </c>
      <c r="R10671">
        <v>-87.629800000000003</v>
      </c>
    </row>
    <row r="10672" spans="1:18" x14ac:dyDescent="0.2">
      <c r="A10672" t="s">
        <v>439</v>
      </c>
      <c r="B10672" t="s">
        <v>4321</v>
      </c>
      <c r="C10672">
        <v>1</v>
      </c>
      <c r="D10672" s="1">
        <v>44361.954664351855</v>
      </c>
      <c r="E10672" t="s">
        <v>33088</v>
      </c>
      <c r="F10672" t="s">
        <v>442</v>
      </c>
      <c r="G10672" t="s">
        <v>33089</v>
      </c>
      <c r="H10672" t="s">
        <v>444</v>
      </c>
      <c r="I10672" t="s">
        <v>29</v>
      </c>
      <c r="J10672">
        <v>1</v>
      </c>
      <c r="K10672">
        <f>1-888-787-3351</f>
        <v>-5025</v>
      </c>
      <c r="L10672" t="s">
        <v>33092</v>
      </c>
      <c r="M10672" t="s">
        <v>33093</v>
      </c>
      <c r="N10672" t="s">
        <v>452</v>
      </c>
      <c r="O10672" t="s">
        <v>28</v>
      </c>
      <c r="P10672" t="s">
        <v>29</v>
      </c>
      <c r="Q10672">
        <v>42</v>
      </c>
      <c r="R10672">
        <v>-87.629800000000003</v>
      </c>
    </row>
    <row r="10673" spans="1:18" x14ac:dyDescent="0.2">
      <c r="A10673" t="s">
        <v>439</v>
      </c>
      <c r="B10673" t="s">
        <v>4321</v>
      </c>
      <c r="C10673">
        <v>1</v>
      </c>
      <c r="D10673" s="1">
        <v>44361.955763888887</v>
      </c>
      <c r="E10673" t="s">
        <v>33088</v>
      </c>
      <c r="F10673" t="s">
        <v>442</v>
      </c>
      <c r="G10673" t="s">
        <v>33094</v>
      </c>
      <c r="H10673" t="s">
        <v>444</v>
      </c>
      <c r="I10673" t="s">
        <v>29</v>
      </c>
      <c r="J10673">
        <v>1</v>
      </c>
      <c r="K10673">
        <f>1-888-786-4714</f>
        <v>-6387</v>
      </c>
      <c r="L10673" t="s">
        <v>33095</v>
      </c>
      <c r="M10673" t="s">
        <v>33096</v>
      </c>
      <c r="N10673" t="s">
        <v>452</v>
      </c>
      <c r="O10673" t="s">
        <v>28</v>
      </c>
      <c r="P10673" t="s">
        <v>29</v>
      </c>
      <c r="Q10673">
        <v>42</v>
      </c>
      <c r="R10673">
        <v>-87.629800000000003</v>
      </c>
    </row>
    <row r="10674" spans="1:18" x14ac:dyDescent="0.2">
      <c r="A10674" t="s">
        <v>439</v>
      </c>
      <c r="B10674" t="s">
        <v>4321</v>
      </c>
      <c r="C10674">
        <v>1</v>
      </c>
      <c r="D10674" s="1">
        <v>44361.955277777779</v>
      </c>
      <c r="E10674" t="s">
        <v>33088</v>
      </c>
      <c r="F10674" t="s">
        <v>442</v>
      </c>
      <c r="G10674" t="s">
        <v>33094</v>
      </c>
      <c r="H10674" t="s">
        <v>444</v>
      </c>
      <c r="I10674" t="s">
        <v>29</v>
      </c>
      <c r="J10674">
        <v>1</v>
      </c>
      <c r="K10674">
        <f>1-888-909-1333</f>
        <v>-3129</v>
      </c>
      <c r="L10674" t="s">
        <v>33097</v>
      </c>
      <c r="M10674" t="s">
        <v>33098</v>
      </c>
      <c r="N10674" t="s">
        <v>452</v>
      </c>
      <c r="O10674" t="s">
        <v>28</v>
      </c>
      <c r="P10674" t="s">
        <v>29</v>
      </c>
      <c r="Q10674">
        <v>42</v>
      </c>
      <c r="R10674">
        <v>-87.629800000000003</v>
      </c>
    </row>
    <row r="10675" spans="1:18" x14ac:dyDescent="0.2">
      <c r="A10675" t="s">
        <v>439</v>
      </c>
      <c r="B10675" t="s">
        <v>4321</v>
      </c>
      <c r="C10675">
        <v>1</v>
      </c>
      <c r="D10675" s="1">
        <v>44361.95516203704</v>
      </c>
      <c r="E10675" t="s">
        <v>33088</v>
      </c>
      <c r="F10675" t="s">
        <v>442</v>
      </c>
      <c r="G10675" t="s">
        <v>33094</v>
      </c>
      <c r="H10675" t="s">
        <v>444</v>
      </c>
      <c r="I10675" t="s">
        <v>29</v>
      </c>
      <c r="J10675">
        <v>1</v>
      </c>
      <c r="K10675">
        <f>1-888-803-824</f>
        <v>-2514</v>
      </c>
      <c r="L10675" t="s">
        <v>33099</v>
      </c>
      <c r="M10675" t="s">
        <v>33100</v>
      </c>
      <c r="N10675" t="s">
        <v>452</v>
      </c>
      <c r="O10675" t="s">
        <v>28</v>
      </c>
      <c r="P10675" t="s">
        <v>29</v>
      </c>
      <c r="Q10675">
        <v>42</v>
      </c>
      <c r="R10675">
        <v>-87.629800000000003</v>
      </c>
    </row>
    <row r="10676" spans="1:18" x14ac:dyDescent="0.2">
      <c r="A10676" t="s">
        <v>439</v>
      </c>
      <c r="B10676" t="s">
        <v>4321</v>
      </c>
      <c r="C10676">
        <v>1</v>
      </c>
      <c r="D10676" s="1">
        <v>44361.964594907404</v>
      </c>
      <c r="E10676" t="s">
        <v>33101</v>
      </c>
      <c r="F10676" t="s">
        <v>442</v>
      </c>
      <c r="G10676" t="s">
        <v>33102</v>
      </c>
      <c r="H10676" t="s">
        <v>444</v>
      </c>
      <c r="I10676" t="s">
        <v>29</v>
      </c>
      <c r="J10676">
        <v>1</v>
      </c>
      <c r="K10676">
        <f>1-888-786-4714</f>
        <v>-6387</v>
      </c>
      <c r="L10676" t="s">
        <v>33103</v>
      </c>
      <c r="M10676" t="s">
        <v>33104</v>
      </c>
      <c r="N10676" t="s">
        <v>452</v>
      </c>
      <c r="O10676" t="s">
        <v>28</v>
      </c>
      <c r="P10676" t="s">
        <v>29</v>
      </c>
      <c r="Q10676">
        <v>42</v>
      </c>
      <c r="R10676">
        <v>-87.629800000000003</v>
      </c>
    </row>
    <row r="10677" spans="1:18" x14ac:dyDescent="0.2">
      <c r="A10677" t="s">
        <v>439</v>
      </c>
      <c r="B10677" t="s">
        <v>4321</v>
      </c>
      <c r="C10677">
        <v>1</v>
      </c>
      <c r="D10677" s="1">
        <v>44361.964525462965</v>
      </c>
      <c r="E10677" t="s">
        <v>33101</v>
      </c>
      <c r="F10677" t="s">
        <v>442</v>
      </c>
      <c r="G10677" t="s">
        <v>33102</v>
      </c>
      <c r="H10677" t="s">
        <v>444</v>
      </c>
      <c r="I10677" t="s">
        <v>29</v>
      </c>
      <c r="J10677">
        <v>1</v>
      </c>
      <c r="K10677">
        <f>1-888-787-4557</f>
        <v>-6231</v>
      </c>
      <c r="L10677" t="s">
        <v>33105</v>
      </c>
      <c r="M10677" t="s">
        <v>33106</v>
      </c>
      <c r="N10677" t="s">
        <v>452</v>
      </c>
      <c r="O10677" t="s">
        <v>28</v>
      </c>
      <c r="P10677" t="s">
        <v>29</v>
      </c>
      <c r="Q10677">
        <v>42</v>
      </c>
      <c r="R10677">
        <v>-87.629800000000003</v>
      </c>
    </row>
    <row r="10678" spans="1:18" x14ac:dyDescent="0.2">
      <c r="A10678" t="s">
        <v>439</v>
      </c>
      <c r="B10678" t="s">
        <v>4321</v>
      </c>
      <c r="C10678">
        <v>1</v>
      </c>
      <c r="D10678" s="1">
        <v>44361.964467592596</v>
      </c>
      <c r="E10678" t="s">
        <v>33101</v>
      </c>
      <c r="F10678" t="s">
        <v>442</v>
      </c>
      <c r="G10678" t="s">
        <v>33102</v>
      </c>
      <c r="H10678" t="s">
        <v>444</v>
      </c>
      <c r="I10678" t="s">
        <v>29</v>
      </c>
      <c r="J10678">
        <v>1</v>
      </c>
      <c r="K10678">
        <f>1-888-803-824</f>
        <v>-2514</v>
      </c>
      <c r="L10678" t="s">
        <v>33107</v>
      </c>
      <c r="M10678" t="s">
        <v>33108</v>
      </c>
      <c r="N10678" t="s">
        <v>452</v>
      </c>
      <c r="O10678" t="s">
        <v>28</v>
      </c>
      <c r="P10678" t="s">
        <v>29</v>
      </c>
      <c r="Q10678">
        <v>42</v>
      </c>
      <c r="R10678">
        <v>-87.629800000000003</v>
      </c>
    </row>
    <row r="10679" spans="1:18" x14ac:dyDescent="0.2">
      <c r="A10679" t="s">
        <v>439</v>
      </c>
      <c r="B10679" t="s">
        <v>4321</v>
      </c>
      <c r="C10679">
        <v>1</v>
      </c>
      <c r="D10679" s="1">
        <v>44361.963761574072</v>
      </c>
      <c r="E10679" t="s">
        <v>33101</v>
      </c>
      <c r="F10679" t="s">
        <v>442</v>
      </c>
      <c r="G10679" t="s">
        <v>33102</v>
      </c>
      <c r="H10679" t="s">
        <v>444</v>
      </c>
      <c r="I10679" t="s">
        <v>29</v>
      </c>
      <c r="J10679">
        <v>1</v>
      </c>
      <c r="K10679">
        <f>1-888-787-3351</f>
        <v>-5025</v>
      </c>
      <c r="L10679" t="s">
        <v>33109</v>
      </c>
      <c r="M10679" t="s">
        <v>33110</v>
      </c>
      <c r="N10679" t="s">
        <v>452</v>
      </c>
      <c r="O10679" t="s">
        <v>28</v>
      </c>
      <c r="P10679" t="s">
        <v>29</v>
      </c>
      <c r="Q10679">
        <v>42</v>
      </c>
      <c r="R10679">
        <v>-87.629800000000003</v>
      </c>
    </row>
    <row r="10680" spans="1:18" x14ac:dyDescent="0.2">
      <c r="A10680" t="s">
        <v>439</v>
      </c>
      <c r="B10680" t="s">
        <v>4321</v>
      </c>
      <c r="C10680">
        <v>1</v>
      </c>
      <c r="D10680" s="1">
        <v>44361.964421296296</v>
      </c>
      <c r="E10680" t="s">
        <v>33101</v>
      </c>
      <c r="F10680" t="s">
        <v>442</v>
      </c>
      <c r="G10680" t="s">
        <v>33111</v>
      </c>
      <c r="H10680" t="s">
        <v>444</v>
      </c>
      <c r="I10680" t="s">
        <v>29</v>
      </c>
      <c r="J10680">
        <v>1</v>
      </c>
      <c r="K10680">
        <f>1-888-909-1333</f>
        <v>-3129</v>
      </c>
      <c r="L10680" t="s">
        <v>33112</v>
      </c>
      <c r="M10680" t="s">
        <v>33113</v>
      </c>
      <c r="N10680" t="s">
        <v>452</v>
      </c>
      <c r="O10680" t="s">
        <v>28</v>
      </c>
      <c r="P10680" t="s">
        <v>29</v>
      </c>
      <c r="Q10680">
        <v>42</v>
      </c>
      <c r="R10680">
        <v>-87.629800000000003</v>
      </c>
    </row>
    <row r="10681" spans="1:18" x14ac:dyDescent="0.2">
      <c r="A10681" t="s">
        <v>439</v>
      </c>
      <c r="B10681" t="s">
        <v>4321</v>
      </c>
      <c r="C10681">
        <v>1</v>
      </c>
      <c r="D10681" s="1">
        <v>44361.97216435185</v>
      </c>
      <c r="E10681" t="s">
        <v>33114</v>
      </c>
      <c r="F10681" t="s">
        <v>442</v>
      </c>
      <c r="G10681" t="s">
        <v>33115</v>
      </c>
      <c r="H10681" t="s">
        <v>444</v>
      </c>
      <c r="I10681" t="s">
        <v>29</v>
      </c>
      <c r="J10681">
        <v>1</v>
      </c>
      <c r="K10681">
        <f>1-888-786-4714</f>
        <v>-6387</v>
      </c>
      <c r="L10681" t="s">
        <v>33116</v>
      </c>
      <c r="M10681" t="s">
        <v>33117</v>
      </c>
      <c r="N10681" t="s">
        <v>452</v>
      </c>
      <c r="O10681" t="s">
        <v>28</v>
      </c>
      <c r="P10681" t="s">
        <v>29</v>
      </c>
      <c r="Q10681">
        <v>42</v>
      </c>
      <c r="R10681">
        <v>-87.629800000000003</v>
      </c>
    </row>
    <row r="10682" spans="1:18" x14ac:dyDescent="0.2">
      <c r="A10682" t="s">
        <v>439</v>
      </c>
      <c r="B10682" t="s">
        <v>4321</v>
      </c>
      <c r="C10682">
        <v>1</v>
      </c>
      <c r="D10682" s="1">
        <v>44361.972118055557</v>
      </c>
      <c r="E10682" t="s">
        <v>33114</v>
      </c>
      <c r="F10682" t="s">
        <v>442</v>
      </c>
      <c r="G10682" t="s">
        <v>33115</v>
      </c>
      <c r="H10682" t="s">
        <v>444</v>
      </c>
      <c r="I10682" t="s">
        <v>29</v>
      </c>
      <c r="J10682">
        <v>1</v>
      </c>
      <c r="K10682">
        <f>1-888-787-4557</f>
        <v>-6231</v>
      </c>
      <c r="L10682" t="s">
        <v>33118</v>
      </c>
      <c r="M10682" t="s">
        <v>33119</v>
      </c>
      <c r="N10682" t="s">
        <v>452</v>
      </c>
      <c r="O10682" t="s">
        <v>28</v>
      </c>
      <c r="P10682" t="s">
        <v>29</v>
      </c>
      <c r="Q10682">
        <v>42</v>
      </c>
      <c r="R10682">
        <v>-87.629800000000003</v>
      </c>
    </row>
    <row r="10683" spans="1:18" x14ac:dyDescent="0.2">
      <c r="A10683" t="s">
        <v>439</v>
      </c>
      <c r="B10683" t="s">
        <v>4321</v>
      </c>
      <c r="C10683">
        <v>1</v>
      </c>
      <c r="D10683" s="1">
        <v>44361.972071759257</v>
      </c>
      <c r="E10683" t="s">
        <v>33114</v>
      </c>
      <c r="F10683" t="s">
        <v>442</v>
      </c>
      <c r="G10683" t="s">
        <v>33115</v>
      </c>
      <c r="H10683" t="s">
        <v>444</v>
      </c>
      <c r="I10683" t="s">
        <v>29</v>
      </c>
      <c r="J10683">
        <v>1</v>
      </c>
      <c r="K10683">
        <f>1-888-803-818</f>
        <v>-2508</v>
      </c>
      <c r="L10683" t="s">
        <v>33120</v>
      </c>
      <c r="M10683" t="s">
        <v>33121</v>
      </c>
      <c r="N10683" t="s">
        <v>452</v>
      </c>
      <c r="O10683" t="s">
        <v>28</v>
      </c>
      <c r="P10683" t="s">
        <v>29</v>
      </c>
      <c r="Q10683">
        <v>42</v>
      </c>
      <c r="R10683">
        <v>-87.629800000000003</v>
      </c>
    </row>
    <row r="10684" spans="1:18" x14ac:dyDescent="0.2">
      <c r="A10684" t="s">
        <v>439</v>
      </c>
      <c r="B10684" t="s">
        <v>4321</v>
      </c>
      <c r="C10684">
        <v>1</v>
      </c>
      <c r="D10684" s="1">
        <v>44361.972025462965</v>
      </c>
      <c r="E10684" t="s">
        <v>33114</v>
      </c>
      <c r="F10684" t="s">
        <v>442</v>
      </c>
      <c r="G10684" t="s">
        <v>33115</v>
      </c>
      <c r="H10684" t="s">
        <v>444</v>
      </c>
      <c r="I10684" t="s">
        <v>29</v>
      </c>
      <c r="J10684">
        <v>1</v>
      </c>
      <c r="K10684">
        <f>1-888-909-1333</f>
        <v>-3129</v>
      </c>
      <c r="L10684" t="s">
        <v>33122</v>
      </c>
      <c r="M10684" t="s">
        <v>33123</v>
      </c>
      <c r="N10684" t="s">
        <v>452</v>
      </c>
      <c r="O10684" t="s">
        <v>28</v>
      </c>
      <c r="P10684" t="s">
        <v>29</v>
      </c>
      <c r="Q10684">
        <v>42</v>
      </c>
      <c r="R10684">
        <v>-87.629800000000003</v>
      </c>
    </row>
    <row r="10685" spans="1:18" x14ac:dyDescent="0.2">
      <c r="A10685" t="s">
        <v>439</v>
      </c>
      <c r="B10685" t="s">
        <v>4321</v>
      </c>
      <c r="C10685">
        <v>1</v>
      </c>
      <c r="D10685" s="1">
        <v>44361.971979166665</v>
      </c>
      <c r="E10685" t="s">
        <v>33114</v>
      </c>
      <c r="F10685" t="s">
        <v>442</v>
      </c>
      <c r="G10685" t="s">
        <v>33115</v>
      </c>
      <c r="H10685" t="s">
        <v>444</v>
      </c>
      <c r="I10685" t="s">
        <v>29</v>
      </c>
      <c r="J10685">
        <v>1</v>
      </c>
      <c r="K10685">
        <f>1-888-851-593</f>
        <v>-2331</v>
      </c>
      <c r="L10685" t="s">
        <v>33124</v>
      </c>
      <c r="M10685" t="s">
        <v>33125</v>
      </c>
      <c r="N10685" t="s">
        <v>452</v>
      </c>
      <c r="O10685" t="s">
        <v>28</v>
      </c>
      <c r="P10685" t="s">
        <v>29</v>
      </c>
      <c r="Q10685">
        <v>42</v>
      </c>
      <c r="R10685">
        <v>-87.629800000000003</v>
      </c>
    </row>
    <row r="10686" spans="1:18" x14ac:dyDescent="0.2">
      <c r="A10686" t="s">
        <v>663</v>
      </c>
      <c r="B10686" t="s">
        <v>454</v>
      </c>
      <c r="C10686">
        <v>1</v>
      </c>
      <c r="D10686" s="1">
        <v>44361.99119212963</v>
      </c>
      <c r="E10686" t="s">
        <v>33126</v>
      </c>
      <c r="F10686" t="s">
        <v>666</v>
      </c>
      <c r="G10686" t="s">
        <v>33127</v>
      </c>
      <c r="H10686" t="s">
        <v>667</v>
      </c>
      <c r="I10686" t="s">
        <v>29</v>
      </c>
      <c r="J10686">
        <v>1</v>
      </c>
      <c r="K10686">
        <f>1-317-300-6054</f>
        <v>-6670</v>
      </c>
      <c r="L10686" t="s">
        <v>33128</v>
      </c>
      <c r="M10686" t="s">
        <v>33129</v>
      </c>
      <c r="N10686" t="s">
        <v>452</v>
      </c>
      <c r="O10686" t="s">
        <v>28</v>
      </c>
      <c r="P10686" t="s">
        <v>461</v>
      </c>
      <c r="Q10686">
        <v>52</v>
      </c>
      <c r="R10686">
        <v>4.9391999999999996</v>
      </c>
    </row>
    <row r="10687" spans="1:18" x14ac:dyDescent="0.2">
      <c r="A10687" t="s">
        <v>439</v>
      </c>
      <c r="B10687" t="s">
        <v>4321</v>
      </c>
      <c r="C10687">
        <v>1</v>
      </c>
      <c r="D10687" s="1">
        <v>44363.674722222226</v>
      </c>
      <c r="E10687" t="s">
        <v>33130</v>
      </c>
      <c r="F10687" t="s">
        <v>442</v>
      </c>
      <c r="G10687" t="s">
        <v>33131</v>
      </c>
      <c r="H10687" t="s">
        <v>444</v>
      </c>
      <c r="I10687" t="s">
        <v>29</v>
      </c>
      <c r="J10687">
        <v>1</v>
      </c>
      <c r="K10687">
        <f>1-888-851-554</f>
        <v>-2292</v>
      </c>
      <c r="L10687" t="s">
        <v>33132</v>
      </c>
      <c r="M10687" t="s">
        <v>33133</v>
      </c>
      <c r="N10687" t="s">
        <v>452</v>
      </c>
      <c r="O10687" t="s">
        <v>28</v>
      </c>
      <c r="P10687" t="s">
        <v>29</v>
      </c>
      <c r="Q10687">
        <v>42</v>
      </c>
      <c r="R10687">
        <v>-87.629800000000003</v>
      </c>
    </row>
    <row r="10688" spans="1:18" x14ac:dyDescent="0.2">
      <c r="A10688" t="s">
        <v>439</v>
      </c>
      <c r="B10688" t="s">
        <v>4321</v>
      </c>
      <c r="C10688">
        <v>1</v>
      </c>
      <c r="D10688" s="1">
        <v>44362.030601851853</v>
      </c>
      <c r="E10688" t="s">
        <v>33134</v>
      </c>
      <c r="F10688" t="s">
        <v>442</v>
      </c>
      <c r="G10688" t="s">
        <v>33135</v>
      </c>
      <c r="H10688" t="s">
        <v>444</v>
      </c>
      <c r="I10688" t="s">
        <v>29</v>
      </c>
      <c r="J10688">
        <v>1</v>
      </c>
      <c r="K10688">
        <f>1-888-909-1254</f>
        <v>-3050</v>
      </c>
      <c r="L10688" t="s">
        <v>33136</v>
      </c>
      <c r="M10688" t="s">
        <v>33137</v>
      </c>
      <c r="N10688" t="s">
        <v>452</v>
      </c>
      <c r="O10688" t="s">
        <v>28</v>
      </c>
      <c r="P10688" t="s">
        <v>29</v>
      </c>
      <c r="Q10688">
        <v>42</v>
      </c>
      <c r="R10688">
        <v>-87.629800000000003</v>
      </c>
    </row>
    <row r="10689" spans="1:18" x14ac:dyDescent="0.2">
      <c r="A10689" t="s">
        <v>439</v>
      </c>
      <c r="B10689" t="s">
        <v>4321</v>
      </c>
      <c r="C10689">
        <v>1</v>
      </c>
      <c r="D10689" s="1">
        <v>44362.030509259261</v>
      </c>
      <c r="E10689" t="s">
        <v>33134</v>
      </c>
      <c r="F10689" t="s">
        <v>442</v>
      </c>
      <c r="G10689" t="s">
        <v>33135</v>
      </c>
      <c r="H10689" t="s">
        <v>444</v>
      </c>
      <c r="I10689" t="s">
        <v>29</v>
      </c>
      <c r="J10689">
        <v>1</v>
      </c>
      <c r="K10689">
        <f>1-888-909-1333</f>
        <v>-3129</v>
      </c>
      <c r="L10689" t="s">
        <v>33138</v>
      </c>
      <c r="M10689" t="s">
        <v>33139</v>
      </c>
      <c r="N10689" t="s">
        <v>452</v>
      </c>
      <c r="O10689" t="s">
        <v>28</v>
      </c>
      <c r="P10689" t="s">
        <v>29</v>
      </c>
      <c r="Q10689">
        <v>42</v>
      </c>
      <c r="R10689">
        <v>-87.629800000000003</v>
      </c>
    </row>
    <row r="10690" spans="1:18" x14ac:dyDescent="0.2">
      <c r="A10690" t="s">
        <v>439</v>
      </c>
      <c r="B10690" t="s">
        <v>4321</v>
      </c>
      <c r="C10690">
        <v>1</v>
      </c>
      <c r="D10690" s="1">
        <v>44362.030462962961</v>
      </c>
      <c r="E10690" t="s">
        <v>33134</v>
      </c>
      <c r="F10690" t="s">
        <v>442</v>
      </c>
      <c r="G10690" t="s">
        <v>33135</v>
      </c>
      <c r="H10690" t="s">
        <v>444</v>
      </c>
      <c r="I10690" t="s">
        <v>29</v>
      </c>
      <c r="J10690">
        <v>1</v>
      </c>
      <c r="K10690">
        <f>1-888-851-593</f>
        <v>-2331</v>
      </c>
      <c r="L10690" t="s">
        <v>33140</v>
      </c>
      <c r="M10690" t="s">
        <v>33141</v>
      </c>
      <c r="N10690" t="s">
        <v>452</v>
      </c>
      <c r="O10690" t="s">
        <v>28</v>
      </c>
      <c r="P10690" t="s">
        <v>29</v>
      </c>
      <c r="Q10690">
        <v>42</v>
      </c>
      <c r="R10690">
        <v>-87.629800000000003</v>
      </c>
    </row>
    <row r="10691" spans="1:18" x14ac:dyDescent="0.2">
      <c r="A10691" t="s">
        <v>439</v>
      </c>
      <c r="B10691" t="s">
        <v>4321</v>
      </c>
      <c r="C10691">
        <v>1</v>
      </c>
      <c r="D10691" s="1">
        <v>44362.030416666668</v>
      </c>
      <c r="E10691" t="s">
        <v>33134</v>
      </c>
      <c r="F10691" t="s">
        <v>442</v>
      </c>
      <c r="G10691" t="s">
        <v>33135</v>
      </c>
      <c r="H10691" t="s">
        <v>444</v>
      </c>
      <c r="I10691" t="s">
        <v>29</v>
      </c>
      <c r="J10691">
        <v>1</v>
      </c>
      <c r="K10691">
        <f>1-888-803-818</f>
        <v>-2508</v>
      </c>
      <c r="L10691" t="s">
        <v>33142</v>
      </c>
      <c r="M10691" t="s">
        <v>33143</v>
      </c>
      <c r="N10691" t="s">
        <v>452</v>
      </c>
      <c r="O10691" t="s">
        <v>28</v>
      </c>
      <c r="P10691" t="s">
        <v>29</v>
      </c>
      <c r="Q10691">
        <v>42</v>
      </c>
      <c r="R10691">
        <v>-87.629800000000003</v>
      </c>
    </row>
    <row r="10692" spans="1:18" x14ac:dyDescent="0.2">
      <c r="A10692" t="s">
        <v>439</v>
      </c>
      <c r="B10692" t="s">
        <v>4321</v>
      </c>
      <c r="C10692">
        <v>1</v>
      </c>
      <c r="D10692" s="1">
        <v>44362.030555555553</v>
      </c>
      <c r="E10692" t="s">
        <v>33134</v>
      </c>
      <c r="F10692" t="s">
        <v>442</v>
      </c>
      <c r="G10692" t="s">
        <v>33144</v>
      </c>
      <c r="H10692" t="s">
        <v>444</v>
      </c>
      <c r="I10692" t="s">
        <v>29</v>
      </c>
      <c r="J10692">
        <v>1</v>
      </c>
      <c r="K10692">
        <f>1-888-787-4557</f>
        <v>-6231</v>
      </c>
      <c r="L10692" t="s">
        <v>33145</v>
      </c>
      <c r="M10692" t="s">
        <v>33146</v>
      </c>
      <c r="N10692" t="s">
        <v>452</v>
      </c>
      <c r="O10692" t="s">
        <v>28</v>
      </c>
      <c r="P10692" t="s">
        <v>29</v>
      </c>
      <c r="Q10692">
        <v>42</v>
      </c>
      <c r="R10692">
        <v>-87.629800000000003</v>
      </c>
    </row>
    <row r="10693" spans="1:18" x14ac:dyDescent="0.2">
      <c r="A10693" t="s">
        <v>439</v>
      </c>
      <c r="B10693" t="s">
        <v>4321</v>
      </c>
      <c r="C10693">
        <v>1</v>
      </c>
      <c r="D10693" s="1">
        <v>44362.629166666666</v>
      </c>
      <c r="E10693" t="s">
        <v>33147</v>
      </c>
      <c r="F10693" t="s">
        <v>442</v>
      </c>
      <c r="G10693" t="s">
        <v>33148</v>
      </c>
      <c r="H10693" t="s">
        <v>444</v>
      </c>
      <c r="I10693" t="s">
        <v>29</v>
      </c>
      <c r="J10693">
        <v>1</v>
      </c>
      <c r="K10693">
        <f>1-866-556-7154</f>
        <v>-8575</v>
      </c>
      <c r="L10693" t="s">
        <v>33149</v>
      </c>
      <c r="M10693" t="s">
        <v>33150</v>
      </c>
      <c r="N10693" t="s">
        <v>213</v>
      </c>
      <c r="O10693" t="s">
        <v>28</v>
      </c>
      <c r="P10693" t="s">
        <v>29</v>
      </c>
      <c r="Q10693">
        <v>42</v>
      </c>
      <c r="R10693">
        <v>-87.629800000000003</v>
      </c>
    </row>
    <row r="10694" spans="1:18" x14ac:dyDescent="0.2">
      <c r="A10694" t="s">
        <v>663</v>
      </c>
      <c r="B10694" t="s">
        <v>5784</v>
      </c>
      <c r="C10694">
        <v>1</v>
      </c>
      <c r="D10694" s="1">
        <v>44362.839039351849</v>
      </c>
      <c r="E10694" t="s">
        <v>33151</v>
      </c>
      <c r="F10694" t="s">
        <v>666</v>
      </c>
      <c r="G10694" t="s">
        <v>33152</v>
      </c>
      <c r="H10694" t="s">
        <v>667</v>
      </c>
      <c r="I10694" t="s">
        <v>29</v>
      </c>
      <c r="J10694">
        <v>1</v>
      </c>
      <c r="K10694">
        <f>1-844-221-2340</f>
        <v>-3404</v>
      </c>
      <c r="L10694" t="s">
        <v>33153</v>
      </c>
      <c r="M10694" t="s">
        <v>33154</v>
      </c>
      <c r="N10694" t="s">
        <v>25263</v>
      </c>
      <c r="O10694" t="s">
        <v>28</v>
      </c>
      <c r="P10694" t="s">
        <v>5789</v>
      </c>
      <c r="Q10694">
        <v>13</v>
      </c>
      <c r="R10694">
        <v>77.585499999999996</v>
      </c>
    </row>
    <row r="10695" spans="1:18" x14ac:dyDescent="0.2">
      <c r="A10695" t="s">
        <v>663</v>
      </c>
      <c r="B10695" t="s">
        <v>5784</v>
      </c>
      <c r="C10695">
        <v>1</v>
      </c>
      <c r="D10695" s="1">
        <v>44362.677141203705</v>
      </c>
      <c r="E10695" t="s">
        <v>33151</v>
      </c>
      <c r="F10695" t="s">
        <v>666</v>
      </c>
      <c r="G10695" t="s">
        <v>33152</v>
      </c>
      <c r="H10695" t="s">
        <v>667</v>
      </c>
      <c r="I10695" t="s">
        <v>29</v>
      </c>
      <c r="J10695">
        <v>1</v>
      </c>
      <c r="K10695">
        <f>1-844-300-3467</f>
        <v>-4610</v>
      </c>
      <c r="L10695" t="s">
        <v>33155</v>
      </c>
      <c r="M10695" t="s">
        <v>33156</v>
      </c>
      <c r="N10695" t="s">
        <v>25263</v>
      </c>
      <c r="O10695" t="s">
        <v>28</v>
      </c>
      <c r="P10695" t="s">
        <v>5789</v>
      </c>
      <c r="Q10695">
        <v>13</v>
      </c>
      <c r="R10695">
        <v>77.585499999999996</v>
      </c>
    </row>
    <row r="10696" spans="1:18" x14ac:dyDescent="0.2">
      <c r="A10696" t="s">
        <v>663</v>
      </c>
      <c r="B10696" t="s">
        <v>5784</v>
      </c>
      <c r="C10696">
        <v>1</v>
      </c>
      <c r="D10696" s="1">
        <v>44362.737037037034</v>
      </c>
      <c r="E10696" t="s">
        <v>33157</v>
      </c>
      <c r="F10696" t="s">
        <v>666</v>
      </c>
      <c r="G10696" t="s">
        <v>33158</v>
      </c>
      <c r="H10696" t="s">
        <v>667</v>
      </c>
      <c r="I10696" t="s">
        <v>29</v>
      </c>
      <c r="J10696">
        <v>1</v>
      </c>
      <c r="K10696">
        <f>1-844-304-4115</f>
        <v>-5262</v>
      </c>
      <c r="L10696" t="s">
        <v>33159</v>
      </c>
      <c r="M10696" t="s">
        <v>33160</v>
      </c>
      <c r="N10696" t="s">
        <v>25263</v>
      </c>
      <c r="O10696" t="s">
        <v>28</v>
      </c>
      <c r="P10696" t="s">
        <v>5789</v>
      </c>
      <c r="Q10696">
        <v>13</v>
      </c>
      <c r="R10696">
        <v>77.585499999999996</v>
      </c>
    </row>
    <row r="10697" spans="1:18" x14ac:dyDescent="0.2">
      <c r="A10697" t="s">
        <v>6660</v>
      </c>
      <c r="B10697" t="s">
        <v>6661</v>
      </c>
      <c r="C10697">
        <v>81</v>
      </c>
      <c r="D10697" s="1">
        <v>44362.740902777776</v>
      </c>
      <c r="E10697" t="s">
        <v>33161</v>
      </c>
      <c r="F10697" t="s">
        <v>6663</v>
      </c>
      <c r="G10697" t="s">
        <v>33162</v>
      </c>
      <c r="H10697" t="s">
        <v>6665</v>
      </c>
      <c r="I10697" t="s">
        <v>53</v>
      </c>
      <c r="J10697">
        <v>81</v>
      </c>
      <c r="K10697">
        <f>81-50-5479-533</f>
        <v>-5981</v>
      </c>
      <c r="L10697" t="s">
        <v>33163</v>
      </c>
      <c r="M10697" t="s">
        <v>33164</v>
      </c>
      <c r="N10697" t="s">
        <v>452</v>
      </c>
      <c r="O10697" t="s">
        <v>134</v>
      </c>
      <c r="P10697" t="s">
        <v>29</v>
      </c>
      <c r="Q10697">
        <v>36</v>
      </c>
      <c r="R10697">
        <v>-82.551500000000004</v>
      </c>
    </row>
    <row r="10698" spans="1:18" x14ac:dyDescent="0.2">
      <c r="A10698" t="s">
        <v>1200</v>
      </c>
      <c r="B10698" t="s">
        <v>2500</v>
      </c>
      <c r="C10698">
        <v>1</v>
      </c>
      <c r="D10698" s="1">
        <v>44362.748599537037</v>
      </c>
      <c r="E10698" t="s">
        <v>33165</v>
      </c>
      <c r="F10698" t="s">
        <v>1203</v>
      </c>
      <c r="G10698" t="s">
        <v>33166</v>
      </c>
      <c r="H10698" t="s">
        <v>1205</v>
      </c>
      <c r="I10698" t="s">
        <v>29</v>
      </c>
      <c r="J10698">
        <v>1</v>
      </c>
      <c r="K10698">
        <f>1-844-468-3551</f>
        <v>-4862</v>
      </c>
      <c r="L10698" t="s">
        <v>33167</v>
      </c>
      <c r="M10698" t="s">
        <v>33168</v>
      </c>
      <c r="N10698" t="s">
        <v>452</v>
      </c>
      <c r="O10698" t="s">
        <v>134</v>
      </c>
      <c r="P10698" t="s">
        <v>2500</v>
      </c>
      <c r="Q10698">
        <v>1</v>
      </c>
      <c r="R10698">
        <v>99.999999000000003</v>
      </c>
    </row>
    <row r="10699" spans="1:18" x14ac:dyDescent="0.2">
      <c r="A10699" t="s">
        <v>663</v>
      </c>
      <c r="B10699" t="s">
        <v>1412</v>
      </c>
      <c r="C10699">
        <v>1</v>
      </c>
      <c r="D10699" s="1">
        <v>44362.748923611114</v>
      </c>
      <c r="E10699" t="s">
        <v>33169</v>
      </c>
      <c r="F10699" t="s">
        <v>2495</v>
      </c>
      <c r="G10699" t="s">
        <v>33170</v>
      </c>
      <c r="H10699" t="s">
        <v>667</v>
      </c>
      <c r="I10699" t="s">
        <v>29</v>
      </c>
      <c r="J10699">
        <v>1</v>
      </c>
      <c r="K10699">
        <f>1-317-300-6054</f>
        <v>-6670</v>
      </c>
      <c r="L10699" t="s">
        <v>33171</v>
      </c>
      <c r="M10699" t="s">
        <v>33172</v>
      </c>
      <c r="N10699" t="s">
        <v>452</v>
      </c>
      <c r="O10699" t="s">
        <v>28</v>
      </c>
      <c r="P10699" t="s">
        <v>29</v>
      </c>
      <c r="Q10699">
        <v>41</v>
      </c>
      <c r="R10699">
        <v>-74.172399999999996</v>
      </c>
    </row>
    <row r="10700" spans="1:18" x14ac:dyDescent="0.2">
      <c r="A10700" t="s">
        <v>439</v>
      </c>
      <c r="B10700" t="s">
        <v>4321</v>
      </c>
      <c r="C10700">
        <v>1</v>
      </c>
      <c r="D10700" s="1">
        <v>44362.750856481478</v>
      </c>
      <c r="E10700" t="s">
        <v>33173</v>
      </c>
      <c r="F10700" t="s">
        <v>442</v>
      </c>
      <c r="G10700" t="s">
        <v>33174</v>
      </c>
      <c r="H10700" t="s">
        <v>444</v>
      </c>
      <c r="I10700" t="s">
        <v>29</v>
      </c>
      <c r="J10700">
        <v>1</v>
      </c>
      <c r="K10700">
        <f>1-888-803-823</f>
        <v>-2513</v>
      </c>
      <c r="L10700" t="s">
        <v>33175</v>
      </c>
      <c r="M10700" t="s">
        <v>33176</v>
      </c>
      <c r="N10700" t="s">
        <v>452</v>
      </c>
      <c r="O10700" t="s">
        <v>28</v>
      </c>
      <c r="P10700" t="s">
        <v>29</v>
      </c>
      <c r="Q10700">
        <v>42</v>
      </c>
      <c r="R10700">
        <v>-87.629800000000003</v>
      </c>
    </row>
    <row r="10701" spans="1:18" x14ac:dyDescent="0.2">
      <c r="A10701" t="s">
        <v>439</v>
      </c>
      <c r="B10701" t="s">
        <v>4321</v>
      </c>
      <c r="C10701">
        <v>1</v>
      </c>
      <c r="D10701" s="1">
        <v>44362.750763888886</v>
      </c>
      <c r="E10701" t="s">
        <v>33173</v>
      </c>
      <c r="F10701" t="s">
        <v>442</v>
      </c>
      <c r="G10701" t="s">
        <v>33174</v>
      </c>
      <c r="H10701" t="s">
        <v>444</v>
      </c>
      <c r="I10701" t="s">
        <v>29</v>
      </c>
      <c r="J10701">
        <v>1</v>
      </c>
      <c r="K10701">
        <f>1-888-851-563</f>
        <v>-2301</v>
      </c>
      <c r="L10701" t="s">
        <v>33177</v>
      </c>
      <c r="M10701" t="s">
        <v>33178</v>
      </c>
      <c r="N10701" t="s">
        <v>452</v>
      </c>
      <c r="O10701" t="s">
        <v>28</v>
      </c>
      <c r="P10701" t="s">
        <v>29</v>
      </c>
      <c r="Q10701">
        <v>42</v>
      </c>
      <c r="R10701">
        <v>-87.629800000000003</v>
      </c>
    </row>
    <row r="10702" spans="1:18" x14ac:dyDescent="0.2">
      <c r="A10702" t="s">
        <v>439</v>
      </c>
      <c r="B10702" t="s">
        <v>4321</v>
      </c>
      <c r="C10702">
        <v>1</v>
      </c>
      <c r="D10702" s="1">
        <v>44362.75172453704</v>
      </c>
      <c r="E10702" t="s">
        <v>33173</v>
      </c>
      <c r="F10702" t="s">
        <v>442</v>
      </c>
      <c r="G10702" t="s">
        <v>33179</v>
      </c>
      <c r="H10702" t="s">
        <v>444</v>
      </c>
      <c r="I10702" t="s">
        <v>29</v>
      </c>
      <c r="J10702">
        <v>1</v>
      </c>
      <c r="K10702">
        <f>1-888-851-591</f>
        <v>-2329</v>
      </c>
      <c r="L10702" t="s">
        <v>33180</v>
      </c>
      <c r="M10702" t="s">
        <v>33181</v>
      </c>
      <c r="N10702" t="s">
        <v>452</v>
      </c>
      <c r="O10702" t="s">
        <v>28</v>
      </c>
      <c r="P10702" t="s">
        <v>29</v>
      </c>
      <c r="Q10702">
        <v>42</v>
      </c>
      <c r="R10702">
        <v>-87.629800000000003</v>
      </c>
    </row>
    <row r="10703" spans="1:18" x14ac:dyDescent="0.2">
      <c r="A10703" t="s">
        <v>439</v>
      </c>
      <c r="B10703" t="s">
        <v>4321</v>
      </c>
      <c r="C10703">
        <v>1</v>
      </c>
      <c r="D10703" s="1">
        <v>44362.750902777778</v>
      </c>
      <c r="E10703" t="s">
        <v>33173</v>
      </c>
      <c r="F10703" t="s">
        <v>442</v>
      </c>
      <c r="G10703" t="s">
        <v>33179</v>
      </c>
      <c r="H10703" t="s">
        <v>444</v>
      </c>
      <c r="I10703" t="s">
        <v>29</v>
      </c>
      <c r="J10703">
        <v>1</v>
      </c>
      <c r="K10703">
        <f>1-888-851-716</f>
        <v>-2454</v>
      </c>
      <c r="L10703" t="s">
        <v>33182</v>
      </c>
      <c r="M10703" t="s">
        <v>33183</v>
      </c>
      <c r="N10703" t="s">
        <v>452</v>
      </c>
      <c r="O10703" t="s">
        <v>28</v>
      </c>
      <c r="P10703" t="s">
        <v>29</v>
      </c>
      <c r="Q10703">
        <v>42</v>
      </c>
      <c r="R10703">
        <v>-87.629800000000003</v>
      </c>
    </row>
    <row r="10704" spans="1:18" x14ac:dyDescent="0.2">
      <c r="A10704" t="s">
        <v>439</v>
      </c>
      <c r="B10704" t="s">
        <v>4321</v>
      </c>
      <c r="C10704">
        <v>1</v>
      </c>
      <c r="D10704" s="1">
        <v>44362.750810185185</v>
      </c>
      <c r="E10704" t="s">
        <v>33173</v>
      </c>
      <c r="F10704" t="s">
        <v>442</v>
      </c>
      <c r="G10704" t="s">
        <v>33179</v>
      </c>
      <c r="H10704" t="s">
        <v>444</v>
      </c>
      <c r="I10704" t="s">
        <v>29</v>
      </c>
      <c r="J10704">
        <v>1</v>
      </c>
      <c r="K10704">
        <f>1-888-909-1217</f>
        <v>-3013</v>
      </c>
      <c r="L10704" t="s">
        <v>33184</v>
      </c>
      <c r="M10704" t="s">
        <v>33185</v>
      </c>
      <c r="N10704" t="s">
        <v>452</v>
      </c>
      <c r="O10704" t="s">
        <v>28</v>
      </c>
      <c r="P10704" t="s">
        <v>29</v>
      </c>
      <c r="Q10704">
        <v>42</v>
      </c>
      <c r="R10704">
        <v>-87.629800000000003</v>
      </c>
    </row>
    <row r="10705" spans="1:18" x14ac:dyDescent="0.2">
      <c r="A10705" t="s">
        <v>2233</v>
      </c>
      <c r="B10705" t="s">
        <v>1638</v>
      </c>
      <c r="C10705">
        <v>1</v>
      </c>
      <c r="D10705" s="1">
        <v>44362.759386574071</v>
      </c>
      <c r="E10705" t="s">
        <v>33186</v>
      </c>
      <c r="F10705" t="s">
        <v>2236</v>
      </c>
      <c r="G10705" t="s">
        <v>33187</v>
      </c>
      <c r="H10705" t="s">
        <v>2237</v>
      </c>
      <c r="I10705" t="s">
        <v>29</v>
      </c>
      <c r="J10705">
        <v>1</v>
      </c>
      <c r="K10705">
        <f>1-888-803-849</f>
        <v>-2539</v>
      </c>
      <c r="L10705" t="s">
        <v>33188</v>
      </c>
      <c r="M10705" t="s">
        <v>33189</v>
      </c>
      <c r="N10705" t="s">
        <v>278</v>
      </c>
      <c r="O10705" t="s">
        <v>28</v>
      </c>
      <c r="P10705" t="s">
        <v>292</v>
      </c>
      <c r="Q10705">
        <v>49</v>
      </c>
      <c r="R10705">
        <v>2.35222</v>
      </c>
    </row>
    <row r="10706" spans="1:18" x14ac:dyDescent="0.2">
      <c r="A10706" t="s">
        <v>663</v>
      </c>
      <c r="B10706" t="s">
        <v>1412</v>
      </c>
      <c r="C10706">
        <v>1</v>
      </c>
      <c r="D10706" s="1">
        <v>44362.778078703705</v>
      </c>
      <c r="E10706" t="s">
        <v>33190</v>
      </c>
      <c r="F10706" t="s">
        <v>2495</v>
      </c>
      <c r="G10706" t="s">
        <v>33190</v>
      </c>
      <c r="H10706" t="s">
        <v>667</v>
      </c>
      <c r="I10706" t="s">
        <v>29</v>
      </c>
      <c r="J10706">
        <v>1</v>
      </c>
      <c r="K10706">
        <f>1-844-242-2698</f>
        <v>-3783</v>
      </c>
      <c r="L10706" t="s">
        <v>33191</v>
      </c>
      <c r="M10706" t="s">
        <v>33192</v>
      </c>
      <c r="N10706">
        <v>139</v>
      </c>
      <c r="O10706" t="s">
        <v>134</v>
      </c>
      <c r="P10706" t="s">
        <v>29</v>
      </c>
      <c r="Q10706">
        <v>41</v>
      </c>
      <c r="R10706">
        <v>-74.172399999999996</v>
      </c>
    </row>
    <row r="10707" spans="1:18" x14ac:dyDescent="0.2">
      <c r="A10707" t="s">
        <v>2233</v>
      </c>
      <c r="B10707" t="s">
        <v>1638</v>
      </c>
      <c r="C10707">
        <v>1</v>
      </c>
      <c r="D10707" s="1">
        <v>44362.803043981483</v>
      </c>
      <c r="E10707" t="s">
        <v>33193</v>
      </c>
      <c r="F10707" t="s">
        <v>2236</v>
      </c>
      <c r="G10707" t="s">
        <v>33194</v>
      </c>
      <c r="H10707" t="s">
        <v>2237</v>
      </c>
      <c r="I10707" t="s">
        <v>29</v>
      </c>
      <c r="J10707">
        <v>1</v>
      </c>
      <c r="K10707">
        <f>1-888-434-6090</f>
        <v>-7411</v>
      </c>
      <c r="L10707" t="s">
        <v>33195</v>
      </c>
      <c r="M10707" t="s">
        <v>33196</v>
      </c>
      <c r="N10707" t="s">
        <v>278</v>
      </c>
      <c r="O10707" t="s">
        <v>28</v>
      </c>
      <c r="P10707" t="s">
        <v>292</v>
      </c>
      <c r="Q10707">
        <v>49</v>
      </c>
      <c r="R10707">
        <v>2.35222</v>
      </c>
    </row>
    <row r="10708" spans="1:18" x14ac:dyDescent="0.2">
      <c r="A10708" t="s">
        <v>2233</v>
      </c>
      <c r="B10708" t="s">
        <v>1638</v>
      </c>
      <c r="C10708">
        <v>1</v>
      </c>
      <c r="D10708" s="1">
        <v>44362.788969907408</v>
      </c>
      <c r="E10708" t="s">
        <v>33193</v>
      </c>
      <c r="F10708" t="s">
        <v>2236</v>
      </c>
      <c r="G10708" t="s">
        <v>33194</v>
      </c>
      <c r="H10708" t="s">
        <v>2237</v>
      </c>
      <c r="I10708" t="s">
        <v>29</v>
      </c>
      <c r="J10708">
        <v>1</v>
      </c>
      <c r="K10708">
        <f>1-888-491-1346</f>
        <v>-2724</v>
      </c>
      <c r="L10708" t="s">
        <v>33197</v>
      </c>
      <c r="M10708" t="s">
        <v>33198</v>
      </c>
      <c r="N10708" t="s">
        <v>278</v>
      </c>
      <c r="O10708" t="s">
        <v>28</v>
      </c>
      <c r="P10708" t="s">
        <v>292</v>
      </c>
      <c r="Q10708">
        <v>49</v>
      </c>
      <c r="R10708">
        <v>2.35222</v>
      </c>
    </row>
    <row r="10709" spans="1:18" x14ac:dyDescent="0.2">
      <c r="A10709" t="s">
        <v>663</v>
      </c>
      <c r="B10709" t="s">
        <v>454</v>
      </c>
      <c r="C10709">
        <v>1</v>
      </c>
      <c r="D10709" s="1">
        <v>44362.793043981481</v>
      </c>
      <c r="E10709" t="s">
        <v>33199</v>
      </c>
      <c r="F10709" t="s">
        <v>666</v>
      </c>
      <c r="G10709" t="s">
        <v>33200</v>
      </c>
      <c r="H10709" t="s">
        <v>667</v>
      </c>
      <c r="I10709" t="s">
        <v>29</v>
      </c>
      <c r="J10709">
        <v>1</v>
      </c>
      <c r="K10709">
        <f>1-844-299-6791</f>
        <v>-7933</v>
      </c>
      <c r="L10709" t="s">
        <v>33201</v>
      </c>
      <c r="M10709" t="s">
        <v>33202</v>
      </c>
      <c r="N10709" t="s">
        <v>452</v>
      </c>
      <c r="O10709" t="s">
        <v>28</v>
      </c>
      <c r="P10709" t="s">
        <v>461</v>
      </c>
      <c r="Q10709">
        <v>52</v>
      </c>
      <c r="R10709">
        <v>4.9391999999999996</v>
      </c>
    </row>
    <row r="10710" spans="1:18" x14ac:dyDescent="0.2">
      <c r="A10710" t="s">
        <v>663</v>
      </c>
      <c r="B10710" t="s">
        <v>454</v>
      </c>
      <c r="C10710">
        <v>1</v>
      </c>
      <c r="D10710" s="1">
        <v>44362.793715277781</v>
      </c>
      <c r="E10710" t="s">
        <v>33203</v>
      </c>
      <c r="F10710" t="s">
        <v>666</v>
      </c>
      <c r="G10710" t="s">
        <v>33204</v>
      </c>
      <c r="H10710" t="s">
        <v>667</v>
      </c>
      <c r="I10710" t="s">
        <v>29</v>
      </c>
      <c r="J10710">
        <v>1</v>
      </c>
      <c r="K10710">
        <f>1-844-309-6353</f>
        <v>-7505</v>
      </c>
      <c r="L10710" t="s">
        <v>33205</v>
      </c>
      <c r="M10710" t="s">
        <v>33206</v>
      </c>
      <c r="N10710" t="s">
        <v>452</v>
      </c>
      <c r="O10710" t="s">
        <v>28</v>
      </c>
      <c r="P10710" t="s">
        <v>461</v>
      </c>
      <c r="Q10710">
        <v>52</v>
      </c>
      <c r="R10710">
        <v>4.9391999999999996</v>
      </c>
    </row>
    <row r="10711" spans="1:18" x14ac:dyDescent="0.2">
      <c r="A10711" t="s">
        <v>2233</v>
      </c>
      <c r="B10711" t="s">
        <v>1638</v>
      </c>
      <c r="C10711">
        <v>1</v>
      </c>
      <c r="D10711" s="1">
        <v>44362.808379629627</v>
      </c>
      <c r="E10711" t="s">
        <v>33193</v>
      </c>
      <c r="F10711" t="s">
        <v>2236</v>
      </c>
      <c r="G10711" t="s">
        <v>33207</v>
      </c>
      <c r="H10711" t="s">
        <v>2237</v>
      </c>
      <c r="I10711" t="s">
        <v>29</v>
      </c>
      <c r="J10711">
        <v>1</v>
      </c>
      <c r="K10711">
        <f>1-888-322-908</f>
        <v>-2117</v>
      </c>
      <c r="L10711" t="s">
        <v>33208</v>
      </c>
      <c r="M10711" t="s">
        <v>33209</v>
      </c>
      <c r="N10711" t="s">
        <v>278</v>
      </c>
      <c r="O10711" t="s">
        <v>28</v>
      </c>
      <c r="P10711" t="s">
        <v>292</v>
      </c>
      <c r="Q10711">
        <v>49</v>
      </c>
      <c r="R10711">
        <v>2.35222</v>
      </c>
    </row>
    <row r="10712" spans="1:18" x14ac:dyDescent="0.2">
      <c r="A10712" t="s">
        <v>663</v>
      </c>
      <c r="B10712" t="s">
        <v>5784</v>
      </c>
      <c r="C10712">
        <v>1</v>
      </c>
      <c r="D10712" s="1">
        <v>44362.811516203707</v>
      </c>
      <c r="E10712" t="s">
        <v>33210</v>
      </c>
      <c r="F10712" t="s">
        <v>666</v>
      </c>
      <c r="G10712" t="s">
        <v>33211</v>
      </c>
      <c r="H10712" t="s">
        <v>667</v>
      </c>
      <c r="I10712" t="s">
        <v>29</v>
      </c>
      <c r="J10712">
        <v>1</v>
      </c>
      <c r="K10712">
        <f>1-844-207-4044</f>
        <v>-5094</v>
      </c>
      <c r="L10712" t="s">
        <v>33212</v>
      </c>
      <c r="M10712" t="s">
        <v>33213</v>
      </c>
      <c r="N10712" t="s">
        <v>25263</v>
      </c>
      <c r="O10712" t="s">
        <v>28</v>
      </c>
      <c r="P10712" t="s">
        <v>5789</v>
      </c>
      <c r="Q10712">
        <v>13</v>
      </c>
      <c r="R10712">
        <v>77.585499999999996</v>
      </c>
    </row>
    <row r="10713" spans="1:18" x14ac:dyDescent="0.2">
      <c r="A10713" t="s">
        <v>2233</v>
      </c>
      <c r="B10713" t="s">
        <v>1638</v>
      </c>
      <c r="C10713">
        <v>1</v>
      </c>
      <c r="D10713" s="1">
        <v>44362.816689814812</v>
      </c>
      <c r="E10713" t="s">
        <v>33193</v>
      </c>
      <c r="F10713" t="s">
        <v>7023</v>
      </c>
      <c r="G10713" t="s">
        <v>33214</v>
      </c>
      <c r="H10713" t="s">
        <v>2237</v>
      </c>
      <c r="I10713" t="s">
        <v>29</v>
      </c>
      <c r="J10713">
        <v>1</v>
      </c>
      <c r="K10713">
        <f>1-888-633-144</f>
        <v>-1664</v>
      </c>
      <c r="L10713" t="s">
        <v>33215</v>
      </c>
      <c r="M10713" t="s">
        <v>33216</v>
      </c>
      <c r="N10713" t="s">
        <v>278</v>
      </c>
      <c r="O10713" t="s">
        <v>28</v>
      </c>
      <c r="P10713" t="s">
        <v>292</v>
      </c>
      <c r="Q10713">
        <v>49</v>
      </c>
      <c r="R10713">
        <v>2.35222</v>
      </c>
    </row>
    <row r="10714" spans="1:18" x14ac:dyDescent="0.2">
      <c r="A10714" t="s">
        <v>439</v>
      </c>
      <c r="B10714" t="s">
        <v>4321</v>
      </c>
      <c r="C10714">
        <v>1</v>
      </c>
      <c r="D10714" s="1">
        <v>44362.8202662037</v>
      </c>
      <c r="E10714" t="s">
        <v>33217</v>
      </c>
      <c r="F10714" t="s">
        <v>442</v>
      </c>
      <c r="G10714" t="s">
        <v>33218</v>
      </c>
      <c r="H10714" t="s">
        <v>444</v>
      </c>
      <c r="I10714" t="s">
        <v>29</v>
      </c>
      <c r="J10714">
        <v>1</v>
      </c>
      <c r="K10714">
        <f>1-844-435-512</f>
        <v>-1790</v>
      </c>
      <c r="L10714" t="s">
        <v>33219</v>
      </c>
      <c r="M10714" t="s">
        <v>33220</v>
      </c>
      <c r="N10714" t="s">
        <v>213</v>
      </c>
      <c r="O10714" t="s">
        <v>28</v>
      </c>
      <c r="P10714" t="s">
        <v>29</v>
      </c>
      <c r="Q10714">
        <v>42</v>
      </c>
      <c r="R10714">
        <v>-87.629800000000003</v>
      </c>
    </row>
    <row r="10715" spans="1:18" x14ac:dyDescent="0.2">
      <c r="A10715" t="s">
        <v>2233</v>
      </c>
      <c r="B10715" t="s">
        <v>1638</v>
      </c>
      <c r="C10715">
        <v>1</v>
      </c>
      <c r="D10715" s="1">
        <v>44362.822210648148</v>
      </c>
      <c r="E10715" t="s">
        <v>33193</v>
      </c>
      <c r="F10715" t="s">
        <v>7023</v>
      </c>
      <c r="G10715" t="s">
        <v>33221</v>
      </c>
      <c r="H10715" t="s">
        <v>2237</v>
      </c>
      <c r="I10715" t="s">
        <v>29</v>
      </c>
      <c r="J10715">
        <v>1</v>
      </c>
      <c r="K10715">
        <f>1-888-202-732</f>
        <v>-1821</v>
      </c>
      <c r="L10715" t="s">
        <v>33222</v>
      </c>
      <c r="M10715" t="s">
        <v>33223</v>
      </c>
      <c r="N10715" t="s">
        <v>278</v>
      </c>
      <c r="O10715" t="s">
        <v>28</v>
      </c>
      <c r="P10715" t="s">
        <v>292</v>
      </c>
      <c r="Q10715">
        <v>49</v>
      </c>
      <c r="R10715">
        <v>2.35222</v>
      </c>
    </row>
    <row r="10716" spans="1:18" x14ac:dyDescent="0.2">
      <c r="A10716" t="s">
        <v>663</v>
      </c>
      <c r="B10716" t="s">
        <v>1212</v>
      </c>
      <c r="C10716">
        <v>1</v>
      </c>
      <c r="D10716" s="1">
        <v>44362.823564814818</v>
      </c>
      <c r="E10716" t="s">
        <v>33224</v>
      </c>
      <c r="F10716" t="s">
        <v>666</v>
      </c>
      <c r="G10716" t="s">
        <v>33225</v>
      </c>
      <c r="H10716" t="s">
        <v>667</v>
      </c>
      <c r="I10716" t="s">
        <v>29</v>
      </c>
      <c r="J10716">
        <v>1</v>
      </c>
      <c r="K10716">
        <f>1-317-343-8483</f>
        <v>-9142</v>
      </c>
      <c r="L10716" t="s">
        <v>33226</v>
      </c>
      <c r="M10716" t="s">
        <v>33227</v>
      </c>
      <c r="N10716" t="s">
        <v>452</v>
      </c>
      <c r="O10716" t="s">
        <v>28</v>
      </c>
      <c r="P10716" t="s">
        <v>618</v>
      </c>
      <c r="Q10716">
        <v>52</v>
      </c>
      <c r="R10716">
        <v>-0.67179999999999995</v>
      </c>
    </row>
    <row r="10717" spans="1:18" x14ac:dyDescent="0.2">
      <c r="A10717" t="s">
        <v>663</v>
      </c>
      <c r="B10717" t="s">
        <v>2493</v>
      </c>
      <c r="C10717">
        <v>1</v>
      </c>
      <c r="D10717" s="1">
        <v>44358.847962962966</v>
      </c>
      <c r="E10717" t="s">
        <v>33228</v>
      </c>
      <c r="F10717" t="s">
        <v>666</v>
      </c>
      <c r="G10717" t="s">
        <v>33229</v>
      </c>
      <c r="H10717" t="s">
        <v>667</v>
      </c>
      <c r="I10717" t="s">
        <v>29</v>
      </c>
      <c r="J10717">
        <v>1</v>
      </c>
      <c r="K10717">
        <f>1-907-290-3021</f>
        <v>-4217</v>
      </c>
      <c r="L10717" t="s">
        <v>33230</v>
      </c>
      <c r="M10717" t="s">
        <v>33231</v>
      </c>
      <c r="N10717" t="s">
        <v>3454</v>
      </c>
      <c r="O10717" t="s">
        <v>28</v>
      </c>
      <c r="P10717" t="s">
        <v>29</v>
      </c>
      <c r="Q10717">
        <v>41</v>
      </c>
      <c r="R10717">
        <v>-74.024699999999996</v>
      </c>
    </row>
    <row r="10718" spans="1:18" x14ac:dyDescent="0.2">
      <c r="A10718" t="s">
        <v>2233</v>
      </c>
      <c r="B10718" t="s">
        <v>1638</v>
      </c>
      <c r="C10718">
        <v>1</v>
      </c>
      <c r="D10718" s="1">
        <v>44363.779085648152</v>
      </c>
      <c r="E10718" t="s">
        <v>33232</v>
      </c>
      <c r="F10718" t="s">
        <v>7023</v>
      </c>
      <c r="G10718" t="s">
        <v>33233</v>
      </c>
      <c r="H10718" t="s">
        <v>2237</v>
      </c>
      <c r="I10718" t="s">
        <v>29</v>
      </c>
      <c r="J10718">
        <v>1</v>
      </c>
      <c r="K10718">
        <f>1-888-211-3713</f>
        <v>-4811</v>
      </c>
      <c r="L10718" t="s">
        <v>33234</v>
      </c>
      <c r="M10718" t="s">
        <v>33235</v>
      </c>
      <c r="N10718" t="s">
        <v>278</v>
      </c>
      <c r="O10718" t="s">
        <v>28</v>
      </c>
      <c r="P10718" t="s">
        <v>292</v>
      </c>
      <c r="Q10718">
        <v>49</v>
      </c>
      <c r="R10718">
        <v>2.35222</v>
      </c>
    </row>
    <row r="10719" spans="1:18" x14ac:dyDescent="0.2">
      <c r="A10719" t="s">
        <v>439</v>
      </c>
      <c r="B10719" t="s">
        <v>4321</v>
      </c>
      <c r="C10719">
        <v>1</v>
      </c>
      <c r="D10719" s="1">
        <v>44363.674768518518</v>
      </c>
      <c r="E10719" t="s">
        <v>33130</v>
      </c>
      <c r="F10719" t="s">
        <v>442</v>
      </c>
      <c r="G10719" t="s">
        <v>33236</v>
      </c>
      <c r="H10719" t="s">
        <v>444</v>
      </c>
      <c r="I10719" t="s">
        <v>29</v>
      </c>
      <c r="J10719">
        <v>1</v>
      </c>
      <c r="K10719">
        <f>1-888-851-561</f>
        <v>-2299</v>
      </c>
      <c r="L10719" t="s">
        <v>33237</v>
      </c>
      <c r="M10719" t="s">
        <v>33238</v>
      </c>
      <c r="N10719" t="s">
        <v>452</v>
      </c>
      <c r="O10719" t="s">
        <v>28</v>
      </c>
      <c r="P10719" t="s">
        <v>29</v>
      </c>
      <c r="Q10719">
        <v>42</v>
      </c>
      <c r="R10719">
        <v>-87.629800000000003</v>
      </c>
    </row>
    <row r="10720" spans="1:18" x14ac:dyDescent="0.2">
      <c r="A10720" t="s">
        <v>439</v>
      </c>
      <c r="B10720" t="s">
        <v>4321</v>
      </c>
      <c r="C10720">
        <v>1</v>
      </c>
      <c r="D10720" s="1">
        <v>44363.674618055556</v>
      </c>
      <c r="E10720" t="s">
        <v>33130</v>
      </c>
      <c r="F10720" t="s">
        <v>442</v>
      </c>
      <c r="G10720" t="s">
        <v>33236</v>
      </c>
      <c r="H10720" t="s">
        <v>444</v>
      </c>
      <c r="I10720" t="s">
        <v>29</v>
      </c>
      <c r="J10720">
        <v>1</v>
      </c>
      <c r="K10720">
        <f>1-888-851-563</f>
        <v>-2301</v>
      </c>
      <c r="L10720" t="s">
        <v>33239</v>
      </c>
      <c r="M10720" t="s">
        <v>33240</v>
      </c>
      <c r="N10720" t="s">
        <v>452</v>
      </c>
      <c r="O10720" t="s">
        <v>28</v>
      </c>
      <c r="P10720" t="s">
        <v>29</v>
      </c>
      <c r="Q10720">
        <v>42</v>
      </c>
      <c r="R10720">
        <v>-87.629800000000003</v>
      </c>
    </row>
    <row r="10721" spans="1:18" x14ac:dyDescent="0.2">
      <c r="A10721" t="s">
        <v>439</v>
      </c>
      <c r="B10721" t="s">
        <v>4321</v>
      </c>
      <c r="C10721">
        <v>1</v>
      </c>
      <c r="D10721" s="1">
        <v>44363.674571759257</v>
      </c>
      <c r="E10721" t="s">
        <v>33130</v>
      </c>
      <c r="F10721" t="s">
        <v>442</v>
      </c>
      <c r="G10721" t="s">
        <v>33236</v>
      </c>
      <c r="H10721" t="s">
        <v>444</v>
      </c>
      <c r="I10721" t="s">
        <v>29</v>
      </c>
      <c r="J10721">
        <v>1</v>
      </c>
      <c r="K10721">
        <f>1-888-803-823</f>
        <v>-2513</v>
      </c>
      <c r="L10721" t="s">
        <v>33241</v>
      </c>
      <c r="M10721" t="s">
        <v>33242</v>
      </c>
      <c r="N10721" t="s">
        <v>452</v>
      </c>
      <c r="O10721" t="s">
        <v>28</v>
      </c>
      <c r="P10721" t="s">
        <v>29</v>
      </c>
      <c r="Q10721">
        <v>42</v>
      </c>
      <c r="R10721">
        <v>-87.629800000000003</v>
      </c>
    </row>
    <row r="10722" spans="1:18" x14ac:dyDescent="0.2">
      <c r="A10722" t="s">
        <v>439</v>
      </c>
      <c r="B10722" t="s">
        <v>4321</v>
      </c>
      <c r="C10722">
        <v>1</v>
      </c>
      <c r="D10722" s="1">
        <v>44363.674664351849</v>
      </c>
      <c r="E10722" t="s">
        <v>33130</v>
      </c>
      <c r="F10722" t="s">
        <v>442</v>
      </c>
      <c r="G10722" t="s">
        <v>33236</v>
      </c>
      <c r="H10722" t="s">
        <v>444</v>
      </c>
      <c r="I10722" t="s">
        <v>29</v>
      </c>
      <c r="J10722">
        <v>1</v>
      </c>
      <c r="K10722">
        <f>1-888-909-1217</f>
        <v>-3013</v>
      </c>
      <c r="L10722" t="s">
        <v>33243</v>
      </c>
      <c r="M10722" t="s">
        <v>33244</v>
      </c>
      <c r="N10722" t="s">
        <v>452</v>
      </c>
      <c r="O10722" t="s">
        <v>28</v>
      </c>
      <c r="P10722" t="s">
        <v>29</v>
      </c>
      <c r="Q10722">
        <v>42</v>
      </c>
      <c r="R10722">
        <v>-87.629800000000003</v>
      </c>
    </row>
    <row r="10723" spans="1:18" x14ac:dyDescent="0.2">
      <c r="A10723" t="s">
        <v>439</v>
      </c>
      <c r="B10723" t="s">
        <v>4321</v>
      </c>
      <c r="C10723">
        <v>1</v>
      </c>
      <c r="D10723" s="1">
        <v>44362.840162037035</v>
      </c>
      <c r="E10723" t="s">
        <v>33245</v>
      </c>
      <c r="F10723" t="s">
        <v>442</v>
      </c>
      <c r="G10723" t="s">
        <v>33246</v>
      </c>
      <c r="H10723" t="s">
        <v>444</v>
      </c>
      <c r="I10723" t="s">
        <v>29</v>
      </c>
      <c r="J10723">
        <v>1</v>
      </c>
      <c r="K10723">
        <f>1-855-532-807</f>
        <v>-2193</v>
      </c>
      <c r="L10723" t="s">
        <v>33247</v>
      </c>
      <c r="M10723" t="s">
        <v>33248</v>
      </c>
      <c r="N10723" t="s">
        <v>447</v>
      </c>
      <c r="O10723" t="s">
        <v>28</v>
      </c>
      <c r="P10723" t="s">
        <v>29</v>
      </c>
      <c r="Q10723">
        <v>42</v>
      </c>
      <c r="R10723">
        <v>-87.629800000000003</v>
      </c>
    </row>
    <row r="10724" spans="1:18" x14ac:dyDescent="0.2">
      <c r="A10724" t="s">
        <v>663</v>
      </c>
      <c r="B10724" t="s">
        <v>454</v>
      </c>
      <c r="C10724">
        <v>1</v>
      </c>
      <c r="D10724" s="1">
        <v>44362.843321759261</v>
      </c>
      <c r="E10724" t="s">
        <v>33249</v>
      </c>
      <c r="F10724" t="s">
        <v>666</v>
      </c>
      <c r="G10724" t="s">
        <v>33249</v>
      </c>
      <c r="H10724" t="s">
        <v>667</v>
      </c>
      <c r="I10724" t="s">
        <v>29</v>
      </c>
      <c r="J10724">
        <v>1</v>
      </c>
      <c r="K10724">
        <f>1-844-276-5871</f>
        <v>-6990</v>
      </c>
      <c r="L10724" t="s">
        <v>33250</v>
      </c>
      <c r="M10724" t="s">
        <v>33251</v>
      </c>
      <c r="N10724">
        <v>252</v>
      </c>
      <c r="O10724" t="s">
        <v>134</v>
      </c>
      <c r="P10724" t="s">
        <v>461</v>
      </c>
      <c r="Q10724">
        <v>52</v>
      </c>
      <c r="R10724">
        <v>4.9391999999999996</v>
      </c>
    </row>
    <row r="10725" spans="1:18" x14ac:dyDescent="0.2">
      <c r="A10725" t="s">
        <v>439</v>
      </c>
      <c r="B10725" t="s">
        <v>4321</v>
      </c>
      <c r="C10725">
        <v>1</v>
      </c>
      <c r="D10725" s="1">
        <v>44363.758298611108</v>
      </c>
      <c r="E10725" t="s">
        <v>33252</v>
      </c>
      <c r="F10725" t="s">
        <v>442</v>
      </c>
      <c r="G10725" t="s">
        <v>33253</v>
      </c>
      <c r="H10725" t="s">
        <v>444</v>
      </c>
      <c r="I10725" t="s">
        <v>29</v>
      </c>
      <c r="J10725">
        <v>1</v>
      </c>
      <c r="K10725">
        <f>1-888-851-554</f>
        <v>-2292</v>
      </c>
      <c r="L10725" t="s">
        <v>33254</v>
      </c>
      <c r="M10725" t="s">
        <v>33255</v>
      </c>
      <c r="N10725" t="s">
        <v>452</v>
      </c>
      <c r="O10725" t="s">
        <v>28</v>
      </c>
      <c r="P10725" t="s">
        <v>29</v>
      </c>
      <c r="Q10725">
        <v>42</v>
      </c>
      <c r="R10725">
        <v>-87.629800000000003</v>
      </c>
    </row>
    <row r="10726" spans="1:18" x14ac:dyDescent="0.2">
      <c r="A10726" t="s">
        <v>439</v>
      </c>
      <c r="B10726" t="s">
        <v>4321</v>
      </c>
      <c r="C10726">
        <v>1</v>
      </c>
      <c r="D10726" s="1">
        <v>44363.758252314816</v>
      </c>
      <c r="E10726" t="s">
        <v>33252</v>
      </c>
      <c r="F10726" t="s">
        <v>442</v>
      </c>
      <c r="G10726" t="s">
        <v>33253</v>
      </c>
      <c r="H10726" t="s">
        <v>444</v>
      </c>
      <c r="I10726" t="s">
        <v>29</v>
      </c>
      <c r="J10726">
        <v>1</v>
      </c>
      <c r="K10726">
        <f>1-888-803-823</f>
        <v>-2513</v>
      </c>
      <c r="L10726" t="s">
        <v>33256</v>
      </c>
      <c r="M10726" t="s">
        <v>33257</v>
      </c>
      <c r="N10726" t="s">
        <v>452</v>
      </c>
      <c r="O10726" t="s">
        <v>28</v>
      </c>
      <c r="P10726" t="s">
        <v>29</v>
      </c>
      <c r="Q10726">
        <v>42</v>
      </c>
      <c r="R10726">
        <v>-87.629800000000003</v>
      </c>
    </row>
    <row r="10727" spans="1:18" x14ac:dyDescent="0.2">
      <c r="A10727" t="s">
        <v>439</v>
      </c>
      <c r="B10727" t="s">
        <v>4321</v>
      </c>
      <c r="C10727">
        <v>1</v>
      </c>
      <c r="D10727" s="1">
        <v>44363.758206018516</v>
      </c>
      <c r="E10727" t="s">
        <v>33252</v>
      </c>
      <c r="F10727" t="s">
        <v>442</v>
      </c>
      <c r="G10727" t="s">
        <v>33253</v>
      </c>
      <c r="H10727" t="s">
        <v>444</v>
      </c>
      <c r="I10727" t="s">
        <v>29</v>
      </c>
      <c r="J10727">
        <v>1</v>
      </c>
      <c r="K10727">
        <f>1-888-909-1217</f>
        <v>-3013</v>
      </c>
      <c r="L10727" t="s">
        <v>33258</v>
      </c>
      <c r="M10727" t="s">
        <v>33259</v>
      </c>
      <c r="N10727" t="s">
        <v>452</v>
      </c>
      <c r="O10727" t="s">
        <v>28</v>
      </c>
      <c r="P10727" t="s">
        <v>29</v>
      </c>
      <c r="Q10727">
        <v>42</v>
      </c>
      <c r="R10727">
        <v>-87.629800000000003</v>
      </c>
    </row>
    <row r="10728" spans="1:18" x14ac:dyDescent="0.2">
      <c r="A10728" t="s">
        <v>439</v>
      </c>
      <c r="B10728" t="s">
        <v>4321</v>
      </c>
      <c r="C10728">
        <v>1</v>
      </c>
      <c r="D10728" s="1">
        <v>44363.758159722223</v>
      </c>
      <c r="E10728" t="s">
        <v>33252</v>
      </c>
      <c r="F10728" t="s">
        <v>442</v>
      </c>
      <c r="G10728" t="s">
        <v>33253</v>
      </c>
      <c r="H10728" t="s">
        <v>444</v>
      </c>
      <c r="I10728" t="s">
        <v>29</v>
      </c>
      <c r="J10728">
        <v>1</v>
      </c>
      <c r="K10728">
        <f>1-888-851-563</f>
        <v>-2301</v>
      </c>
      <c r="L10728" t="s">
        <v>33260</v>
      </c>
      <c r="M10728" t="s">
        <v>33261</v>
      </c>
      <c r="N10728" t="s">
        <v>452</v>
      </c>
      <c r="O10728" t="s">
        <v>28</v>
      </c>
      <c r="P10728" t="s">
        <v>29</v>
      </c>
      <c r="Q10728">
        <v>42</v>
      </c>
      <c r="R10728">
        <v>-87.629800000000003</v>
      </c>
    </row>
    <row r="10729" spans="1:18" x14ac:dyDescent="0.2">
      <c r="A10729" t="s">
        <v>439</v>
      </c>
      <c r="B10729" t="s">
        <v>4321</v>
      </c>
      <c r="C10729">
        <v>1</v>
      </c>
      <c r="D10729" s="1">
        <v>44362.875115740739</v>
      </c>
      <c r="E10729" t="s">
        <v>33262</v>
      </c>
      <c r="F10729" t="s">
        <v>442</v>
      </c>
      <c r="G10729" t="s">
        <v>33253</v>
      </c>
      <c r="H10729" t="s">
        <v>444</v>
      </c>
      <c r="I10729" t="s">
        <v>29</v>
      </c>
      <c r="J10729">
        <v>1</v>
      </c>
      <c r="K10729">
        <f>1-844-286-2017</f>
        <v>-3146</v>
      </c>
      <c r="L10729" t="s">
        <v>33263</v>
      </c>
      <c r="M10729" t="s">
        <v>33264</v>
      </c>
      <c r="N10729" t="s">
        <v>5354</v>
      </c>
      <c r="O10729" t="s">
        <v>28</v>
      </c>
      <c r="P10729" t="s">
        <v>29</v>
      </c>
      <c r="Q10729">
        <v>42</v>
      </c>
      <c r="R10729">
        <v>-87.629800000000003</v>
      </c>
    </row>
    <row r="10730" spans="1:18" x14ac:dyDescent="0.2">
      <c r="A10730" t="s">
        <v>439</v>
      </c>
      <c r="B10730" t="s">
        <v>4321</v>
      </c>
      <c r="C10730">
        <v>1</v>
      </c>
      <c r="D10730" s="1">
        <v>44362.898182870369</v>
      </c>
      <c r="E10730" t="s">
        <v>33265</v>
      </c>
      <c r="F10730" t="s">
        <v>442</v>
      </c>
      <c r="G10730" t="s">
        <v>33266</v>
      </c>
      <c r="H10730" t="s">
        <v>444</v>
      </c>
      <c r="I10730" t="s">
        <v>29</v>
      </c>
      <c r="J10730">
        <v>1</v>
      </c>
      <c r="K10730">
        <f>1-844-564-698</f>
        <v>-2105</v>
      </c>
      <c r="L10730" t="s">
        <v>33267</v>
      </c>
      <c r="M10730" t="s">
        <v>33268</v>
      </c>
      <c r="N10730" t="s">
        <v>213</v>
      </c>
      <c r="O10730" t="s">
        <v>28</v>
      </c>
      <c r="P10730" t="s">
        <v>29</v>
      </c>
      <c r="Q10730">
        <v>42</v>
      </c>
      <c r="R10730">
        <v>-87.629800000000003</v>
      </c>
    </row>
    <row r="10731" spans="1:18" x14ac:dyDescent="0.2">
      <c r="A10731" t="s">
        <v>439</v>
      </c>
      <c r="B10731" t="s">
        <v>4321</v>
      </c>
      <c r="C10731">
        <v>1</v>
      </c>
      <c r="D10731" s="1">
        <v>44362.915289351855</v>
      </c>
      <c r="E10731" t="s">
        <v>33269</v>
      </c>
      <c r="F10731" t="s">
        <v>442</v>
      </c>
      <c r="G10731" t="s">
        <v>33270</v>
      </c>
      <c r="H10731" t="s">
        <v>444</v>
      </c>
      <c r="I10731" t="s">
        <v>29</v>
      </c>
      <c r="J10731">
        <v>1</v>
      </c>
      <c r="K10731">
        <f>1-888-851-716</f>
        <v>-2454</v>
      </c>
      <c r="L10731" t="s">
        <v>33271</v>
      </c>
      <c r="M10731" t="s">
        <v>33272</v>
      </c>
      <c r="N10731" t="s">
        <v>452</v>
      </c>
      <c r="O10731" t="s">
        <v>28</v>
      </c>
      <c r="P10731" t="s">
        <v>29</v>
      </c>
      <c r="Q10731">
        <v>42</v>
      </c>
      <c r="R10731">
        <v>-87.629800000000003</v>
      </c>
    </row>
    <row r="10732" spans="1:18" x14ac:dyDescent="0.2">
      <c r="A10732" t="s">
        <v>439</v>
      </c>
      <c r="B10732" t="s">
        <v>4321</v>
      </c>
      <c r="C10732">
        <v>1</v>
      </c>
      <c r="D10732" s="1">
        <v>44362.915138888886</v>
      </c>
      <c r="E10732" t="s">
        <v>33269</v>
      </c>
      <c r="F10732" t="s">
        <v>442</v>
      </c>
      <c r="G10732" t="s">
        <v>33270</v>
      </c>
      <c r="H10732" t="s">
        <v>444</v>
      </c>
      <c r="I10732" t="s">
        <v>29</v>
      </c>
      <c r="J10732">
        <v>1</v>
      </c>
      <c r="K10732">
        <f>1-888-851-563</f>
        <v>-2301</v>
      </c>
      <c r="L10732" t="s">
        <v>33273</v>
      </c>
      <c r="M10732" t="s">
        <v>33274</v>
      </c>
      <c r="N10732" t="s">
        <v>452</v>
      </c>
      <c r="O10732" t="s">
        <v>28</v>
      </c>
      <c r="P10732" t="s">
        <v>29</v>
      </c>
      <c r="Q10732">
        <v>42</v>
      </c>
      <c r="R10732">
        <v>-87.629800000000003</v>
      </c>
    </row>
    <row r="10733" spans="1:18" x14ac:dyDescent="0.2">
      <c r="A10733" t="s">
        <v>439</v>
      </c>
      <c r="B10733" t="s">
        <v>4321</v>
      </c>
      <c r="C10733">
        <v>1</v>
      </c>
      <c r="D10733" s="1">
        <v>44362.915347222224</v>
      </c>
      <c r="E10733" t="s">
        <v>33269</v>
      </c>
      <c r="F10733" t="s">
        <v>442</v>
      </c>
      <c r="G10733" t="s">
        <v>33275</v>
      </c>
      <c r="H10733" t="s">
        <v>444</v>
      </c>
      <c r="I10733" t="s">
        <v>29</v>
      </c>
      <c r="J10733">
        <v>1</v>
      </c>
      <c r="K10733">
        <f>1-888-851-591</f>
        <v>-2329</v>
      </c>
      <c r="L10733" t="s">
        <v>33276</v>
      </c>
      <c r="M10733" t="s">
        <v>33277</v>
      </c>
      <c r="N10733" t="s">
        <v>452</v>
      </c>
      <c r="O10733" t="s">
        <v>28</v>
      </c>
      <c r="P10733" t="s">
        <v>29</v>
      </c>
      <c r="Q10733">
        <v>42</v>
      </c>
      <c r="R10733">
        <v>-87.629800000000003</v>
      </c>
    </row>
    <row r="10734" spans="1:18" x14ac:dyDescent="0.2">
      <c r="A10734" t="s">
        <v>439</v>
      </c>
      <c r="B10734" t="s">
        <v>4321</v>
      </c>
      <c r="C10734">
        <v>1</v>
      </c>
      <c r="D10734" s="1">
        <v>44362.915219907409</v>
      </c>
      <c r="E10734" t="s">
        <v>33269</v>
      </c>
      <c r="F10734" t="s">
        <v>442</v>
      </c>
      <c r="G10734" t="s">
        <v>33275</v>
      </c>
      <c r="H10734" t="s">
        <v>444</v>
      </c>
      <c r="I10734" t="s">
        <v>29</v>
      </c>
      <c r="J10734">
        <v>1</v>
      </c>
      <c r="K10734">
        <f>1-888-803-823</f>
        <v>-2513</v>
      </c>
      <c r="L10734" t="s">
        <v>33278</v>
      </c>
      <c r="M10734" t="s">
        <v>33279</v>
      </c>
      <c r="N10734" t="s">
        <v>452</v>
      </c>
      <c r="O10734" t="s">
        <v>28</v>
      </c>
      <c r="P10734" t="s">
        <v>29</v>
      </c>
      <c r="Q10734">
        <v>42</v>
      </c>
      <c r="R10734">
        <v>-87.629800000000003</v>
      </c>
    </row>
    <row r="10735" spans="1:18" x14ac:dyDescent="0.2">
      <c r="A10735" t="s">
        <v>439</v>
      </c>
      <c r="B10735" t="s">
        <v>4321</v>
      </c>
      <c r="C10735">
        <v>1</v>
      </c>
      <c r="D10735" s="1">
        <v>44362.915185185186</v>
      </c>
      <c r="E10735" t="s">
        <v>33269</v>
      </c>
      <c r="F10735" t="s">
        <v>442</v>
      </c>
      <c r="G10735" t="s">
        <v>33275</v>
      </c>
      <c r="H10735" t="s">
        <v>444</v>
      </c>
      <c r="I10735" t="s">
        <v>29</v>
      </c>
      <c r="J10735">
        <v>1</v>
      </c>
      <c r="K10735">
        <f>1-888-909-1217</f>
        <v>-3013</v>
      </c>
      <c r="L10735" t="s">
        <v>33280</v>
      </c>
      <c r="M10735" t="s">
        <v>33281</v>
      </c>
      <c r="N10735" t="s">
        <v>452</v>
      </c>
      <c r="O10735" t="s">
        <v>28</v>
      </c>
      <c r="P10735" t="s">
        <v>29</v>
      </c>
      <c r="Q10735">
        <v>42</v>
      </c>
      <c r="R10735">
        <v>-87.629800000000003</v>
      </c>
    </row>
    <row r="10736" spans="1:18" x14ac:dyDescent="0.2">
      <c r="A10736" t="s">
        <v>439</v>
      </c>
      <c r="B10736" t="s">
        <v>4321</v>
      </c>
      <c r="C10736">
        <v>1</v>
      </c>
      <c r="D10736" s="1">
        <v>44362.9215625</v>
      </c>
      <c r="E10736" t="s">
        <v>33282</v>
      </c>
      <c r="F10736" t="s">
        <v>442</v>
      </c>
      <c r="G10736" t="s">
        <v>33283</v>
      </c>
      <c r="H10736" t="s">
        <v>444</v>
      </c>
      <c r="I10736" t="s">
        <v>29</v>
      </c>
      <c r="J10736">
        <v>1</v>
      </c>
      <c r="K10736">
        <f>1-888-851-591</f>
        <v>-2329</v>
      </c>
      <c r="L10736" t="s">
        <v>33284</v>
      </c>
      <c r="M10736" t="s">
        <v>33285</v>
      </c>
      <c r="N10736" t="s">
        <v>452</v>
      </c>
      <c r="O10736" t="s">
        <v>28</v>
      </c>
      <c r="P10736" t="s">
        <v>29</v>
      </c>
      <c r="Q10736">
        <v>42</v>
      </c>
      <c r="R10736">
        <v>-87.629800000000003</v>
      </c>
    </row>
    <row r="10737" spans="1:18" x14ac:dyDescent="0.2">
      <c r="A10737" t="s">
        <v>439</v>
      </c>
      <c r="B10737" t="s">
        <v>4321</v>
      </c>
      <c r="C10737">
        <v>1</v>
      </c>
      <c r="D10737" s="1">
        <v>44362.92150462963</v>
      </c>
      <c r="E10737" t="s">
        <v>33282</v>
      </c>
      <c r="F10737" t="s">
        <v>442</v>
      </c>
      <c r="G10737" t="s">
        <v>33283</v>
      </c>
      <c r="H10737" t="s">
        <v>444</v>
      </c>
      <c r="I10737" t="s">
        <v>29</v>
      </c>
      <c r="J10737">
        <v>1</v>
      </c>
      <c r="K10737">
        <f>1-888-851-716</f>
        <v>-2454</v>
      </c>
      <c r="L10737" t="s">
        <v>33286</v>
      </c>
      <c r="M10737" t="s">
        <v>33287</v>
      </c>
      <c r="N10737" t="s">
        <v>452</v>
      </c>
      <c r="O10737" t="s">
        <v>28</v>
      </c>
      <c r="P10737" t="s">
        <v>29</v>
      </c>
      <c r="Q10737">
        <v>42</v>
      </c>
      <c r="R10737">
        <v>-87.629800000000003</v>
      </c>
    </row>
    <row r="10738" spans="1:18" x14ac:dyDescent="0.2">
      <c r="A10738" t="s">
        <v>439</v>
      </c>
      <c r="B10738" t="s">
        <v>4321</v>
      </c>
      <c r="C10738">
        <v>1</v>
      </c>
      <c r="D10738" s="1">
        <v>44362.921446759261</v>
      </c>
      <c r="E10738" t="s">
        <v>33282</v>
      </c>
      <c r="F10738" t="s">
        <v>442</v>
      </c>
      <c r="G10738" t="s">
        <v>33283</v>
      </c>
      <c r="H10738" t="s">
        <v>444</v>
      </c>
      <c r="I10738" t="s">
        <v>29</v>
      </c>
      <c r="J10738">
        <v>1</v>
      </c>
      <c r="K10738">
        <f>1-888-803-823</f>
        <v>-2513</v>
      </c>
      <c r="L10738" t="s">
        <v>33288</v>
      </c>
      <c r="M10738" t="s">
        <v>33289</v>
      </c>
      <c r="N10738" t="s">
        <v>452</v>
      </c>
      <c r="O10738" t="s">
        <v>28</v>
      </c>
      <c r="P10738" t="s">
        <v>29</v>
      </c>
      <c r="Q10738">
        <v>42</v>
      </c>
      <c r="R10738">
        <v>-87.629800000000003</v>
      </c>
    </row>
    <row r="10739" spans="1:18" x14ac:dyDescent="0.2">
      <c r="A10739" t="s">
        <v>439</v>
      </c>
      <c r="B10739" t="s">
        <v>4321</v>
      </c>
      <c r="C10739">
        <v>1</v>
      </c>
      <c r="D10739" s="1">
        <v>44362.921354166669</v>
      </c>
      <c r="E10739" t="s">
        <v>33282</v>
      </c>
      <c r="F10739" t="s">
        <v>442</v>
      </c>
      <c r="G10739" t="s">
        <v>33283</v>
      </c>
      <c r="H10739" t="s">
        <v>444</v>
      </c>
      <c r="I10739" t="s">
        <v>29</v>
      </c>
      <c r="J10739">
        <v>1</v>
      </c>
      <c r="K10739">
        <f>1-888-851-563</f>
        <v>-2301</v>
      </c>
      <c r="L10739" t="s">
        <v>33290</v>
      </c>
      <c r="M10739" t="s">
        <v>33291</v>
      </c>
      <c r="N10739" t="s">
        <v>452</v>
      </c>
      <c r="O10739" t="s">
        <v>28</v>
      </c>
      <c r="P10739" t="s">
        <v>29</v>
      </c>
      <c r="Q10739">
        <v>42</v>
      </c>
      <c r="R10739">
        <v>-87.629800000000003</v>
      </c>
    </row>
    <row r="10740" spans="1:18" x14ac:dyDescent="0.2">
      <c r="A10740" t="s">
        <v>439</v>
      </c>
      <c r="B10740" t="s">
        <v>4321</v>
      </c>
      <c r="C10740">
        <v>1</v>
      </c>
      <c r="D10740" s="1">
        <v>44362.921400462961</v>
      </c>
      <c r="E10740" t="s">
        <v>33282</v>
      </c>
      <c r="F10740" t="s">
        <v>442</v>
      </c>
      <c r="G10740" t="s">
        <v>33292</v>
      </c>
      <c r="H10740" t="s">
        <v>444</v>
      </c>
      <c r="I10740" t="s">
        <v>29</v>
      </c>
      <c r="J10740">
        <v>1</v>
      </c>
      <c r="K10740">
        <f>1-888-909-1217</f>
        <v>-3013</v>
      </c>
      <c r="L10740" t="s">
        <v>33293</v>
      </c>
      <c r="M10740" t="s">
        <v>33294</v>
      </c>
      <c r="N10740" t="s">
        <v>452</v>
      </c>
      <c r="O10740" t="s">
        <v>28</v>
      </c>
      <c r="P10740" t="s">
        <v>29</v>
      </c>
      <c r="Q10740">
        <v>42</v>
      </c>
      <c r="R10740">
        <v>-87.629800000000003</v>
      </c>
    </row>
    <row r="10741" spans="1:18" x14ac:dyDescent="0.2">
      <c r="A10741" t="s">
        <v>2233</v>
      </c>
      <c r="B10741" t="s">
        <v>1638</v>
      </c>
      <c r="C10741">
        <v>1</v>
      </c>
      <c r="D10741" s="1">
        <v>44362.960150462961</v>
      </c>
      <c r="E10741" t="s">
        <v>33295</v>
      </c>
      <c r="F10741" t="s">
        <v>2236</v>
      </c>
      <c r="G10741" t="s">
        <v>33296</v>
      </c>
      <c r="H10741" t="s">
        <v>2237</v>
      </c>
      <c r="I10741" t="s">
        <v>29</v>
      </c>
      <c r="J10741">
        <v>1</v>
      </c>
      <c r="K10741">
        <f>1-888-210-6389</f>
        <v>-7486</v>
      </c>
      <c r="L10741" t="s">
        <v>33297</v>
      </c>
      <c r="M10741" t="s">
        <v>33298</v>
      </c>
      <c r="N10741" t="s">
        <v>278</v>
      </c>
      <c r="O10741" t="s">
        <v>28</v>
      </c>
      <c r="P10741" t="s">
        <v>292</v>
      </c>
      <c r="Q10741">
        <v>49</v>
      </c>
      <c r="R10741">
        <v>2.35222</v>
      </c>
    </row>
    <row r="10742" spans="1:18" x14ac:dyDescent="0.2">
      <c r="A10742" t="s">
        <v>439</v>
      </c>
      <c r="B10742" t="s">
        <v>4321</v>
      </c>
      <c r="C10742">
        <v>1</v>
      </c>
      <c r="D10742" s="1">
        <v>44363.024502314816</v>
      </c>
      <c r="E10742" t="s">
        <v>33299</v>
      </c>
      <c r="F10742" t="s">
        <v>442</v>
      </c>
      <c r="G10742" t="s">
        <v>33300</v>
      </c>
      <c r="H10742" t="s">
        <v>444</v>
      </c>
      <c r="I10742" t="s">
        <v>29</v>
      </c>
      <c r="J10742">
        <v>1</v>
      </c>
      <c r="K10742">
        <f>1-877-414-3170</f>
        <v>-4460</v>
      </c>
      <c r="L10742" t="s">
        <v>33301</v>
      </c>
      <c r="M10742" t="s">
        <v>33302</v>
      </c>
      <c r="N10742" t="s">
        <v>447</v>
      </c>
      <c r="O10742" t="s">
        <v>28</v>
      </c>
      <c r="P10742" t="s">
        <v>29</v>
      </c>
      <c r="Q10742">
        <v>42</v>
      </c>
      <c r="R10742">
        <v>-87.629800000000003</v>
      </c>
    </row>
    <row r="10743" spans="1:18" x14ac:dyDescent="0.2">
      <c r="A10743" t="s">
        <v>675</v>
      </c>
      <c r="B10743" t="s">
        <v>6390</v>
      </c>
      <c r="C10743">
        <v>1</v>
      </c>
      <c r="D10743" s="1">
        <v>44363.641724537039</v>
      </c>
      <c r="E10743" t="s">
        <v>33303</v>
      </c>
      <c r="F10743" t="s">
        <v>678</v>
      </c>
      <c r="G10743" t="s">
        <v>33304</v>
      </c>
      <c r="H10743" t="s">
        <v>680</v>
      </c>
      <c r="I10743" t="s">
        <v>29</v>
      </c>
      <c r="J10743">
        <v>1</v>
      </c>
      <c r="K10743">
        <f>1-800-51-3721</f>
        <v>-4571</v>
      </c>
      <c r="L10743" t="s">
        <v>33305</v>
      </c>
      <c r="M10743" t="s">
        <v>33306</v>
      </c>
      <c r="N10743" t="s">
        <v>2475</v>
      </c>
      <c r="O10743" t="s">
        <v>28</v>
      </c>
      <c r="P10743" t="s">
        <v>29</v>
      </c>
      <c r="Q10743">
        <v>37</v>
      </c>
      <c r="R10743">
        <v>-99.999999000000003</v>
      </c>
    </row>
    <row r="10744" spans="1:18" x14ac:dyDescent="0.2">
      <c r="A10744" t="s">
        <v>663</v>
      </c>
      <c r="B10744" t="s">
        <v>5784</v>
      </c>
      <c r="C10744">
        <v>1</v>
      </c>
      <c r="D10744" s="1">
        <v>44363.680393518516</v>
      </c>
      <c r="E10744" t="s">
        <v>33307</v>
      </c>
      <c r="F10744" t="s">
        <v>666</v>
      </c>
      <c r="G10744" t="s">
        <v>33308</v>
      </c>
      <c r="H10744" t="s">
        <v>667</v>
      </c>
      <c r="I10744" t="s">
        <v>29</v>
      </c>
      <c r="J10744">
        <v>1</v>
      </c>
      <c r="K10744">
        <f>1-844-284-1633</f>
        <v>-2760</v>
      </c>
      <c r="L10744" t="s">
        <v>33309</v>
      </c>
      <c r="M10744" t="s">
        <v>33310</v>
      </c>
      <c r="N10744" t="s">
        <v>25263</v>
      </c>
      <c r="O10744" t="s">
        <v>28</v>
      </c>
      <c r="P10744" t="s">
        <v>5789</v>
      </c>
      <c r="Q10744">
        <v>13</v>
      </c>
      <c r="R10744">
        <v>77.585499999999996</v>
      </c>
    </row>
    <row r="10745" spans="1:18" x14ac:dyDescent="0.2">
      <c r="A10745" t="s">
        <v>663</v>
      </c>
      <c r="B10745" t="s">
        <v>5784</v>
      </c>
      <c r="C10745">
        <v>1</v>
      </c>
      <c r="D10745" s="1">
        <v>44363.684965277775</v>
      </c>
      <c r="E10745" t="s">
        <v>33311</v>
      </c>
      <c r="F10745" t="s">
        <v>666</v>
      </c>
      <c r="G10745" t="s">
        <v>33312</v>
      </c>
      <c r="H10745" t="s">
        <v>667</v>
      </c>
      <c r="I10745" t="s">
        <v>29</v>
      </c>
      <c r="J10745">
        <v>1</v>
      </c>
      <c r="K10745">
        <f>1-844-253-6516</f>
        <v>-7612</v>
      </c>
      <c r="L10745" t="s">
        <v>33313</v>
      </c>
      <c r="M10745" t="s">
        <v>33314</v>
      </c>
      <c r="N10745" t="s">
        <v>25263</v>
      </c>
      <c r="O10745" t="s">
        <v>28</v>
      </c>
      <c r="P10745" t="s">
        <v>5789</v>
      </c>
      <c r="Q10745">
        <v>13</v>
      </c>
      <c r="R10745">
        <v>77.585499999999996</v>
      </c>
    </row>
    <row r="10746" spans="1:18" x14ac:dyDescent="0.2">
      <c r="A10746" t="s">
        <v>663</v>
      </c>
      <c r="B10746" t="s">
        <v>5784</v>
      </c>
      <c r="C10746">
        <v>1</v>
      </c>
      <c r="D10746" s="1">
        <v>44363.726423611108</v>
      </c>
      <c r="E10746" t="s">
        <v>33315</v>
      </c>
      <c r="F10746" t="s">
        <v>666</v>
      </c>
      <c r="G10746" t="s">
        <v>33316</v>
      </c>
      <c r="H10746" t="s">
        <v>667</v>
      </c>
      <c r="I10746" t="s">
        <v>29</v>
      </c>
      <c r="J10746">
        <v>1</v>
      </c>
      <c r="K10746">
        <f>1-844-253-6516</f>
        <v>-7612</v>
      </c>
      <c r="L10746" t="s">
        <v>33317</v>
      </c>
      <c r="M10746" t="s">
        <v>33318</v>
      </c>
      <c r="N10746" t="s">
        <v>25263</v>
      </c>
      <c r="O10746" t="s">
        <v>28</v>
      </c>
      <c r="P10746" t="s">
        <v>5789</v>
      </c>
      <c r="Q10746">
        <v>13</v>
      </c>
      <c r="R10746">
        <v>77.585499999999996</v>
      </c>
    </row>
    <row r="10747" spans="1:18" x14ac:dyDescent="0.2">
      <c r="A10747" t="s">
        <v>663</v>
      </c>
      <c r="B10747" t="s">
        <v>454</v>
      </c>
      <c r="C10747">
        <v>1</v>
      </c>
      <c r="D10747" s="1">
        <v>44363.756828703707</v>
      </c>
      <c r="E10747" t="s">
        <v>33319</v>
      </c>
      <c r="F10747" t="s">
        <v>666</v>
      </c>
      <c r="G10747" t="s">
        <v>33320</v>
      </c>
      <c r="H10747" t="s">
        <v>667</v>
      </c>
      <c r="I10747" t="s">
        <v>29</v>
      </c>
      <c r="J10747">
        <v>1</v>
      </c>
      <c r="K10747">
        <f>1-844-299-6791</f>
        <v>-7933</v>
      </c>
      <c r="L10747" t="s">
        <v>33321</v>
      </c>
      <c r="M10747" t="s">
        <v>33322</v>
      </c>
      <c r="N10747" t="s">
        <v>452</v>
      </c>
      <c r="O10747" t="s">
        <v>28</v>
      </c>
      <c r="P10747" t="s">
        <v>461</v>
      </c>
      <c r="Q10747">
        <v>52</v>
      </c>
      <c r="R10747">
        <v>4.9391999999999996</v>
      </c>
    </row>
    <row r="10748" spans="1:18" x14ac:dyDescent="0.2">
      <c r="A10748" t="s">
        <v>439</v>
      </c>
      <c r="B10748" t="s">
        <v>4321</v>
      </c>
      <c r="C10748">
        <v>1</v>
      </c>
      <c r="D10748" s="1">
        <v>44363.758344907408</v>
      </c>
      <c r="E10748" t="s">
        <v>33252</v>
      </c>
      <c r="F10748" t="s">
        <v>442</v>
      </c>
      <c r="G10748" t="s">
        <v>33323</v>
      </c>
      <c r="H10748" t="s">
        <v>444</v>
      </c>
      <c r="I10748" t="s">
        <v>29</v>
      </c>
      <c r="J10748">
        <v>1</v>
      </c>
      <c r="K10748">
        <f>1-888-851-561</f>
        <v>-2299</v>
      </c>
      <c r="L10748" t="s">
        <v>33324</v>
      </c>
      <c r="M10748" t="s">
        <v>33325</v>
      </c>
      <c r="N10748" t="s">
        <v>452</v>
      </c>
      <c r="O10748" t="s">
        <v>28</v>
      </c>
      <c r="P10748" t="s">
        <v>29</v>
      </c>
      <c r="Q10748">
        <v>42</v>
      </c>
      <c r="R10748">
        <v>-87.629800000000003</v>
      </c>
    </row>
    <row r="10749" spans="1:18" x14ac:dyDescent="0.2">
      <c r="A10749" t="s">
        <v>439</v>
      </c>
      <c r="B10749" t="s">
        <v>4321</v>
      </c>
      <c r="C10749">
        <v>1</v>
      </c>
      <c r="D10749" s="1">
        <v>44363.758518518516</v>
      </c>
      <c r="E10749" t="s">
        <v>33326</v>
      </c>
      <c r="F10749" t="s">
        <v>442</v>
      </c>
      <c r="G10749" t="s">
        <v>33327</v>
      </c>
      <c r="H10749" t="s">
        <v>444</v>
      </c>
      <c r="I10749" t="s">
        <v>29</v>
      </c>
      <c r="J10749">
        <v>1</v>
      </c>
      <c r="K10749">
        <f>1-855-606-2402</f>
        <v>-3862</v>
      </c>
      <c r="L10749" t="s">
        <v>33328</v>
      </c>
      <c r="M10749" t="s">
        <v>33329</v>
      </c>
      <c r="N10749" t="s">
        <v>447</v>
      </c>
      <c r="O10749" t="s">
        <v>28</v>
      </c>
      <c r="P10749" t="s">
        <v>29</v>
      </c>
      <c r="Q10749">
        <v>42</v>
      </c>
      <c r="R10749">
        <v>-87.629800000000003</v>
      </c>
    </row>
    <row r="10750" spans="1:18" x14ac:dyDescent="0.2">
      <c r="A10750" t="s">
        <v>439</v>
      </c>
      <c r="B10750" t="s">
        <v>4321</v>
      </c>
      <c r="C10750">
        <v>1</v>
      </c>
      <c r="D10750" s="1">
        <v>44363.764814814815</v>
      </c>
      <c r="E10750" t="s">
        <v>33330</v>
      </c>
      <c r="F10750" t="s">
        <v>442</v>
      </c>
      <c r="G10750" t="s">
        <v>33331</v>
      </c>
      <c r="H10750" t="s">
        <v>444</v>
      </c>
      <c r="I10750" t="s">
        <v>29</v>
      </c>
      <c r="J10750">
        <v>1</v>
      </c>
      <c r="K10750">
        <f>1-844-858-8365</f>
        <v>-10066</v>
      </c>
      <c r="L10750" t="s">
        <v>33332</v>
      </c>
      <c r="M10750" t="s">
        <v>33333</v>
      </c>
      <c r="N10750" t="s">
        <v>213</v>
      </c>
      <c r="O10750" t="s">
        <v>28</v>
      </c>
      <c r="P10750" t="s">
        <v>29</v>
      </c>
      <c r="Q10750">
        <v>42</v>
      </c>
      <c r="R10750">
        <v>-87.629800000000003</v>
      </c>
    </row>
    <row r="10751" spans="1:18" x14ac:dyDescent="0.2">
      <c r="A10751" t="s">
        <v>663</v>
      </c>
      <c r="B10751" t="s">
        <v>5784</v>
      </c>
      <c r="C10751">
        <v>1</v>
      </c>
      <c r="D10751" s="1">
        <v>44363.766481481478</v>
      </c>
      <c r="E10751" t="s">
        <v>33334</v>
      </c>
      <c r="F10751" t="s">
        <v>666</v>
      </c>
      <c r="G10751" t="s">
        <v>33335</v>
      </c>
      <c r="H10751" t="s">
        <v>667</v>
      </c>
      <c r="I10751" t="s">
        <v>29</v>
      </c>
      <c r="J10751">
        <v>1</v>
      </c>
      <c r="K10751">
        <f>1-844-284-1633</f>
        <v>-2760</v>
      </c>
      <c r="L10751" t="s">
        <v>33336</v>
      </c>
      <c r="M10751" t="s">
        <v>33337</v>
      </c>
      <c r="N10751" t="s">
        <v>25263</v>
      </c>
      <c r="O10751" t="s">
        <v>28</v>
      </c>
      <c r="P10751" t="s">
        <v>5789</v>
      </c>
      <c r="Q10751">
        <v>13</v>
      </c>
      <c r="R10751">
        <v>77.585499999999996</v>
      </c>
    </row>
    <row r="10752" spans="1:18" x14ac:dyDescent="0.2">
      <c r="A10752" t="s">
        <v>2233</v>
      </c>
      <c r="B10752" t="s">
        <v>1638</v>
      </c>
      <c r="C10752">
        <v>1</v>
      </c>
      <c r="D10752" s="1">
        <v>44358.846458333333</v>
      </c>
      <c r="E10752" t="s">
        <v>33338</v>
      </c>
      <c r="F10752" t="s">
        <v>7023</v>
      </c>
      <c r="G10752" t="s">
        <v>33339</v>
      </c>
      <c r="H10752" t="s">
        <v>2237</v>
      </c>
      <c r="I10752" t="s">
        <v>29</v>
      </c>
      <c r="J10752">
        <v>1</v>
      </c>
      <c r="K10752">
        <f>1-888-787-3596</f>
        <v>-5270</v>
      </c>
      <c r="L10752" t="s">
        <v>33340</v>
      </c>
      <c r="M10752" t="s">
        <v>33341</v>
      </c>
      <c r="N10752" t="s">
        <v>278</v>
      </c>
      <c r="O10752" t="s">
        <v>28</v>
      </c>
      <c r="P10752" t="s">
        <v>292</v>
      </c>
      <c r="Q10752">
        <v>49</v>
      </c>
      <c r="R10752">
        <v>2.35222</v>
      </c>
    </row>
    <row r="10753" spans="1:18" x14ac:dyDescent="0.2">
      <c r="A10753" t="s">
        <v>663</v>
      </c>
      <c r="B10753" t="s">
        <v>2493</v>
      </c>
      <c r="C10753">
        <v>1</v>
      </c>
      <c r="D10753" s="1">
        <v>44363.803657407407</v>
      </c>
      <c r="E10753" t="s">
        <v>33342</v>
      </c>
      <c r="F10753" t="s">
        <v>2495</v>
      </c>
      <c r="G10753" t="s">
        <v>33343</v>
      </c>
      <c r="H10753" t="s">
        <v>667</v>
      </c>
      <c r="I10753" t="s">
        <v>29</v>
      </c>
      <c r="J10753">
        <v>1</v>
      </c>
      <c r="K10753">
        <f>1-248-274-4160</f>
        <v>-4681</v>
      </c>
      <c r="L10753" t="s">
        <v>33344</v>
      </c>
      <c r="M10753" t="s">
        <v>33345</v>
      </c>
      <c r="N10753" t="s">
        <v>3454</v>
      </c>
      <c r="O10753" t="s">
        <v>28</v>
      </c>
      <c r="P10753" t="s">
        <v>29</v>
      </c>
      <c r="Q10753">
        <v>41</v>
      </c>
      <c r="R10753">
        <v>-74.024699999999996</v>
      </c>
    </row>
    <row r="10754" spans="1:18" x14ac:dyDescent="0.2">
      <c r="A10754" t="s">
        <v>663</v>
      </c>
      <c r="B10754" t="s">
        <v>1212</v>
      </c>
      <c r="C10754">
        <v>1</v>
      </c>
      <c r="D10754" s="1">
        <v>44363.832280092596</v>
      </c>
      <c r="E10754" t="s">
        <v>33346</v>
      </c>
      <c r="F10754" t="s">
        <v>666</v>
      </c>
      <c r="G10754" t="s">
        <v>33347</v>
      </c>
      <c r="H10754" t="s">
        <v>667</v>
      </c>
      <c r="I10754" t="s">
        <v>29</v>
      </c>
      <c r="J10754">
        <v>1</v>
      </c>
      <c r="K10754">
        <f>1-844-299-6791</f>
        <v>-7933</v>
      </c>
      <c r="L10754" t="s">
        <v>33348</v>
      </c>
      <c r="M10754" t="s">
        <v>33349</v>
      </c>
      <c r="N10754" t="s">
        <v>452</v>
      </c>
      <c r="O10754" t="s">
        <v>28</v>
      </c>
      <c r="P10754" t="s">
        <v>618</v>
      </c>
      <c r="Q10754">
        <v>52</v>
      </c>
      <c r="R10754">
        <v>-0.67179999999999995</v>
      </c>
    </row>
    <row r="10755" spans="1:18" x14ac:dyDescent="0.2">
      <c r="A10755" t="s">
        <v>2233</v>
      </c>
      <c r="B10755" t="s">
        <v>1638</v>
      </c>
      <c r="C10755">
        <v>1</v>
      </c>
      <c r="D10755" s="1">
        <v>44363.832974537036</v>
      </c>
      <c r="E10755" t="s">
        <v>33350</v>
      </c>
      <c r="F10755" t="s">
        <v>2236</v>
      </c>
      <c r="G10755" t="s">
        <v>33351</v>
      </c>
      <c r="H10755" t="s">
        <v>2237</v>
      </c>
      <c r="I10755" t="s">
        <v>29</v>
      </c>
      <c r="J10755">
        <v>1</v>
      </c>
      <c r="K10755">
        <f>1-888-229-6235</f>
        <v>-7351</v>
      </c>
      <c r="L10755" t="s">
        <v>33352</v>
      </c>
      <c r="M10755" t="s">
        <v>33353</v>
      </c>
      <c r="N10755" t="s">
        <v>278</v>
      </c>
      <c r="O10755" t="s">
        <v>28</v>
      </c>
      <c r="P10755" t="s">
        <v>292</v>
      </c>
      <c r="Q10755">
        <v>49</v>
      </c>
      <c r="R10755">
        <v>2.35222</v>
      </c>
    </row>
    <row r="10756" spans="1:18" x14ac:dyDescent="0.2">
      <c r="A10756" t="s">
        <v>2233</v>
      </c>
      <c r="B10756" t="s">
        <v>1638</v>
      </c>
      <c r="C10756">
        <v>1</v>
      </c>
      <c r="D10756" s="1">
        <v>44363.834224537037</v>
      </c>
      <c r="E10756" t="s">
        <v>33350</v>
      </c>
      <c r="F10756" t="s">
        <v>2236</v>
      </c>
      <c r="G10756" t="s">
        <v>33354</v>
      </c>
      <c r="H10756" t="s">
        <v>2237</v>
      </c>
      <c r="I10756" t="s">
        <v>29</v>
      </c>
      <c r="J10756">
        <v>1</v>
      </c>
      <c r="K10756">
        <f>1-888-249-1819</f>
        <v>-2955</v>
      </c>
      <c r="L10756" t="s">
        <v>33355</v>
      </c>
      <c r="M10756" t="s">
        <v>33356</v>
      </c>
      <c r="N10756" t="s">
        <v>278</v>
      </c>
      <c r="O10756" t="s">
        <v>28</v>
      </c>
      <c r="P10756" t="s">
        <v>292</v>
      </c>
      <c r="Q10756">
        <v>49</v>
      </c>
      <c r="R10756">
        <v>2.35222</v>
      </c>
    </row>
    <row r="10757" spans="1:18" x14ac:dyDescent="0.2">
      <c r="A10757" t="s">
        <v>2233</v>
      </c>
      <c r="B10757" t="s">
        <v>1638</v>
      </c>
      <c r="C10757">
        <v>1</v>
      </c>
      <c r="D10757" s="1">
        <v>44363.836562500001</v>
      </c>
      <c r="E10757" t="s">
        <v>33350</v>
      </c>
      <c r="F10757" t="s">
        <v>2236</v>
      </c>
      <c r="G10757" t="s">
        <v>33357</v>
      </c>
      <c r="H10757" t="s">
        <v>2237</v>
      </c>
      <c r="I10757" t="s">
        <v>29</v>
      </c>
      <c r="J10757">
        <v>1</v>
      </c>
      <c r="K10757">
        <f>1-888-210-5806</f>
        <v>-6903</v>
      </c>
      <c r="L10757" t="s">
        <v>33358</v>
      </c>
      <c r="M10757" t="s">
        <v>33359</v>
      </c>
      <c r="N10757" t="s">
        <v>278</v>
      </c>
      <c r="O10757" t="s">
        <v>28</v>
      </c>
      <c r="P10757" t="s">
        <v>292</v>
      </c>
      <c r="Q10757">
        <v>49</v>
      </c>
      <c r="R10757">
        <v>2.35222</v>
      </c>
    </row>
    <row r="10758" spans="1:18" x14ac:dyDescent="0.2">
      <c r="A10758" t="s">
        <v>439</v>
      </c>
      <c r="B10758" t="s">
        <v>4321</v>
      </c>
      <c r="C10758">
        <v>1</v>
      </c>
      <c r="D10758" s="1">
        <v>44363.884259259263</v>
      </c>
      <c r="E10758" t="s">
        <v>33360</v>
      </c>
      <c r="F10758" t="s">
        <v>442</v>
      </c>
      <c r="G10758" t="s">
        <v>33361</v>
      </c>
      <c r="H10758" t="s">
        <v>444</v>
      </c>
      <c r="I10758" t="s">
        <v>29</v>
      </c>
      <c r="J10758">
        <v>1</v>
      </c>
      <c r="K10758">
        <f>1-888-851-561</f>
        <v>-2299</v>
      </c>
      <c r="L10758" t="s">
        <v>33362</v>
      </c>
      <c r="M10758" t="s">
        <v>33363</v>
      </c>
      <c r="N10758" t="s">
        <v>452</v>
      </c>
      <c r="O10758" t="s">
        <v>28</v>
      </c>
      <c r="P10758" t="s">
        <v>29</v>
      </c>
      <c r="Q10758">
        <v>42</v>
      </c>
      <c r="R10758">
        <v>-87.629800000000003</v>
      </c>
    </row>
    <row r="10759" spans="1:18" x14ac:dyDescent="0.2">
      <c r="A10759" t="s">
        <v>439</v>
      </c>
      <c r="B10759" t="s">
        <v>4321</v>
      </c>
      <c r="C10759">
        <v>1</v>
      </c>
      <c r="D10759" s="1">
        <v>44363.884212962963</v>
      </c>
      <c r="E10759" t="s">
        <v>33360</v>
      </c>
      <c r="F10759" t="s">
        <v>442</v>
      </c>
      <c r="G10759" t="s">
        <v>33361</v>
      </c>
      <c r="H10759" t="s">
        <v>444</v>
      </c>
      <c r="I10759" t="s">
        <v>29</v>
      </c>
      <c r="J10759">
        <v>1</v>
      </c>
      <c r="K10759">
        <f>1-888-851-554</f>
        <v>-2292</v>
      </c>
      <c r="L10759" t="s">
        <v>33364</v>
      </c>
      <c r="M10759" t="s">
        <v>33365</v>
      </c>
      <c r="N10759" t="s">
        <v>452</v>
      </c>
      <c r="O10759" t="s">
        <v>28</v>
      </c>
      <c r="P10759" t="s">
        <v>29</v>
      </c>
      <c r="Q10759">
        <v>42</v>
      </c>
      <c r="R10759">
        <v>-87.629800000000003</v>
      </c>
    </row>
    <row r="10760" spans="1:18" x14ac:dyDescent="0.2">
      <c r="A10760" t="s">
        <v>439</v>
      </c>
      <c r="B10760" t="s">
        <v>4321</v>
      </c>
      <c r="C10760">
        <v>1</v>
      </c>
      <c r="D10760" s="1">
        <v>44363.884166666663</v>
      </c>
      <c r="E10760" t="s">
        <v>33360</v>
      </c>
      <c r="F10760" t="s">
        <v>442</v>
      </c>
      <c r="G10760" t="s">
        <v>33361</v>
      </c>
      <c r="H10760" t="s">
        <v>444</v>
      </c>
      <c r="I10760" t="s">
        <v>29</v>
      </c>
      <c r="J10760">
        <v>1</v>
      </c>
      <c r="K10760">
        <f>1-888-537-8153</f>
        <v>-9577</v>
      </c>
      <c r="L10760" t="s">
        <v>33366</v>
      </c>
      <c r="M10760" t="s">
        <v>33367</v>
      </c>
      <c r="N10760" t="s">
        <v>452</v>
      </c>
      <c r="O10760" t="s">
        <v>28</v>
      </c>
      <c r="P10760" t="s">
        <v>29</v>
      </c>
      <c r="Q10760">
        <v>42</v>
      </c>
      <c r="R10760">
        <v>-87.629800000000003</v>
      </c>
    </row>
    <row r="10761" spans="1:18" x14ac:dyDescent="0.2">
      <c r="A10761" t="s">
        <v>439</v>
      </c>
      <c r="B10761" t="s">
        <v>4321</v>
      </c>
      <c r="C10761">
        <v>1</v>
      </c>
      <c r="D10761" s="1">
        <v>44363.884120370371</v>
      </c>
      <c r="E10761" t="s">
        <v>33360</v>
      </c>
      <c r="F10761" t="s">
        <v>442</v>
      </c>
      <c r="G10761" t="s">
        <v>33361</v>
      </c>
      <c r="H10761" t="s">
        <v>444</v>
      </c>
      <c r="I10761" t="s">
        <v>29</v>
      </c>
      <c r="J10761">
        <v>1</v>
      </c>
      <c r="K10761">
        <f>1-888-851-563</f>
        <v>-2301</v>
      </c>
      <c r="L10761" t="s">
        <v>33368</v>
      </c>
      <c r="M10761" t="s">
        <v>33369</v>
      </c>
      <c r="N10761" t="s">
        <v>452</v>
      </c>
      <c r="O10761" t="s">
        <v>28</v>
      </c>
      <c r="P10761" t="s">
        <v>29</v>
      </c>
      <c r="Q10761">
        <v>42</v>
      </c>
      <c r="R10761">
        <v>-87.629800000000003</v>
      </c>
    </row>
    <row r="10762" spans="1:18" x14ac:dyDescent="0.2">
      <c r="A10762" t="s">
        <v>439</v>
      </c>
      <c r="B10762" t="s">
        <v>4321</v>
      </c>
      <c r="C10762">
        <v>1</v>
      </c>
      <c r="D10762" s="1">
        <v>44363.884074074071</v>
      </c>
      <c r="E10762" t="s">
        <v>33360</v>
      </c>
      <c r="F10762" t="s">
        <v>442</v>
      </c>
      <c r="G10762" t="s">
        <v>33361</v>
      </c>
      <c r="H10762" t="s">
        <v>444</v>
      </c>
      <c r="I10762" t="s">
        <v>29</v>
      </c>
      <c r="J10762">
        <v>1</v>
      </c>
      <c r="K10762">
        <f>1-888-909-1217</f>
        <v>-3013</v>
      </c>
      <c r="L10762" t="s">
        <v>33370</v>
      </c>
      <c r="M10762" t="s">
        <v>33371</v>
      </c>
      <c r="N10762" t="s">
        <v>452</v>
      </c>
      <c r="O10762" t="s">
        <v>28</v>
      </c>
      <c r="P10762" t="s">
        <v>29</v>
      </c>
      <c r="Q10762">
        <v>42</v>
      </c>
      <c r="R10762">
        <v>-87.629800000000003</v>
      </c>
    </row>
    <row r="10763" spans="1:18" x14ac:dyDescent="0.2">
      <c r="A10763" t="s">
        <v>2233</v>
      </c>
      <c r="B10763" t="s">
        <v>1638</v>
      </c>
      <c r="C10763">
        <v>1</v>
      </c>
      <c r="D10763" s="1">
        <v>44363.783067129632</v>
      </c>
      <c r="E10763" t="s">
        <v>33232</v>
      </c>
      <c r="F10763" t="s">
        <v>7023</v>
      </c>
      <c r="G10763" t="s">
        <v>33372</v>
      </c>
      <c r="H10763" t="s">
        <v>2237</v>
      </c>
      <c r="I10763" t="s">
        <v>29</v>
      </c>
      <c r="J10763">
        <v>1</v>
      </c>
      <c r="K10763">
        <f>1-888-202-583</f>
        <v>-1672</v>
      </c>
      <c r="L10763" t="s">
        <v>33373</v>
      </c>
      <c r="M10763" t="s">
        <v>33374</v>
      </c>
      <c r="N10763" t="s">
        <v>278</v>
      </c>
      <c r="O10763" t="s">
        <v>28</v>
      </c>
      <c r="P10763" t="s">
        <v>292</v>
      </c>
      <c r="Q10763">
        <v>49</v>
      </c>
      <c r="R10763">
        <v>2.35222</v>
      </c>
    </row>
    <row r="10764" spans="1:18" x14ac:dyDescent="0.2">
      <c r="A10764" t="s">
        <v>663</v>
      </c>
      <c r="B10764" t="s">
        <v>5784</v>
      </c>
      <c r="C10764">
        <v>1</v>
      </c>
      <c r="D10764" s="1">
        <v>44358.819849537038</v>
      </c>
      <c r="E10764" t="s">
        <v>33375</v>
      </c>
      <c r="F10764" t="s">
        <v>666</v>
      </c>
      <c r="G10764" t="s">
        <v>33376</v>
      </c>
      <c r="H10764" t="s">
        <v>667</v>
      </c>
      <c r="I10764" t="s">
        <v>29</v>
      </c>
      <c r="J10764">
        <v>1</v>
      </c>
      <c r="K10764">
        <f>1-844-390-4060</f>
        <v>-5293</v>
      </c>
      <c r="L10764" t="s">
        <v>33377</v>
      </c>
      <c r="M10764" t="s">
        <v>33378</v>
      </c>
      <c r="N10764" t="s">
        <v>25263</v>
      </c>
      <c r="O10764" t="s">
        <v>28</v>
      </c>
      <c r="P10764" t="s">
        <v>5789</v>
      </c>
      <c r="Q10764">
        <v>13</v>
      </c>
      <c r="R10764">
        <v>77.585499999999996</v>
      </c>
    </row>
    <row r="10765" spans="1:18" x14ac:dyDescent="0.2">
      <c r="A10765" t="s">
        <v>663</v>
      </c>
      <c r="B10765" t="s">
        <v>454</v>
      </c>
      <c r="C10765">
        <v>1</v>
      </c>
      <c r="D10765" s="1">
        <v>44363.885138888887</v>
      </c>
      <c r="E10765" t="s">
        <v>33379</v>
      </c>
      <c r="F10765" t="s">
        <v>666</v>
      </c>
      <c r="G10765" t="s">
        <v>33379</v>
      </c>
      <c r="H10765" t="s">
        <v>667</v>
      </c>
      <c r="I10765" t="s">
        <v>29</v>
      </c>
      <c r="J10765">
        <v>1</v>
      </c>
      <c r="K10765">
        <f>1-866-339-5190</f>
        <v>-6394</v>
      </c>
      <c r="L10765" t="s">
        <v>33380</v>
      </c>
      <c r="M10765" t="s">
        <v>33381</v>
      </c>
      <c r="N10765">
        <v>92</v>
      </c>
      <c r="O10765" t="s">
        <v>134</v>
      </c>
      <c r="P10765" t="s">
        <v>461</v>
      </c>
      <c r="Q10765">
        <v>52</v>
      </c>
      <c r="R10765">
        <v>4.9391999999999996</v>
      </c>
    </row>
    <row r="10766" spans="1:18" x14ac:dyDescent="0.2">
      <c r="A10766" t="s">
        <v>2349</v>
      </c>
      <c r="B10766" t="s">
        <v>10634</v>
      </c>
      <c r="C10766">
        <v>1</v>
      </c>
      <c r="D10766" s="1">
        <v>44363.888645833336</v>
      </c>
      <c r="E10766" t="s">
        <v>33382</v>
      </c>
      <c r="F10766" t="s">
        <v>2352</v>
      </c>
      <c r="G10766" t="s">
        <v>33382</v>
      </c>
      <c r="H10766" t="s">
        <v>2353</v>
      </c>
      <c r="I10766" t="s">
        <v>29</v>
      </c>
      <c r="J10766">
        <v>1</v>
      </c>
      <c r="K10766">
        <f>1-866-339-5190</f>
        <v>-6394</v>
      </c>
      <c r="L10766" t="s">
        <v>33383</v>
      </c>
      <c r="M10766" t="s">
        <v>33384</v>
      </c>
      <c r="N10766">
        <v>117</v>
      </c>
      <c r="O10766" t="s">
        <v>134</v>
      </c>
      <c r="P10766" t="s">
        <v>292</v>
      </c>
      <c r="Q10766">
        <v>49</v>
      </c>
      <c r="R10766">
        <v>2.3868999999999998</v>
      </c>
    </row>
    <row r="10767" spans="1:18" x14ac:dyDescent="0.2">
      <c r="A10767" t="s">
        <v>2349</v>
      </c>
      <c r="B10767" t="s">
        <v>4281</v>
      </c>
      <c r="C10767">
        <v>1</v>
      </c>
      <c r="D10767" s="1">
        <v>44363.890416666669</v>
      </c>
      <c r="E10767" t="s">
        <v>33385</v>
      </c>
      <c r="F10767" t="s">
        <v>31524</v>
      </c>
      <c r="G10767" t="s">
        <v>33385</v>
      </c>
      <c r="H10767" t="s">
        <v>2353</v>
      </c>
      <c r="I10767" t="s">
        <v>29</v>
      </c>
      <c r="J10767">
        <v>1</v>
      </c>
      <c r="K10767">
        <f>1-866-339-5190</f>
        <v>-6394</v>
      </c>
      <c r="L10767" t="s">
        <v>33386</v>
      </c>
      <c r="M10767" t="s">
        <v>33387</v>
      </c>
      <c r="N10767">
        <v>154</v>
      </c>
      <c r="O10767" t="s">
        <v>134</v>
      </c>
      <c r="P10767" t="s">
        <v>24</v>
      </c>
      <c r="Q10767">
        <v>50</v>
      </c>
      <c r="R10767">
        <v>8.7147000000000006</v>
      </c>
    </row>
    <row r="10768" spans="1:18" x14ac:dyDescent="0.2">
      <c r="A10768" t="s">
        <v>663</v>
      </c>
      <c r="B10768" t="s">
        <v>454</v>
      </c>
      <c r="C10768">
        <v>1</v>
      </c>
      <c r="D10768" s="1">
        <v>44363.92019675926</v>
      </c>
      <c r="E10768" t="s">
        <v>33388</v>
      </c>
      <c r="F10768" t="s">
        <v>666</v>
      </c>
      <c r="G10768" t="s">
        <v>33389</v>
      </c>
      <c r="H10768" t="s">
        <v>667</v>
      </c>
      <c r="I10768" t="s">
        <v>29</v>
      </c>
      <c r="J10768">
        <v>1</v>
      </c>
      <c r="K10768">
        <f>1-317-505-728</f>
        <v>-1549</v>
      </c>
      <c r="L10768" t="s">
        <v>33390</v>
      </c>
      <c r="M10768" t="s">
        <v>33391</v>
      </c>
      <c r="N10768" t="s">
        <v>452</v>
      </c>
      <c r="O10768" t="s">
        <v>28</v>
      </c>
      <c r="P10768" t="s">
        <v>461</v>
      </c>
      <c r="Q10768">
        <v>52</v>
      </c>
      <c r="R10768">
        <v>4.9391999999999996</v>
      </c>
    </row>
    <row r="10769" spans="1:18" x14ac:dyDescent="0.2">
      <c r="A10769" t="s">
        <v>663</v>
      </c>
      <c r="B10769" t="s">
        <v>5784</v>
      </c>
      <c r="C10769">
        <v>1</v>
      </c>
      <c r="D10769" s="1">
        <v>44363.930995370371</v>
      </c>
      <c r="E10769" t="s">
        <v>33392</v>
      </c>
      <c r="F10769" t="s">
        <v>666</v>
      </c>
      <c r="G10769" t="s">
        <v>33392</v>
      </c>
      <c r="H10769" t="s">
        <v>667</v>
      </c>
      <c r="I10769" t="s">
        <v>29</v>
      </c>
      <c r="J10769">
        <v>1</v>
      </c>
      <c r="K10769">
        <f>1-866-341-8377</f>
        <v>-9583</v>
      </c>
      <c r="L10769" t="s">
        <v>33393</v>
      </c>
      <c r="M10769" t="s">
        <v>33394</v>
      </c>
      <c r="N10769">
        <v>148</v>
      </c>
      <c r="O10769" t="s">
        <v>134</v>
      </c>
      <c r="P10769" t="s">
        <v>5789</v>
      </c>
      <c r="Q10769">
        <v>13</v>
      </c>
      <c r="R10769">
        <v>77.585499999999996</v>
      </c>
    </row>
    <row r="10770" spans="1:18" x14ac:dyDescent="0.2">
      <c r="A10770" t="s">
        <v>663</v>
      </c>
      <c r="B10770" t="s">
        <v>5784</v>
      </c>
      <c r="C10770">
        <v>1</v>
      </c>
      <c r="D10770" s="1">
        <v>44363.922789351855</v>
      </c>
      <c r="E10770" t="s">
        <v>33392</v>
      </c>
      <c r="F10770" t="s">
        <v>666</v>
      </c>
      <c r="G10770" t="s">
        <v>33392</v>
      </c>
      <c r="H10770" t="s">
        <v>667</v>
      </c>
      <c r="I10770" t="s">
        <v>29</v>
      </c>
      <c r="J10770">
        <v>1</v>
      </c>
      <c r="K10770">
        <f>1-888-348-245</f>
        <v>-1480</v>
      </c>
      <c r="L10770" t="s">
        <v>33395</v>
      </c>
      <c r="M10770" t="s">
        <v>33396</v>
      </c>
      <c r="N10770">
        <v>148</v>
      </c>
      <c r="O10770" t="s">
        <v>134</v>
      </c>
      <c r="P10770" t="s">
        <v>5789</v>
      </c>
      <c r="Q10770">
        <v>13</v>
      </c>
      <c r="R10770">
        <v>77.585499999999996</v>
      </c>
    </row>
    <row r="10771" spans="1:18" x14ac:dyDescent="0.2">
      <c r="A10771" t="s">
        <v>439</v>
      </c>
      <c r="B10771" t="s">
        <v>4321</v>
      </c>
      <c r="C10771">
        <v>1</v>
      </c>
      <c r="D10771" s="1">
        <v>44363.930543981478</v>
      </c>
      <c r="E10771" t="s">
        <v>27631</v>
      </c>
      <c r="F10771" t="s">
        <v>442</v>
      </c>
      <c r="G10771" t="s">
        <v>33397</v>
      </c>
      <c r="H10771" t="s">
        <v>444</v>
      </c>
      <c r="I10771" t="s">
        <v>29</v>
      </c>
      <c r="J10771">
        <v>1</v>
      </c>
      <c r="K10771">
        <f>1-888-851-563</f>
        <v>-2301</v>
      </c>
      <c r="L10771" t="s">
        <v>33398</v>
      </c>
      <c r="M10771" t="s">
        <v>33399</v>
      </c>
      <c r="N10771" t="s">
        <v>452</v>
      </c>
      <c r="O10771" t="s">
        <v>28</v>
      </c>
      <c r="P10771" t="s">
        <v>29</v>
      </c>
      <c r="Q10771">
        <v>42</v>
      </c>
      <c r="R10771">
        <v>-87.629800000000003</v>
      </c>
    </row>
    <row r="10772" spans="1:18" x14ac:dyDescent="0.2">
      <c r="A10772" t="s">
        <v>439</v>
      </c>
      <c r="B10772" t="s">
        <v>4321</v>
      </c>
      <c r="C10772">
        <v>1</v>
      </c>
      <c r="D10772" s="1">
        <v>44363.930497685185</v>
      </c>
      <c r="E10772" t="s">
        <v>27631</v>
      </c>
      <c r="F10772" t="s">
        <v>442</v>
      </c>
      <c r="G10772" t="s">
        <v>33397</v>
      </c>
      <c r="H10772" t="s">
        <v>444</v>
      </c>
      <c r="I10772" t="s">
        <v>29</v>
      </c>
      <c r="J10772">
        <v>1</v>
      </c>
      <c r="K10772">
        <f>1-888-909-1217</f>
        <v>-3013</v>
      </c>
      <c r="L10772" t="s">
        <v>33400</v>
      </c>
      <c r="M10772" t="s">
        <v>33401</v>
      </c>
      <c r="N10772" t="s">
        <v>452</v>
      </c>
      <c r="O10772" t="s">
        <v>28</v>
      </c>
      <c r="P10772" t="s">
        <v>29</v>
      </c>
      <c r="Q10772">
        <v>42</v>
      </c>
      <c r="R10772">
        <v>-87.629800000000003</v>
      </c>
    </row>
    <row r="10773" spans="1:18" x14ac:dyDescent="0.2">
      <c r="A10773" t="s">
        <v>2349</v>
      </c>
      <c r="B10773" t="s">
        <v>454</v>
      </c>
      <c r="C10773">
        <v>1</v>
      </c>
      <c r="D10773" s="1">
        <v>44363.936412037037</v>
      </c>
      <c r="E10773" t="s">
        <v>33402</v>
      </c>
      <c r="F10773" t="s">
        <v>2352</v>
      </c>
      <c r="G10773" t="s">
        <v>33402</v>
      </c>
      <c r="H10773" t="s">
        <v>2353</v>
      </c>
      <c r="I10773" t="s">
        <v>29</v>
      </c>
      <c r="J10773">
        <v>1</v>
      </c>
      <c r="K10773">
        <f t="shared" ref="K10773:K10778" si="69">1-866-341-8377</f>
        <v>-9583</v>
      </c>
      <c r="L10773" t="s">
        <v>33403</v>
      </c>
      <c r="M10773" t="s">
        <v>33404</v>
      </c>
      <c r="N10773">
        <v>245</v>
      </c>
      <c r="O10773" t="s">
        <v>134</v>
      </c>
      <c r="P10773" t="s">
        <v>461</v>
      </c>
      <c r="Q10773">
        <v>52</v>
      </c>
      <c r="R10773">
        <v>4.6562999999999999</v>
      </c>
    </row>
    <row r="10774" spans="1:18" x14ac:dyDescent="0.2">
      <c r="A10774" t="s">
        <v>2349</v>
      </c>
      <c r="B10774" t="s">
        <v>4281</v>
      </c>
      <c r="C10774">
        <v>1</v>
      </c>
      <c r="D10774" s="1">
        <v>44363.992615740739</v>
      </c>
      <c r="E10774" t="s">
        <v>33405</v>
      </c>
      <c r="F10774" t="s">
        <v>31524</v>
      </c>
      <c r="G10774" t="s">
        <v>33405</v>
      </c>
      <c r="H10774" t="s">
        <v>2353</v>
      </c>
      <c r="I10774" t="s">
        <v>29</v>
      </c>
      <c r="J10774">
        <v>1</v>
      </c>
      <c r="K10774">
        <f t="shared" si="69"/>
        <v>-9583</v>
      </c>
      <c r="L10774" t="s">
        <v>33406</v>
      </c>
      <c r="M10774" t="s">
        <v>33407</v>
      </c>
      <c r="N10774">
        <v>144</v>
      </c>
      <c r="O10774" t="s">
        <v>134</v>
      </c>
      <c r="P10774" t="s">
        <v>24</v>
      </c>
      <c r="Q10774">
        <v>50</v>
      </c>
      <c r="R10774">
        <v>8.7147000000000006</v>
      </c>
    </row>
    <row r="10775" spans="1:18" x14ac:dyDescent="0.2">
      <c r="A10775" t="s">
        <v>2349</v>
      </c>
      <c r="B10775" t="s">
        <v>1212</v>
      </c>
      <c r="C10775">
        <v>1</v>
      </c>
      <c r="D10775" s="1">
        <v>44363.996412037035</v>
      </c>
      <c r="E10775" t="s">
        <v>33408</v>
      </c>
      <c r="F10775" t="s">
        <v>33409</v>
      </c>
      <c r="G10775" t="s">
        <v>33408</v>
      </c>
      <c r="H10775" t="s">
        <v>2353</v>
      </c>
      <c r="I10775" t="s">
        <v>29</v>
      </c>
      <c r="J10775">
        <v>1</v>
      </c>
      <c r="K10775">
        <f t="shared" si="69"/>
        <v>-9583</v>
      </c>
      <c r="L10775" t="s">
        <v>33410</v>
      </c>
      <c r="M10775" t="s">
        <v>33411</v>
      </c>
      <c r="N10775">
        <v>160</v>
      </c>
      <c r="O10775" t="s">
        <v>134</v>
      </c>
      <c r="P10775" t="s">
        <v>618</v>
      </c>
      <c r="Q10775">
        <v>52</v>
      </c>
      <c r="R10775">
        <v>-6.3799999999999996E-2</v>
      </c>
    </row>
    <row r="10776" spans="1:18" x14ac:dyDescent="0.2">
      <c r="A10776" t="s">
        <v>2349</v>
      </c>
      <c r="B10776" t="s">
        <v>10634</v>
      </c>
      <c r="C10776">
        <v>1</v>
      </c>
      <c r="D10776" s="1">
        <v>44364.001655092594</v>
      </c>
      <c r="E10776" t="s">
        <v>33412</v>
      </c>
      <c r="F10776" t="s">
        <v>31524</v>
      </c>
      <c r="G10776" t="s">
        <v>33412</v>
      </c>
      <c r="H10776" t="s">
        <v>2353</v>
      </c>
      <c r="I10776" t="s">
        <v>29</v>
      </c>
      <c r="J10776">
        <v>1</v>
      </c>
      <c r="K10776">
        <f t="shared" si="69"/>
        <v>-9583</v>
      </c>
      <c r="L10776" t="s">
        <v>33413</v>
      </c>
      <c r="M10776" t="s">
        <v>33414</v>
      </c>
      <c r="N10776">
        <v>3</v>
      </c>
      <c r="O10776" t="s">
        <v>134</v>
      </c>
      <c r="P10776" t="s">
        <v>292</v>
      </c>
      <c r="Q10776">
        <v>49</v>
      </c>
      <c r="R10776">
        <v>2.3868999999999998</v>
      </c>
    </row>
    <row r="10777" spans="1:18" x14ac:dyDescent="0.2">
      <c r="A10777" t="s">
        <v>2349</v>
      </c>
      <c r="B10777" t="s">
        <v>6226</v>
      </c>
      <c r="C10777">
        <v>1</v>
      </c>
      <c r="D10777" s="1">
        <v>44364.008587962962</v>
      </c>
      <c r="E10777" t="s">
        <v>33415</v>
      </c>
      <c r="F10777" t="s">
        <v>31524</v>
      </c>
      <c r="G10777" t="s">
        <v>33415</v>
      </c>
      <c r="H10777" t="s">
        <v>2353</v>
      </c>
      <c r="I10777" t="s">
        <v>29</v>
      </c>
      <c r="J10777">
        <v>1</v>
      </c>
      <c r="K10777">
        <f t="shared" si="69"/>
        <v>-9583</v>
      </c>
      <c r="L10777" t="s">
        <v>33416</v>
      </c>
      <c r="M10777" t="s">
        <v>33417</v>
      </c>
      <c r="N10777">
        <v>113</v>
      </c>
      <c r="O10777" t="s">
        <v>134</v>
      </c>
      <c r="P10777" t="s">
        <v>29</v>
      </c>
      <c r="Q10777">
        <v>26</v>
      </c>
      <c r="R10777">
        <v>-80.231800000000007</v>
      </c>
    </row>
    <row r="10778" spans="1:18" x14ac:dyDescent="0.2">
      <c r="A10778" t="s">
        <v>2349</v>
      </c>
      <c r="B10778" t="s">
        <v>6390</v>
      </c>
      <c r="C10778">
        <v>1</v>
      </c>
      <c r="D10778" s="1">
        <v>44364.015243055554</v>
      </c>
      <c r="E10778" t="s">
        <v>33418</v>
      </c>
      <c r="F10778" t="s">
        <v>31524</v>
      </c>
      <c r="G10778" t="s">
        <v>33418</v>
      </c>
      <c r="H10778" t="s">
        <v>2353</v>
      </c>
      <c r="I10778" t="s">
        <v>29</v>
      </c>
      <c r="J10778">
        <v>1</v>
      </c>
      <c r="K10778">
        <f t="shared" si="69"/>
        <v>-9583</v>
      </c>
      <c r="L10778" t="s">
        <v>33419</v>
      </c>
      <c r="M10778" t="s">
        <v>33420</v>
      </c>
      <c r="N10778">
        <v>203</v>
      </c>
      <c r="O10778" t="s">
        <v>134</v>
      </c>
      <c r="P10778" t="s">
        <v>29</v>
      </c>
      <c r="Q10778">
        <v>37</v>
      </c>
      <c r="R10778">
        <v>-99.999999000000003</v>
      </c>
    </row>
    <row r="10779" spans="1:18" x14ac:dyDescent="0.2">
      <c r="A10779" t="s">
        <v>439</v>
      </c>
      <c r="B10779" t="s">
        <v>4321</v>
      </c>
      <c r="C10779">
        <v>1</v>
      </c>
      <c r="D10779" s="1">
        <v>44364.735277777778</v>
      </c>
      <c r="E10779" t="s">
        <v>33421</v>
      </c>
      <c r="F10779" t="s">
        <v>442</v>
      </c>
      <c r="G10779" t="s">
        <v>33422</v>
      </c>
      <c r="H10779" t="s">
        <v>444</v>
      </c>
      <c r="I10779" t="s">
        <v>29</v>
      </c>
      <c r="J10779">
        <v>1</v>
      </c>
      <c r="K10779">
        <f>1-888-655-2438</f>
        <v>-3980</v>
      </c>
      <c r="L10779" t="s">
        <v>33423</v>
      </c>
      <c r="M10779" t="s">
        <v>33424</v>
      </c>
      <c r="N10779" t="s">
        <v>452</v>
      </c>
      <c r="O10779" t="s">
        <v>28</v>
      </c>
      <c r="P10779" t="s">
        <v>29</v>
      </c>
      <c r="Q10779">
        <v>42</v>
      </c>
      <c r="R10779">
        <v>-87.629800000000003</v>
      </c>
    </row>
    <row r="10780" spans="1:18" x14ac:dyDescent="0.2">
      <c r="A10780" t="s">
        <v>439</v>
      </c>
      <c r="B10780" t="s">
        <v>4321</v>
      </c>
      <c r="C10780">
        <v>1</v>
      </c>
      <c r="D10780" s="1">
        <v>44364.735185185185</v>
      </c>
      <c r="E10780" t="s">
        <v>33421</v>
      </c>
      <c r="F10780" t="s">
        <v>442</v>
      </c>
      <c r="G10780" t="s">
        <v>33422</v>
      </c>
      <c r="H10780" t="s">
        <v>444</v>
      </c>
      <c r="I10780" t="s">
        <v>29</v>
      </c>
      <c r="J10780">
        <v>1</v>
      </c>
      <c r="K10780">
        <f>1-888-609-4541</f>
        <v>-6037</v>
      </c>
      <c r="L10780" t="s">
        <v>33425</v>
      </c>
      <c r="M10780" t="s">
        <v>33426</v>
      </c>
      <c r="N10780" t="s">
        <v>452</v>
      </c>
      <c r="O10780" t="s">
        <v>28</v>
      </c>
      <c r="P10780" t="s">
        <v>29</v>
      </c>
      <c r="Q10780">
        <v>42</v>
      </c>
      <c r="R10780">
        <v>-87.629800000000003</v>
      </c>
    </row>
    <row r="10781" spans="1:18" x14ac:dyDescent="0.2">
      <c r="A10781" t="s">
        <v>439</v>
      </c>
      <c r="B10781" t="s">
        <v>4321</v>
      </c>
      <c r="C10781">
        <v>1</v>
      </c>
      <c r="D10781" s="1">
        <v>44364.735127314816</v>
      </c>
      <c r="E10781" t="s">
        <v>33421</v>
      </c>
      <c r="F10781" t="s">
        <v>442</v>
      </c>
      <c r="G10781" t="s">
        <v>33422</v>
      </c>
      <c r="H10781" t="s">
        <v>444</v>
      </c>
      <c r="I10781" t="s">
        <v>29</v>
      </c>
      <c r="J10781">
        <v>1</v>
      </c>
      <c r="K10781">
        <f>1-888-585-8114</f>
        <v>-9586</v>
      </c>
      <c r="L10781" t="s">
        <v>33427</v>
      </c>
      <c r="M10781" t="s">
        <v>33428</v>
      </c>
      <c r="N10781" t="s">
        <v>452</v>
      </c>
      <c r="O10781" t="s">
        <v>28</v>
      </c>
      <c r="P10781" t="s">
        <v>29</v>
      </c>
      <c r="Q10781">
        <v>42</v>
      </c>
      <c r="R10781">
        <v>-87.629800000000003</v>
      </c>
    </row>
    <row r="10782" spans="1:18" x14ac:dyDescent="0.2">
      <c r="A10782" t="s">
        <v>439</v>
      </c>
      <c r="B10782" t="s">
        <v>4321</v>
      </c>
      <c r="C10782">
        <v>1</v>
      </c>
      <c r="D10782" s="1">
        <v>44364.735081018516</v>
      </c>
      <c r="E10782" t="s">
        <v>33421</v>
      </c>
      <c r="F10782" t="s">
        <v>442</v>
      </c>
      <c r="G10782" t="s">
        <v>33422</v>
      </c>
      <c r="H10782" t="s">
        <v>444</v>
      </c>
      <c r="I10782" t="s">
        <v>29</v>
      </c>
      <c r="J10782">
        <v>1</v>
      </c>
      <c r="K10782">
        <f>1-888-607-419</f>
        <v>-1913</v>
      </c>
      <c r="L10782" t="s">
        <v>33429</v>
      </c>
      <c r="M10782" t="s">
        <v>33430</v>
      </c>
      <c r="N10782" t="s">
        <v>452</v>
      </c>
      <c r="O10782" t="s">
        <v>28</v>
      </c>
      <c r="P10782" t="s">
        <v>29</v>
      </c>
      <c r="Q10782">
        <v>42</v>
      </c>
      <c r="R10782">
        <v>-87.629800000000003</v>
      </c>
    </row>
    <row r="10783" spans="1:18" x14ac:dyDescent="0.2">
      <c r="A10783" t="s">
        <v>439</v>
      </c>
      <c r="B10783" t="s">
        <v>4321</v>
      </c>
      <c r="C10783">
        <v>1</v>
      </c>
      <c r="D10783" s="1">
        <v>44364.735231481478</v>
      </c>
      <c r="E10783" t="s">
        <v>33421</v>
      </c>
      <c r="F10783" t="s">
        <v>442</v>
      </c>
      <c r="G10783" t="s">
        <v>33431</v>
      </c>
      <c r="H10783" t="s">
        <v>444</v>
      </c>
      <c r="I10783" t="s">
        <v>29</v>
      </c>
      <c r="J10783">
        <v>1</v>
      </c>
      <c r="K10783">
        <f>1-888-619-7599</f>
        <v>-9105</v>
      </c>
      <c r="L10783" t="s">
        <v>33432</v>
      </c>
      <c r="M10783" t="s">
        <v>33433</v>
      </c>
      <c r="N10783" t="s">
        <v>452</v>
      </c>
      <c r="O10783" t="s">
        <v>28</v>
      </c>
      <c r="P10783" t="s">
        <v>29</v>
      </c>
      <c r="Q10783">
        <v>42</v>
      </c>
      <c r="R10783">
        <v>-87.629800000000003</v>
      </c>
    </row>
    <row r="10784" spans="1:18" x14ac:dyDescent="0.2">
      <c r="A10784" t="s">
        <v>663</v>
      </c>
      <c r="B10784" t="s">
        <v>2500</v>
      </c>
      <c r="C10784">
        <v>1</v>
      </c>
      <c r="D10784" s="1">
        <v>44364.763969907406</v>
      </c>
      <c r="E10784" t="s">
        <v>33434</v>
      </c>
      <c r="F10784" t="s">
        <v>666</v>
      </c>
      <c r="G10784" t="s">
        <v>33435</v>
      </c>
      <c r="H10784" t="s">
        <v>667</v>
      </c>
      <c r="I10784" t="s">
        <v>29</v>
      </c>
      <c r="J10784">
        <v>1</v>
      </c>
      <c r="K10784">
        <f>1-844-304-4211</f>
        <v>-5358</v>
      </c>
      <c r="L10784" t="s">
        <v>33436</v>
      </c>
      <c r="M10784" t="s">
        <v>33437</v>
      </c>
      <c r="N10784" t="s">
        <v>452</v>
      </c>
      <c r="O10784" t="s">
        <v>28</v>
      </c>
      <c r="P10784" t="s">
        <v>2500</v>
      </c>
      <c r="Q10784">
        <v>1</v>
      </c>
      <c r="R10784">
        <v>99.999999000000003</v>
      </c>
    </row>
    <row r="10785" spans="1:18" x14ac:dyDescent="0.2">
      <c r="A10785" t="s">
        <v>663</v>
      </c>
      <c r="B10785" t="s">
        <v>2500</v>
      </c>
      <c r="C10785">
        <v>1</v>
      </c>
      <c r="D10785" s="1">
        <v>44364.764189814814</v>
      </c>
      <c r="E10785" t="s">
        <v>33438</v>
      </c>
      <c r="F10785" t="s">
        <v>2495</v>
      </c>
      <c r="G10785" t="s">
        <v>33439</v>
      </c>
      <c r="H10785" t="s">
        <v>667</v>
      </c>
      <c r="I10785" t="s">
        <v>29</v>
      </c>
      <c r="J10785">
        <v>1</v>
      </c>
      <c r="K10785">
        <f>1-844-298-2028</f>
        <v>-3169</v>
      </c>
      <c r="L10785" t="s">
        <v>33440</v>
      </c>
      <c r="M10785" t="s">
        <v>33441</v>
      </c>
      <c r="N10785" t="s">
        <v>452</v>
      </c>
      <c r="O10785" t="s">
        <v>28</v>
      </c>
      <c r="P10785" t="s">
        <v>2500</v>
      </c>
      <c r="Q10785">
        <v>1</v>
      </c>
      <c r="R10785">
        <v>99.999999000000003</v>
      </c>
    </row>
    <row r="10786" spans="1:18" x14ac:dyDescent="0.2">
      <c r="A10786" t="s">
        <v>663</v>
      </c>
      <c r="B10786" t="s">
        <v>454</v>
      </c>
      <c r="C10786">
        <v>1</v>
      </c>
      <c r="D10786" s="1">
        <v>44364.764328703706</v>
      </c>
      <c r="E10786" t="s">
        <v>33442</v>
      </c>
      <c r="F10786" t="s">
        <v>666</v>
      </c>
      <c r="G10786" t="s">
        <v>33443</v>
      </c>
      <c r="H10786" t="s">
        <v>667</v>
      </c>
      <c r="I10786" t="s">
        <v>29</v>
      </c>
      <c r="J10786">
        <v>1</v>
      </c>
      <c r="K10786">
        <f>1-844-299-6791</f>
        <v>-7933</v>
      </c>
      <c r="L10786" t="s">
        <v>33444</v>
      </c>
      <c r="M10786" t="s">
        <v>33445</v>
      </c>
      <c r="N10786" t="s">
        <v>452</v>
      </c>
      <c r="O10786" t="s">
        <v>28</v>
      </c>
      <c r="P10786" t="s">
        <v>461</v>
      </c>
      <c r="Q10786">
        <v>52</v>
      </c>
      <c r="R10786">
        <v>4.9391999999999996</v>
      </c>
    </row>
    <row r="10787" spans="1:18" x14ac:dyDescent="0.2">
      <c r="A10787" t="s">
        <v>2233</v>
      </c>
      <c r="B10787" t="s">
        <v>1638</v>
      </c>
      <c r="C10787">
        <v>1</v>
      </c>
      <c r="D10787" s="1">
        <v>44364.765416666669</v>
      </c>
      <c r="E10787" t="s">
        <v>33446</v>
      </c>
      <c r="F10787" t="s">
        <v>2236</v>
      </c>
      <c r="G10787" t="s">
        <v>33447</v>
      </c>
      <c r="H10787" t="s">
        <v>2237</v>
      </c>
      <c r="I10787" t="s">
        <v>29</v>
      </c>
      <c r="J10787">
        <v>1</v>
      </c>
      <c r="K10787">
        <f>1-888-250-6924</f>
        <v>-8061</v>
      </c>
      <c r="L10787" t="s">
        <v>33448</v>
      </c>
      <c r="M10787" t="s">
        <v>33449</v>
      </c>
      <c r="N10787" t="s">
        <v>278</v>
      </c>
      <c r="O10787" t="s">
        <v>28</v>
      </c>
      <c r="P10787" t="s">
        <v>292</v>
      </c>
      <c r="Q10787">
        <v>49</v>
      </c>
      <c r="R10787">
        <v>2.35222</v>
      </c>
    </row>
    <row r="10788" spans="1:18" x14ac:dyDescent="0.2">
      <c r="A10788" t="s">
        <v>439</v>
      </c>
      <c r="B10788" t="s">
        <v>4321</v>
      </c>
      <c r="C10788">
        <v>1</v>
      </c>
      <c r="D10788" s="1">
        <v>44364.769317129627</v>
      </c>
      <c r="E10788" t="s">
        <v>33450</v>
      </c>
      <c r="F10788" t="s">
        <v>442</v>
      </c>
      <c r="G10788" t="s">
        <v>33451</v>
      </c>
      <c r="H10788" t="s">
        <v>444</v>
      </c>
      <c r="I10788" t="s">
        <v>29</v>
      </c>
      <c r="J10788">
        <v>1</v>
      </c>
      <c r="K10788">
        <f>1-888-602-7662</f>
        <v>-9151</v>
      </c>
      <c r="L10788" t="s">
        <v>33452</v>
      </c>
      <c r="M10788" t="s">
        <v>33453</v>
      </c>
      <c r="N10788" t="s">
        <v>452</v>
      </c>
      <c r="O10788" t="s">
        <v>28</v>
      </c>
      <c r="P10788" t="s">
        <v>29</v>
      </c>
      <c r="Q10788">
        <v>42</v>
      </c>
      <c r="R10788">
        <v>-87.629800000000003</v>
      </c>
    </row>
    <row r="10789" spans="1:18" x14ac:dyDescent="0.2">
      <c r="A10789" t="s">
        <v>439</v>
      </c>
      <c r="B10789" t="s">
        <v>4321</v>
      </c>
      <c r="C10789">
        <v>1</v>
      </c>
      <c r="D10789" s="1">
        <v>44364.769270833334</v>
      </c>
      <c r="E10789" t="s">
        <v>33450</v>
      </c>
      <c r="F10789" t="s">
        <v>442</v>
      </c>
      <c r="G10789" t="s">
        <v>33451</v>
      </c>
      <c r="H10789" t="s">
        <v>444</v>
      </c>
      <c r="I10789" t="s">
        <v>29</v>
      </c>
      <c r="J10789">
        <v>1</v>
      </c>
      <c r="K10789">
        <f>1-866-315-694</f>
        <v>-1874</v>
      </c>
      <c r="L10789" t="s">
        <v>33454</v>
      </c>
      <c r="M10789" t="s">
        <v>33455</v>
      </c>
      <c r="N10789" t="s">
        <v>452</v>
      </c>
      <c r="O10789" t="s">
        <v>28</v>
      </c>
      <c r="P10789" t="s">
        <v>29</v>
      </c>
      <c r="Q10789">
        <v>42</v>
      </c>
      <c r="R10789">
        <v>-87.629800000000003</v>
      </c>
    </row>
    <row r="10790" spans="1:18" x14ac:dyDescent="0.2">
      <c r="A10790" t="s">
        <v>439</v>
      </c>
      <c r="B10790" t="s">
        <v>4321</v>
      </c>
      <c r="C10790">
        <v>1</v>
      </c>
      <c r="D10790" s="1">
        <v>44364.769224537034</v>
      </c>
      <c r="E10790" t="s">
        <v>33450</v>
      </c>
      <c r="F10790" t="s">
        <v>442</v>
      </c>
      <c r="G10790" t="s">
        <v>33451</v>
      </c>
      <c r="H10790" t="s">
        <v>444</v>
      </c>
      <c r="I10790" t="s">
        <v>29</v>
      </c>
      <c r="J10790">
        <v>1</v>
      </c>
      <c r="K10790">
        <f>1-866-326-6997</f>
        <v>-8188</v>
      </c>
      <c r="L10790" t="s">
        <v>33456</v>
      </c>
      <c r="M10790" t="s">
        <v>33457</v>
      </c>
      <c r="N10790" t="s">
        <v>452</v>
      </c>
      <c r="O10790" t="s">
        <v>28</v>
      </c>
      <c r="P10790" t="s">
        <v>29</v>
      </c>
      <c r="Q10790">
        <v>42</v>
      </c>
      <c r="R10790">
        <v>-87.629800000000003</v>
      </c>
    </row>
    <row r="10791" spans="1:18" x14ac:dyDescent="0.2">
      <c r="A10791" t="s">
        <v>439</v>
      </c>
      <c r="B10791" t="s">
        <v>4321</v>
      </c>
      <c r="C10791">
        <v>1</v>
      </c>
      <c r="D10791" s="1">
        <v>44364.769178240742</v>
      </c>
      <c r="E10791" t="s">
        <v>33450</v>
      </c>
      <c r="F10791" t="s">
        <v>442</v>
      </c>
      <c r="G10791" t="s">
        <v>33451</v>
      </c>
      <c r="H10791" t="s">
        <v>444</v>
      </c>
      <c r="I10791" t="s">
        <v>29</v>
      </c>
      <c r="J10791">
        <v>1</v>
      </c>
      <c r="K10791">
        <f>1-888-585-8114</f>
        <v>-9586</v>
      </c>
      <c r="L10791" t="s">
        <v>33458</v>
      </c>
      <c r="M10791" t="s">
        <v>33459</v>
      </c>
      <c r="N10791" t="s">
        <v>452</v>
      </c>
      <c r="O10791" t="s">
        <v>28</v>
      </c>
      <c r="P10791" t="s">
        <v>29</v>
      </c>
      <c r="Q10791">
        <v>42</v>
      </c>
      <c r="R10791">
        <v>-87.629800000000003</v>
      </c>
    </row>
    <row r="10792" spans="1:18" x14ac:dyDescent="0.2">
      <c r="A10792" t="s">
        <v>663</v>
      </c>
      <c r="B10792" t="s">
        <v>2500</v>
      </c>
      <c r="C10792">
        <v>1</v>
      </c>
      <c r="D10792" s="1">
        <v>44364.775231481479</v>
      </c>
      <c r="E10792" t="s">
        <v>33460</v>
      </c>
      <c r="F10792" t="s">
        <v>666</v>
      </c>
      <c r="G10792" t="s">
        <v>33461</v>
      </c>
      <c r="H10792" t="s">
        <v>667</v>
      </c>
      <c r="I10792" t="s">
        <v>29</v>
      </c>
      <c r="J10792">
        <v>1</v>
      </c>
      <c r="K10792">
        <f>1-844-304-4211</f>
        <v>-5358</v>
      </c>
      <c r="L10792" t="s">
        <v>33462</v>
      </c>
      <c r="M10792" t="s">
        <v>33463</v>
      </c>
      <c r="N10792" t="s">
        <v>452</v>
      </c>
      <c r="O10792" t="s">
        <v>28</v>
      </c>
      <c r="P10792" t="s">
        <v>2500</v>
      </c>
      <c r="Q10792">
        <v>1</v>
      </c>
      <c r="R10792">
        <v>99.999999000000003</v>
      </c>
    </row>
    <row r="10793" spans="1:18" x14ac:dyDescent="0.2">
      <c r="A10793" t="s">
        <v>663</v>
      </c>
      <c r="B10793" t="s">
        <v>5784</v>
      </c>
      <c r="C10793">
        <v>1</v>
      </c>
      <c r="D10793" s="1">
        <v>44364.898495370369</v>
      </c>
      <c r="E10793" t="s">
        <v>33464</v>
      </c>
      <c r="F10793" t="s">
        <v>666</v>
      </c>
      <c r="G10793" t="s">
        <v>33465</v>
      </c>
      <c r="H10793" t="s">
        <v>667</v>
      </c>
      <c r="I10793" t="s">
        <v>29</v>
      </c>
      <c r="J10793">
        <v>1</v>
      </c>
      <c r="K10793">
        <f>1-844-385-1546</f>
        <v>-2774</v>
      </c>
      <c r="L10793" t="s">
        <v>33466</v>
      </c>
      <c r="M10793" t="s">
        <v>33467</v>
      </c>
      <c r="N10793" t="s">
        <v>25263</v>
      </c>
      <c r="O10793" t="s">
        <v>28</v>
      </c>
      <c r="P10793" t="s">
        <v>5789</v>
      </c>
      <c r="Q10793">
        <v>13</v>
      </c>
      <c r="R10793">
        <v>77.585499999999996</v>
      </c>
    </row>
    <row r="10794" spans="1:18" x14ac:dyDescent="0.2">
      <c r="A10794" t="s">
        <v>663</v>
      </c>
      <c r="B10794" t="s">
        <v>2493</v>
      </c>
      <c r="C10794">
        <v>1</v>
      </c>
      <c r="D10794" s="1">
        <v>44364.781608796293</v>
      </c>
      <c r="E10794" t="s">
        <v>33468</v>
      </c>
      <c r="F10794" t="s">
        <v>666</v>
      </c>
      <c r="G10794" t="s">
        <v>33469</v>
      </c>
      <c r="H10794" t="s">
        <v>667</v>
      </c>
      <c r="I10794" t="s">
        <v>29</v>
      </c>
      <c r="J10794">
        <v>1</v>
      </c>
      <c r="K10794">
        <f>1-844-299-6791</f>
        <v>-7933</v>
      </c>
      <c r="L10794" t="s">
        <v>33470</v>
      </c>
      <c r="M10794" t="s">
        <v>33471</v>
      </c>
      <c r="N10794" t="s">
        <v>452</v>
      </c>
      <c r="O10794" t="s">
        <v>28</v>
      </c>
      <c r="P10794" t="s">
        <v>29</v>
      </c>
      <c r="Q10794">
        <v>41</v>
      </c>
      <c r="R10794">
        <v>-74.024699999999996</v>
      </c>
    </row>
    <row r="10795" spans="1:18" x14ac:dyDescent="0.2">
      <c r="A10795" t="s">
        <v>663</v>
      </c>
      <c r="B10795" t="s">
        <v>5784</v>
      </c>
      <c r="C10795">
        <v>1</v>
      </c>
      <c r="D10795" s="1">
        <v>44364.781886574077</v>
      </c>
      <c r="E10795" t="s">
        <v>33472</v>
      </c>
      <c r="F10795" t="s">
        <v>666</v>
      </c>
      <c r="G10795" t="s">
        <v>33473</v>
      </c>
      <c r="H10795" t="s">
        <v>667</v>
      </c>
      <c r="I10795" t="s">
        <v>29</v>
      </c>
      <c r="J10795">
        <v>1</v>
      </c>
      <c r="K10795">
        <f>1-866-355-3420</f>
        <v>-4640</v>
      </c>
      <c r="L10795" t="s">
        <v>33474</v>
      </c>
      <c r="M10795" t="s">
        <v>33475</v>
      </c>
      <c r="N10795" t="s">
        <v>25263</v>
      </c>
      <c r="O10795" t="s">
        <v>28</v>
      </c>
      <c r="P10795" t="s">
        <v>5789</v>
      </c>
      <c r="Q10795">
        <v>13</v>
      </c>
      <c r="R10795">
        <v>77.585499999999996</v>
      </c>
    </row>
    <row r="10796" spans="1:18" x14ac:dyDescent="0.2">
      <c r="A10796" t="s">
        <v>2233</v>
      </c>
      <c r="B10796" t="s">
        <v>2234</v>
      </c>
      <c r="C10796">
        <v>1</v>
      </c>
      <c r="D10796" s="1">
        <v>44364.905023148145</v>
      </c>
      <c r="E10796" t="s">
        <v>33476</v>
      </c>
      <c r="F10796" t="s">
        <v>2236</v>
      </c>
      <c r="G10796" t="s">
        <v>33477</v>
      </c>
      <c r="H10796" t="s">
        <v>2237</v>
      </c>
      <c r="I10796" t="s">
        <v>29</v>
      </c>
      <c r="J10796">
        <v>1</v>
      </c>
      <c r="K10796">
        <f>1-402-385-5968</f>
        <v>-6754</v>
      </c>
      <c r="L10796" t="s">
        <v>33478</v>
      </c>
      <c r="M10796" t="s">
        <v>33479</v>
      </c>
      <c r="N10796" t="s">
        <v>7822</v>
      </c>
      <c r="O10796" t="s">
        <v>134</v>
      </c>
      <c r="P10796" t="s">
        <v>29</v>
      </c>
      <c r="Q10796">
        <v>40</v>
      </c>
      <c r="R10796">
        <v>-83.114099999999993</v>
      </c>
    </row>
    <row r="10797" spans="1:18" x14ac:dyDescent="0.2">
      <c r="A10797" t="s">
        <v>663</v>
      </c>
      <c r="B10797" t="s">
        <v>5784</v>
      </c>
      <c r="C10797">
        <v>1</v>
      </c>
      <c r="D10797" s="1">
        <v>44364.794016203705</v>
      </c>
      <c r="E10797" t="s">
        <v>33480</v>
      </c>
      <c r="F10797" t="s">
        <v>666</v>
      </c>
      <c r="G10797" t="s">
        <v>33481</v>
      </c>
      <c r="H10797" t="s">
        <v>667</v>
      </c>
      <c r="I10797" t="s">
        <v>29</v>
      </c>
      <c r="J10797">
        <v>1</v>
      </c>
      <c r="K10797">
        <f>1-866-355-3420</f>
        <v>-4640</v>
      </c>
      <c r="L10797" t="s">
        <v>33482</v>
      </c>
      <c r="M10797" t="s">
        <v>33483</v>
      </c>
      <c r="N10797" t="s">
        <v>25263</v>
      </c>
      <c r="O10797" t="s">
        <v>28</v>
      </c>
      <c r="P10797" t="s">
        <v>5789</v>
      </c>
      <c r="Q10797">
        <v>13</v>
      </c>
      <c r="R10797">
        <v>77.585499999999996</v>
      </c>
    </row>
    <row r="10798" spans="1:18" x14ac:dyDescent="0.2">
      <c r="A10798" t="s">
        <v>663</v>
      </c>
      <c r="B10798" t="s">
        <v>2500</v>
      </c>
      <c r="C10798">
        <v>81</v>
      </c>
      <c r="D10798" s="1">
        <v>44364.794988425929</v>
      </c>
      <c r="E10798" t="s">
        <v>33484</v>
      </c>
      <c r="F10798" t="s">
        <v>666</v>
      </c>
      <c r="G10798" t="s">
        <v>33485</v>
      </c>
      <c r="H10798" t="s">
        <v>667</v>
      </c>
      <c r="I10798" t="s">
        <v>53</v>
      </c>
      <c r="J10798">
        <v>81</v>
      </c>
      <c r="K10798">
        <f>81-50-5534-6422</f>
        <v>-11925</v>
      </c>
      <c r="L10798" t="s">
        <v>33486</v>
      </c>
      <c r="M10798" t="s">
        <v>33487</v>
      </c>
      <c r="N10798" t="s">
        <v>29454</v>
      </c>
      <c r="O10798" t="s">
        <v>134</v>
      </c>
      <c r="P10798" t="s">
        <v>2500</v>
      </c>
      <c r="Q10798">
        <v>1</v>
      </c>
      <c r="R10798">
        <v>99.999999000000003</v>
      </c>
    </row>
    <row r="10799" spans="1:18" x14ac:dyDescent="0.2">
      <c r="A10799" t="s">
        <v>2349</v>
      </c>
      <c r="B10799" t="s">
        <v>1212</v>
      </c>
      <c r="C10799">
        <v>1</v>
      </c>
      <c r="D10799" s="1">
        <v>44364.925486111111</v>
      </c>
      <c r="E10799" t="s">
        <v>33488</v>
      </c>
      <c r="F10799" t="s">
        <v>31524</v>
      </c>
      <c r="G10799" t="s">
        <v>33488</v>
      </c>
      <c r="H10799" t="s">
        <v>2353</v>
      </c>
      <c r="I10799" t="s">
        <v>29</v>
      </c>
      <c r="J10799">
        <v>1</v>
      </c>
      <c r="K10799">
        <f>1-866-357-9519</f>
        <v>-10741</v>
      </c>
      <c r="L10799" t="s">
        <v>33489</v>
      </c>
      <c r="M10799" t="s">
        <v>33490</v>
      </c>
      <c r="N10799">
        <v>245</v>
      </c>
      <c r="O10799" t="s">
        <v>134</v>
      </c>
      <c r="P10799" t="s">
        <v>618</v>
      </c>
      <c r="Q10799">
        <v>52</v>
      </c>
      <c r="R10799">
        <v>-6.3799999999999996E-2</v>
      </c>
    </row>
    <row r="10800" spans="1:18" x14ac:dyDescent="0.2">
      <c r="A10800" t="s">
        <v>2349</v>
      </c>
      <c r="B10800" t="s">
        <v>1212</v>
      </c>
      <c r="C10800">
        <v>1</v>
      </c>
      <c r="D10800" s="1">
        <v>44364.89880787037</v>
      </c>
      <c r="E10800" t="s">
        <v>33488</v>
      </c>
      <c r="F10800" t="s">
        <v>31524</v>
      </c>
      <c r="G10800" t="s">
        <v>33488</v>
      </c>
      <c r="H10800" t="s">
        <v>2353</v>
      </c>
      <c r="I10800" t="s">
        <v>29</v>
      </c>
      <c r="J10800">
        <v>1</v>
      </c>
      <c r="K10800">
        <f>1-888-662-8133</f>
        <v>-9682</v>
      </c>
      <c r="L10800" t="s">
        <v>33491</v>
      </c>
      <c r="M10800" t="s">
        <v>33492</v>
      </c>
      <c r="N10800">
        <v>245</v>
      </c>
      <c r="O10800" t="s">
        <v>134</v>
      </c>
      <c r="P10800" t="s">
        <v>618</v>
      </c>
      <c r="Q10800">
        <v>52</v>
      </c>
      <c r="R10800">
        <v>-6.3799999999999996E-2</v>
      </c>
    </row>
    <row r="10801" spans="1:18" x14ac:dyDescent="0.2">
      <c r="A10801" t="s">
        <v>2233</v>
      </c>
      <c r="B10801" t="s">
        <v>1638</v>
      </c>
      <c r="C10801">
        <v>1</v>
      </c>
      <c r="D10801" s="1">
        <v>44364.809571759259</v>
      </c>
      <c r="E10801" t="s">
        <v>33493</v>
      </c>
      <c r="F10801" t="s">
        <v>6618</v>
      </c>
      <c r="G10801" t="s">
        <v>33494</v>
      </c>
      <c r="H10801" t="s">
        <v>2237</v>
      </c>
      <c r="I10801" t="s">
        <v>29</v>
      </c>
      <c r="J10801">
        <v>1</v>
      </c>
      <c r="K10801">
        <f>1-888-250-3922</f>
        <v>-5059</v>
      </c>
      <c r="L10801" t="s">
        <v>33495</v>
      </c>
      <c r="M10801" t="s">
        <v>33496</v>
      </c>
      <c r="N10801" t="s">
        <v>278</v>
      </c>
      <c r="O10801" t="s">
        <v>28</v>
      </c>
      <c r="P10801" t="s">
        <v>292</v>
      </c>
      <c r="Q10801">
        <v>49</v>
      </c>
      <c r="R10801">
        <v>2.35222</v>
      </c>
    </row>
    <row r="10802" spans="1:18" x14ac:dyDescent="0.2">
      <c r="A10802" t="s">
        <v>663</v>
      </c>
      <c r="B10802" t="s">
        <v>2493</v>
      </c>
      <c r="C10802">
        <v>1</v>
      </c>
      <c r="D10802" s="1">
        <v>44364.820347222223</v>
      </c>
      <c r="E10802" t="s">
        <v>33497</v>
      </c>
      <c r="F10802" t="s">
        <v>666</v>
      </c>
      <c r="G10802" t="s">
        <v>33498</v>
      </c>
      <c r="H10802" t="s">
        <v>667</v>
      </c>
      <c r="I10802" t="s">
        <v>29</v>
      </c>
      <c r="J10802">
        <v>1</v>
      </c>
      <c r="K10802">
        <f>1-844-298-2028</f>
        <v>-3169</v>
      </c>
      <c r="L10802" t="s">
        <v>33499</v>
      </c>
      <c r="M10802" t="s">
        <v>33500</v>
      </c>
      <c r="N10802" t="s">
        <v>452</v>
      </c>
      <c r="O10802" t="s">
        <v>28</v>
      </c>
      <c r="P10802" t="s">
        <v>29</v>
      </c>
      <c r="Q10802">
        <v>41</v>
      </c>
      <c r="R10802">
        <v>-74.024699999999996</v>
      </c>
    </row>
    <row r="10803" spans="1:18" x14ac:dyDescent="0.2">
      <c r="A10803" t="s">
        <v>663</v>
      </c>
      <c r="B10803" t="s">
        <v>454</v>
      </c>
      <c r="C10803">
        <v>1</v>
      </c>
      <c r="D10803" s="1">
        <v>44364.938333333332</v>
      </c>
      <c r="E10803" t="s">
        <v>33501</v>
      </c>
      <c r="F10803" t="s">
        <v>666</v>
      </c>
      <c r="G10803" t="s">
        <v>33502</v>
      </c>
      <c r="H10803" t="s">
        <v>667</v>
      </c>
      <c r="I10803" t="s">
        <v>29</v>
      </c>
      <c r="J10803">
        <v>1</v>
      </c>
      <c r="K10803">
        <f>1-213-357-2467</f>
        <v>-3036</v>
      </c>
      <c r="L10803" t="s">
        <v>33503</v>
      </c>
      <c r="M10803" t="s">
        <v>33504</v>
      </c>
      <c r="N10803" t="s">
        <v>452</v>
      </c>
      <c r="O10803" t="s">
        <v>28</v>
      </c>
      <c r="P10803" t="s">
        <v>461</v>
      </c>
      <c r="Q10803">
        <v>52</v>
      </c>
      <c r="R10803">
        <v>4.9391999999999996</v>
      </c>
    </row>
    <row r="10804" spans="1:18" x14ac:dyDescent="0.2">
      <c r="A10804" t="s">
        <v>663</v>
      </c>
      <c r="B10804" t="s">
        <v>4281</v>
      </c>
      <c r="C10804">
        <v>1</v>
      </c>
      <c r="D10804" s="1">
        <v>44364.842118055552</v>
      </c>
      <c r="E10804" t="s">
        <v>33505</v>
      </c>
      <c r="F10804" t="s">
        <v>666</v>
      </c>
      <c r="G10804" t="s">
        <v>33505</v>
      </c>
      <c r="H10804" t="s">
        <v>667</v>
      </c>
      <c r="I10804" t="s">
        <v>29</v>
      </c>
      <c r="J10804">
        <v>1</v>
      </c>
      <c r="K10804">
        <f>1-888-662-8133</f>
        <v>-9682</v>
      </c>
      <c r="L10804" t="s">
        <v>33506</v>
      </c>
      <c r="M10804" t="s">
        <v>33507</v>
      </c>
      <c r="N10804">
        <v>34</v>
      </c>
      <c r="O10804" t="s">
        <v>134</v>
      </c>
      <c r="P10804" t="s">
        <v>24</v>
      </c>
      <c r="Q10804">
        <v>50</v>
      </c>
      <c r="R10804">
        <v>8.6843000000000004</v>
      </c>
    </row>
    <row r="10805" spans="1:18" x14ac:dyDescent="0.2">
      <c r="A10805" t="s">
        <v>439</v>
      </c>
      <c r="B10805" t="s">
        <v>4321</v>
      </c>
      <c r="C10805">
        <v>1</v>
      </c>
      <c r="D10805" s="1">
        <v>44364.962546296294</v>
      </c>
      <c r="E10805" t="s">
        <v>33508</v>
      </c>
      <c r="F10805" t="s">
        <v>442</v>
      </c>
      <c r="G10805" t="s">
        <v>33509</v>
      </c>
      <c r="H10805" t="s">
        <v>444</v>
      </c>
      <c r="I10805" t="s">
        <v>29</v>
      </c>
      <c r="J10805">
        <v>1</v>
      </c>
      <c r="K10805">
        <f>1-866-779-739</f>
        <v>-2383</v>
      </c>
      <c r="L10805" t="s">
        <v>33510</v>
      </c>
      <c r="M10805" t="s">
        <v>33511</v>
      </c>
      <c r="N10805" t="s">
        <v>213</v>
      </c>
      <c r="O10805" t="s">
        <v>28</v>
      </c>
      <c r="P10805" t="s">
        <v>29</v>
      </c>
      <c r="Q10805">
        <v>42</v>
      </c>
      <c r="R10805">
        <v>-87.629800000000003</v>
      </c>
    </row>
    <row r="10806" spans="1:18" x14ac:dyDescent="0.2">
      <c r="A10806" t="s">
        <v>2233</v>
      </c>
      <c r="B10806" t="s">
        <v>454</v>
      </c>
      <c r="C10806">
        <v>1</v>
      </c>
      <c r="D10806" s="1">
        <v>44364.964444444442</v>
      </c>
      <c r="E10806" t="s">
        <v>33512</v>
      </c>
      <c r="F10806" t="s">
        <v>6618</v>
      </c>
      <c r="G10806" t="s">
        <v>33513</v>
      </c>
      <c r="H10806" t="s">
        <v>2237</v>
      </c>
      <c r="I10806" t="s">
        <v>29</v>
      </c>
      <c r="J10806">
        <v>1</v>
      </c>
      <c r="K10806">
        <f>1-888-521-1417</f>
        <v>-2825</v>
      </c>
      <c r="L10806" t="s">
        <v>33514</v>
      </c>
      <c r="M10806" t="s">
        <v>33515</v>
      </c>
      <c r="N10806" t="s">
        <v>278</v>
      </c>
      <c r="O10806" t="s">
        <v>28</v>
      </c>
      <c r="P10806" t="s">
        <v>461</v>
      </c>
      <c r="Q10806">
        <v>52</v>
      </c>
      <c r="R10806">
        <v>4.8945400000000001</v>
      </c>
    </row>
    <row r="10807" spans="1:18" x14ac:dyDescent="0.2">
      <c r="A10807" t="s">
        <v>675</v>
      </c>
      <c r="B10807" t="s">
        <v>6834</v>
      </c>
      <c r="C10807">
        <v>44</v>
      </c>
      <c r="D10807" s="1">
        <v>44365.623460648145</v>
      </c>
      <c r="E10807" t="s">
        <v>33516</v>
      </c>
      <c r="F10807" t="s">
        <v>678</v>
      </c>
      <c r="G10807" t="s">
        <v>33517</v>
      </c>
      <c r="H10807" t="s">
        <v>680</v>
      </c>
      <c r="I10807" t="s">
        <v>618</v>
      </c>
      <c r="J10807">
        <v>44</v>
      </c>
      <c r="K10807">
        <f>44-121-318-2720</f>
        <v>-3115</v>
      </c>
      <c r="L10807" t="s">
        <v>33518</v>
      </c>
      <c r="M10807" t="s">
        <v>33519</v>
      </c>
      <c r="N10807" t="s">
        <v>2475</v>
      </c>
      <c r="O10807" t="s">
        <v>28</v>
      </c>
      <c r="P10807" t="s">
        <v>29</v>
      </c>
      <c r="Q10807">
        <v>34</v>
      </c>
      <c r="R10807">
        <v>-99.999999000000003</v>
      </c>
    </row>
    <row r="10808" spans="1:18" x14ac:dyDescent="0.2">
      <c r="A10808" t="s">
        <v>663</v>
      </c>
      <c r="B10808" t="s">
        <v>2493</v>
      </c>
      <c r="C10808">
        <v>1</v>
      </c>
      <c r="D10808" s="1">
        <v>44365.739108796297</v>
      </c>
      <c r="E10808" t="s">
        <v>33520</v>
      </c>
      <c r="F10808" t="s">
        <v>666</v>
      </c>
      <c r="G10808" t="s">
        <v>33521</v>
      </c>
      <c r="H10808" t="s">
        <v>667</v>
      </c>
      <c r="I10808" t="s">
        <v>29</v>
      </c>
      <c r="J10808">
        <v>1</v>
      </c>
      <c r="K10808">
        <f>1-844-471-4935</f>
        <v>-6249</v>
      </c>
      <c r="L10808" t="s">
        <v>33522</v>
      </c>
      <c r="M10808" t="s">
        <v>33523</v>
      </c>
      <c r="N10808" t="s">
        <v>452</v>
      </c>
      <c r="O10808" t="s">
        <v>28</v>
      </c>
      <c r="P10808" t="s">
        <v>29</v>
      </c>
      <c r="Q10808">
        <v>41</v>
      </c>
      <c r="R10808">
        <v>-74.024699999999996</v>
      </c>
    </row>
    <row r="10809" spans="1:18" x14ac:dyDescent="0.2">
      <c r="A10809" t="s">
        <v>663</v>
      </c>
      <c r="B10809" t="s">
        <v>2493</v>
      </c>
      <c r="C10809">
        <v>1</v>
      </c>
      <c r="D10809" s="1">
        <v>44365.740405092591</v>
      </c>
      <c r="E10809" t="s">
        <v>33524</v>
      </c>
      <c r="F10809" t="s">
        <v>666</v>
      </c>
      <c r="G10809" t="s">
        <v>33525</v>
      </c>
      <c r="H10809" t="s">
        <v>667</v>
      </c>
      <c r="I10809" t="s">
        <v>29</v>
      </c>
      <c r="J10809">
        <v>1</v>
      </c>
      <c r="K10809">
        <f>1-888-729-8146</f>
        <v>-9762</v>
      </c>
      <c r="L10809" t="s">
        <v>33526</v>
      </c>
      <c r="M10809" t="s">
        <v>33527</v>
      </c>
      <c r="N10809" t="s">
        <v>452</v>
      </c>
      <c r="O10809" t="s">
        <v>28</v>
      </c>
      <c r="P10809" t="s">
        <v>29</v>
      </c>
      <c r="Q10809">
        <v>41</v>
      </c>
      <c r="R10809">
        <v>-74.024699999999996</v>
      </c>
    </row>
    <row r="10810" spans="1:18" x14ac:dyDescent="0.2">
      <c r="A10810" t="s">
        <v>663</v>
      </c>
      <c r="B10810" t="s">
        <v>2493</v>
      </c>
      <c r="C10810">
        <v>1</v>
      </c>
      <c r="D10810" s="1">
        <v>44365.740960648145</v>
      </c>
      <c r="E10810" t="s">
        <v>33528</v>
      </c>
      <c r="F10810" t="s">
        <v>666</v>
      </c>
      <c r="G10810" t="s">
        <v>33529</v>
      </c>
      <c r="H10810" t="s">
        <v>667</v>
      </c>
      <c r="I10810" t="s">
        <v>29</v>
      </c>
      <c r="J10810">
        <v>1</v>
      </c>
      <c r="K10810">
        <f>1-866-443-1118</f>
        <v>-2426</v>
      </c>
      <c r="L10810" t="s">
        <v>33530</v>
      </c>
      <c r="M10810" t="s">
        <v>33531</v>
      </c>
      <c r="N10810" t="s">
        <v>5354</v>
      </c>
      <c r="O10810" t="s">
        <v>28</v>
      </c>
      <c r="P10810" t="s">
        <v>29</v>
      </c>
      <c r="Q10810">
        <v>41</v>
      </c>
      <c r="R10810">
        <v>-74.024699999999996</v>
      </c>
    </row>
    <row r="10811" spans="1:18" x14ac:dyDescent="0.2">
      <c r="A10811" t="s">
        <v>663</v>
      </c>
      <c r="B10811" t="s">
        <v>5784</v>
      </c>
      <c r="C10811">
        <v>1</v>
      </c>
      <c r="D10811" s="1">
        <v>44365.741307870368</v>
      </c>
      <c r="E10811" t="s">
        <v>33532</v>
      </c>
      <c r="F10811" t="s">
        <v>666</v>
      </c>
      <c r="G10811" t="s">
        <v>33533</v>
      </c>
      <c r="H10811" t="s">
        <v>667</v>
      </c>
      <c r="I10811" t="s">
        <v>29</v>
      </c>
      <c r="J10811">
        <v>1</v>
      </c>
      <c r="K10811">
        <f>1-844-385-1546</f>
        <v>-2774</v>
      </c>
      <c r="L10811" t="s">
        <v>33534</v>
      </c>
      <c r="M10811" t="s">
        <v>33535</v>
      </c>
      <c r="N10811" t="s">
        <v>25263</v>
      </c>
      <c r="O10811" t="s">
        <v>28</v>
      </c>
      <c r="P10811" t="s">
        <v>5789</v>
      </c>
      <c r="Q10811">
        <v>13</v>
      </c>
      <c r="R10811">
        <v>77.585499999999996</v>
      </c>
    </row>
    <row r="10812" spans="1:18" x14ac:dyDescent="0.2">
      <c r="A10812" t="s">
        <v>663</v>
      </c>
      <c r="B10812" t="s">
        <v>2500</v>
      </c>
      <c r="C10812">
        <v>1</v>
      </c>
      <c r="D10812" s="1">
        <v>44365.741493055553</v>
      </c>
      <c r="E10812" t="s">
        <v>33536</v>
      </c>
      <c r="F10812" t="s">
        <v>666</v>
      </c>
      <c r="G10812" t="s">
        <v>33537</v>
      </c>
      <c r="H10812" t="s">
        <v>667</v>
      </c>
      <c r="I10812" t="s">
        <v>29</v>
      </c>
      <c r="J10812">
        <v>1</v>
      </c>
      <c r="K10812">
        <f>1-844-283-6630</f>
        <v>-7756</v>
      </c>
      <c r="L10812" t="s">
        <v>33538</v>
      </c>
      <c r="M10812" t="s">
        <v>33539</v>
      </c>
      <c r="N10812" t="s">
        <v>452</v>
      </c>
      <c r="O10812" t="s">
        <v>28</v>
      </c>
      <c r="P10812" t="s">
        <v>2500</v>
      </c>
      <c r="Q10812">
        <v>1</v>
      </c>
      <c r="R10812">
        <v>99.999999000000003</v>
      </c>
    </row>
    <row r="10813" spans="1:18" x14ac:dyDescent="0.2">
      <c r="A10813" t="s">
        <v>439</v>
      </c>
      <c r="B10813" t="s">
        <v>4321</v>
      </c>
      <c r="C10813">
        <v>1</v>
      </c>
      <c r="D10813" s="1">
        <v>44365.743472222224</v>
      </c>
      <c r="E10813" t="s">
        <v>33540</v>
      </c>
      <c r="F10813" t="s">
        <v>442</v>
      </c>
      <c r="G10813" t="s">
        <v>33541</v>
      </c>
      <c r="H10813" t="s">
        <v>444</v>
      </c>
      <c r="I10813" t="s">
        <v>29</v>
      </c>
      <c r="J10813">
        <v>1</v>
      </c>
      <c r="K10813">
        <f>1-844-706-1949</f>
        <v>-3498</v>
      </c>
      <c r="L10813" t="s">
        <v>33542</v>
      </c>
      <c r="M10813" t="s">
        <v>33543</v>
      </c>
      <c r="N10813" t="s">
        <v>213</v>
      </c>
      <c r="O10813" t="s">
        <v>28</v>
      </c>
      <c r="P10813" t="s">
        <v>29</v>
      </c>
      <c r="Q10813">
        <v>42</v>
      </c>
      <c r="R10813">
        <v>-87.629800000000003</v>
      </c>
    </row>
    <row r="10814" spans="1:18" x14ac:dyDescent="0.2">
      <c r="A10814" t="s">
        <v>439</v>
      </c>
      <c r="B10814" t="s">
        <v>4321</v>
      </c>
      <c r="C10814">
        <v>1</v>
      </c>
      <c r="D10814" s="1">
        <v>44365.761770833335</v>
      </c>
      <c r="E10814" t="s">
        <v>33544</v>
      </c>
      <c r="F10814" t="s">
        <v>442</v>
      </c>
      <c r="G10814" t="s">
        <v>33545</v>
      </c>
      <c r="H10814" t="s">
        <v>444</v>
      </c>
      <c r="I10814" t="s">
        <v>29</v>
      </c>
      <c r="J10814">
        <v>1</v>
      </c>
      <c r="K10814">
        <f>1-888-602-7662</f>
        <v>-9151</v>
      </c>
      <c r="L10814" t="s">
        <v>33546</v>
      </c>
      <c r="M10814" t="s">
        <v>33547</v>
      </c>
      <c r="N10814" t="s">
        <v>452</v>
      </c>
      <c r="O10814" t="s">
        <v>28</v>
      </c>
      <c r="P10814" t="s">
        <v>29</v>
      </c>
      <c r="Q10814">
        <v>42</v>
      </c>
      <c r="R10814">
        <v>-87.629800000000003</v>
      </c>
    </row>
    <row r="10815" spans="1:18" x14ac:dyDescent="0.2">
      <c r="A10815" t="s">
        <v>439</v>
      </c>
      <c r="B10815" t="s">
        <v>4321</v>
      </c>
      <c r="C10815">
        <v>1</v>
      </c>
      <c r="D10815" s="1">
        <v>44365.761712962965</v>
      </c>
      <c r="E10815" t="s">
        <v>33544</v>
      </c>
      <c r="F10815" t="s">
        <v>442</v>
      </c>
      <c r="G10815" t="s">
        <v>33545</v>
      </c>
      <c r="H10815" t="s">
        <v>444</v>
      </c>
      <c r="I10815" t="s">
        <v>29</v>
      </c>
      <c r="J10815">
        <v>1</v>
      </c>
      <c r="K10815">
        <f>1-866-315-694</f>
        <v>-1874</v>
      </c>
      <c r="L10815" t="s">
        <v>33548</v>
      </c>
      <c r="M10815" t="s">
        <v>33549</v>
      </c>
      <c r="N10815" t="s">
        <v>452</v>
      </c>
      <c r="O10815" t="s">
        <v>28</v>
      </c>
      <c r="P10815" t="s">
        <v>29</v>
      </c>
      <c r="Q10815">
        <v>42</v>
      </c>
      <c r="R10815">
        <v>-87.629800000000003</v>
      </c>
    </row>
    <row r="10816" spans="1:18" x14ac:dyDescent="0.2">
      <c r="A10816" t="s">
        <v>439</v>
      </c>
      <c r="B10816" t="s">
        <v>4321</v>
      </c>
      <c r="C10816">
        <v>1</v>
      </c>
      <c r="D10816" s="1">
        <v>44365.761666666665</v>
      </c>
      <c r="E10816" t="s">
        <v>33544</v>
      </c>
      <c r="F10816" t="s">
        <v>442</v>
      </c>
      <c r="G10816" t="s">
        <v>33545</v>
      </c>
      <c r="H10816" t="s">
        <v>444</v>
      </c>
      <c r="I10816" t="s">
        <v>29</v>
      </c>
      <c r="J10816">
        <v>1</v>
      </c>
      <c r="K10816">
        <f>1-866-326-6997</f>
        <v>-8188</v>
      </c>
      <c r="L10816" t="s">
        <v>33550</v>
      </c>
      <c r="M10816" t="s">
        <v>33551</v>
      </c>
      <c r="N10816" t="s">
        <v>452</v>
      </c>
      <c r="O10816" t="s">
        <v>28</v>
      </c>
      <c r="P10816" t="s">
        <v>29</v>
      </c>
      <c r="Q10816">
        <v>42</v>
      </c>
      <c r="R10816">
        <v>-87.629800000000003</v>
      </c>
    </row>
    <row r="10817" spans="1:18" x14ac:dyDescent="0.2">
      <c r="A10817" t="s">
        <v>439</v>
      </c>
      <c r="B10817" t="s">
        <v>4321</v>
      </c>
      <c r="C10817">
        <v>1</v>
      </c>
      <c r="D10817" s="1">
        <v>44365.761631944442</v>
      </c>
      <c r="E10817" t="s">
        <v>33544</v>
      </c>
      <c r="F10817" t="s">
        <v>442</v>
      </c>
      <c r="G10817" t="s">
        <v>33545</v>
      </c>
      <c r="H10817" t="s">
        <v>444</v>
      </c>
      <c r="I10817" t="s">
        <v>29</v>
      </c>
      <c r="J10817">
        <v>1</v>
      </c>
      <c r="K10817">
        <f>1-888-585-8114</f>
        <v>-9586</v>
      </c>
      <c r="L10817" t="s">
        <v>33552</v>
      </c>
      <c r="M10817" t="s">
        <v>33553</v>
      </c>
      <c r="N10817" t="s">
        <v>452</v>
      </c>
      <c r="O10817" t="s">
        <v>28</v>
      </c>
      <c r="P10817" t="s">
        <v>29</v>
      </c>
      <c r="Q10817">
        <v>42</v>
      </c>
      <c r="R10817">
        <v>-87.629800000000003</v>
      </c>
    </row>
    <row r="10818" spans="1:18" x14ac:dyDescent="0.2">
      <c r="A10818" t="s">
        <v>439</v>
      </c>
      <c r="B10818" t="s">
        <v>4321</v>
      </c>
      <c r="C10818">
        <v>1</v>
      </c>
      <c r="D10818" s="1">
        <v>44365.761805555558</v>
      </c>
      <c r="E10818" t="s">
        <v>33544</v>
      </c>
      <c r="F10818" t="s">
        <v>442</v>
      </c>
      <c r="G10818" t="s">
        <v>33554</v>
      </c>
      <c r="H10818" t="s">
        <v>444</v>
      </c>
      <c r="I10818" t="s">
        <v>29</v>
      </c>
      <c r="J10818">
        <v>1</v>
      </c>
      <c r="K10818">
        <f>1-888-608-455</f>
        <v>-1950</v>
      </c>
      <c r="L10818" t="s">
        <v>33555</v>
      </c>
      <c r="M10818" t="s">
        <v>33556</v>
      </c>
      <c r="N10818" t="s">
        <v>452</v>
      </c>
      <c r="O10818" t="s">
        <v>28</v>
      </c>
      <c r="P10818" t="s">
        <v>29</v>
      </c>
      <c r="Q10818">
        <v>42</v>
      </c>
      <c r="R10818">
        <v>-87.629800000000003</v>
      </c>
    </row>
    <row r="10819" spans="1:18" x14ac:dyDescent="0.2">
      <c r="A10819" t="s">
        <v>2233</v>
      </c>
      <c r="B10819" t="s">
        <v>1638</v>
      </c>
      <c r="C10819">
        <v>1</v>
      </c>
      <c r="D10819" s="1">
        <v>44365.777916666666</v>
      </c>
      <c r="E10819" t="s">
        <v>33557</v>
      </c>
      <c r="F10819" t="s">
        <v>2236</v>
      </c>
      <c r="G10819" t="s">
        <v>33558</v>
      </c>
      <c r="H10819" t="s">
        <v>2237</v>
      </c>
      <c r="I10819" t="s">
        <v>29</v>
      </c>
      <c r="J10819">
        <v>1</v>
      </c>
      <c r="K10819">
        <f>1-888-605-9816</f>
        <v>-11308</v>
      </c>
      <c r="L10819" t="s">
        <v>33559</v>
      </c>
      <c r="M10819" t="s">
        <v>33560</v>
      </c>
      <c r="N10819" t="s">
        <v>278</v>
      </c>
      <c r="O10819" t="s">
        <v>28</v>
      </c>
      <c r="P10819" t="s">
        <v>292</v>
      </c>
      <c r="Q10819">
        <v>49</v>
      </c>
      <c r="R10819">
        <v>2.35222</v>
      </c>
    </row>
    <row r="10820" spans="1:18" x14ac:dyDescent="0.2">
      <c r="A10820" t="s">
        <v>2233</v>
      </c>
      <c r="B10820" t="s">
        <v>2234</v>
      </c>
      <c r="C10820">
        <v>1</v>
      </c>
      <c r="D10820" s="1">
        <v>44365.782523148147</v>
      </c>
      <c r="E10820" t="s">
        <v>33561</v>
      </c>
      <c r="F10820" t="s">
        <v>2236</v>
      </c>
      <c r="G10820" t="s">
        <v>33562</v>
      </c>
      <c r="H10820" t="s">
        <v>2237</v>
      </c>
      <c r="I10820" t="s">
        <v>29</v>
      </c>
      <c r="J10820">
        <v>1</v>
      </c>
      <c r="K10820">
        <f>1-844-302-8128</f>
        <v>-9273</v>
      </c>
      <c r="L10820" t="s">
        <v>33563</v>
      </c>
      <c r="M10820" t="s">
        <v>33564</v>
      </c>
      <c r="N10820" t="s">
        <v>5354</v>
      </c>
      <c r="O10820" t="s">
        <v>28</v>
      </c>
      <c r="P10820" t="s">
        <v>29</v>
      </c>
      <c r="Q10820">
        <v>40</v>
      </c>
      <c r="R10820">
        <v>-83.114099999999993</v>
      </c>
    </row>
    <row r="10821" spans="1:18" x14ac:dyDescent="0.2">
      <c r="A10821" t="s">
        <v>439</v>
      </c>
      <c r="B10821" t="s">
        <v>4321</v>
      </c>
      <c r="C10821">
        <v>1</v>
      </c>
      <c r="D10821" s="1">
        <v>44365.823587962965</v>
      </c>
      <c r="E10821" t="s">
        <v>33565</v>
      </c>
      <c r="F10821" t="s">
        <v>442</v>
      </c>
      <c r="G10821" t="s">
        <v>33566</v>
      </c>
      <c r="H10821" t="s">
        <v>444</v>
      </c>
      <c r="I10821" t="s">
        <v>29</v>
      </c>
      <c r="J10821">
        <v>1</v>
      </c>
      <c r="K10821">
        <f>1-866-320-2529</f>
        <v>-3714</v>
      </c>
      <c r="L10821" t="s">
        <v>33567</v>
      </c>
      <c r="M10821" t="s">
        <v>33568</v>
      </c>
      <c r="N10821" t="s">
        <v>17142</v>
      </c>
      <c r="O10821" t="s">
        <v>28</v>
      </c>
      <c r="P10821" t="s">
        <v>29</v>
      </c>
      <c r="Q10821">
        <v>42</v>
      </c>
      <c r="R10821">
        <v>-87.629800000000003</v>
      </c>
    </row>
    <row r="10822" spans="1:18" x14ac:dyDescent="0.2">
      <c r="A10822" t="s">
        <v>6586</v>
      </c>
      <c r="B10822" t="s">
        <v>20854</v>
      </c>
      <c r="C10822">
        <v>1</v>
      </c>
      <c r="D10822" s="1">
        <v>44365.829837962963</v>
      </c>
      <c r="E10822" t="s">
        <v>33569</v>
      </c>
      <c r="F10822" t="s">
        <v>6588</v>
      </c>
      <c r="G10822" t="s">
        <v>33569</v>
      </c>
      <c r="H10822" t="s">
        <v>6590</v>
      </c>
      <c r="I10822" t="s">
        <v>29</v>
      </c>
      <c r="J10822">
        <v>1</v>
      </c>
      <c r="K10822">
        <f>1-844-332-2214</f>
        <v>-3389</v>
      </c>
      <c r="L10822" t="s">
        <v>33570</v>
      </c>
      <c r="M10822" t="s">
        <v>33571</v>
      </c>
      <c r="N10822">
        <v>242</v>
      </c>
      <c r="O10822" t="s">
        <v>134</v>
      </c>
      <c r="P10822" t="s">
        <v>29</v>
      </c>
      <c r="Q10822">
        <v>38</v>
      </c>
      <c r="R10822">
        <v>-99.999999000000003</v>
      </c>
    </row>
    <row r="10823" spans="1:18" x14ac:dyDescent="0.2">
      <c r="A10823" t="s">
        <v>663</v>
      </c>
      <c r="B10823" t="s">
        <v>2493</v>
      </c>
      <c r="C10823">
        <v>1</v>
      </c>
      <c r="D10823" s="1">
        <v>44365.839305555557</v>
      </c>
      <c r="E10823" t="s">
        <v>33572</v>
      </c>
      <c r="F10823" t="s">
        <v>666</v>
      </c>
      <c r="G10823" t="s">
        <v>33573</v>
      </c>
      <c r="H10823" t="s">
        <v>667</v>
      </c>
      <c r="I10823" t="s">
        <v>29</v>
      </c>
      <c r="J10823">
        <v>1</v>
      </c>
      <c r="K10823">
        <f>1-844-303-8476</f>
        <v>-9622</v>
      </c>
      <c r="L10823" t="s">
        <v>33574</v>
      </c>
      <c r="M10823" t="s">
        <v>33575</v>
      </c>
      <c r="N10823" t="s">
        <v>452</v>
      </c>
      <c r="O10823" t="s">
        <v>28</v>
      </c>
      <c r="P10823" t="s">
        <v>29</v>
      </c>
      <c r="Q10823">
        <v>41</v>
      </c>
      <c r="R10823">
        <v>-74.024699999999996</v>
      </c>
    </row>
    <row r="10824" spans="1:18" x14ac:dyDescent="0.2">
      <c r="A10824" t="s">
        <v>439</v>
      </c>
      <c r="B10824" t="s">
        <v>4321</v>
      </c>
      <c r="C10824">
        <v>1</v>
      </c>
      <c r="D10824" s="1">
        <v>44365.855474537035</v>
      </c>
      <c r="E10824" t="s">
        <v>33576</v>
      </c>
      <c r="F10824" t="s">
        <v>442</v>
      </c>
      <c r="G10824" t="s">
        <v>33577</v>
      </c>
      <c r="H10824" t="s">
        <v>444</v>
      </c>
      <c r="I10824" t="s">
        <v>29</v>
      </c>
      <c r="J10824">
        <v>1</v>
      </c>
      <c r="K10824">
        <f>1-844-616-9792</f>
        <v>-11251</v>
      </c>
      <c r="L10824" t="s">
        <v>33578</v>
      </c>
      <c r="M10824" t="s">
        <v>33579</v>
      </c>
      <c r="N10824" t="s">
        <v>17142</v>
      </c>
      <c r="O10824" t="s">
        <v>28</v>
      </c>
      <c r="P10824" t="s">
        <v>29</v>
      </c>
      <c r="Q10824">
        <v>42</v>
      </c>
      <c r="R10824">
        <v>-87.629800000000003</v>
      </c>
    </row>
    <row r="10825" spans="1:18" x14ac:dyDescent="0.2">
      <c r="A10825" t="s">
        <v>663</v>
      </c>
      <c r="B10825" t="s">
        <v>2493</v>
      </c>
      <c r="C10825">
        <v>1</v>
      </c>
      <c r="D10825" s="1">
        <v>44365.936909722222</v>
      </c>
      <c r="E10825" t="s">
        <v>33580</v>
      </c>
      <c r="F10825" t="s">
        <v>666</v>
      </c>
      <c r="G10825" t="s">
        <v>33581</v>
      </c>
      <c r="H10825" t="s">
        <v>667</v>
      </c>
      <c r="I10825" t="s">
        <v>29</v>
      </c>
      <c r="J10825">
        <v>1</v>
      </c>
      <c r="K10825">
        <f>1-213-320-1759</f>
        <v>-2291</v>
      </c>
      <c r="L10825" t="s">
        <v>33582</v>
      </c>
      <c r="M10825" t="s">
        <v>33583</v>
      </c>
      <c r="N10825" t="s">
        <v>452</v>
      </c>
      <c r="O10825" t="s">
        <v>28</v>
      </c>
      <c r="P10825" t="s">
        <v>29</v>
      </c>
      <c r="Q10825">
        <v>41</v>
      </c>
      <c r="R10825">
        <v>-74.024699999999996</v>
      </c>
    </row>
    <row r="10826" spans="1:18" x14ac:dyDescent="0.2">
      <c r="A10826" t="s">
        <v>439</v>
      </c>
      <c r="B10826" t="s">
        <v>4321</v>
      </c>
      <c r="C10826">
        <v>1</v>
      </c>
      <c r="D10826" s="1">
        <v>44365.972916666666</v>
      </c>
      <c r="E10826" t="s">
        <v>33584</v>
      </c>
      <c r="F10826" t="s">
        <v>442</v>
      </c>
      <c r="G10826" t="s">
        <v>33585</v>
      </c>
      <c r="H10826" t="s">
        <v>444</v>
      </c>
      <c r="I10826" t="s">
        <v>29</v>
      </c>
      <c r="J10826">
        <v>1</v>
      </c>
      <c r="K10826">
        <f>1-877-675-733</f>
        <v>-2284</v>
      </c>
      <c r="L10826" t="s">
        <v>33586</v>
      </c>
      <c r="M10826" t="s">
        <v>33587</v>
      </c>
      <c r="N10826" t="s">
        <v>213</v>
      </c>
      <c r="O10826" t="s">
        <v>28</v>
      </c>
      <c r="P10826" t="s">
        <v>29</v>
      </c>
      <c r="Q10826">
        <v>42</v>
      </c>
      <c r="R10826">
        <v>-87.629800000000003</v>
      </c>
    </row>
    <row r="10827" spans="1:18" x14ac:dyDescent="0.2">
      <c r="A10827" t="s">
        <v>439</v>
      </c>
      <c r="B10827" t="s">
        <v>4321</v>
      </c>
      <c r="C10827">
        <v>1</v>
      </c>
      <c r="D10827" s="1">
        <v>44365.978761574072</v>
      </c>
      <c r="E10827" t="s">
        <v>33588</v>
      </c>
      <c r="F10827" t="s">
        <v>442</v>
      </c>
      <c r="G10827" t="s">
        <v>33589</v>
      </c>
      <c r="H10827" t="s">
        <v>444</v>
      </c>
      <c r="I10827" t="s">
        <v>29</v>
      </c>
      <c r="J10827">
        <v>1</v>
      </c>
      <c r="K10827">
        <f>1-844-644-9494</f>
        <v>-10981</v>
      </c>
      <c r="L10827" t="s">
        <v>33590</v>
      </c>
      <c r="M10827" t="s">
        <v>33591</v>
      </c>
      <c r="N10827" t="s">
        <v>17142</v>
      </c>
      <c r="O10827" t="s">
        <v>28</v>
      </c>
      <c r="P10827" t="s">
        <v>29</v>
      </c>
      <c r="Q10827">
        <v>42</v>
      </c>
      <c r="R10827">
        <v>-87.629800000000003</v>
      </c>
    </row>
    <row r="10828" spans="1:18" x14ac:dyDescent="0.2">
      <c r="A10828" t="s">
        <v>663</v>
      </c>
      <c r="B10828" t="s">
        <v>5784</v>
      </c>
      <c r="C10828">
        <v>1</v>
      </c>
      <c r="D10828" s="1">
        <v>44365.998263888891</v>
      </c>
      <c r="E10828" t="s">
        <v>33592</v>
      </c>
      <c r="F10828" t="s">
        <v>666</v>
      </c>
      <c r="G10828" t="s">
        <v>33593</v>
      </c>
      <c r="H10828" t="s">
        <v>667</v>
      </c>
      <c r="I10828" t="s">
        <v>29</v>
      </c>
      <c r="J10828">
        <v>1</v>
      </c>
      <c r="K10828">
        <f>1-844-727-5269</f>
        <v>-6839</v>
      </c>
      <c r="L10828" t="s">
        <v>33594</v>
      </c>
      <c r="M10828" t="s">
        <v>33595</v>
      </c>
      <c r="N10828" t="s">
        <v>25263</v>
      </c>
      <c r="O10828" t="s">
        <v>28</v>
      </c>
      <c r="P10828" t="s">
        <v>5789</v>
      </c>
      <c r="Q10828">
        <v>13</v>
      </c>
      <c r="R10828">
        <v>77.585499999999996</v>
      </c>
    </row>
    <row r="10829" spans="1:18" x14ac:dyDescent="0.2">
      <c r="A10829" t="s">
        <v>663</v>
      </c>
      <c r="B10829" t="s">
        <v>3245</v>
      </c>
      <c r="C10829">
        <v>1</v>
      </c>
      <c r="D10829" s="1">
        <v>44365.998518518521</v>
      </c>
      <c r="E10829" t="s">
        <v>33596</v>
      </c>
      <c r="F10829" t="s">
        <v>666</v>
      </c>
      <c r="G10829" t="s">
        <v>33597</v>
      </c>
      <c r="H10829" t="s">
        <v>667</v>
      </c>
      <c r="I10829" t="s">
        <v>29</v>
      </c>
      <c r="J10829">
        <v>1</v>
      </c>
      <c r="K10829">
        <f>1-844-629-9996</f>
        <v>-11468</v>
      </c>
      <c r="L10829" t="s">
        <v>33598</v>
      </c>
      <c r="M10829" t="s">
        <v>33599</v>
      </c>
      <c r="N10829" t="s">
        <v>674</v>
      </c>
      <c r="O10829" t="s">
        <v>28</v>
      </c>
      <c r="P10829" t="s">
        <v>29</v>
      </c>
      <c r="Q10829">
        <v>41</v>
      </c>
      <c r="R10829">
        <v>-74.140299999999996</v>
      </c>
    </row>
    <row r="10830" spans="1:18" x14ac:dyDescent="0.2">
      <c r="A10830" t="s">
        <v>439</v>
      </c>
      <c r="B10830" t="s">
        <v>4321</v>
      </c>
      <c r="C10830">
        <v>1</v>
      </c>
      <c r="D10830" s="1">
        <v>44366.019618055558</v>
      </c>
      <c r="E10830" t="s">
        <v>33600</v>
      </c>
      <c r="F10830" t="s">
        <v>442</v>
      </c>
      <c r="G10830" t="s">
        <v>33601</v>
      </c>
      <c r="H10830" t="s">
        <v>444</v>
      </c>
      <c r="I10830" t="s">
        <v>29</v>
      </c>
      <c r="J10830">
        <v>1</v>
      </c>
      <c r="K10830">
        <f>1-844-636-6476</f>
        <v>-7955</v>
      </c>
      <c r="L10830" t="s">
        <v>33602</v>
      </c>
      <c r="M10830" t="s">
        <v>33603</v>
      </c>
      <c r="N10830" t="s">
        <v>17142</v>
      </c>
      <c r="O10830" t="s">
        <v>28</v>
      </c>
      <c r="P10830" t="s">
        <v>29</v>
      </c>
      <c r="Q10830">
        <v>42</v>
      </c>
      <c r="R10830">
        <v>-87.629800000000003</v>
      </c>
    </row>
    <row r="10831" spans="1:18" x14ac:dyDescent="0.2">
      <c r="A10831" t="s">
        <v>663</v>
      </c>
      <c r="B10831" t="s">
        <v>2493</v>
      </c>
      <c r="C10831">
        <v>1</v>
      </c>
      <c r="D10831" s="1">
        <v>44366.740995370368</v>
      </c>
      <c r="E10831" t="s">
        <v>33604</v>
      </c>
      <c r="F10831" t="s">
        <v>666</v>
      </c>
      <c r="G10831" t="s">
        <v>33605</v>
      </c>
      <c r="H10831" t="s">
        <v>667</v>
      </c>
      <c r="I10831" t="s">
        <v>29</v>
      </c>
      <c r="J10831">
        <v>1</v>
      </c>
      <c r="K10831">
        <f>1-844-207-3297</f>
        <v>-4347</v>
      </c>
      <c r="L10831" t="s">
        <v>33606</v>
      </c>
      <c r="M10831" t="s">
        <v>33607</v>
      </c>
      <c r="N10831" t="s">
        <v>452</v>
      </c>
      <c r="O10831" t="s">
        <v>28</v>
      </c>
      <c r="P10831" t="s">
        <v>29</v>
      </c>
      <c r="Q10831">
        <v>41</v>
      </c>
      <c r="R10831">
        <v>-74.024699999999996</v>
      </c>
    </row>
    <row r="10832" spans="1:18" x14ac:dyDescent="0.2">
      <c r="A10832" t="s">
        <v>663</v>
      </c>
      <c r="B10832" t="s">
        <v>2500</v>
      </c>
      <c r="C10832">
        <v>1</v>
      </c>
      <c r="D10832" s="1">
        <v>44366.7891087963</v>
      </c>
      <c r="E10832" t="s">
        <v>33608</v>
      </c>
      <c r="F10832" t="s">
        <v>666</v>
      </c>
      <c r="G10832" t="s">
        <v>33609</v>
      </c>
      <c r="H10832" t="s">
        <v>667</v>
      </c>
      <c r="I10832" t="s">
        <v>29</v>
      </c>
      <c r="J10832">
        <v>1</v>
      </c>
      <c r="K10832">
        <f>1-844-277-7132</f>
        <v>-8252</v>
      </c>
      <c r="L10832" t="s">
        <v>33610</v>
      </c>
      <c r="M10832" t="s">
        <v>33611</v>
      </c>
      <c r="N10832" t="s">
        <v>452</v>
      </c>
      <c r="O10832" t="s">
        <v>28</v>
      </c>
      <c r="P10832" t="s">
        <v>2500</v>
      </c>
      <c r="Q10832">
        <v>1</v>
      </c>
      <c r="R10832">
        <v>99.999999000000003</v>
      </c>
    </row>
    <row r="10833" spans="1:18" x14ac:dyDescent="0.2">
      <c r="A10833" t="s">
        <v>439</v>
      </c>
      <c r="B10833" t="s">
        <v>4321</v>
      </c>
      <c r="C10833">
        <v>1</v>
      </c>
      <c r="D10833" s="1">
        <v>44366.79005787037</v>
      </c>
      <c r="E10833" t="s">
        <v>33612</v>
      </c>
      <c r="F10833" t="s">
        <v>442</v>
      </c>
      <c r="G10833" t="s">
        <v>33613</v>
      </c>
      <c r="H10833" t="s">
        <v>444</v>
      </c>
      <c r="I10833" t="s">
        <v>29</v>
      </c>
      <c r="J10833">
        <v>1</v>
      </c>
      <c r="K10833">
        <f>1-888-210-6414</f>
        <v>-7511</v>
      </c>
      <c r="L10833" t="s">
        <v>33614</v>
      </c>
      <c r="M10833" t="s">
        <v>33615</v>
      </c>
      <c r="N10833" t="s">
        <v>452</v>
      </c>
      <c r="O10833" t="s">
        <v>28</v>
      </c>
      <c r="P10833" t="s">
        <v>29</v>
      </c>
      <c r="Q10833">
        <v>42</v>
      </c>
      <c r="R10833">
        <v>-87.629800000000003</v>
      </c>
    </row>
    <row r="10834" spans="1:18" x14ac:dyDescent="0.2">
      <c r="A10834" t="s">
        <v>439</v>
      </c>
      <c r="B10834" t="s">
        <v>4321</v>
      </c>
      <c r="C10834">
        <v>1</v>
      </c>
      <c r="D10834" s="1">
        <v>44366.789976851855</v>
      </c>
      <c r="E10834" t="s">
        <v>33612</v>
      </c>
      <c r="F10834" t="s">
        <v>442</v>
      </c>
      <c r="G10834" t="s">
        <v>33613</v>
      </c>
      <c r="H10834" t="s">
        <v>444</v>
      </c>
      <c r="I10834" t="s">
        <v>29</v>
      </c>
      <c r="J10834">
        <v>1</v>
      </c>
      <c r="K10834">
        <f>1-888-210-6517</f>
        <v>-7614</v>
      </c>
      <c r="L10834" t="s">
        <v>33616</v>
      </c>
      <c r="M10834" t="s">
        <v>33617</v>
      </c>
      <c r="N10834" t="s">
        <v>452</v>
      </c>
      <c r="O10834" t="s">
        <v>28</v>
      </c>
      <c r="P10834" t="s">
        <v>29</v>
      </c>
      <c r="Q10834">
        <v>42</v>
      </c>
      <c r="R10834">
        <v>-87.629800000000003</v>
      </c>
    </row>
    <row r="10835" spans="1:18" x14ac:dyDescent="0.2">
      <c r="A10835" t="s">
        <v>439</v>
      </c>
      <c r="B10835" t="s">
        <v>4321</v>
      </c>
      <c r="C10835">
        <v>1</v>
      </c>
      <c r="D10835" s="1">
        <v>44366.789930555555</v>
      </c>
      <c r="E10835" t="s">
        <v>33612</v>
      </c>
      <c r="F10835" t="s">
        <v>442</v>
      </c>
      <c r="G10835" t="s">
        <v>33613</v>
      </c>
      <c r="H10835" t="s">
        <v>444</v>
      </c>
      <c r="I10835" t="s">
        <v>29</v>
      </c>
      <c r="J10835">
        <v>1</v>
      </c>
      <c r="K10835">
        <f>1-888-609-2072</f>
        <v>-3568</v>
      </c>
      <c r="L10835" t="s">
        <v>33618</v>
      </c>
      <c r="M10835" t="s">
        <v>33619</v>
      </c>
      <c r="N10835" t="s">
        <v>452</v>
      </c>
      <c r="O10835" t="s">
        <v>28</v>
      </c>
      <c r="P10835" t="s">
        <v>29</v>
      </c>
      <c r="Q10835">
        <v>42</v>
      </c>
      <c r="R10835">
        <v>-87.629800000000003</v>
      </c>
    </row>
    <row r="10836" spans="1:18" x14ac:dyDescent="0.2">
      <c r="A10836" t="s">
        <v>439</v>
      </c>
      <c r="B10836" t="s">
        <v>4321</v>
      </c>
      <c r="C10836">
        <v>1</v>
      </c>
      <c r="D10836" s="1">
        <v>44366.789837962962</v>
      </c>
      <c r="E10836" t="s">
        <v>33612</v>
      </c>
      <c r="F10836" t="s">
        <v>442</v>
      </c>
      <c r="G10836" t="s">
        <v>33613</v>
      </c>
      <c r="H10836" t="s">
        <v>444</v>
      </c>
      <c r="I10836" t="s">
        <v>29</v>
      </c>
      <c r="J10836">
        <v>1</v>
      </c>
      <c r="K10836">
        <f>1-888-409-512</f>
        <v>-1808</v>
      </c>
      <c r="L10836" t="s">
        <v>33620</v>
      </c>
      <c r="M10836" t="s">
        <v>33621</v>
      </c>
      <c r="N10836" t="s">
        <v>452</v>
      </c>
      <c r="O10836" t="s">
        <v>28</v>
      </c>
      <c r="P10836" t="s">
        <v>29</v>
      </c>
      <c r="Q10836">
        <v>42</v>
      </c>
      <c r="R10836">
        <v>-87.629800000000003</v>
      </c>
    </row>
    <row r="10837" spans="1:18" x14ac:dyDescent="0.2">
      <c r="A10837" t="s">
        <v>439</v>
      </c>
      <c r="B10837" t="s">
        <v>4321</v>
      </c>
      <c r="C10837">
        <v>1</v>
      </c>
      <c r="D10837" s="1">
        <v>44366.789884259262</v>
      </c>
      <c r="E10837" t="s">
        <v>33612</v>
      </c>
      <c r="F10837" t="s">
        <v>442</v>
      </c>
      <c r="G10837" t="s">
        <v>33622</v>
      </c>
      <c r="H10837" t="s">
        <v>444</v>
      </c>
      <c r="I10837" t="s">
        <v>29</v>
      </c>
      <c r="J10837">
        <v>1</v>
      </c>
      <c r="K10837">
        <f>1-888-225-9074</f>
        <v>-10186</v>
      </c>
      <c r="L10837" t="s">
        <v>33623</v>
      </c>
      <c r="M10837" t="s">
        <v>33624</v>
      </c>
      <c r="N10837" t="s">
        <v>452</v>
      </c>
      <c r="O10837" t="s">
        <v>28</v>
      </c>
      <c r="P10837" t="s">
        <v>29</v>
      </c>
      <c r="Q10837">
        <v>42</v>
      </c>
      <c r="R10837">
        <v>-87.629800000000003</v>
      </c>
    </row>
    <row r="10838" spans="1:18" x14ac:dyDescent="0.2">
      <c r="A10838" t="s">
        <v>2233</v>
      </c>
      <c r="B10838" t="s">
        <v>2234</v>
      </c>
      <c r="C10838">
        <v>1</v>
      </c>
      <c r="D10838" s="1">
        <v>44366.793877314813</v>
      </c>
      <c r="E10838" t="s">
        <v>33625</v>
      </c>
      <c r="F10838" t="s">
        <v>2236</v>
      </c>
      <c r="G10838" t="s">
        <v>33625</v>
      </c>
      <c r="H10838" t="s">
        <v>2237</v>
      </c>
      <c r="I10838" t="s">
        <v>29</v>
      </c>
      <c r="J10838">
        <v>1</v>
      </c>
      <c r="K10838">
        <f>1-855-915-6038</f>
        <v>-7807</v>
      </c>
      <c r="L10838" t="s">
        <v>33626</v>
      </c>
      <c r="M10838" t="s">
        <v>33627</v>
      </c>
      <c r="N10838">
        <v>210</v>
      </c>
      <c r="O10838" t="s">
        <v>134</v>
      </c>
      <c r="P10838" t="s">
        <v>29</v>
      </c>
      <c r="Q10838">
        <v>40</v>
      </c>
      <c r="R10838">
        <v>-83.114099999999993</v>
      </c>
    </row>
    <row r="10839" spans="1:18" x14ac:dyDescent="0.2">
      <c r="A10839" t="s">
        <v>663</v>
      </c>
      <c r="B10839" t="s">
        <v>5784</v>
      </c>
      <c r="C10839">
        <v>1</v>
      </c>
      <c r="D10839" s="1">
        <v>44366.795960648145</v>
      </c>
      <c r="E10839" t="s">
        <v>33628</v>
      </c>
      <c r="F10839" t="s">
        <v>666</v>
      </c>
      <c r="G10839" t="s">
        <v>33629</v>
      </c>
      <c r="H10839" t="s">
        <v>667</v>
      </c>
      <c r="I10839" t="s">
        <v>29</v>
      </c>
      <c r="J10839">
        <v>1</v>
      </c>
      <c r="K10839">
        <f>1-844-316-1202</f>
        <v>-2361</v>
      </c>
      <c r="L10839" t="s">
        <v>33630</v>
      </c>
      <c r="M10839" t="s">
        <v>33631</v>
      </c>
      <c r="N10839" t="s">
        <v>25263</v>
      </c>
      <c r="O10839" t="s">
        <v>28</v>
      </c>
      <c r="P10839" t="s">
        <v>5789</v>
      </c>
      <c r="Q10839">
        <v>13</v>
      </c>
      <c r="R10839">
        <v>77.585499999999996</v>
      </c>
    </row>
    <row r="10840" spans="1:18" x14ac:dyDescent="0.2">
      <c r="A10840" t="s">
        <v>2233</v>
      </c>
      <c r="B10840" t="s">
        <v>2234</v>
      </c>
      <c r="C10840">
        <v>1</v>
      </c>
      <c r="D10840" s="1">
        <v>44366.805347222224</v>
      </c>
      <c r="E10840" t="s">
        <v>33632</v>
      </c>
      <c r="F10840" t="s">
        <v>2236</v>
      </c>
      <c r="G10840" t="s">
        <v>33632</v>
      </c>
      <c r="H10840" t="s">
        <v>2237</v>
      </c>
      <c r="I10840" t="s">
        <v>29</v>
      </c>
      <c r="J10840">
        <v>1</v>
      </c>
      <c r="K10840">
        <f>1-855-915-6038</f>
        <v>-7807</v>
      </c>
      <c r="L10840" t="s">
        <v>33633</v>
      </c>
      <c r="M10840" t="s">
        <v>33634</v>
      </c>
      <c r="N10840">
        <v>155</v>
      </c>
      <c r="O10840" t="s">
        <v>134</v>
      </c>
      <c r="P10840" t="s">
        <v>29</v>
      </c>
      <c r="Q10840">
        <v>40</v>
      </c>
      <c r="R10840">
        <v>-83.114099999999993</v>
      </c>
    </row>
    <row r="10841" spans="1:18" x14ac:dyDescent="0.2">
      <c r="A10841" t="s">
        <v>2233</v>
      </c>
      <c r="B10841" t="s">
        <v>2234</v>
      </c>
      <c r="C10841">
        <v>1</v>
      </c>
      <c r="D10841" s="1">
        <v>44366.821215277778</v>
      </c>
      <c r="E10841" t="s">
        <v>33635</v>
      </c>
      <c r="F10841" t="s">
        <v>2236</v>
      </c>
      <c r="G10841" t="s">
        <v>33635</v>
      </c>
      <c r="H10841" t="s">
        <v>2237</v>
      </c>
      <c r="I10841" t="s">
        <v>29</v>
      </c>
      <c r="J10841">
        <v>1</v>
      </c>
      <c r="K10841">
        <f>1-855-915-6038</f>
        <v>-7807</v>
      </c>
      <c r="L10841" t="s">
        <v>33636</v>
      </c>
      <c r="M10841" t="s">
        <v>33637</v>
      </c>
      <c r="N10841">
        <v>225</v>
      </c>
      <c r="O10841" t="s">
        <v>134</v>
      </c>
      <c r="P10841" t="s">
        <v>29</v>
      </c>
      <c r="Q10841">
        <v>40</v>
      </c>
      <c r="R10841">
        <v>-83.114099999999993</v>
      </c>
    </row>
    <row r="10842" spans="1:18" x14ac:dyDescent="0.2">
      <c r="A10842" t="s">
        <v>663</v>
      </c>
      <c r="B10842" t="s">
        <v>2500</v>
      </c>
      <c r="C10842">
        <v>1</v>
      </c>
      <c r="D10842" s="1">
        <v>44366.821793981479</v>
      </c>
      <c r="E10842" t="s">
        <v>33638</v>
      </c>
      <c r="F10842" t="s">
        <v>666</v>
      </c>
      <c r="G10842" t="s">
        <v>33639</v>
      </c>
      <c r="H10842" t="s">
        <v>667</v>
      </c>
      <c r="I10842" t="s">
        <v>29</v>
      </c>
      <c r="J10842">
        <v>1</v>
      </c>
      <c r="K10842">
        <f>1-844-222-971</f>
        <v>-2036</v>
      </c>
      <c r="L10842" t="s">
        <v>33640</v>
      </c>
      <c r="M10842" t="s">
        <v>33641</v>
      </c>
      <c r="N10842" t="s">
        <v>452</v>
      </c>
      <c r="O10842" t="s">
        <v>28</v>
      </c>
      <c r="P10842" t="s">
        <v>2500</v>
      </c>
      <c r="Q10842">
        <v>1</v>
      </c>
      <c r="R10842">
        <v>99.999999000000003</v>
      </c>
    </row>
    <row r="10843" spans="1:18" x14ac:dyDescent="0.2">
      <c r="A10843" t="s">
        <v>663</v>
      </c>
      <c r="B10843" t="s">
        <v>2500</v>
      </c>
      <c r="C10843">
        <v>1</v>
      </c>
      <c r="D10843" s="1">
        <v>44366.822071759256</v>
      </c>
      <c r="E10843" t="s">
        <v>33642</v>
      </c>
      <c r="F10843" t="s">
        <v>666</v>
      </c>
      <c r="G10843" t="s">
        <v>33643</v>
      </c>
      <c r="H10843" t="s">
        <v>667</v>
      </c>
      <c r="I10843" t="s">
        <v>29</v>
      </c>
      <c r="J10843">
        <v>1</v>
      </c>
      <c r="K10843">
        <f>1-844-304-4083</f>
        <v>-5230</v>
      </c>
      <c r="L10843" t="s">
        <v>33644</v>
      </c>
      <c r="M10843" t="s">
        <v>33645</v>
      </c>
      <c r="N10843" t="s">
        <v>452</v>
      </c>
      <c r="O10843" t="s">
        <v>28</v>
      </c>
      <c r="P10843" t="s">
        <v>2500</v>
      </c>
      <c r="Q10843">
        <v>1</v>
      </c>
      <c r="R10843">
        <v>99.999999000000003</v>
      </c>
    </row>
    <row r="10844" spans="1:18" x14ac:dyDescent="0.2">
      <c r="A10844" t="s">
        <v>439</v>
      </c>
      <c r="B10844" t="s">
        <v>4321</v>
      </c>
      <c r="C10844">
        <v>1</v>
      </c>
      <c r="D10844" s="1">
        <v>44366.827175925922</v>
      </c>
      <c r="E10844" t="s">
        <v>33646</v>
      </c>
      <c r="F10844" t="s">
        <v>442</v>
      </c>
      <c r="G10844" t="s">
        <v>33647</v>
      </c>
      <c r="H10844" t="s">
        <v>444</v>
      </c>
      <c r="I10844" t="s">
        <v>29</v>
      </c>
      <c r="J10844">
        <v>1</v>
      </c>
      <c r="K10844">
        <f>1-888-210-6414</f>
        <v>-7511</v>
      </c>
      <c r="L10844" t="s">
        <v>33648</v>
      </c>
      <c r="M10844" t="s">
        <v>33649</v>
      </c>
      <c r="N10844" t="s">
        <v>452</v>
      </c>
      <c r="O10844" t="s">
        <v>28</v>
      </c>
      <c r="P10844" t="s">
        <v>29</v>
      </c>
      <c r="Q10844">
        <v>42</v>
      </c>
      <c r="R10844">
        <v>-87.629800000000003</v>
      </c>
    </row>
    <row r="10845" spans="1:18" x14ac:dyDescent="0.2">
      <c r="A10845" t="s">
        <v>439</v>
      </c>
      <c r="B10845" t="s">
        <v>4321</v>
      </c>
      <c r="C10845">
        <v>1</v>
      </c>
      <c r="D10845" s="1">
        <v>44366.827141203707</v>
      </c>
      <c r="E10845" t="s">
        <v>33646</v>
      </c>
      <c r="F10845" t="s">
        <v>442</v>
      </c>
      <c r="G10845" t="s">
        <v>33647</v>
      </c>
      <c r="H10845" t="s">
        <v>444</v>
      </c>
      <c r="I10845" t="s">
        <v>29</v>
      </c>
      <c r="J10845">
        <v>1</v>
      </c>
      <c r="K10845">
        <f>1-888-210-6517</f>
        <v>-7614</v>
      </c>
      <c r="L10845" t="s">
        <v>33650</v>
      </c>
      <c r="M10845" t="s">
        <v>33651</v>
      </c>
      <c r="N10845" t="s">
        <v>452</v>
      </c>
      <c r="O10845" t="s">
        <v>28</v>
      </c>
      <c r="P10845" t="s">
        <v>29</v>
      </c>
      <c r="Q10845">
        <v>42</v>
      </c>
      <c r="R10845">
        <v>-87.629800000000003</v>
      </c>
    </row>
    <row r="10846" spans="1:18" x14ac:dyDescent="0.2">
      <c r="A10846" t="s">
        <v>439</v>
      </c>
      <c r="B10846" t="s">
        <v>4321</v>
      </c>
      <c r="C10846">
        <v>1</v>
      </c>
      <c r="D10846" s="1">
        <v>44366.827002314814</v>
      </c>
      <c r="E10846" t="s">
        <v>33646</v>
      </c>
      <c r="F10846" t="s">
        <v>442</v>
      </c>
      <c r="G10846" t="s">
        <v>33647</v>
      </c>
      <c r="H10846" t="s">
        <v>444</v>
      </c>
      <c r="I10846" t="s">
        <v>29</v>
      </c>
      <c r="J10846">
        <v>1</v>
      </c>
      <c r="K10846">
        <f>1-888-409-512</f>
        <v>-1808</v>
      </c>
      <c r="L10846" t="s">
        <v>33652</v>
      </c>
      <c r="M10846" t="s">
        <v>33653</v>
      </c>
      <c r="N10846" t="s">
        <v>452</v>
      </c>
      <c r="O10846" t="s">
        <v>28</v>
      </c>
      <c r="P10846" t="s">
        <v>29</v>
      </c>
      <c r="Q10846">
        <v>42</v>
      </c>
      <c r="R10846">
        <v>-87.629800000000003</v>
      </c>
    </row>
    <row r="10847" spans="1:18" x14ac:dyDescent="0.2">
      <c r="A10847" t="s">
        <v>439</v>
      </c>
      <c r="B10847" t="s">
        <v>4321</v>
      </c>
      <c r="C10847">
        <v>1</v>
      </c>
      <c r="D10847" s="1">
        <v>44366.827094907407</v>
      </c>
      <c r="E10847" t="s">
        <v>33646</v>
      </c>
      <c r="F10847" t="s">
        <v>442</v>
      </c>
      <c r="G10847" t="s">
        <v>33654</v>
      </c>
      <c r="H10847" t="s">
        <v>444</v>
      </c>
      <c r="I10847" t="s">
        <v>29</v>
      </c>
      <c r="J10847">
        <v>1</v>
      </c>
      <c r="K10847">
        <f>1-888-609-2072</f>
        <v>-3568</v>
      </c>
      <c r="L10847" t="s">
        <v>33655</v>
      </c>
      <c r="M10847" t="s">
        <v>33656</v>
      </c>
      <c r="N10847" t="s">
        <v>452</v>
      </c>
      <c r="O10847" t="s">
        <v>28</v>
      </c>
      <c r="P10847" t="s">
        <v>29</v>
      </c>
      <c r="Q10847">
        <v>42</v>
      </c>
      <c r="R10847">
        <v>-87.629800000000003</v>
      </c>
    </row>
    <row r="10848" spans="1:18" x14ac:dyDescent="0.2">
      <c r="A10848" t="s">
        <v>439</v>
      </c>
      <c r="B10848" t="s">
        <v>4321</v>
      </c>
      <c r="C10848">
        <v>1</v>
      </c>
      <c r="D10848" s="1">
        <v>44366.827048611114</v>
      </c>
      <c r="E10848" t="s">
        <v>33646</v>
      </c>
      <c r="F10848" t="s">
        <v>442</v>
      </c>
      <c r="G10848" t="s">
        <v>33654</v>
      </c>
      <c r="H10848" t="s">
        <v>444</v>
      </c>
      <c r="I10848" t="s">
        <v>29</v>
      </c>
      <c r="J10848">
        <v>1</v>
      </c>
      <c r="K10848">
        <f>1-888-225-9074</f>
        <v>-10186</v>
      </c>
      <c r="L10848" t="s">
        <v>33657</v>
      </c>
      <c r="M10848" t="s">
        <v>33658</v>
      </c>
      <c r="N10848" t="s">
        <v>452</v>
      </c>
      <c r="O10848" t="s">
        <v>28</v>
      </c>
      <c r="P10848" t="s">
        <v>29</v>
      </c>
      <c r="Q10848">
        <v>42</v>
      </c>
      <c r="R10848">
        <v>-87.629800000000003</v>
      </c>
    </row>
    <row r="10849" spans="1:18" x14ac:dyDescent="0.2">
      <c r="A10849" t="s">
        <v>6586</v>
      </c>
      <c r="B10849" t="s">
        <v>24593</v>
      </c>
      <c r="C10849">
        <v>1</v>
      </c>
      <c r="D10849" s="1">
        <v>44366.828981481478</v>
      </c>
      <c r="E10849" t="s">
        <v>33659</v>
      </c>
      <c r="F10849" t="s">
        <v>6588</v>
      </c>
      <c r="G10849" t="s">
        <v>33659</v>
      </c>
      <c r="H10849" t="s">
        <v>6590</v>
      </c>
      <c r="I10849" t="s">
        <v>29</v>
      </c>
      <c r="J10849">
        <v>1</v>
      </c>
      <c r="K10849">
        <f>1-844-233-3413</f>
        <v>-4489</v>
      </c>
      <c r="L10849" t="s">
        <v>33660</v>
      </c>
      <c r="M10849" t="s">
        <v>33661</v>
      </c>
      <c r="N10849">
        <v>11</v>
      </c>
      <c r="O10849" t="s">
        <v>134</v>
      </c>
      <c r="P10849" t="s">
        <v>29</v>
      </c>
      <c r="Q10849">
        <v>41</v>
      </c>
      <c r="R10849">
        <v>-74.459199999999996</v>
      </c>
    </row>
    <row r="10850" spans="1:18" x14ac:dyDescent="0.2">
      <c r="A10850" t="s">
        <v>439</v>
      </c>
      <c r="B10850" t="s">
        <v>4321</v>
      </c>
      <c r="C10850">
        <v>1</v>
      </c>
      <c r="D10850" s="1">
        <v>44366.858020833337</v>
      </c>
      <c r="E10850" t="s">
        <v>33662</v>
      </c>
      <c r="F10850" t="s">
        <v>442</v>
      </c>
      <c r="G10850" t="s">
        <v>33663</v>
      </c>
      <c r="H10850" t="s">
        <v>444</v>
      </c>
      <c r="I10850" t="s">
        <v>29</v>
      </c>
      <c r="J10850">
        <v>1</v>
      </c>
      <c r="K10850">
        <f>1-888-489-5093</f>
        <v>-6469</v>
      </c>
      <c r="L10850" t="s">
        <v>33664</v>
      </c>
      <c r="M10850" t="s">
        <v>33665</v>
      </c>
      <c r="N10850" t="s">
        <v>17142</v>
      </c>
      <c r="O10850" t="s">
        <v>28</v>
      </c>
      <c r="P10850" t="s">
        <v>29</v>
      </c>
      <c r="Q10850">
        <v>42</v>
      </c>
      <c r="R10850">
        <v>-87.629800000000003</v>
      </c>
    </row>
    <row r="10851" spans="1:18" x14ac:dyDescent="0.2">
      <c r="A10851" t="s">
        <v>2233</v>
      </c>
      <c r="B10851" t="s">
        <v>1638</v>
      </c>
      <c r="C10851">
        <v>1</v>
      </c>
      <c r="D10851" s="1">
        <v>44366.887037037035</v>
      </c>
      <c r="E10851" t="s">
        <v>33666</v>
      </c>
      <c r="F10851" t="s">
        <v>7023</v>
      </c>
      <c r="G10851" t="s">
        <v>33667</v>
      </c>
      <c r="H10851" t="s">
        <v>2237</v>
      </c>
      <c r="I10851" t="s">
        <v>29</v>
      </c>
      <c r="J10851">
        <v>1</v>
      </c>
      <c r="K10851">
        <f>1-888-392-246</f>
        <v>-1525</v>
      </c>
      <c r="L10851" t="s">
        <v>33668</v>
      </c>
      <c r="M10851" t="s">
        <v>33669</v>
      </c>
      <c r="N10851" t="s">
        <v>278</v>
      </c>
      <c r="O10851" t="s">
        <v>28</v>
      </c>
      <c r="P10851" t="s">
        <v>292</v>
      </c>
      <c r="Q10851">
        <v>49</v>
      </c>
      <c r="R10851">
        <v>2.35222</v>
      </c>
    </row>
    <row r="10852" spans="1:18" x14ac:dyDescent="0.2">
      <c r="A10852" t="s">
        <v>2233</v>
      </c>
      <c r="B10852" t="s">
        <v>1638</v>
      </c>
      <c r="C10852">
        <v>1</v>
      </c>
      <c r="D10852" s="1">
        <v>44366.865370370368</v>
      </c>
      <c r="E10852" t="s">
        <v>33666</v>
      </c>
      <c r="F10852" t="s">
        <v>7023</v>
      </c>
      <c r="G10852" t="s">
        <v>33667</v>
      </c>
      <c r="H10852" t="s">
        <v>2237</v>
      </c>
      <c r="I10852" t="s">
        <v>29</v>
      </c>
      <c r="J10852">
        <v>1</v>
      </c>
      <c r="K10852">
        <f>1-888-357-3644</f>
        <v>-4888</v>
      </c>
      <c r="L10852" t="s">
        <v>33670</v>
      </c>
      <c r="M10852" t="s">
        <v>33671</v>
      </c>
      <c r="N10852" t="s">
        <v>278</v>
      </c>
      <c r="O10852" t="s">
        <v>28</v>
      </c>
      <c r="P10852" t="s">
        <v>292</v>
      </c>
      <c r="Q10852">
        <v>49</v>
      </c>
      <c r="R10852">
        <v>2.35222</v>
      </c>
    </row>
    <row r="10853" spans="1:18" x14ac:dyDescent="0.2">
      <c r="A10853" t="s">
        <v>663</v>
      </c>
      <c r="B10853" t="s">
        <v>2500</v>
      </c>
      <c r="C10853">
        <v>1</v>
      </c>
      <c r="D10853" s="1">
        <v>44366.888819444444</v>
      </c>
      <c r="E10853" t="s">
        <v>33672</v>
      </c>
      <c r="F10853" t="s">
        <v>666</v>
      </c>
      <c r="G10853" t="s">
        <v>33673</v>
      </c>
      <c r="H10853" t="s">
        <v>667</v>
      </c>
      <c r="I10853" t="s">
        <v>29</v>
      </c>
      <c r="J10853">
        <v>1</v>
      </c>
      <c r="K10853">
        <f>1-213-357-3616</f>
        <v>-4185</v>
      </c>
      <c r="L10853" t="s">
        <v>33674</v>
      </c>
      <c r="M10853" t="s">
        <v>33675</v>
      </c>
      <c r="N10853" t="s">
        <v>452</v>
      </c>
      <c r="O10853" t="s">
        <v>28</v>
      </c>
      <c r="P10853" t="s">
        <v>2500</v>
      </c>
      <c r="Q10853">
        <v>1</v>
      </c>
      <c r="R10853">
        <v>99.999999000000003</v>
      </c>
    </row>
    <row r="10854" spans="1:18" x14ac:dyDescent="0.2">
      <c r="A10854" t="s">
        <v>2233</v>
      </c>
      <c r="B10854" t="s">
        <v>2234</v>
      </c>
      <c r="C10854">
        <v>1</v>
      </c>
      <c r="D10854" s="1">
        <v>44366.908368055556</v>
      </c>
      <c r="E10854" t="s">
        <v>33676</v>
      </c>
      <c r="F10854" t="s">
        <v>2236</v>
      </c>
      <c r="G10854" t="s">
        <v>33676</v>
      </c>
      <c r="H10854" t="s">
        <v>2237</v>
      </c>
      <c r="I10854" t="s">
        <v>29</v>
      </c>
      <c r="J10854">
        <v>1</v>
      </c>
      <c r="K10854">
        <f>1-855-915-6038</f>
        <v>-7807</v>
      </c>
      <c r="L10854" t="s">
        <v>33677</v>
      </c>
      <c r="M10854" t="s">
        <v>33678</v>
      </c>
      <c r="N10854">
        <v>250</v>
      </c>
      <c r="O10854" t="s">
        <v>134</v>
      </c>
      <c r="P10854" t="s">
        <v>29</v>
      </c>
      <c r="Q10854">
        <v>40</v>
      </c>
      <c r="R10854">
        <v>-83.114099999999993</v>
      </c>
    </row>
    <row r="10855" spans="1:18" x14ac:dyDescent="0.2">
      <c r="A10855" t="s">
        <v>2233</v>
      </c>
      <c r="B10855" t="s">
        <v>2234</v>
      </c>
      <c r="C10855">
        <v>1</v>
      </c>
      <c r="D10855" s="1">
        <v>44366.908437500002</v>
      </c>
      <c r="E10855" t="s">
        <v>33679</v>
      </c>
      <c r="F10855" t="s">
        <v>2236</v>
      </c>
      <c r="G10855" t="s">
        <v>33679</v>
      </c>
      <c r="H10855" t="s">
        <v>2237</v>
      </c>
      <c r="I10855" t="s">
        <v>29</v>
      </c>
      <c r="J10855">
        <v>1</v>
      </c>
      <c r="K10855">
        <f>1-855-915-6038</f>
        <v>-7807</v>
      </c>
      <c r="L10855" t="s">
        <v>33680</v>
      </c>
      <c r="M10855" t="s">
        <v>33681</v>
      </c>
      <c r="N10855">
        <v>129</v>
      </c>
      <c r="O10855" t="s">
        <v>134</v>
      </c>
      <c r="P10855" t="s">
        <v>29</v>
      </c>
      <c r="Q10855">
        <v>40</v>
      </c>
      <c r="R10855">
        <v>-83.114099999999993</v>
      </c>
    </row>
    <row r="10856" spans="1:18" x14ac:dyDescent="0.2">
      <c r="A10856" t="s">
        <v>439</v>
      </c>
      <c r="B10856" t="s">
        <v>4321</v>
      </c>
      <c r="C10856">
        <v>1</v>
      </c>
      <c r="D10856" s="1">
        <v>44366.909062500003</v>
      </c>
      <c r="E10856" t="s">
        <v>33682</v>
      </c>
      <c r="F10856" t="s">
        <v>442</v>
      </c>
      <c r="G10856" t="s">
        <v>33683</v>
      </c>
      <c r="H10856" t="s">
        <v>444</v>
      </c>
      <c r="I10856" t="s">
        <v>29</v>
      </c>
      <c r="J10856">
        <v>1</v>
      </c>
      <c r="K10856">
        <f>1-888-210-6517</f>
        <v>-7614</v>
      </c>
      <c r="L10856" t="s">
        <v>33684</v>
      </c>
      <c r="M10856" t="s">
        <v>33685</v>
      </c>
      <c r="N10856" t="s">
        <v>452</v>
      </c>
      <c r="O10856" t="s">
        <v>28</v>
      </c>
      <c r="P10856" t="s">
        <v>29</v>
      </c>
      <c r="Q10856">
        <v>42</v>
      </c>
      <c r="R10856">
        <v>-87.629800000000003</v>
      </c>
    </row>
    <row r="10857" spans="1:18" x14ac:dyDescent="0.2">
      <c r="A10857" t="s">
        <v>439</v>
      </c>
      <c r="B10857" t="s">
        <v>4321</v>
      </c>
      <c r="C10857">
        <v>1</v>
      </c>
      <c r="D10857" s="1">
        <v>44366.908900462964</v>
      </c>
      <c r="E10857" t="s">
        <v>33682</v>
      </c>
      <c r="F10857" t="s">
        <v>442</v>
      </c>
      <c r="G10857" t="s">
        <v>33683</v>
      </c>
      <c r="H10857" t="s">
        <v>444</v>
      </c>
      <c r="I10857" t="s">
        <v>29</v>
      </c>
      <c r="J10857">
        <v>1</v>
      </c>
      <c r="K10857">
        <f>1-888-585-8114</f>
        <v>-9586</v>
      </c>
      <c r="L10857" t="s">
        <v>33686</v>
      </c>
      <c r="M10857" t="s">
        <v>33687</v>
      </c>
      <c r="N10857" t="s">
        <v>452</v>
      </c>
      <c r="O10857" t="s">
        <v>28</v>
      </c>
      <c r="P10857" t="s">
        <v>29</v>
      </c>
      <c r="Q10857">
        <v>42</v>
      </c>
      <c r="R10857">
        <v>-87.629800000000003</v>
      </c>
    </row>
    <row r="10858" spans="1:18" x14ac:dyDescent="0.2">
      <c r="A10858" t="s">
        <v>439</v>
      </c>
      <c r="B10858" t="s">
        <v>4321</v>
      </c>
      <c r="C10858">
        <v>1</v>
      </c>
      <c r="D10858" s="1">
        <v>44366.909120370372</v>
      </c>
      <c r="E10858" t="s">
        <v>33682</v>
      </c>
      <c r="F10858" t="s">
        <v>442</v>
      </c>
      <c r="G10858" t="s">
        <v>33688</v>
      </c>
      <c r="H10858" t="s">
        <v>444</v>
      </c>
      <c r="I10858" t="s">
        <v>29</v>
      </c>
      <c r="J10858">
        <v>1</v>
      </c>
      <c r="K10858">
        <f>1-888-210-6414</f>
        <v>-7511</v>
      </c>
      <c r="L10858" t="s">
        <v>33689</v>
      </c>
      <c r="M10858" t="s">
        <v>33690</v>
      </c>
      <c r="N10858" t="s">
        <v>452</v>
      </c>
      <c r="O10858" t="s">
        <v>28</v>
      </c>
      <c r="P10858" t="s">
        <v>29</v>
      </c>
      <c r="Q10858">
        <v>42</v>
      </c>
      <c r="R10858">
        <v>-87.629800000000003</v>
      </c>
    </row>
    <row r="10859" spans="1:18" x14ac:dyDescent="0.2">
      <c r="A10859" t="s">
        <v>439</v>
      </c>
      <c r="B10859" t="s">
        <v>4321</v>
      </c>
      <c r="C10859">
        <v>1</v>
      </c>
      <c r="D10859" s="1">
        <v>44366.909004629626</v>
      </c>
      <c r="E10859" t="s">
        <v>33682</v>
      </c>
      <c r="F10859" t="s">
        <v>442</v>
      </c>
      <c r="G10859" t="s">
        <v>33688</v>
      </c>
      <c r="H10859" t="s">
        <v>444</v>
      </c>
      <c r="I10859" t="s">
        <v>29</v>
      </c>
      <c r="J10859">
        <v>1</v>
      </c>
      <c r="K10859">
        <f>1-888-609-2072</f>
        <v>-3568</v>
      </c>
      <c r="L10859" t="s">
        <v>33691</v>
      </c>
      <c r="M10859" t="s">
        <v>33692</v>
      </c>
      <c r="N10859" t="s">
        <v>452</v>
      </c>
      <c r="O10859" t="s">
        <v>28</v>
      </c>
      <c r="P10859" t="s">
        <v>29</v>
      </c>
      <c r="Q10859">
        <v>42</v>
      </c>
      <c r="R10859">
        <v>-87.629800000000003</v>
      </c>
    </row>
    <row r="10860" spans="1:18" x14ac:dyDescent="0.2">
      <c r="A10860" t="s">
        <v>439</v>
      </c>
      <c r="B10860" t="s">
        <v>4321</v>
      </c>
      <c r="C10860">
        <v>1</v>
      </c>
      <c r="D10860" s="1">
        <v>44366.908958333333</v>
      </c>
      <c r="E10860" t="s">
        <v>33682</v>
      </c>
      <c r="F10860" t="s">
        <v>442</v>
      </c>
      <c r="G10860" t="s">
        <v>33688</v>
      </c>
      <c r="H10860" t="s">
        <v>444</v>
      </c>
      <c r="I10860" t="s">
        <v>29</v>
      </c>
      <c r="J10860">
        <v>1</v>
      </c>
      <c r="K10860">
        <f>1-888-225-9074</f>
        <v>-10186</v>
      </c>
      <c r="L10860" t="s">
        <v>33693</v>
      </c>
      <c r="M10860" t="s">
        <v>33694</v>
      </c>
      <c r="N10860" t="s">
        <v>452</v>
      </c>
      <c r="O10860" t="s">
        <v>28</v>
      </c>
      <c r="P10860" t="s">
        <v>29</v>
      </c>
      <c r="Q10860">
        <v>42</v>
      </c>
      <c r="R10860">
        <v>-87.629800000000003</v>
      </c>
    </row>
    <row r="10861" spans="1:18" x14ac:dyDescent="0.2">
      <c r="A10861" t="s">
        <v>663</v>
      </c>
      <c r="B10861" t="s">
        <v>3245</v>
      </c>
      <c r="C10861">
        <v>1</v>
      </c>
      <c r="D10861" s="1">
        <v>44366.912395833337</v>
      </c>
      <c r="E10861" t="s">
        <v>33695</v>
      </c>
      <c r="F10861" t="s">
        <v>666</v>
      </c>
      <c r="G10861" t="s">
        <v>33696</v>
      </c>
      <c r="H10861" t="s">
        <v>667</v>
      </c>
      <c r="I10861" t="s">
        <v>29</v>
      </c>
      <c r="J10861">
        <v>1</v>
      </c>
      <c r="K10861">
        <f>1-833-722-746</f>
        <v>-2300</v>
      </c>
      <c r="L10861" t="s">
        <v>33697</v>
      </c>
      <c r="M10861" t="s">
        <v>33698</v>
      </c>
      <c r="N10861" t="s">
        <v>213</v>
      </c>
      <c r="O10861" t="s">
        <v>28</v>
      </c>
      <c r="P10861" t="s">
        <v>29</v>
      </c>
      <c r="Q10861">
        <v>41</v>
      </c>
      <c r="R10861">
        <v>-74.140299999999996</v>
      </c>
    </row>
    <row r="10862" spans="1:18" x14ac:dyDescent="0.2">
      <c r="A10862" t="s">
        <v>663</v>
      </c>
      <c r="B10862" t="s">
        <v>2500</v>
      </c>
      <c r="C10862">
        <v>1</v>
      </c>
      <c r="D10862" s="1">
        <v>44366.912719907406</v>
      </c>
      <c r="E10862" t="s">
        <v>33699</v>
      </c>
      <c r="F10862" t="s">
        <v>666</v>
      </c>
      <c r="G10862" t="s">
        <v>33700</v>
      </c>
      <c r="H10862" t="s">
        <v>667</v>
      </c>
      <c r="I10862" t="s">
        <v>29</v>
      </c>
      <c r="J10862">
        <v>1</v>
      </c>
      <c r="K10862">
        <f>1-844-222-971</f>
        <v>-2036</v>
      </c>
      <c r="L10862" t="s">
        <v>33701</v>
      </c>
      <c r="M10862" t="s">
        <v>33702</v>
      </c>
      <c r="N10862" t="s">
        <v>452</v>
      </c>
      <c r="O10862" t="s">
        <v>28</v>
      </c>
      <c r="P10862" t="s">
        <v>2500</v>
      </c>
      <c r="Q10862">
        <v>1</v>
      </c>
      <c r="R10862">
        <v>99.999999000000003</v>
      </c>
    </row>
    <row r="10863" spans="1:18" x14ac:dyDescent="0.2">
      <c r="A10863" t="s">
        <v>2233</v>
      </c>
      <c r="B10863" t="s">
        <v>2234</v>
      </c>
      <c r="C10863">
        <v>1</v>
      </c>
      <c r="D10863" s="1">
        <v>44366.915462962963</v>
      </c>
      <c r="E10863" t="s">
        <v>33703</v>
      </c>
      <c r="F10863" t="s">
        <v>2236</v>
      </c>
      <c r="G10863" t="s">
        <v>33703</v>
      </c>
      <c r="H10863" t="s">
        <v>2237</v>
      </c>
      <c r="I10863" t="s">
        <v>29</v>
      </c>
      <c r="J10863">
        <v>1</v>
      </c>
      <c r="K10863">
        <f>1-855-915-6038</f>
        <v>-7807</v>
      </c>
      <c r="L10863" t="s">
        <v>33704</v>
      </c>
      <c r="M10863" t="s">
        <v>33705</v>
      </c>
      <c r="N10863">
        <v>200</v>
      </c>
      <c r="O10863" t="s">
        <v>134</v>
      </c>
      <c r="P10863" t="s">
        <v>29</v>
      </c>
      <c r="Q10863">
        <v>40</v>
      </c>
      <c r="R10863">
        <v>-83.114099999999993</v>
      </c>
    </row>
    <row r="10864" spans="1:18" x14ac:dyDescent="0.2">
      <c r="A10864" t="s">
        <v>2233</v>
      </c>
      <c r="B10864" t="s">
        <v>2234</v>
      </c>
      <c r="C10864">
        <v>1</v>
      </c>
      <c r="D10864" s="1">
        <v>44366.915601851855</v>
      </c>
      <c r="E10864" t="s">
        <v>33706</v>
      </c>
      <c r="F10864" t="s">
        <v>2236</v>
      </c>
      <c r="G10864" t="s">
        <v>33706</v>
      </c>
      <c r="H10864" t="s">
        <v>2237</v>
      </c>
      <c r="I10864" t="s">
        <v>29</v>
      </c>
      <c r="J10864">
        <v>1</v>
      </c>
      <c r="K10864">
        <f>1-855-915-6038</f>
        <v>-7807</v>
      </c>
      <c r="L10864" t="s">
        <v>33707</v>
      </c>
      <c r="M10864" t="s">
        <v>33708</v>
      </c>
      <c r="N10864">
        <v>189</v>
      </c>
      <c r="O10864" t="s">
        <v>134</v>
      </c>
      <c r="P10864" t="s">
        <v>29</v>
      </c>
      <c r="Q10864">
        <v>40</v>
      </c>
      <c r="R10864">
        <v>-83.114099999999993</v>
      </c>
    </row>
    <row r="10865" spans="1:18" x14ac:dyDescent="0.2">
      <c r="A10865" t="s">
        <v>2233</v>
      </c>
      <c r="B10865" t="s">
        <v>1638</v>
      </c>
      <c r="C10865">
        <v>1</v>
      </c>
      <c r="D10865" s="1">
        <v>44366.944884259261</v>
      </c>
      <c r="E10865" t="s">
        <v>33709</v>
      </c>
      <c r="F10865" t="s">
        <v>7023</v>
      </c>
      <c r="G10865" t="s">
        <v>33710</v>
      </c>
      <c r="H10865" t="s">
        <v>2237</v>
      </c>
      <c r="I10865" t="s">
        <v>29</v>
      </c>
      <c r="J10865">
        <v>1</v>
      </c>
      <c r="K10865">
        <f>1-888-276-3303</f>
        <v>-4466</v>
      </c>
      <c r="L10865" t="s">
        <v>33711</v>
      </c>
      <c r="M10865" t="s">
        <v>33712</v>
      </c>
      <c r="N10865" t="s">
        <v>278</v>
      </c>
      <c r="O10865" t="s">
        <v>28</v>
      </c>
      <c r="P10865" t="s">
        <v>292</v>
      </c>
      <c r="Q10865">
        <v>49</v>
      </c>
      <c r="R10865">
        <v>2.35222</v>
      </c>
    </row>
    <row r="10866" spans="1:18" x14ac:dyDescent="0.2">
      <c r="A10866" t="s">
        <v>2233</v>
      </c>
      <c r="B10866" t="s">
        <v>2234</v>
      </c>
      <c r="C10866">
        <v>1</v>
      </c>
      <c r="D10866" s="1">
        <v>44366.966527777775</v>
      </c>
      <c r="E10866" t="s">
        <v>33713</v>
      </c>
      <c r="F10866" t="s">
        <v>2236</v>
      </c>
      <c r="G10866" t="s">
        <v>33713</v>
      </c>
      <c r="H10866" t="s">
        <v>2237</v>
      </c>
      <c r="I10866" t="s">
        <v>29</v>
      </c>
      <c r="J10866">
        <v>1</v>
      </c>
      <c r="K10866">
        <f>1-855-915-6038</f>
        <v>-7807</v>
      </c>
      <c r="L10866" t="s">
        <v>33714</v>
      </c>
      <c r="M10866" t="s">
        <v>33715</v>
      </c>
      <c r="N10866">
        <v>89</v>
      </c>
      <c r="O10866" t="s">
        <v>134</v>
      </c>
      <c r="P10866" t="s">
        <v>29</v>
      </c>
      <c r="Q10866">
        <v>40</v>
      </c>
      <c r="R10866">
        <v>-83.114099999999993</v>
      </c>
    </row>
    <row r="10867" spans="1:18" x14ac:dyDescent="0.2">
      <c r="A10867" t="s">
        <v>2233</v>
      </c>
      <c r="B10867" t="s">
        <v>2234</v>
      </c>
      <c r="C10867">
        <v>1</v>
      </c>
      <c r="D10867" s="1">
        <v>44366.966631944444</v>
      </c>
      <c r="E10867" t="s">
        <v>33716</v>
      </c>
      <c r="F10867" t="s">
        <v>2236</v>
      </c>
      <c r="G10867" t="s">
        <v>33716</v>
      </c>
      <c r="H10867" t="s">
        <v>2237</v>
      </c>
      <c r="I10867" t="s">
        <v>29</v>
      </c>
      <c r="J10867">
        <v>1</v>
      </c>
      <c r="K10867">
        <f>1-855-915-6038</f>
        <v>-7807</v>
      </c>
      <c r="L10867" t="s">
        <v>33717</v>
      </c>
      <c r="M10867" t="s">
        <v>33718</v>
      </c>
      <c r="N10867">
        <v>159</v>
      </c>
      <c r="O10867" t="s">
        <v>134</v>
      </c>
      <c r="P10867" t="s">
        <v>29</v>
      </c>
      <c r="Q10867">
        <v>40</v>
      </c>
      <c r="R10867">
        <v>-83.114099999999993</v>
      </c>
    </row>
    <row r="10868" spans="1:18" x14ac:dyDescent="0.2">
      <c r="A10868" t="s">
        <v>439</v>
      </c>
      <c r="B10868" t="s">
        <v>4321</v>
      </c>
      <c r="C10868">
        <v>1</v>
      </c>
      <c r="D10868" s="1">
        <v>44366.967766203707</v>
      </c>
      <c r="E10868" t="s">
        <v>33719</v>
      </c>
      <c r="F10868" t="s">
        <v>442</v>
      </c>
      <c r="G10868" t="s">
        <v>33720</v>
      </c>
      <c r="H10868" t="s">
        <v>444</v>
      </c>
      <c r="I10868" t="s">
        <v>29</v>
      </c>
      <c r="J10868">
        <v>1</v>
      </c>
      <c r="K10868">
        <f>1-888-210-6414</f>
        <v>-7511</v>
      </c>
      <c r="L10868" t="s">
        <v>33721</v>
      </c>
      <c r="M10868" t="s">
        <v>33722</v>
      </c>
      <c r="N10868" t="s">
        <v>452</v>
      </c>
      <c r="O10868" t="s">
        <v>28</v>
      </c>
      <c r="P10868" t="s">
        <v>29</v>
      </c>
      <c r="Q10868">
        <v>42</v>
      </c>
      <c r="R10868">
        <v>-87.629800000000003</v>
      </c>
    </row>
    <row r="10869" spans="1:18" x14ac:dyDescent="0.2">
      <c r="A10869" t="s">
        <v>439</v>
      </c>
      <c r="B10869" t="s">
        <v>4321</v>
      </c>
      <c r="C10869">
        <v>1</v>
      </c>
      <c r="D10869" s="1">
        <v>44366.967719907407</v>
      </c>
      <c r="E10869" t="s">
        <v>33719</v>
      </c>
      <c r="F10869" t="s">
        <v>442</v>
      </c>
      <c r="G10869" t="s">
        <v>33720</v>
      </c>
      <c r="H10869" t="s">
        <v>444</v>
      </c>
      <c r="I10869" t="s">
        <v>29</v>
      </c>
      <c r="J10869">
        <v>1</v>
      </c>
      <c r="K10869">
        <f>1-888-210-6517</f>
        <v>-7614</v>
      </c>
      <c r="L10869" t="s">
        <v>33723</v>
      </c>
      <c r="M10869" t="s">
        <v>33724</v>
      </c>
      <c r="N10869" t="s">
        <v>452</v>
      </c>
      <c r="O10869" t="s">
        <v>28</v>
      </c>
      <c r="P10869" t="s">
        <v>29</v>
      </c>
      <c r="Q10869">
        <v>42</v>
      </c>
      <c r="R10869">
        <v>-87.629800000000003</v>
      </c>
    </row>
    <row r="10870" spans="1:18" x14ac:dyDescent="0.2">
      <c r="A10870" t="s">
        <v>439</v>
      </c>
      <c r="B10870" t="s">
        <v>4321</v>
      </c>
      <c r="C10870">
        <v>1</v>
      </c>
      <c r="D10870" s="1">
        <v>44366.967581018522</v>
      </c>
      <c r="E10870" t="s">
        <v>33719</v>
      </c>
      <c r="F10870" t="s">
        <v>442</v>
      </c>
      <c r="G10870" t="s">
        <v>33720</v>
      </c>
      <c r="H10870" t="s">
        <v>444</v>
      </c>
      <c r="I10870" t="s">
        <v>29</v>
      </c>
      <c r="J10870">
        <v>1</v>
      </c>
      <c r="K10870">
        <f>1-888-585-8114</f>
        <v>-9586</v>
      </c>
      <c r="L10870" t="s">
        <v>33725</v>
      </c>
      <c r="M10870" t="s">
        <v>33726</v>
      </c>
      <c r="N10870" t="s">
        <v>452</v>
      </c>
      <c r="O10870" t="s">
        <v>28</v>
      </c>
      <c r="P10870" t="s">
        <v>29</v>
      </c>
      <c r="Q10870">
        <v>42</v>
      </c>
      <c r="R10870">
        <v>-87.629800000000003</v>
      </c>
    </row>
    <row r="10871" spans="1:18" x14ac:dyDescent="0.2">
      <c r="A10871" t="s">
        <v>439</v>
      </c>
      <c r="B10871" t="s">
        <v>4321</v>
      </c>
      <c r="C10871">
        <v>1</v>
      </c>
      <c r="D10871" s="1">
        <v>44366.967673611114</v>
      </c>
      <c r="E10871" t="s">
        <v>33719</v>
      </c>
      <c r="F10871" t="s">
        <v>442</v>
      </c>
      <c r="G10871" t="s">
        <v>33727</v>
      </c>
      <c r="H10871" t="s">
        <v>444</v>
      </c>
      <c r="I10871" t="s">
        <v>29</v>
      </c>
      <c r="J10871">
        <v>1</v>
      </c>
      <c r="K10871">
        <f>1-888-609-2072</f>
        <v>-3568</v>
      </c>
      <c r="L10871" t="s">
        <v>33728</v>
      </c>
      <c r="M10871" t="s">
        <v>33729</v>
      </c>
      <c r="N10871" t="s">
        <v>452</v>
      </c>
      <c r="O10871" t="s">
        <v>28</v>
      </c>
      <c r="P10871" t="s">
        <v>29</v>
      </c>
      <c r="Q10871">
        <v>42</v>
      </c>
      <c r="R10871">
        <v>-87.629800000000003</v>
      </c>
    </row>
    <row r="10872" spans="1:18" x14ac:dyDescent="0.2">
      <c r="A10872" t="s">
        <v>439</v>
      </c>
      <c r="B10872" t="s">
        <v>4321</v>
      </c>
      <c r="C10872">
        <v>1</v>
      </c>
      <c r="D10872" s="1">
        <v>44366.967627314814</v>
      </c>
      <c r="E10872" t="s">
        <v>33719</v>
      </c>
      <c r="F10872" t="s">
        <v>442</v>
      </c>
      <c r="G10872" t="s">
        <v>33727</v>
      </c>
      <c r="H10872" t="s">
        <v>444</v>
      </c>
      <c r="I10872" t="s">
        <v>29</v>
      </c>
      <c r="J10872">
        <v>1</v>
      </c>
      <c r="K10872">
        <f>1-888-225-9074</f>
        <v>-10186</v>
      </c>
      <c r="L10872" t="s">
        <v>33730</v>
      </c>
      <c r="M10872" t="s">
        <v>33731</v>
      </c>
      <c r="N10872" t="s">
        <v>452</v>
      </c>
      <c r="O10872" t="s">
        <v>28</v>
      </c>
      <c r="P10872" t="s">
        <v>29</v>
      </c>
      <c r="Q10872">
        <v>42</v>
      </c>
      <c r="R10872">
        <v>-87.629800000000003</v>
      </c>
    </row>
    <row r="10873" spans="1:18" x14ac:dyDescent="0.2">
      <c r="A10873" t="s">
        <v>663</v>
      </c>
      <c r="B10873" t="s">
        <v>2500</v>
      </c>
      <c r="C10873">
        <v>1</v>
      </c>
      <c r="D10873" s="1">
        <v>44366.971087962964</v>
      </c>
      <c r="E10873" t="s">
        <v>33732</v>
      </c>
      <c r="F10873" t="s">
        <v>666</v>
      </c>
      <c r="G10873" t="s">
        <v>33733</v>
      </c>
      <c r="H10873" t="s">
        <v>667</v>
      </c>
      <c r="I10873" t="s">
        <v>29</v>
      </c>
      <c r="J10873">
        <v>1</v>
      </c>
      <c r="K10873">
        <f>1-844-277-7132</f>
        <v>-8252</v>
      </c>
      <c r="L10873" t="s">
        <v>33734</v>
      </c>
      <c r="M10873" t="s">
        <v>33735</v>
      </c>
      <c r="N10873" t="s">
        <v>452</v>
      </c>
      <c r="O10873" t="s">
        <v>28</v>
      </c>
      <c r="P10873" t="s">
        <v>2500</v>
      </c>
      <c r="Q10873">
        <v>1</v>
      </c>
      <c r="R10873">
        <v>99.999999000000003</v>
      </c>
    </row>
    <row r="10874" spans="1:18" x14ac:dyDescent="0.2">
      <c r="A10874" t="s">
        <v>439</v>
      </c>
      <c r="B10874" t="s">
        <v>4321</v>
      </c>
      <c r="C10874">
        <v>1</v>
      </c>
      <c r="D10874" s="1">
        <v>44366.998055555552</v>
      </c>
      <c r="E10874" t="s">
        <v>33736</v>
      </c>
      <c r="F10874" t="s">
        <v>442</v>
      </c>
      <c r="G10874" t="s">
        <v>33737</v>
      </c>
      <c r="H10874" t="s">
        <v>444</v>
      </c>
      <c r="I10874" t="s">
        <v>29</v>
      </c>
      <c r="J10874">
        <v>1</v>
      </c>
      <c r="K10874">
        <f>1-855-732-579</f>
        <v>-2165</v>
      </c>
      <c r="L10874" t="s">
        <v>33738</v>
      </c>
      <c r="M10874" t="s">
        <v>33739</v>
      </c>
      <c r="N10874" t="s">
        <v>213</v>
      </c>
      <c r="O10874" t="s">
        <v>28</v>
      </c>
      <c r="P10874" t="s">
        <v>29</v>
      </c>
      <c r="Q10874">
        <v>42</v>
      </c>
      <c r="R10874">
        <v>-87.629800000000003</v>
      </c>
    </row>
    <row r="10875" spans="1:18" x14ac:dyDescent="0.2">
      <c r="A10875" t="s">
        <v>663</v>
      </c>
      <c r="B10875" t="s">
        <v>2500</v>
      </c>
      <c r="C10875">
        <v>1</v>
      </c>
      <c r="D10875" s="1">
        <v>44366.999259259261</v>
      </c>
      <c r="E10875" t="s">
        <v>33740</v>
      </c>
      <c r="F10875" t="s">
        <v>666</v>
      </c>
      <c r="G10875" t="s">
        <v>33741</v>
      </c>
      <c r="H10875" t="s">
        <v>667</v>
      </c>
      <c r="I10875" t="s">
        <v>29</v>
      </c>
      <c r="J10875">
        <v>1</v>
      </c>
      <c r="K10875">
        <f>1-844-299-5398</f>
        <v>-6540</v>
      </c>
      <c r="L10875" t="s">
        <v>33742</v>
      </c>
      <c r="M10875" t="s">
        <v>33743</v>
      </c>
      <c r="N10875" t="s">
        <v>452</v>
      </c>
      <c r="O10875" t="s">
        <v>28</v>
      </c>
      <c r="P10875" t="s">
        <v>2500</v>
      </c>
      <c r="Q10875">
        <v>1</v>
      </c>
      <c r="R10875">
        <v>99.999999000000003</v>
      </c>
    </row>
    <row r="10876" spans="1:18" x14ac:dyDescent="0.2">
      <c r="A10876" t="s">
        <v>439</v>
      </c>
      <c r="B10876" t="s">
        <v>4321</v>
      </c>
      <c r="C10876">
        <v>1</v>
      </c>
      <c r="D10876" s="1">
        <v>44367.887187499997</v>
      </c>
      <c r="E10876" t="s">
        <v>33744</v>
      </c>
      <c r="F10876" t="s">
        <v>442</v>
      </c>
      <c r="G10876" t="s">
        <v>33745</v>
      </c>
      <c r="H10876" t="s">
        <v>444</v>
      </c>
      <c r="I10876" t="s">
        <v>29</v>
      </c>
      <c r="J10876">
        <v>1</v>
      </c>
      <c r="K10876">
        <f>1-855-922-5552</f>
        <v>-7328</v>
      </c>
      <c r="L10876" t="s">
        <v>33746</v>
      </c>
      <c r="M10876" t="s">
        <v>33747</v>
      </c>
      <c r="N10876" t="s">
        <v>213</v>
      </c>
      <c r="O10876" t="s">
        <v>28</v>
      </c>
      <c r="P10876" t="s">
        <v>29</v>
      </c>
      <c r="Q10876">
        <v>42</v>
      </c>
      <c r="R10876">
        <v>-87.629800000000003</v>
      </c>
    </row>
    <row r="10877" spans="1:18" x14ac:dyDescent="0.2">
      <c r="A10877" t="s">
        <v>439</v>
      </c>
      <c r="B10877" t="s">
        <v>4321</v>
      </c>
      <c r="C10877">
        <v>1</v>
      </c>
      <c r="D10877" s="1">
        <v>44367.945243055554</v>
      </c>
      <c r="E10877" t="s">
        <v>33748</v>
      </c>
      <c r="F10877" t="s">
        <v>442</v>
      </c>
      <c r="G10877" t="s">
        <v>33749</v>
      </c>
      <c r="H10877" t="s">
        <v>444</v>
      </c>
      <c r="I10877" t="s">
        <v>29</v>
      </c>
      <c r="J10877">
        <v>1</v>
      </c>
      <c r="K10877">
        <f>1-866-791-334</f>
        <v>-1990</v>
      </c>
      <c r="L10877" t="s">
        <v>33750</v>
      </c>
      <c r="M10877" t="s">
        <v>33751</v>
      </c>
      <c r="N10877" t="s">
        <v>213</v>
      </c>
      <c r="O10877" t="s">
        <v>28</v>
      </c>
      <c r="P10877" t="s">
        <v>29</v>
      </c>
      <c r="Q10877">
        <v>42</v>
      </c>
      <c r="R10877">
        <v>-87.629800000000003</v>
      </c>
    </row>
    <row r="10878" spans="1:18" x14ac:dyDescent="0.2">
      <c r="A10878" t="s">
        <v>439</v>
      </c>
      <c r="B10878" t="s">
        <v>4321</v>
      </c>
      <c r="C10878">
        <v>1</v>
      </c>
      <c r="D10878" s="1">
        <v>44371.721516203703</v>
      </c>
      <c r="E10878" t="s">
        <v>33752</v>
      </c>
      <c r="F10878" t="s">
        <v>442</v>
      </c>
      <c r="G10878" t="s">
        <v>33753</v>
      </c>
      <c r="H10878" t="s">
        <v>444</v>
      </c>
      <c r="I10878" t="s">
        <v>29</v>
      </c>
      <c r="J10878">
        <v>1</v>
      </c>
      <c r="K10878">
        <f>1-888-210-6038</f>
        <v>-7135</v>
      </c>
      <c r="L10878" t="s">
        <v>33754</v>
      </c>
      <c r="M10878" t="s">
        <v>33755</v>
      </c>
      <c r="N10878" t="s">
        <v>683</v>
      </c>
      <c r="O10878" t="s">
        <v>28</v>
      </c>
      <c r="P10878" t="s">
        <v>29</v>
      </c>
      <c r="Q10878">
        <v>42</v>
      </c>
      <c r="R10878">
        <v>-87.629800000000003</v>
      </c>
    </row>
    <row r="10879" spans="1:18" x14ac:dyDescent="0.2">
      <c r="A10879" t="s">
        <v>439</v>
      </c>
      <c r="B10879" t="s">
        <v>4321</v>
      </c>
      <c r="C10879">
        <v>1</v>
      </c>
      <c r="D10879" s="1">
        <v>44371.721458333333</v>
      </c>
      <c r="E10879" t="s">
        <v>33752</v>
      </c>
      <c r="F10879" t="s">
        <v>442</v>
      </c>
      <c r="G10879" t="s">
        <v>33753</v>
      </c>
      <c r="H10879" t="s">
        <v>444</v>
      </c>
      <c r="I10879" t="s">
        <v>29</v>
      </c>
      <c r="J10879">
        <v>1</v>
      </c>
      <c r="K10879">
        <f>1-888-662-8165</f>
        <v>-9714</v>
      </c>
      <c r="L10879" t="s">
        <v>33756</v>
      </c>
      <c r="M10879" t="s">
        <v>33757</v>
      </c>
      <c r="N10879" t="s">
        <v>683</v>
      </c>
      <c r="O10879" t="s">
        <v>28</v>
      </c>
      <c r="P10879" t="s">
        <v>29</v>
      </c>
      <c r="Q10879">
        <v>42</v>
      </c>
      <c r="R10879">
        <v>-87.629800000000003</v>
      </c>
    </row>
    <row r="10880" spans="1:18" x14ac:dyDescent="0.2">
      <c r="A10880" t="s">
        <v>439</v>
      </c>
      <c r="B10880" t="s">
        <v>4321</v>
      </c>
      <c r="C10880">
        <v>1</v>
      </c>
      <c r="D10880" s="1">
        <v>44371.721412037034</v>
      </c>
      <c r="E10880" t="s">
        <v>33752</v>
      </c>
      <c r="F10880" t="s">
        <v>442</v>
      </c>
      <c r="G10880" t="s">
        <v>33753</v>
      </c>
      <c r="H10880" t="s">
        <v>444</v>
      </c>
      <c r="I10880" t="s">
        <v>29</v>
      </c>
      <c r="J10880">
        <v>1</v>
      </c>
      <c r="K10880">
        <f>1-888-525-713</f>
        <v>-2125</v>
      </c>
      <c r="L10880" t="s">
        <v>33758</v>
      </c>
      <c r="M10880" t="s">
        <v>33759</v>
      </c>
      <c r="N10880" t="s">
        <v>683</v>
      </c>
      <c r="O10880" t="s">
        <v>28</v>
      </c>
      <c r="P10880" t="s">
        <v>29</v>
      </c>
      <c r="Q10880">
        <v>42</v>
      </c>
      <c r="R10880">
        <v>-87.629800000000003</v>
      </c>
    </row>
    <row r="10881" spans="1:18" x14ac:dyDescent="0.2">
      <c r="A10881" t="s">
        <v>439</v>
      </c>
      <c r="B10881" t="s">
        <v>4321</v>
      </c>
      <c r="C10881">
        <v>1</v>
      </c>
      <c r="D10881" s="1">
        <v>44371.721365740741</v>
      </c>
      <c r="E10881" t="s">
        <v>33752</v>
      </c>
      <c r="F10881" t="s">
        <v>442</v>
      </c>
      <c r="G10881" t="s">
        <v>33753</v>
      </c>
      <c r="H10881" t="s">
        <v>444</v>
      </c>
      <c r="I10881" t="s">
        <v>29</v>
      </c>
      <c r="J10881">
        <v>1</v>
      </c>
      <c r="K10881">
        <f>1-888-417-4020</f>
        <v>-5324</v>
      </c>
      <c r="L10881" t="s">
        <v>33760</v>
      </c>
      <c r="M10881" t="s">
        <v>33761</v>
      </c>
      <c r="N10881" t="s">
        <v>683</v>
      </c>
      <c r="O10881" t="s">
        <v>28</v>
      </c>
      <c r="P10881" t="s">
        <v>29</v>
      </c>
      <c r="Q10881">
        <v>42</v>
      </c>
      <c r="R10881">
        <v>-87.629800000000003</v>
      </c>
    </row>
    <row r="10882" spans="1:18" x14ac:dyDescent="0.2">
      <c r="A10882" t="s">
        <v>439</v>
      </c>
      <c r="B10882" t="s">
        <v>4321</v>
      </c>
      <c r="C10882">
        <v>1</v>
      </c>
      <c r="D10882" s="1">
        <v>44371.721319444441</v>
      </c>
      <c r="E10882" t="s">
        <v>33752</v>
      </c>
      <c r="F10882" t="s">
        <v>442</v>
      </c>
      <c r="G10882" t="s">
        <v>33753</v>
      </c>
      <c r="H10882" t="s">
        <v>444</v>
      </c>
      <c r="I10882" t="s">
        <v>29</v>
      </c>
      <c r="J10882">
        <v>1</v>
      </c>
      <c r="K10882">
        <f>1-888-521-2456</f>
        <v>-3864</v>
      </c>
      <c r="L10882" t="s">
        <v>33762</v>
      </c>
      <c r="M10882" t="s">
        <v>33763</v>
      </c>
      <c r="N10882" t="s">
        <v>683</v>
      </c>
      <c r="O10882" t="s">
        <v>28</v>
      </c>
      <c r="P10882" t="s">
        <v>29</v>
      </c>
      <c r="Q10882">
        <v>42</v>
      </c>
      <c r="R10882">
        <v>-87.629800000000003</v>
      </c>
    </row>
    <row r="10883" spans="1:18" x14ac:dyDescent="0.2">
      <c r="A10883" t="s">
        <v>439</v>
      </c>
      <c r="B10883" t="s">
        <v>4321</v>
      </c>
      <c r="C10883">
        <v>1</v>
      </c>
      <c r="D10883" s="1">
        <v>44368.695972222224</v>
      </c>
      <c r="E10883" t="s">
        <v>33764</v>
      </c>
      <c r="F10883" t="s">
        <v>442</v>
      </c>
      <c r="G10883" t="s">
        <v>33765</v>
      </c>
      <c r="H10883" t="s">
        <v>444</v>
      </c>
      <c r="I10883" t="s">
        <v>29</v>
      </c>
      <c r="J10883">
        <v>1</v>
      </c>
      <c r="K10883">
        <f>1-888-204-3095</f>
        <v>-4186</v>
      </c>
      <c r="L10883" t="s">
        <v>33766</v>
      </c>
      <c r="M10883" t="s">
        <v>33767</v>
      </c>
      <c r="N10883" t="s">
        <v>452</v>
      </c>
      <c r="O10883" t="s">
        <v>28</v>
      </c>
      <c r="P10883" t="s">
        <v>29</v>
      </c>
      <c r="Q10883">
        <v>42</v>
      </c>
      <c r="R10883">
        <v>-87.629800000000003</v>
      </c>
    </row>
    <row r="10884" spans="1:18" x14ac:dyDescent="0.2">
      <c r="A10884" t="s">
        <v>439</v>
      </c>
      <c r="B10884" t="s">
        <v>4321</v>
      </c>
      <c r="C10884">
        <v>1</v>
      </c>
      <c r="D10884" s="1">
        <v>44368.696111111109</v>
      </c>
      <c r="E10884" t="s">
        <v>33764</v>
      </c>
      <c r="F10884" t="s">
        <v>442</v>
      </c>
      <c r="G10884" t="s">
        <v>33768</v>
      </c>
      <c r="H10884" t="s">
        <v>444</v>
      </c>
      <c r="I10884" t="s">
        <v>29</v>
      </c>
      <c r="J10884">
        <v>1</v>
      </c>
      <c r="K10884">
        <f>1-844-763-2866</f>
        <v>-4472</v>
      </c>
      <c r="L10884" t="s">
        <v>33769</v>
      </c>
      <c r="M10884" t="s">
        <v>33770</v>
      </c>
      <c r="N10884" t="s">
        <v>452</v>
      </c>
      <c r="O10884" t="s">
        <v>28</v>
      </c>
      <c r="P10884" t="s">
        <v>29</v>
      </c>
      <c r="Q10884">
        <v>42</v>
      </c>
      <c r="R10884">
        <v>-87.629800000000003</v>
      </c>
    </row>
    <row r="10885" spans="1:18" x14ac:dyDescent="0.2">
      <c r="A10885" t="s">
        <v>439</v>
      </c>
      <c r="B10885" t="s">
        <v>4321</v>
      </c>
      <c r="C10885">
        <v>1</v>
      </c>
      <c r="D10885" s="1">
        <v>44368.696064814816</v>
      </c>
      <c r="E10885" t="s">
        <v>33764</v>
      </c>
      <c r="F10885" t="s">
        <v>442</v>
      </c>
      <c r="G10885" t="s">
        <v>33768</v>
      </c>
      <c r="H10885" t="s">
        <v>444</v>
      </c>
      <c r="I10885" t="s">
        <v>29</v>
      </c>
      <c r="J10885">
        <v>1</v>
      </c>
      <c r="K10885">
        <f>1-888-597-1345</f>
        <v>-2829</v>
      </c>
      <c r="L10885" t="s">
        <v>33771</v>
      </c>
      <c r="M10885" t="s">
        <v>33772</v>
      </c>
      <c r="N10885" t="s">
        <v>452</v>
      </c>
      <c r="O10885" t="s">
        <v>28</v>
      </c>
      <c r="P10885" t="s">
        <v>29</v>
      </c>
      <c r="Q10885">
        <v>42</v>
      </c>
      <c r="R10885">
        <v>-87.629800000000003</v>
      </c>
    </row>
    <row r="10886" spans="1:18" x14ac:dyDescent="0.2">
      <c r="A10886" t="s">
        <v>439</v>
      </c>
      <c r="B10886" t="s">
        <v>4321</v>
      </c>
      <c r="C10886">
        <v>1</v>
      </c>
      <c r="D10886" s="1">
        <v>44368.696018518516</v>
      </c>
      <c r="E10886" t="s">
        <v>33764</v>
      </c>
      <c r="F10886" t="s">
        <v>442</v>
      </c>
      <c r="G10886" t="s">
        <v>33768</v>
      </c>
      <c r="H10886" t="s">
        <v>444</v>
      </c>
      <c r="I10886" t="s">
        <v>29</v>
      </c>
      <c r="J10886">
        <v>1</v>
      </c>
      <c r="K10886">
        <f>1-888-210-2878</f>
        <v>-3975</v>
      </c>
      <c r="L10886" t="s">
        <v>33773</v>
      </c>
      <c r="M10886" t="s">
        <v>33774</v>
      </c>
      <c r="N10886" t="s">
        <v>452</v>
      </c>
      <c r="O10886" t="s">
        <v>28</v>
      </c>
      <c r="P10886" t="s">
        <v>29</v>
      </c>
      <c r="Q10886">
        <v>42</v>
      </c>
      <c r="R10886">
        <v>-87.629800000000003</v>
      </c>
    </row>
    <row r="10887" spans="1:18" x14ac:dyDescent="0.2">
      <c r="A10887" t="s">
        <v>2233</v>
      </c>
      <c r="B10887" t="s">
        <v>2234</v>
      </c>
      <c r="C10887">
        <v>1</v>
      </c>
      <c r="D10887" s="1">
        <v>44368.709166666667</v>
      </c>
      <c r="E10887" t="s">
        <v>33775</v>
      </c>
      <c r="F10887" t="s">
        <v>2236</v>
      </c>
      <c r="G10887" t="s">
        <v>33775</v>
      </c>
      <c r="H10887" t="s">
        <v>2237</v>
      </c>
      <c r="I10887" t="s">
        <v>29</v>
      </c>
      <c r="J10887">
        <v>1</v>
      </c>
      <c r="K10887">
        <f>1-888-571-1601</f>
        <v>-3059</v>
      </c>
      <c r="L10887" t="s">
        <v>33776</v>
      </c>
      <c r="M10887" t="s">
        <v>33777</v>
      </c>
      <c r="N10887">
        <v>177</v>
      </c>
      <c r="O10887" t="s">
        <v>134</v>
      </c>
      <c r="P10887" t="s">
        <v>29</v>
      </c>
      <c r="Q10887">
        <v>40</v>
      </c>
      <c r="R10887">
        <v>-83.114099999999993</v>
      </c>
    </row>
    <row r="10888" spans="1:18" x14ac:dyDescent="0.2">
      <c r="A10888" t="s">
        <v>439</v>
      </c>
      <c r="B10888" t="s">
        <v>4321</v>
      </c>
      <c r="C10888">
        <v>1</v>
      </c>
      <c r="D10888" s="1">
        <v>44368.713101851848</v>
      </c>
      <c r="E10888" t="s">
        <v>33778</v>
      </c>
      <c r="F10888" t="s">
        <v>442</v>
      </c>
      <c r="G10888" t="s">
        <v>33779</v>
      </c>
      <c r="H10888" t="s">
        <v>444</v>
      </c>
      <c r="I10888" t="s">
        <v>29</v>
      </c>
      <c r="J10888">
        <v>1</v>
      </c>
      <c r="K10888">
        <f>1-844-763-2866</f>
        <v>-4472</v>
      </c>
      <c r="L10888" t="s">
        <v>33780</v>
      </c>
      <c r="M10888" t="s">
        <v>33781</v>
      </c>
      <c r="N10888" t="s">
        <v>452</v>
      </c>
      <c r="O10888" t="s">
        <v>28</v>
      </c>
      <c r="P10888" t="s">
        <v>29</v>
      </c>
      <c r="Q10888">
        <v>42</v>
      </c>
      <c r="R10888">
        <v>-87.629800000000003</v>
      </c>
    </row>
    <row r="10889" spans="1:18" x14ac:dyDescent="0.2">
      <c r="A10889" t="s">
        <v>439</v>
      </c>
      <c r="B10889" t="s">
        <v>4321</v>
      </c>
      <c r="C10889">
        <v>1</v>
      </c>
      <c r="D10889" s="1">
        <v>44368.713043981479</v>
      </c>
      <c r="E10889" t="s">
        <v>33778</v>
      </c>
      <c r="F10889" t="s">
        <v>442</v>
      </c>
      <c r="G10889" t="s">
        <v>33779</v>
      </c>
      <c r="H10889" t="s">
        <v>444</v>
      </c>
      <c r="I10889" t="s">
        <v>29</v>
      </c>
      <c r="J10889">
        <v>1</v>
      </c>
      <c r="K10889">
        <f>1-888-210-2878</f>
        <v>-3975</v>
      </c>
      <c r="L10889" t="s">
        <v>33782</v>
      </c>
      <c r="M10889" t="s">
        <v>33783</v>
      </c>
      <c r="N10889" t="s">
        <v>452</v>
      </c>
      <c r="O10889" t="s">
        <v>28</v>
      </c>
      <c r="P10889" t="s">
        <v>29</v>
      </c>
      <c r="Q10889">
        <v>42</v>
      </c>
      <c r="R10889">
        <v>-87.629800000000003</v>
      </c>
    </row>
    <row r="10890" spans="1:18" x14ac:dyDescent="0.2">
      <c r="A10890" t="s">
        <v>439</v>
      </c>
      <c r="B10890" t="s">
        <v>4321</v>
      </c>
      <c r="C10890">
        <v>1</v>
      </c>
      <c r="D10890" s="1">
        <v>44368.71298611111</v>
      </c>
      <c r="E10890" t="s">
        <v>33778</v>
      </c>
      <c r="F10890" t="s">
        <v>442</v>
      </c>
      <c r="G10890" t="s">
        <v>33779</v>
      </c>
      <c r="H10890" t="s">
        <v>444</v>
      </c>
      <c r="I10890" t="s">
        <v>29</v>
      </c>
      <c r="J10890">
        <v>1</v>
      </c>
      <c r="K10890">
        <f>1-888-204-3095</f>
        <v>-4186</v>
      </c>
      <c r="L10890" t="s">
        <v>33784</v>
      </c>
      <c r="M10890" t="s">
        <v>33785</v>
      </c>
      <c r="N10890" t="s">
        <v>452</v>
      </c>
      <c r="O10890" t="s">
        <v>28</v>
      </c>
      <c r="P10890" t="s">
        <v>29</v>
      </c>
      <c r="Q10890">
        <v>42</v>
      </c>
      <c r="R10890">
        <v>-87.629800000000003</v>
      </c>
    </row>
    <row r="10891" spans="1:18" x14ac:dyDescent="0.2">
      <c r="A10891" t="s">
        <v>439</v>
      </c>
      <c r="B10891" t="s">
        <v>4321</v>
      </c>
      <c r="C10891">
        <v>1</v>
      </c>
      <c r="D10891" s="1">
        <v>44368.712951388887</v>
      </c>
      <c r="E10891" t="s">
        <v>33778</v>
      </c>
      <c r="F10891" t="s">
        <v>442</v>
      </c>
      <c r="G10891" t="s">
        <v>33779</v>
      </c>
      <c r="H10891" t="s">
        <v>444</v>
      </c>
      <c r="I10891" t="s">
        <v>29</v>
      </c>
      <c r="J10891">
        <v>1</v>
      </c>
      <c r="K10891">
        <f>1-888-597-1345</f>
        <v>-2829</v>
      </c>
      <c r="L10891" t="s">
        <v>33786</v>
      </c>
      <c r="M10891" t="s">
        <v>33787</v>
      </c>
      <c r="N10891" t="s">
        <v>452</v>
      </c>
      <c r="O10891" t="s">
        <v>28</v>
      </c>
      <c r="P10891" t="s">
        <v>29</v>
      </c>
      <c r="Q10891">
        <v>42</v>
      </c>
      <c r="R10891">
        <v>-87.629800000000003</v>
      </c>
    </row>
    <row r="10892" spans="1:18" x14ac:dyDescent="0.2">
      <c r="A10892" t="s">
        <v>439</v>
      </c>
      <c r="B10892" t="s">
        <v>4321</v>
      </c>
      <c r="C10892">
        <v>1</v>
      </c>
      <c r="D10892" s="1">
        <v>44368.712905092594</v>
      </c>
      <c r="E10892" t="s">
        <v>33778</v>
      </c>
      <c r="F10892" t="s">
        <v>442</v>
      </c>
      <c r="G10892" t="s">
        <v>33779</v>
      </c>
      <c r="H10892" t="s">
        <v>444</v>
      </c>
      <c r="I10892" t="s">
        <v>29</v>
      </c>
      <c r="J10892">
        <v>1</v>
      </c>
      <c r="K10892">
        <f>1-888-251-9064</f>
        <v>-10202</v>
      </c>
      <c r="L10892" t="s">
        <v>33788</v>
      </c>
      <c r="M10892" t="s">
        <v>33789</v>
      </c>
      <c r="N10892" t="s">
        <v>452</v>
      </c>
      <c r="O10892" t="s">
        <v>28</v>
      </c>
      <c r="P10892" t="s">
        <v>29</v>
      </c>
      <c r="Q10892">
        <v>42</v>
      </c>
      <c r="R10892">
        <v>-87.629800000000003</v>
      </c>
    </row>
    <row r="10893" spans="1:18" x14ac:dyDescent="0.2">
      <c r="A10893" t="s">
        <v>270</v>
      </c>
      <c r="B10893" t="s">
        <v>2263</v>
      </c>
      <c r="C10893">
        <v>1</v>
      </c>
      <c r="D10893" s="1">
        <v>44375.830868055556</v>
      </c>
      <c r="E10893" t="s">
        <v>33790</v>
      </c>
      <c r="F10893" t="s">
        <v>273</v>
      </c>
      <c r="G10893" t="s">
        <v>33791</v>
      </c>
      <c r="H10893" t="s">
        <v>275</v>
      </c>
      <c r="I10893" t="s">
        <v>29</v>
      </c>
      <c r="J10893">
        <v>1</v>
      </c>
      <c r="K10893">
        <f>1-844-313-2837</f>
        <v>-3993</v>
      </c>
      <c r="L10893" t="s">
        <v>33792</v>
      </c>
      <c r="M10893" t="s">
        <v>33793</v>
      </c>
      <c r="N10893" t="s">
        <v>278</v>
      </c>
      <c r="O10893" t="s">
        <v>28</v>
      </c>
      <c r="P10893" t="s">
        <v>2268</v>
      </c>
      <c r="Q10893">
        <v>44</v>
      </c>
      <c r="R10893">
        <v>-79.382999999999996</v>
      </c>
    </row>
    <row r="10894" spans="1:18" x14ac:dyDescent="0.2">
      <c r="A10894" t="s">
        <v>270</v>
      </c>
      <c r="B10894" t="s">
        <v>2263</v>
      </c>
      <c r="C10894">
        <v>1</v>
      </c>
      <c r="D10894" s="1">
        <v>44375.845370370371</v>
      </c>
      <c r="E10894" t="s">
        <v>33794</v>
      </c>
      <c r="F10894" t="s">
        <v>273</v>
      </c>
      <c r="G10894" t="s">
        <v>33791</v>
      </c>
      <c r="H10894" t="s">
        <v>275</v>
      </c>
      <c r="I10894" t="s">
        <v>29</v>
      </c>
      <c r="J10894">
        <v>1</v>
      </c>
      <c r="K10894">
        <f>1-844-341-8034</f>
        <v>-9218</v>
      </c>
      <c r="L10894" t="s">
        <v>33795</v>
      </c>
      <c r="M10894" t="s">
        <v>33796</v>
      </c>
      <c r="N10894" t="s">
        <v>278</v>
      </c>
      <c r="O10894" t="s">
        <v>28</v>
      </c>
      <c r="P10894" t="s">
        <v>2268</v>
      </c>
      <c r="Q10894">
        <v>44</v>
      </c>
      <c r="R10894">
        <v>-79.382999999999996</v>
      </c>
    </row>
    <row r="10895" spans="1:18" x14ac:dyDescent="0.2">
      <c r="A10895" t="s">
        <v>270</v>
      </c>
      <c r="B10895" t="s">
        <v>2263</v>
      </c>
      <c r="C10895">
        <v>1</v>
      </c>
      <c r="D10895" s="1">
        <v>44376.89267361111</v>
      </c>
      <c r="E10895" t="s">
        <v>33797</v>
      </c>
      <c r="F10895" t="s">
        <v>273</v>
      </c>
      <c r="G10895" t="s">
        <v>33791</v>
      </c>
      <c r="H10895" t="s">
        <v>275</v>
      </c>
      <c r="I10895" t="s">
        <v>29</v>
      </c>
      <c r="J10895">
        <v>1</v>
      </c>
      <c r="K10895">
        <f>1-844-709-5719</f>
        <v>-7271</v>
      </c>
      <c r="L10895" t="s">
        <v>33798</v>
      </c>
      <c r="M10895" t="s">
        <v>33799</v>
      </c>
      <c r="N10895" t="s">
        <v>278</v>
      </c>
      <c r="O10895" t="s">
        <v>28</v>
      </c>
      <c r="P10895" t="s">
        <v>2268</v>
      </c>
      <c r="Q10895">
        <v>44</v>
      </c>
      <c r="R10895">
        <v>-79.382999999999996</v>
      </c>
    </row>
    <row r="10896" spans="1:18" x14ac:dyDescent="0.2">
      <c r="A10896" t="s">
        <v>270</v>
      </c>
      <c r="B10896" t="s">
        <v>2263</v>
      </c>
      <c r="C10896">
        <v>1</v>
      </c>
      <c r="D10896" s="1">
        <v>44376.801134259258</v>
      </c>
      <c r="E10896" t="s">
        <v>33800</v>
      </c>
      <c r="F10896" t="s">
        <v>273</v>
      </c>
      <c r="G10896" t="s">
        <v>33791</v>
      </c>
      <c r="H10896" t="s">
        <v>275</v>
      </c>
      <c r="I10896" t="s">
        <v>29</v>
      </c>
      <c r="J10896">
        <v>1</v>
      </c>
      <c r="K10896">
        <f>1-844-295-567</f>
        <v>-1705</v>
      </c>
      <c r="L10896" t="s">
        <v>33801</v>
      </c>
      <c r="M10896" t="s">
        <v>33802</v>
      </c>
      <c r="N10896" t="s">
        <v>278</v>
      </c>
      <c r="O10896" t="s">
        <v>28</v>
      </c>
      <c r="P10896" t="s">
        <v>2268</v>
      </c>
      <c r="Q10896">
        <v>44</v>
      </c>
      <c r="R10896">
        <v>-79.382999999999996</v>
      </c>
    </row>
    <row r="10897" spans="1:18" x14ac:dyDescent="0.2">
      <c r="A10897" t="s">
        <v>270</v>
      </c>
      <c r="B10897" t="s">
        <v>2263</v>
      </c>
      <c r="C10897">
        <v>1</v>
      </c>
      <c r="D10897" s="1">
        <v>44372.927581018521</v>
      </c>
      <c r="E10897" t="s">
        <v>33803</v>
      </c>
      <c r="F10897" t="s">
        <v>273</v>
      </c>
      <c r="G10897" t="s">
        <v>33791</v>
      </c>
      <c r="H10897" t="s">
        <v>275</v>
      </c>
      <c r="I10897" t="s">
        <v>29</v>
      </c>
      <c r="J10897">
        <v>1</v>
      </c>
      <c r="K10897">
        <f>1-844-393-4350</f>
        <v>-5586</v>
      </c>
      <c r="L10897" t="s">
        <v>33804</v>
      </c>
      <c r="M10897" t="s">
        <v>33805</v>
      </c>
      <c r="N10897" t="s">
        <v>278</v>
      </c>
      <c r="O10897" t="s">
        <v>28</v>
      </c>
      <c r="P10897" t="s">
        <v>2268</v>
      </c>
      <c r="Q10897">
        <v>44</v>
      </c>
      <c r="R10897">
        <v>-79.382999999999996</v>
      </c>
    </row>
    <row r="10898" spans="1:18" x14ac:dyDescent="0.2">
      <c r="A10898" t="s">
        <v>270</v>
      </c>
      <c r="B10898" t="s">
        <v>2263</v>
      </c>
      <c r="C10898">
        <v>1</v>
      </c>
      <c r="D10898" s="1">
        <v>44369.794791666667</v>
      </c>
      <c r="E10898" t="s">
        <v>33806</v>
      </c>
      <c r="F10898" t="s">
        <v>273</v>
      </c>
      <c r="G10898" t="s">
        <v>33791</v>
      </c>
      <c r="H10898" t="s">
        <v>275</v>
      </c>
      <c r="I10898" t="s">
        <v>29</v>
      </c>
      <c r="J10898">
        <v>1</v>
      </c>
      <c r="K10898">
        <f>1-866-309-6030</f>
        <v>-7204</v>
      </c>
      <c r="L10898" t="s">
        <v>33807</v>
      </c>
      <c r="M10898" t="s">
        <v>33808</v>
      </c>
      <c r="N10898" t="s">
        <v>278</v>
      </c>
      <c r="O10898" t="s">
        <v>28</v>
      </c>
      <c r="P10898" t="s">
        <v>2268</v>
      </c>
      <c r="Q10898">
        <v>44</v>
      </c>
      <c r="R10898">
        <v>-79.382999999999996</v>
      </c>
    </row>
    <row r="10899" spans="1:18" x14ac:dyDescent="0.2">
      <c r="A10899" t="s">
        <v>270</v>
      </c>
      <c r="B10899" t="s">
        <v>2263</v>
      </c>
      <c r="C10899">
        <v>1</v>
      </c>
      <c r="D10899" s="1">
        <v>44369.790208333332</v>
      </c>
      <c r="E10899" t="s">
        <v>33809</v>
      </c>
      <c r="F10899" t="s">
        <v>273</v>
      </c>
      <c r="G10899" t="s">
        <v>33791</v>
      </c>
      <c r="H10899" t="s">
        <v>275</v>
      </c>
      <c r="I10899" t="s">
        <v>29</v>
      </c>
      <c r="J10899">
        <v>1</v>
      </c>
      <c r="K10899">
        <f>1-866-308-8138</f>
        <v>-9311</v>
      </c>
      <c r="L10899" t="s">
        <v>33810</v>
      </c>
      <c r="M10899" t="s">
        <v>33811</v>
      </c>
      <c r="N10899" t="s">
        <v>278</v>
      </c>
      <c r="O10899" t="s">
        <v>28</v>
      </c>
      <c r="P10899" t="s">
        <v>2268</v>
      </c>
      <c r="Q10899">
        <v>44</v>
      </c>
      <c r="R10899">
        <v>-79.382999999999996</v>
      </c>
    </row>
    <row r="10900" spans="1:18" x14ac:dyDescent="0.2">
      <c r="A10900" t="s">
        <v>270</v>
      </c>
      <c r="B10900" t="s">
        <v>2263</v>
      </c>
      <c r="C10900">
        <v>1</v>
      </c>
      <c r="D10900" s="1">
        <v>44369.780613425923</v>
      </c>
      <c r="E10900" t="s">
        <v>33812</v>
      </c>
      <c r="F10900" t="s">
        <v>273</v>
      </c>
      <c r="G10900" t="s">
        <v>33791</v>
      </c>
      <c r="H10900" t="s">
        <v>275</v>
      </c>
      <c r="I10900" t="s">
        <v>29</v>
      </c>
      <c r="J10900">
        <v>1</v>
      </c>
      <c r="K10900">
        <f>1-866-308-8138</f>
        <v>-9311</v>
      </c>
      <c r="L10900" t="s">
        <v>33813</v>
      </c>
      <c r="M10900" t="s">
        <v>33814</v>
      </c>
      <c r="N10900" t="s">
        <v>278</v>
      </c>
      <c r="O10900" t="s">
        <v>28</v>
      </c>
      <c r="P10900" t="s">
        <v>2268</v>
      </c>
      <c r="Q10900">
        <v>44</v>
      </c>
      <c r="R10900">
        <v>-79.382999999999996</v>
      </c>
    </row>
    <row r="10901" spans="1:18" x14ac:dyDescent="0.2">
      <c r="A10901" t="s">
        <v>270</v>
      </c>
      <c r="B10901" t="s">
        <v>2263</v>
      </c>
      <c r="C10901">
        <v>1</v>
      </c>
      <c r="D10901" s="1">
        <v>44369.777337962965</v>
      </c>
      <c r="E10901" t="s">
        <v>33815</v>
      </c>
      <c r="F10901" t="s">
        <v>273</v>
      </c>
      <c r="G10901" t="s">
        <v>33791</v>
      </c>
      <c r="H10901" t="s">
        <v>275</v>
      </c>
      <c r="I10901" t="s">
        <v>29</v>
      </c>
      <c r="J10901">
        <v>1</v>
      </c>
      <c r="K10901">
        <f>1-866-302-8980</f>
        <v>-10147</v>
      </c>
      <c r="L10901" t="s">
        <v>33816</v>
      </c>
      <c r="M10901" t="s">
        <v>33817</v>
      </c>
      <c r="N10901" t="s">
        <v>278</v>
      </c>
      <c r="O10901" t="s">
        <v>28</v>
      </c>
      <c r="P10901" t="s">
        <v>2268</v>
      </c>
      <c r="Q10901">
        <v>44</v>
      </c>
      <c r="R10901">
        <v>-79.382999999999996</v>
      </c>
    </row>
    <row r="10902" spans="1:18" x14ac:dyDescent="0.2">
      <c r="A10902" t="s">
        <v>270</v>
      </c>
      <c r="B10902" t="s">
        <v>2263</v>
      </c>
      <c r="C10902">
        <v>1</v>
      </c>
      <c r="D10902" s="1">
        <v>44369.774965277778</v>
      </c>
      <c r="E10902" t="s">
        <v>33818</v>
      </c>
      <c r="F10902" t="s">
        <v>273</v>
      </c>
      <c r="G10902" t="s">
        <v>33791</v>
      </c>
      <c r="H10902" t="s">
        <v>275</v>
      </c>
      <c r="I10902" t="s">
        <v>29</v>
      </c>
      <c r="J10902">
        <v>1</v>
      </c>
      <c r="K10902">
        <f>1-866-302-8980</f>
        <v>-10147</v>
      </c>
      <c r="L10902" t="s">
        <v>33819</v>
      </c>
      <c r="M10902" t="s">
        <v>33820</v>
      </c>
      <c r="N10902" t="s">
        <v>278</v>
      </c>
      <c r="O10902" t="s">
        <v>28</v>
      </c>
      <c r="P10902" t="s">
        <v>2268</v>
      </c>
      <c r="Q10902">
        <v>44</v>
      </c>
      <c r="R10902">
        <v>-79.382999999999996</v>
      </c>
    </row>
    <row r="10903" spans="1:18" x14ac:dyDescent="0.2">
      <c r="A10903" t="s">
        <v>270</v>
      </c>
      <c r="B10903" t="s">
        <v>2263</v>
      </c>
      <c r="C10903">
        <v>1</v>
      </c>
      <c r="D10903" s="1">
        <v>44369.767592592594</v>
      </c>
      <c r="E10903" t="s">
        <v>33821</v>
      </c>
      <c r="F10903" t="s">
        <v>273</v>
      </c>
      <c r="G10903" t="s">
        <v>33791</v>
      </c>
      <c r="H10903" t="s">
        <v>275</v>
      </c>
      <c r="I10903" t="s">
        <v>29</v>
      </c>
      <c r="J10903">
        <v>1</v>
      </c>
      <c r="K10903">
        <f>1-866-302-8980</f>
        <v>-10147</v>
      </c>
      <c r="L10903" t="s">
        <v>33822</v>
      </c>
      <c r="M10903" t="s">
        <v>33823</v>
      </c>
      <c r="N10903" t="s">
        <v>278</v>
      </c>
      <c r="O10903" t="s">
        <v>28</v>
      </c>
      <c r="P10903" t="s">
        <v>2268</v>
      </c>
      <c r="Q10903">
        <v>44</v>
      </c>
      <c r="R10903">
        <v>-79.382999999999996</v>
      </c>
    </row>
    <row r="10904" spans="1:18" x14ac:dyDescent="0.2">
      <c r="A10904" t="s">
        <v>270</v>
      </c>
      <c r="B10904" t="s">
        <v>2263</v>
      </c>
      <c r="C10904">
        <v>1</v>
      </c>
      <c r="D10904" s="1">
        <v>44369.766932870371</v>
      </c>
      <c r="E10904" t="s">
        <v>33824</v>
      </c>
      <c r="F10904" t="s">
        <v>273</v>
      </c>
      <c r="G10904" t="s">
        <v>33791</v>
      </c>
      <c r="H10904" t="s">
        <v>275</v>
      </c>
      <c r="I10904" t="s">
        <v>29</v>
      </c>
      <c r="J10904">
        <v>1</v>
      </c>
      <c r="K10904">
        <f>1-866-302-8980</f>
        <v>-10147</v>
      </c>
      <c r="L10904" t="s">
        <v>33825</v>
      </c>
      <c r="M10904" t="s">
        <v>33826</v>
      </c>
      <c r="N10904" t="s">
        <v>278</v>
      </c>
      <c r="O10904" t="s">
        <v>28</v>
      </c>
      <c r="P10904" t="s">
        <v>2268</v>
      </c>
      <c r="Q10904">
        <v>44</v>
      </c>
      <c r="R10904">
        <v>-79.382999999999996</v>
      </c>
    </row>
    <row r="10905" spans="1:18" x14ac:dyDescent="0.2">
      <c r="A10905" t="s">
        <v>270</v>
      </c>
      <c r="B10905" t="s">
        <v>2263</v>
      </c>
      <c r="C10905">
        <v>1</v>
      </c>
      <c r="D10905" s="1">
        <v>44371.761643518519</v>
      </c>
      <c r="E10905" t="s">
        <v>33827</v>
      </c>
      <c r="F10905" t="s">
        <v>273</v>
      </c>
      <c r="G10905" t="s">
        <v>33791</v>
      </c>
      <c r="H10905" t="s">
        <v>275</v>
      </c>
      <c r="I10905" t="s">
        <v>29</v>
      </c>
      <c r="J10905">
        <v>1</v>
      </c>
      <c r="K10905">
        <f>1-844-396-9936</f>
        <v>-11175</v>
      </c>
      <c r="L10905" t="s">
        <v>33828</v>
      </c>
      <c r="M10905" t="s">
        <v>33829</v>
      </c>
      <c r="N10905" t="s">
        <v>278</v>
      </c>
      <c r="O10905" t="s">
        <v>28</v>
      </c>
      <c r="P10905" t="s">
        <v>2268</v>
      </c>
      <c r="Q10905">
        <v>44</v>
      </c>
      <c r="R10905">
        <v>-79.382999999999996</v>
      </c>
    </row>
    <row r="10906" spans="1:18" x14ac:dyDescent="0.2">
      <c r="A10906" t="s">
        <v>439</v>
      </c>
      <c r="B10906" t="s">
        <v>4321</v>
      </c>
      <c r="C10906">
        <v>1</v>
      </c>
      <c r="D10906" s="1">
        <v>44371.762731481482</v>
      </c>
      <c r="E10906" t="s">
        <v>33830</v>
      </c>
      <c r="F10906" t="s">
        <v>442</v>
      </c>
      <c r="G10906" t="s">
        <v>33831</v>
      </c>
      <c r="H10906" t="s">
        <v>444</v>
      </c>
      <c r="I10906" t="s">
        <v>29</v>
      </c>
      <c r="J10906">
        <v>1</v>
      </c>
      <c r="K10906">
        <f>1-888-662-8165</f>
        <v>-9714</v>
      </c>
      <c r="L10906" t="s">
        <v>33832</v>
      </c>
      <c r="M10906" t="s">
        <v>33833</v>
      </c>
      <c r="N10906" t="s">
        <v>683</v>
      </c>
      <c r="O10906" t="s">
        <v>28</v>
      </c>
      <c r="P10906" t="s">
        <v>29</v>
      </c>
      <c r="Q10906">
        <v>42</v>
      </c>
      <c r="R10906">
        <v>-87.629800000000003</v>
      </c>
    </row>
    <row r="10907" spans="1:18" x14ac:dyDescent="0.2">
      <c r="A10907" t="s">
        <v>439</v>
      </c>
      <c r="B10907" t="s">
        <v>4321</v>
      </c>
      <c r="C10907">
        <v>1</v>
      </c>
      <c r="D10907" s="1">
        <v>44371.76258101852</v>
      </c>
      <c r="E10907" t="s">
        <v>33830</v>
      </c>
      <c r="F10907" t="s">
        <v>442</v>
      </c>
      <c r="G10907" t="s">
        <v>33831</v>
      </c>
      <c r="H10907" t="s">
        <v>444</v>
      </c>
      <c r="I10907" t="s">
        <v>29</v>
      </c>
      <c r="J10907">
        <v>1</v>
      </c>
      <c r="K10907">
        <f>1-888-521-2456</f>
        <v>-3864</v>
      </c>
      <c r="L10907" t="s">
        <v>33834</v>
      </c>
      <c r="M10907" t="s">
        <v>33835</v>
      </c>
      <c r="N10907" t="s">
        <v>683</v>
      </c>
      <c r="O10907" t="s">
        <v>28</v>
      </c>
      <c r="P10907" t="s">
        <v>29</v>
      </c>
      <c r="Q10907">
        <v>42</v>
      </c>
      <c r="R10907">
        <v>-87.629800000000003</v>
      </c>
    </row>
    <row r="10908" spans="1:18" x14ac:dyDescent="0.2">
      <c r="A10908" t="s">
        <v>439</v>
      </c>
      <c r="B10908" t="s">
        <v>4321</v>
      </c>
      <c r="C10908">
        <v>1</v>
      </c>
      <c r="D10908" s="1">
        <v>44371.762777777774</v>
      </c>
      <c r="E10908" t="s">
        <v>33830</v>
      </c>
      <c r="F10908" t="s">
        <v>442</v>
      </c>
      <c r="G10908" t="s">
        <v>33836</v>
      </c>
      <c r="H10908" t="s">
        <v>444</v>
      </c>
      <c r="I10908" t="s">
        <v>29</v>
      </c>
      <c r="J10908">
        <v>1</v>
      </c>
      <c r="K10908">
        <f>1-888-210-6038</f>
        <v>-7135</v>
      </c>
      <c r="L10908" t="s">
        <v>33837</v>
      </c>
      <c r="M10908" t="s">
        <v>33838</v>
      </c>
      <c r="N10908" t="s">
        <v>683</v>
      </c>
      <c r="O10908" t="s">
        <v>28</v>
      </c>
      <c r="P10908" t="s">
        <v>29</v>
      </c>
      <c r="Q10908">
        <v>42</v>
      </c>
      <c r="R10908">
        <v>-87.629800000000003</v>
      </c>
    </row>
    <row r="10909" spans="1:18" x14ac:dyDescent="0.2">
      <c r="A10909" t="s">
        <v>439</v>
      </c>
      <c r="B10909" t="s">
        <v>4321</v>
      </c>
      <c r="C10909">
        <v>1</v>
      </c>
      <c r="D10909" s="1">
        <v>44371.762685185182</v>
      </c>
      <c r="E10909" t="s">
        <v>33830</v>
      </c>
      <c r="F10909" t="s">
        <v>442</v>
      </c>
      <c r="G10909" t="s">
        <v>33836</v>
      </c>
      <c r="H10909" t="s">
        <v>444</v>
      </c>
      <c r="I10909" t="s">
        <v>29</v>
      </c>
      <c r="J10909">
        <v>1</v>
      </c>
      <c r="K10909">
        <f>1-888-525-713</f>
        <v>-2125</v>
      </c>
      <c r="L10909" t="s">
        <v>33839</v>
      </c>
      <c r="M10909" t="s">
        <v>33840</v>
      </c>
      <c r="N10909" t="s">
        <v>683</v>
      </c>
      <c r="O10909" t="s">
        <v>28</v>
      </c>
      <c r="P10909" t="s">
        <v>29</v>
      </c>
      <c r="Q10909">
        <v>42</v>
      </c>
      <c r="R10909">
        <v>-87.629800000000003</v>
      </c>
    </row>
    <row r="10910" spans="1:18" x14ac:dyDescent="0.2">
      <c r="A10910" t="s">
        <v>439</v>
      </c>
      <c r="B10910" t="s">
        <v>4321</v>
      </c>
      <c r="C10910">
        <v>1</v>
      </c>
      <c r="D10910" s="1">
        <v>44371.762627314813</v>
      </c>
      <c r="E10910" t="s">
        <v>33830</v>
      </c>
      <c r="F10910" t="s">
        <v>442</v>
      </c>
      <c r="G10910" t="s">
        <v>33836</v>
      </c>
      <c r="H10910" t="s">
        <v>444</v>
      </c>
      <c r="I10910" t="s">
        <v>29</v>
      </c>
      <c r="J10910">
        <v>1</v>
      </c>
      <c r="K10910">
        <f>1-888-417-4020</f>
        <v>-5324</v>
      </c>
      <c r="L10910" t="s">
        <v>33841</v>
      </c>
      <c r="M10910" t="s">
        <v>33842</v>
      </c>
      <c r="N10910" t="s">
        <v>683</v>
      </c>
      <c r="O10910" t="s">
        <v>28</v>
      </c>
      <c r="P10910" t="s">
        <v>29</v>
      </c>
      <c r="Q10910">
        <v>42</v>
      </c>
      <c r="R10910">
        <v>-87.629800000000003</v>
      </c>
    </row>
    <row r="10911" spans="1:18" x14ac:dyDescent="0.2">
      <c r="A10911" t="s">
        <v>439</v>
      </c>
      <c r="B10911" t="s">
        <v>4321</v>
      </c>
      <c r="C10911">
        <v>1</v>
      </c>
      <c r="D10911" s="1">
        <v>44371.695694444446</v>
      </c>
      <c r="E10911" t="s">
        <v>33843</v>
      </c>
      <c r="F10911" t="s">
        <v>442</v>
      </c>
      <c r="G10911" t="s">
        <v>33844</v>
      </c>
      <c r="H10911" t="s">
        <v>444</v>
      </c>
      <c r="I10911" t="s">
        <v>29</v>
      </c>
      <c r="J10911">
        <v>1</v>
      </c>
      <c r="K10911">
        <f>1-888-210-6038</f>
        <v>-7135</v>
      </c>
      <c r="L10911" t="s">
        <v>33845</v>
      </c>
      <c r="M10911" t="s">
        <v>33846</v>
      </c>
      <c r="N10911" t="s">
        <v>2475</v>
      </c>
      <c r="O10911" t="s">
        <v>28</v>
      </c>
      <c r="P10911" t="s">
        <v>29</v>
      </c>
      <c r="Q10911">
        <v>42</v>
      </c>
      <c r="R10911">
        <v>-87.629800000000003</v>
      </c>
    </row>
    <row r="10912" spans="1:18" x14ac:dyDescent="0.2">
      <c r="A10912" t="s">
        <v>439</v>
      </c>
      <c r="B10912" t="s">
        <v>4321</v>
      </c>
      <c r="C10912">
        <v>1</v>
      </c>
      <c r="D10912" s="1">
        <v>44371.695555555554</v>
      </c>
      <c r="E10912" t="s">
        <v>33843</v>
      </c>
      <c r="F10912" t="s">
        <v>442</v>
      </c>
      <c r="G10912" t="s">
        <v>33844</v>
      </c>
      <c r="H10912" t="s">
        <v>444</v>
      </c>
      <c r="I10912" t="s">
        <v>29</v>
      </c>
      <c r="J10912">
        <v>1</v>
      </c>
      <c r="K10912">
        <f>1-888-417-4020</f>
        <v>-5324</v>
      </c>
      <c r="L10912" t="s">
        <v>33847</v>
      </c>
      <c r="M10912" t="s">
        <v>33848</v>
      </c>
      <c r="N10912" t="s">
        <v>2475</v>
      </c>
      <c r="O10912" t="s">
        <v>28</v>
      </c>
      <c r="P10912" t="s">
        <v>29</v>
      </c>
      <c r="Q10912">
        <v>42</v>
      </c>
      <c r="R10912">
        <v>-87.629800000000003</v>
      </c>
    </row>
    <row r="10913" spans="1:18" x14ac:dyDescent="0.2">
      <c r="A10913" t="s">
        <v>439</v>
      </c>
      <c r="B10913" t="s">
        <v>4321</v>
      </c>
      <c r="C10913">
        <v>1</v>
      </c>
      <c r="D10913" s="1">
        <v>44371.695509259262</v>
      </c>
      <c r="E10913" t="s">
        <v>33843</v>
      </c>
      <c r="F10913" t="s">
        <v>442</v>
      </c>
      <c r="G10913" t="s">
        <v>33844</v>
      </c>
      <c r="H10913" t="s">
        <v>444</v>
      </c>
      <c r="I10913" t="s">
        <v>29</v>
      </c>
      <c r="J10913">
        <v>1</v>
      </c>
      <c r="K10913">
        <f>1-888-525-713</f>
        <v>-2125</v>
      </c>
      <c r="L10913" t="s">
        <v>33849</v>
      </c>
      <c r="M10913" t="s">
        <v>33850</v>
      </c>
      <c r="N10913" t="s">
        <v>2475</v>
      </c>
      <c r="O10913" t="s">
        <v>28</v>
      </c>
      <c r="P10913" t="s">
        <v>29</v>
      </c>
      <c r="Q10913">
        <v>42</v>
      </c>
      <c r="R10913">
        <v>-87.629800000000003</v>
      </c>
    </row>
    <row r="10914" spans="1:18" x14ac:dyDescent="0.2">
      <c r="A10914" t="s">
        <v>439</v>
      </c>
      <c r="B10914" t="s">
        <v>4321</v>
      </c>
      <c r="C10914">
        <v>1</v>
      </c>
      <c r="D10914" s="1">
        <v>44371.695648148147</v>
      </c>
      <c r="E10914" t="s">
        <v>33843</v>
      </c>
      <c r="F10914" t="s">
        <v>442</v>
      </c>
      <c r="G10914" t="s">
        <v>33851</v>
      </c>
      <c r="H10914" t="s">
        <v>444</v>
      </c>
      <c r="I10914" t="s">
        <v>29</v>
      </c>
      <c r="J10914">
        <v>1</v>
      </c>
      <c r="K10914">
        <f>1-888-521-2456</f>
        <v>-3864</v>
      </c>
      <c r="L10914" t="s">
        <v>33852</v>
      </c>
      <c r="M10914" t="s">
        <v>33853</v>
      </c>
      <c r="N10914" t="s">
        <v>2475</v>
      </c>
      <c r="O10914" t="s">
        <v>28</v>
      </c>
      <c r="P10914" t="s">
        <v>29</v>
      </c>
      <c r="Q10914">
        <v>42</v>
      </c>
      <c r="R10914">
        <v>-87.629800000000003</v>
      </c>
    </row>
    <row r="10915" spans="1:18" x14ac:dyDescent="0.2">
      <c r="A10915" t="s">
        <v>439</v>
      </c>
      <c r="B10915" t="s">
        <v>4321</v>
      </c>
      <c r="C10915">
        <v>1</v>
      </c>
      <c r="D10915" s="1">
        <v>44371.695601851854</v>
      </c>
      <c r="E10915" t="s">
        <v>33843</v>
      </c>
      <c r="F10915" t="s">
        <v>442</v>
      </c>
      <c r="G10915" t="s">
        <v>33851</v>
      </c>
      <c r="H10915" t="s">
        <v>444</v>
      </c>
      <c r="I10915" t="s">
        <v>29</v>
      </c>
      <c r="J10915">
        <v>1</v>
      </c>
      <c r="K10915">
        <f>1-888-662-8165</f>
        <v>-9714</v>
      </c>
      <c r="L10915" t="s">
        <v>33854</v>
      </c>
      <c r="M10915" t="s">
        <v>33855</v>
      </c>
      <c r="N10915" t="s">
        <v>2475</v>
      </c>
      <c r="O10915" t="s">
        <v>28</v>
      </c>
      <c r="P10915" t="s">
        <v>29</v>
      </c>
      <c r="Q10915">
        <v>42</v>
      </c>
      <c r="R10915">
        <v>-87.629800000000003</v>
      </c>
    </row>
    <row r="10916" spans="1:18" x14ac:dyDescent="0.2">
      <c r="A10916" t="s">
        <v>2349</v>
      </c>
      <c r="B10916" t="s">
        <v>4281</v>
      </c>
      <c r="C10916">
        <v>1</v>
      </c>
      <c r="D10916" s="1">
        <v>44368.8124537037</v>
      </c>
      <c r="E10916" t="s">
        <v>33856</v>
      </c>
      <c r="F10916" t="s">
        <v>31524</v>
      </c>
      <c r="G10916" t="s">
        <v>33856</v>
      </c>
      <c r="H10916" t="s">
        <v>2353</v>
      </c>
      <c r="I10916" t="s">
        <v>29</v>
      </c>
      <c r="J10916">
        <v>1</v>
      </c>
      <c r="K10916">
        <f>1-844-645-6842</f>
        <v>-8330</v>
      </c>
      <c r="L10916" t="s">
        <v>33857</v>
      </c>
      <c r="M10916" t="s">
        <v>33858</v>
      </c>
      <c r="N10916">
        <v>69</v>
      </c>
      <c r="O10916" t="s">
        <v>134</v>
      </c>
      <c r="P10916" t="s">
        <v>24</v>
      </c>
      <c r="Q10916">
        <v>50</v>
      </c>
      <c r="R10916">
        <v>8.7147000000000006</v>
      </c>
    </row>
    <row r="10917" spans="1:18" x14ac:dyDescent="0.2">
      <c r="A10917" t="s">
        <v>6586</v>
      </c>
      <c r="B10917" t="s">
        <v>6310</v>
      </c>
      <c r="C10917">
        <v>1</v>
      </c>
      <c r="D10917" s="1">
        <v>44368.817662037036</v>
      </c>
      <c r="E10917" t="s">
        <v>33859</v>
      </c>
      <c r="F10917" t="s">
        <v>6588</v>
      </c>
      <c r="G10917" t="s">
        <v>33859</v>
      </c>
      <c r="H10917" t="s">
        <v>6590</v>
      </c>
      <c r="I10917" t="s">
        <v>29</v>
      </c>
      <c r="J10917">
        <v>1</v>
      </c>
      <c r="K10917">
        <f>1-844-645-6842</f>
        <v>-8330</v>
      </c>
      <c r="L10917" t="s">
        <v>33860</v>
      </c>
      <c r="M10917" t="s">
        <v>33861</v>
      </c>
      <c r="N10917">
        <v>138</v>
      </c>
      <c r="O10917" t="s">
        <v>134</v>
      </c>
      <c r="P10917" t="s">
        <v>29</v>
      </c>
      <c r="Q10917">
        <v>34</v>
      </c>
      <c r="R10917">
        <v>-84.387100000000004</v>
      </c>
    </row>
    <row r="10918" spans="1:18" x14ac:dyDescent="0.2">
      <c r="A10918" t="s">
        <v>439</v>
      </c>
      <c r="B10918" t="s">
        <v>4321</v>
      </c>
      <c r="C10918">
        <v>1</v>
      </c>
      <c r="D10918" s="1">
        <v>44368.822199074071</v>
      </c>
      <c r="E10918" t="s">
        <v>33862</v>
      </c>
      <c r="F10918" t="s">
        <v>442</v>
      </c>
      <c r="G10918" t="s">
        <v>33863</v>
      </c>
      <c r="H10918" t="s">
        <v>444</v>
      </c>
      <c r="I10918" t="s">
        <v>29</v>
      </c>
      <c r="J10918">
        <v>1</v>
      </c>
      <c r="K10918">
        <f>1-844-763-2866</f>
        <v>-4472</v>
      </c>
      <c r="L10918" t="s">
        <v>33864</v>
      </c>
      <c r="M10918" t="s">
        <v>33865</v>
      </c>
      <c r="N10918" t="s">
        <v>452</v>
      </c>
      <c r="O10918" t="s">
        <v>28</v>
      </c>
      <c r="P10918" t="s">
        <v>29</v>
      </c>
      <c r="Q10918">
        <v>42</v>
      </c>
      <c r="R10918">
        <v>-87.629800000000003</v>
      </c>
    </row>
    <row r="10919" spans="1:18" x14ac:dyDescent="0.2">
      <c r="A10919" t="s">
        <v>439</v>
      </c>
      <c r="B10919" t="s">
        <v>4321</v>
      </c>
      <c r="C10919">
        <v>1</v>
      </c>
      <c r="D10919" s="1">
        <v>44368.822152777779</v>
      </c>
      <c r="E10919" t="s">
        <v>33862</v>
      </c>
      <c r="F10919" t="s">
        <v>442</v>
      </c>
      <c r="G10919" t="s">
        <v>33863</v>
      </c>
      <c r="H10919" t="s">
        <v>444</v>
      </c>
      <c r="I10919" t="s">
        <v>29</v>
      </c>
      <c r="J10919">
        <v>1</v>
      </c>
      <c r="K10919">
        <f>1-888-597-1345</f>
        <v>-2829</v>
      </c>
      <c r="L10919" t="s">
        <v>33866</v>
      </c>
      <c r="M10919" t="s">
        <v>33867</v>
      </c>
      <c r="N10919" t="s">
        <v>452</v>
      </c>
      <c r="O10919" t="s">
        <v>28</v>
      </c>
      <c r="P10919" t="s">
        <v>29</v>
      </c>
      <c r="Q10919">
        <v>42</v>
      </c>
      <c r="R10919">
        <v>-87.629800000000003</v>
      </c>
    </row>
    <row r="10920" spans="1:18" x14ac:dyDescent="0.2">
      <c r="A10920" t="s">
        <v>439</v>
      </c>
      <c r="B10920" t="s">
        <v>4321</v>
      </c>
      <c r="C10920">
        <v>1</v>
      </c>
      <c r="D10920" s="1">
        <v>44368.822013888886</v>
      </c>
      <c r="E10920" t="s">
        <v>33862</v>
      </c>
      <c r="F10920" t="s">
        <v>442</v>
      </c>
      <c r="G10920" t="s">
        <v>33863</v>
      </c>
      <c r="H10920" t="s">
        <v>444</v>
      </c>
      <c r="I10920" t="s">
        <v>29</v>
      </c>
      <c r="J10920">
        <v>1</v>
      </c>
      <c r="K10920">
        <f>1-888-251-9064</f>
        <v>-10202</v>
      </c>
      <c r="L10920" t="s">
        <v>33868</v>
      </c>
      <c r="M10920" t="s">
        <v>33869</v>
      </c>
      <c r="N10920" t="s">
        <v>452</v>
      </c>
      <c r="O10920" t="s">
        <v>28</v>
      </c>
      <c r="P10920" t="s">
        <v>29</v>
      </c>
      <c r="Q10920">
        <v>42</v>
      </c>
      <c r="R10920">
        <v>-87.629800000000003</v>
      </c>
    </row>
    <row r="10921" spans="1:18" x14ac:dyDescent="0.2">
      <c r="A10921" t="s">
        <v>439</v>
      </c>
      <c r="B10921" t="s">
        <v>4321</v>
      </c>
      <c r="C10921">
        <v>1</v>
      </c>
      <c r="D10921" s="1">
        <v>44368.822106481479</v>
      </c>
      <c r="E10921" t="s">
        <v>33862</v>
      </c>
      <c r="F10921" t="s">
        <v>442</v>
      </c>
      <c r="G10921" t="s">
        <v>33870</v>
      </c>
      <c r="H10921" t="s">
        <v>444</v>
      </c>
      <c r="I10921" t="s">
        <v>29</v>
      </c>
      <c r="J10921">
        <v>1</v>
      </c>
      <c r="K10921">
        <f>1-888-204-3095</f>
        <v>-4186</v>
      </c>
      <c r="L10921" t="s">
        <v>33871</v>
      </c>
      <c r="M10921" t="s">
        <v>33872</v>
      </c>
      <c r="N10921" t="s">
        <v>452</v>
      </c>
      <c r="O10921" t="s">
        <v>28</v>
      </c>
      <c r="P10921" t="s">
        <v>29</v>
      </c>
      <c r="Q10921">
        <v>42</v>
      </c>
      <c r="R10921">
        <v>-87.629800000000003</v>
      </c>
    </row>
    <row r="10922" spans="1:18" x14ac:dyDescent="0.2">
      <c r="A10922" t="s">
        <v>439</v>
      </c>
      <c r="B10922" t="s">
        <v>4321</v>
      </c>
      <c r="C10922">
        <v>1</v>
      </c>
      <c r="D10922" s="1">
        <v>44368.822060185186</v>
      </c>
      <c r="E10922" t="s">
        <v>33862</v>
      </c>
      <c r="F10922" t="s">
        <v>442</v>
      </c>
      <c r="G10922" t="s">
        <v>33870</v>
      </c>
      <c r="H10922" t="s">
        <v>444</v>
      </c>
      <c r="I10922" t="s">
        <v>29</v>
      </c>
      <c r="J10922">
        <v>1</v>
      </c>
      <c r="K10922">
        <f>1-888-210-2878</f>
        <v>-3975</v>
      </c>
      <c r="L10922" t="s">
        <v>33873</v>
      </c>
      <c r="M10922" t="s">
        <v>33874</v>
      </c>
      <c r="N10922" t="s">
        <v>452</v>
      </c>
      <c r="O10922" t="s">
        <v>28</v>
      </c>
      <c r="P10922" t="s">
        <v>29</v>
      </c>
      <c r="Q10922">
        <v>42</v>
      </c>
      <c r="R10922">
        <v>-87.629800000000003</v>
      </c>
    </row>
    <row r="10923" spans="1:18" x14ac:dyDescent="0.2">
      <c r="A10923" t="s">
        <v>6586</v>
      </c>
      <c r="B10923" t="s">
        <v>24593</v>
      </c>
      <c r="C10923">
        <v>1</v>
      </c>
      <c r="D10923" s="1">
        <v>44368.827141203707</v>
      </c>
      <c r="E10923" t="s">
        <v>33875</v>
      </c>
      <c r="F10923" t="s">
        <v>6588</v>
      </c>
      <c r="G10923" t="s">
        <v>33875</v>
      </c>
      <c r="H10923" t="s">
        <v>6590</v>
      </c>
      <c r="I10923" t="s">
        <v>29</v>
      </c>
      <c r="J10923">
        <v>1</v>
      </c>
      <c r="K10923">
        <f>1-844-645-6842</f>
        <v>-8330</v>
      </c>
      <c r="L10923" t="s">
        <v>33876</v>
      </c>
      <c r="M10923" t="s">
        <v>33877</v>
      </c>
      <c r="N10923">
        <v>131</v>
      </c>
      <c r="O10923" t="s">
        <v>134</v>
      </c>
      <c r="P10923" t="s">
        <v>29</v>
      </c>
      <c r="Q10923">
        <v>41</v>
      </c>
      <c r="R10923">
        <v>-74.459199999999996</v>
      </c>
    </row>
    <row r="10924" spans="1:18" x14ac:dyDescent="0.2">
      <c r="A10924" t="s">
        <v>6586</v>
      </c>
      <c r="B10924" t="s">
        <v>4281</v>
      </c>
      <c r="C10924">
        <v>1</v>
      </c>
      <c r="D10924" s="1">
        <v>44368.830370370371</v>
      </c>
      <c r="E10924" t="s">
        <v>33878</v>
      </c>
      <c r="F10924" t="s">
        <v>6588</v>
      </c>
      <c r="G10924" t="s">
        <v>33878</v>
      </c>
      <c r="H10924" t="s">
        <v>6590</v>
      </c>
      <c r="I10924" t="s">
        <v>29</v>
      </c>
      <c r="J10924">
        <v>1</v>
      </c>
      <c r="K10924">
        <f>1-844-645-6842</f>
        <v>-8330</v>
      </c>
      <c r="L10924" t="s">
        <v>33879</v>
      </c>
      <c r="M10924" t="s">
        <v>33880</v>
      </c>
      <c r="N10924">
        <v>176</v>
      </c>
      <c r="O10924" t="s">
        <v>134</v>
      </c>
      <c r="P10924" t="s">
        <v>24</v>
      </c>
      <c r="Q10924">
        <v>50</v>
      </c>
      <c r="R10924">
        <v>8.6843000000000004</v>
      </c>
    </row>
    <row r="10925" spans="1:18" x14ac:dyDescent="0.2">
      <c r="A10925" t="s">
        <v>6586</v>
      </c>
      <c r="B10925" t="s">
        <v>28518</v>
      </c>
      <c r="C10925">
        <v>1</v>
      </c>
      <c r="D10925" s="1">
        <v>44368.835150462961</v>
      </c>
      <c r="E10925" t="s">
        <v>33881</v>
      </c>
      <c r="F10925" t="s">
        <v>6588</v>
      </c>
      <c r="G10925" t="s">
        <v>33881</v>
      </c>
      <c r="H10925" t="s">
        <v>6590</v>
      </c>
      <c r="I10925" t="s">
        <v>29</v>
      </c>
      <c r="J10925">
        <v>1</v>
      </c>
      <c r="K10925">
        <f>1-844-645-6842</f>
        <v>-8330</v>
      </c>
      <c r="L10925" t="s">
        <v>33882</v>
      </c>
      <c r="M10925" t="s">
        <v>33883</v>
      </c>
      <c r="N10925">
        <v>54</v>
      </c>
      <c r="O10925" t="s">
        <v>134</v>
      </c>
      <c r="P10925" t="s">
        <v>53</v>
      </c>
      <c r="Q10925">
        <v>36</v>
      </c>
      <c r="R10925">
        <v>99.999999000000003</v>
      </c>
    </row>
    <row r="10926" spans="1:18" x14ac:dyDescent="0.2">
      <c r="A10926" t="s">
        <v>2349</v>
      </c>
      <c r="B10926" t="s">
        <v>1212</v>
      </c>
      <c r="C10926">
        <v>1</v>
      </c>
      <c r="D10926" s="1">
        <v>44368.836527777778</v>
      </c>
      <c r="E10926" t="s">
        <v>33884</v>
      </c>
      <c r="F10926" t="s">
        <v>31524</v>
      </c>
      <c r="G10926" t="s">
        <v>33884</v>
      </c>
      <c r="H10926" t="s">
        <v>2353</v>
      </c>
      <c r="I10926" t="s">
        <v>29</v>
      </c>
      <c r="J10926">
        <v>1</v>
      </c>
      <c r="K10926">
        <f>1-844-645-6842</f>
        <v>-8330</v>
      </c>
      <c r="L10926" t="s">
        <v>33885</v>
      </c>
      <c r="M10926" t="s">
        <v>33886</v>
      </c>
      <c r="N10926">
        <v>63</v>
      </c>
      <c r="O10926" t="s">
        <v>134</v>
      </c>
      <c r="P10926" t="s">
        <v>618</v>
      </c>
      <c r="Q10926">
        <v>52</v>
      </c>
      <c r="R10926">
        <v>-6.3799999999999996E-2</v>
      </c>
    </row>
    <row r="10927" spans="1:18" x14ac:dyDescent="0.2">
      <c r="A10927" t="s">
        <v>439</v>
      </c>
      <c r="B10927" t="s">
        <v>4321</v>
      </c>
      <c r="C10927">
        <v>1</v>
      </c>
      <c r="D10927" s="1">
        <v>44368.857708333337</v>
      </c>
      <c r="E10927" t="s">
        <v>33887</v>
      </c>
      <c r="F10927" t="s">
        <v>442</v>
      </c>
      <c r="G10927" t="s">
        <v>33888</v>
      </c>
      <c r="H10927" t="s">
        <v>444</v>
      </c>
      <c r="I10927" t="s">
        <v>29</v>
      </c>
      <c r="J10927">
        <v>1</v>
      </c>
      <c r="K10927">
        <f>1-844-763-2866</f>
        <v>-4472</v>
      </c>
      <c r="L10927" t="s">
        <v>33889</v>
      </c>
      <c r="M10927" t="s">
        <v>33890</v>
      </c>
      <c r="N10927" t="s">
        <v>452</v>
      </c>
      <c r="O10927" t="s">
        <v>28</v>
      </c>
      <c r="P10927" t="s">
        <v>29</v>
      </c>
      <c r="Q10927">
        <v>42</v>
      </c>
      <c r="R10927">
        <v>-87.629800000000003</v>
      </c>
    </row>
    <row r="10928" spans="1:18" x14ac:dyDescent="0.2">
      <c r="A10928" t="s">
        <v>439</v>
      </c>
      <c r="B10928" t="s">
        <v>4321</v>
      </c>
      <c r="C10928">
        <v>1</v>
      </c>
      <c r="D10928" s="1">
        <v>44368.85765046296</v>
      </c>
      <c r="E10928" t="s">
        <v>33887</v>
      </c>
      <c r="F10928" t="s">
        <v>442</v>
      </c>
      <c r="G10928" t="s">
        <v>33888</v>
      </c>
      <c r="H10928" t="s">
        <v>444</v>
      </c>
      <c r="I10928" t="s">
        <v>29</v>
      </c>
      <c r="J10928">
        <v>1</v>
      </c>
      <c r="K10928">
        <f>1-888-597-1345</f>
        <v>-2829</v>
      </c>
      <c r="L10928" t="s">
        <v>33891</v>
      </c>
      <c r="M10928" t="s">
        <v>33892</v>
      </c>
      <c r="N10928" t="s">
        <v>452</v>
      </c>
      <c r="O10928" t="s">
        <v>28</v>
      </c>
      <c r="P10928" t="s">
        <v>29</v>
      </c>
      <c r="Q10928">
        <v>42</v>
      </c>
      <c r="R10928">
        <v>-87.629800000000003</v>
      </c>
    </row>
    <row r="10929" spans="1:18" x14ac:dyDescent="0.2">
      <c r="A10929" t="s">
        <v>439</v>
      </c>
      <c r="B10929" t="s">
        <v>4321</v>
      </c>
      <c r="C10929">
        <v>1</v>
      </c>
      <c r="D10929" s="1">
        <v>44368.857604166667</v>
      </c>
      <c r="E10929" t="s">
        <v>33887</v>
      </c>
      <c r="F10929" t="s">
        <v>442</v>
      </c>
      <c r="G10929" t="s">
        <v>33888</v>
      </c>
      <c r="H10929" t="s">
        <v>444</v>
      </c>
      <c r="I10929" t="s">
        <v>29</v>
      </c>
      <c r="J10929">
        <v>1</v>
      </c>
      <c r="K10929">
        <f>1-888-210-2878</f>
        <v>-3975</v>
      </c>
      <c r="L10929" t="s">
        <v>33893</v>
      </c>
      <c r="M10929" t="s">
        <v>33894</v>
      </c>
      <c r="N10929" t="s">
        <v>452</v>
      </c>
      <c r="O10929" t="s">
        <v>28</v>
      </c>
      <c r="P10929" t="s">
        <v>29</v>
      </c>
      <c r="Q10929">
        <v>42</v>
      </c>
      <c r="R10929">
        <v>-87.629800000000003</v>
      </c>
    </row>
    <row r="10930" spans="1:18" x14ac:dyDescent="0.2">
      <c r="A10930" t="s">
        <v>439</v>
      </c>
      <c r="B10930" t="s">
        <v>4321</v>
      </c>
      <c r="C10930">
        <v>1</v>
      </c>
      <c r="D10930" s="1">
        <v>44368.857557870368</v>
      </c>
      <c r="E10930" t="s">
        <v>33887</v>
      </c>
      <c r="F10930" t="s">
        <v>442</v>
      </c>
      <c r="G10930" t="s">
        <v>33888</v>
      </c>
      <c r="H10930" t="s">
        <v>444</v>
      </c>
      <c r="I10930" t="s">
        <v>29</v>
      </c>
      <c r="J10930">
        <v>1</v>
      </c>
      <c r="K10930">
        <f>1-888-204-3095</f>
        <v>-4186</v>
      </c>
      <c r="L10930" t="s">
        <v>33895</v>
      </c>
      <c r="M10930" t="s">
        <v>33896</v>
      </c>
      <c r="N10930" t="s">
        <v>452</v>
      </c>
      <c r="O10930" t="s">
        <v>28</v>
      </c>
      <c r="P10930" t="s">
        <v>29</v>
      </c>
      <c r="Q10930">
        <v>42</v>
      </c>
      <c r="R10930">
        <v>-87.629800000000003</v>
      </c>
    </row>
    <row r="10931" spans="1:18" x14ac:dyDescent="0.2">
      <c r="A10931" t="s">
        <v>439</v>
      </c>
      <c r="B10931" t="s">
        <v>4321</v>
      </c>
      <c r="C10931">
        <v>1</v>
      </c>
      <c r="D10931" s="1">
        <v>44368.857499999998</v>
      </c>
      <c r="E10931" t="s">
        <v>33887</v>
      </c>
      <c r="F10931" t="s">
        <v>442</v>
      </c>
      <c r="G10931" t="s">
        <v>33888</v>
      </c>
      <c r="H10931" t="s">
        <v>444</v>
      </c>
      <c r="I10931" t="s">
        <v>29</v>
      </c>
      <c r="J10931">
        <v>1</v>
      </c>
      <c r="K10931">
        <f>1-888-251-9064</f>
        <v>-10202</v>
      </c>
      <c r="L10931" t="s">
        <v>33897</v>
      </c>
      <c r="M10931" t="s">
        <v>33898</v>
      </c>
      <c r="N10931" t="s">
        <v>452</v>
      </c>
      <c r="O10931" t="s">
        <v>28</v>
      </c>
      <c r="P10931" t="s">
        <v>29</v>
      </c>
      <c r="Q10931">
        <v>42</v>
      </c>
      <c r="R10931">
        <v>-87.629800000000003</v>
      </c>
    </row>
    <row r="10932" spans="1:18" x14ac:dyDescent="0.2">
      <c r="A10932" t="s">
        <v>2349</v>
      </c>
      <c r="B10932" t="s">
        <v>10634</v>
      </c>
      <c r="C10932">
        <v>1</v>
      </c>
      <c r="D10932" s="1">
        <v>44368.864814814813</v>
      </c>
      <c r="E10932" t="s">
        <v>33899</v>
      </c>
      <c r="F10932" t="s">
        <v>31524</v>
      </c>
      <c r="G10932" t="s">
        <v>33899</v>
      </c>
      <c r="H10932" t="s">
        <v>2353</v>
      </c>
      <c r="I10932" t="s">
        <v>29</v>
      </c>
      <c r="J10932">
        <v>1</v>
      </c>
      <c r="K10932">
        <f>1-844-645-6842</f>
        <v>-8330</v>
      </c>
      <c r="L10932" t="s">
        <v>33900</v>
      </c>
      <c r="M10932" t="s">
        <v>33901</v>
      </c>
      <c r="N10932">
        <v>133</v>
      </c>
      <c r="O10932" t="s">
        <v>134</v>
      </c>
      <c r="P10932" t="s">
        <v>292</v>
      </c>
      <c r="Q10932">
        <v>49</v>
      </c>
      <c r="R10932">
        <v>2.3868999999999998</v>
      </c>
    </row>
    <row r="10933" spans="1:18" x14ac:dyDescent="0.2">
      <c r="A10933" t="s">
        <v>2349</v>
      </c>
      <c r="B10933" t="s">
        <v>4281</v>
      </c>
      <c r="C10933">
        <v>1</v>
      </c>
      <c r="D10933" s="1">
        <v>44368.87027777778</v>
      </c>
      <c r="E10933" t="s">
        <v>33902</v>
      </c>
      <c r="F10933" t="s">
        <v>2352</v>
      </c>
      <c r="G10933" t="s">
        <v>33902</v>
      </c>
      <c r="H10933" t="s">
        <v>2353</v>
      </c>
      <c r="I10933" t="s">
        <v>29</v>
      </c>
      <c r="J10933">
        <v>1</v>
      </c>
      <c r="K10933">
        <f>1-888-218-5857</f>
        <v>-6962</v>
      </c>
      <c r="L10933" t="s">
        <v>33903</v>
      </c>
      <c r="M10933" t="s">
        <v>33904</v>
      </c>
      <c r="N10933">
        <v>150</v>
      </c>
      <c r="O10933" t="s">
        <v>134</v>
      </c>
      <c r="P10933" t="s">
        <v>24</v>
      </c>
      <c r="Q10933">
        <v>50</v>
      </c>
      <c r="R10933">
        <v>8.6843000000000004</v>
      </c>
    </row>
    <row r="10934" spans="1:18" x14ac:dyDescent="0.2">
      <c r="A10934" t="s">
        <v>663</v>
      </c>
      <c r="B10934" t="s">
        <v>3245</v>
      </c>
      <c r="C10934">
        <v>1</v>
      </c>
      <c r="D10934" s="1">
        <v>44368.877083333333</v>
      </c>
      <c r="E10934" t="s">
        <v>33905</v>
      </c>
      <c r="F10934" t="s">
        <v>666</v>
      </c>
      <c r="G10934" t="s">
        <v>33905</v>
      </c>
      <c r="H10934" t="s">
        <v>667</v>
      </c>
      <c r="I10934" t="s">
        <v>29</v>
      </c>
      <c r="J10934">
        <v>1</v>
      </c>
      <c r="K10934">
        <f>1-888-218-5857</f>
        <v>-6962</v>
      </c>
      <c r="L10934" t="s">
        <v>33906</v>
      </c>
      <c r="M10934" t="s">
        <v>33907</v>
      </c>
      <c r="N10934">
        <v>52</v>
      </c>
      <c r="O10934" t="s">
        <v>134</v>
      </c>
      <c r="P10934" t="s">
        <v>29</v>
      </c>
      <c r="Q10934">
        <v>41</v>
      </c>
      <c r="R10934">
        <v>-74.140299999999996</v>
      </c>
    </row>
    <row r="10935" spans="1:18" x14ac:dyDescent="0.2">
      <c r="A10935" t="s">
        <v>663</v>
      </c>
      <c r="B10935" t="s">
        <v>4281</v>
      </c>
      <c r="C10935">
        <v>1</v>
      </c>
      <c r="D10935" s="1">
        <v>44368.896099537036</v>
      </c>
      <c r="E10935" t="s">
        <v>33908</v>
      </c>
      <c r="F10935" t="s">
        <v>666</v>
      </c>
      <c r="G10935" t="s">
        <v>33908</v>
      </c>
      <c r="H10935" t="s">
        <v>667</v>
      </c>
      <c r="I10935" t="s">
        <v>29</v>
      </c>
      <c r="J10935">
        <v>1</v>
      </c>
      <c r="K10935">
        <f>1-844-606-5307</f>
        <v>-6756</v>
      </c>
      <c r="L10935" t="s">
        <v>33909</v>
      </c>
      <c r="M10935" t="s">
        <v>33910</v>
      </c>
      <c r="N10935">
        <v>80</v>
      </c>
      <c r="O10935" t="s">
        <v>134</v>
      </c>
      <c r="P10935" t="s">
        <v>24</v>
      </c>
      <c r="Q10935">
        <v>50</v>
      </c>
      <c r="R10935">
        <v>8.6843000000000004</v>
      </c>
    </row>
    <row r="10936" spans="1:18" x14ac:dyDescent="0.2">
      <c r="A10936" t="s">
        <v>2233</v>
      </c>
      <c r="B10936" t="s">
        <v>1638</v>
      </c>
      <c r="C10936">
        <v>1</v>
      </c>
      <c r="D10936" s="1">
        <v>44368.914849537039</v>
      </c>
      <c r="E10936" t="s">
        <v>33911</v>
      </c>
      <c r="F10936" t="s">
        <v>2236</v>
      </c>
      <c r="G10936" t="s">
        <v>33912</v>
      </c>
      <c r="H10936" t="s">
        <v>2237</v>
      </c>
      <c r="I10936" t="s">
        <v>29</v>
      </c>
      <c r="J10936">
        <v>1</v>
      </c>
      <c r="K10936">
        <f>1-888-202-3347</f>
        <v>-4436</v>
      </c>
      <c r="L10936" t="s">
        <v>33913</v>
      </c>
      <c r="M10936" t="s">
        <v>33914</v>
      </c>
      <c r="N10936" t="s">
        <v>278</v>
      </c>
      <c r="O10936" t="s">
        <v>28</v>
      </c>
      <c r="P10936" t="s">
        <v>292</v>
      </c>
      <c r="Q10936">
        <v>49</v>
      </c>
      <c r="R10936">
        <v>2.35222</v>
      </c>
    </row>
    <row r="10937" spans="1:18" x14ac:dyDescent="0.2">
      <c r="A10937" t="s">
        <v>439</v>
      </c>
      <c r="B10937" t="s">
        <v>4321</v>
      </c>
      <c r="C10937">
        <v>1</v>
      </c>
      <c r="D10937" s="1">
        <v>44368.921701388892</v>
      </c>
      <c r="E10937" t="s">
        <v>33915</v>
      </c>
      <c r="F10937" t="s">
        <v>442</v>
      </c>
      <c r="G10937" t="s">
        <v>33916</v>
      </c>
      <c r="H10937" t="s">
        <v>444</v>
      </c>
      <c r="I10937" t="s">
        <v>29</v>
      </c>
      <c r="J10937">
        <v>1</v>
      </c>
      <c r="K10937">
        <f>1-877-695-2089</f>
        <v>-3660</v>
      </c>
      <c r="L10937" t="s">
        <v>33917</v>
      </c>
      <c r="M10937" t="s">
        <v>33918</v>
      </c>
      <c r="N10937" t="s">
        <v>213</v>
      </c>
      <c r="O10937" t="s">
        <v>28</v>
      </c>
      <c r="P10937" t="s">
        <v>29</v>
      </c>
      <c r="Q10937">
        <v>42</v>
      </c>
      <c r="R10937">
        <v>-87.629800000000003</v>
      </c>
    </row>
    <row r="10938" spans="1:18" x14ac:dyDescent="0.2">
      <c r="A10938" t="s">
        <v>663</v>
      </c>
      <c r="B10938" t="s">
        <v>5784</v>
      </c>
      <c r="C10938">
        <v>1</v>
      </c>
      <c r="D10938" s="1">
        <v>44368.979826388888</v>
      </c>
      <c r="E10938" t="s">
        <v>33919</v>
      </c>
      <c r="F10938" t="s">
        <v>666</v>
      </c>
      <c r="G10938" t="s">
        <v>33919</v>
      </c>
      <c r="H10938" t="s">
        <v>667</v>
      </c>
      <c r="I10938" t="s">
        <v>29</v>
      </c>
      <c r="J10938">
        <v>1</v>
      </c>
      <c r="K10938">
        <f>1-844-763-2866</f>
        <v>-4472</v>
      </c>
      <c r="L10938" t="s">
        <v>33920</v>
      </c>
      <c r="M10938" t="s">
        <v>33921</v>
      </c>
      <c r="N10938">
        <v>71</v>
      </c>
      <c r="O10938" t="s">
        <v>134</v>
      </c>
      <c r="P10938" t="s">
        <v>5789</v>
      </c>
      <c r="Q10938">
        <v>13</v>
      </c>
      <c r="R10938">
        <v>77.585499999999996</v>
      </c>
    </row>
    <row r="10939" spans="1:18" x14ac:dyDescent="0.2">
      <c r="A10939" t="s">
        <v>663</v>
      </c>
      <c r="B10939" t="s">
        <v>5784</v>
      </c>
      <c r="C10939">
        <v>1</v>
      </c>
      <c r="D10939" s="1">
        <v>44368.979780092595</v>
      </c>
      <c r="E10939" t="s">
        <v>33919</v>
      </c>
      <c r="F10939" t="s">
        <v>666</v>
      </c>
      <c r="G10939" t="s">
        <v>33919</v>
      </c>
      <c r="H10939" t="s">
        <v>667</v>
      </c>
      <c r="I10939" t="s">
        <v>29</v>
      </c>
      <c r="J10939">
        <v>1</v>
      </c>
      <c r="K10939">
        <f>1-888-597-1345</f>
        <v>-2829</v>
      </c>
      <c r="L10939" t="s">
        <v>33922</v>
      </c>
      <c r="M10939" t="s">
        <v>33923</v>
      </c>
      <c r="N10939">
        <v>71</v>
      </c>
      <c r="O10939" t="s">
        <v>134</v>
      </c>
      <c r="P10939" t="s">
        <v>5789</v>
      </c>
      <c r="Q10939">
        <v>13</v>
      </c>
      <c r="R10939">
        <v>77.585499999999996</v>
      </c>
    </row>
    <row r="10940" spans="1:18" x14ac:dyDescent="0.2">
      <c r="A10940" t="s">
        <v>663</v>
      </c>
      <c r="B10940" t="s">
        <v>5784</v>
      </c>
      <c r="C10940">
        <v>1</v>
      </c>
      <c r="D10940" s="1">
        <v>44368.979733796295</v>
      </c>
      <c r="E10940" t="s">
        <v>33919</v>
      </c>
      <c r="F10940" t="s">
        <v>666</v>
      </c>
      <c r="G10940" t="s">
        <v>33919</v>
      </c>
      <c r="H10940" t="s">
        <v>667</v>
      </c>
      <c r="I10940" t="s">
        <v>29</v>
      </c>
      <c r="J10940">
        <v>1</v>
      </c>
      <c r="K10940">
        <f>1-888-251-9064</f>
        <v>-10202</v>
      </c>
      <c r="L10940" t="s">
        <v>33924</v>
      </c>
      <c r="M10940" t="s">
        <v>33925</v>
      </c>
      <c r="N10940">
        <v>71</v>
      </c>
      <c r="O10940" t="s">
        <v>134</v>
      </c>
      <c r="P10940" t="s">
        <v>5789</v>
      </c>
      <c r="Q10940">
        <v>13</v>
      </c>
      <c r="R10940">
        <v>77.585499999999996</v>
      </c>
    </row>
    <row r="10941" spans="1:18" x14ac:dyDescent="0.2">
      <c r="A10941" t="s">
        <v>663</v>
      </c>
      <c r="B10941" t="s">
        <v>5784</v>
      </c>
      <c r="C10941">
        <v>1</v>
      </c>
      <c r="D10941" s="1">
        <v>44368.979687500003</v>
      </c>
      <c r="E10941" t="s">
        <v>33919</v>
      </c>
      <c r="F10941" t="s">
        <v>666</v>
      </c>
      <c r="G10941" t="s">
        <v>33919</v>
      </c>
      <c r="H10941" t="s">
        <v>667</v>
      </c>
      <c r="I10941" t="s">
        <v>29</v>
      </c>
      <c r="J10941">
        <v>1</v>
      </c>
      <c r="K10941">
        <f>1-888-210-2878</f>
        <v>-3975</v>
      </c>
      <c r="L10941" t="s">
        <v>33926</v>
      </c>
      <c r="M10941" t="s">
        <v>33927</v>
      </c>
      <c r="N10941">
        <v>71</v>
      </c>
      <c r="O10941" t="s">
        <v>134</v>
      </c>
      <c r="P10941" t="s">
        <v>5789</v>
      </c>
      <c r="Q10941">
        <v>13</v>
      </c>
      <c r="R10941">
        <v>77.585499999999996</v>
      </c>
    </row>
    <row r="10942" spans="1:18" x14ac:dyDescent="0.2">
      <c r="A10942" t="s">
        <v>663</v>
      </c>
      <c r="B10942" t="s">
        <v>5784</v>
      </c>
      <c r="C10942">
        <v>1</v>
      </c>
      <c r="D10942" s="1">
        <v>44368.97965277778</v>
      </c>
      <c r="E10942" t="s">
        <v>33919</v>
      </c>
      <c r="F10942" t="s">
        <v>666</v>
      </c>
      <c r="G10942" t="s">
        <v>33919</v>
      </c>
      <c r="H10942" t="s">
        <v>667</v>
      </c>
      <c r="I10942" t="s">
        <v>29</v>
      </c>
      <c r="J10942">
        <v>1</v>
      </c>
      <c r="K10942">
        <f>1-888-204-3095</f>
        <v>-4186</v>
      </c>
      <c r="L10942" t="s">
        <v>33928</v>
      </c>
      <c r="M10942" t="s">
        <v>33929</v>
      </c>
      <c r="N10942">
        <v>71</v>
      </c>
      <c r="O10942" t="s">
        <v>134</v>
      </c>
      <c r="P10942" t="s">
        <v>5789</v>
      </c>
      <c r="Q10942">
        <v>13</v>
      </c>
      <c r="R10942">
        <v>77.585499999999996</v>
      </c>
    </row>
    <row r="10943" spans="1:18" x14ac:dyDescent="0.2">
      <c r="A10943" t="s">
        <v>663</v>
      </c>
      <c r="B10943" t="s">
        <v>664</v>
      </c>
      <c r="C10943">
        <v>1</v>
      </c>
      <c r="D10943" s="1">
        <v>44368.981921296298</v>
      </c>
      <c r="E10943" t="s">
        <v>33930</v>
      </c>
      <c r="F10943" t="s">
        <v>666</v>
      </c>
      <c r="G10943" t="s">
        <v>33930</v>
      </c>
      <c r="H10943" t="s">
        <v>667</v>
      </c>
      <c r="I10943" t="s">
        <v>29</v>
      </c>
      <c r="J10943">
        <v>1</v>
      </c>
      <c r="K10943">
        <f>1-888-218-5857</f>
        <v>-6962</v>
      </c>
      <c r="L10943" t="s">
        <v>33931</v>
      </c>
      <c r="M10943" t="s">
        <v>33932</v>
      </c>
      <c r="N10943">
        <v>210</v>
      </c>
      <c r="O10943" t="s">
        <v>134</v>
      </c>
      <c r="P10943" t="s">
        <v>29</v>
      </c>
      <c r="Q10943">
        <v>37</v>
      </c>
      <c r="R10943">
        <v>-99.999999000000003</v>
      </c>
    </row>
    <row r="10944" spans="1:18" x14ac:dyDescent="0.2">
      <c r="A10944" t="s">
        <v>663</v>
      </c>
      <c r="B10944" t="s">
        <v>454</v>
      </c>
      <c r="C10944">
        <v>1</v>
      </c>
      <c r="D10944" s="1">
        <v>44368.987511574072</v>
      </c>
      <c r="E10944" t="s">
        <v>33933</v>
      </c>
      <c r="F10944" t="s">
        <v>666</v>
      </c>
      <c r="G10944" t="s">
        <v>33933</v>
      </c>
      <c r="H10944" t="s">
        <v>667</v>
      </c>
      <c r="I10944" t="s">
        <v>29</v>
      </c>
      <c r="J10944">
        <v>1</v>
      </c>
      <c r="K10944">
        <f>1-888-218-5857</f>
        <v>-6962</v>
      </c>
      <c r="L10944" t="s">
        <v>33934</v>
      </c>
      <c r="M10944" t="s">
        <v>33935</v>
      </c>
      <c r="N10944">
        <v>25</v>
      </c>
      <c r="O10944" t="s">
        <v>134</v>
      </c>
      <c r="P10944" t="s">
        <v>461</v>
      </c>
      <c r="Q10944">
        <v>52</v>
      </c>
      <c r="R10944">
        <v>4.9391999999999996</v>
      </c>
    </row>
    <row r="10945" spans="1:18" x14ac:dyDescent="0.2">
      <c r="A10945" t="s">
        <v>439</v>
      </c>
      <c r="B10945" t="s">
        <v>4321</v>
      </c>
      <c r="C10945">
        <v>1</v>
      </c>
      <c r="D10945" s="1">
        <v>44368.988495370373</v>
      </c>
      <c r="E10945" t="s">
        <v>33936</v>
      </c>
      <c r="F10945" t="s">
        <v>442</v>
      </c>
      <c r="G10945" t="s">
        <v>33937</v>
      </c>
      <c r="H10945" t="s">
        <v>444</v>
      </c>
      <c r="I10945" t="s">
        <v>29</v>
      </c>
      <c r="J10945">
        <v>1</v>
      </c>
      <c r="K10945">
        <f>1-844-763-2866</f>
        <v>-4472</v>
      </c>
      <c r="L10945" t="s">
        <v>33938</v>
      </c>
      <c r="M10945" t="s">
        <v>33939</v>
      </c>
      <c r="N10945" t="s">
        <v>1645</v>
      </c>
      <c r="O10945" t="s">
        <v>28</v>
      </c>
      <c r="P10945" t="s">
        <v>29</v>
      </c>
      <c r="Q10945">
        <v>42</v>
      </c>
      <c r="R10945">
        <v>-87.629800000000003</v>
      </c>
    </row>
    <row r="10946" spans="1:18" x14ac:dyDescent="0.2">
      <c r="A10946" t="s">
        <v>439</v>
      </c>
      <c r="B10946" t="s">
        <v>4321</v>
      </c>
      <c r="C10946">
        <v>1</v>
      </c>
      <c r="D10946" s="1">
        <v>44368.988437499997</v>
      </c>
      <c r="E10946" t="s">
        <v>33936</v>
      </c>
      <c r="F10946" t="s">
        <v>442</v>
      </c>
      <c r="G10946" t="s">
        <v>33937</v>
      </c>
      <c r="H10946" t="s">
        <v>444</v>
      </c>
      <c r="I10946" t="s">
        <v>29</v>
      </c>
      <c r="J10946">
        <v>1</v>
      </c>
      <c r="K10946">
        <f>1-888-597-1345</f>
        <v>-2829</v>
      </c>
      <c r="L10946" t="s">
        <v>33940</v>
      </c>
      <c r="M10946" t="s">
        <v>33941</v>
      </c>
      <c r="N10946" t="s">
        <v>1645</v>
      </c>
      <c r="O10946" t="s">
        <v>28</v>
      </c>
      <c r="P10946" t="s">
        <v>29</v>
      </c>
      <c r="Q10946">
        <v>42</v>
      </c>
      <c r="R10946">
        <v>-87.629800000000003</v>
      </c>
    </row>
    <row r="10947" spans="1:18" x14ac:dyDescent="0.2">
      <c r="A10947" t="s">
        <v>439</v>
      </c>
      <c r="B10947" t="s">
        <v>4321</v>
      </c>
      <c r="C10947">
        <v>1</v>
      </c>
      <c r="D10947" s="1">
        <v>44368.988391203704</v>
      </c>
      <c r="E10947" t="s">
        <v>33936</v>
      </c>
      <c r="F10947" t="s">
        <v>442</v>
      </c>
      <c r="G10947" t="s">
        <v>33937</v>
      </c>
      <c r="H10947" t="s">
        <v>444</v>
      </c>
      <c r="I10947" t="s">
        <v>29</v>
      </c>
      <c r="J10947">
        <v>1</v>
      </c>
      <c r="K10947">
        <f>1-888-251-9064</f>
        <v>-10202</v>
      </c>
      <c r="L10947" t="s">
        <v>33942</v>
      </c>
      <c r="M10947" t="s">
        <v>33943</v>
      </c>
      <c r="N10947" t="s">
        <v>1645</v>
      </c>
      <c r="O10947" t="s">
        <v>28</v>
      </c>
      <c r="P10947" t="s">
        <v>29</v>
      </c>
      <c r="Q10947">
        <v>42</v>
      </c>
      <c r="R10947">
        <v>-87.629800000000003</v>
      </c>
    </row>
    <row r="10948" spans="1:18" x14ac:dyDescent="0.2">
      <c r="A10948" t="s">
        <v>439</v>
      </c>
      <c r="B10948" t="s">
        <v>4321</v>
      </c>
      <c r="C10948">
        <v>1</v>
      </c>
      <c r="D10948" s="1">
        <v>44368.988344907404</v>
      </c>
      <c r="E10948" t="s">
        <v>33936</v>
      </c>
      <c r="F10948" t="s">
        <v>442</v>
      </c>
      <c r="G10948" t="s">
        <v>33937</v>
      </c>
      <c r="H10948" t="s">
        <v>444</v>
      </c>
      <c r="I10948" t="s">
        <v>29</v>
      </c>
      <c r="J10948">
        <v>1</v>
      </c>
      <c r="K10948">
        <f>1-888-210-2878</f>
        <v>-3975</v>
      </c>
      <c r="L10948" t="s">
        <v>33944</v>
      </c>
      <c r="M10948" t="s">
        <v>33945</v>
      </c>
      <c r="N10948" t="s">
        <v>1645</v>
      </c>
      <c r="O10948" t="s">
        <v>28</v>
      </c>
      <c r="P10948" t="s">
        <v>29</v>
      </c>
      <c r="Q10948">
        <v>42</v>
      </c>
      <c r="R10948">
        <v>-87.629800000000003</v>
      </c>
    </row>
    <row r="10949" spans="1:18" x14ac:dyDescent="0.2">
      <c r="A10949" t="s">
        <v>439</v>
      </c>
      <c r="B10949" t="s">
        <v>4321</v>
      </c>
      <c r="C10949">
        <v>1</v>
      </c>
      <c r="D10949" s="1">
        <v>44368.988298611112</v>
      </c>
      <c r="E10949" t="s">
        <v>33936</v>
      </c>
      <c r="F10949" t="s">
        <v>442</v>
      </c>
      <c r="G10949" t="s">
        <v>33937</v>
      </c>
      <c r="H10949" t="s">
        <v>444</v>
      </c>
      <c r="I10949" t="s">
        <v>29</v>
      </c>
      <c r="J10949">
        <v>1</v>
      </c>
      <c r="K10949">
        <f>1-888-204-3095</f>
        <v>-4186</v>
      </c>
      <c r="L10949" t="s">
        <v>33946</v>
      </c>
      <c r="M10949" t="s">
        <v>33947</v>
      </c>
      <c r="N10949" t="s">
        <v>1645</v>
      </c>
      <c r="O10949" t="s">
        <v>28</v>
      </c>
      <c r="P10949" t="s">
        <v>29</v>
      </c>
      <c r="Q10949">
        <v>42</v>
      </c>
      <c r="R10949">
        <v>-87.629800000000003</v>
      </c>
    </row>
    <row r="10950" spans="1:18" x14ac:dyDescent="0.2">
      <c r="A10950" t="s">
        <v>2349</v>
      </c>
      <c r="B10950" t="s">
        <v>4281</v>
      </c>
      <c r="C10950">
        <v>1</v>
      </c>
      <c r="D10950" s="1">
        <v>44368.995000000003</v>
      </c>
      <c r="E10950" t="s">
        <v>33948</v>
      </c>
      <c r="F10950" t="s">
        <v>31524</v>
      </c>
      <c r="G10950" t="s">
        <v>33948</v>
      </c>
      <c r="H10950" t="s">
        <v>2353</v>
      </c>
      <c r="I10950" t="s">
        <v>29</v>
      </c>
      <c r="J10950">
        <v>1</v>
      </c>
      <c r="K10950">
        <f>1-844-765-3485</f>
        <v>-5093</v>
      </c>
      <c r="L10950" t="s">
        <v>33949</v>
      </c>
      <c r="M10950" t="s">
        <v>33950</v>
      </c>
      <c r="N10950">
        <v>18</v>
      </c>
      <c r="O10950" t="s">
        <v>134</v>
      </c>
      <c r="P10950" t="s">
        <v>24</v>
      </c>
      <c r="Q10950">
        <v>50</v>
      </c>
      <c r="R10950">
        <v>8.7147000000000006</v>
      </c>
    </row>
    <row r="10951" spans="1:18" x14ac:dyDescent="0.2">
      <c r="B10951" t="s">
        <v>1412</v>
      </c>
      <c r="C10951">
        <v>1</v>
      </c>
      <c r="D10951" s="1">
        <v>44368.997812499998</v>
      </c>
      <c r="E10951" t="s">
        <v>33951</v>
      </c>
      <c r="F10951" t="s">
        <v>2495</v>
      </c>
      <c r="G10951" t="s">
        <v>33952</v>
      </c>
      <c r="H10951" t="s">
        <v>667</v>
      </c>
      <c r="I10951" t="s">
        <v>29</v>
      </c>
      <c r="J10951">
        <v>1</v>
      </c>
      <c r="K10951">
        <f>1-844-698-4963</f>
        <v>-6504</v>
      </c>
      <c r="L10951" t="s">
        <v>33953</v>
      </c>
      <c r="M10951" t="s">
        <v>33954</v>
      </c>
      <c r="N10951" t="s">
        <v>452</v>
      </c>
      <c r="O10951" t="s">
        <v>28</v>
      </c>
      <c r="P10951" t="s">
        <v>29</v>
      </c>
      <c r="Q10951">
        <v>41</v>
      </c>
      <c r="R10951">
        <v>-74.172399999999996</v>
      </c>
    </row>
    <row r="10952" spans="1:18" x14ac:dyDescent="0.2">
      <c r="A10952" t="s">
        <v>439</v>
      </c>
      <c r="B10952" t="s">
        <v>4321</v>
      </c>
      <c r="C10952">
        <v>1</v>
      </c>
      <c r="D10952" s="1">
        <v>44369.018275462964</v>
      </c>
      <c r="E10952" t="s">
        <v>33955</v>
      </c>
      <c r="F10952" t="s">
        <v>442</v>
      </c>
      <c r="G10952" t="s">
        <v>33956</v>
      </c>
      <c r="H10952" t="s">
        <v>444</v>
      </c>
      <c r="I10952" t="s">
        <v>29</v>
      </c>
      <c r="J10952">
        <v>1</v>
      </c>
      <c r="K10952">
        <f>1-888-210-2878</f>
        <v>-3975</v>
      </c>
      <c r="L10952" t="s">
        <v>33957</v>
      </c>
      <c r="M10952" t="s">
        <v>33958</v>
      </c>
      <c r="N10952" t="s">
        <v>1645</v>
      </c>
      <c r="O10952" t="s">
        <v>28</v>
      </c>
      <c r="P10952" t="s">
        <v>29</v>
      </c>
      <c r="Q10952">
        <v>42</v>
      </c>
      <c r="R10952">
        <v>-87.629800000000003</v>
      </c>
    </row>
    <row r="10953" spans="1:18" x14ac:dyDescent="0.2">
      <c r="A10953" t="s">
        <v>439</v>
      </c>
      <c r="B10953" t="s">
        <v>4321</v>
      </c>
      <c r="C10953">
        <v>1</v>
      </c>
      <c r="D10953" s="1">
        <v>44369.018229166664</v>
      </c>
      <c r="E10953" t="s">
        <v>33955</v>
      </c>
      <c r="F10953" t="s">
        <v>442</v>
      </c>
      <c r="G10953" t="s">
        <v>33956</v>
      </c>
      <c r="H10953" t="s">
        <v>444</v>
      </c>
      <c r="I10953" t="s">
        <v>29</v>
      </c>
      <c r="J10953">
        <v>1</v>
      </c>
      <c r="K10953">
        <f>1-888-597-1345</f>
        <v>-2829</v>
      </c>
      <c r="L10953" t="s">
        <v>33959</v>
      </c>
      <c r="M10953" t="s">
        <v>33960</v>
      </c>
      <c r="N10953" t="s">
        <v>1645</v>
      </c>
      <c r="O10953" t="s">
        <v>28</v>
      </c>
      <c r="P10953" t="s">
        <v>29</v>
      </c>
      <c r="Q10953">
        <v>42</v>
      </c>
      <c r="R10953">
        <v>-87.629800000000003</v>
      </c>
    </row>
    <row r="10954" spans="1:18" x14ac:dyDescent="0.2">
      <c r="A10954" t="s">
        <v>439</v>
      </c>
      <c r="B10954" t="s">
        <v>4321</v>
      </c>
      <c r="C10954">
        <v>1</v>
      </c>
      <c r="D10954" s="1">
        <v>44369.018182870372</v>
      </c>
      <c r="E10954" t="s">
        <v>33955</v>
      </c>
      <c r="F10954" t="s">
        <v>442</v>
      </c>
      <c r="G10954" t="s">
        <v>33956</v>
      </c>
      <c r="H10954" t="s">
        <v>444</v>
      </c>
      <c r="I10954" t="s">
        <v>29</v>
      </c>
      <c r="J10954">
        <v>1</v>
      </c>
      <c r="K10954">
        <f>1-888-251-9064</f>
        <v>-10202</v>
      </c>
      <c r="L10954" t="s">
        <v>33961</v>
      </c>
      <c r="M10954" t="s">
        <v>33962</v>
      </c>
      <c r="N10954" t="s">
        <v>1645</v>
      </c>
      <c r="O10954" t="s">
        <v>28</v>
      </c>
      <c r="P10954" t="s">
        <v>29</v>
      </c>
      <c r="Q10954">
        <v>42</v>
      </c>
      <c r="R10954">
        <v>-87.629800000000003</v>
      </c>
    </row>
    <row r="10955" spans="1:18" x14ac:dyDescent="0.2">
      <c r="A10955" t="s">
        <v>439</v>
      </c>
      <c r="B10955" t="s">
        <v>4321</v>
      </c>
      <c r="C10955">
        <v>1</v>
      </c>
      <c r="D10955" s="1">
        <v>44369.017245370371</v>
      </c>
      <c r="E10955" t="s">
        <v>33955</v>
      </c>
      <c r="F10955" t="s">
        <v>442</v>
      </c>
      <c r="G10955" t="s">
        <v>33956</v>
      </c>
      <c r="H10955" t="s">
        <v>444</v>
      </c>
      <c r="I10955" t="s">
        <v>29</v>
      </c>
      <c r="J10955">
        <v>1</v>
      </c>
      <c r="K10955">
        <f>1-888-204-3095</f>
        <v>-4186</v>
      </c>
      <c r="L10955" t="s">
        <v>33963</v>
      </c>
      <c r="M10955" t="s">
        <v>33964</v>
      </c>
      <c r="N10955" t="s">
        <v>1645</v>
      </c>
      <c r="O10955" t="s">
        <v>28</v>
      </c>
      <c r="P10955" t="s">
        <v>29</v>
      </c>
      <c r="Q10955">
        <v>42</v>
      </c>
      <c r="R10955">
        <v>-87.629800000000003</v>
      </c>
    </row>
    <row r="10956" spans="1:18" x14ac:dyDescent="0.2">
      <c r="A10956" t="s">
        <v>439</v>
      </c>
      <c r="B10956" t="s">
        <v>4321</v>
      </c>
      <c r="C10956">
        <v>1</v>
      </c>
      <c r="D10956" s="1">
        <v>44369.018310185187</v>
      </c>
      <c r="E10956" t="s">
        <v>33955</v>
      </c>
      <c r="F10956" t="s">
        <v>442</v>
      </c>
      <c r="G10956" t="s">
        <v>33965</v>
      </c>
      <c r="H10956" t="s">
        <v>444</v>
      </c>
      <c r="I10956" t="s">
        <v>29</v>
      </c>
      <c r="J10956">
        <v>1</v>
      </c>
      <c r="K10956">
        <f>1-844-763-2866</f>
        <v>-4472</v>
      </c>
      <c r="L10956" t="s">
        <v>33966</v>
      </c>
      <c r="M10956" t="s">
        <v>33967</v>
      </c>
      <c r="N10956" t="s">
        <v>1645</v>
      </c>
      <c r="O10956" t="s">
        <v>28</v>
      </c>
      <c r="P10956" t="s">
        <v>29</v>
      </c>
      <c r="Q10956">
        <v>42</v>
      </c>
      <c r="R10956">
        <v>-87.629800000000003</v>
      </c>
    </row>
    <row r="10957" spans="1:18" x14ac:dyDescent="0.2">
      <c r="A10957" t="s">
        <v>439</v>
      </c>
      <c r="B10957" t="s">
        <v>4321</v>
      </c>
      <c r="C10957">
        <v>1</v>
      </c>
      <c r="D10957" s="1">
        <v>44369.047361111108</v>
      </c>
      <c r="E10957" t="s">
        <v>33968</v>
      </c>
      <c r="F10957" t="s">
        <v>442</v>
      </c>
      <c r="G10957" t="s">
        <v>33969</v>
      </c>
      <c r="H10957" t="s">
        <v>444</v>
      </c>
      <c r="I10957" t="s">
        <v>29</v>
      </c>
      <c r="J10957">
        <v>1</v>
      </c>
      <c r="K10957">
        <f>1-888-597-1345</f>
        <v>-2829</v>
      </c>
      <c r="L10957" t="s">
        <v>33970</v>
      </c>
      <c r="M10957" t="s">
        <v>33971</v>
      </c>
      <c r="N10957" t="s">
        <v>1645</v>
      </c>
      <c r="O10957" t="s">
        <v>28</v>
      </c>
      <c r="P10957" t="s">
        <v>29</v>
      </c>
      <c r="Q10957">
        <v>42</v>
      </c>
      <c r="R10957">
        <v>-87.629800000000003</v>
      </c>
    </row>
    <row r="10958" spans="1:18" x14ac:dyDescent="0.2">
      <c r="A10958" t="s">
        <v>439</v>
      </c>
      <c r="B10958" t="s">
        <v>4321</v>
      </c>
      <c r="C10958">
        <v>1</v>
      </c>
      <c r="D10958" s="1">
        <v>44369.047314814816</v>
      </c>
      <c r="E10958" t="s">
        <v>33968</v>
      </c>
      <c r="F10958" t="s">
        <v>442</v>
      </c>
      <c r="G10958" t="s">
        <v>33969</v>
      </c>
      <c r="H10958" t="s">
        <v>444</v>
      </c>
      <c r="I10958" t="s">
        <v>29</v>
      </c>
      <c r="J10958">
        <v>1</v>
      </c>
      <c r="K10958">
        <f>1-888-204-3095</f>
        <v>-4186</v>
      </c>
      <c r="L10958" t="s">
        <v>33972</v>
      </c>
      <c r="M10958" t="s">
        <v>33973</v>
      </c>
      <c r="N10958" t="s">
        <v>1645</v>
      </c>
      <c r="O10958" t="s">
        <v>28</v>
      </c>
      <c r="P10958" t="s">
        <v>29</v>
      </c>
      <c r="Q10958">
        <v>42</v>
      </c>
      <c r="R10958">
        <v>-87.629800000000003</v>
      </c>
    </row>
    <row r="10959" spans="1:18" x14ac:dyDescent="0.2">
      <c r="A10959" t="s">
        <v>439</v>
      </c>
      <c r="B10959" t="s">
        <v>4321</v>
      </c>
      <c r="C10959">
        <v>1</v>
      </c>
      <c r="D10959" s="1">
        <v>44369.047268518516</v>
      </c>
      <c r="E10959" t="s">
        <v>33968</v>
      </c>
      <c r="F10959" t="s">
        <v>442</v>
      </c>
      <c r="G10959" t="s">
        <v>33969</v>
      </c>
      <c r="H10959" t="s">
        <v>444</v>
      </c>
      <c r="I10959" t="s">
        <v>29</v>
      </c>
      <c r="J10959">
        <v>1</v>
      </c>
      <c r="K10959">
        <f>1-888-210-2878</f>
        <v>-3975</v>
      </c>
      <c r="L10959" t="s">
        <v>33974</v>
      </c>
      <c r="M10959" t="s">
        <v>33975</v>
      </c>
      <c r="N10959" t="s">
        <v>1645</v>
      </c>
      <c r="O10959" t="s">
        <v>28</v>
      </c>
      <c r="P10959" t="s">
        <v>29</v>
      </c>
      <c r="Q10959">
        <v>42</v>
      </c>
      <c r="R10959">
        <v>-87.629800000000003</v>
      </c>
    </row>
    <row r="10960" spans="1:18" x14ac:dyDescent="0.2">
      <c r="A10960" t="s">
        <v>439</v>
      </c>
      <c r="B10960" t="s">
        <v>4321</v>
      </c>
      <c r="C10960">
        <v>1</v>
      </c>
      <c r="D10960" s="1">
        <v>44369.047222222223</v>
      </c>
      <c r="E10960" t="s">
        <v>33968</v>
      </c>
      <c r="F10960" t="s">
        <v>442</v>
      </c>
      <c r="G10960" t="s">
        <v>33969</v>
      </c>
      <c r="H10960" t="s">
        <v>444</v>
      </c>
      <c r="I10960" t="s">
        <v>29</v>
      </c>
      <c r="J10960">
        <v>1</v>
      </c>
      <c r="K10960">
        <f>1-888-250-2979</f>
        <v>-4116</v>
      </c>
      <c r="L10960" t="s">
        <v>33976</v>
      </c>
      <c r="M10960" t="s">
        <v>33977</v>
      </c>
      <c r="N10960" t="s">
        <v>1645</v>
      </c>
      <c r="O10960" t="s">
        <v>28</v>
      </c>
      <c r="P10960" t="s">
        <v>29</v>
      </c>
      <c r="Q10960">
        <v>42</v>
      </c>
      <c r="R10960">
        <v>-87.629800000000003</v>
      </c>
    </row>
    <row r="10961" spans="1:18" x14ac:dyDescent="0.2">
      <c r="A10961" t="s">
        <v>439</v>
      </c>
      <c r="B10961" t="s">
        <v>4321</v>
      </c>
      <c r="C10961">
        <v>1</v>
      </c>
      <c r="D10961" s="1">
        <v>44369.047418981485</v>
      </c>
      <c r="E10961" t="s">
        <v>33968</v>
      </c>
      <c r="F10961" t="s">
        <v>442</v>
      </c>
      <c r="G10961" t="s">
        <v>33978</v>
      </c>
      <c r="H10961" t="s">
        <v>444</v>
      </c>
      <c r="I10961" t="s">
        <v>29</v>
      </c>
      <c r="J10961">
        <v>1</v>
      </c>
      <c r="K10961">
        <f>1-844-763-2866</f>
        <v>-4472</v>
      </c>
      <c r="L10961" t="s">
        <v>33979</v>
      </c>
      <c r="M10961" t="s">
        <v>33980</v>
      </c>
      <c r="N10961" t="s">
        <v>1645</v>
      </c>
      <c r="O10961" t="s">
        <v>28</v>
      </c>
      <c r="P10961" t="s">
        <v>29</v>
      </c>
      <c r="Q10961">
        <v>42</v>
      </c>
      <c r="R10961">
        <v>-87.629800000000003</v>
      </c>
    </row>
    <row r="10962" spans="1:18" x14ac:dyDescent="0.2">
      <c r="A10962" t="s">
        <v>439</v>
      </c>
      <c r="B10962" t="s">
        <v>4321</v>
      </c>
      <c r="C10962">
        <v>1</v>
      </c>
      <c r="D10962" s="1">
        <v>44369.617013888892</v>
      </c>
      <c r="E10962" t="s">
        <v>33981</v>
      </c>
      <c r="F10962" t="s">
        <v>442</v>
      </c>
      <c r="G10962" t="s">
        <v>33982</v>
      </c>
      <c r="H10962" t="s">
        <v>444</v>
      </c>
      <c r="I10962" t="s">
        <v>29</v>
      </c>
      <c r="J10962">
        <v>1</v>
      </c>
      <c r="K10962">
        <f>1-855-495-5266</f>
        <v>-6615</v>
      </c>
      <c r="L10962" t="s">
        <v>33983</v>
      </c>
      <c r="M10962" t="s">
        <v>33984</v>
      </c>
      <c r="N10962" t="s">
        <v>213</v>
      </c>
      <c r="O10962" t="s">
        <v>28</v>
      </c>
      <c r="P10962" t="s">
        <v>29</v>
      </c>
      <c r="Q10962">
        <v>42</v>
      </c>
      <c r="R10962">
        <v>-87.629800000000003</v>
      </c>
    </row>
    <row r="10963" spans="1:18" x14ac:dyDescent="0.2">
      <c r="A10963" t="s">
        <v>439</v>
      </c>
      <c r="B10963" t="s">
        <v>4321</v>
      </c>
      <c r="C10963">
        <v>1</v>
      </c>
      <c r="D10963" s="1">
        <v>44369.676886574074</v>
      </c>
      <c r="E10963" t="s">
        <v>33985</v>
      </c>
      <c r="F10963" t="s">
        <v>442</v>
      </c>
      <c r="G10963" t="s">
        <v>33986</v>
      </c>
      <c r="H10963" t="s">
        <v>444</v>
      </c>
      <c r="I10963" t="s">
        <v>29</v>
      </c>
      <c r="J10963">
        <v>1</v>
      </c>
      <c r="K10963">
        <f>1-888-218-359</f>
        <v>-1464</v>
      </c>
      <c r="L10963" t="s">
        <v>33987</v>
      </c>
      <c r="M10963" t="s">
        <v>33988</v>
      </c>
      <c r="N10963" t="s">
        <v>683</v>
      </c>
      <c r="O10963" t="s">
        <v>28</v>
      </c>
      <c r="P10963" t="s">
        <v>29</v>
      </c>
      <c r="Q10963">
        <v>42</v>
      </c>
      <c r="R10963">
        <v>-87.629800000000003</v>
      </c>
    </row>
    <row r="10964" spans="1:18" x14ac:dyDescent="0.2">
      <c r="A10964" t="s">
        <v>439</v>
      </c>
      <c r="B10964" t="s">
        <v>4321</v>
      </c>
      <c r="C10964">
        <v>1</v>
      </c>
      <c r="D10964" s="1">
        <v>44369.677083333336</v>
      </c>
      <c r="E10964" t="s">
        <v>33985</v>
      </c>
      <c r="F10964" t="s">
        <v>442</v>
      </c>
      <c r="G10964" t="s">
        <v>33989</v>
      </c>
      <c r="H10964" t="s">
        <v>444</v>
      </c>
      <c r="I10964" t="s">
        <v>29</v>
      </c>
      <c r="J10964">
        <v>1</v>
      </c>
      <c r="K10964">
        <f>1-888-249-4120</f>
        <v>-5256</v>
      </c>
      <c r="L10964" t="s">
        <v>33990</v>
      </c>
      <c r="M10964" t="s">
        <v>33991</v>
      </c>
      <c r="N10964" t="s">
        <v>683</v>
      </c>
      <c r="O10964" t="s">
        <v>28</v>
      </c>
      <c r="P10964" t="s">
        <v>29</v>
      </c>
      <c r="Q10964">
        <v>42</v>
      </c>
      <c r="R10964">
        <v>-87.629800000000003</v>
      </c>
    </row>
    <row r="10965" spans="1:18" x14ac:dyDescent="0.2">
      <c r="A10965" t="s">
        <v>439</v>
      </c>
      <c r="B10965" t="s">
        <v>4321</v>
      </c>
      <c r="C10965">
        <v>1</v>
      </c>
      <c r="D10965" s="1">
        <v>44369.701018518521</v>
      </c>
      <c r="E10965" t="s">
        <v>33992</v>
      </c>
      <c r="F10965" t="s">
        <v>442</v>
      </c>
      <c r="G10965" t="s">
        <v>33993</v>
      </c>
      <c r="H10965" t="s">
        <v>444</v>
      </c>
      <c r="I10965" t="s">
        <v>29</v>
      </c>
      <c r="J10965">
        <v>1</v>
      </c>
      <c r="K10965">
        <f>1-888-249-4120</f>
        <v>-5256</v>
      </c>
      <c r="L10965" t="s">
        <v>33994</v>
      </c>
      <c r="M10965" t="s">
        <v>33995</v>
      </c>
      <c r="N10965" t="s">
        <v>2475</v>
      </c>
      <c r="O10965" t="s">
        <v>28</v>
      </c>
      <c r="P10965" t="s">
        <v>29</v>
      </c>
      <c r="Q10965">
        <v>42</v>
      </c>
      <c r="R10965">
        <v>-87.629800000000003</v>
      </c>
    </row>
    <row r="10966" spans="1:18" x14ac:dyDescent="0.2">
      <c r="A10966" t="s">
        <v>439</v>
      </c>
      <c r="B10966" t="s">
        <v>4321</v>
      </c>
      <c r="C10966">
        <v>1</v>
      </c>
      <c r="D10966" s="1">
        <v>44369.700972222221</v>
      </c>
      <c r="E10966" t="s">
        <v>33992</v>
      </c>
      <c r="F10966" t="s">
        <v>442</v>
      </c>
      <c r="G10966" t="s">
        <v>33993</v>
      </c>
      <c r="H10966" t="s">
        <v>444</v>
      </c>
      <c r="I10966" t="s">
        <v>29</v>
      </c>
      <c r="J10966">
        <v>1</v>
      </c>
      <c r="K10966">
        <f>1-888-598-1574</f>
        <v>-3059</v>
      </c>
      <c r="L10966" t="s">
        <v>33996</v>
      </c>
      <c r="M10966" t="s">
        <v>33997</v>
      </c>
      <c r="N10966" t="s">
        <v>2475</v>
      </c>
      <c r="O10966" t="s">
        <v>28</v>
      </c>
      <c r="P10966" t="s">
        <v>29</v>
      </c>
      <c r="Q10966">
        <v>42</v>
      </c>
      <c r="R10966">
        <v>-87.629800000000003</v>
      </c>
    </row>
    <row r="10967" spans="1:18" x14ac:dyDescent="0.2">
      <c r="A10967" t="s">
        <v>439</v>
      </c>
      <c r="B10967" t="s">
        <v>4321</v>
      </c>
      <c r="C10967">
        <v>1</v>
      </c>
      <c r="D10967" s="1">
        <v>44369.700879629629</v>
      </c>
      <c r="E10967" t="s">
        <v>33992</v>
      </c>
      <c r="F10967" t="s">
        <v>442</v>
      </c>
      <c r="G10967" t="s">
        <v>33993</v>
      </c>
      <c r="H10967" t="s">
        <v>444</v>
      </c>
      <c r="I10967" t="s">
        <v>29</v>
      </c>
      <c r="J10967">
        <v>1</v>
      </c>
      <c r="K10967">
        <f>1-888-227-2998</f>
        <v>-4112</v>
      </c>
      <c r="L10967" t="s">
        <v>33998</v>
      </c>
      <c r="M10967" t="s">
        <v>33999</v>
      </c>
      <c r="N10967" t="s">
        <v>2475</v>
      </c>
      <c r="O10967" t="s">
        <v>28</v>
      </c>
      <c r="P10967" t="s">
        <v>29</v>
      </c>
      <c r="Q10967">
        <v>42</v>
      </c>
      <c r="R10967">
        <v>-87.629800000000003</v>
      </c>
    </row>
    <row r="10968" spans="1:18" x14ac:dyDescent="0.2">
      <c r="A10968" t="s">
        <v>439</v>
      </c>
      <c r="B10968" t="s">
        <v>4321</v>
      </c>
      <c r="C10968">
        <v>1</v>
      </c>
      <c r="D10968" s="1">
        <v>44369.700810185182</v>
      </c>
      <c r="E10968" t="s">
        <v>33992</v>
      </c>
      <c r="F10968" t="s">
        <v>442</v>
      </c>
      <c r="G10968" t="s">
        <v>33993</v>
      </c>
      <c r="H10968" t="s">
        <v>444</v>
      </c>
      <c r="I10968" t="s">
        <v>29</v>
      </c>
      <c r="J10968">
        <v>1</v>
      </c>
      <c r="K10968">
        <f>1-888-218-359</f>
        <v>-1464</v>
      </c>
      <c r="L10968" t="s">
        <v>34000</v>
      </c>
      <c r="M10968" t="s">
        <v>34001</v>
      </c>
      <c r="N10968" t="s">
        <v>2475</v>
      </c>
      <c r="O10968" t="s">
        <v>28</v>
      </c>
      <c r="P10968" t="s">
        <v>29</v>
      </c>
      <c r="Q10968">
        <v>42</v>
      </c>
      <c r="R10968">
        <v>-87.629800000000003</v>
      </c>
    </row>
    <row r="10969" spans="1:18" x14ac:dyDescent="0.2">
      <c r="A10969" t="s">
        <v>439</v>
      </c>
      <c r="B10969" t="s">
        <v>4321</v>
      </c>
      <c r="C10969">
        <v>1</v>
      </c>
      <c r="D10969" s="1">
        <v>44369.700925925928</v>
      </c>
      <c r="E10969" t="s">
        <v>33992</v>
      </c>
      <c r="F10969" t="s">
        <v>442</v>
      </c>
      <c r="G10969" t="s">
        <v>34002</v>
      </c>
      <c r="H10969" t="s">
        <v>444</v>
      </c>
      <c r="I10969" t="s">
        <v>29</v>
      </c>
      <c r="J10969">
        <v>1</v>
      </c>
      <c r="K10969">
        <f>1-888-381-7209</f>
        <v>-8477</v>
      </c>
      <c r="L10969" t="s">
        <v>34003</v>
      </c>
      <c r="M10969" t="s">
        <v>34004</v>
      </c>
      <c r="N10969" t="s">
        <v>2475</v>
      </c>
      <c r="O10969" t="s">
        <v>28</v>
      </c>
      <c r="P10969" t="s">
        <v>29</v>
      </c>
      <c r="Q10969">
        <v>42</v>
      </c>
      <c r="R10969">
        <v>-87.629800000000003</v>
      </c>
    </row>
    <row r="10970" spans="1:18" x14ac:dyDescent="0.2">
      <c r="A10970" t="s">
        <v>439</v>
      </c>
      <c r="B10970" t="s">
        <v>4321</v>
      </c>
      <c r="C10970">
        <v>1</v>
      </c>
      <c r="D10970" s="1">
        <v>44369.709293981483</v>
      </c>
      <c r="E10970" t="s">
        <v>34005</v>
      </c>
      <c r="F10970" t="s">
        <v>442</v>
      </c>
      <c r="G10970" t="s">
        <v>34006</v>
      </c>
      <c r="H10970" t="s">
        <v>444</v>
      </c>
      <c r="I10970" t="s">
        <v>29</v>
      </c>
      <c r="J10970">
        <v>1</v>
      </c>
      <c r="K10970">
        <f>1-888-227-2998</f>
        <v>-4112</v>
      </c>
      <c r="L10970" t="s">
        <v>34007</v>
      </c>
      <c r="M10970" t="s">
        <v>34008</v>
      </c>
      <c r="N10970" t="s">
        <v>1645</v>
      </c>
      <c r="O10970" t="s">
        <v>28</v>
      </c>
      <c r="P10970" t="s">
        <v>29</v>
      </c>
      <c r="Q10970">
        <v>42</v>
      </c>
      <c r="R10970">
        <v>-87.629800000000003</v>
      </c>
    </row>
    <row r="10971" spans="1:18" x14ac:dyDescent="0.2">
      <c r="A10971" t="s">
        <v>439</v>
      </c>
      <c r="B10971" t="s">
        <v>4321</v>
      </c>
      <c r="C10971">
        <v>1</v>
      </c>
      <c r="D10971" s="1">
        <v>44369.709224537037</v>
      </c>
      <c r="E10971" t="s">
        <v>34005</v>
      </c>
      <c r="F10971" t="s">
        <v>442</v>
      </c>
      <c r="G10971" t="s">
        <v>34006</v>
      </c>
      <c r="H10971" t="s">
        <v>444</v>
      </c>
      <c r="I10971" t="s">
        <v>29</v>
      </c>
      <c r="J10971">
        <v>1</v>
      </c>
      <c r="K10971">
        <f>1-888-218-359</f>
        <v>-1464</v>
      </c>
      <c r="L10971" t="s">
        <v>34009</v>
      </c>
      <c r="M10971" t="s">
        <v>34010</v>
      </c>
      <c r="N10971" t="s">
        <v>1645</v>
      </c>
      <c r="O10971" t="s">
        <v>28</v>
      </c>
      <c r="P10971" t="s">
        <v>29</v>
      </c>
      <c r="Q10971">
        <v>42</v>
      </c>
      <c r="R10971">
        <v>-87.629800000000003</v>
      </c>
    </row>
    <row r="10972" spans="1:18" x14ac:dyDescent="0.2">
      <c r="A10972" t="s">
        <v>439</v>
      </c>
      <c r="B10972" t="s">
        <v>4321</v>
      </c>
      <c r="C10972">
        <v>1</v>
      </c>
      <c r="D10972" s="1">
        <v>44369.709444444445</v>
      </c>
      <c r="E10972" t="s">
        <v>34005</v>
      </c>
      <c r="F10972" t="s">
        <v>442</v>
      </c>
      <c r="G10972" t="s">
        <v>34011</v>
      </c>
      <c r="H10972" t="s">
        <v>444</v>
      </c>
      <c r="I10972" t="s">
        <v>29</v>
      </c>
      <c r="J10972">
        <v>1</v>
      </c>
      <c r="K10972">
        <f>1-888-249-4120</f>
        <v>-5256</v>
      </c>
      <c r="L10972" t="s">
        <v>34012</v>
      </c>
      <c r="M10972" t="s">
        <v>34013</v>
      </c>
      <c r="N10972" t="s">
        <v>1645</v>
      </c>
      <c r="O10972" t="s">
        <v>28</v>
      </c>
      <c r="P10972" t="s">
        <v>29</v>
      </c>
      <c r="Q10972">
        <v>42</v>
      </c>
      <c r="R10972">
        <v>-87.629800000000003</v>
      </c>
    </row>
    <row r="10973" spans="1:18" x14ac:dyDescent="0.2">
      <c r="A10973" t="s">
        <v>439</v>
      </c>
      <c r="B10973" t="s">
        <v>4321</v>
      </c>
      <c r="C10973">
        <v>1</v>
      </c>
      <c r="D10973" s="1">
        <v>44369.709386574075</v>
      </c>
      <c r="E10973" t="s">
        <v>34005</v>
      </c>
      <c r="F10973" t="s">
        <v>442</v>
      </c>
      <c r="G10973" t="s">
        <v>34011</v>
      </c>
      <c r="H10973" t="s">
        <v>444</v>
      </c>
      <c r="I10973" t="s">
        <v>29</v>
      </c>
      <c r="J10973">
        <v>1</v>
      </c>
      <c r="K10973">
        <f>1-888-598-1574</f>
        <v>-3059</v>
      </c>
      <c r="L10973" t="s">
        <v>34014</v>
      </c>
      <c r="M10973" t="s">
        <v>34015</v>
      </c>
      <c r="N10973" t="s">
        <v>1645</v>
      </c>
      <c r="O10973" t="s">
        <v>28</v>
      </c>
      <c r="P10973" t="s">
        <v>29</v>
      </c>
      <c r="Q10973">
        <v>42</v>
      </c>
      <c r="R10973">
        <v>-87.629800000000003</v>
      </c>
    </row>
    <row r="10974" spans="1:18" x14ac:dyDescent="0.2">
      <c r="A10974" t="s">
        <v>439</v>
      </c>
      <c r="B10974" t="s">
        <v>4321</v>
      </c>
      <c r="C10974">
        <v>1</v>
      </c>
      <c r="D10974" s="1">
        <v>44369.709340277775</v>
      </c>
      <c r="E10974" t="s">
        <v>34005</v>
      </c>
      <c r="F10974" t="s">
        <v>442</v>
      </c>
      <c r="G10974" t="s">
        <v>34011</v>
      </c>
      <c r="H10974" t="s">
        <v>444</v>
      </c>
      <c r="I10974" t="s">
        <v>29</v>
      </c>
      <c r="J10974">
        <v>1</v>
      </c>
      <c r="K10974">
        <f>1-888-381-7209</f>
        <v>-8477</v>
      </c>
      <c r="L10974" t="s">
        <v>34016</v>
      </c>
      <c r="M10974" t="s">
        <v>34017</v>
      </c>
      <c r="N10974" t="s">
        <v>1645</v>
      </c>
      <c r="O10974" t="s">
        <v>28</v>
      </c>
      <c r="P10974" t="s">
        <v>29</v>
      </c>
      <c r="Q10974">
        <v>42</v>
      </c>
      <c r="R10974">
        <v>-87.629800000000003</v>
      </c>
    </row>
    <row r="10975" spans="1:18" x14ac:dyDescent="0.2">
      <c r="A10975" t="s">
        <v>663</v>
      </c>
      <c r="B10975" t="s">
        <v>5784</v>
      </c>
      <c r="C10975">
        <v>1</v>
      </c>
      <c r="D10975" s="1">
        <v>44369.72315972222</v>
      </c>
      <c r="E10975" t="s">
        <v>34018</v>
      </c>
      <c r="F10975" t="s">
        <v>666</v>
      </c>
      <c r="G10975" t="s">
        <v>34018</v>
      </c>
      <c r="H10975" t="s">
        <v>667</v>
      </c>
      <c r="I10975" t="s">
        <v>29</v>
      </c>
      <c r="J10975">
        <v>1</v>
      </c>
      <c r="K10975">
        <f>1-888-249-4120</f>
        <v>-5256</v>
      </c>
      <c r="L10975" t="s">
        <v>34019</v>
      </c>
      <c r="M10975" t="s">
        <v>34020</v>
      </c>
      <c r="N10975">
        <v>7</v>
      </c>
      <c r="O10975" t="s">
        <v>134</v>
      </c>
      <c r="P10975" t="s">
        <v>5789</v>
      </c>
      <c r="Q10975">
        <v>13</v>
      </c>
      <c r="R10975">
        <v>77.585499999999996</v>
      </c>
    </row>
    <row r="10976" spans="1:18" x14ac:dyDescent="0.2">
      <c r="A10976" t="s">
        <v>663</v>
      </c>
      <c r="B10976" t="s">
        <v>5784</v>
      </c>
      <c r="C10976">
        <v>1</v>
      </c>
      <c r="D10976" s="1">
        <v>44369.723113425927</v>
      </c>
      <c r="E10976" t="s">
        <v>34018</v>
      </c>
      <c r="F10976" t="s">
        <v>666</v>
      </c>
      <c r="G10976" t="s">
        <v>34018</v>
      </c>
      <c r="H10976" t="s">
        <v>667</v>
      </c>
      <c r="I10976" t="s">
        <v>29</v>
      </c>
      <c r="J10976">
        <v>1</v>
      </c>
      <c r="K10976">
        <f>1-888-598-1574</f>
        <v>-3059</v>
      </c>
      <c r="L10976" t="s">
        <v>34021</v>
      </c>
      <c r="M10976" t="s">
        <v>34022</v>
      </c>
      <c r="N10976">
        <v>7</v>
      </c>
      <c r="O10976" t="s">
        <v>134</v>
      </c>
      <c r="P10976" t="s">
        <v>5789</v>
      </c>
      <c r="Q10976">
        <v>13</v>
      </c>
      <c r="R10976">
        <v>77.585499999999996</v>
      </c>
    </row>
    <row r="10977" spans="1:18" x14ac:dyDescent="0.2">
      <c r="A10977" t="s">
        <v>663</v>
      </c>
      <c r="B10977" t="s">
        <v>5784</v>
      </c>
      <c r="C10977">
        <v>1</v>
      </c>
      <c r="D10977" s="1">
        <v>44369.723055555558</v>
      </c>
      <c r="E10977" t="s">
        <v>34018</v>
      </c>
      <c r="F10977" t="s">
        <v>666</v>
      </c>
      <c r="G10977" t="s">
        <v>34018</v>
      </c>
      <c r="H10977" t="s">
        <v>667</v>
      </c>
      <c r="I10977" t="s">
        <v>29</v>
      </c>
      <c r="J10977">
        <v>1</v>
      </c>
      <c r="K10977">
        <f>1-888-227-2998</f>
        <v>-4112</v>
      </c>
      <c r="L10977" t="s">
        <v>34023</v>
      </c>
      <c r="M10977" t="s">
        <v>34024</v>
      </c>
      <c r="N10977">
        <v>7</v>
      </c>
      <c r="O10977" t="s">
        <v>134</v>
      </c>
      <c r="P10977" t="s">
        <v>5789</v>
      </c>
      <c r="Q10977">
        <v>13</v>
      </c>
      <c r="R10977">
        <v>77.585499999999996</v>
      </c>
    </row>
    <row r="10978" spans="1:18" x14ac:dyDescent="0.2">
      <c r="A10978" t="s">
        <v>663</v>
      </c>
      <c r="B10978" t="s">
        <v>5784</v>
      </c>
      <c r="C10978">
        <v>1</v>
      </c>
      <c r="D10978" s="1">
        <v>44369.723009259258</v>
      </c>
      <c r="E10978" t="s">
        <v>34018</v>
      </c>
      <c r="F10978" t="s">
        <v>666</v>
      </c>
      <c r="G10978" t="s">
        <v>34018</v>
      </c>
      <c r="H10978" t="s">
        <v>667</v>
      </c>
      <c r="I10978" t="s">
        <v>29</v>
      </c>
      <c r="J10978">
        <v>1</v>
      </c>
      <c r="K10978">
        <f>1-888-381-7209</f>
        <v>-8477</v>
      </c>
      <c r="L10978" t="s">
        <v>34025</v>
      </c>
      <c r="M10978" t="s">
        <v>34026</v>
      </c>
      <c r="N10978">
        <v>7</v>
      </c>
      <c r="O10978" t="s">
        <v>134</v>
      </c>
      <c r="P10978" t="s">
        <v>5789</v>
      </c>
      <c r="Q10978">
        <v>13</v>
      </c>
      <c r="R10978">
        <v>77.585499999999996</v>
      </c>
    </row>
    <row r="10979" spans="1:18" x14ac:dyDescent="0.2">
      <c r="A10979" t="s">
        <v>663</v>
      </c>
      <c r="B10979" t="s">
        <v>5784</v>
      </c>
      <c r="C10979">
        <v>1</v>
      </c>
      <c r="D10979" s="1">
        <v>44369.722951388889</v>
      </c>
      <c r="E10979" t="s">
        <v>34018</v>
      </c>
      <c r="F10979" t="s">
        <v>666</v>
      </c>
      <c r="G10979" t="s">
        <v>34018</v>
      </c>
      <c r="H10979" t="s">
        <v>667</v>
      </c>
      <c r="I10979" t="s">
        <v>29</v>
      </c>
      <c r="J10979">
        <v>1</v>
      </c>
      <c r="K10979">
        <f>1-888-218-359</f>
        <v>-1464</v>
      </c>
      <c r="L10979" t="s">
        <v>34027</v>
      </c>
      <c r="M10979" t="s">
        <v>34028</v>
      </c>
      <c r="N10979">
        <v>7</v>
      </c>
      <c r="O10979" t="s">
        <v>134</v>
      </c>
      <c r="P10979" t="s">
        <v>5789</v>
      </c>
      <c r="Q10979">
        <v>13</v>
      </c>
      <c r="R10979">
        <v>77.585499999999996</v>
      </c>
    </row>
    <row r="10980" spans="1:18" x14ac:dyDescent="0.2">
      <c r="A10980" t="s">
        <v>6586</v>
      </c>
      <c r="B10980" t="s">
        <v>20854</v>
      </c>
      <c r="C10980">
        <v>1</v>
      </c>
      <c r="D10980" s="1">
        <v>44369.786458333336</v>
      </c>
      <c r="E10980" t="s">
        <v>34029</v>
      </c>
      <c r="F10980" t="s">
        <v>6588</v>
      </c>
      <c r="G10980" t="s">
        <v>34029</v>
      </c>
      <c r="H10980" t="s">
        <v>6590</v>
      </c>
      <c r="I10980" t="s">
        <v>29</v>
      </c>
      <c r="J10980">
        <v>1</v>
      </c>
      <c r="K10980">
        <f>1-844-308-9439</f>
        <v>-10590</v>
      </c>
      <c r="L10980" t="s">
        <v>34030</v>
      </c>
      <c r="M10980" t="s">
        <v>34031</v>
      </c>
      <c r="N10980">
        <v>184</v>
      </c>
      <c r="O10980" t="s">
        <v>134</v>
      </c>
      <c r="P10980" t="s">
        <v>29</v>
      </c>
      <c r="Q10980">
        <v>38</v>
      </c>
      <c r="R10980">
        <v>-99.999999000000003</v>
      </c>
    </row>
    <row r="10981" spans="1:18" x14ac:dyDescent="0.2">
      <c r="A10981" t="s">
        <v>1637</v>
      </c>
      <c r="B10981" t="s">
        <v>454</v>
      </c>
      <c r="C10981">
        <v>1</v>
      </c>
      <c r="D10981" s="1">
        <v>44370.818425925929</v>
      </c>
      <c r="E10981" t="s">
        <v>34032</v>
      </c>
      <c r="F10981" t="s">
        <v>1640</v>
      </c>
      <c r="G10981" t="s">
        <v>34033</v>
      </c>
      <c r="H10981" t="s">
        <v>1642</v>
      </c>
      <c r="I10981" t="s">
        <v>29</v>
      </c>
      <c r="J10981">
        <v>1</v>
      </c>
      <c r="K10981">
        <f>1-888-449-803</f>
        <v>-2139</v>
      </c>
      <c r="L10981" t="s">
        <v>34034</v>
      </c>
      <c r="M10981" t="s">
        <v>34035</v>
      </c>
      <c r="N10981" t="s">
        <v>5745</v>
      </c>
      <c r="O10981" t="s">
        <v>134</v>
      </c>
      <c r="P10981" t="s">
        <v>461</v>
      </c>
      <c r="Q10981">
        <v>52</v>
      </c>
      <c r="R10981">
        <v>4.8975</v>
      </c>
    </row>
    <row r="10982" spans="1:18" x14ac:dyDescent="0.2">
      <c r="A10982" t="s">
        <v>1637</v>
      </c>
      <c r="B10982" t="s">
        <v>454</v>
      </c>
      <c r="C10982">
        <v>1</v>
      </c>
      <c r="D10982" s="1">
        <v>44370.096655092595</v>
      </c>
      <c r="E10982" t="s">
        <v>34036</v>
      </c>
      <c r="F10982" t="s">
        <v>1640</v>
      </c>
      <c r="G10982" t="s">
        <v>34033</v>
      </c>
      <c r="H10982" t="s">
        <v>1642</v>
      </c>
      <c r="I10982" t="s">
        <v>29</v>
      </c>
      <c r="J10982">
        <v>1</v>
      </c>
      <c r="K10982">
        <f>1-888-449-803</f>
        <v>-2139</v>
      </c>
      <c r="L10982" t="s">
        <v>34037</v>
      </c>
      <c r="M10982" t="s">
        <v>34038</v>
      </c>
      <c r="N10982" t="s">
        <v>452</v>
      </c>
      <c r="O10982" t="s">
        <v>134</v>
      </c>
      <c r="P10982" t="s">
        <v>461</v>
      </c>
      <c r="Q10982">
        <v>52</v>
      </c>
      <c r="R10982">
        <v>4.8975</v>
      </c>
    </row>
    <row r="10983" spans="1:18" x14ac:dyDescent="0.2">
      <c r="A10983" t="s">
        <v>1637</v>
      </c>
      <c r="B10983" t="s">
        <v>454</v>
      </c>
      <c r="C10983">
        <v>1</v>
      </c>
      <c r="D10983" s="1">
        <v>44369.789652777778</v>
      </c>
      <c r="E10983" t="s">
        <v>34039</v>
      </c>
      <c r="F10983" t="s">
        <v>1640</v>
      </c>
      <c r="G10983" t="s">
        <v>34033</v>
      </c>
      <c r="H10983" t="s">
        <v>1642</v>
      </c>
      <c r="I10983" t="s">
        <v>29</v>
      </c>
      <c r="J10983">
        <v>1</v>
      </c>
      <c r="K10983">
        <f>1-800-991-7697</f>
        <v>-9487</v>
      </c>
      <c r="L10983" t="s">
        <v>34040</v>
      </c>
      <c r="M10983" t="s">
        <v>34041</v>
      </c>
      <c r="N10983" t="s">
        <v>5745</v>
      </c>
      <c r="O10983" t="s">
        <v>134</v>
      </c>
      <c r="P10983" t="s">
        <v>461</v>
      </c>
      <c r="Q10983">
        <v>52</v>
      </c>
      <c r="R10983">
        <v>4.8975</v>
      </c>
    </row>
    <row r="10984" spans="1:18" x14ac:dyDescent="0.2">
      <c r="A10984" t="s">
        <v>663</v>
      </c>
      <c r="B10984" t="s">
        <v>5784</v>
      </c>
      <c r="C10984">
        <v>1</v>
      </c>
      <c r="D10984" s="1">
        <v>44369.790416666663</v>
      </c>
      <c r="E10984" t="s">
        <v>34042</v>
      </c>
      <c r="F10984" t="s">
        <v>23451</v>
      </c>
      <c r="G10984" t="s">
        <v>34043</v>
      </c>
      <c r="H10984" t="s">
        <v>667</v>
      </c>
      <c r="I10984" t="s">
        <v>29</v>
      </c>
      <c r="J10984">
        <v>1</v>
      </c>
      <c r="K10984">
        <f>1-832-895-7173</f>
        <v>-8899</v>
      </c>
      <c r="L10984" t="s">
        <v>34044</v>
      </c>
      <c r="M10984" t="s">
        <v>34045</v>
      </c>
      <c r="N10984" t="s">
        <v>25263</v>
      </c>
      <c r="O10984" t="s">
        <v>28</v>
      </c>
      <c r="P10984" t="s">
        <v>5789</v>
      </c>
      <c r="Q10984">
        <v>13</v>
      </c>
      <c r="R10984">
        <v>77.585499999999996</v>
      </c>
    </row>
    <row r="10985" spans="1:18" x14ac:dyDescent="0.2">
      <c r="A10985" t="s">
        <v>663</v>
      </c>
      <c r="B10985" t="s">
        <v>2500</v>
      </c>
      <c r="C10985">
        <v>1</v>
      </c>
      <c r="D10985" s="1">
        <v>44369.791574074072</v>
      </c>
      <c r="E10985" t="s">
        <v>34046</v>
      </c>
      <c r="F10985" t="s">
        <v>23451</v>
      </c>
      <c r="G10985" t="s">
        <v>34047</v>
      </c>
      <c r="H10985" t="s">
        <v>667</v>
      </c>
      <c r="I10985" t="s">
        <v>29</v>
      </c>
      <c r="J10985">
        <v>1</v>
      </c>
      <c r="K10985">
        <f>1-888-615-4062</f>
        <v>-5564</v>
      </c>
      <c r="L10985" t="s">
        <v>34048</v>
      </c>
      <c r="M10985" t="s">
        <v>34049</v>
      </c>
      <c r="N10985" t="s">
        <v>452</v>
      </c>
      <c r="O10985" t="s">
        <v>28</v>
      </c>
      <c r="P10985" t="s">
        <v>2500</v>
      </c>
      <c r="Q10985">
        <v>1</v>
      </c>
      <c r="R10985">
        <v>99.999999000000003</v>
      </c>
    </row>
    <row r="10986" spans="1:18" x14ac:dyDescent="0.2">
      <c r="A10986" t="s">
        <v>439</v>
      </c>
      <c r="B10986" t="s">
        <v>4321</v>
      </c>
      <c r="C10986">
        <v>1</v>
      </c>
      <c r="D10986" s="1">
        <v>44369.875011574077</v>
      </c>
      <c r="E10986" t="s">
        <v>34050</v>
      </c>
      <c r="F10986" t="s">
        <v>442</v>
      </c>
      <c r="G10986" t="s">
        <v>34051</v>
      </c>
      <c r="H10986" t="s">
        <v>444</v>
      </c>
      <c r="I10986" t="s">
        <v>29</v>
      </c>
      <c r="J10986">
        <v>1</v>
      </c>
      <c r="K10986">
        <f>1-877-740-1734</f>
        <v>-3350</v>
      </c>
      <c r="L10986" t="s">
        <v>34052</v>
      </c>
      <c r="M10986" t="s">
        <v>34053</v>
      </c>
      <c r="N10986" t="s">
        <v>213</v>
      </c>
      <c r="O10986" t="s">
        <v>28</v>
      </c>
      <c r="P10986" t="s">
        <v>29</v>
      </c>
      <c r="Q10986">
        <v>42</v>
      </c>
      <c r="R10986">
        <v>-87.629800000000003</v>
      </c>
    </row>
    <row r="10987" spans="1:18" x14ac:dyDescent="0.2">
      <c r="A10987" t="s">
        <v>2233</v>
      </c>
      <c r="B10987" t="s">
        <v>1638</v>
      </c>
      <c r="C10987">
        <v>1</v>
      </c>
      <c r="D10987" s="1">
        <v>44369.877233796295</v>
      </c>
      <c r="E10987" t="s">
        <v>34054</v>
      </c>
      <c r="F10987" t="s">
        <v>2236</v>
      </c>
      <c r="G10987" t="s">
        <v>34055</v>
      </c>
      <c r="H10987" t="s">
        <v>2237</v>
      </c>
      <c r="I10987" t="s">
        <v>29</v>
      </c>
      <c r="J10987">
        <v>1</v>
      </c>
      <c r="K10987">
        <f>1-888-210-6365</f>
        <v>-7462</v>
      </c>
      <c r="L10987" t="s">
        <v>34056</v>
      </c>
      <c r="M10987" t="s">
        <v>34057</v>
      </c>
      <c r="N10987" t="s">
        <v>278</v>
      </c>
      <c r="O10987" t="s">
        <v>28</v>
      </c>
      <c r="P10987" t="s">
        <v>292</v>
      </c>
      <c r="Q10987">
        <v>49</v>
      </c>
      <c r="R10987">
        <v>2.35222</v>
      </c>
    </row>
    <row r="10988" spans="1:18" x14ac:dyDescent="0.2">
      <c r="A10988" t="s">
        <v>663</v>
      </c>
      <c r="B10988" t="s">
        <v>2500</v>
      </c>
      <c r="C10988">
        <v>1</v>
      </c>
      <c r="D10988" s="1">
        <v>44369.893761574072</v>
      </c>
      <c r="E10988" t="s">
        <v>34058</v>
      </c>
      <c r="F10988" t="s">
        <v>666</v>
      </c>
      <c r="G10988" t="s">
        <v>34059</v>
      </c>
      <c r="H10988" t="s">
        <v>667</v>
      </c>
      <c r="I10988" t="s">
        <v>29</v>
      </c>
      <c r="J10988">
        <v>1</v>
      </c>
      <c r="K10988">
        <f>1-888-298-165</f>
        <v>-1350</v>
      </c>
      <c r="L10988" t="s">
        <v>34060</v>
      </c>
      <c r="M10988" t="s">
        <v>34061</v>
      </c>
      <c r="N10988" t="s">
        <v>452</v>
      </c>
      <c r="O10988" t="s">
        <v>28</v>
      </c>
      <c r="P10988" t="s">
        <v>2500</v>
      </c>
      <c r="Q10988">
        <v>1</v>
      </c>
      <c r="R10988">
        <v>99.999999000000003</v>
      </c>
    </row>
    <row r="10989" spans="1:18" x14ac:dyDescent="0.2">
      <c r="A10989" t="s">
        <v>663</v>
      </c>
      <c r="B10989" t="s">
        <v>2493</v>
      </c>
      <c r="C10989">
        <v>1</v>
      </c>
      <c r="D10989" s="1">
        <v>44369.922766203701</v>
      </c>
      <c r="E10989" t="s">
        <v>34062</v>
      </c>
      <c r="F10989" t="s">
        <v>666</v>
      </c>
      <c r="G10989" t="s">
        <v>34063</v>
      </c>
      <c r="H10989" t="s">
        <v>667</v>
      </c>
      <c r="I10989" t="s">
        <v>29</v>
      </c>
      <c r="J10989">
        <v>1</v>
      </c>
      <c r="K10989">
        <f>1-844-764-8393</f>
        <v>-10000</v>
      </c>
      <c r="L10989" t="s">
        <v>34064</v>
      </c>
      <c r="M10989" t="s">
        <v>34065</v>
      </c>
      <c r="N10989" t="s">
        <v>213</v>
      </c>
      <c r="O10989" t="s">
        <v>28</v>
      </c>
      <c r="P10989" t="s">
        <v>29</v>
      </c>
      <c r="Q10989">
        <v>41</v>
      </c>
      <c r="R10989">
        <v>-74.024699999999996</v>
      </c>
    </row>
    <row r="10990" spans="1:18" x14ac:dyDescent="0.2">
      <c r="A10990" t="s">
        <v>439</v>
      </c>
      <c r="B10990" t="s">
        <v>4321</v>
      </c>
      <c r="C10990">
        <v>1</v>
      </c>
      <c r="D10990" s="1">
        <v>44369.989594907405</v>
      </c>
      <c r="E10990" t="s">
        <v>34066</v>
      </c>
      <c r="F10990" t="s">
        <v>442</v>
      </c>
      <c r="G10990" t="s">
        <v>34067</v>
      </c>
      <c r="H10990" t="s">
        <v>444</v>
      </c>
      <c r="I10990" t="s">
        <v>29</v>
      </c>
      <c r="J10990">
        <v>1</v>
      </c>
      <c r="K10990">
        <f>1-855-904-910</f>
        <v>-2668</v>
      </c>
      <c r="L10990" t="s">
        <v>34068</v>
      </c>
      <c r="M10990" t="s">
        <v>34069</v>
      </c>
      <c r="N10990" t="s">
        <v>213</v>
      </c>
      <c r="O10990" t="s">
        <v>28</v>
      </c>
      <c r="P10990" t="s">
        <v>29</v>
      </c>
      <c r="Q10990">
        <v>42</v>
      </c>
      <c r="R10990">
        <v>-87.629800000000003</v>
      </c>
    </row>
    <row r="10991" spans="1:18" x14ac:dyDescent="0.2">
      <c r="A10991" t="s">
        <v>439</v>
      </c>
      <c r="B10991" t="s">
        <v>4321</v>
      </c>
      <c r="C10991">
        <v>1</v>
      </c>
      <c r="D10991" s="1">
        <v>44370.000960648147</v>
      </c>
      <c r="E10991" t="s">
        <v>34070</v>
      </c>
      <c r="F10991" t="s">
        <v>442</v>
      </c>
      <c r="G10991" t="s">
        <v>34071</v>
      </c>
      <c r="H10991" t="s">
        <v>444</v>
      </c>
      <c r="I10991" t="s">
        <v>29</v>
      </c>
      <c r="J10991">
        <v>1</v>
      </c>
      <c r="K10991">
        <f>1-855-904-2071</f>
        <v>-3829</v>
      </c>
      <c r="L10991" t="s">
        <v>34072</v>
      </c>
      <c r="M10991" t="s">
        <v>34073</v>
      </c>
      <c r="N10991" t="s">
        <v>447</v>
      </c>
      <c r="O10991" t="s">
        <v>28</v>
      </c>
      <c r="P10991" t="s">
        <v>29</v>
      </c>
      <c r="Q10991">
        <v>42</v>
      </c>
      <c r="R10991">
        <v>-87.629800000000003</v>
      </c>
    </row>
    <row r="10992" spans="1:18" x14ac:dyDescent="0.2">
      <c r="A10992" t="s">
        <v>23171</v>
      </c>
      <c r="B10992" t="s">
        <v>2263</v>
      </c>
      <c r="C10992">
        <v>44</v>
      </c>
      <c r="D10992" s="1">
        <v>44375.54478009259</v>
      </c>
      <c r="E10992" t="s">
        <v>34074</v>
      </c>
      <c r="F10992" t="s">
        <v>23173</v>
      </c>
      <c r="G10992" t="s">
        <v>34075</v>
      </c>
      <c r="H10992" t="s">
        <v>23175</v>
      </c>
      <c r="I10992" t="s">
        <v>618</v>
      </c>
      <c r="J10992">
        <v>44</v>
      </c>
      <c r="K10992">
        <f>44-121-318-2720</f>
        <v>-3115</v>
      </c>
      <c r="L10992" t="s">
        <v>34076</v>
      </c>
      <c r="M10992" t="s">
        <v>34077</v>
      </c>
      <c r="N10992" t="s">
        <v>2475</v>
      </c>
      <c r="O10992" t="s">
        <v>28</v>
      </c>
      <c r="P10992" t="s">
        <v>2268</v>
      </c>
      <c r="Q10992">
        <v>44</v>
      </c>
      <c r="R10992">
        <v>-79.397300000000001</v>
      </c>
    </row>
    <row r="10993" spans="1:18" x14ac:dyDescent="0.2">
      <c r="A10993" t="s">
        <v>23171</v>
      </c>
      <c r="B10993" t="s">
        <v>2263</v>
      </c>
      <c r="C10993">
        <v>44</v>
      </c>
      <c r="D10993" s="1">
        <v>44370.630567129629</v>
      </c>
      <c r="E10993" t="s">
        <v>34078</v>
      </c>
      <c r="F10993" t="s">
        <v>23173</v>
      </c>
      <c r="G10993" t="s">
        <v>34075</v>
      </c>
      <c r="H10993" t="s">
        <v>23175</v>
      </c>
      <c r="I10993" t="s">
        <v>618</v>
      </c>
      <c r="J10993">
        <v>44</v>
      </c>
      <c r="K10993">
        <f>44-121-318-2720</f>
        <v>-3115</v>
      </c>
      <c r="L10993" t="s">
        <v>34079</v>
      </c>
      <c r="M10993" t="s">
        <v>34080</v>
      </c>
      <c r="N10993" t="s">
        <v>2475</v>
      </c>
      <c r="O10993" t="s">
        <v>28</v>
      </c>
      <c r="P10993" t="s">
        <v>2268</v>
      </c>
      <c r="Q10993">
        <v>44</v>
      </c>
      <c r="R10993">
        <v>-79.420400000000001</v>
      </c>
    </row>
    <row r="10994" spans="1:18" x14ac:dyDescent="0.2">
      <c r="A10994" t="s">
        <v>663</v>
      </c>
      <c r="B10994" t="s">
        <v>5784</v>
      </c>
      <c r="C10994">
        <v>1</v>
      </c>
      <c r="D10994" s="1">
        <v>44370.702592592592</v>
      </c>
      <c r="E10994" t="s">
        <v>34081</v>
      </c>
      <c r="F10994" t="s">
        <v>666</v>
      </c>
      <c r="G10994" t="s">
        <v>34082</v>
      </c>
      <c r="H10994" t="s">
        <v>667</v>
      </c>
      <c r="I10994" t="s">
        <v>29</v>
      </c>
      <c r="J10994">
        <v>1</v>
      </c>
      <c r="K10994">
        <f>1-805-716-8374</f>
        <v>-9894</v>
      </c>
      <c r="L10994" t="s">
        <v>34083</v>
      </c>
      <c r="M10994" t="s">
        <v>34084</v>
      </c>
      <c r="N10994" t="s">
        <v>25263</v>
      </c>
      <c r="O10994" t="s">
        <v>28</v>
      </c>
      <c r="P10994" t="s">
        <v>5789</v>
      </c>
      <c r="Q10994">
        <v>13</v>
      </c>
      <c r="R10994">
        <v>77.585499999999996</v>
      </c>
    </row>
    <row r="10995" spans="1:18" x14ac:dyDescent="0.2">
      <c r="A10995" t="s">
        <v>663</v>
      </c>
      <c r="B10995" t="s">
        <v>1212</v>
      </c>
      <c r="C10995">
        <v>1</v>
      </c>
      <c r="D10995" s="1">
        <v>44370.70590277778</v>
      </c>
      <c r="E10995" t="s">
        <v>34085</v>
      </c>
      <c r="F10995" t="s">
        <v>666</v>
      </c>
      <c r="G10995" t="s">
        <v>34086</v>
      </c>
      <c r="H10995" t="s">
        <v>667</v>
      </c>
      <c r="I10995" t="s">
        <v>29</v>
      </c>
      <c r="J10995">
        <v>1</v>
      </c>
      <c r="K10995">
        <f>1-888-593-4025</f>
        <v>-5505</v>
      </c>
      <c r="L10995" t="s">
        <v>34087</v>
      </c>
      <c r="M10995" t="s">
        <v>34088</v>
      </c>
      <c r="N10995" t="s">
        <v>452</v>
      </c>
      <c r="O10995" t="s">
        <v>28</v>
      </c>
      <c r="P10995" t="s">
        <v>618</v>
      </c>
      <c r="Q10995">
        <v>52</v>
      </c>
      <c r="R10995">
        <v>-0.62150000000000005</v>
      </c>
    </row>
    <row r="10996" spans="1:18" x14ac:dyDescent="0.2">
      <c r="A10996" t="s">
        <v>663</v>
      </c>
      <c r="B10996" t="s">
        <v>5784</v>
      </c>
      <c r="C10996">
        <v>1</v>
      </c>
      <c r="D10996" s="1">
        <v>44370.707812499997</v>
      </c>
      <c r="E10996" t="s">
        <v>34089</v>
      </c>
      <c r="F10996" t="s">
        <v>666</v>
      </c>
      <c r="G10996" t="s">
        <v>34089</v>
      </c>
      <c r="H10996" t="s">
        <v>667</v>
      </c>
      <c r="I10996" t="s">
        <v>29</v>
      </c>
      <c r="J10996">
        <v>1</v>
      </c>
      <c r="K10996">
        <f>1-888-322-9499</f>
        <v>-10708</v>
      </c>
      <c r="L10996" t="s">
        <v>34090</v>
      </c>
      <c r="M10996" t="s">
        <v>34091</v>
      </c>
      <c r="N10996">
        <v>12</v>
      </c>
      <c r="O10996" t="s">
        <v>134</v>
      </c>
      <c r="P10996" t="s">
        <v>5789</v>
      </c>
      <c r="Q10996">
        <v>13</v>
      </c>
      <c r="R10996">
        <v>77.585499999999996</v>
      </c>
    </row>
    <row r="10997" spans="1:18" x14ac:dyDescent="0.2">
      <c r="A10997" t="s">
        <v>663</v>
      </c>
      <c r="B10997" t="s">
        <v>5784</v>
      </c>
      <c r="C10997">
        <v>1</v>
      </c>
      <c r="D10997" s="1">
        <v>44370.707754629628</v>
      </c>
      <c r="E10997" t="s">
        <v>34089</v>
      </c>
      <c r="F10997" t="s">
        <v>666</v>
      </c>
      <c r="G10997" t="s">
        <v>34089</v>
      </c>
      <c r="H10997" t="s">
        <v>667</v>
      </c>
      <c r="I10997" t="s">
        <v>29</v>
      </c>
      <c r="J10997">
        <v>1</v>
      </c>
      <c r="K10997">
        <f>1-888-600-9778</f>
        <v>-11265</v>
      </c>
      <c r="L10997" t="s">
        <v>34092</v>
      </c>
      <c r="M10997" t="s">
        <v>34093</v>
      </c>
      <c r="N10997">
        <v>12</v>
      </c>
      <c r="O10997" t="s">
        <v>134</v>
      </c>
      <c r="P10997" t="s">
        <v>5789</v>
      </c>
      <c r="Q10997">
        <v>13</v>
      </c>
      <c r="R10997">
        <v>77.585499999999996</v>
      </c>
    </row>
    <row r="10998" spans="1:18" x14ac:dyDescent="0.2">
      <c r="A10998" t="s">
        <v>663</v>
      </c>
      <c r="B10998" t="s">
        <v>5784</v>
      </c>
      <c r="C10998">
        <v>1</v>
      </c>
      <c r="D10998" s="1">
        <v>44370.707708333335</v>
      </c>
      <c r="E10998" t="s">
        <v>34089</v>
      </c>
      <c r="F10998" t="s">
        <v>666</v>
      </c>
      <c r="G10998" t="s">
        <v>34089</v>
      </c>
      <c r="H10998" t="s">
        <v>667</v>
      </c>
      <c r="I10998" t="s">
        <v>29</v>
      </c>
      <c r="J10998">
        <v>1</v>
      </c>
      <c r="K10998">
        <f>1-888-319-2745</f>
        <v>-3951</v>
      </c>
      <c r="L10998" t="s">
        <v>34094</v>
      </c>
      <c r="M10998" t="s">
        <v>34095</v>
      </c>
      <c r="N10998">
        <v>12</v>
      </c>
      <c r="O10998" t="s">
        <v>134</v>
      </c>
      <c r="P10998" t="s">
        <v>5789</v>
      </c>
      <c r="Q10998">
        <v>13</v>
      </c>
      <c r="R10998">
        <v>77.585499999999996</v>
      </c>
    </row>
    <row r="10999" spans="1:18" x14ac:dyDescent="0.2">
      <c r="A10999" t="s">
        <v>663</v>
      </c>
      <c r="B10999" t="s">
        <v>5784</v>
      </c>
      <c r="C10999">
        <v>1</v>
      </c>
      <c r="D10999" s="1">
        <v>44370.707650462966</v>
      </c>
      <c r="E10999" t="s">
        <v>34089</v>
      </c>
      <c r="F10999" t="s">
        <v>666</v>
      </c>
      <c r="G10999" t="s">
        <v>34089</v>
      </c>
      <c r="H10999" t="s">
        <v>667</v>
      </c>
      <c r="I10999" t="s">
        <v>29</v>
      </c>
      <c r="J10999">
        <v>1</v>
      </c>
      <c r="K10999">
        <f>1-888-268-559</f>
        <v>-1714</v>
      </c>
      <c r="L10999" t="s">
        <v>34096</v>
      </c>
      <c r="M10999" t="s">
        <v>34097</v>
      </c>
      <c r="N10999">
        <v>12</v>
      </c>
      <c r="O10999" t="s">
        <v>134</v>
      </c>
      <c r="P10999" t="s">
        <v>5789</v>
      </c>
      <c r="Q10999">
        <v>13</v>
      </c>
      <c r="R10999">
        <v>77.585499999999996</v>
      </c>
    </row>
    <row r="11000" spans="1:18" x14ac:dyDescent="0.2">
      <c r="A11000" t="s">
        <v>663</v>
      </c>
      <c r="B11000" t="s">
        <v>5784</v>
      </c>
      <c r="C11000">
        <v>1</v>
      </c>
      <c r="D11000" s="1">
        <v>44370.707604166666</v>
      </c>
      <c r="E11000" t="s">
        <v>34089</v>
      </c>
      <c r="F11000" t="s">
        <v>666</v>
      </c>
      <c r="G11000" t="s">
        <v>34089</v>
      </c>
      <c r="H11000" t="s">
        <v>667</v>
      </c>
      <c r="I11000" t="s">
        <v>29</v>
      </c>
      <c r="J11000">
        <v>1</v>
      </c>
      <c r="K11000">
        <f>1-888-241-7354</f>
        <v>-8482</v>
      </c>
      <c r="L11000" t="s">
        <v>34098</v>
      </c>
      <c r="M11000" t="s">
        <v>34099</v>
      </c>
      <c r="N11000">
        <v>12</v>
      </c>
      <c r="O11000" t="s">
        <v>134</v>
      </c>
      <c r="P11000" t="s">
        <v>5789</v>
      </c>
      <c r="Q11000">
        <v>13</v>
      </c>
      <c r="R11000">
        <v>77.585499999999996</v>
      </c>
    </row>
    <row r="11001" spans="1:18" x14ac:dyDescent="0.2">
      <c r="A11001" t="s">
        <v>663</v>
      </c>
      <c r="B11001" t="s">
        <v>5784</v>
      </c>
      <c r="C11001">
        <v>1</v>
      </c>
      <c r="D11001" s="1">
        <v>44370.716284722221</v>
      </c>
      <c r="E11001" t="s">
        <v>34100</v>
      </c>
      <c r="F11001" t="s">
        <v>666</v>
      </c>
      <c r="G11001" t="s">
        <v>34100</v>
      </c>
      <c r="H11001" t="s">
        <v>667</v>
      </c>
      <c r="I11001" t="s">
        <v>29</v>
      </c>
      <c r="J11001">
        <v>1</v>
      </c>
      <c r="K11001">
        <f>1-888-322-9499</f>
        <v>-10708</v>
      </c>
      <c r="L11001" t="s">
        <v>34101</v>
      </c>
      <c r="M11001" t="s">
        <v>34102</v>
      </c>
      <c r="N11001">
        <v>134</v>
      </c>
      <c r="O11001" t="s">
        <v>134</v>
      </c>
      <c r="P11001" t="s">
        <v>5789</v>
      </c>
      <c r="Q11001">
        <v>13</v>
      </c>
      <c r="R11001">
        <v>77.585499999999996</v>
      </c>
    </row>
    <row r="11002" spans="1:18" x14ac:dyDescent="0.2">
      <c r="A11002" t="s">
        <v>663</v>
      </c>
      <c r="B11002" t="s">
        <v>5784</v>
      </c>
      <c r="C11002">
        <v>1</v>
      </c>
      <c r="D11002" s="1">
        <v>44370.716226851851</v>
      </c>
      <c r="E11002" t="s">
        <v>34100</v>
      </c>
      <c r="F11002" t="s">
        <v>666</v>
      </c>
      <c r="G11002" t="s">
        <v>34100</v>
      </c>
      <c r="H11002" t="s">
        <v>667</v>
      </c>
      <c r="I11002" t="s">
        <v>29</v>
      </c>
      <c r="J11002">
        <v>1</v>
      </c>
      <c r="K11002">
        <f>1-888-241-7354</f>
        <v>-8482</v>
      </c>
      <c r="L11002" t="s">
        <v>34103</v>
      </c>
      <c r="M11002" t="s">
        <v>34104</v>
      </c>
      <c r="N11002">
        <v>134</v>
      </c>
      <c r="O11002" t="s">
        <v>134</v>
      </c>
      <c r="P11002" t="s">
        <v>5789</v>
      </c>
      <c r="Q11002">
        <v>13</v>
      </c>
      <c r="R11002">
        <v>77.585499999999996</v>
      </c>
    </row>
    <row r="11003" spans="1:18" x14ac:dyDescent="0.2">
      <c r="A11003" t="s">
        <v>663</v>
      </c>
      <c r="B11003" t="s">
        <v>5784</v>
      </c>
      <c r="C11003">
        <v>1</v>
      </c>
      <c r="D11003" s="1">
        <v>44370.716180555559</v>
      </c>
      <c r="E11003" t="s">
        <v>34100</v>
      </c>
      <c r="F11003" t="s">
        <v>666</v>
      </c>
      <c r="G11003" t="s">
        <v>34100</v>
      </c>
      <c r="H11003" t="s">
        <v>667</v>
      </c>
      <c r="I11003" t="s">
        <v>29</v>
      </c>
      <c r="J11003">
        <v>1</v>
      </c>
      <c r="K11003">
        <f>1-888-268-559</f>
        <v>-1714</v>
      </c>
      <c r="L11003" t="s">
        <v>34105</v>
      </c>
      <c r="M11003" t="s">
        <v>34106</v>
      </c>
      <c r="N11003">
        <v>134</v>
      </c>
      <c r="O11003" t="s">
        <v>134</v>
      </c>
      <c r="P11003" t="s">
        <v>5789</v>
      </c>
      <c r="Q11003">
        <v>13</v>
      </c>
      <c r="R11003">
        <v>77.585499999999996</v>
      </c>
    </row>
    <row r="11004" spans="1:18" x14ac:dyDescent="0.2">
      <c r="A11004" t="s">
        <v>663</v>
      </c>
      <c r="B11004" t="s">
        <v>5784</v>
      </c>
      <c r="C11004">
        <v>1</v>
      </c>
      <c r="D11004" s="1">
        <v>44370.716145833336</v>
      </c>
      <c r="E11004" t="s">
        <v>34100</v>
      </c>
      <c r="F11004" t="s">
        <v>666</v>
      </c>
      <c r="G11004" t="s">
        <v>34100</v>
      </c>
      <c r="H11004" t="s">
        <v>667</v>
      </c>
      <c r="I11004" t="s">
        <v>29</v>
      </c>
      <c r="J11004">
        <v>1</v>
      </c>
      <c r="K11004">
        <f>1-888-600-9778</f>
        <v>-11265</v>
      </c>
      <c r="L11004" t="s">
        <v>34107</v>
      </c>
      <c r="M11004" t="s">
        <v>34108</v>
      </c>
      <c r="N11004">
        <v>134</v>
      </c>
      <c r="O11004" t="s">
        <v>134</v>
      </c>
      <c r="P11004" t="s">
        <v>5789</v>
      </c>
      <c r="Q11004">
        <v>13</v>
      </c>
      <c r="R11004">
        <v>77.585499999999996</v>
      </c>
    </row>
    <row r="11005" spans="1:18" x14ac:dyDescent="0.2">
      <c r="A11005" t="s">
        <v>663</v>
      </c>
      <c r="B11005" t="s">
        <v>5784</v>
      </c>
      <c r="C11005">
        <v>1</v>
      </c>
      <c r="D11005" s="1">
        <v>44370.716099537036</v>
      </c>
      <c r="E11005" t="s">
        <v>34100</v>
      </c>
      <c r="F11005" t="s">
        <v>666</v>
      </c>
      <c r="G11005" t="s">
        <v>34100</v>
      </c>
      <c r="H11005" t="s">
        <v>667</v>
      </c>
      <c r="I11005" t="s">
        <v>29</v>
      </c>
      <c r="J11005">
        <v>1</v>
      </c>
      <c r="K11005">
        <f>1-888-319-2745</f>
        <v>-3951</v>
      </c>
      <c r="L11005" t="s">
        <v>34109</v>
      </c>
      <c r="M11005" t="s">
        <v>34110</v>
      </c>
      <c r="N11005">
        <v>134</v>
      </c>
      <c r="O11005" t="s">
        <v>134</v>
      </c>
      <c r="P11005" t="s">
        <v>5789</v>
      </c>
      <c r="Q11005">
        <v>13</v>
      </c>
      <c r="R11005">
        <v>77.585499999999996</v>
      </c>
    </row>
    <row r="11006" spans="1:18" x14ac:dyDescent="0.2">
      <c r="A11006" t="s">
        <v>439</v>
      </c>
      <c r="B11006" t="s">
        <v>4321</v>
      </c>
      <c r="C11006">
        <v>1</v>
      </c>
      <c r="D11006" s="1">
        <v>44370.762303240743</v>
      </c>
      <c r="E11006" t="s">
        <v>34111</v>
      </c>
      <c r="F11006" t="s">
        <v>442</v>
      </c>
      <c r="G11006" t="s">
        <v>34112</v>
      </c>
      <c r="H11006" t="s">
        <v>444</v>
      </c>
      <c r="I11006" t="s">
        <v>29</v>
      </c>
      <c r="J11006">
        <v>1</v>
      </c>
      <c r="K11006">
        <f>1-844-495-5665</f>
        <v>-7003</v>
      </c>
      <c r="L11006" t="s">
        <v>34113</v>
      </c>
      <c r="M11006" t="s">
        <v>34114</v>
      </c>
      <c r="N11006" t="s">
        <v>3441</v>
      </c>
      <c r="O11006" t="s">
        <v>28</v>
      </c>
      <c r="P11006" t="s">
        <v>29</v>
      </c>
      <c r="Q11006">
        <v>42</v>
      </c>
      <c r="R11006">
        <v>-87.629800000000003</v>
      </c>
    </row>
    <row r="11007" spans="1:18" x14ac:dyDescent="0.2">
      <c r="A11007" t="s">
        <v>439</v>
      </c>
      <c r="B11007" t="s">
        <v>4321</v>
      </c>
      <c r="C11007">
        <v>1</v>
      </c>
      <c r="D11007" s="1">
        <v>44370.762465277781</v>
      </c>
      <c r="E11007" t="s">
        <v>34111</v>
      </c>
      <c r="F11007" t="s">
        <v>442</v>
      </c>
      <c r="G11007" t="s">
        <v>34115</v>
      </c>
      <c r="H11007" t="s">
        <v>444</v>
      </c>
      <c r="I11007" t="s">
        <v>29</v>
      </c>
      <c r="J11007">
        <v>1</v>
      </c>
      <c r="K11007">
        <f>1-844-226-9744</f>
        <v>-10813</v>
      </c>
      <c r="L11007" t="s">
        <v>34116</v>
      </c>
      <c r="M11007" t="s">
        <v>34117</v>
      </c>
      <c r="N11007" t="s">
        <v>3441</v>
      </c>
      <c r="O11007" t="s">
        <v>28</v>
      </c>
      <c r="P11007" t="s">
        <v>29</v>
      </c>
      <c r="Q11007">
        <v>42</v>
      </c>
      <c r="R11007">
        <v>-87.629800000000003</v>
      </c>
    </row>
    <row r="11008" spans="1:18" x14ac:dyDescent="0.2">
      <c r="A11008" t="s">
        <v>439</v>
      </c>
      <c r="B11008" t="s">
        <v>4321</v>
      </c>
      <c r="C11008">
        <v>1</v>
      </c>
      <c r="D11008" s="1">
        <v>44370.76635416667</v>
      </c>
      <c r="E11008" t="s">
        <v>34118</v>
      </c>
      <c r="F11008" t="s">
        <v>442</v>
      </c>
      <c r="G11008" t="s">
        <v>34119</v>
      </c>
      <c r="H11008" t="s">
        <v>444</v>
      </c>
      <c r="I11008" t="s">
        <v>29</v>
      </c>
      <c r="J11008">
        <v>1</v>
      </c>
      <c r="K11008">
        <f>1-707-836-3971</f>
        <v>-5513</v>
      </c>
      <c r="L11008" t="s">
        <v>34120</v>
      </c>
      <c r="M11008" t="s">
        <v>34121</v>
      </c>
      <c r="N11008" t="s">
        <v>447</v>
      </c>
      <c r="O11008" t="s">
        <v>28</v>
      </c>
      <c r="P11008" t="s">
        <v>29</v>
      </c>
      <c r="Q11008">
        <v>42</v>
      </c>
      <c r="R11008">
        <v>-87.629800000000003</v>
      </c>
    </row>
    <row r="11009" spans="1:18" x14ac:dyDescent="0.2">
      <c r="A11009" t="s">
        <v>663</v>
      </c>
      <c r="B11009" t="s">
        <v>1212</v>
      </c>
      <c r="C11009">
        <v>1</v>
      </c>
      <c r="D11009" s="1">
        <v>44370.76662037037</v>
      </c>
      <c r="E11009" t="s">
        <v>34122</v>
      </c>
      <c r="F11009" t="s">
        <v>666</v>
      </c>
      <c r="G11009" t="s">
        <v>34123</v>
      </c>
      <c r="H11009" t="s">
        <v>667</v>
      </c>
      <c r="I11009" t="s">
        <v>29</v>
      </c>
      <c r="J11009">
        <v>1</v>
      </c>
      <c r="K11009">
        <f>1-888-606-5462</f>
        <v>-6955</v>
      </c>
      <c r="L11009" t="s">
        <v>34124</v>
      </c>
      <c r="M11009" t="s">
        <v>34125</v>
      </c>
      <c r="N11009" t="s">
        <v>452</v>
      </c>
      <c r="O11009" t="s">
        <v>28</v>
      </c>
      <c r="P11009" t="s">
        <v>618</v>
      </c>
      <c r="Q11009">
        <v>52</v>
      </c>
      <c r="R11009">
        <v>-0.62150000000000005</v>
      </c>
    </row>
    <row r="11010" spans="1:18" x14ac:dyDescent="0.2">
      <c r="A11010" t="s">
        <v>663</v>
      </c>
      <c r="B11010" t="s">
        <v>5784</v>
      </c>
      <c r="C11010">
        <v>1</v>
      </c>
      <c r="D11010" s="1">
        <v>44370.822175925925</v>
      </c>
      <c r="E11010" t="s">
        <v>34126</v>
      </c>
      <c r="F11010" t="s">
        <v>666</v>
      </c>
      <c r="G11010" t="s">
        <v>34127</v>
      </c>
      <c r="H11010" t="s">
        <v>667</v>
      </c>
      <c r="I11010" t="s">
        <v>29</v>
      </c>
      <c r="J11010">
        <v>1</v>
      </c>
      <c r="K11010">
        <f>1-888-522-7351</f>
        <v>-8760</v>
      </c>
      <c r="L11010" t="s">
        <v>34128</v>
      </c>
      <c r="M11010" t="s">
        <v>34129</v>
      </c>
      <c r="N11010" t="s">
        <v>25263</v>
      </c>
      <c r="O11010" t="s">
        <v>28</v>
      </c>
      <c r="P11010" t="s">
        <v>5789</v>
      </c>
      <c r="Q11010">
        <v>13</v>
      </c>
      <c r="R11010">
        <v>77.585499999999996</v>
      </c>
    </row>
    <row r="11011" spans="1:18" x14ac:dyDescent="0.2">
      <c r="A11011" t="s">
        <v>439</v>
      </c>
      <c r="B11011" t="s">
        <v>4321</v>
      </c>
      <c r="C11011">
        <v>1</v>
      </c>
      <c r="D11011" s="1">
        <v>44370.828958333332</v>
      </c>
      <c r="E11011" t="s">
        <v>34130</v>
      </c>
      <c r="F11011" t="s">
        <v>442</v>
      </c>
      <c r="G11011" t="s">
        <v>34131</v>
      </c>
      <c r="H11011" t="s">
        <v>444</v>
      </c>
      <c r="I11011" t="s">
        <v>29</v>
      </c>
      <c r="J11011">
        <v>1</v>
      </c>
      <c r="K11011">
        <f>1-888-322-9499</f>
        <v>-10708</v>
      </c>
      <c r="L11011" t="s">
        <v>34132</v>
      </c>
      <c r="M11011" t="s">
        <v>34133</v>
      </c>
      <c r="N11011" t="s">
        <v>1645</v>
      </c>
      <c r="O11011" t="s">
        <v>28</v>
      </c>
      <c r="P11011" t="s">
        <v>29</v>
      </c>
      <c r="Q11011">
        <v>42</v>
      </c>
      <c r="R11011">
        <v>-87.629800000000003</v>
      </c>
    </row>
    <row r="11012" spans="1:18" x14ac:dyDescent="0.2">
      <c r="A11012" t="s">
        <v>439</v>
      </c>
      <c r="B11012" t="s">
        <v>4321</v>
      </c>
      <c r="C11012">
        <v>1</v>
      </c>
      <c r="D11012" s="1">
        <v>44370.828912037039</v>
      </c>
      <c r="E11012" t="s">
        <v>34130</v>
      </c>
      <c r="F11012" t="s">
        <v>442</v>
      </c>
      <c r="G11012" t="s">
        <v>34131</v>
      </c>
      <c r="H11012" t="s">
        <v>444</v>
      </c>
      <c r="I11012" t="s">
        <v>29</v>
      </c>
      <c r="J11012">
        <v>1</v>
      </c>
      <c r="K11012">
        <f>1-888-600-9778</f>
        <v>-11265</v>
      </c>
      <c r="L11012" t="s">
        <v>34134</v>
      </c>
      <c r="M11012" t="s">
        <v>34135</v>
      </c>
      <c r="N11012" t="s">
        <v>1645</v>
      </c>
      <c r="O11012" t="s">
        <v>28</v>
      </c>
      <c r="P11012" t="s">
        <v>29</v>
      </c>
      <c r="Q11012">
        <v>42</v>
      </c>
      <c r="R11012">
        <v>-87.629800000000003</v>
      </c>
    </row>
    <row r="11013" spans="1:18" x14ac:dyDescent="0.2">
      <c r="A11013" t="s">
        <v>439</v>
      </c>
      <c r="B11013" t="s">
        <v>4321</v>
      </c>
      <c r="C11013">
        <v>1</v>
      </c>
      <c r="D11013" s="1">
        <v>44370.82885416667</v>
      </c>
      <c r="E11013" t="s">
        <v>34130</v>
      </c>
      <c r="F11013" t="s">
        <v>442</v>
      </c>
      <c r="G11013" t="s">
        <v>34131</v>
      </c>
      <c r="H11013" t="s">
        <v>444</v>
      </c>
      <c r="I11013" t="s">
        <v>29</v>
      </c>
      <c r="J11013">
        <v>1</v>
      </c>
      <c r="K11013">
        <f>1-888-319-2745</f>
        <v>-3951</v>
      </c>
      <c r="L11013" t="s">
        <v>34136</v>
      </c>
      <c r="M11013" t="s">
        <v>34137</v>
      </c>
      <c r="N11013" t="s">
        <v>1645</v>
      </c>
      <c r="O11013" t="s">
        <v>28</v>
      </c>
      <c r="P11013" t="s">
        <v>29</v>
      </c>
      <c r="Q11013">
        <v>42</v>
      </c>
      <c r="R11013">
        <v>-87.629800000000003</v>
      </c>
    </row>
    <row r="11014" spans="1:18" x14ac:dyDescent="0.2">
      <c r="A11014" t="s">
        <v>439</v>
      </c>
      <c r="B11014" t="s">
        <v>4321</v>
      </c>
      <c r="C11014">
        <v>1</v>
      </c>
      <c r="D11014" s="1">
        <v>44370.82880787037</v>
      </c>
      <c r="E11014" t="s">
        <v>34130</v>
      </c>
      <c r="F11014" t="s">
        <v>442</v>
      </c>
      <c r="G11014" t="s">
        <v>34131</v>
      </c>
      <c r="H11014" t="s">
        <v>444</v>
      </c>
      <c r="I11014" t="s">
        <v>29</v>
      </c>
      <c r="J11014">
        <v>1</v>
      </c>
      <c r="K11014">
        <f>1-888-268-559</f>
        <v>-1714</v>
      </c>
      <c r="L11014" t="s">
        <v>34138</v>
      </c>
      <c r="M11014" t="s">
        <v>34139</v>
      </c>
      <c r="N11014" t="s">
        <v>1645</v>
      </c>
      <c r="O11014" t="s">
        <v>28</v>
      </c>
      <c r="P11014" t="s">
        <v>29</v>
      </c>
      <c r="Q11014">
        <v>42</v>
      </c>
      <c r="R11014">
        <v>-87.629800000000003</v>
      </c>
    </row>
    <row r="11015" spans="1:18" x14ac:dyDescent="0.2">
      <c r="A11015" t="s">
        <v>439</v>
      </c>
      <c r="B11015" t="s">
        <v>4321</v>
      </c>
      <c r="C11015">
        <v>1</v>
      </c>
      <c r="D11015" s="1">
        <v>44370.828750000001</v>
      </c>
      <c r="E11015" t="s">
        <v>34130</v>
      </c>
      <c r="F11015" t="s">
        <v>442</v>
      </c>
      <c r="G11015" t="s">
        <v>34131</v>
      </c>
      <c r="H11015" t="s">
        <v>444</v>
      </c>
      <c r="I11015" t="s">
        <v>29</v>
      </c>
      <c r="J11015">
        <v>1</v>
      </c>
      <c r="K11015">
        <f>1-888-241-7354</f>
        <v>-8482</v>
      </c>
      <c r="L11015" t="s">
        <v>34140</v>
      </c>
      <c r="M11015" t="s">
        <v>34141</v>
      </c>
      <c r="N11015" t="s">
        <v>1645</v>
      </c>
      <c r="O11015" t="s">
        <v>28</v>
      </c>
      <c r="P11015" t="s">
        <v>29</v>
      </c>
      <c r="Q11015">
        <v>42</v>
      </c>
      <c r="R11015">
        <v>-87.629800000000003</v>
      </c>
    </row>
    <row r="11016" spans="1:18" x14ac:dyDescent="0.2">
      <c r="A11016" t="s">
        <v>439</v>
      </c>
      <c r="B11016" t="s">
        <v>4321</v>
      </c>
      <c r="C11016">
        <v>1</v>
      </c>
      <c r="D11016" s="1">
        <v>44370.839918981481</v>
      </c>
      <c r="E11016" t="s">
        <v>34142</v>
      </c>
      <c r="F11016" t="s">
        <v>442</v>
      </c>
      <c r="G11016" t="s">
        <v>34143</v>
      </c>
      <c r="H11016" t="s">
        <v>444</v>
      </c>
      <c r="I11016" t="s">
        <v>29</v>
      </c>
      <c r="J11016">
        <v>1</v>
      </c>
      <c r="K11016">
        <f>1-888-322-9499</f>
        <v>-10708</v>
      </c>
      <c r="L11016" t="s">
        <v>34144</v>
      </c>
      <c r="M11016" t="s">
        <v>34145</v>
      </c>
      <c r="N11016" t="s">
        <v>683</v>
      </c>
      <c r="O11016" t="s">
        <v>28</v>
      </c>
      <c r="P11016" t="s">
        <v>29</v>
      </c>
      <c r="Q11016">
        <v>42</v>
      </c>
      <c r="R11016">
        <v>-87.629800000000003</v>
      </c>
    </row>
    <row r="11017" spans="1:18" x14ac:dyDescent="0.2">
      <c r="A11017" t="s">
        <v>439</v>
      </c>
      <c r="B11017" t="s">
        <v>4321</v>
      </c>
      <c r="C11017">
        <v>1</v>
      </c>
      <c r="D11017" s="1">
        <v>44370.839733796296</v>
      </c>
      <c r="E11017" t="s">
        <v>34142</v>
      </c>
      <c r="F11017" t="s">
        <v>442</v>
      </c>
      <c r="G11017" t="s">
        <v>34143</v>
      </c>
      <c r="H11017" t="s">
        <v>444</v>
      </c>
      <c r="I11017" t="s">
        <v>29</v>
      </c>
      <c r="J11017">
        <v>1</v>
      </c>
      <c r="K11017">
        <f>1-888-319-2745</f>
        <v>-3951</v>
      </c>
      <c r="L11017" t="s">
        <v>34146</v>
      </c>
      <c r="M11017" t="s">
        <v>34147</v>
      </c>
      <c r="N11017" t="s">
        <v>683</v>
      </c>
      <c r="O11017" t="s">
        <v>28</v>
      </c>
      <c r="P11017" t="s">
        <v>29</v>
      </c>
      <c r="Q11017">
        <v>42</v>
      </c>
      <c r="R11017">
        <v>-87.629800000000003</v>
      </c>
    </row>
    <row r="11018" spans="1:18" x14ac:dyDescent="0.2">
      <c r="A11018" t="s">
        <v>439</v>
      </c>
      <c r="B11018" t="s">
        <v>4321</v>
      </c>
      <c r="C11018">
        <v>1</v>
      </c>
      <c r="D11018" s="1">
        <v>44370.839872685188</v>
      </c>
      <c r="E11018" t="s">
        <v>34142</v>
      </c>
      <c r="F11018" t="s">
        <v>442</v>
      </c>
      <c r="G11018" t="s">
        <v>34148</v>
      </c>
      <c r="H11018" t="s">
        <v>444</v>
      </c>
      <c r="I11018" t="s">
        <v>29</v>
      </c>
      <c r="J11018">
        <v>1</v>
      </c>
      <c r="K11018">
        <f>1-888-600-9778</f>
        <v>-11265</v>
      </c>
      <c r="L11018" t="s">
        <v>34149</v>
      </c>
      <c r="M11018" t="s">
        <v>34150</v>
      </c>
      <c r="N11018" t="s">
        <v>683</v>
      </c>
      <c r="O11018" t="s">
        <v>28</v>
      </c>
      <c r="P11018" t="s">
        <v>29</v>
      </c>
      <c r="Q11018">
        <v>42</v>
      </c>
      <c r="R11018">
        <v>-87.629800000000003</v>
      </c>
    </row>
    <row r="11019" spans="1:18" x14ac:dyDescent="0.2">
      <c r="A11019" t="s">
        <v>439</v>
      </c>
      <c r="B11019" t="s">
        <v>4321</v>
      </c>
      <c r="C11019">
        <v>1</v>
      </c>
      <c r="D11019" s="1">
        <v>44370.839826388888</v>
      </c>
      <c r="E11019" t="s">
        <v>34142</v>
      </c>
      <c r="F11019" t="s">
        <v>442</v>
      </c>
      <c r="G11019" t="s">
        <v>34148</v>
      </c>
      <c r="H11019" t="s">
        <v>444</v>
      </c>
      <c r="I11019" t="s">
        <v>29</v>
      </c>
      <c r="J11019">
        <v>1</v>
      </c>
      <c r="K11019">
        <f>1-888-241-7354</f>
        <v>-8482</v>
      </c>
      <c r="L11019" t="s">
        <v>34151</v>
      </c>
      <c r="M11019" t="s">
        <v>34152</v>
      </c>
      <c r="N11019" t="s">
        <v>683</v>
      </c>
      <c r="O11019" t="s">
        <v>28</v>
      </c>
      <c r="P11019" t="s">
        <v>29</v>
      </c>
      <c r="Q11019">
        <v>42</v>
      </c>
      <c r="R11019">
        <v>-87.629800000000003</v>
      </c>
    </row>
    <row r="11020" spans="1:18" x14ac:dyDescent="0.2">
      <c r="A11020" t="s">
        <v>439</v>
      </c>
      <c r="B11020" t="s">
        <v>4321</v>
      </c>
      <c r="C11020">
        <v>1</v>
      </c>
      <c r="D11020" s="1">
        <v>44370.839780092596</v>
      </c>
      <c r="E11020" t="s">
        <v>34142</v>
      </c>
      <c r="F11020" t="s">
        <v>442</v>
      </c>
      <c r="G11020" t="s">
        <v>34148</v>
      </c>
      <c r="H11020" t="s">
        <v>444</v>
      </c>
      <c r="I11020" t="s">
        <v>29</v>
      </c>
      <c r="J11020">
        <v>1</v>
      </c>
      <c r="K11020">
        <f>1-888-268-559</f>
        <v>-1714</v>
      </c>
      <c r="L11020" t="s">
        <v>34153</v>
      </c>
      <c r="M11020" t="s">
        <v>34154</v>
      </c>
      <c r="N11020" t="s">
        <v>683</v>
      </c>
      <c r="O11020" t="s">
        <v>28</v>
      </c>
      <c r="P11020" t="s">
        <v>29</v>
      </c>
      <c r="Q11020">
        <v>42</v>
      </c>
      <c r="R11020">
        <v>-87.629800000000003</v>
      </c>
    </row>
    <row r="11021" spans="1:18" x14ac:dyDescent="0.2">
      <c r="A11021" t="s">
        <v>439</v>
      </c>
      <c r="B11021" t="s">
        <v>4321</v>
      </c>
      <c r="C11021">
        <v>1</v>
      </c>
      <c r="D11021" s="1">
        <v>44370.853622685187</v>
      </c>
      <c r="E11021" t="s">
        <v>34155</v>
      </c>
      <c r="F11021" t="s">
        <v>442</v>
      </c>
      <c r="G11021" t="s">
        <v>34156</v>
      </c>
      <c r="H11021" t="s">
        <v>444</v>
      </c>
      <c r="I11021" t="s">
        <v>29</v>
      </c>
      <c r="J11021">
        <v>1</v>
      </c>
      <c r="K11021">
        <f>1-888-600-9778</f>
        <v>-11265</v>
      </c>
      <c r="L11021" t="s">
        <v>34157</v>
      </c>
      <c r="M11021" t="s">
        <v>34158</v>
      </c>
      <c r="N11021" t="s">
        <v>1645</v>
      </c>
      <c r="O11021" t="s">
        <v>28</v>
      </c>
      <c r="P11021" t="s">
        <v>29</v>
      </c>
      <c r="Q11021">
        <v>42</v>
      </c>
      <c r="R11021">
        <v>-87.629800000000003</v>
      </c>
    </row>
    <row r="11022" spans="1:18" x14ac:dyDescent="0.2">
      <c r="A11022" t="s">
        <v>439</v>
      </c>
      <c r="B11022" t="s">
        <v>4321</v>
      </c>
      <c r="C11022">
        <v>1</v>
      </c>
      <c r="D11022" s="1">
        <v>44370.853518518517</v>
      </c>
      <c r="E11022" t="s">
        <v>34155</v>
      </c>
      <c r="F11022" t="s">
        <v>442</v>
      </c>
      <c r="G11022" t="s">
        <v>34156</v>
      </c>
      <c r="H11022" t="s">
        <v>444</v>
      </c>
      <c r="I11022" t="s">
        <v>29</v>
      </c>
      <c r="J11022">
        <v>1</v>
      </c>
      <c r="K11022">
        <f>1-888-268-559</f>
        <v>-1714</v>
      </c>
      <c r="L11022" t="s">
        <v>34159</v>
      </c>
      <c r="M11022" t="s">
        <v>34160</v>
      </c>
      <c r="N11022" t="s">
        <v>1645</v>
      </c>
      <c r="O11022" t="s">
        <v>28</v>
      </c>
      <c r="P11022" t="s">
        <v>29</v>
      </c>
      <c r="Q11022">
        <v>42</v>
      </c>
      <c r="R11022">
        <v>-87.629800000000003</v>
      </c>
    </row>
    <row r="11023" spans="1:18" x14ac:dyDescent="0.2">
      <c r="A11023" t="s">
        <v>439</v>
      </c>
      <c r="B11023" t="s">
        <v>4321</v>
      </c>
      <c r="C11023">
        <v>1</v>
      </c>
      <c r="D11023" s="1">
        <v>44370.853472222225</v>
      </c>
      <c r="E11023" t="s">
        <v>34155</v>
      </c>
      <c r="F11023" t="s">
        <v>442</v>
      </c>
      <c r="G11023" t="s">
        <v>34156</v>
      </c>
      <c r="H11023" t="s">
        <v>444</v>
      </c>
      <c r="I11023" t="s">
        <v>29</v>
      </c>
      <c r="J11023">
        <v>1</v>
      </c>
      <c r="K11023">
        <f>1-844-669-2262</f>
        <v>-3774</v>
      </c>
      <c r="L11023" t="s">
        <v>34161</v>
      </c>
      <c r="M11023" t="s">
        <v>34162</v>
      </c>
      <c r="N11023" t="s">
        <v>1645</v>
      </c>
      <c r="O11023" t="s">
        <v>28</v>
      </c>
      <c r="P11023" t="s">
        <v>29</v>
      </c>
      <c r="Q11023">
        <v>42</v>
      </c>
      <c r="R11023">
        <v>-87.629800000000003</v>
      </c>
    </row>
    <row r="11024" spans="1:18" x14ac:dyDescent="0.2">
      <c r="A11024" t="s">
        <v>439</v>
      </c>
      <c r="B11024" t="s">
        <v>4321</v>
      </c>
      <c r="C11024">
        <v>1</v>
      </c>
      <c r="D11024" s="1">
        <v>44370.85365740741</v>
      </c>
      <c r="E11024" t="s">
        <v>34155</v>
      </c>
      <c r="F11024" t="s">
        <v>442</v>
      </c>
      <c r="G11024" t="s">
        <v>34163</v>
      </c>
      <c r="H11024" t="s">
        <v>444</v>
      </c>
      <c r="I11024" t="s">
        <v>29</v>
      </c>
      <c r="J11024">
        <v>1</v>
      </c>
      <c r="K11024">
        <f>1-888-322-9499</f>
        <v>-10708</v>
      </c>
      <c r="L11024" t="s">
        <v>34164</v>
      </c>
      <c r="M11024" t="s">
        <v>34165</v>
      </c>
      <c r="N11024" t="s">
        <v>1645</v>
      </c>
      <c r="O11024" t="s">
        <v>28</v>
      </c>
      <c r="P11024" t="s">
        <v>29</v>
      </c>
      <c r="Q11024">
        <v>42</v>
      </c>
      <c r="R11024">
        <v>-87.629800000000003</v>
      </c>
    </row>
    <row r="11025" spans="1:18" x14ac:dyDescent="0.2">
      <c r="A11025" t="s">
        <v>439</v>
      </c>
      <c r="B11025" t="s">
        <v>4321</v>
      </c>
      <c r="C11025">
        <v>1</v>
      </c>
      <c r="D11025" s="1">
        <v>44370.853564814817</v>
      </c>
      <c r="E11025" t="s">
        <v>34155</v>
      </c>
      <c r="F11025" t="s">
        <v>442</v>
      </c>
      <c r="G11025" t="s">
        <v>34163</v>
      </c>
      <c r="H11025" t="s">
        <v>444</v>
      </c>
      <c r="I11025" t="s">
        <v>29</v>
      </c>
      <c r="J11025">
        <v>1</v>
      </c>
      <c r="K11025">
        <f>1-888-241-7354</f>
        <v>-8482</v>
      </c>
      <c r="L11025" t="s">
        <v>34166</v>
      </c>
      <c r="M11025" t="s">
        <v>34167</v>
      </c>
      <c r="N11025" t="s">
        <v>1645</v>
      </c>
      <c r="O11025" t="s">
        <v>28</v>
      </c>
      <c r="P11025" t="s">
        <v>29</v>
      </c>
      <c r="Q11025">
        <v>42</v>
      </c>
      <c r="R11025">
        <v>-87.629800000000003</v>
      </c>
    </row>
    <row r="11026" spans="1:18" x14ac:dyDescent="0.2">
      <c r="A11026" t="s">
        <v>439</v>
      </c>
      <c r="B11026" t="s">
        <v>4321</v>
      </c>
      <c r="C11026">
        <v>1</v>
      </c>
      <c r="D11026" s="1">
        <v>44371.835023148145</v>
      </c>
      <c r="E11026" t="s">
        <v>34168</v>
      </c>
      <c r="F11026" t="s">
        <v>442</v>
      </c>
      <c r="G11026" t="s">
        <v>34169</v>
      </c>
      <c r="H11026" t="s">
        <v>444</v>
      </c>
      <c r="I11026" t="s">
        <v>29</v>
      </c>
      <c r="J11026">
        <v>1</v>
      </c>
      <c r="K11026">
        <f>1-888-217-5975</f>
        <v>-7079</v>
      </c>
      <c r="L11026" t="s">
        <v>34170</v>
      </c>
      <c r="M11026" t="s">
        <v>34171</v>
      </c>
      <c r="N11026" t="s">
        <v>1645</v>
      </c>
      <c r="O11026" t="s">
        <v>28</v>
      </c>
      <c r="P11026" t="s">
        <v>29</v>
      </c>
      <c r="Q11026">
        <v>42</v>
      </c>
      <c r="R11026">
        <v>-87.629800000000003</v>
      </c>
    </row>
    <row r="11027" spans="1:18" x14ac:dyDescent="0.2">
      <c r="A11027" t="s">
        <v>439</v>
      </c>
      <c r="B11027" t="s">
        <v>4321</v>
      </c>
      <c r="C11027">
        <v>1</v>
      </c>
      <c r="D11027" s="1">
        <v>44371.834965277776</v>
      </c>
      <c r="E11027" t="s">
        <v>34168</v>
      </c>
      <c r="F11027" t="s">
        <v>442</v>
      </c>
      <c r="G11027" t="s">
        <v>34169</v>
      </c>
      <c r="H11027" t="s">
        <v>444</v>
      </c>
      <c r="I11027" t="s">
        <v>29</v>
      </c>
      <c r="J11027">
        <v>1</v>
      </c>
      <c r="K11027">
        <f>1-888-417-4020</f>
        <v>-5324</v>
      </c>
      <c r="L11027" t="s">
        <v>34172</v>
      </c>
      <c r="M11027" t="s">
        <v>34173</v>
      </c>
      <c r="N11027" t="s">
        <v>1645</v>
      </c>
      <c r="O11027" t="s">
        <v>28</v>
      </c>
      <c r="P11027" t="s">
        <v>29</v>
      </c>
      <c r="Q11027">
        <v>42</v>
      </c>
      <c r="R11027">
        <v>-87.629800000000003</v>
      </c>
    </row>
    <row r="11028" spans="1:18" x14ac:dyDescent="0.2">
      <c r="A11028" t="s">
        <v>439</v>
      </c>
      <c r="B11028" t="s">
        <v>4321</v>
      </c>
      <c r="C11028">
        <v>1</v>
      </c>
      <c r="D11028" s="1">
        <v>44371.834907407407</v>
      </c>
      <c r="E11028" t="s">
        <v>34168</v>
      </c>
      <c r="F11028" t="s">
        <v>442</v>
      </c>
      <c r="G11028" t="s">
        <v>34169</v>
      </c>
      <c r="H11028" t="s">
        <v>444</v>
      </c>
      <c r="I11028" t="s">
        <v>29</v>
      </c>
      <c r="J11028">
        <v>1</v>
      </c>
      <c r="K11028">
        <f>1-888-521-2456</f>
        <v>-3864</v>
      </c>
      <c r="L11028" t="s">
        <v>34174</v>
      </c>
      <c r="M11028" t="s">
        <v>34175</v>
      </c>
      <c r="N11028" t="s">
        <v>1645</v>
      </c>
      <c r="O11028" t="s">
        <v>28</v>
      </c>
      <c r="P11028" t="s">
        <v>29</v>
      </c>
      <c r="Q11028">
        <v>42</v>
      </c>
      <c r="R11028">
        <v>-87.629800000000003</v>
      </c>
    </row>
    <row r="11029" spans="1:18" x14ac:dyDescent="0.2">
      <c r="A11029" t="s">
        <v>439</v>
      </c>
      <c r="B11029" t="s">
        <v>4321</v>
      </c>
      <c r="C11029">
        <v>1</v>
      </c>
      <c r="D11029" s="1">
        <v>44370.900196759256</v>
      </c>
      <c r="E11029" t="s">
        <v>34176</v>
      </c>
      <c r="F11029" t="s">
        <v>442</v>
      </c>
      <c r="G11029" t="s">
        <v>34177</v>
      </c>
      <c r="H11029" t="s">
        <v>444</v>
      </c>
      <c r="I11029" t="s">
        <v>29</v>
      </c>
      <c r="J11029">
        <v>1</v>
      </c>
      <c r="K11029">
        <f>1-844-340-6953</f>
        <v>-8136</v>
      </c>
      <c r="L11029" t="s">
        <v>34178</v>
      </c>
      <c r="M11029" t="s">
        <v>34179</v>
      </c>
      <c r="N11029" t="s">
        <v>447</v>
      </c>
      <c r="O11029" t="s">
        <v>28</v>
      </c>
      <c r="P11029" t="s">
        <v>29</v>
      </c>
      <c r="Q11029">
        <v>42</v>
      </c>
      <c r="R11029">
        <v>-87.629800000000003</v>
      </c>
    </row>
    <row r="11030" spans="1:18" x14ac:dyDescent="0.2">
      <c r="A11030" t="s">
        <v>439</v>
      </c>
      <c r="B11030" t="s">
        <v>4321</v>
      </c>
      <c r="C11030">
        <v>1</v>
      </c>
      <c r="D11030" s="1">
        <v>44370.937164351853</v>
      </c>
      <c r="E11030" t="s">
        <v>34180</v>
      </c>
      <c r="F11030" t="s">
        <v>442</v>
      </c>
      <c r="G11030" t="s">
        <v>34181</v>
      </c>
      <c r="H11030" t="s">
        <v>444</v>
      </c>
      <c r="I11030" t="s">
        <v>29</v>
      </c>
      <c r="J11030">
        <v>1</v>
      </c>
      <c r="K11030">
        <f>1-877-882-42</f>
        <v>-1800</v>
      </c>
      <c r="L11030" t="s">
        <v>34182</v>
      </c>
      <c r="M11030" t="s">
        <v>34183</v>
      </c>
      <c r="N11030" t="s">
        <v>447</v>
      </c>
      <c r="O11030" t="s">
        <v>28</v>
      </c>
      <c r="P11030" t="s">
        <v>29</v>
      </c>
      <c r="Q11030">
        <v>42</v>
      </c>
      <c r="R11030">
        <v>-87.629800000000003</v>
      </c>
    </row>
    <row r="11031" spans="1:18" x14ac:dyDescent="0.2">
      <c r="A11031" t="s">
        <v>2233</v>
      </c>
      <c r="B11031" t="s">
        <v>1638</v>
      </c>
      <c r="C11031">
        <v>1</v>
      </c>
      <c r="D11031" s="1">
        <v>44370.961018518516</v>
      </c>
      <c r="E11031" t="s">
        <v>34184</v>
      </c>
      <c r="F11031" t="s">
        <v>7023</v>
      </c>
      <c r="G11031" t="s">
        <v>34185</v>
      </c>
      <c r="H11031" t="s">
        <v>2237</v>
      </c>
      <c r="I11031" t="s">
        <v>29</v>
      </c>
      <c r="J11031">
        <v>1</v>
      </c>
      <c r="K11031">
        <f>1-888-392-9307</f>
        <v>-10586</v>
      </c>
      <c r="L11031" t="s">
        <v>34186</v>
      </c>
      <c r="M11031" t="s">
        <v>34187</v>
      </c>
      <c r="N11031" t="s">
        <v>278</v>
      </c>
      <c r="O11031" t="s">
        <v>28</v>
      </c>
      <c r="P11031" t="s">
        <v>292</v>
      </c>
      <c r="Q11031">
        <v>49</v>
      </c>
      <c r="R11031">
        <v>2.35222</v>
      </c>
    </row>
    <row r="11032" spans="1:18" x14ac:dyDescent="0.2">
      <c r="A11032" t="s">
        <v>439</v>
      </c>
      <c r="B11032" t="s">
        <v>4321</v>
      </c>
      <c r="C11032">
        <v>1</v>
      </c>
      <c r="D11032" s="1">
        <v>44371.004780092589</v>
      </c>
      <c r="E11032" t="s">
        <v>34188</v>
      </c>
      <c r="F11032" t="s">
        <v>442</v>
      </c>
      <c r="G11032" t="s">
        <v>34189</v>
      </c>
      <c r="H11032" t="s">
        <v>444</v>
      </c>
      <c r="I11032" t="s">
        <v>29</v>
      </c>
      <c r="J11032">
        <v>1</v>
      </c>
      <c r="K11032">
        <f>1-877-335-310</f>
        <v>-1521</v>
      </c>
      <c r="L11032" t="s">
        <v>34190</v>
      </c>
      <c r="M11032" t="s">
        <v>34191</v>
      </c>
      <c r="N11032" t="s">
        <v>213</v>
      </c>
      <c r="O11032" t="s">
        <v>28</v>
      </c>
      <c r="P11032" t="s">
        <v>29</v>
      </c>
      <c r="Q11032">
        <v>42</v>
      </c>
      <c r="R11032">
        <v>-87.629800000000003</v>
      </c>
    </row>
    <row r="11033" spans="1:18" x14ac:dyDescent="0.2">
      <c r="A11033" t="s">
        <v>439</v>
      </c>
      <c r="B11033" t="s">
        <v>4321</v>
      </c>
      <c r="C11033">
        <v>1</v>
      </c>
      <c r="D11033" s="1">
        <v>44371.034178240741</v>
      </c>
      <c r="E11033" t="s">
        <v>34192</v>
      </c>
      <c r="F11033" t="s">
        <v>442</v>
      </c>
      <c r="G11033" t="s">
        <v>34193</v>
      </c>
      <c r="H11033" t="s">
        <v>444</v>
      </c>
      <c r="I11033" t="s">
        <v>29</v>
      </c>
      <c r="J11033">
        <v>1</v>
      </c>
      <c r="K11033">
        <f>1-866-968-9408</f>
        <v>-11241</v>
      </c>
      <c r="L11033" t="s">
        <v>34194</v>
      </c>
      <c r="M11033" t="s">
        <v>34195</v>
      </c>
      <c r="N11033" t="s">
        <v>3441</v>
      </c>
      <c r="O11033" t="s">
        <v>28</v>
      </c>
      <c r="P11033" t="s">
        <v>29</v>
      </c>
      <c r="Q11033">
        <v>42</v>
      </c>
      <c r="R11033">
        <v>-87.629800000000003</v>
      </c>
    </row>
    <row r="11034" spans="1:18" x14ac:dyDescent="0.2">
      <c r="A11034" t="s">
        <v>439</v>
      </c>
      <c r="B11034" t="s">
        <v>4321</v>
      </c>
      <c r="C11034">
        <v>1</v>
      </c>
      <c r="D11034" s="1">
        <v>44371.835115740738</v>
      </c>
      <c r="E11034" t="s">
        <v>34168</v>
      </c>
      <c r="F11034" t="s">
        <v>442</v>
      </c>
      <c r="G11034" t="s">
        <v>34196</v>
      </c>
      <c r="H11034" t="s">
        <v>444</v>
      </c>
      <c r="I11034" t="s">
        <v>29</v>
      </c>
      <c r="J11034">
        <v>1</v>
      </c>
      <c r="K11034">
        <f>1-888-210-6038</f>
        <v>-7135</v>
      </c>
      <c r="L11034" t="s">
        <v>34197</v>
      </c>
      <c r="M11034" t="s">
        <v>34198</v>
      </c>
      <c r="N11034" t="s">
        <v>1645</v>
      </c>
      <c r="O11034" t="s">
        <v>28</v>
      </c>
      <c r="P11034" t="s">
        <v>29</v>
      </c>
      <c r="Q11034">
        <v>42</v>
      </c>
      <c r="R11034">
        <v>-87.629800000000003</v>
      </c>
    </row>
    <row r="11035" spans="1:18" x14ac:dyDescent="0.2">
      <c r="A11035" t="s">
        <v>439</v>
      </c>
      <c r="B11035" t="s">
        <v>4321</v>
      </c>
      <c r="C11035">
        <v>1</v>
      </c>
      <c r="D11035" s="1">
        <v>44371.835069444445</v>
      </c>
      <c r="E11035" t="s">
        <v>34168</v>
      </c>
      <c r="F11035" t="s">
        <v>442</v>
      </c>
      <c r="G11035" t="s">
        <v>34196</v>
      </c>
      <c r="H11035" t="s">
        <v>444</v>
      </c>
      <c r="I11035" t="s">
        <v>29</v>
      </c>
      <c r="J11035">
        <v>1</v>
      </c>
      <c r="K11035">
        <f>1-888-662-8165</f>
        <v>-9714</v>
      </c>
      <c r="L11035" t="s">
        <v>34199</v>
      </c>
      <c r="M11035" t="s">
        <v>34200</v>
      </c>
      <c r="N11035" t="s">
        <v>1645</v>
      </c>
      <c r="O11035" t="s">
        <v>28</v>
      </c>
      <c r="P11035" t="s">
        <v>29</v>
      </c>
      <c r="Q11035">
        <v>42</v>
      </c>
      <c r="R11035">
        <v>-87.629800000000003</v>
      </c>
    </row>
    <row r="11036" spans="1:18" x14ac:dyDescent="0.2">
      <c r="A11036" t="s">
        <v>3420</v>
      </c>
      <c r="B11036" t="s">
        <v>6921</v>
      </c>
      <c r="C11036">
        <v>1</v>
      </c>
      <c r="D11036" s="1">
        <v>44371.866388888891</v>
      </c>
      <c r="E11036" t="s">
        <v>34201</v>
      </c>
      <c r="F11036" t="s">
        <v>3422</v>
      </c>
      <c r="G11036" t="s">
        <v>34201</v>
      </c>
      <c r="H11036" t="s">
        <v>3423</v>
      </c>
      <c r="I11036" t="s">
        <v>29</v>
      </c>
      <c r="J11036">
        <v>1</v>
      </c>
      <c r="K11036">
        <f>1-844-959-4317</f>
        <v>-6119</v>
      </c>
      <c r="L11036" t="s">
        <v>34202</v>
      </c>
      <c r="M11036" t="s">
        <v>34203</v>
      </c>
      <c r="N11036">
        <v>163</v>
      </c>
      <c r="O11036" t="s">
        <v>134</v>
      </c>
      <c r="P11036" t="s">
        <v>29</v>
      </c>
      <c r="Q11036">
        <v>41</v>
      </c>
      <c r="R11036">
        <v>-95.860799999999998</v>
      </c>
    </row>
    <row r="11037" spans="1:18" x14ac:dyDescent="0.2">
      <c r="A11037" t="s">
        <v>439</v>
      </c>
      <c r="B11037" t="s">
        <v>4321</v>
      </c>
      <c r="C11037">
        <v>1</v>
      </c>
      <c r="D11037" s="1">
        <v>44372.673645833333</v>
      </c>
      <c r="E11037" t="s">
        <v>34204</v>
      </c>
      <c r="F11037" t="s">
        <v>442</v>
      </c>
      <c r="G11037" t="s">
        <v>34205</v>
      </c>
      <c r="H11037" t="s">
        <v>444</v>
      </c>
      <c r="I11037" t="s">
        <v>29</v>
      </c>
      <c r="J11037">
        <v>1</v>
      </c>
      <c r="K11037">
        <f>1-844-596-2044</f>
        <v>-3483</v>
      </c>
      <c r="L11037" t="s">
        <v>34206</v>
      </c>
      <c r="M11037" t="s">
        <v>34207</v>
      </c>
      <c r="N11037" t="s">
        <v>213</v>
      </c>
      <c r="O11037" t="s">
        <v>28</v>
      </c>
      <c r="P11037" t="s">
        <v>29</v>
      </c>
      <c r="Q11037">
        <v>42</v>
      </c>
      <c r="R11037">
        <v>-87.629800000000003</v>
      </c>
    </row>
    <row r="11038" spans="1:18" x14ac:dyDescent="0.2">
      <c r="A11038" t="s">
        <v>439</v>
      </c>
      <c r="B11038" t="s">
        <v>4321</v>
      </c>
      <c r="C11038">
        <v>1</v>
      </c>
      <c r="D11038" s="1">
        <v>44372.675416666665</v>
      </c>
      <c r="E11038" t="s">
        <v>34208</v>
      </c>
      <c r="F11038" t="s">
        <v>442</v>
      </c>
      <c r="G11038" t="s">
        <v>34209</v>
      </c>
      <c r="H11038" t="s">
        <v>444</v>
      </c>
      <c r="I11038" t="s">
        <v>29</v>
      </c>
      <c r="J11038">
        <v>1</v>
      </c>
      <c r="K11038">
        <f>1-888-202-661</f>
        <v>-1750</v>
      </c>
      <c r="L11038" t="s">
        <v>34210</v>
      </c>
      <c r="M11038" t="s">
        <v>34211</v>
      </c>
      <c r="N11038" t="s">
        <v>1645</v>
      </c>
      <c r="O11038" t="s">
        <v>28</v>
      </c>
      <c r="P11038" t="s">
        <v>29</v>
      </c>
      <c r="Q11038">
        <v>42</v>
      </c>
      <c r="R11038">
        <v>-87.629800000000003</v>
      </c>
    </row>
    <row r="11039" spans="1:18" x14ac:dyDescent="0.2">
      <c r="A11039" t="s">
        <v>439</v>
      </c>
      <c r="B11039" t="s">
        <v>4321</v>
      </c>
      <c r="C11039">
        <v>1</v>
      </c>
      <c r="D11039" s="1">
        <v>44372.675370370373</v>
      </c>
      <c r="E11039" t="s">
        <v>34208</v>
      </c>
      <c r="F11039" t="s">
        <v>442</v>
      </c>
      <c r="G11039" t="s">
        <v>34209</v>
      </c>
      <c r="H11039" t="s">
        <v>444</v>
      </c>
      <c r="I11039" t="s">
        <v>29</v>
      </c>
      <c r="J11039">
        <v>1</v>
      </c>
      <c r="K11039">
        <f>1-888-608-2018</f>
        <v>-3513</v>
      </c>
      <c r="L11039" t="s">
        <v>34212</v>
      </c>
      <c r="M11039" t="s">
        <v>34213</v>
      </c>
      <c r="N11039" t="s">
        <v>1645</v>
      </c>
      <c r="O11039" t="s">
        <v>28</v>
      </c>
      <c r="P11039" t="s">
        <v>29</v>
      </c>
      <c r="Q11039">
        <v>42</v>
      </c>
      <c r="R11039">
        <v>-87.629800000000003</v>
      </c>
    </row>
    <row r="11040" spans="1:18" x14ac:dyDescent="0.2">
      <c r="A11040" t="s">
        <v>439</v>
      </c>
      <c r="B11040" t="s">
        <v>4321</v>
      </c>
      <c r="C11040">
        <v>1</v>
      </c>
      <c r="D11040" s="1">
        <v>44372.675324074073</v>
      </c>
      <c r="E11040" t="s">
        <v>34208</v>
      </c>
      <c r="F11040" t="s">
        <v>442</v>
      </c>
      <c r="G11040" t="s">
        <v>34209</v>
      </c>
      <c r="H11040" t="s">
        <v>444</v>
      </c>
      <c r="I11040" t="s">
        <v>29</v>
      </c>
      <c r="J11040">
        <v>1</v>
      </c>
      <c r="K11040">
        <f>1-888-599-5714</f>
        <v>-7200</v>
      </c>
      <c r="L11040" t="s">
        <v>34214</v>
      </c>
      <c r="M11040" t="s">
        <v>34215</v>
      </c>
      <c r="N11040" t="s">
        <v>1645</v>
      </c>
      <c r="O11040" t="s">
        <v>28</v>
      </c>
      <c r="P11040" t="s">
        <v>29</v>
      </c>
      <c r="Q11040">
        <v>42</v>
      </c>
      <c r="R11040">
        <v>-87.629800000000003</v>
      </c>
    </row>
    <row r="11041" spans="1:18" x14ac:dyDescent="0.2">
      <c r="A11041" t="s">
        <v>439</v>
      </c>
      <c r="B11041" t="s">
        <v>4321</v>
      </c>
      <c r="C11041">
        <v>1</v>
      </c>
      <c r="D11041" s="1">
        <v>44372.67527777778</v>
      </c>
      <c r="E11041" t="s">
        <v>34208</v>
      </c>
      <c r="F11041" t="s">
        <v>442</v>
      </c>
      <c r="G11041" t="s">
        <v>34209</v>
      </c>
      <c r="H11041" t="s">
        <v>444</v>
      </c>
      <c r="I11041" t="s">
        <v>29</v>
      </c>
      <c r="J11041">
        <v>1</v>
      </c>
      <c r="K11041">
        <f>1-888-633-2689</f>
        <v>-4209</v>
      </c>
      <c r="L11041" t="s">
        <v>34216</v>
      </c>
      <c r="M11041" t="s">
        <v>34217</v>
      </c>
      <c r="N11041" t="s">
        <v>1645</v>
      </c>
      <c r="O11041" t="s">
        <v>28</v>
      </c>
      <c r="P11041" t="s">
        <v>29</v>
      </c>
      <c r="Q11041">
        <v>42</v>
      </c>
      <c r="R11041">
        <v>-87.629800000000003</v>
      </c>
    </row>
    <row r="11042" spans="1:18" x14ac:dyDescent="0.2">
      <c r="A11042" t="s">
        <v>439</v>
      </c>
      <c r="B11042" t="s">
        <v>4321</v>
      </c>
      <c r="C11042">
        <v>1</v>
      </c>
      <c r="D11042" s="1">
        <v>44372.675462962965</v>
      </c>
      <c r="E11042" t="s">
        <v>34208</v>
      </c>
      <c r="F11042" t="s">
        <v>442</v>
      </c>
      <c r="G11042" t="s">
        <v>34218</v>
      </c>
      <c r="H11042" t="s">
        <v>444</v>
      </c>
      <c r="I11042" t="s">
        <v>29</v>
      </c>
      <c r="J11042">
        <v>1</v>
      </c>
      <c r="K11042">
        <f>1-844-754-3622</f>
        <v>-5219</v>
      </c>
      <c r="L11042" t="s">
        <v>34219</v>
      </c>
      <c r="M11042" t="s">
        <v>34220</v>
      </c>
      <c r="N11042" t="s">
        <v>1645</v>
      </c>
      <c r="O11042" t="s">
        <v>28</v>
      </c>
      <c r="P11042" t="s">
        <v>29</v>
      </c>
      <c r="Q11042">
        <v>42</v>
      </c>
      <c r="R11042">
        <v>-87.629800000000003</v>
      </c>
    </row>
    <row r="11043" spans="1:18" x14ac:dyDescent="0.2">
      <c r="A11043" t="s">
        <v>439</v>
      </c>
      <c r="B11043" t="s">
        <v>4321</v>
      </c>
      <c r="C11043">
        <v>1</v>
      </c>
      <c r="D11043" s="1">
        <v>44372.689155092594</v>
      </c>
      <c r="E11043" t="s">
        <v>34221</v>
      </c>
      <c r="F11043" t="s">
        <v>442</v>
      </c>
      <c r="G11043" t="s">
        <v>34222</v>
      </c>
      <c r="H11043" t="s">
        <v>444</v>
      </c>
      <c r="I11043" t="s">
        <v>29</v>
      </c>
      <c r="J11043">
        <v>1</v>
      </c>
      <c r="K11043">
        <f>1-888-608-2018</f>
        <v>-3513</v>
      </c>
      <c r="L11043" t="s">
        <v>34223</v>
      </c>
      <c r="M11043" t="s">
        <v>34224</v>
      </c>
      <c r="N11043" t="s">
        <v>1645</v>
      </c>
      <c r="O11043" t="s">
        <v>28</v>
      </c>
      <c r="P11043" t="s">
        <v>29</v>
      </c>
      <c r="Q11043">
        <v>42</v>
      </c>
      <c r="R11043">
        <v>-87.629800000000003</v>
      </c>
    </row>
    <row r="11044" spans="1:18" x14ac:dyDescent="0.2">
      <c r="A11044" t="s">
        <v>439</v>
      </c>
      <c r="B11044" t="s">
        <v>4321</v>
      </c>
      <c r="C11044">
        <v>1</v>
      </c>
      <c r="D11044" s="1">
        <v>44372.689062500001</v>
      </c>
      <c r="E11044" t="s">
        <v>34221</v>
      </c>
      <c r="F11044" t="s">
        <v>442</v>
      </c>
      <c r="G11044" t="s">
        <v>34222</v>
      </c>
      <c r="H11044" t="s">
        <v>444</v>
      </c>
      <c r="I11044" t="s">
        <v>29</v>
      </c>
      <c r="J11044">
        <v>1</v>
      </c>
      <c r="K11044">
        <f>1-888-633-2689</f>
        <v>-4209</v>
      </c>
      <c r="L11044" t="s">
        <v>34225</v>
      </c>
      <c r="M11044" t="s">
        <v>34226</v>
      </c>
      <c r="N11044" t="s">
        <v>1645</v>
      </c>
      <c r="O11044" t="s">
        <v>28</v>
      </c>
      <c r="P11044" t="s">
        <v>29</v>
      </c>
      <c r="Q11044">
        <v>42</v>
      </c>
      <c r="R11044">
        <v>-87.629800000000003</v>
      </c>
    </row>
    <row r="11045" spans="1:18" x14ac:dyDescent="0.2">
      <c r="A11045" t="s">
        <v>439</v>
      </c>
      <c r="B11045" t="s">
        <v>4321</v>
      </c>
      <c r="C11045">
        <v>1</v>
      </c>
      <c r="D11045" s="1">
        <v>44372.689259259256</v>
      </c>
      <c r="E11045" t="s">
        <v>34221</v>
      </c>
      <c r="F11045" t="s">
        <v>442</v>
      </c>
      <c r="G11045" t="s">
        <v>34227</v>
      </c>
      <c r="H11045" t="s">
        <v>444</v>
      </c>
      <c r="I11045" t="s">
        <v>29</v>
      </c>
      <c r="J11045">
        <v>1</v>
      </c>
      <c r="K11045">
        <f>1-844-754-3622</f>
        <v>-5219</v>
      </c>
      <c r="L11045" t="s">
        <v>34228</v>
      </c>
      <c r="M11045" t="s">
        <v>34229</v>
      </c>
      <c r="N11045" t="s">
        <v>1645</v>
      </c>
      <c r="O11045" t="s">
        <v>28</v>
      </c>
      <c r="P11045" t="s">
        <v>29</v>
      </c>
      <c r="Q11045">
        <v>42</v>
      </c>
      <c r="R11045">
        <v>-87.629800000000003</v>
      </c>
    </row>
    <row r="11046" spans="1:18" x14ac:dyDescent="0.2">
      <c r="A11046" t="s">
        <v>439</v>
      </c>
      <c r="B11046" t="s">
        <v>4321</v>
      </c>
      <c r="C11046">
        <v>1</v>
      </c>
      <c r="D11046" s="1">
        <v>44372.689212962963</v>
      </c>
      <c r="E11046" t="s">
        <v>34221</v>
      </c>
      <c r="F11046" t="s">
        <v>442</v>
      </c>
      <c r="G11046" t="s">
        <v>34227</v>
      </c>
      <c r="H11046" t="s">
        <v>444</v>
      </c>
      <c r="I11046" t="s">
        <v>29</v>
      </c>
      <c r="J11046">
        <v>1</v>
      </c>
      <c r="K11046">
        <f>1-888-202-661</f>
        <v>-1750</v>
      </c>
      <c r="L11046" t="s">
        <v>34230</v>
      </c>
      <c r="M11046" t="s">
        <v>34231</v>
      </c>
      <c r="N11046" t="s">
        <v>1645</v>
      </c>
      <c r="O11046" t="s">
        <v>28</v>
      </c>
      <c r="P11046" t="s">
        <v>29</v>
      </c>
      <c r="Q11046">
        <v>42</v>
      </c>
      <c r="R11046">
        <v>-87.629800000000003</v>
      </c>
    </row>
    <row r="11047" spans="1:18" x14ac:dyDescent="0.2">
      <c r="A11047" t="s">
        <v>439</v>
      </c>
      <c r="B11047" t="s">
        <v>4321</v>
      </c>
      <c r="C11047">
        <v>1</v>
      </c>
      <c r="D11047" s="1">
        <v>44372.689108796294</v>
      </c>
      <c r="E11047" t="s">
        <v>34221</v>
      </c>
      <c r="F11047" t="s">
        <v>442</v>
      </c>
      <c r="G11047" t="s">
        <v>34227</v>
      </c>
      <c r="H11047" t="s">
        <v>444</v>
      </c>
      <c r="I11047" t="s">
        <v>29</v>
      </c>
      <c r="J11047">
        <v>1</v>
      </c>
      <c r="K11047">
        <f>1-888-599-5714</f>
        <v>-7200</v>
      </c>
      <c r="L11047" t="s">
        <v>34232</v>
      </c>
      <c r="M11047" t="s">
        <v>34233</v>
      </c>
      <c r="N11047" t="s">
        <v>1645</v>
      </c>
      <c r="O11047" t="s">
        <v>28</v>
      </c>
      <c r="P11047" t="s">
        <v>29</v>
      </c>
      <c r="Q11047">
        <v>42</v>
      </c>
      <c r="R11047">
        <v>-87.629800000000003</v>
      </c>
    </row>
    <row r="11048" spans="1:18" x14ac:dyDescent="0.2">
      <c r="A11048" t="s">
        <v>439</v>
      </c>
      <c r="B11048" t="s">
        <v>4321</v>
      </c>
      <c r="C11048">
        <v>1</v>
      </c>
      <c r="D11048" s="1">
        <v>44372.704988425925</v>
      </c>
      <c r="E11048" t="s">
        <v>34234</v>
      </c>
      <c r="F11048" t="s">
        <v>442</v>
      </c>
      <c r="G11048" t="s">
        <v>34235</v>
      </c>
      <c r="H11048" t="s">
        <v>444</v>
      </c>
      <c r="I11048" t="s">
        <v>29</v>
      </c>
      <c r="J11048">
        <v>1</v>
      </c>
      <c r="K11048">
        <f>1-888-202-661</f>
        <v>-1750</v>
      </c>
      <c r="L11048" t="s">
        <v>34236</v>
      </c>
      <c r="M11048" t="s">
        <v>34237</v>
      </c>
      <c r="N11048" t="s">
        <v>1645</v>
      </c>
      <c r="O11048" t="s">
        <v>28</v>
      </c>
      <c r="P11048" t="s">
        <v>29</v>
      </c>
      <c r="Q11048">
        <v>42</v>
      </c>
      <c r="R11048">
        <v>-87.629800000000003</v>
      </c>
    </row>
    <row r="11049" spans="1:18" x14ac:dyDescent="0.2">
      <c r="A11049" t="s">
        <v>439</v>
      </c>
      <c r="B11049" t="s">
        <v>4321</v>
      </c>
      <c r="C11049">
        <v>1</v>
      </c>
      <c r="D11049" s="1">
        <v>44372.704942129632</v>
      </c>
      <c r="E11049" t="s">
        <v>34234</v>
      </c>
      <c r="F11049" t="s">
        <v>442</v>
      </c>
      <c r="G11049" t="s">
        <v>34235</v>
      </c>
      <c r="H11049" t="s">
        <v>444</v>
      </c>
      <c r="I11049" t="s">
        <v>29</v>
      </c>
      <c r="J11049">
        <v>1</v>
      </c>
      <c r="K11049">
        <f>1-888-608-2018</f>
        <v>-3513</v>
      </c>
      <c r="L11049" t="s">
        <v>34238</v>
      </c>
      <c r="M11049" t="s">
        <v>34239</v>
      </c>
      <c r="N11049" t="s">
        <v>1645</v>
      </c>
      <c r="O11049" t="s">
        <v>28</v>
      </c>
      <c r="P11049" t="s">
        <v>29</v>
      </c>
      <c r="Q11049">
        <v>42</v>
      </c>
      <c r="R11049">
        <v>-87.629800000000003</v>
      </c>
    </row>
    <row r="11050" spans="1:18" x14ac:dyDescent="0.2">
      <c r="A11050" t="s">
        <v>439</v>
      </c>
      <c r="B11050" t="s">
        <v>4321</v>
      </c>
      <c r="C11050">
        <v>1</v>
      </c>
      <c r="D11050" s="1">
        <v>44372.704837962963</v>
      </c>
      <c r="E11050" t="s">
        <v>34234</v>
      </c>
      <c r="F11050" t="s">
        <v>442</v>
      </c>
      <c r="G11050" t="s">
        <v>34235</v>
      </c>
      <c r="H11050" t="s">
        <v>444</v>
      </c>
      <c r="I11050" t="s">
        <v>29</v>
      </c>
      <c r="J11050">
        <v>1</v>
      </c>
      <c r="K11050">
        <f>1-888-633-2689</f>
        <v>-4209</v>
      </c>
      <c r="L11050" t="s">
        <v>34240</v>
      </c>
      <c r="M11050" t="s">
        <v>34241</v>
      </c>
      <c r="N11050" t="s">
        <v>1645</v>
      </c>
      <c r="O11050" t="s">
        <v>28</v>
      </c>
      <c r="P11050" t="s">
        <v>29</v>
      </c>
      <c r="Q11050">
        <v>42</v>
      </c>
      <c r="R11050">
        <v>-87.629800000000003</v>
      </c>
    </row>
    <row r="11051" spans="1:18" x14ac:dyDescent="0.2">
      <c r="A11051" t="s">
        <v>439</v>
      </c>
      <c r="B11051" t="s">
        <v>4321</v>
      </c>
      <c r="C11051">
        <v>1</v>
      </c>
      <c r="D11051" s="1">
        <v>44372.705034722225</v>
      </c>
      <c r="E11051" t="s">
        <v>34234</v>
      </c>
      <c r="F11051" t="s">
        <v>442</v>
      </c>
      <c r="G11051" t="s">
        <v>34242</v>
      </c>
      <c r="H11051" t="s">
        <v>444</v>
      </c>
      <c r="I11051" t="s">
        <v>29</v>
      </c>
      <c r="J11051">
        <v>1</v>
      </c>
      <c r="K11051">
        <f>1-844-754-3622</f>
        <v>-5219</v>
      </c>
      <c r="L11051" t="s">
        <v>34243</v>
      </c>
      <c r="M11051" t="s">
        <v>34244</v>
      </c>
      <c r="N11051" t="s">
        <v>1645</v>
      </c>
      <c r="O11051" t="s">
        <v>28</v>
      </c>
      <c r="P11051" t="s">
        <v>29</v>
      </c>
      <c r="Q11051">
        <v>42</v>
      </c>
      <c r="R11051">
        <v>-87.629800000000003</v>
      </c>
    </row>
    <row r="11052" spans="1:18" x14ac:dyDescent="0.2">
      <c r="A11052" t="s">
        <v>439</v>
      </c>
      <c r="B11052" t="s">
        <v>4321</v>
      </c>
      <c r="C11052">
        <v>1</v>
      </c>
      <c r="D11052" s="1">
        <v>44372.704884259256</v>
      </c>
      <c r="E11052" t="s">
        <v>34234</v>
      </c>
      <c r="F11052" t="s">
        <v>442</v>
      </c>
      <c r="G11052" t="s">
        <v>34242</v>
      </c>
      <c r="H11052" t="s">
        <v>444</v>
      </c>
      <c r="I11052" t="s">
        <v>29</v>
      </c>
      <c r="J11052">
        <v>1</v>
      </c>
      <c r="K11052">
        <f>1-888-599-5714</f>
        <v>-7200</v>
      </c>
      <c r="L11052" t="s">
        <v>34245</v>
      </c>
      <c r="M11052" t="s">
        <v>34246</v>
      </c>
      <c r="N11052" t="s">
        <v>1645</v>
      </c>
      <c r="O11052" t="s">
        <v>28</v>
      </c>
      <c r="P11052" t="s">
        <v>29</v>
      </c>
      <c r="Q11052">
        <v>42</v>
      </c>
      <c r="R11052">
        <v>-87.629800000000003</v>
      </c>
    </row>
    <row r="11053" spans="1:18" x14ac:dyDescent="0.2">
      <c r="A11053" t="s">
        <v>663</v>
      </c>
      <c r="B11053" t="s">
        <v>5784</v>
      </c>
      <c r="C11053">
        <v>1</v>
      </c>
      <c r="D11053" s="1">
        <v>44372.75068287037</v>
      </c>
      <c r="E11053" t="s">
        <v>34247</v>
      </c>
      <c r="F11053" t="s">
        <v>666</v>
      </c>
      <c r="G11053" t="s">
        <v>34248</v>
      </c>
      <c r="H11053" t="s">
        <v>667</v>
      </c>
      <c r="I11053" t="s">
        <v>29</v>
      </c>
      <c r="J11053">
        <v>1</v>
      </c>
      <c r="K11053">
        <f>1-808-444-5253</f>
        <v>-6504</v>
      </c>
      <c r="L11053" t="s">
        <v>34249</v>
      </c>
      <c r="M11053" t="s">
        <v>34250</v>
      </c>
      <c r="N11053" t="s">
        <v>25263</v>
      </c>
      <c r="O11053" t="s">
        <v>28</v>
      </c>
      <c r="P11053" t="s">
        <v>5789</v>
      </c>
      <c r="Q11053">
        <v>13</v>
      </c>
      <c r="R11053">
        <v>77.585499999999996</v>
      </c>
    </row>
    <row r="11054" spans="1:18" x14ac:dyDescent="0.2">
      <c r="A11054" t="s">
        <v>2233</v>
      </c>
      <c r="B11054" t="s">
        <v>1638</v>
      </c>
      <c r="C11054">
        <v>1</v>
      </c>
      <c r="D11054" s="1">
        <v>44372.840613425928</v>
      </c>
      <c r="E11054" t="s">
        <v>31586</v>
      </c>
      <c r="F11054" t="s">
        <v>2236</v>
      </c>
      <c r="G11054" t="s">
        <v>34251</v>
      </c>
      <c r="H11054" t="s">
        <v>2237</v>
      </c>
      <c r="I11054" t="s">
        <v>29</v>
      </c>
      <c r="J11054">
        <v>1</v>
      </c>
      <c r="K11054">
        <f>1-888-319-8112</f>
        <v>-9318</v>
      </c>
      <c r="L11054" t="s">
        <v>34252</v>
      </c>
      <c r="M11054" t="s">
        <v>34253</v>
      </c>
      <c r="N11054" t="s">
        <v>278</v>
      </c>
      <c r="O11054" t="s">
        <v>28</v>
      </c>
      <c r="P11054" t="s">
        <v>292</v>
      </c>
      <c r="Q11054">
        <v>49</v>
      </c>
      <c r="R11054">
        <v>2.35222</v>
      </c>
    </row>
    <row r="11055" spans="1:18" x14ac:dyDescent="0.2">
      <c r="A11055" t="s">
        <v>2233</v>
      </c>
      <c r="B11055" t="s">
        <v>1638</v>
      </c>
      <c r="C11055">
        <v>1</v>
      </c>
      <c r="D11055" s="1">
        <v>44372.838356481479</v>
      </c>
      <c r="E11055" t="s">
        <v>31586</v>
      </c>
      <c r="F11055" t="s">
        <v>2236</v>
      </c>
      <c r="G11055" t="s">
        <v>34251</v>
      </c>
      <c r="H11055" t="s">
        <v>2237</v>
      </c>
      <c r="I11055" t="s">
        <v>29</v>
      </c>
      <c r="J11055">
        <v>1</v>
      </c>
      <c r="K11055">
        <f>1-888-598-1483</f>
        <v>-2968</v>
      </c>
      <c r="L11055" t="s">
        <v>34254</v>
      </c>
      <c r="M11055" t="s">
        <v>34255</v>
      </c>
      <c r="N11055" t="s">
        <v>278</v>
      </c>
      <c r="O11055" t="s">
        <v>28</v>
      </c>
      <c r="P11055" t="s">
        <v>292</v>
      </c>
      <c r="Q11055">
        <v>49</v>
      </c>
      <c r="R11055">
        <v>2.35222</v>
      </c>
    </row>
    <row r="11056" spans="1:18" x14ac:dyDescent="0.2">
      <c r="A11056" t="s">
        <v>663</v>
      </c>
      <c r="B11056" t="s">
        <v>2493</v>
      </c>
      <c r="C11056">
        <v>1</v>
      </c>
      <c r="D11056" s="1">
        <v>44372.847951388889</v>
      </c>
      <c r="E11056" t="s">
        <v>34256</v>
      </c>
      <c r="F11056" t="s">
        <v>666</v>
      </c>
      <c r="G11056" t="s">
        <v>34257</v>
      </c>
      <c r="H11056" t="s">
        <v>667</v>
      </c>
      <c r="I11056" t="s">
        <v>29</v>
      </c>
      <c r="J11056">
        <v>1</v>
      </c>
      <c r="K11056">
        <f>1-888-803-2030</f>
        <v>-3720</v>
      </c>
      <c r="L11056" t="s">
        <v>34258</v>
      </c>
      <c r="M11056" t="s">
        <v>34259</v>
      </c>
      <c r="N11056" t="s">
        <v>36</v>
      </c>
      <c r="O11056" t="s">
        <v>28</v>
      </c>
      <c r="P11056" t="s">
        <v>29</v>
      </c>
      <c r="Q11056">
        <v>41</v>
      </c>
      <c r="R11056">
        <v>-74.024699999999996</v>
      </c>
    </row>
    <row r="11057" spans="1:18" x14ac:dyDescent="0.2">
      <c r="A11057" t="s">
        <v>2233</v>
      </c>
      <c r="B11057" t="s">
        <v>1638</v>
      </c>
      <c r="C11057">
        <v>1</v>
      </c>
      <c r="D11057" s="1">
        <v>44372.840266203704</v>
      </c>
      <c r="E11057" t="s">
        <v>31586</v>
      </c>
      <c r="F11057" t="s">
        <v>2236</v>
      </c>
      <c r="G11057" t="s">
        <v>34260</v>
      </c>
      <c r="H11057" t="s">
        <v>2237</v>
      </c>
      <c r="I11057" t="s">
        <v>29</v>
      </c>
      <c r="J11057">
        <v>1</v>
      </c>
      <c r="K11057">
        <f>1-888-273-2946</f>
        <v>-4106</v>
      </c>
      <c r="L11057" t="s">
        <v>34261</v>
      </c>
      <c r="M11057" t="s">
        <v>34262</v>
      </c>
      <c r="N11057" t="s">
        <v>278</v>
      </c>
      <c r="O11057" t="s">
        <v>28</v>
      </c>
      <c r="P11057" t="s">
        <v>292</v>
      </c>
      <c r="Q11057">
        <v>49</v>
      </c>
      <c r="R11057">
        <v>2.35222</v>
      </c>
    </row>
    <row r="11058" spans="1:18" x14ac:dyDescent="0.2">
      <c r="A11058" t="s">
        <v>2233</v>
      </c>
      <c r="B11058" t="s">
        <v>1638</v>
      </c>
      <c r="C11058">
        <v>1</v>
      </c>
      <c r="D11058" s="1">
        <v>44372.839722222219</v>
      </c>
      <c r="E11058" t="s">
        <v>31586</v>
      </c>
      <c r="F11058" t="s">
        <v>2236</v>
      </c>
      <c r="G11058" t="s">
        <v>34260</v>
      </c>
      <c r="H11058" t="s">
        <v>2237</v>
      </c>
      <c r="I11058" t="s">
        <v>29</v>
      </c>
      <c r="J11058">
        <v>1</v>
      </c>
      <c r="K11058">
        <f>1-888-383-545</f>
        <v>-1815</v>
      </c>
      <c r="L11058" t="s">
        <v>34263</v>
      </c>
      <c r="M11058" t="s">
        <v>34264</v>
      </c>
      <c r="N11058" t="s">
        <v>278</v>
      </c>
      <c r="O11058" t="s">
        <v>28</v>
      </c>
      <c r="P11058" t="s">
        <v>292</v>
      </c>
      <c r="Q11058">
        <v>49</v>
      </c>
      <c r="R11058">
        <v>2.35222</v>
      </c>
    </row>
    <row r="11059" spans="1:18" x14ac:dyDescent="0.2">
      <c r="A11059" t="s">
        <v>663</v>
      </c>
      <c r="B11059" t="s">
        <v>5784</v>
      </c>
      <c r="C11059">
        <v>1</v>
      </c>
      <c r="D11059" s="1">
        <v>44372.848252314812</v>
      </c>
      <c r="E11059" t="s">
        <v>34265</v>
      </c>
      <c r="F11059" t="s">
        <v>666</v>
      </c>
      <c r="G11059" t="s">
        <v>34266</v>
      </c>
      <c r="H11059" t="s">
        <v>667</v>
      </c>
      <c r="I11059" t="s">
        <v>29</v>
      </c>
      <c r="J11059">
        <v>1</v>
      </c>
      <c r="K11059">
        <f>1-888-537-1298</f>
        <v>-2722</v>
      </c>
      <c r="L11059" t="s">
        <v>34267</v>
      </c>
      <c r="M11059" t="s">
        <v>34268</v>
      </c>
      <c r="N11059" t="s">
        <v>25263</v>
      </c>
      <c r="O11059" t="s">
        <v>28</v>
      </c>
      <c r="P11059" t="s">
        <v>5789</v>
      </c>
      <c r="Q11059">
        <v>13</v>
      </c>
      <c r="R11059">
        <v>77.585499999999996</v>
      </c>
    </row>
    <row r="11060" spans="1:18" x14ac:dyDescent="0.2">
      <c r="A11060" t="s">
        <v>439</v>
      </c>
      <c r="B11060" t="s">
        <v>4321</v>
      </c>
      <c r="C11060">
        <v>1</v>
      </c>
      <c r="D11060" s="1">
        <v>44372.912256944444</v>
      </c>
      <c r="E11060" t="s">
        <v>34269</v>
      </c>
      <c r="F11060" t="s">
        <v>442</v>
      </c>
      <c r="G11060" t="s">
        <v>34270</v>
      </c>
      <c r="H11060" t="s">
        <v>444</v>
      </c>
      <c r="I11060" t="s">
        <v>29</v>
      </c>
      <c r="J11060">
        <v>1</v>
      </c>
      <c r="K11060">
        <f>1-866-536-2894</f>
        <v>-4295</v>
      </c>
      <c r="L11060" t="s">
        <v>34271</v>
      </c>
      <c r="M11060" t="s">
        <v>34272</v>
      </c>
      <c r="N11060" t="s">
        <v>447</v>
      </c>
      <c r="O11060" t="s">
        <v>28</v>
      </c>
      <c r="P11060" t="s">
        <v>29</v>
      </c>
      <c r="Q11060">
        <v>42</v>
      </c>
      <c r="R11060">
        <v>-87.629800000000003</v>
      </c>
    </row>
    <row r="11061" spans="1:18" x14ac:dyDescent="0.2">
      <c r="A11061" t="s">
        <v>439</v>
      </c>
      <c r="B11061" t="s">
        <v>4321</v>
      </c>
      <c r="C11061">
        <v>1</v>
      </c>
      <c r="D11061" s="1">
        <v>44372.922152777777</v>
      </c>
      <c r="E11061" t="s">
        <v>34273</v>
      </c>
      <c r="F11061" t="s">
        <v>442</v>
      </c>
      <c r="G11061" t="s">
        <v>34274</v>
      </c>
      <c r="H11061" t="s">
        <v>444</v>
      </c>
      <c r="I11061" t="s">
        <v>29</v>
      </c>
      <c r="J11061">
        <v>1</v>
      </c>
      <c r="K11061">
        <f>1-877-909-1296</f>
        <v>-3081</v>
      </c>
      <c r="L11061" t="s">
        <v>34275</v>
      </c>
      <c r="M11061" t="s">
        <v>34276</v>
      </c>
      <c r="N11061" t="s">
        <v>447</v>
      </c>
      <c r="O11061" t="s">
        <v>28</v>
      </c>
      <c r="P11061" t="s">
        <v>29</v>
      </c>
      <c r="Q11061">
        <v>42</v>
      </c>
      <c r="R11061">
        <v>-87.629800000000003</v>
      </c>
    </row>
    <row r="11062" spans="1:18" x14ac:dyDescent="0.2">
      <c r="A11062" t="s">
        <v>439</v>
      </c>
      <c r="B11062" t="s">
        <v>4321</v>
      </c>
      <c r="C11062">
        <v>1</v>
      </c>
      <c r="D11062" s="1">
        <v>44372.998576388891</v>
      </c>
      <c r="E11062" t="s">
        <v>34277</v>
      </c>
      <c r="F11062" t="s">
        <v>442</v>
      </c>
      <c r="G11062" t="s">
        <v>34278</v>
      </c>
      <c r="H11062" t="s">
        <v>444</v>
      </c>
      <c r="I11062" t="s">
        <v>29</v>
      </c>
      <c r="J11062">
        <v>1</v>
      </c>
      <c r="K11062">
        <f>1-844-754-3622</f>
        <v>-5219</v>
      </c>
      <c r="L11062" t="s">
        <v>34279</v>
      </c>
      <c r="M11062" t="s">
        <v>34280</v>
      </c>
      <c r="N11062" t="s">
        <v>1645</v>
      </c>
      <c r="O11062" t="s">
        <v>28</v>
      </c>
      <c r="P11062" t="s">
        <v>29</v>
      </c>
      <c r="Q11062">
        <v>42</v>
      </c>
      <c r="R11062">
        <v>-87.629800000000003</v>
      </c>
    </row>
    <row r="11063" spans="1:18" x14ac:dyDescent="0.2">
      <c r="A11063" t="s">
        <v>439</v>
      </c>
      <c r="B11063" t="s">
        <v>4321</v>
      </c>
      <c r="C11063">
        <v>1</v>
      </c>
      <c r="D11063" s="1">
        <v>44372.998530092591</v>
      </c>
      <c r="E11063" t="s">
        <v>34277</v>
      </c>
      <c r="F11063" t="s">
        <v>442</v>
      </c>
      <c r="G11063" t="s">
        <v>34278</v>
      </c>
      <c r="H11063" t="s">
        <v>444</v>
      </c>
      <c r="I11063" t="s">
        <v>29</v>
      </c>
      <c r="J11063">
        <v>1</v>
      </c>
      <c r="K11063">
        <f>1-888-643-9450</f>
        <v>-10980</v>
      </c>
      <c r="L11063" t="s">
        <v>34281</v>
      </c>
      <c r="M11063" t="s">
        <v>34282</v>
      </c>
      <c r="N11063" t="s">
        <v>1645</v>
      </c>
      <c r="O11063" t="s">
        <v>28</v>
      </c>
      <c r="P11063" t="s">
        <v>29</v>
      </c>
      <c r="Q11063">
        <v>42</v>
      </c>
      <c r="R11063">
        <v>-87.629800000000003</v>
      </c>
    </row>
    <row r="11064" spans="1:18" x14ac:dyDescent="0.2">
      <c r="A11064" t="s">
        <v>439</v>
      </c>
      <c r="B11064" t="s">
        <v>4321</v>
      </c>
      <c r="C11064">
        <v>1</v>
      </c>
      <c r="D11064" s="1">
        <v>44372.998495370368</v>
      </c>
      <c r="E11064" t="s">
        <v>34277</v>
      </c>
      <c r="F11064" t="s">
        <v>442</v>
      </c>
      <c r="G11064" t="s">
        <v>34278</v>
      </c>
      <c r="H11064" t="s">
        <v>444</v>
      </c>
      <c r="I11064" t="s">
        <v>29</v>
      </c>
      <c r="J11064">
        <v>1</v>
      </c>
      <c r="K11064">
        <f>1-888-614-7885</f>
        <v>-9386</v>
      </c>
      <c r="L11064" t="s">
        <v>34283</v>
      </c>
      <c r="M11064" t="s">
        <v>34284</v>
      </c>
      <c r="N11064" t="s">
        <v>1645</v>
      </c>
      <c r="O11064" t="s">
        <v>28</v>
      </c>
      <c r="P11064" t="s">
        <v>29</v>
      </c>
      <c r="Q11064">
        <v>42</v>
      </c>
      <c r="R11064">
        <v>-87.629800000000003</v>
      </c>
    </row>
    <row r="11065" spans="1:18" x14ac:dyDescent="0.2">
      <c r="A11065" t="s">
        <v>439</v>
      </c>
      <c r="B11065" t="s">
        <v>4321</v>
      </c>
      <c r="C11065">
        <v>1</v>
      </c>
      <c r="D11065" s="1">
        <v>44372.998449074075</v>
      </c>
      <c r="E11065" t="s">
        <v>34277</v>
      </c>
      <c r="F11065" t="s">
        <v>442</v>
      </c>
      <c r="G11065" t="s">
        <v>34278</v>
      </c>
      <c r="H11065" t="s">
        <v>444</v>
      </c>
      <c r="I11065" t="s">
        <v>29</v>
      </c>
      <c r="J11065">
        <v>1</v>
      </c>
      <c r="K11065">
        <f>1-888-599-5714</f>
        <v>-7200</v>
      </c>
      <c r="L11065" t="s">
        <v>34285</v>
      </c>
      <c r="M11065" t="s">
        <v>34286</v>
      </c>
      <c r="N11065" t="s">
        <v>1645</v>
      </c>
      <c r="O11065" t="s">
        <v>28</v>
      </c>
      <c r="P11065" t="s">
        <v>29</v>
      </c>
      <c r="Q11065">
        <v>42</v>
      </c>
      <c r="R11065">
        <v>-87.629800000000003</v>
      </c>
    </row>
    <row r="11066" spans="1:18" x14ac:dyDescent="0.2">
      <c r="A11066" t="s">
        <v>439</v>
      </c>
      <c r="B11066" t="s">
        <v>4321</v>
      </c>
      <c r="C11066">
        <v>1</v>
      </c>
      <c r="D11066" s="1">
        <v>44372.998402777775</v>
      </c>
      <c r="E11066" t="s">
        <v>34277</v>
      </c>
      <c r="F11066" t="s">
        <v>442</v>
      </c>
      <c r="G11066" t="s">
        <v>34278</v>
      </c>
      <c r="H11066" t="s">
        <v>444</v>
      </c>
      <c r="I11066" t="s">
        <v>29</v>
      </c>
      <c r="J11066">
        <v>1</v>
      </c>
      <c r="K11066">
        <f>1-888-633-2689</f>
        <v>-4209</v>
      </c>
      <c r="L11066" t="s">
        <v>34287</v>
      </c>
      <c r="M11066" t="s">
        <v>34288</v>
      </c>
      <c r="N11066" t="s">
        <v>1645</v>
      </c>
      <c r="O11066" t="s">
        <v>28</v>
      </c>
      <c r="P11066" t="s">
        <v>29</v>
      </c>
      <c r="Q11066">
        <v>42</v>
      </c>
      <c r="R11066">
        <v>-87.629800000000003</v>
      </c>
    </row>
    <row r="11067" spans="1:18" x14ac:dyDescent="0.2">
      <c r="A11067" t="s">
        <v>2233</v>
      </c>
      <c r="B11067" t="s">
        <v>1638</v>
      </c>
      <c r="C11067">
        <v>1</v>
      </c>
      <c r="D11067" s="1">
        <v>44373.293553240743</v>
      </c>
      <c r="E11067" t="s">
        <v>34289</v>
      </c>
      <c r="F11067" t="s">
        <v>2236</v>
      </c>
      <c r="G11067" t="s">
        <v>34290</v>
      </c>
      <c r="H11067" t="s">
        <v>2237</v>
      </c>
      <c r="I11067" t="s">
        <v>29</v>
      </c>
      <c r="J11067">
        <v>1</v>
      </c>
      <c r="K11067">
        <f>1-888-441-3255</f>
        <v>-4583</v>
      </c>
      <c r="L11067" t="s">
        <v>34291</v>
      </c>
      <c r="M11067" t="s">
        <v>34292</v>
      </c>
      <c r="N11067" t="s">
        <v>278</v>
      </c>
      <c r="O11067" t="s">
        <v>28</v>
      </c>
      <c r="P11067" t="s">
        <v>292</v>
      </c>
      <c r="Q11067">
        <v>49</v>
      </c>
      <c r="R11067">
        <v>2.35222</v>
      </c>
    </row>
    <row r="11068" spans="1:18" x14ac:dyDescent="0.2">
      <c r="A11068" t="s">
        <v>439</v>
      </c>
      <c r="B11068" t="s">
        <v>4321</v>
      </c>
      <c r="C11068">
        <v>1</v>
      </c>
      <c r="D11068" s="1">
        <v>44373.763055555559</v>
      </c>
      <c r="E11068" t="s">
        <v>34293</v>
      </c>
      <c r="F11068" t="s">
        <v>442</v>
      </c>
      <c r="G11068" t="s">
        <v>34294</v>
      </c>
      <c r="H11068" t="s">
        <v>444</v>
      </c>
      <c r="I11068" t="s">
        <v>29</v>
      </c>
      <c r="J11068">
        <v>1</v>
      </c>
      <c r="K11068">
        <f>1-888-417-4079</f>
        <v>-5383</v>
      </c>
      <c r="L11068" t="s">
        <v>34295</v>
      </c>
      <c r="M11068" t="s">
        <v>34296</v>
      </c>
      <c r="N11068" t="s">
        <v>2475</v>
      </c>
      <c r="O11068" t="s">
        <v>28</v>
      </c>
      <c r="P11068" t="s">
        <v>29</v>
      </c>
      <c r="Q11068">
        <v>42</v>
      </c>
      <c r="R11068">
        <v>-87.629800000000003</v>
      </c>
    </row>
    <row r="11069" spans="1:18" x14ac:dyDescent="0.2">
      <c r="A11069" t="s">
        <v>439</v>
      </c>
      <c r="B11069" t="s">
        <v>4321</v>
      </c>
      <c r="C11069">
        <v>1</v>
      </c>
      <c r="D11069" s="1">
        <v>44373.76295138889</v>
      </c>
      <c r="E11069" t="s">
        <v>34293</v>
      </c>
      <c r="F11069" t="s">
        <v>442</v>
      </c>
      <c r="G11069" t="s">
        <v>34294</v>
      </c>
      <c r="H11069" t="s">
        <v>444</v>
      </c>
      <c r="I11069" t="s">
        <v>29</v>
      </c>
      <c r="J11069">
        <v>1</v>
      </c>
      <c r="K11069">
        <f>1-888-307-4042</f>
        <v>-5236</v>
      </c>
      <c r="L11069" t="s">
        <v>34297</v>
      </c>
      <c r="M11069" t="s">
        <v>34298</v>
      </c>
      <c r="N11069" t="s">
        <v>2475</v>
      </c>
      <c r="O11069" t="s">
        <v>28</v>
      </c>
      <c r="P11069" t="s">
        <v>29</v>
      </c>
      <c r="Q11069">
        <v>42</v>
      </c>
      <c r="R11069">
        <v>-87.629800000000003</v>
      </c>
    </row>
    <row r="11070" spans="1:18" x14ac:dyDescent="0.2">
      <c r="A11070" t="s">
        <v>439</v>
      </c>
      <c r="B11070" t="s">
        <v>4321</v>
      </c>
      <c r="C11070">
        <v>1</v>
      </c>
      <c r="D11070" s="1">
        <v>44373.762708333335</v>
      </c>
      <c r="E11070" t="s">
        <v>34293</v>
      </c>
      <c r="F11070" t="s">
        <v>442</v>
      </c>
      <c r="G11070" t="s">
        <v>34294</v>
      </c>
      <c r="H11070" t="s">
        <v>444</v>
      </c>
      <c r="I11070" t="s">
        <v>29</v>
      </c>
      <c r="J11070">
        <v>1</v>
      </c>
      <c r="K11070">
        <f>1-888-474-2321</f>
        <v>-3682</v>
      </c>
      <c r="L11070" t="s">
        <v>34299</v>
      </c>
      <c r="M11070" t="s">
        <v>34300</v>
      </c>
      <c r="N11070" t="s">
        <v>2475</v>
      </c>
      <c r="O11070" t="s">
        <v>28</v>
      </c>
      <c r="P11070" t="s">
        <v>29</v>
      </c>
      <c r="Q11070">
        <v>42</v>
      </c>
      <c r="R11070">
        <v>-87.629800000000003</v>
      </c>
    </row>
    <row r="11071" spans="1:18" x14ac:dyDescent="0.2">
      <c r="A11071" t="s">
        <v>439</v>
      </c>
      <c r="B11071" t="s">
        <v>4321</v>
      </c>
      <c r="C11071">
        <v>1</v>
      </c>
      <c r="D11071" s="1">
        <v>44373.762164351851</v>
      </c>
      <c r="E11071" t="s">
        <v>34293</v>
      </c>
      <c r="F11071" t="s">
        <v>442</v>
      </c>
      <c r="G11071" t="s">
        <v>34294</v>
      </c>
      <c r="H11071" t="s">
        <v>444</v>
      </c>
      <c r="I11071" t="s">
        <v>29</v>
      </c>
      <c r="J11071">
        <v>1</v>
      </c>
      <c r="K11071">
        <f>1-888-385-1625</f>
        <v>-2897</v>
      </c>
      <c r="L11071" t="s">
        <v>34301</v>
      </c>
      <c r="M11071" t="s">
        <v>34302</v>
      </c>
      <c r="N11071" t="s">
        <v>2475</v>
      </c>
      <c r="O11071" t="s">
        <v>28</v>
      </c>
      <c r="P11071" t="s">
        <v>29</v>
      </c>
      <c r="Q11071">
        <v>42</v>
      </c>
      <c r="R11071">
        <v>-87.629800000000003</v>
      </c>
    </row>
    <row r="11072" spans="1:18" x14ac:dyDescent="0.2">
      <c r="A11072" t="s">
        <v>439</v>
      </c>
      <c r="B11072" t="s">
        <v>4321</v>
      </c>
      <c r="C11072">
        <v>1</v>
      </c>
      <c r="D11072" s="1">
        <v>44373.762997685182</v>
      </c>
      <c r="E11072" t="s">
        <v>34293</v>
      </c>
      <c r="F11072" t="s">
        <v>442</v>
      </c>
      <c r="G11072" t="s">
        <v>34303</v>
      </c>
      <c r="H11072" t="s">
        <v>444</v>
      </c>
      <c r="I11072" t="s">
        <v>29</v>
      </c>
      <c r="J11072">
        <v>1</v>
      </c>
      <c r="K11072">
        <f>1-888-413-2476</f>
        <v>-3776</v>
      </c>
      <c r="L11072" t="s">
        <v>34304</v>
      </c>
      <c r="M11072" t="s">
        <v>34305</v>
      </c>
      <c r="N11072" t="s">
        <v>2475</v>
      </c>
      <c r="O11072" t="s">
        <v>28</v>
      </c>
      <c r="P11072" t="s">
        <v>29</v>
      </c>
      <c r="Q11072">
        <v>42</v>
      </c>
      <c r="R11072">
        <v>-87.629800000000003</v>
      </c>
    </row>
    <row r="11073" spans="1:18" x14ac:dyDescent="0.2">
      <c r="A11073" t="s">
        <v>439</v>
      </c>
      <c r="B11073" t="s">
        <v>4321</v>
      </c>
      <c r="C11073">
        <v>1</v>
      </c>
      <c r="D11073" s="1">
        <v>44373.796342592592</v>
      </c>
      <c r="E11073" t="s">
        <v>34306</v>
      </c>
      <c r="F11073" t="s">
        <v>442</v>
      </c>
      <c r="G11073" t="s">
        <v>34307</v>
      </c>
      <c r="H11073" t="s">
        <v>444</v>
      </c>
      <c r="I11073" t="s">
        <v>29</v>
      </c>
      <c r="J11073">
        <v>1</v>
      </c>
      <c r="K11073">
        <f>1-888-260-8269</f>
        <v>-9416</v>
      </c>
      <c r="L11073" t="s">
        <v>34308</v>
      </c>
      <c r="M11073" t="s">
        <v>34309</v>
      </c>
      <c r="N11073" t="s">
        <v>683</v>
      </c>
      <c r="O11073" t="s">
        <v>28</v>
      </c>
      <c r="P11073" t="s">
        <v>29</v>
      </c>
      <c r="Q11073">
        <v>42</v>
      </c>
      <c r="R11073">
        <v>-87.629800000000003</v>
      </c>
    </row>
    <row r="11074" spans="1:18" x14ac:dyDescent="0.2">
      <c r="A11074" t="s">
        <v>439</v>
      </c>
      <c r="B11074" t="s">
        <v>4321</v>
      </c>
      <c r="C11074">
        <v>1</v>
      </c>
      <c r="D11074" s="1">
        <v>44373.796238425923</v>
      </c>
      <c r="E11074" t="s">
        <v>34306</v>
      </c>
      <c r="F11074" t="s">
        <v>442</v>
      </c>
      <c r="G11074" t="s">
        <v>34307</v>
      </c>
      <c r="H11074" t="s">
        <v>444</v>
      </c>
      <c r="I11074" t="s">
        <v>29</v>
      </c>
      <c r="J11074">
        <v>1</v>
      </c>
      <c r="K11074">
        <f>1-888-413-2476</f>
        <v>-3776</v>
      </c>
      <c r="L11074" t="s">
        <v>34310</v>
      </c>
      <c r="M11074" t="s">
        <v>34311</v>
      </c>
      <c r="N11074" t="s">
        <v>683</v>
      </c>
      <c r="O11074" t="s">
        <v>28</v>
      </c>
      <c r="P11074" t="s">
        <v>29</v>
      </c>
      <c r="Q11074">
        <v>42</v>
      </c>
      <c r="R11074">
        <v>-87.629800000000003</v>
      </c>
    </row>
    <row r="11075" spans="1:18" x14ac:dyDescent="0.2">
      <c r="A11075" t="s">
        <v>439</v>
      </c>
      <c r="B11075" t="s">
        <v>4321</v>
      </c>
      <c r="C11075">
        <v>1</v>
      </c>
      <c r="D11075" s="1">
        <v>44373.79619212963</v>
      </c>
      <c r="E11075" t="s">
        <v>34306</v>
      </c>
      <c r="F11075" t="s">
        <v>442</v>
      </c>
      <c r="G11075" t="s">
        <v>34307</v>
      </c>
      <c r="H11075" t="s">
        <v>444</v>
      </c>
      <c r="I11075" t="s">
        <v>29</v>
      </c>
      <c r="J11075">
        <v>1</v>
      </c>
      <c r="K11075">
        <f>1-888-307-4042</f>
        <v>-5236</v>
      </c>
      <c r="L11075" t="s">
        <v>34312</v>
      </c>
      <c r="M11075" t="s">
        <v>34313</v>
      </c>
      <c r="N11075" t="s">
        <v>683</v>
      </c>
      <c r="O11075" t="s">
        <v>28</v>
      </c>
      <c r="P11075" t="s">
        <v>29</v>
      </c>
      <c r="Q11075">
        <v>42</v>
      </c>
      <c r="R11075">
        <v>-87.629800000000003</v>
      </c>
    </row>
    <row r="11076" spans="1:18" x14ac:dyDescent="0.2">
      <c r="A11076" t="s">
        <v>439</v>
      </c>
      <c r="B11076" t="s">
        <v>4321</v>
      </c>
      <c r="C11076">
        <v>1</v>
      </c>
      <c r="D11076" s="1">
        <v>44373.796377314815</v>
      </c>
      <c r="E11076" t="s">
        <v>34306</v>
      </c>
      <c r="F11076" t="s">
        <v>442</v>
      </c>
      <c r="G11076" t="s">
        <v>34314</v>
      </c>
      <c r="H11076" t="s">
        <v>444</v>
      </c>
      <c r="I11076" t="s">
        <v>29</v>
      </c>
      <c r="J11076">
        <v>1</v>
      </c>
      <c r="K11076">
        <f>1-888-474-2321</f>
        <v>-3682</v>
      </c>
      <c r="L11076" t="s">
        <v>34315</v>
      </c>
      <c r="M11076" t="s">
        <v>34316</v>
      </c>
      <c r="N11076" t="s">
        <v>683</v>
      </c>
      <c r="O11076" t="s">
        <v>28</v>
      </c>
      <c r="P11076" t="s">
        <v>29</v>
      </c>
      <c r="Q11076">
        <v>42</v>
      </c>
      <c r="R11076">
        <v>-87.629800000000003</v>
      </c>
    </row>
    <row r="11077" spans="1:18" x14ac:dyDescent="0.2">
      <c r="A11077" t="s">
        <v>439</v>
      </c>
      <c r="B11077" t="s">
        <v>4321</v>
      </c>
      <c r="C11077">
        <v>1</v>
      </c>
      <c r="D11077" s="1">
        <v>44373.796296296299</v>
      </c>
      <c r="E11077" t="s">
        <v>34306</v>
      </c>
      <c r="F11077" t="s">
        <v>442</v>
      </c>
      <c r="G11077" t="s">
        <v>34314</v>
      </c>
      <c r="H11077" t="s">
        <v>444</v>
      </c>
      <c r="I11077" t="s">
        <v>29</v>
      </c>
      <c r="J11077">
        <v>1</v>
      </c>
      <c r="K11077">
        <f>1-888-385-1625</f>
        <v>-2897</v>
      </c>
      <c r="L11077" t="s">
        <v>34317</v>
      </c>
      <c r="M11077" t="s">
        <v>34318</v>
      </c>
      <c r="N11077" t="s">
        <v>683</v>
      </c>
      <c r="O11077" t="s">
        <v>28</v>
      </c>
      <c r="P11077" t="s">
        <v>29</v>
      </c>
      <c r="Q11077">
        <v>42</v>
      </c>
      <c r="R11077">
        <v>-87.629800000000003</v>
      </c>
    </row>
    <row r="11078" spans="1:18" x14ac:dyDescent="0.2">
      <c r="A11078" t="s">
        <v>439</v>
      </c>
      <c r="B11078" t="s">
        <v>4321</v>
      </c>
      <c r="C11078">
        <v>1</v>
      </c>
      <c r="D11078" s="1">
        <v>44373.797291666669</v>
      </c>
      <c r="E11078" t="s">
        <v>34319</v>
      </c>
      <c r="F11078" t="s">
        <v>442</v>
      </c>
      <c r="G11078" t="s">
        <v>34320</v>
      </c>
      <c r="H11078" t="s">
        <v>444</v>
      </c>
      <c r="I11078" t="s">
        <v>29</v>
      </c>
      <c r="J11078">
        <v>1</v>
      </c>
      <c r="K11078">
        <f>1-888-439-644</f>
        <v>-1970</v>
      </c>
      <c r="L11078" t="s">
        <v>34321</v>
      </c>
      <c r="M11078" t="s">
        <v>34322</v>
      </c>
      <c r="N11078" t="s">
        <v>3441</v>
      </c>
      <c r="O11078" t="s">
        <v>28</v>
      </c>
      <c r="P11078" t="s">
        <v>29</v>
      </c>
      <c r="Q11078">
        <v>42</v>
      </c>
      <c r="R11078">
        <v>-87.629800000000003</v>
      </c>
    </row>
    <row r="11079" spans="1:18" x14ac:dyDescent="0.2">
      <c r="A11079" t="s">
        <v>439</v>
      </c>
      <c r="B11079" t="s">
        <v>4321</v>
      </c>
      <c r="C11079">
        <v>1</v>
      </c>
      <c r="D11079" s="1">
        <v>44373.813750000001</v>
      </c>
      <c r="E11079" t="s">
        <v>34323</v>
      </c>
      <c r="F11079" t="s">
        <v>442</v>
      </c>
      <c r="G11079" t="s">
        <v>34324</v>
      </c>
      <c r="H11079" t="s">
        <v>444</v>
      </c>
      <c r="I11079" t="s">
        <v>29</v>
      </c>
      <c r="J11079">
        <v>1</v>
      </c>
      <c r="K11079">
        <f>1-888-260-8269</f>
        <v>-9416</v>
      </c>
      <c r="L11079" t="s">
        <v>34325</v>
      </c>
      <c r="M11079" t="s">
        <v>34326</v>
      </c>
      <c r="N11079" t="s">
        <v>1645</v>
      </c>
      <c r="O11079" t="s">
        <v>28</v>
      </c>
      <c r="P11079" t="s">
        <v>29</v>
      </c>
      <c r="Q11079">
        <v>42</v>
      </c>
      <c r="R11079">
        <v>-87.629800000000003</v>
      </c>
    </row>
    <row r="11080" spans="1:18" x14ac:dyDescent="0.2">
      <c r="A11080" t="s">
        <v>439</v>
      </c>
      <c r="B11080" t="s">
        <v>4321</v>
      </c>
      <c r="C11080">
        <v>1</v>
      </c>
      <c r="D11080" s="1">
        <v>44373.813692129632</v>
      </c>
      <c r="E11080" t="s">
        <v>34323</v>
      </c>
      <c r="F11080" t="s">
        <v>442</v>
      </c>
      <c r="G11080" t="s">
        <v>34324</v>
      </c>
      <c r="H11080" t="s">
        <v>444</v>
      </c>
      <c r="I11080" t="s">
        <v>29</v>
      </c>
      <c r="J11080">
        <v>1</v>
      </c>
      <c r="K11080">
        <f>1-888-385-1625</f>
        <v>-2897</v>
      </c>
      <c r="L11080" t="s">
        <v>34327</v>
      </c>
      <c r="M11080" t="s">
        <v>34328</v>
      </c>
      <c r="N11080" t="s">
        <v>1645</v>
      </c>
      <c r="O11080" t="s">
        <v>28</v>
      </c>
      <c r="P11080" t="s">
        <v>29</v>
      </c>
      <c r="Q11080">
        <v>42</v>
      </c>
      <c r="R11080">
        <v>-87.629800000000003</v>
      </c>
    </row>
    <row r="11081" spans="1:18" x14ac:dyDescent="0.2">
      <c r="A11081" t="s">
        <v>439</v>
      </c>
      <c r="B11081" t="s">
        <v>4321</v>
      </c>
      <c r="C11081">
        <v>1</v>
      </c>
      <c r="D11081" s="1">
        <v>44373.813599537039</v>
      </c>
      <c r="E11081" t="s">
        <v>34323</v>
      </c>
      <c r="F11081" t="s">
        <v>442</v>
      </c>
      <c r="G11081" t="s">
        <v>34324</v>
      </c>
      <c r="H11081" t="s">
        <v>444</v>
      </c>
      <c r="I11081" t="s">
        <v>29</v>
      </c>
      <c r="J11081">
        <v>1</v>
      </c>
      <c r="K11081">
        <f>1-888-307-4042</f>
        <v>-5236</v>
      </c>
      <c r="L11081" t="s">
        <v>34329</v>
      </c>
      <c r="M11081" t="s">
        <v>34330</v>
      </c>
      <c r="N11081" t="s">
        <v>1645</v>
      </c>
      <c r="O11081" t="s">
        <v>28</v>
      </c>
      <c r="P11081" t="s">
        <v>29</v>
      </c>
      <c r="Q11081">
        <v>42</v>
      </c>
      <c r="R11081">
        <v>-87.629800000000003</v>
      </c>
    </row>
    <row r="11082" spans="1:18" x14ac:dyDescent="0.2">
      <c r="A11082" t="s">
        <v>439</v>
      </c>
      <c r="B11082" t="s">
        <v>4321</v>
      </c>
      <c r="C11082">
        <v>1</v>
      </c>
      <c r="D11082" s="1">
        <v>44373.813807870371</v>
      </c>
      <c r="E11082" t="s">
        <v>34323</v>
      </c>
      <c r="F11082" t="s">
        <v>442</v>
      </c>
      <c r="G11082" t="s">
        <v>34331</v>
      </c>
      <c r="H11082" t="s">
        <v>444</v>
      </c>
      <c r="I11082" t="s">
        <v>29</v>
      </c>
      <c r="J11082">
        <v>1</v>
      </c>
      <c r="K11082">
        <f>1-888-474-2321</f>
        <v>-3682</v>
      </c>
      <c r="L11082" t="s">
        <v>34332</v>
      </c>
      <c r="M11082" t="s">
        <v>34333</v>
      </c>
      <c r="N11082" t="s">
        <v>1645</v>
      </c>
      <c r="O11082" t="s">
        <v>28</v>
      </c>
      <c r="P11082" t="s">
        <v>29</v>
      </c>
      <c r="Q11082">
        <v>42</v>
      </c>
      <c r="R11082">
        <v>-87.629800000000003</v>
      </c>
    </row>
    <row r="11083" spans="1:18" x14ac:dyDescent="0.2">
      <c r="A11083" t="s">
        <v>439</v>
      </c>
      <c r="B11083" t="s">
        <v>4321</v>
      </c>
      <c r="C11083">
        <v>1</v>
      </c>
      <c r="D11083" s="1">
        <v>44373.813657407409</v>
      </c>
      <c r="E11083" t="s">
        <v>34323</v>
      </c>
      <c r="F11083" t="s">
        <v>442</v>
      </c>
      <c r="G11083" t="s">
        <v>34331</v>
      </c>
      <c r="H11083" t="s">
        <v>444</v>
      </c>
      <c r="I11083" t="s">
        <v>29</v>
      </c>
      <c r="J11083">
        <v>1</v>
      </c>
      <c r="K11083">
        <f>1-888-413-2476</f>
        <v>-3776</v>
      </c>
      <c r="L11083" t="s">
        <v>34334</v>
      </c>
      <c r="M11083" t="s">
        <v>34335</v>
      </c>
      <c r="N11083" t="s">
        <v>1645</v>
      </c>
      <c r="O11083" t="s">
        <v>28</v>
      </c>
      <c r="P11083" t="s">
        <v>29</v>
      </c>
      <c r="Q11083">
        <v>42</v>
      </c>
      <c r="R11083">
        <v>-87.629800000000003</v>
      </c>
    </row>
    <row r="11084" spans="1:18" x14ac:dyDescent="0.2">
      <c r="A11084" t="s">
        <v>663</v>
      </c>
      <c r="B11084" t="s">
        <v>5784</v>
      </c>
      <c r="C11084">
        <v>1</v>
      </c>
      <c r="D11084" s="1">
        <v>44373.862037037034</v>
      </c>
      <c r="E11084" t="s">
        <v>34336</v>
      </c>
      <c r="F11084" t="s">
        <v>666</v>
      </c>
      <c r="G11084" t="s">
        <v>34337</v>
      </c>
      <c r="H11084" t="s">
        <v>667</v>
      </c>
      <c r="I11084" t="s">
        <v>29</v>
      </c>
      <c r="J11084">
        <v>1</v>
      </c>
      <c r="K11084">
        <f>1-909-639-1736</f>
        <v>-3283</v>
      </c>
      <c r="L11084" t="s">
        <v>34338</v>
      </c>
      <c r="M11084" t="s">
        <v>34339</v>
      </c>
      <c r="N11084" t="s">
        <v>25263</v>
      </c>
      <c r="O11084" t="s">
        <v>28</v>
      </c>
      <c r="P11084" t="s">
        <v>5789</v>
      </c>
      <c r="Q11084">
        <v>13</v>
      </c>
      <c r="R11084">
        <v>77.585499999999996</v>
      </c>
    </row>
    <row r="11085" spans="1:18" x14ac:dyDescent="0.2">
      <c r="A11085" t="s">
        <v>2233</v>
      </c>
      <c r="B11085" t="s">
        <v>1638</v>
      </c>
      <c r="C11085">
        <v>1</v>
      </c>
      <c r="D11085" s="1">
        <v>44373.867013888892</v>
      </c>
      <c r="E11085" t="s">
        <v>34340</v>
      </c>
      <c r="F11085" t="s">
        <v>2236</v>
      </c>
      <c r="G11085" t="s">
        <v>34341</v>
      </c>
      <c r="H11085" t="s">
        <v>2237</v>
      </c>
      <c r="I11085" t="s">
        <v>29</v>
      </c>
      <c r="J11085">
        <v>1</v>
      </c>
      <c r="K11085">
        <f>1-888-322-9593</f>
        <v>-10802</v>
      </c>
      <c r="L11085" t="s">
        <v>34342</v>
      </c>
      <c r="M11085" t="s">
        <v>34343</v>
      </c>
      <c r="N11085" t="s">
        <v>278</v>
      </c>
      <c r="O11085" t="s">
        <v>28</v>
      </c>
      <c r="P11085" t="s">
        <v>292</v>
      </c>
      <c r="Q11085">
        <v>49</v>
      </c>
      <c r="R11085">
        <v>2.35222</v>
      </c>
    </row>
    <row r="11086" spans="1:18" x14ac:dyDescent="0.2">
      <c r="A11086" t="s">
        <v>2233</v>
      </c>
      <c r="B11086" t="s">
        <v>1638</v>
      </c>
      <c r="C11086">
        <v>1</v>
      </c>
      <c r="D11086" s="1">
        <v>44373.883298611108</v>
      </c>
      <c r="E11086" t="s">
        <v>34344</v>
      </c>
      <c r="F11086" t="s">
        <v>7023</v>
      </c>
      <c r="G11086" t="s">
        <v>34345</v>
      </c>
      <c r="H11086" t="s">
        <v>2237</v>
      </c>
      <c r="I11086" t="s">
        <v>29</v>
      </c>
      <c r="J11086">
        <v>1</v>
      </c>
      <c r="K11086">
        <f>1-888-291-257</f>
        <v>-1435</v>
      </c>
      <c r="L11086" t="s">
        <v>34346</v>
      </c>
      <c r="M11086" t="s">
        <v>34347</v>
      </c>
      <c r="N11086" t="s">
        <v>278</v>
      </c>
      <c r="O11086" t="s">
        <v>28</v>
      </c>
      <c r="P11086" t="s">
        <v>292</v>
      </c>
      <c r="Q11086">
        <v>49</v>
      </c>
      <c r="R11086">
        <v>2.35222</v>
      </c>
    </row>
    <row r="11087" spans="1:18" x14ac:dyDescent="0.2">
      <c r="A11087" t="s">
        <v>439</v>
      </c>
      <c r="B11087" t="s">
        <v>4321</v>
      </c>
      <c r="C11087">
        <v>1</v>
      </c>
      <c r="D11087" s="1">
        <v>44373.909560185188</v>
      </c>
      <c r="E11087" t="s">
        <v>34348</v>
      </c>
      <c r="F11087" t="s">
        <v>442</v>
      </c>
      <c r="G11087" t="s">
        <v>34349</v>
      </c>
      <c r="H11087" t="s">
        <v>444</v>
      </c>
      <c r="I11087" t="s">
        <v>29</v>
      </c>
      <c r="J11087">
        <v>1</v>
      </c>
      <c r="K11087">
        <f>1-888-474-2321</f>
        <v>-3682</v>
      </c>
      <c r="L11087" t="s">
        <v>34350</v>
      </c>
      <c r="M11087" t="s">
        <v>34351</v>
      </c>
      <c r="N11087" t="s">
        <v>1645</v>
      </c>
      <c r="O11087" t="s">
        <v>134</v>
      </c>
      <c r="P11087" t="s">
        <v>29</v>
      </c>
      <c r="Q11087">
        <v>42</v>
      </c>
      <c r="R11087">
        <v>-87.629800000000003</v>
      </c>
    </row>
    <row r="11088" spans="1:18" x14ac:dyDescent="0.2">
      <c r="A11088" t="s">
        <v>439</v>
      </c>
      <c r="B11088" t="s">
        <v>4321</v>
      </c>
      <c r="C11088">
        <v>1</v>
      </c>
      <c r="D11088" s="1">
        <v>44373.909513888888</v>
      </c>
      <c r="E11088" t="s">
        <v>34348</v>
      </c>
      <c r="F11088" t="s">
        <v>442</v>
      </c>
      <c r="G11088" t="s">
        <v>34349</v>
      </c>
      <c r="H11088" t="s">
        <v>444</v>
      </c>
      <c r="I11088" t="s">
        <v>29</v>
      </c>
      <c r="J11088">
        <v>1</v>
      </c>
      <c r="K11088">
        <f>1-888-256-4939</f>
        <v>-6082</v>
      </c>
      <c r="L11088" t="s">
        <v>34352</v>
      </c>
      <c r="M11088" t="s">
        <v>34353</v>
      </c>
      <c r="N11088" t="s">
        <v>1645</v>
      </c>
      <c r="O11088" t="s">
        <v>134</v>
      </c>
      <c r="P11088" t="s">
        <v>29</v>
      </c>
      <c r="Q11088">
        <v>42</v>
      </c>
      <c r="R11088">
        <v>-87.629800000000003</v>
      </c>
    </row>
    <row r="11089" spans="1:18" x14ac:dyDescent="0.2">
      <c r="A11089" t="s">
        <v>439</v>
      </c>
      <c r="B11089" t="s">
        <v>4321</v>
      </c>
      <c r="C11089">
        <v>1</v>
      </c>
      <c r="D11089" s="1">
        <v>44373.909456018519</v>
      </c>
      <c r="E11089" t="s">
        <v>34348</v>
      </c>
      <c r="F11089" t="s">
        <v>442</v>
      </c>
      <c r="G11089" t="s">
        <v>34349</v>
      </c>
      <c r="H11089" t="s">
        <v>444</v>
      </c>
      <c r="I11089" t="s">
        <v>29</v>
      </c>
      <c r="J11089">
        <v>1</v>
      </c>
      <c r="K11089">
        <f>1-888-385-1625</f>
        <v>-2897</v>
      </c>
      <c r="L11089" t="s">
        <v>34354</v>
      </c>
      <c r="M11089" t="s">
        <v>34355</v>
      </c>
      <c r="N11089" t="s">
        <v>1645</v>
      </c>
      <c r="O11089" t="s">
        <v>134</v>
      </c>
      <c r="P11089" t="s">
        <v>29</v>
      </c>
      <c r="Q11089">
        <v>42</v>
      </c>
      <c r="R11089">
        <v>-87.629800000000003</v>
      </c>
    </row>
    <row r="11090" spans="1:18" x14ac:dyDescent="0.2">
      <c r="A11090" t="s">
        <v>439</v>
      </c>
      <c r="B11090" t="s">
        <v>4321</v>
      </c>
      <c r="C11090">
        <v>1</v>
      </c>
      <c r="D11090" s="1">
        <v>44373.909398148149</v>
      </c>
      <c r="E11090" t="s">
        <v>34348</v>
      </c>
      <c r="F11090" t="s">
        <v>442</v>
      </c>
      <c r="G11090" t="s">
        <v>34349</v>
      </c>
      <c r="H11090" t="s">
        <v>444</v>
      </c>
      <c r="I11090" t="s">
        <v>29</v>
      </c>
      <c r="J11090">
        <v>1</v>
      </c>
      <c r="K11090">
        <f>1-888-413-2476</f>
        <v>-3776</v>
      </c>
      <c r="L11090" t="s">
        <v>34356</v>
      </c>
      <c r="M11090" t="s">
        <v>34357</v>
      </c>
      <c r="N11090" t="s">
        <v>1645</v>
      </c>
      <c r="O11090" t="s">
        <v>134</v>
      </c>
      <c r="P11090" t="s">
        <v>29</v>
      </c>
      <c r="Q11090">
        <v>42</v>
      </c>
      <c r="R11090">
        <v>-87.629800000000003</v>
      </c>
    </row>
    <row r="11091" spans="1:18" x14ac:dyDescent="0.2">
      <c r="A11091" t="s">
        <v>439</v>
      </c>
      <c r="B11091" t="s">
        <v>4321</v>
      </c>
      <c r="C11091">
        <v>1</v>
      </c>
      <c r="D11091" s="1">
        <v>44373.908680555556</v>
      </c>
      <c r="E11091" t="s">
        <v>34348</v>
      </c>
      <c r="F11091" t="s">
        <v>442</v>
      </c>
      <c r="G11091" t="s">
        <v>34349</v>
      </c>
      <c r="H11091" t="s">
        <v>444</v>
      </c>
      <c r="I11091" t="s">
        <v>29</v>
      </c>
      <c r="J11091">
        <v>1</v>
      </c>
      <c r="K11091">
        <f>1-888-307-4042</f>
        <v>-5236</v>
      </c>
      <c r="L11091" t="s">
        <v>34358</v>
      </c>
      <c r="M11091" t="s">
        <v>34359</v>
      </c>
      <c r="N11091" t="s">
        <v>1645</v>
      </c>
      <c r="O11091" t="s">
        <v>134</v>
      </c>
      <c r="P11091" t="s">
        <v>29</v>
      </c>
      <c r="Q11091">
        <v>42</v>
      </c>
      <c r="R11091">
        <v>-87.629800000000003</v>
      </c>
    </row>
    <row r="11092" spans="1:18" x14ac:dyDescent="0.2">
      <c r="A11092" t="s">
        <v>439</v>
      </c>
      <c r="B11092" t="s">
        <v>4321</v>
      </c>
      <c r="C11092">
        <v>1</v>
      </c>
      <c r="D11092" s="1">
        <v>44373.914224537039</v>
      </c>
      <c r="E11092" t="s">
        <v>34360</v>
      </c>
      <c r="F11092" t="s">
        <v>442</v>
      </c>
      <c r="G11092" t="s">
        <v>34361</v>
      </c>
      <c r="H11092" t="s">
        <v>444</v>
      </c>
      <c r="I11092" t="s">
        <v>29</v>
      </c>
      <c r="J11092">
        <v>1</v>
      </c>
      <c r="K11092">
        <f>1-888-413-2476</f>
        <v>-3776</v>
      </c>
      <c r="L11092" t="s">
        <v>34362</v>
      </c>
      <c r="M11092" t="s">
        <v>34363</v>
      </c>
      <c r="N11092" t="s">
        <v>1645</v>
      </c>
      <c r="O11092" t="s">
        <v>28</v>
      </c>
      <c r="P11092" t="s">
        <v>29</v>
      </c>
      <c r="Q11092">
        <v>42</v>
      </c>
      <c r="R11092">
        <v>-87.629800000000003</v>
      </c>
    </row>
    <row r="11093" spans="1:18" x14ac:dyDescent="0.2">
      <c r="A11093" t="s">
        <v>439</v>
      </c>
      <c r="B11093" t="s">
        <v>4321</v>
      </c>
      <c r="C11093">
        <v>1</v>
      </c>
      <c r="D11093" s="1">
        <v>44373.914166666669</v>
      </c>
      <c r="E11093" t="s">
        <v>34360</v>
      </c>
      <c r="F11093" t="s">
        <v>442</v>
      </c>
      <c r="G11093" t="s">
        <v>34361</v>
      </c>
      <c r="H11093" t="s">
        <v>444</v>
      </c>
      <c r="I11093" t="s">
        <v>29</v>
      </c>
      <c r="J11093">
        <v>1</v>
      </c>
      <c r="K11093">
        <f>1-888-385-1625</f>
        <v>-2897</v>
      </c>
      <c r="L11093" t="s">
        <v>34364</v>
      </c>
      <c r="M11093" t="s">
        <v>34365</v>
      </c>
      <c r="N11093" t="s">
        <v>1645</v>
      </c>
      <c r="O11093" t="s">
        <v>28</v>
      </c>
      <c r="P11093" t="s">
        <v>29</v>
      </c>
      <c r="Q11093">
        <v>42</v>
      </c>
      <c r="R11093">
        <v>-87.629800000000003</v>
      </c>
    </row>
    <row r="11094" spans="1:18" x14ac:dyDescent="0.2">
      <c r="A11094" t="s">
        <v>439</v>
      </c>
      <c r="B11094" t="s">
        <v>4321</v>
      </c>
      <c r="C11094">
        <v>1</v>
      </c>
      <c r="D11094" s="1">
        <v>44373.914351851854</v>
      </c>
      <c r="E11094" t="s">
        <v>34360</v>
      </c>
      <c r="F11094" t="s">
        <v>442</v>
      </c>
      <c r="G11094" t="s">
        <v>34366</v>
      </c>
      <c r="H11094" t="s">
        <v>444</v>
      </c>
      <c r="I11094" t="s">
        <v>29</v>
      </c>
      <c r="J11094">
        <v>1</v>
      </c>
      <c r="K11094">
        <f>1-888-474-2321</f>
        <v>-3682</v>
      </c>
      <c r="L11094" t="s">
        <v>34367</v>
      </c>
      <c r="M11094" t="s">
        <v>34368</v>
      </c>
      <c r="N11094" t="s">
        <v>1645</v>
      </c>
      <c r="O11094" t="s">
        <v>28</v>
      </c>
      <c r="P11094" t="s">
        <v>29</v>
      </c>
      <c r="Q11094">
        <v>42</v>
      </c>
      <c r="R11094">
        <v>-87.629800000000003</v>
      </c>
    </row>
    <row r="11095" spans="1:18" x14ac:dyDescent="0.2">
      <c r="A11095" t="s">
        <v>439</v>
      </c>
      <c r="B11095" t="s">
        <v>4321</v>
      </c>
      <c r="C11095">
        <v>1</v>
      </c>
      <c r="D11095" s="1">
        <v>44373.914293981485</v>
      </c>
      <c r="E11095" t="s">
        <v>34360</v>
      </c>
      <c r="F11095" t="s">
        <v>442</v>
      </c>
      <c r="G11095" t="s">
        <v>34366</v>
      </c>
      <c r="H11095" t="s">
        <v>444</v>
      </c>
      <c r="I11095" t="s">
        <v>29</v>
      </c>
      <c r="J11095">
        <v>1</v>
      </c>
      <c r="K11095">
        <f>1-888-256-4939</f>
        <v>-6082</v>
      </c>
      <c r="L11095" t="s">
        <v>34369</v>
      </c>
      <c r="M11095" t="s">
        <v>34370</v>
      </c>
      <c r="N11095" t="s">
        <v>1645</v>
      </c>
      <c r="O11095" t="s">
        <v>28</v>
      </c>
      <c r="P11095" t="s">
        <v>29</v>
      </c>
      <c r="Q11095">
        <v>42</v>
      </c>
      <c r="R11095">
        <v>-87.629800000000003</v>
      </c>
    </row>
    <row r="11096" spans="1:18" x14ac:dyDescent="0.2">
      <c r="A11096" t="s">
        <v>439</v>
      </c>
      <c r="B11096" t="s">
        <v>4321</v>
      </c>
      <c r="C11096">
        <v>1</v>
      </c>
      <c r="D11096" s="1">
        <v>44373.9528125</v>
      </c>
      <c r="E11096" t="s">
        <v>34371</v>
      </c>
      <c r="F11096" t="s">
        <v>442</v>
      </c>
      <c r="G11096" t="s">
        <v>34372</v>
      </c>
      <c r="H11096" t="s">
        <v>444</v>
      </c>
      <c r="I11096" t="s">
        <v>29</v>
      </c>
      <c r="J11096">
        <v>1</v>
      </c>
      <c r="K11096">
        <f>1-888-474-2321</f>
        <v>-3682</v>
      </c>
      <c r="L11096" t="s">
        <v>34373</v>
      </c>
      <c r="M11096" t="s">
        <v>34374</v>
      </c>
      <c r="N11096" t="s">
        <v>1645</v>
      </c>
      <c r="O11096" t="s">
        <v>28</v>
      </c>
      <c r="P11096" t="s">
        <v>29</v>
      </c>
      <c r="Q11096">
        <v>42</v>
      </c>
      <c r="R11096">
        <v>-87.629800000000003</v>
      </c>
    </row>
    <row r="11097" spans="1:18" x14ac:dyDescent="0.2">
      <c r="A11097" t="s">
        <v>439</v>
      </c>
      <c r="B11097" t="s">
        <v>4321</v>
      </c>
      <c r="C11097">
        <v>1</v>
      </c>
      <c r="D11097" s="1">
        <v>44373.952719907407</v>
      </c>
      <c r="E11097" t="s">
        <v>34371</v>
      </c>
      <c r="F11097" t="s">
        <v>442</v>
      </c>
      <c r="G11097" t="s">
        <v>34372</v>
      </c>
      <c r="H11097" t="s">
        <v>444</v>
      </c>
      <c r="I11097" t="s">
        <v>29</v>
      </c>
      <c r="J11097">
        <v>1</v>
      </c>
      <c r="K11097">
        <f>1-888-385-1625</f>
        <v>-2897</v>
      </c>
      <c r="L11097" t="s">
        <v>34375</v>
      </c>
      <c r="M11097" t="s">
        <v>34376</v>
      </c>
      <c r="N11097" t="s">
        <v>1645</v>
      </c>
      <c r="O11097" t="s">
        <v>28</v>
      </c>
      <c r="P11097" t="s">
        <v>29</v>
      </c>
      <c r="Q11097">
        <v>42</v>
      </c>
      <c r="R11097">
        <v>-87.629800000000003</v>
      </c>
    </row>
    <row r="11098" spans="1:18" x14ac:dyDescent="0.2">
      <c r="A11098" t="s">
        <v>439</v>
      </c>
      <c r="B11098" t="s">
        <v>4321</v>
      </c>
      <c r="C11098">
        <v>1</v>
      </c>
      <c r="D11098" s="1">
        <v>44373.952627314815</v>
      </c>
      <c r="E11098" t="s">
        <v>34371</v>
      </c>
      <c r="F11098" t="s">
        <v>442</v>
      </c>
      <c r="G11098" t="s">
        <v>34372</v>
      </c>
      <c r="H11098" t="s">
        <v>444</v>
      </c>
      <c r="I11098" t="s">
        <v>29</v>
      </c>
      <c r="J11098">
        <v>1</v>
      </c>
      <c r="K11098">
        <f>1-888-308-2843</f>
        <v>-4038</v>
      </c>
      <c r="L11098" t="s">
        <v>34377</v>
      </c>
      <c r="M11098" t="s">
        <v>34378</v>
      </c>
      <c r="N11098" t="s">
        <v>1645</v>
      </c>
      <c r="O11098" t="s">
        <v>28</v>
      </c>
      <c r="P11098" t="s">
        <v>29</v>
      </c>
      <c r="Q11098">
        <v>42</v>
      </c>
      <c r="R11098">
        <v>-87.629800000000003</v>
      </c>
    </row>
    <row r="11099" spans="1:18" x14ac:dyDescent="0.2">
      <c r="A11099" t="s">
        <v>439</v>
      </c>
      <c r="B11099" t="s">
        <v>4321</v>
      </c>
      <c r="C11099">
        <v>1</v>
      </c>
      <c r="D11099" s="1">
        <v>44373.952766203707</v>
      </c>
      <c r="E11099" t="s">
        <v>34371</v>
      </c>
      <c r="F11099" t="s">
        <v>442</v>
      </c>
      <c r="G11099" t="s">
        <v>34379</v>
      </c>
      <c r="H11099" t="s">
        <v>444</v>
      </c>
      <c r="I11099" t="s">
        <v>29</v>
      </c>
      <c r="J11099">
        <v>1</v>
      </c>
      <c r="K11099">
        <f>1-888-256-4939</f>
        <v>-6082</v>
      </c>
      <c r="L11099" t="s">
        <v>34380</v>
      </c>
      <c r="M11099" t="s">
        <v>34381</v>
      </c>
      <c r="N11099" t="s">
        <v>1645</v>
      </c>
      <c r="O11099" t="s">
        <v>28</v>
      </c>
      <c r="P11099" t="s">
        <v>29</v>
      </c>
      <c r="Q11099">
        <v>42</v>
      </c>
      <c r="R11099">
        <v>-87.629800000000003</v>
      </c>
    </row>
    <row r="11100" spans="1:18" x14ac:dyDescent="0.2">
      <c r="A11100" t="s">
        <v>439</v>
      </c>
      <c r="B11100" t="s">
        <v>4321</v>
      </c>
      <c r="C11100">
        <v>1</v>
      </c>
      <c r="D11100" s="1">
        <v>44373.952673611115</v>
      </c>
      <c r="E11100" t="s">
        <v>34371</v>
      </c>
      <c r="F11100" t="s">
        <v>442</v>
      </c>
      <c r="G11100" t="s">
        <v>34379</v>
      </c>
      <c r="H11100" t="s">
        <v>444</v>
      </c>
      <c r="I11100" t="s">
        <v>29</v>
      </c>
      <c r="J11100">
        <v>1</v>
      </c>
      <c r="K11100">
        <f>1-888-413-2476</f>
        <v>-3776</v>
      </c>
      <c r="L11100" t="s">
        <v>34382</v>
      </c>
      <c r="M11100" t="s">
        <v>34383</v>
      </c>
      <c r="N11100" t="s">
        <v>1645</v>
      </c>
      <c r="O11100" t="s">
        <v>28</v>
      </c>
      <c r="P11100" t="s">
        <v>29</v>
      </c>
      <c r="Q11100">
        <v>42</v>
      </c>
      <c r="R11100">
        <v>-87.629800000000003</v>
      </c>
    </row>
    <row r="11101" spans="1:18" x14ac:dyDescent="0.2">
      <c r="A11101" t="s">
        <v>439</v>
      </c>
      <c r="B11101" t="s">
        <v>4321</v>
      </c>
      <c r="C11101">
        <v>1</v>
      </c>
      <c r="D11101" s="1">
        <v>44373.962673611109</v>
      </c>
      <c r="E11101" t="s">
        <v>34384</v>
      </c>
      <c r="F11101" t="s">
        <v>442</v>
      </c>
      <c r="G11101" t="s">
        <v>34385</v>
      </c>
      <c r="H11101" t="s">
        <v>444</v>
      </c>
      <c r="I11101" t="s">
        <v>29</v>
      </c>
      <c r="J11101">
        <v>1</v>
      </c>
      <c r="K11101">
        <f>1-888-256-4939</f>
        <v>-6082</v>
      </c>
      <c r="L11101" t="s">
        <v>34386</v>
      </c>
      <c r="M11101" t="s">
        <v>34387</v>
      </c>
      <c r="N11101" t="s">
        <v>1645</v>
      </c>
      <c r="O11101" t="s">
        <v>28</v>
      </c>
      <c r="P11101" t="s">
        <v>29</v>
      </c>
      <c r="Q11101">
        <v>42</v>
      </c>
      <c r="R11101">
        <v>-87.629800000000003</v>
      </c>
    </row>
    <row r="11102" spans="1:18" x14ac:dyDescent="0.2">
      <c r="A11102" t="s">
        <v>439</v>
      </c>
      <c r="B11102" t="s">
        <v>4321</v>
      </c>
      <c r="C11102">
        <v>1</v>
      </c>
      <c r="D11102" s="1">
        <v>44373.962638888886</v>
      </c>
      <c r="E11102" t="s">
        <v>34384</v>
      </c>
      <c r="F11102" t="s">
        <v>442</v>
      </c>
      <c r="G11102" t="s">
        <v>34385</v>
      </c>
      <c r="H11102" t="s">
        <v>444</v>
      </c>
      <c r="I11102" t="s">
        <v>29</v>
      </c>
      <c r="J11102">
        <v>1</v>
      </c>
      <c r="K11102">
        <f>1-888-385-1625</f>
        <v>-2897</v>
      </c>
      <c r="L11102" t="s">
        <v>34388</v>
      </c>
      <c r="M11102" t="s">
        <v>34389</v>
      </c>
      <c r="N11102" t="s">
        <v>1645</v>
      </c>
      <c r="O11102" t="s">
        <v>28</v>
      </c>
      <c r="P11102" t="s">
        <v>29</v>
      </c>
      <c r="Q11102">
        <v>42</v>
      </c>
      <c r="R11102">
        <v>-87.629800000000003</v>
      </c>
    </row>
    <row r="11103" spans="1:18" x14ac:dyDescent="0.2">
      <c r="A11103" t="s">
        <v>439</v>
      </c>
      <c r="B11103" t="s">
        <v>4321</v>
      </c>
      <c r="C11103">
        <v>1</v>
      </c>
      <c r="D11103" s="1">
        <v>44373.962592592594</v>
      </c>
      <c r="E11103" t="s">
        <v>34384</v>
      </c>
      <c r="F11103" t="s">
        <v>442</v>
      </c>
      <c r="G11103" t="s">
        <v>34385</v>
      </c>
      <c r="H11103" t="s">
        <v>444</v>
      </c>
      <c r="I11103" t="s">
        <v>29</v>
      </c>
      <c r="J11103">
        <v>1</v>
      </c>
      <c r="K11103">
        <f>1-888-413-2476</f>
        <v>-3776</v>
      </c>
      <c r="L11103" t="s">
        <v>34390</v>
      </c>
      <c r="M11103" t="s">
        <v>34391</v>
      </c>
      <c r="N11103" t="s">
        <v>1645</v>
      </c>
      <c r="O11103" t="s">
        <v>28</v>
      </c>
      <c r="P11103" t="s">
        <v>29</v>
      </c>
      <c r="Q11103">
        <v>42</v>
      </c>
      <c r="R11103">
        <v>-87.629800000000003</v>
      </c>
    </row>
    <row r="11104" spans="1:18" x14ac:dyDescent="0.2">
      <c r="A11104" t="s">
        <v>439</v>
      </c>
      <c r="B11104" t="s">
        <v>4321</v>
      </c>
      <c r="C11104">
        <v>1</v>
      </c>
      <c r="D11104" s="1">
        <v>44373.962557870371</v>
      </c>
      <c r="E11104" t="s">
        <v>34384</v>
      </c>
      <c r="F11104" t="s">
        <v>442</v>
      </c>
      <c r="G11104" t="s">
        <v>34385</v>
      </c>
      <c r="H11104" t="s">
        <v>444</v>
      </c>
      <c r="I11104" t="s">
        <v>29</v>
      </c>
      <c r="J11104">
        <v>1</v>
      </c>
      <c r="K11104">
        <f>1-888-308-2843</f>
        <v>-4038</v>
      </c>
      <c r="L11104" t="s">
        <v>34392</v>
      </c>
      <c r="M11104" t="s">
        <v>34393</v>
      </c>
      <c r="N11104" t="s">
        <v>1645</v>
      </c>
      <c r="O11104" t="s">
        <v>28</v>
      </c>
      <c r="P11104" t="s">
        <v>29</v>
      </c>
      <c r="Q11104">
        <v>42</v>
      </c>
      <c r="R11104">
        <v>-87.629800000000003</v>
      </c>
    </row>
    <row r="11105" spans="1:18" x14ac:dyDescent="0.2">
      <c r="A11105" t="s">
        <v>439</v>
      </c>
      <c r="B11105" t="s">
        <v>4321</v>
      </c>
      <c r="C11105">
        <v>1</v>
      </c>
      <c r="D11105" s="1">
        <v>44373.962743055556</v>
      </c>
      <c r="E11105" t="s">
        <v>34384</v>
      </c>
      <c r="F11105" t="s">
        <v>442</v>
      </c>
      <c r="G11105" t="s">
        <v>34394</v>
      </c>
      <c r="H11105" t="s">
        <v>444</v>
      </c>
      <c r="I11105" t="s">
        <v>29</v>
      </c>
      <c r="J11105">
        <v>1</v>
      </c>
      <c r="K11105">
        <f>1-888-474-2321</f>
        <v>-3682</v>
      </c>
      <c r="L11105" t="s">
        <v>34395</v>
      </c>
      <c r="M11105" t="s">
        <v>34396</v>
      </c>
      <c r="N11105" t="s">
        <v>1645</v>
      </c>
      <c r="O11105" t="s">
        <v>28</v>
      </c>
      <c r="P11105" t="s">
        <v>29</v>
      </c>
      <c r="Q11105">
        <v>42</v>
      </c>
      <c r="R11105">
        <v>-87.629800000000003</v>
      </c>
    </row>
    <row r="11106" spans="1:18" x14ac:dyDescent="0.2">
      <c r="A11106" t="s">
        <v>439</v>
      </c>
      <c r="B11106" t="s">
        <v>4321</v>
      </c>
      <c r="C11106">
        <v>1</v>
      </c>
      <c r="D11106" s="1">
        <v>44373.970891203702</v>
      </c>
      <c r="E11106" t="s">
        <v>34397</v>
      </c>
      <c r="F11106" t="s">
        <v>442</v>
      </c>
      <c r="G11106" t="s">
        <v>34398</v>
      </c>
      <c r="H11106" t="s">
        <v>444</v>
      </c>
      <c r="I11106" t="s">
        <v>29</v>
      </c>
      <c r="J11106">
        <v>1</v>
      </c>
      <c r="K11106">
        <f>1-888-413-2476</f>
        <v>-3776</v>
      </c>
      <c r="L11106" t="s">
        <v>34399</v>
      </c>
      <c r="M11106" t="s">
        <v>34400</v>
      </c>
      <c r="N11106" t="s">
        <v>683</v>
      </c>
      <c r="O11106" t="s">
        <v>28</v>
      </c>
      <c r="P11106" t="s">
        <v>29</v>
      </c>
      <c r="Q11106">
        <v>42</v>
      </c>
      <c r="R11106">
        <v>-87.629800000000003</v>
      </c>
    </row>
    <row r="11107" spans="1:18" x14ac:dyDescent="0.2">
      <c r="A11107" t="s">
        <v>439</v>
      </c>
      <c r="B11107" t="s">
        <v>4321</v>
      </c>
      <c r="C11107">
        <v>1</v>
      </c>
      <c r="D11107" s="1">
        <v>44373.97084490741</v>
      </c>
      <c r="E11107" t="s">
        <v>34397</v>
      </c>
      <c r="F11107" t="s">
        <v>442</v>
      </c>
      <c r="G11107" t="s">
        <v>34398</v>
      </c>
      <c r="H11107" t="s">
        <v>444</v>
      </c>
      <c r="I11107" t="s">
        <v>29</v>
      </c>
      <c r="J11107">
        <v>1</v>
      </c>
      <c r="K11107">
        <f>1-888-308-2843</f>
        <v>-4038</v>
      </c>
      <c r="L11107" t="s">
        <v>34401</v>
      </c>
      <c r="M11107" t="s">
        <v>34402</v>
      </c>
      <c r="N11107" t="s">
        <v>683</v>
      </c>
      <c r="O11107" t="s">
        <v>28</v>
      </c>
      <c r="P11107" t="s">
        <v>29</v>
      </c>
      <c r="Q11107">
        <v>42</v>
      </c>
      <c r="R11107">
        <v>-87.629800000000003</v>
      </c>
    </row>
    <row r="11108" spans="1:18" x14ac:dyDescent="0.2">
      <c r="A11108" t="s">
        <v>439</v>
      </c>
      <c r="B11108" t="s">
        <v>4321</v>
      </c>
      <c r="C11108">
        <v>1</v>
      </c>
      <c r="D11108" s="1">
        <v>44373.971041666664</v>
      </c>
      <c r="E11108" t="s">
        <v>34397</v>
      </c>
      <c r="F11108" t="s">
        <v>442</v>
      </c>
      <c r="G11108" t="s">
        <v>34403</v>
      </c>
      <c r="H11108" t="s">
        <v>444</v>
      </c>
      <c r="I11108" t="s">
        <v>29</v>
      </c>
      <c r="J11108">
        <v>1</v>
      </c>
      <c r="K11108">
        <f>1-888-474-2321</f>
        <v>-3682</v>
      </c>
      <c r="L11108" t="s">
        <v>34404</v>
      </c>
      <c r="M11108" t="s">
        <v>34405</v>
      </c>
      <c r="N11108" t="s">
        <v>683</v>
      </c>
      <c r="O11108" t="s">
        <v>28</v>
      </c>
      <c r="P11108" t="s">
        <v>29</v>
      </c>
      <c r="Q11108">
        <v>42</v>
      </c>
      <c r="R11108">
        <v>-87.629800000000003</v>
      </c>
    </row>
    <row r="11109" spans="1:18" x14ac:dyDescent="0.2">
      <c r="A11109" t="s">
        <v>439</v>
      </c>
      <c r="B11109" t="s">
        <v>4321</v>
      </c>
      <c r="C11109">
        <v>1</v>
      </c>
      <c r="D11109" s="1">
        <v>44373.970983796295</v>
      </c>
      <c r="E11109" t="s">
        <v>34397</v>
      </c>
      <c r="F11109" t="s">
        <v>442</v>
      </c>
      <c r="G11109" t="s">
        <v>34403</v>
      </c>
      <c r="H11109" t="s">
        <v>444</v>
      </c>
      <c r="I11109" t="s">
        <v>29</v>
      </c>
      <c r="J11109">
        <v>1</v>
      </c>
      <c r="K11109">
        <f>1-888-256-4939</f>
        <v>-6082</v>
      </c>
      <c r="L11109" t="s">
        <v>34406</v>
      </c>
      <c r="M11109" t="s">
        <v>34407</v>
      </c>
      <c r="N11109" t="s">
        <v>683</v>
      </c>
      <c r="O11109" t="s">
        <v>28</v>
      </c>
      <c r="P11109" t="s">
        <v>29</v>
      </c>
      <c r="Q11109">
        <v>42</v>
      </c>
      <c r="R11109">
        <v>-87.629800000000003</v>
      </c>
    </row>
    <row r="11110" spans="1:18" x14ac:dyDescent="0.2">
      <c r="A11110" t="s">
        <v>439</v>
      </c>
      <c r="B11110" t="s">
        <v>4321</v>
      </c>
      <c r="C11110">
        <v>1</v>
      </c>
      <c r="D11110" s="1">
        <v>44373.970937500002</v>
      </c>
      <c r="E11110" t="s">
        <v>34397</v>
      </c>
      <c r="F11110" t="s">
        <v>442</v>
      </c>
      <c r="G11110" t="s">
        <v>34403</v>
      </c>
      <c r="H11110" t="s">
        <v>444</v>
      </c>
      <c r="I11110" t="s">
        <v>29</v>
      </c>
      <c r="J11110">
        <v>1</v>
      </c>
      <c r="K11110">
        <f>1-888-385-1625</f>
        <v>-2897</v>
      </c>
      <c r="L11110" t="s">
        <v>34408</v>
      </c>
      <c r="M11110" t="s">
        <v>34409</v>
      </c>
      <c r="N11110" t="s">
        <v>683</v>
      </c>
      <c r="O11110" t="s">
        <v>28</v>
      </c>
      <c r="P11110" t="s">
        <v>29</v>
      </c>
      <c r="Q11110">
        <v>42</v>
      </c>
      <c r="R11110">
        <v>-87.629800000000003</v>
      </c>
    </row>
    <row r="11111" spans="1:18" x14ac:dyDescent="0.2">
      <c r="A11111" t="s">
        <v>439</v>
      </c>
      <c r="B11111" t="s">
        <v>4321</v>
      </c>
      <c r="C11111">
        <v>1</v>
      </c>
      <c r="D11111" s="1">
        <v>44373.997048611112</v>
      </c>
      <c r="E11111" t="s">
        <v>34410</v>
      </c>
      <c r="F11111" t="s">
        <v>442</v>
      </c>
      <c r="G11111" t="s">
        <v>34411</v>
      </c>
      <c r="H11111" t="s">
        <v>444</v>
      </c>
      <c r="I11111" t="s">
        <v>29</v>
      </c>
      <c r="J11111">
        <v>1</v>
      </c>
      <c r="K11111">
        <f>1-888-474-2321</f>
        <v>-3682</v>
      </c>
      <c r="L11111" t="s">
        <v>34412</v>
      </c>
      <c r="M11111" t="s">
        <v>34413</v>
      </c>
      <c r="N11111" t="s">
        <v>1645</v>
      </c>
      <c r="O11111" t="s">
        <v>28</v>
      </c>
      <c r="P11111" t="s">
        <v>29</v>
      </c>
      <c r="Q11111">
        <v>42</v>
      </c>
      <c r="R11111">
        <v>-87.629800000000003</v>
      </c>
    </row>
    <row r="11112" spans="1:18" x14ac:dyDescent="0.2">
      <c r="A11112" t="s">
        <v>439</v>
      </c>
      <c r="B11112" t="s">
        <v>4321</v>
      </c>
      <c r="C11112">
        <v>1</v>
      </c>
      <c r="D11112" s="1">
        <v>44373.996944444443</v>
      </c>
      <c r="E11112" t="s">
        <v>34410</v>
      </c>
      <c r="F11112" t="s">
        <v>442</v>
      </c>
      <c r="G11112" t="s">
        <v>34411</v>
      </c>
      <c r="H11112" t="s">
        <v>444</v>
      </c>
      <c r="I11112" t="s">
        <v>29</v>
      </c>
      <c r="J11112">
        <v>1</v>
      </c>
      <c r="K11112">
        <f>1-888-385-1625</f>
        <v>-2897</v>
      </c>
      <c r="L11112" t="s">
        <v>34414</v>
      </c>
      <c r="M11112" t="s">
        <v>34415</v>
      </c>
      <c r="N11112" t="s">
        <v>1645</v>
      </c>
      <c r="O11112" t="s">
        <v>28</v>
      </c>
      <c r="P11112" t="s">
        <v>29</v>
      </c>
      <c r="Q11112">
        <v>42</v>
      </c>
      <c r="R11112">
        <v>-87.629800000000003</v>
      </c>
    </row>
    <row r="11113" spans="1:18" x14ac:dyDescent="0.2">
      <c r="A11113" t="s">
        <v>439</v>
      </c>
      <c r="B11113" t="s">
        <v>4321</v>
      </c>
      <c r="C11113">
        <v>1</v>
      </c>
      <c r="D11113" s="1">
        <v>44373.996898148151</v>
      </c>
      <c r="E11113" t="s">
        <v>34410</v>
      </c>
      <c r="F11113" t="s">
        <v>442</v>
      </c>
      <c r="G11113" t="s">
        <v>34411</v>
      </c>
      <c r="H11113" t="s">
        <v>444</v>
      </c>
      <c r="I11113" t="s">
        <v>29</v>
      </c>
      <c r="J11113">
        <v>1</v>
      </c>
      <c r="K11113">
        <f>1-888-413-2476</f>
        <v>-3776</v>
      </c>
      <c r="L11113" t="s">
        <v>34416</v>
      </c>
      <c r="M11113" t="s">
        <v>34417</v>
      </c>
      <c r="N11113" t="s">
        <v>1645</v>
      </c>
      <c r="O11113" t="s">
        <v>28</v>
      </c>
      <c r="P11113" t="s">
        <v>29</v>
      </c>
      <c r="Q11113">
        <v>42</v>
      </c>
      <c r="R11113">
        <v>-87.629800000000003</v>
      </c>
    </row>
    <row r="11114" spans="1:18" x14ac:dyDescent="0.2">
      <c r="A11114" t="s">
        <v>439</v>
      </c>
      <c r="B11114" t="s">
        <v>4321</v>
      </c>
      <c r="C11114">
        <v>1</v>
      </c>
      <c r="D11114" s="1">
        <v>44373.996851851851</v>
      </c>
      <c r="E11114" t="s">
        <v>34410</v>
      </c>
      <c r="F11114" t="s">
        <v>442</v>
      </c>
      <c r="G11114" t="s">
        <v>34411</v>
      </c>
      <c r="H11114" t="s">
        <v>444</v>
      </c>
      <c r="I11114" t="s">
        <v>29</v>
      </c>
      <c r="J11114">
        <v>1</v>
      </c>
      <c r="K11114">
        <f>1-888-308-2843</f>
        <v>-4038</v>
      </c>
      <c r="L11114" t="s">
        <v>34418</v>
      </c>
      <c r="M11114" t="s">
        <v>34419</v>
      </c>
      <c r="N11114" t="s">
        <v>1645</v>
      </c>
      <c r="O11114" t="s">
        <v>28</v>
      </c>
      <c r="P11114" t="s">
        <v>29</v>
      </c>
      <c r="Q11114">
        <v>42</v>
      </c>
      <c r="R11114">
        <v>-87.629800000000003</v>
      </c>
    </row>
    <row r="11115" spans="1:18" x14ac:dyDescent="0.2">
      <c r="A11115" t="s">
        <v>439</v>
      </c>
      <c r="B11115" t="s">
        <v>4321</v>
      </c>
      <c r="C11115">
        <v>1</v>
      </c>
      <c r="D11115" s="1">
        <v>44373.996990740743</v>
      </c>
      <c r="E11115" t="s">
        <v>34410</v>
      </c>
      <c r="F11115" t="s">
        <v>442</v>
      </c>
      <c r="G11115" t="s">
        <v>34420</v>
      </c>
      <c r="H11115" t="s">
        <v>444</v>
      </c>
      <c r="I11115" t="s">
        <v>29</v>
      </c>
      <c r="J11115">
        <v>1</v>
      </c>
      <c r="K11115">
        <f>1-888-256-4939</f>
        <v>-6082</v>
      </c>
      <c r="L11115" t="s">
        <v>34421</v>
      </c>
      <c r="M11115" t="s">
        <v>34422</v>
      </c>
      <c r="N11115" t="s">
        <v>1645</v>
      </c>
      <c r="O11115" t="s">
        <v>28</v>
      </c>
      <c r="P11115" t="s">
        <v>29</v>
      </c>
      <c r="Q11115">
        <v>42</v>
      </c>
      <c r="R11115">
        <v>-87.629800000000003</v>
      </c>
    </row>
    <row r="11116" spans="1:18" x14ac:dyDescent="0.2">
      <c r="A11116" t="s">
        <v>2349</v>
      </c>
      <c r="B11116" t="s">
        <v>4281</v>
      </c>
      <c r="C11116">
        <v>49</v>
      </c>
      <c r="D11116" s="1">
        <v>44382.464675925927</v>
      </c>
      <c r="E11116" t="s">
        <v>34423</v>
      </c>
      <c r="F11116" t="s">
        <v>31524</v>
      </c>
      <c r="G11116" t="s">
        <v>34424</v>
      </c>
      <c r="H11116" t="s">
        <v>2353</v>
      </c>
      <c r="I11116" t="s">
        <v>24</v>
      </c>
      <c r="J11116">
        <v>49</v>
      </c>
      <c r="K11116">
        <f>49-50528049627</f>
        <v>-50528049578</v>
      </c>
      <c r="L11116" t="s">
        <v>34425</v>
      </c>
      <c r="M11116" t="s">
        <v>34426</v>
      </c>
      <c r="N11116" t="s">
        <v>25263</v>
      </c>
      <c r="O11116" t="s">
        <v>28</v>
      </c>
      <c r="P11116" t="s">
        <v>24</v>
      </c>
      <c r="Q11116">
        <v>50</v>
      </c>
      <c r="R11116">
        <v>8.5952000000000002</v>
      </c>
    </row>
    <row r="11117" spans="1:18" x14ac:dyDescent="0.2">
      <c r="A11117" t="s">
        <v>2349</v>
      </c>
      <c r="B11117" t="s">
        <v>4281</v>
      </c>
      <c r="C11117">
        <v>49</v>
      </c>
      <c r="D11117" s="1">
        <v>44379.55</v>
      </c>
      <c r="E11117" t="s">
        <v>34427</v>
      </c>
      <c r="F11117" t="s">
        <v>31524</v>
      </c>
      <c r="G11117" t="s">
        <v>34424</v>
      </c>
      <c r="H11117" t="s">
        <v>2353</v>
      </c>
      <c r="I11117" t="s">
        <v>24</v>
      </c>
      <c r="J11117">
        <v>49</v>
      </c>
      <c r="K11117">
        <f>49-28713619634</f>
        <v>-28713619585</v>
      </c>
      <c r="L11117" t="s">
        <v>34428</v>
      </c>
      <c r="M11117" t="s">
        <v>34429</v>
      </c>
      <c r="N11117" t="s">
        <v>25263</v>
      </c>
      <c r="O11117" t="s">
        <v>28</v>
      </c>
      <c r="P11117" t="s">
        <v>24</v>
      </c>
      <c r="Q11117">
        <v>50</v>
      </c>
      <c r="R11117">
        <v>8.5952000000000002</v>
      </c>
    </row>
    <row r="11118" spans="1:18" x14ac:dyDescent="0.2">
      <c r="A11118" t="s">
        <v>2349</v>
      </c>
      <c r="B11118" t="s">
        <v>4281</v>
      </c>
      <c r="C11118">
        <v>49</v>
      </c>
      <c r="D11118" s="1">
        <v>44377.442604166667</v>
      </c>
      <c r="E11118" t="s">
        <v>34430</v>
      </c>
      <c r="F11118" t="s">
        <v>31524</v>
      </c>
      <c r="G11118" t="s">
        <v>34424</v>
      </c>
      <c r="H11118" t="s">
        <v>2353</v>
      </c>
      <c r="I11118" t="s">
        <v>24</v>
      </c>
      <c r="J11118">
        <v>49</v>
      </c>
      <c r="K11118">
        <f>49-28713619637</f>
        <v>-28713619588</v>
      </c>
      <c r="L11118" t="s">
        <v>34431</v>
      </c>
      <c r="M11118" t="s">
        <v>34432</v>
      </c>
      <c r="N11118" t="s">
        <v>25263</v>
      </c>
      <c r="O11118" t="s">
        <v>28</v>
      </c>
      <c r="P11118" t="s">
        <v>24</v>
      </c>
      <c r="Q11118">
        <v>50</v>
      </c>
      <c r="R11118">
        <v>8.5952000000000002</v>
      </c>
    </row>
    <row r="11119" spans="1:18" x14ac:dyDescent="0.2">
      <c r="A11119" t="s">
        <v>2349</v>
      </c>
      <c r="B11119" t="s">
        <v>4281</v>
      </c>
      <c r="C11119">
        <v>49</v>
      </c>
      <c r="D11119" s="1">
        <v>44375.549363425926</v>
      </c>
      <c r="E11119" t="s">
        <v>34433</v>
      </c>
      <c r="F11119" t="s">
        <v>31524</v>
      </c>
      <c r="G11119" t="s">
        <v>34424</v>
      </c>
      <c r="H11119" t="s">
        <v>2353</v>
      </c>
      <c r="I11119" t="s">
        <v>24</v>
      </c>
      <c r="J11119">
        <v>49</v>
      </c>
      <c r="K11119">
        <f>49-2871-3619-663</f>
        <v>-7104</v>
      </c>
      <c r="L11119" t="s">
        <v>34434</v>
      </c>
      <c r="M11119" t="s">
        <v>34435</v>
      </c>
      <c r="N11119" t="s">
        <v>25263</v>
      </c>
      <c r="O11119" t="s">
        <v>28</v>
      </c>
      <c r="P11119" t="s">
        <v>24</v>
      </c>
      <c r="Q11119">
        <v>50</v>
      </c>
      <c r="R11119">
        <v>8.5952000000000002</v>
      </c>
    </row>
    <row r="11120" spans="1:18" x14ac:dyDescent="0.2">
      <c r="A11120" t="s">
        <v>2233</v>
      </c>
      <c r="B11120" t="s">
        <v>1638</v>
      </c>
      <c r="C11120">
        <v>1</v>
      </c>
      <c r="D11120" s="1">
        <v>44374.030682870369</v>
      </c>
      <c r="E11120" t="s">
        <v>34436</v>
      </c>
      <c r="F11120" t="s">
        <v>7023</v>
      </c>
      <c r="G11120" t="s">
        <v>34437</v>
      </c>
      <c r="H11120" t="s">
        <v>2237</v>
      </c>
      <c r="I11120" t="s">
        <v>29</v>
      </c>
      <c r="J11120">
        <v>1</v>
      </c>
      <c r="K11120">
        <f>1-888-373-6215</f>
        <v>-7475</v>
      </c>
      <c r="L11120" t="s">
        <v>34438</v>
      </c>
      <c r="M11120" t="s">
        <v>34439</v>
      </c>
      <c r="N11120" t="s">
        <v>278</v>
      </c>
      <c r="O11120" t="s">
        <v>28</v>
      </c>
      <c r="P11120" t="s">
        <v>292</v>
      </c>
      <c r="Q11120">
        <v>49</v>
      </c>
      <c r="R11120">
        <v>2.35222</v>
      </c>
    </row>
    <row r="11121" spans="1:18" x14ac:dyDescent="0.2">
      <c r="A11121" t="s">
        <v>2233</v>
      </c>
      <c r="B11121" t="s">
        <v>1638</v>
      </c>
      <c r="C11121">
        <v>1</v>
      </c>
      <c r="D11121" s="1">
        <v>44374.042731481481</v>
      </c>
      <c r="E11121" t="s">
        <v>34440</v>
      </c>
      <c r="F11121" t="s">
        <v>2236</v>
      </c>
      <c r="G11121" t="s">
        <v>34441</v>
      </c>
      <c r="H11121" t="s">
        <v>2237</v>
      </c>
      <c r="I11121" t="s">
        <v>29</v>
      </c>
      <c r="J11121">
        <v>1</v>
      </c>
      <c r="K11121">
        <f>1-866-476-3081</f>
        <v>-4422</v>
      </c>
      <c r="L11121" t="s">
        <v>34442</v>
      </c>
      <c r="M11121" t="s">
        <v>34443</v>
      </c>
      <c r="N11121" t="s">
        <v>278</v>
      </c>
      <c r="O11121" t="s">
        <v>28</v>
      </c>
      <c r="P11121" t="s">
        <v>292</v>
      </c>
      <c r="Q11121">
        <v>49</v>
      </c>
      <c r="R11121">
        <v>2.35222</v>
      </c>
    </row>
    <row r="11122" spans="1:18" x14ac:dyDescent="0.2">
      <c r="A11122" t="s">
        <v>439</v>
      </c>
      <c r="B11122" t="s">
        <v>4321</v>
      </c>
      <c r="C11122">
        <v>1</v>
      </c>
      <c r="D11122" s="1">
        <v>44374.106689814813</v>
      </c>
      <c r="E11122" t="s">
        <v>34444</v>
      </c>
      <c r="F11122" t="s">
        <v>442</v>
      </c>
      <c r="G11122" t="s">
        <v>34445</v>
      </c>
      <c r="H11122" t="s">
        <v>444</v>
      </c>
      <c r="I11122" t="s">
        <v>29</v>
      </c>
      <c r="J11122">
        <v>1</v>
      </c>
      <c r="K11122">
        <f>1-888-385-1625</f>
        <v>-2897</v>
      </c>
      <c r="L11122" t="s">
        <v>34446</v>
      </c>
      <c r="M11122" t="s">
        <v>34447</v>
      </c>
      <c r="N11122" t="s">
        <v>1645</v>
      </c>
      <c r="O11122" t="s">
        <v>28</v>
      </c>
      <c r="P11122" t="s">
        <v>29</v>
      </c>
      <c r="Q11122">
        <v>42</v>
      </c>
      <c r="R11122">
        <v>-87.629800000000003</v>
      </c>
    </row>
    <row r="11123" spans="1:18" x14ac:dyDescent="0.2">
      <c r="A11123" t="s">
        <v>439</v>
      </c>
      <c r="B11123" t="s">
        <v>4321</v>
      </c>
      <c r="C11123">
        <v>1</v>
      </c>
      <c r="D11123" s="1">
        <v>44374.10659722222</v>
      </c>
      <c r="E11123" t="s">
        <v>34444</v>
      </c>
      <c r="F11123" t="s">
        <v>442</v>
      </c>
      <c r="G11123" t="s">
        <v>34445</v>
      </c>
      <c r="H11123" t="s">
        <v>444</v>
      </c>
      <c r="I11123" t="s">
        <v>29</v>
      </c>
      <c r="J11123">
        <v>1</v>
      </c>
      <c r="K11123">
        <f>1-888-308-2843</f>
        <v>-4038</v>
      </c>
      <c r="L11123" t="s">
        <v>34448</v>
      </c>
      <c r="M11123" t="s">
        <v>34449</v>
      </c>
      <c r="N11123" t="s">
        <v>1645</v>
      </c>
      <c r="O11123" t="s">
        <v>28</v>
      </c>
      <c r="P11123" t="s">
        <v>29</v>
      </c>
      <c r="Q11123">
        <v>42</v>
      </c>
      <c r="R11123">
        <v>-87.629800000000003</v>
      </c>
    </row>
    <row r="11124" spans="1:18" x14ac:dyDescent="0.2">
      <c r="A11124" t="s">
        <v>439</v>
      </c>
      <c r="B11124" t="s">
        <v>4321</v>
      </c>
      <c r="C11124">
        <v>1</v>
      </c>
      <c r="D11124" s="1">
        <v>44374.106782407405</v>
      </c>
      <c r="E11124" t="s">
        <v>34444</v>
      </c>
      <c r="F11124" t="s">
        <v>442</v>
      </c>
      <c r="G11124" t="s">
        <v>34450</v>
      </c>
      <c r="H11124" t="s">
        <v>444</v>
      </c>
      <c r="I11124" t="s">
        <v>29</v>
      </c>
      <c r="J11124">
        <v>1</v>
      </c>
      <c r="K11124">
        <f>1-888-474-2321</f>
        <v>-3682</v>
      </c>
      <c r="L11124" t="s">
        <v>34451</v>
      </c>
      <c r="M11124" t="s">
        <v>34452</v>
      </c>
      <c r="N11124" t="s">
        <v>1645</v>
      </c>
      <c r="O11124" t="s">
        <v>28</v>
      </c>
      <c r="P11124" t="s">
        <v>29</v>
      </c>
      <c r="Q11124">
        <v>42</v>
      </c>
      <c r="R11124">
        <v>-87.629800000000003</v>
      </c>
    </row>
    <row r="11125" spans="1:18" x14ac:dyDescent="0.2">
      <c r="A11125" t="s">
        <v>439</v>
      </c>
      <c r="B11125" t="s">
        <v>4321</v>
      </c>
      <c r="C11125">
        <v>1</v>
      </c>
      <c r="D11125" s="1">
        <v>44374.106736111113</v>
      </c>
      <c r="E11125" t="s">
        <v>34444</v>
      </c>
      <c r="F11125" t="s">
        <v>442</v>
      </c>
      <c r="G11125" t="s">
        <v>34450</v>
      </c>
      <c r="H11125" t="s">
        <v>444</v>
      </c>
      <c r="I11125" t="s">
        <v>29</v>
      </c>
      <c r="J11125">
        <v>1</v>
      </c>
      <c r="K11125">
        <f>1-888-256-4939</f>
        <v>-6082</v>
      </c>
      <c r="L11125" t="s">
        <v>34453</v>
      </c>
      <c r="M11125" t="s">
        <v>34454</v>
      </c>
      <c r="N11125" t="s">
        <v>1645</v>
      </c>
      <c r="O11125" t="s">
        <v>28</v>
      </c>
      <c r="P11125" t="s">
        <v>29</v>
      </c>
      <c r="Q11125">
        <v>42</v>
      </c>
      <c r="R11125">
        <v>-87.629800000000003</v>
      </c>
    </row>
    <row r="11126" spans="1:18" x14ac:dyDescent="0.2">
      <c r="A11126" t="s">
        <v>439</v>
      </c>
      <c r="B11126" t="s">
        <v>4321</v>
      </c>
      <c r="C11126">
        <v>1</v>
      </c>
      <c r="D11126" s="1">
        <v>44374.10664351852</v>
      </c>
      <c r="E11126" t="s">
        <v>34444</v>
      </c>
      <c r="F11126" t="s">
        <v>442</v>
      </c>
      <c r="G11126" t="s">
        <v>34450</v>
      </c>
      <c r="H11126" t="s">
        <v>444</v>
      </c>
      <c r="I11126" t="s">
        <v>29</v>
      </c>
      <c r="J11126">
        <v>1</v>
      </c>
      <c r="K11126">
        <f>1-888-413-2476</f>
        <v>-3776</v>
      </c>
      <c r="L11126" t="s">
        <v>34455</v>
      </c>
      <c r="M11126" t="s">
        <v>34456</v>
      </c>
      <c r="N11126" t="s">
        <v>1645</v>
      </c>
      <c r="O11126" t="s">
        <v>28</v>
      </c>
      <c r="P11126" t="s">
        <v>29</v>
      </c>
      <c r="Q11126">
        <v>42</v>
      </c>
      <c r="R11126">
        <v>-87.629800000000003</v>
      </c>
    </row>
    <row r="11127" spans="1:18" x14ac:dyDescent="0.2">
      <c r="A11127" t="s">
        <v>439</v>
      </c>
      <c r="B11127" t="s">
        <v>4321</v>
      </c>
      <c r="C11127">
        <v>1</v>
      </c>
      <c r="D11127" s="1">
        <v>44375.899131944447</v>
      </c>
      <c r="E11127" t="s">
        <v>34457</v>
      </c>
      <c r="F11127" t="s">
        <v>442</v>
      </c>
      <c r="G11127" t="s">
        <v>34458</v>
      </c>
      <c r="H11127" t="s">
        <v>444</v>
      </c>
      <c r="I11127" t="s">
        <v>29</v>
      </c>
      <c r="J11127">
        <v>1</v>
      </c>
      <c r="K11127">
        <f>1-877-541-3216</f>
        <v>-4633</v>
      </c>
      <c r="L11127" t="s">
        <v>34459</v>
      </c>
      <c r="M11127" t="s">
        <v>34460</v>
      </c>
      <c r="N11127" t="s">
        <v>213</v>
      </c>
      <c r="O11127" t="s">
        <v>28</v>
      </c>
      <c r="P11127" t="s">
        <v>29</v>
      </c>
      <c r="Q11127">
        <v>42</v>
      </c>
      <c r="R11127">
        <v>-87.629800000000003</v>
      </c>
    </row>
    <row r="11128" spans="1:18" x14ac:dyDescent="0.2">
      <c r="A11128" t="s">
        <v>439</v>
      </c>
      <c r="B11128" t="s">
        <v>4321</v>
      </c>
      <c r="C11128">
        <v>1</v>
      </c>
      <c r="D11128" s="1">
        <v>44376.790578703702</v>
      </c>
      <c r="E11128" t="s">
        <v>34461</v>
      </c>
      <c r="F11128" t="s">
        <v>442</v>
      </c>
      <c r="G11128" t="s">
        <v>34462</v>
      </c>
      <c r="H11128" t="s">
        <v>444</v>
      </c>
      <c r="I11128" t="s">
        <v>29</v>
      </c>
      <c r="J11128">
        <v>1</v>
      </c>
      <c r="K11128">
        <f>1-888-728-1484</f>
        <v>-3099</v>
      </c>
      <c r="L11128" t="s">
        <v>34463</v>
      </c>
      <c r="M11128" t="s">
        <v>34464</v>
      </c>
      <c r="N11128" t="s">
        <v>213</v>
      </c>
      <c r="O11128" t="s">
        <v>28</v>
      </c>
      <c r="P11128" t="s">
        <v>29</v>
      </c>
      <c r="Q11128">
        <v>42</v>
      </c>
      <c r="R11128">
        <v>-87.629800000000003</v>
      </c>
    </row>
    <row r="11129" spans="1:18" x14ac:dyDescent="0.2">
      <c r="A11129" t="s">
        <v>2233</v>
      </c>
      <c r="B11129" t="s">
        <v>1638</v>
      </c>
      <c r="C11129">
        <v>1</v>
      </c>
      <c r="D11129" s="1">
        <v>44375.899965277778</v>
      </c>
      <c r="E11129" t="s">
        <v>34465</v>
      </c>
      <c r="F11129" t="s">
        <v>6618</v>
      </c>
      <c r="G11129" t="s">
        <v>34466</v>
      </c>
      <c r="H11129" t="s">
        <v>2237</v>
      </c>
      <c r="I11129" t="s">
        <v>29</v>
      </c>
      <c r="J11129">
        <v>1</v>
      </c>
      <c r="K11129">
        <f>1-888-253-1587</f>
        <v>-2727</v>
      </c>
      <c r="L11129" t="s">
        <v>34467</v>
      </c>
      <c r="M11129" t="s">
        <v>34468</v>
      </c>
      <c r="N11129" t="s">
        <v>278</v>
      </c>
      <c r="O11129" t="s">
        <v>28</v>
      </c>
      <c r="P11129" t="s">
        <v>292</v>
      </c>
      <c r="Q11129">
        <v>49</v>
      </c>
      <c r="R11129">
        <v>2.35222</v>
      </c>
    </row>
    <row r="11130" spans="1:18" x14ac:dyDescent="0.2">
      <c r="A11130" t="s">
        <v>2233</v>
      </c>
      <c r="B11130" t="s">
        <v>1638</v>
      </c>
      <c r="C11130">
        <v>1</v>
      </c>
      <c r="D11130" s="1">
        <v>44376.796076388891</v>
      </c>
      <c r="E11130" t="s">
        <v>34469</v>
      </c>
      <c r="F11130" t="s">
        <v>6618</v>
      </c>
      <c r="G11130" t="s">
        <v>34470</v>
      </c>
      <c r="H11130" t="s">
        <v>2237</v>
      </c>
      <c r="I11130" t="s">
        <v>29</v>
      </c>
      <c r="J11130">
        <v>1</v>
      </c>
      <c r="K11130">
        <f>1-888-599-379</f>
        <v>-1865</v>
      </c>
      <c r="L11130" t="s">
        <v>34471</v>
      </c>
      <c r="M11130" t="s">
        <v>34472</v>
      </c>
      <c r="N11130" t="s">
        <v>278</v>
      </c>
      <c r="O11130" t="s">
        <v>28</v>
      </c>
      <c r="P11130" t="s">
        <v>292</v>
      </c>
      <c r="Q11130">
        <v>49</v>
      </c>
      <c r="R11130">
        <v>2.35222</v>
      </c>
    </row>
    <row r="11131" spans="1:18" x14ac:dyDescent="0.2">
      <c r="A11131" t="s">
        <v>663</v>
      </c>
      <c r="B11131" t="s">
        <v>2493</v>
      </c>
      <c r="C11131">
        <v>1</v>
      </c>
      <c r="D11131" s="1">
        <v>44375.75372685185</v>
      </c>
      <c r="E11131" t="s">
        <v>34473</v>
      </c>
      <c r="F11131" t="s">
        <v>666</v>
      </c>
      <c r="G11131" t="s">
        <v>34474</v>
      </c>
      <c r="H11131" t="s">
        <v>667</v>
      </c>
      <c r="I11131" t="s">
        <v>29</v>
      </c>
      <c r="J11131">
        <v>1</v>
      </c>
      <c r="K11131">
        <f>1-888-803-2030</f>
        <v>-3720</v>
      </c>
      <c r="L11131" t="s">
        <v>34475</v>
      </c>
      <c r="M11131" t="s">
        <v>34476</v>
      </c>
      <c r="N11131" t="s">
        <v>36</v>
      </c>
      <c r="O11131" t="s">
        <v>28</v>
      </c>
      <c r="P11131" t="s">
        <v>29</v>
      </c>
      <c r="Q11131">
        <v>41</v>
      </c>
      <c r="R11131">
        <v>-74.024699999999996</v>
      </c>
    </row>
    <row r="11132" spans="1:18" x14ac:dyDescent="0.2">
      <c r="A11132" t="s">
        <v>2233</v>
      </c>
      <c r="B11132" t="s">
        <v>1638</v>
      </c>
      <c r="C11132">
        <v>1</v>
      </c>
      <c r="D11132" s="1">
        <v>44376.853993055556</v>
      </c>
      <c r="E11132" t="s">
        <v>34477</v>
      </c>
      <c r="F11132" t="s">
        <v>6618</v>
      </c>
      <c r="G11132" t="s">
        <v>34478</v>
      </c>
      <c r="H11132" t="s">
        <v>2237</v>
      </c>
      <c r="I11132" t="s">
        <v>29</v>
      </c>
      <c r="J11132">
        <v>1</v>
      </c>
      <c r="K11132">
        <f>1-888-525-749</f>
        <v>-2161</v>
      </c>
      <c r="L11132" t="s">
        <v>34479</v>
      </c>
      <c r="M11132" t="s">
        <v>34480</v>
      </c>
      <c r="N11132" t="s">
        <v>278</v>
      </c>
      <c r="O11132" t="s">
        <v>28</v>
      </c>
      <c r="P11132" t="s">
        <v>292</v>
      </c>
      <c r="Q11132">
        <v>49</v>
      </c>
      <c r="R11132">
        <v>2.35222</v>
      </c>
    </row>
    <row r="11133" spans="1:18" x14ac:dyDescent="0.2">
      <c r="A11133" t="s">
        <v>663</v>
      </c>
      <c r="B11133" t="s">
        <v>1212</v>
      </c>
      <c r="C11133">
        <v>1</v>
      </c>
      <c r="D11133" s="1">
        <v>44376.889560185184</v>
      </c>
      <c r="E11133" t="s">
        <v>34481</v>
      </c>
      <c r="F11133" t="s">
        <v>666</v>
      </c>
      <c r="G11133" t="s">
        <v>34482</v>
      </c>
      <c r="H11133" t="s">
        <v>667</v>
      </c>
      <c r="I11133" t="s">
        <v>29</v>
      </c>
      <c r="J11133">
        <v>1</v>
      </c>
      <c r="K11133">
        <f>1-844-616-9788</f>
        <v>-11247</v>
      </c>
      <c r="L11133" t="s">
        <v>34483</v>
      </c>
      <c r="M11133" t="s">
        <v>34484</v>
      </c>
      <c r="N11133" t="s">
        <v>3441</v>
      </c>
      <c r="O11133" t="s">
        <v>28</v>
      </c>
      <c r="P11133" t="s">
        <v>618</v>
      </c>
      <c r="Q11133">
        <v>52</v>
      </c>
      <c r="R11133">
        <v>-0.62150000000000005</v>
      </c>
    </row>
    <row r="11134" spans="1:18" x14ac:dyDescent="0.2">
      <c r="A11134" t="s">
        <v>675</v>
      </c>
      <c r="B11134" t="s">
        <v>1412</v>
      </c>
      <c r="C11134">
        <v>1</v>
      </c>
      <c r="D11134" s="1">
        <v>44382.891250000001</v>
      </c>
      <c r="E11134" t="s">
        <v>34485</v>
      </c>
      <c r="F11134" t="s">
        <v>678</v>
      </c>
      <c r="G11134" t="s">
        <v>34486</v>
      </c>
      <c r="H11134" t="s">
        <v>680</v>
      </c>
      <c r="I11134" t="s">
        <v>29</v>
      </c>
      <c r="J11134">
        <v>1</v>
      </c>
      <c r="K11134">
        <f>1-623-239-1584</f>
        <v>-2445</v>
      </c>
      <c r="L11134" t="s">
        <v>34487</v>
      </c>
      <c r="M11134" t="s">
        <v>34488</v>
      </c>
      <c r="N11134" t="s">
        <v>452</v>
      </c>
      <c r="O11134" t="s">
        <v>28</v>
      </c>
      <c r="P11134" t="s">
        <v>29</v>
      </c>
      <c r="Q11134">
        <v>41</v>
      </c>
      <c r="R11134">
        <v>-74.172399999999996</v>
      </c>
    </row>
    <row r="11135" spans="1:18" x14ac:dyDescent="0.2">
      <c r="A11135" t="s">
        <v>675</v>
      </c>
      <c r="B11135" t="s">
        <v>1412</v>
      </c>
      <c r="C11135">
        <v>1</v>
      </c>
      <c r="D11135" s="1">
        <v>44379.18068287037</v>
      </c>
      <c r="E11135" t="s">
        <v>34489</v>
      </c>
      <c r="F11135" t="s">
        <v>678</v>
      </c>
      <c r="G11135" t="s">
        <v>34486</v>
      </c>
      <c r="H11135" t="s">
        <v>680</v>
      </c>
      <c r="I11135" t="s">
        <v>29</v>
      </c>
      <c r="J11135">
        <v>1</v>
      </c>
      <c r="K11135">
        <f>1-888-835-7223</f>
        <v>-8945</v>
      </c>
      <c r="L11135" t="s">
        <v>34490</v>
      </c>
      <c r="M11135" t="s">
        <v>34491</v>
      </c>
      <c r="N11135" t="s">
        <v>5745</v>
      </c>
      <c r="O11135" t="s">
        <v>28</v>
      </c>
      <c r="P11135" t="s">
        <v>29</v>
      </c>
      <c r="Q11135">
        <v>41</v>
      </c>
      <c r="R11135">
        <v>-74.172399999999996</v>
      </c>
    </row>
    <row r="11136" spans="1:18" x14ac:dyDescent="0.2">
      <c r="A11136" t="s">
        <v>675</v>
      </c>
      <c r="B11136" t="s">
        <v>1412</v>
      </c>
      <c r="C11136">
        <v>1</v>
      </c>
      <c r="D11136" s="1">
        <v>44377.177511574075</v>
      </c>
      <c r="E11136" t="s">
        <v>34492</v>
      </c>
      <c r="F11136" t="s">
        <v>678</v>
      </c>
      <c r="G11136" t="s">
        <v>34486</v>
      </c>
      <c r="H11136" t="s">
        <v>680</v>
      </c>
      <c r="I11136" t="s">
        <v>29</v>
      </c>
      <c r="J11136">
        <v>1</v>
      </c>
      <c r="K11136">
        <f>1-866-857-1021</f>
        <v>-2743</v>
      </c>
      <c r="L11136" t="s">
        <v>34493</v>
      </c>
      <c r="M11136" t="s">
        <v>34494</v>
      </c>
      <c r="N11136" t="s">
        <v>5745</v>
      </c>
      <c r="O11136" t="s">
        <v>28</v>
      </c>
      <c r="P11136" t="s">
        <v>29</v>
      </c>
      <c r="Q11136">
        <v>41</v>
      </c>
      <c r="R11136">
        <v>-74.172399999999996</v>
      </c>
    </row>
    <row r="11137" spans="1:18" x14ac:dyDescent="0.2">
      <c r="A11137" t="s">
        <v>439</v>
      </c>
      <c r="B11137" t="s">
        <v>4321</v>
      </c>
      <c r="C11137">
        <v>1</v>
      </c>
      <c r="D11137" s="1">
        <v>44375.807303240741</v>
      </c>
      <c r="E11137" t="s">
        <v>34495</v>
      </c>
      <c r="F11137" t="s">
        <v>442</v>
      </c>
      <c r="G11137" t="s">
        <v>34496</v>
      </c>
      <c r="H11137" t="s">
        <v>444</v>
      </c>
      <c r="I11137" t="s">
        <v>29</v>
      </c>
      <c r="J11137">
        <v>1</v>
      </c>
      <c r="K11137">
        <f>1-888-383-525</f>
        <v>-1795</v>
      </c>
      <c r="L11137" t="s">
        <v>34497</v>
      </c>
      <c r="M11137" t="s">
        <v>34498</v>
      </c>
      <c r="N11137" t="s">
        <v>683</v>
      </c>
      <c r="O11137" t="s">
        <v>28</v>
      </c>
      <c r="P11137" t="s">
        <v>29</v>
      </c>
      <c r="Q11137">
        <v>42</v>
      </c>
      <c r="R11137">
        <v>-87.629800000000003</v>
      </c>
    </row>
    <row r="11138" spans="1:18" x14ac:dyDescent="0.2">
      <c r="A11138" t="s">
        <v>439</v>
      </c>
      <c r="B11138" t="s">
        <v>4321</v>
      </c>
      <c r="C11138">
        <v>1</v>
      </c>
      <c r="D11138" s="1">
        <v>44375.807511574072</v>
      </c>
      <c r="E11138" t="s">
        <v>34495</v>
      </c>
      <c r="F11138" t="s">
        <v>442</v>
      </c>
      <c r="G11138" t="s">
        <v>34499</v>
      </c>
      <c r="H11138" t="s">
        <v>444</v>
      </c>
      <c r="I11138" t="s">
        <v>29</v>
      </c>
      <c r="J11138">
        <v>1</v>
      </c>
      <c r="K11138">
        <f>1-888-210-6287</f>
        <v>-7384</v>
      </c>
      <c r="L11138" t="s">
        <v>34500</v>
      </c>
      <c r="M11138" t="s">
        <v>34501</v>
      </c>
      <c r="N11138" t="s">
        <v>683</v>
      </c>
      <c r="O11138" t="s">
        <v>28</v>
      </c>
      <c r="P11138" t="s">
        <v>29</v>
      </c>
      <c r="Q11138">
        <v>42</v>
      </c>
      <c r="R11138">
        <v>-87.629800000000003</v>
      </c>
    </row>
    <row r="11139" spans="1:18" x14ac:dyDescent="0.2">
      <c r="A11139" t="s">
        <v>439</v>
      </c>
      <c r="B11139" t="s">
        <v>4321</v>
      </c>
      <c r="C11139">
        <v>1</v>
      </c>
      <c r="D11139" s="1">
        <v>44375.80746527778</v>
      </c>
      <c r="E11139" t="s">
        <v>34495</v>
      </c>
      <c r="F11139" t="s">
        <v>442</v>
      </c>
      <c r="G11139" t="s">
        <v>34499</v>
      </c>
      <c r="H11139" t="s">
        <v>444</v>
      </c>
      <c r="I11139" t="s">
        <v>29</v>
      </c>
      <c r="J11139">
        <v>1</v>
      </c>
      <c r="K11139">
        <f>1-888-354-1142</f>
        <v>-2383</v>
      </c>
      <c r="L11139" t="s">
        <v>34502</v>
      </c>
      <c r="M11139" t="s">
        <v>34503</v>
      </c>
      <c r="N11139" t="s">
        <v>683</v>
      </c>
      <c r="O11139" t="s">
        <v>28</v>
      </c>
      <c r="P11139" t="s">
        <v>29</v>
      </c>
      <c r="Q11139">
        <v>42</v>
      </c>
      <c r="R11139">
        <v>-87.629800000000003</v>
      </c>
    </row>
    <row r="11140" spans="1:18" x14ac:dyDescent="0.2">
      <c r="A11140" t="s">
        <v>439</v>
      </c>
      <c r="B11140" t="s">
        <v>4321</v>
      </c>
      <c r="C11140">
        <v>1</v>
      </c>
      <c r="D11140" s="1">
        <v>44375.80740740741</v>
      </c>
      <c r="E11140" t="s">
        <v>34495</v>
      </c>
      <c r="F11140" t="s">
        <v>442</v>
      </c>
      <c r="G11140" t="s">
        <v>34499</v>
      </c>
      <c r="H11140" t="s">
        <v>444</v>
      </c>
      <c r="I11140" t="s">
        <v>29</v>
      </c>
      <c r="J11140">
        <v>1</v>
      </c>
      <c r="K11140">
        <f>1-888-335-651</f>
        <v>-1873</v>
      </c>
      <c r="L11140" t="s">
        <v>34504</v>
      </c>
      <c r="M11140" t="s">
        <v>34505</v>
      </c>
      <c r="N11140" t="s">
        <v>683</v>
      </c>
      <c r="O11140" t="s">
        <v>28</v>
      </c>
      <c r="P11140" t="s">
        <v>29</v>
      </c>
      <c r="Q11140">
        <v>42</v>
      </c>
      <c r="R11140">
        <v>-87.629800000000003</v>
      </c>
    </row>
    <row r="11141" spans="1:18" x14ac:dyDescent="0.2">
      <c r="A11141" t="s">
        <v>439</v>
      </c>
      <c r="B11141" t="s">
        <v>4321</v>
      </c>
      <c r="C11141">
        <v>1</v>
      </c>
      <c r="D11141" s="1">
        <v>44375.807349537034</v>
      </c>
      <c r="E11141" t="s">
        <v>34495</v>
      </c>
      <c r="F11141" t="s">
        <v>442</v>
      </c>
      <c r="G11141" t="s">
        <v>34499</v>
      </c>
      <c r="H11141" t="s">
        <v>444</v>
      </c>
      <c r="I11141" t="s">
        <v>29</v>
      </c>
      <c r="J11141">
        <v>1</v>
      </c>
      <c r="K11141">
        <f>1-888-386-934</f>
        <v>-2207</v>
      </c>
      <c r="L11141" t="s">
        <v>34506</v>
      </c>
      <c r="M11141" t="s">
        <v>34507</v>
      </c>
      <c r="N11141" t="s">
        <v>683</v>
      </c>
      <c r="O11141" t="s">
        <v>28</v>
      </c>
      <c r="P11141" t="s">
        <v>29</v>
      </c>
      <c r="Q11141">
        <v>42</v>
      </c>
      <c r="R11141">
        <v>-87.629800000000003</v>
      </c>
    </row>
    <row r="11142" spans="1:18" x14ac:dyDescent="0.2">
      <c r="A11142" t="s">
        <v>663</v>
      </c>
      <c r="B11142" t="s">
        <v>5784</v>
      </c>
      <c r="C11142">
        <v>1</v>
      </c>
      <c r="D11142" s="1">
        <v>44375.817511574074</v>
      </c>
      <c r="E11142" t="s">
        <v>34508</v>
      </c>
      <c r="F11142" t="s">
        <v>666</v>
      </c>
      <c r="G11142" t="s">
        <v>34509</v>
      </c>
      <c r="H11142" t="s">
        <v>667</v>
      </c>
      <c r="I11142" t="s">
        <v>29</v>
      </c>
      <c r="J11142">
        <v>1</v>
      </c>
      <c r="K11142">
        <f>1-501-299-240</f>
        <v>-1039</v>
      </c>
      <c r="L11142" t="s">
        <v>34510</v>
      </c>
      <c r="M11142" t="s">
        <v>34511</v>
      </c>
      <c r="N11142" t="s">
        <v>25263</v>
      </c>
      <c r="O11142" t="s">
        <v>28</v>
      </c>
      <c r="P11142" t="s">
        <v>5789</v>
      </c>
      <c r="Q11142">
        <v>13</v>
      </c>
      <c r="R11142">
        <v>77.585499999999996</v>
      </c>
    </row>
    <row r="11143" spans="1:18" x14ac:dyDescent="0.2">
      <c r="A11143" t="s">
        <v>2233</v>
      </c>
      <c r="B11143" t="s">
        <v>1638</v>
      </c>
      <c r="C11143">
        <v>1</v>
      </c>
      <c r="D11143" s="1">
        <v>44375.817673611113</v>
      </c>
      <c r="E11143" t="s">
        <v>34512</v>
      </c>
      <c r="F11143" t="s">
        <v>2236</v>
      </c>
      <c r="G11143" t="s">
        <v>34513</v>
      </c>
      <c r="H11143" t="s">
        <v>2237</v>
      </c>
      <c r="I11143" t="s">
        <v>29</v>
      </c>
      <c r="J11143">
        <v>1</v>
      </c>
      <c r="K11143">
        <f>1-888-393-4019</f>
        <v>-5299</v>
      </c>
      <c r="L11143" t="s">
        <v>34514</v>
      </c>
      <c r="M11143" t="s">
        <v>34515</v>
      </c>
      <c r="N11143" t="s">
        <v>278</v>
      </c>
      <c r="O11143" t="s">
        <v>28</v>
      </c>
      <c r="P11143" t="s">
        <v>292</v>
      </c>
      <c r="Q11143">
        <v>49</v>
      </c>
      <c r="R11143">
        <v>2.35222</v>
      </c>
    </row>
    <row r="11144" spans="1:18" x14ac:dyDescent="0.2">
      <c r="A11144" t="s">
        <v>2233</v>
      </c>
      <c r="B11144" t="s">
        <v>1638</v>
      </c>
      <c r="C11144">
        <v>1</v>
      </c>
      <c r="D11144" s="1">
        <v>44375.821134259262</v>
      </c>
      <c r="E11144" t="s">
        <v>34512</v>
      </c>
      <c r="F11144" t="s">
        <v>2236</v>
      </c>
      <c r="G11144" t="s">
        <v>34516</v>
      </c>
      <c r="H11144" t="s">
        <v>2237</v>
      </c>
      <c r="I11144" t="s">
        <v>29</v>
      </c>
      <c r="J11144">
        <v>1</v>
      </c>
      <c r="K11144">
        <f>1-888-352-3910</f>
        <v>-5149</v>
      </c>
      <c r="L11144" t="s">
        <v>34517</v>
      </c>
      <c r="M11144" t="s">
        <v>34518</v>
      </c>
      <c r="N11144" t="s">
        <v>278</v>
      </c>
      <c r="O11144" t="s">
        <v>28</v>
      </c>
      <c r="P11144" t="s">
        <v>292</v>
      </c>
      <c r="Q11144">
        <v>49</v>
      </c>
      <c r="R11144">
        <v>2.35222</v>
      </c>
    </row>
    <row r="11145" spans="1:18" x14ac:dyDescent="0.2">
      <c r="A11145" t="s">
        <v>270</v>
      </c>
      <c r="B11145" t="s">
        <v>271</v>
      </c>
      <c r="C11145">
        <v>1</v>
      </c>
      <c r="D11145" s="1">
        <v>44376.735069444447</v>
      </c>
      <c r="E11145" t="s">
        <v>34519</v>
      </c>
      <c r="F11145" t="s">
        <v>273</v>
      </c>
      <c r="G11145" t="s">
        <v>34520</v>
      </c>
      <c r="H11145" t="s">
        <v>275</v>
      </c>
      <c r="I11145" t="s">
        <v>29</v>
      </c>
      <c r="J11145">
        <v>1</v>
      </c>
      <c r="K11145">
        <f>1-844-717-7373</f>
        <v>-8933</v>
      </c>
      <c r="L11145" t="s">
        <v>34521</v>
      </c>
      <c r="M11145" t="s">
        <v>34522</v>
      </c>
      <c r="N11145" t="s">
        <v>278</v>
      </c>
      <c r="O11145" t="s">
        <v>28</v>
      </c>
      <c r="P11145" t="s">
        <v>29</v>
      </c>
      <c r="Q11145">
        <v>42</v>
      </c>
      <c r="R11145">
        <v>-93.620800000000003</v>
      </c>
    </row>
    <row r="11146" spans="1:18" x14ac:dyDescent="0.2">
      <c r="A11146" t="s">
        <v>675</v>
      </c>
      <c r="B11146" t="s">
        <v>6310</v>
      </c>
      <c r="C11146">
        <v>1</v>
      </c>
      <c r="D11146" s="1">
        <v>44375.826921296299</v>
      </c>
      <c r="E11146" t="s">
        <v>34523</v>
      </c>
      <c r="F11146" t="s">
        <v>2987</v>
      </c>
      <c r="G11146" t="s">
        <v>34524</v>
      </c>
      <c r="H11146" t="s">
        <v>680</v>
      </c>
      <c r="I11146" t="s">
        <v>29</v>
      </c>
      <c r="J11146">
        <v>1</v>
      </c>
      <c r="K11146">
        <f>1-800-410-6489</f>
        <v>-7698</v>
      </c>
      <c r="L11146" t="s">
        <v>34525</v>
      </c>
      <c r="M11146" t="s">
        <v>34526</v>
      </c>
      <c r="N11146" t="s">
        <v>36</v>
      </c>
      <c r="O11146" t="s">
        <v>28</v>
      </c>
      <c r="P11146" t="s">
        <v>29</v>
      </c>
      <c r="Q11146">
        <v>34</v>
      </c>
      <c r="R11146">
        <v>-84.425700000000006</v>
      </c>
    </row>
    <row r="11147" spans="1:18" x14ac:dyDescent="0.2">
      <c r="A11147" t="s">
        <v>439</v>
      </c>
      <c r="B11147" t="s">
        <v>4321</v>
      </c>
      <c r="C11147">
        <v>1</v>
      </c>
      <c r="D11147" s="1">
        <v>44375.831319444442</v>
      </c>
      <c r="E11147" t="s">
        <v>34527</v>
      </c>
      <c r="F11147" t="s">
        <v>442</v>
      </c>
      <c r="G11147" t="s">
        <v>34528</v>
      </c>
      <c r="H11147" t="s">
        <v>444</v>
      </c>
      <c r="I11147" t="s">
        <v>29</v>
      </c>
      <c r="J11147">
        <v>1</v>
      </c>
      <c r="K11147">
        <f>1-888-728-1489</f>
        <v>-3104</v>
      </c>
      <c r="L11147" t="s">
        <v>34529</v>
      </c>
      <c r="M11147" t="s">
        <v>34530</v>
      </c>
      <c r="N11147" t="s">
        <v>447</v>
      </c>
      <c r="O11147" t="s">
        <v>28</v>
      </c>
      <c r="P11147" t="s">
        <v>29</v>
      </c>
      <c r="Q11147">
        <v>42</v>
      </c>
      <c r="R11147">
        <v>-87.629800000000003</v>
      </c>
    </row>
    <row r="11148" spans="1:18" x14ac:dyDescent="0.2">
      <c r="A11148" t="s">
        <v>2233</v>
      </c>
      <c r="B11148" t="s">
        <v>1638</v>
      </c>
      <c r="C11148">
        <v>1</v>
      </c>
      <c r="D11148" s="1">
        <v>44376.917870370373</v>
      </c>
      <c r="E11148" t="s">
        <v>34531</v>
      </c>
      <c r="F11148" t="s">
        <v>6618</v>
      </c>
      <c r="G11148" t="s">
        <v>34532</v>
      </c>
      <c r="H11148" t="s">
        <v>2237</v>
      </c>
      <c r="I11148" t="s">
        <v>29</v>
      </c>
      <c r="J11148">
        <v>1</v>
      </c>
      <c r="K11148">
        <f>1-888-655-2592</f>
        <v>-4134</v>
      </c>
      <c r="L11148" t="s">
        <v>34533</v>
      </c>
      <c r="M11148" t="s">
        <v>34534</v>
      </c>
      <c r="N11148" t="s">
        <v>278</v>
      </c>
      <c r="O11148" t="s">
        <v>28</v>
      </c>
      <c r="P11148" t="s">
        <v>292</v>
      </c>
      <c r="Q11148">
        <v>49</v>
      </c>
      <c r="R11148">
        <v>2.35222</v>
      </c>
    </row>
    <row r="11149" spans="1:18" x14ac:dyDescent="0.2">
      <c r="A11149" t="s">
        <v>663</v>
      </c>
      <c r="B11149" t="s">
        <v>5784</v>
      </c>
      <c r="C11149">
        <v>1</v>
      </c>
      <c r="D11149" s="1">
        <v>44376.920393518521</v>
      </c>
      <c r="E11149" t="s">
        <v>34535</v>
      </c>
      <c r="F11149" t="s">
        <v>666</v>
      </c>
      <c r="G11149" t="s">
        <v>34536</v>
      </c>
      <c r="H11149" t="s">
        <v>667</v>
      </c>
      <c r="I11149" t="s">
        <v>29</v>
      </c>
      <c r="J11149">
        <v>1</v>
      </c>
      <c r="K11149">
        <f>1-844-619-6327</f>
        <v>-7789</v>
      </c>
      <c r="L11149" t="s">
        <v>34537</v>
      </c>
      <c r="M11149" t="s">
        <v>34538</v>
      </c>
      <c r="N11149" t="s">
        <v>25263</v>
      </c>
      <c r="O11149" t="s">
        <v>28</v>
      </c>
      <c r="P11149" t="s">
        <v>5789</v>
      </c>
      <c r="Q11149">
        <v>13</v>
      </c>
      <c r="R11149">
        <v>77.585499999999996</v>
      </c>
    </row>
    <row r="11150" spans="1:18" x14ac:dyDescent="0.2">
      <c r="A11150" t="s">
        <v>2233</v>
      </c>
      <c r="B11150" t="s">
        <v>1638</v>
      </c>
      <c r="C11150">
        <v>1</v>
      </c>
      <c r="D11150" s="1">
        <v>44377.032326388886</v>
      </c>
      <c r="E11150" t="s">
        <v>34539</v>
      </c>
      <c r="F11150" t="s">
        <v>2236</v>
      </c>
      <c r="G11150" t="s">
        <v>34540</v>
      </c>
      <c r="H11150" t="s">
        <v>2237</v>
      </c>
      <c r="I11150" t="s">
        <v>29</v>
      </c>
      <c r="J11150">
        <v>1</v>
      </c>
      <c r="K11150">
        <f>1-888-308-5169</f>
        <v>-6364</v>
      </c>
      <c r="L11150" t="s">
        <v>34541</v>
      </c>
      <c r="M11150" t="s">
        <v>34542</v>
      </c>
      <c r="N11150" t="s">
        <v>278</v>
      </c>
      <c r="O11150" t="s">
        <v>28</v>
      </c>
      <c r="P11150" t="s">
        <v>292</v>
      </c>
      <c r="Q11150">
        <v>49</v>
      </c>
      <c r="R11150">
        <v>2.35222</v>
      </c>
    </row>
    <row r="11151" spans="1:18" x14ac:dyDescent="0.2">
      <c r="A11151" t="s">
        <v>439</v>
      </c>
      <c r="B11151" t="s">
        <v>4321</v>
      </c>
      <c r="C11151">
        <v>1</v>
      </c>
      <c r="D11151" s="1">
        <v>44376.933946759258</v>
      </c>
      <c r="E11151" t="s">
        <v>34543</v>
      </c>
      <c r="F11151" t="s">
        <v>442</v>
      </c>
      <c r="G11151" t="s">
        <v>34544</v>
      </c>
      <c r="H11151" t="s">
        <v>444</v>
      </c>
      <c r="I11151" t="s">
        <v>29</v>
      </c>
      <c r="J11151">
        <v>1</v>
      </c>
      <c r="K11151">
        <f>1-888-728-1484</f>
        <v>-3099</v>
      </c>
      <c r="L11151" t="s">
        <v>34545</v>
      </c>
      <c r="M11151" t="s">
        <v>34546</v>
      </c>
      <c r="N11151" t="s">
        <v>213</v>
      </c>
      <c r="O11151" t="s">
        <v>28</v>
      </c>
      <c r="P11151" t="s">
        <v>29</v>
      </c>
      <c r="Q11151">
        <v>42</v>
      </c>
      <c r="R11151">
        <v>-87.629800000000003</v>
      </c>
    </row>
    <row r="11152" spans="1:18" x14ac:dyDescent="0.2">
      <c r="A11152" t="s">
        <v>2233</v>
      </c>
      <c r="B11152" t="s">
        <v>1638</v>
      </c>
      <c r="C11152">
        <v>1</v>
      </c>
      <c r="D11152" s="1">
        <v>44376.945636574077</v>
      </c>
      <c r="E11152" t="s">
        <v>34547</v>
      </c>
      <c r="F11152" t="s">
        <v>6618</v>
      </c>
      <c r="G11152" t="s">
        <v>34548</v>
      </c>
      <c r="H11152" t="s">
        <v>2237</v>
      </c>
      <c r="I11152" t="s">
        <v>29</v>
      </c>
      <c r="J11152">
        <v>1</v>
      </c>
      <c r="K11152">
        <f>1-888-598-1482</f>
        <v>-2967</v>
      </c>
      <c r="L11152" t="s">
        <v>34549</v>
      </c>
      <c r="M11152" t="s">
        <v>34550</v>
      </c>
      <c r="N11152" t="s">
        <v>278</v>
      </c>
      <c r="O11152" t="s">
        <v>28</v>
      </c>
      <c r="P11152" t="s">
        <v>292</v>
      </c>
      <c r="Q11152">
        <v>49</v>
      </c>
      <c r="R11152">
        <v>2.35222</v>
      </c>
    </row>
    <row r="11153" spans="1:18" x14ac:dyDescent="0.2">
      <c r="A11153" t="s">
        <v>2233</v>
      </c>
      <c r="B11153" t="s">
        <v>1638</v>
      </c>
      <c r="C11153">
        <v>1</v>
      </c>
      <c r="D11153" s="1">
        <v>44376.976956018516</v>
      </c>
      <c r="E11153" t="s">
        <v>34531</v>
      </c>
      <c r="F11153" t="s">
        <v>6618</v>
      </c>
      <c r="G11153" t="s">
        <v>34551</v>
      </c>
      <c r="H11153" t="s">
        <v>2237</v>
      </c>
      <c r="I11153" t="s">
        <v>29</v>
      </c>
      <c r="J11153">
        <v>1</v>
      </c>
      <c r="K11153">
        <f>1-888-598-1482</f>
        <v>-2967</v>
      </c>
      <c r="L11153" t="s">
        <v>34552</v>
      </c>
      <c r="M11153" t="s">
        <v>34553</v>
      </c>
      <c r="N11153" t="s">
        <v>278</v>
      </c>
      <c r="O11153" t="s">
        <v>28</v>
      </c>
      <c r="P11153" t="s">
        <v>292</v>
      </c>
      <c r="Q11153">
        <v>49</v>
      </c>
      <c r="R11153">
        <v>2.35222</v>
      </c>
    </row>
    <row r="11154" spans="1:18" x14ac:dyDescent="0.2">
      <c r="A11154" t="s">
        <v>663</v>
      </c>
      <c r="B11154" t="s">
        <v>2493</v>
      </c>
      <c r="C11154">
        <v>1</v>
      </c>
      <c r="D11154" s="1">
        <v>44377.013078703705</v>
      </c>
      <c r="E11154" t="s">
        <v>34554</v>
      </c>
      <c r="F11154" t="s">
        <v>666</v>
      </c>
      <c r="G11154" t="s">
        <v>34555</v>
      </c>
      <c r="H11154" t="s">
        <v>667</v>
      </c>
      <c r="I11154" t="s">
        <v>29</v>
      </c>
      <c r="J11154">
        <v>1</v>
      </c>
      <c r="K11154">
        <f>1-800-494-876</f>
        <v>-2169</v>
      </c>
      <c r="L11154" t="s">
        <v>34556</v>
      </c>
      <c r="M11154" t="s">
        <v>34557</v>
      </c>
      <c r="N11154" t="s">
        <v>213</v>
      </c>
      <c r="O11154" t="s">
        <v>28</v>
      </c>
      <c r="P11154" t="s">
        <v>29</v>
      </c>
      <c r="Q11154">
        <v>41</v>
      </c>
      <c r="R11154">
        <v>-74.024699999999996</v>
      </c>
    </row>
    <row r="11155" spans="1:18" x14ac:dyDescent="0.2">
      <c r="A11155" t="s">
        <v>2233</v>
      </c>
      <c r="B11155" t="s">
        <v>1638</v>
      </c>
      <c r="C11155">
        <v>1</v>
      </c>
      <c r="D11155" s="1">
        <v>44377.752546296295</v>
      </c>
      <c r="E11155" t="s">
        <v>34558</v>
      </c>
      <c r="F11155" t="s">
        <v>7023</v>
      </c>
      <c r="G11155" t="s">
        <v>34559</v>
      </c>
      <c r="H11155" t="s">
        <v>2237</v>
      </c>
      <c r="I11155" t="s">
        <v>29</v>
      </c>
      <c r="J11155">
        <v>1</v>
      </c>
      <c r="K11155">
        <f>1-888-441-3266</f>
        <v>-4594</v>
      </c>
      <c r="L11155" t="s">
        <v>34560</v>
      </c>
      <c r="M11155" t="s">
        <v>34561</v>
      </c>
      <c r="N11155" t="s">
        <v>278</v>
      </c>
      <c r="O11155" t="s">
        <v>28</v>
      </c>
      <c r="P11155" t="s">
        <v>292</v>
      </c>
      <c r="Q11155">
        <v>49</v>
      </c>
      <c r="R11155">
        <v>2.35222</v>
      </c>
    </row>
    <row r="11156" spans="1:18" x14ac:dyDescent="0.2">
      <c r="A11156" t="s">
        <v>2349</v>
      </c>
      <c r="B11156" t="s">
        <v>4281</v>
      </c>
      <c r="C11156">
        <v>49</v>
      </c>
      <c r="D11156" s="1">
        <v>44377.669340277775</v>
      </c>
      <c r="E11156" t="s">
        <v>34562</v>
      </c>
      <c r="F11156" t="s">
        <v>33409</v>
      </c>
      <c r="G11156" t="s">
        <v>34563</v>
      </c>
      <c r="H11156" t="s">
        <v>2353</v>
      </c>
      <c r="I11156" t="s">
        <v>24</v>
      </c>
      <c r="J11156">
        <v>49</v>
      </c>
      <c r="K11156">
        <f>49-618-5965-9715</f>
        <v>-16249</v>
      </c>
      <c r="L11156" t="s">
        <v>34564</v>
      </c>
      <c r="M11156" t="s">
        <v>34565</v>
      </c>
      <c r="N11156" t="s">
        <v>25263</v>
      </c>
      <c r="O11156" t="s">
        <v>28</v>
      </c>
      <c r="P11156" t="s">
        <v>24</v>
      </c>
      <c r="Q11156">
        <v>50</v>
      </c>
      <c r="R11156">
        <v>8.7147000000000006</v>
      </c>
    </row>
    <row r="11157" spans="1:18" x14ac:dyDescent="0.2">
      <c r="A11157" t="s">
        <v>439</v>
      </c>
      <c r="B11157" t="s">
        <v>4321</v>
      </c>
      <c r="C11157">
        <v>1</v>
      </c>
      <c r="D11157" s="1">
        <v>44377.687569444446</v>
      </c>
      <c r="E11157" t="s">
        <v>34566</v>
      </c>
      <c r="F11157" t="s">
        <v>442</v>
      </c>
      <c r="G11157" t="s">
        <v>34567</v>
      </c>
      <c r="H11157" t="s">
        <v>444</v>
      </c>
      <c r="I11157" t="s">
        <v>29</v>
      </c>
      <c r="J11157">
        <v>1</v>
      </c>
      <c r="K11157">
        <f>1-855-512-527</f>
        <v>-1893</v>
      </c>
      <c r="L11157" t="s">
        <v>34568</v>
      </c>
      <c r="M11157" t="s">
        <v>34569</v>
      </c>
      <c r="N11157" t="s">
        <v>213</v>
      </c>
      <c r="O11157" t="s">
        <v>28</v>
      </c>
      <c r="P11157" t="s">
        <v>29</v>
      </c>
      <c r="Q11157">
        <v>42</v>
      </c>
      <c r="R11157">
        <v>-87.629800000000003</v>
      </c>
    </row>
    <row r="11158" spans="1:18" x14ac:dyDescent="0.2">
      <c r="A11158" t="s">
        <v>2233</v>
      </c>
      <c r="B11158" t="s">
        <v>1638</v>
      </c>
      <c r="C11158">
        <v>1</v>
      </c>
      <c r="D11158" s="1">
        <v>44377.762916666667</v>
      </c>
      <c r="E11158" t="s">
        <v>34570</v>
      </c>
      <c r="F11158" t="s">
        <v>7023</v>
      </c>
      <c r="G11158" t="s">
        <v>34571</v>
      </c>
      <c r="H11158" t="s">
        <v>2237</v>
      </c>
      <c r="I11158" t="s">
        <v>29</v>
      </c>
      <c r="J11158">
        <v>1</v>
      </c>
      <c r="K11158">
        <f>1-888-374-1889</f>
        <v>-3150</v>
      </c>
      <c r="L11158" t="s">
        <v>34572</v>
      </c>
      <c r="M11158" t="s">
        <v>34573</v>
      </c>
      <c r="N11158" t="s">
        <v>278</v>
      </c>
      <c r="O11158" t="s">
        <v>28</v>
      </c>
      <c r="P11158" t="s">
        <v>292</v>
      </c>
      <c r="Q11158">
        <v>49</v>
      </c>
      <c r="R11158">
        <v>2.35222</v>
      </c>
    </row>
    <row r="11159" spans="1:18" x14ac:dyDescent="0.2">
      <c r="A11159" t="s">
        <v>663</v>
      </c>
      <c r="B11159" t="s">
        <v>5784</v>
      </c>
      <c r="C11159">
        <v>1</v>
      </c>
      <c r="D11159" s="1">
        <v>44377.778148148151</v>
      </c>
      <c r="E11159" t="s">
        <v>34574</v>
      </c>
      <c r="F11159" t="s">
        <v>666</v>
      </c>
      <c r="G11159" t="s">
        <v>34575</v>
      </c>
      <c r="H11159" t="s">
        <v>667</v>
      </c>
      <c r="I11159" t="s">
        <v>29</v>
      </c>
      <c r="J11159">
        <v>1</v>
      </c>
      <c r="K11159">
        <f>1-859-909-8694</f>
        <v>-10461</v>
      </c>
      <c r="L11159" t="s">
        <v>34576</v>
      </c>
      <c r="M11159" t="s">
        <v>34577</v>
      </c>
      <c r="N11159" t="s">
        <v>25263</v>
      </c>
      <c r="O11159" t="s">
        <v>28</v>
      </c>
      <c r="P11159" t="s">
        <v>5789</v>
      </c>
      <c r="Q11159">
        <v>13</v>
      </c>
      <c r="R11159">
        <v>77.585499999999996</v>
      </c>
    </row>
    <row r="11160" spans="1:18" x14ac:dyDescent="0.2">
      <c r="A11160" t="s">
        <v>2233</v>
      </c>
      <c r="B11160" t="s">
        <v>1638</v>
      </c>
      <c r="C11160">
        <v>1</v>
      </c>
      <c r="D11160" s="1">
        <v>44377.859699074077</v>
      </c>
      <c r="E11160" t="s">
        <v>34578</v>
      </c>
      <c r="F11160" t="s">
        <v>7023</v>
      </c>
      <c r="G11160" t="s">
        <v>34579</v>
      </c>
      <c r="H11160" t="s">
        <v>2237</v>
      </c>
      <c r="I11160" t="s">
        <v>29</v>
      </c>
      <c r="J11160">
        <v>1</v>
      </c>
      <c r="K11160">
        <f>1-888-353-3186</f>
        <v>-4426</v>
      </c>
      <c r="L11160" t="s">
        <v>34580</v>
      </c>
      <c r="M11160" t="s">
        <v>34581</v>
      </c>
      <c r="N11160" t="s">
        <v>278</v>
      </c>
      <c r="O11160" t="s">
        <v>28</v>
      </c>
      <c r="P11160" t="s">
        <v>292</v>
      </c>
      <c r="Q11160">
        <v>49</v>
      </c>
      <c r="R11160">
        <v>2.35222</v>
      </c>
    </row>
    <row r="11161" spans="1:18" x14ac:dyDescent="0.2">
      <c r="A11161" t="s">
        <v>2233</v>
      </c>
      <c r="B11161" t="s">
        <v>1638</v>
      </c>
      <c r="C11161">
        <v>1</v>
      </c>
      <c r="D11161" s="1">
        <v>44377.856979166667</v>
      </c>
      <c r="E11161" t="s">
        <v>34578</v>
      </c>
      <c r="F11161" t="s">
        <v>7023</v>
      </c>
      <c r="G11161" t="s">
        <v>34579</v>
      </c>
      <c r="H11161" t="s">
        <v>2237</v>
      </c>
      <c r="I11161" t="s">
        <v>29</v>
      </c>
      <c r="J11161">
        <v>1</v>
      </c>
      <c r="K11161">
        <f>1-888-209-424</f>
        <v>-1520</v>
      </c>
      <c r="L11161" t="s">
        <v>34582</v>
      </c>
      <c r="M11161" t="s">
        <v>34583</v>
      </c>
      <c r="N11161" t="s">
        <v>278</v>
      </c>
      <c r="O11161" t="s">
        <v>28</v>
      </c>
      <c r="P11161" t="s">
        <v>292</v>
      </c>
      <c r="Q11161">
        <v>49</v>
      </c>
      <c r="R11161">
        <v>2.35222</v>
      </c>
    </row>
    <row r="11162" spans="1:18" x14ac:dyDescent="0.2">
      <c r="A11162" t="s">
        <v>439</v>
      </c>
      <c r="B11162" t="s">
        <v>4321</v>
      </c>
      <c r="C11162">
        <v>1</v>
      </c>
      <c r="D11162" s="1">
        <v>44377.873101851852</v>
      </c>
      <c r="E11162" t="s">
        <v>34584</v>
      </c>
      <c r="F11162" t="s">
        <v>442</v>
      </c>
      <c r="G11162" t="s">
        <v>34585</v>
      </c>
      <c r="H11162" t="s">
        <v>444</v>
      </c>
      <c r="I11162" t="s">
        <v>29</v>
      </c>
      <c r="J11162">
        <v>1</v>
      </c>
      <c r="K11162">
        <f>1-888-728-1484</f>
        <v>-3099</v>
      </c>
      <c r="L11162" t="s">
        <v>34586</v>
      </c>
      <c r="M11162" t="s">
        <v>34587</v>
      </c>
      <c r="N11162" t="s">
        <v>213</v>
      </c>
      <c r="O11162" t="s">
        <v>28</v>
      </c>
      <c r="P11162" t="s">
        <v>29</v>
      </c>
      <c r="Q11162">
        <v>42</v>
      </c>
      <c r="R11162">
        <v>-87.629800000000003</v>
      </c>
    </row>
    <row r="11163" spans="1:18" x14ac:dyDescent="0.2">
      <c r="A11163" t="s">
        <v>439</v>
      </c>
      <c r="B11163" t="s">
        <v>4321</v>
      </c>
      <c r="C11163">
        <v>81</v>
      </c>
      <c r="D11163" s="1">
        <v>44377.882048611114</v>
      </c>
      <c r="E11163" t="s">
        <v>34588</v>
      </c>
      <c r="F11163" t="s">
        <v>442</v>
      </c>
      <c r="G11163" t="s">
        <v>34589</v>
      </c>
      <c r="H11163" t="s">
        <v>444</v>
      </c>
      <c r="I11163" t="s">
        <v>53</v>
      </c>
      <c r="J11163">
        <v>81</v>
      </c>
      <c r="K11163">
        <f>81-50-5809-6813</f>
        <v>-12591</v>
      </c>
      <c r="L11163" t="s">
        <v>34590</v>
      </c>
      <c r="M11163" t="s">
        <v>34591</v>
      </c>
      <c r="N11163" t="s">
        <v>447</v>
      </c>
      <c r="O11163" t="s">
        <v>28</v>
      </c>
      <c r="P11163" t="s">
        <v>29</v>
      </c>
      <c r="Q11163">
        <v>42</v>
      </c>
      <c r="R11163">
        <v>-87.629800000000003</v>
      </c>
    </row>
    <row r="11164" spans="1:18" x14ac:dyDescent="0.2">
      <c r="A11164" t="s">
        <v>663</v>
      </c>
      <c r="B11164" t="s">
        <v>1412</v>
      </c>
      <c r="C11164">
        <v>1</v>
      </c>
      <c r="D11164" s="1">
        <v>44377.963125000002</v>
      </c>
      <c r="E11164" t="s">
        <v>34592</v>
      </c>
      <c r="F11164" t="s">
        <v>2495</v>
      </c>
      <c r="G11164" t="s">
        <v>34593</v>
      </c>
      <c r="H11164" t="s">
        <v>667</v>
      </c>
      <c r="I11164" t="s">
        <v>29</v>
      </c>
      <c r="J11164">
        <v>1</v>
      </c>
      <c r="K11164">
        <f>1-800-519-213</f>
        <v>-1531</v>
      </c>
      <c r="L11164" t="s">
        <v>34594</v>
      </c>
      <c r="M11164" t="s">
        <v>34595</v>
      </c>
      <c r="N11164" t="s">
        <v>447</v>
      </c>
      <c r="O11164" t="s">
        <v>28</v>
      </c>
      <c r="P11164" t="s">
        <v>29</v>
      </c>
      <c r="Q11164">
        <v>41</v>
      </c>
      <c r="R11164">
        <v>-74.172399999999996</v>
      </c>
    </row>
    <row r="11165" spans="1:18" x14ac:dyDescent="0.2">
      <c r="A11165" t="s">
        <v>439</v>
      </c>
      <c r="B11165" t="s">
        <v>4321</v>
      </c>
      <c r="C11165">
        <v>1</v>
      </c>
      <c r="D11165" s="1">
        <v>44378.649097222224</v>
      </c>
      <c r="E11165" t="s">
        <v>34596</v>
      </c>
      <c r="F11165" t="s">
        <v>442</v>
      </c>
      <c r="G11165" t="s">
        <v>34597</v>
      </c>
      <c r="H11165" t="s">
        <v>444</v>
      </c>
      <c r="I11165" t="s">
        <v>29</v>
      </c>
      <c r="J11165">
        <v>1</v>
      </c>
      <c r="K11165">
        <f>1-833-319-2226</f>
        <v>-3377</v>
      </c>
      <c r="L11165" t="s">
        <v>34598</v>
      </c>
      <c r="M11165" t="s">
        <v>34599</v>
      </c>
      <c r="N11165" t="s">
        <v>213</v>
      </c>
      <c r="O11165" t="s">
        <v>28</v>
      </c>
      <c r="P11165" t="s">
        <v>29</v>
      </c>
      <c r="Q11165">
        <v>42</v>
      </c>
      <c r="R11165">
        <v>-87.629800000000003</v>
      </c>
    </row>
    <row r="11166" spans="1:18" x14ac:dyDescent="0.2">
      <c r="A11166" t="s">
        <v>2233</v>
      </c>
      <c r="B11166" t="s">
        <v>1638</v>
      </c>
      <c r="C11166">
        <v>1</v>
      </c>
      <c r="D11166" s="1">
        <v>44378.76903935185</v>
      </c>
      <c r="E11166" t="s">
        <v>34600</v>
      </c>
      <c r="F11166" t="s">
        <v>2236</v>
      </c>
      <c r="G11166" t="s">
        <v>34601</v>
      </c>
      <c r="H11166" t="s">
        <v>2237</v>
      </c>
      <c r="I11166" t="s">
        <v>29</v>
      </c>
      <c r="J11166">
        <v>1</v>
      </c>
      <c r="K11166">
        <f>1-888-339-9575</f>
        <v>-10801</v>
      </c>
      <c r="L11166" t="s">
        <v>34602</v>
      </c>
      <c r="M11166" t="s">
        <v>34603</v>
      </c>
      <c r="N11166" t="s">
        <v>278</v>
      </c>
      <c r="O11166" t="s">
        <v>28</v>
      </c>
      <c r="P11166" t="s">
        <v>292</v>
      </c>
      <c r="Q11166">
        <v>49</v>
      </c>
      <c r="R11166">
        <v>2.35222</v>
      </c>
    </row>
    <row r="11167" spans="1:18" x14ac:dyDescent="0.2">
      <c r="A11167" t="s">
        <v>663</v>
      </c>
      <c r="B11167" t="s">
        <v>1212</v>
      </c>
      <c r="C11167">
        <v>1</v>
      </c>
      <c r="D11167" s="1">
        <v>44378.79277777778</v>
      </c>
      <c r="E11167" t="s">
        <v>34604</v>
      </c>
      <c r="F11167" t="s">
        <v>666</v>
      </c>
      <c r="G11167" t="s">
        <v>34605</v>
      </c>
      <c r="H11167" t="s">
        <v>667</v>
      </c>
      <c r="I11167" t="s">
        <v>29</v>
      </c>
      <c r="J11167">
        <v>1</v>
      </c>
      <c r="K11167">
        <f>1-844-729-3853</f>
        <v>-5425</v>
      </c>
      <c r="L11167" t="s">
        <v>34606</v>
      </c>
      <c r="M11167" t="s">
        <v>34607</v>
      </c>
      <c r="N11167" t="s">
        <v>452</v>
      </c>
      <c r="O11167" t="s">
        <v>28</v>
      </c>
      <c r="P11167" t="s">
        <v>618</v>
      </c>
      <c r="Q11167">
        <v>52</v>
      </c>
      <c r="R11167">
        <v>-0.62150000000000005</v>
      </c>
    </row>
    <row r="11168" spans="1:18" x14ac:dyDescent="0.2">
      <c r="A11168" t="s">
        <v>439</v>
      </c>
      <c r="B11168" t="s">
        <v>4321</v>
      </c>
      <c r="C11168">
        <v>1</v>
      </c>
      <c r="D11168" s="1">
        <v>44378.900266203702</v>
      </c>
      <c r="E11168" t="s">
        <v>34608</v>
      </c>
      <c r="F11168" t="s">
        <v>442</v>
      </c>
      <c r="G11168" t="s">
        <v>34609</v>
      </c>
      <c r="H11168" t="s">
        <v>444</v>
      </c>
      <c r="I11168" t="s">
        <v>29</v>
      </c>
      <c r="J11168">
        <v>1</v>
      </c>
      <c r="K11168">
        <f>1-855-545-1969</f>
        <v>-3368</v>
      </c>
      <c r="L11168" t="s">
        <v>34610</v>
      </c>
      <c r="M11168" t="s">
        <v>34611</v>
      </c>
      <c r="N11168" t="s">
        <v>213</v>
      </c>
      <c r="O11168" t="s">
        <v>28</v>
      </c>
      <c r="P11168" t="s">
        <v>29</v>
      </c>
      <c r="Q11168">
        <v>42</v>
      </c>
      <c r="R11168">
        <v>-87.629800000000003</v>
      </c>
    </row>
    <row r="11169" spans="1:18" x14ac:dyDescent="0.2">
      <c r="A11169" t="s">
        <v>439</v>
      </c>
      <c r="B11169" t="s">
        <v>4321</v>
      </c>
      <c r="C11169">
        <v>1</v>
      </c>
      <c r="D11169" s="1">
        <v>44378.923043981478</v>
      </c>
      <c r="E11169" t="s">
        <v>34612</v>
      </c>
      <c r="F11169" t="s">
        <v>442</v>
      </c>
      <c r="G11169" t="s">
        <v>34613</v>
      </c>
      <c r="H11169" t="s">
        <v>444</v>
      </c>
      <c r="I11169" t="s">
        <v>29</v>
      </c>
      <c r="J11169">
        <v>1</v>
      </c>
      <c r="K11169">
        <f>1-866-521-755</f>
        <v>-2141</v>
      </c>
      <c r="L11169" t="s">
        <v>34614</v>
      </c>
      <c r="M11169" t="s">
        <v>34615</v>
      </c>
      <c r="N11169" t="s">
        <v>447</v>
      </c>
      <c r="O11169" t="s">
        <v>28</v>
      </c>
      <c r="P11169" t="s">
        <v>29</v>
      </c>
      <c r="Q11169">
        <v>42</v>
      </c>
      <c r="R11169">
        <v>-87.629800000000003</v>
      </c>
    </row>
    <row r="11170" spans="1:18" x14ac:dyDescent="0.2">
      <c r="A11170" t="s">
        <v>439</v>
      </c>
      <c r="B11170" t="s">
        <v>4321</v>
      </c>
      <c r="C11170">
        <v>1</v>
      </c>
      <c r="D11170" s="1">
        <v>44378.972199074073</v>
      </c>
      <c r="E11170" t="s">
        <v>34616</v>
      </c>
      <c r="F11170" t="s">
        <v>442</v>
      </c>
      <c r="G11170" t="s">
        <v>34617</v>
      </c>
      <c r="H11170" t="s">
        <v>444</v>
      </c>
      <c r="I11170" t="s">
        <v>29</v>
      </c>
      <c r="J11170">
        <v>1</v>
      </c>
      <c r="K11170">
        <f>1-844-520-1378</f>
        <v>-2741</v>
      </c>
      <c r="L11170" t="s">
        <v>34618</v>
      </c>
      <c r="M11170" t="s">
        <v>34619</v>
      </c>
      <c r="N11170" t="s">
        <v>213</v>
      </c>
      <c r="O11170" t="s">
        <v>28</v>
      </c>
      <c r="P11170" t="s">
        <v>29</v>
      </c>
      <c r="Q11170">
        <v>42</v>
      </c>
      <c r="R11170">
        <v>-87.629800000000003</v>
      </c>
    </row>
    <row r="11171" spans="1:18" x14ac:dyDescent="0.2">
      <c r="A11171" t="s">
        <v>663</v>
      </c>
      <c r="B11171" t="s">
        <v>5784</v>
      </c>
      <c r="C11171">
        <v>1</v>
      </c>
      <c r="D11171" s="1">
        <v>44379.761944444443</v>
      </c>
      <c r="E11171" t="s">
        <v>34620</v>
      </c>
      <c r="F11171" t="s">
        <v>666</v>
      </c>
      <c r="G11171" t="s">
        <v>34621</v>
      </c>
      <c r="H11171" t="s">
        <v>667</v>
      </c>
      <c r="I11171" t="s">
        <v>29</v>
      </c>
      <c r="J11171">
        <v>1</v>
      </c>
      <c r="K11171">
        <f>1-909-639-1736</f>
        <v>-3283</v>
      </c>
      <c r="L11171" t="s">
        <v>34622</v>
      </c>
      <c r="M11171" t="s">
        <v>34623</v>
      </c>
      <c r="N11171" t="s">
        <v>25263</v>
      </c>
      <c r="O11171" t="s">
        <v>28</v>
      </c>
      <c r="P11171" t="s">
        <v>5789</v>
      </c>
      <c r="Q11171">
        <v>13</v>
      </c>
      <c r="R11171">
        <v>77.585499999999996</v>
      </c>
    </row>
    <row r="11172" spans="1:18" x14ac:dyDescent="0.2">
      <c r="A11172" t="s">
        <v>663</v>
      </c>
      <c r="B11172" t="s">
        <v>1212</v>
      </c>
      <c r="C11172">
        <v>1</v>
      </c>
      <c r="D11172" s="1">
        <v>44379.762245370373</v>
      </c>
      <c r="E11172" t="s">
        <v>34624</v>
      </c>
      <c r="F11172" t="s">
        <v>666</v>
      </c>
      <c r="G11172" t="s">
        <v>34625</v>
      </c>
      <c r="H11172" t="s">
        <v>667</v>
      </c>
      <c r="I11172" t="s">
        <v>29</v>
      </c>
      <c r="J11172">
        <v>1</v>
      </c>
      <c r="K11172">
        <f>1-844-619-6347</f>
        <v>-7809</v>
      </c>
      <c r="L11172" t="s">
        <v>34626</v>
      </c>
      <c r="M11172" t="s">
        <v>34627</v>
      </c>
      <c r="N11172" t="s">
        <v>452</v>
      </c>
      <c r="O11172" t="s">
        <v>28</v>
      </c>
      <c r="P11172" t="s">
        <v>618</v>
      </c>
      <c r="Q11172">
        <v>52</v>
      </c>
      <c r="R11172">
        <v>-0.62150000000000005</v>
      </c>
    </row>
    <row r="11173" spans="1:18" x14ac:dyDescent="0.2">
      <c r="A11173" t="s">
        <v>2233</v>
      </c>
      <c r="B11173" t="s">
        <v>1638</v>
      </c>
      <c r="C11173">
        <v>1</v>
      </c>
      <c r="D11173" s="1">
        <v>44379.762418981481</v>
      </c>
      <c r="E11173" t="s">
        <v>34628</v>
      </c>
      <c r="F11173" t="s">
        <v>2236</v>
      </c>
      <c r="G11173" t="s">
        <v>34629</v>
      </c>
      <c r="H11173" t="s">
        <v>2237</v>
      </c>
      <c r="I11173" t="s">
        <v>29</v>
      </c>
      <c r="J11173">
        <v>1</v>
      </c>
      <c r="K11173">
        <f>1-888-307-4671</f>
        <v>-5865</v>
      </c>
      <c r="L11173" t="s">
        <v>34630</v>
      </c>
      <c r="M11173" t="s">
        <v>34631</v>
      </c>
      <c r="N11173" t="s">
        <v>278</v>
      </c>
      <c r="O11173" t="s">
        <v>28</v>
      </c>
      <c r="P11173" t="s">
        <v>292</v>
      </c>
      <c r="Q11173">
        <v>49</v>
      </c>
      <c r="R11173">
        <v>2.35222</v>
      </c>
    </row>
    <row r="11174" spans="1:18" x14ac:dyDescent="0.2">
      <c r="A11174" t="s">
        <v>2233</v>
      </c>
      <c r="B11174" t="s">
        <v>1638</v>
      </c>
      <c r="C11174">
        <v>1</v>
      </c>
      <c r="D11174" s="1">
        <v>44379.777013888888</v>
      </c>
      <c r="E11174" t="s">
        <v>34628</v>
      </c>
      <c r="F11174" t="s">
        <v>2236</v>
      </c>
      <c r="G11174" t="s">
        <v>34632</v>
      </c>
      <c r="H11174" t="s">
        <v>2237</v>
      </c>
      <c r="I11174" t="s">
        <v>29</v>
      </c>
      <c r="J11174">
        <v>1</v>
      </c>
      <c r="K11174">
        <f>1-888-637-695</f>
        <v>-2219</v>
      </c>
      <c r="L11174" t="s">
        <v>34633</v>
      </c>
      <c r="M11174" t="s">
        <v>34634</v>
      </c>
      <c r="N11174" t="s">
        <v>278</v>
      </c>
      <c r="O11174" t="s">
        <v>28</v>
      </c>
      <c r="P11174" t="s">
        <v>292</v>
      </c>
      <c r="Q11174">
        <v>49</v>
      </c>
      <c r="R11174">
        <v>2.35222</v>
      </c>
    </row>
    <row r="11175" spans="1:18" x14ac:dyDescent="0.2">
      <c r="A11175" t="s">
        <v>663</v>
      </c>
      <c r="B11175" t="s">
        <v>1212</v>
      </c>
      <c r="C11175">
        <v>1</v>
      </c>
      <c r="D11175" s="1">
        <v>44379.785717592589</v>
      </c>
      <c r="E11175" t="s">
        <v>34635</v>
      </c>
      <c r="F11175" t="s">
        <v>666</v>
      </c>
      <c r="G11175" t="s">
        <v>34636</v>
      </c>
      <c r="H11175" t="s">
        <v>667</v>
      </c>
      <c r="I11175" t="s">
        <v>29</v>
      </c>
      <c r="J11175">
        <v>1</v>
      </c>
      <c r="K11175">
        <f>1-844-619-6347</f>
        <v>-7809</v>
      </c>
      <c r="L11175" t="s">
        <v>34637</v>
      </c>
      <c r="M11175" t="s">
        <v>34638</v>
      </c>
      <c r="N11175" t="s">
        <v>452</v>
      </c>
      <c r="O11175" t="s">
        <v>28</v>
      </c>
      <c r="P11175" t="s">
        <v>618</v>
      </c>
      <c r="Q11175">
        <v>52</v>
      </c>
      <c r="R11175">
        <v>-0.62150000000000005</v>
      </c>
    </row>
    <row r="11176" spans="1:18" x14ac:dyDescent="0.2">
      <c r="A11176" t="s">
        <v>439</v>
      </c>
      <c r="B11176" t="s">
        <v>4321</v>
      </c>
      <c r="C11176">
        <v>1</v>
      </c>
      <c r="D11176" s="1">
        <v>44379.796157407407</v>
      </c>
      <c r="E11176" t="s">
        <v>34639</v>
      </c>
      <c r="F11176" t="s">
        <v>442</v>
      </c>
      <c r="G11176" t="s">
        <v>34640</v>
      </c>
      <c r="H11176" t="s">
        <v>444</v>
      </c>
      <c r="I11176" t="s">
        <v>29</v>
      </c>
      <c r="J11176">
        <v>1</v>
      </c>
      <c r="K11176">
        <f>1-888-301-1761</f>
        <v>-2949</v>
      </c>
      <c r="L11176" t="s">
        <v>34641</v>
      </c>
      <c r="M11176" t="s">
        <v>34642</v>
      </c>
      <c r="N11176" t="s">
        <v>213</v>
      </c>
      <c r="O11176" t="s">
        <v>28</v>
      </c>
      <c r="P11176" t="s">
        <v>29</v>
      </c>
      <c r="Q11176">
        <v>42</v>
      </c>
      <c r="R11176">
        <v>-87.629800000000003</v>
      </c>
    </row>
    <row r="11177" spans="1:18" x14ac:dyDescent="0.2">
      <c r="A11177" t="s">
        <v>6586</v>
      </c>
      <c r="B11177" t="s">
        <v>4281</v>
      </c>
      <c r="C11177">
        <v>1</v>
      </c>
      <c r="D11177" s="1">
        <v>44379.817743055559</v>
      </c>
      <c r="E11177" t="s">
        <v>34643</v>
      </c>
      <c r="F11177" t="s">
        <v>6588</v>
      </c>
      <c r="G11177" t="s">
        <v>34643</v>
      </c>
      <c r="H11177" t="s">
        <v>6590</v>
      </c>
      <c r="I11177" t="s">
        <v>29</v>
      </c>
      <c r="J11177">
        <v>1</v>
      </c>
      <c r="K11177">
        <f>1-888-207-1506</f>
        <v>-2600</v>
      </c>
      <c r="L11177" t="s">
        <v>34644</v>
      </c>
      <c r="M11177" t="s">
        <v>34645</v>
      </c>
      <c r="N11177">
        <v>215</v>
      </c>
      <c r="O11177" t="s">
        <v>134</v>
      </c>
      <c r="P11177" t="s">
        <v>24</v>
      </c>
      <c r="Q11177">
        <v>50</v>
      </c>
      <c r="R11177">
        <v>8.6843000000000004</v>
      </c>
    </row>
    <row r="11178" spans="1:18" x14ac:dyDescent="0.2">
      <c r="A11178" t="s">
        <v>6586</v>
      </c>
      <c r="B11178" t="s">
        <v>2263</v>
      </c>
      <c r="C11178">
        <v>1</v>
      </c>
      <c r="D11178" s="1">
        <v>44379.819467592592</v>
      </c>
      <c r="E11178" t="s">
        <v>34646</v>
      </c>
      <c r="F11178" t="s">
        <v>6588</v>
      </c>
      <c r="G11178" t="s">
        <v>34646</v>
      </c>
      <c r="H11178" t="s">
        <v>6590</v>
      </c>
      <c r="I11178" t="s">
        <v>29</v>
      </c>
      <c r="J11178">
        <v>1</v>
      </c>
      <c r="K11178">
        <f>1-888-207-1506</f>
        <v>-2600</v>
      </c>
      <c r="L11178" t="s">
        <v>34647</v>
      </c>
      <c r="M11178" t="s">
        <v>34648</v>
      </c>
      <c r="N11178">
        <v>57</v>
      </c>
      <c r="O11178" t="s">
        <v>134</v>
      </c>
      <c r="P11178" t="s">
        <v>2268</v>
      </c>
      <c r="Q11178">
        <v>44</v>
      </c>
      <c r="R11178">
        <v>-79.420400000000001</v>
      </c>
    </row>
    <row r="11179" spans="1:18" x14ac:dyDescent="0.2">
      <c r="A11179" t="s">
        <v>2349</v>
      </c>
      <c r="B11179" t="s">
        <v>2263</v>
      </c>
      <c r="C11179">
        <v>1</v>
      </c>
      <c r="D11179" s="1">
        <v>44379.824097222219</v>
      </c>
      <c r="E11179" t="s">
        <v>34649</v>
      </c>
      <c r="F11179" t="s">
        <v>31524</v>
      </c>
      <c r="G11179" t="s">
        <v>34649</v>
      </c>
      <c r="H11179" t="s">
        <v>2353</v>
      </c>
      <c r="I11179" t="s">
        <v>29</v>
      </c>
      <c r="J11179">
        <v>1</v>
      </c>
      <c r="K11179">
        <f>1-888-207-1506</f>
        <v>-2600</v>
      </c>
      <c r="L11179" t="s">
        <v>34650</v>
      </c>
      <c r="M11179" t="s">
        <v>34651</v>
      </c>
      <c r="N11179">
        <v>38</v>
      </c>
      <c r="O11179" t="s">
        <v>134</v>
      </c>
      <c r="P11179" t="s">
        <v>2268</v>
      </c>
      <c r="Q11179">
        <v>44</v>
      </c>
      <c r="R11179">
        <v>-79.361800000000002</v>
      </c>
    </row>
    <row r="11180" spans="1:18" x14ac:dyDescent="0.2">
      <c r="A11180" t="s">
        <v>2349</v>
      </c>
      <c r="B11180" t="s">
        <v>1212</v>
      </c>
      <c r="C11180">
        <v>1</v>
      </c>
      <c r="D11180" s="1">
        <v>44379.827152777776</v>
      </c>
      <c r="E11180" t="s">
        <v>34652</v>
      </c>
      <c r="F11180" t="s">
        <v>2352</v>
      </c>
      <c r="G11180" t="s">
        <v>34652</v>
      </c>
      <c r="H11180" t="s">
        <v>2353</v>
      </c>
      <c r="I11180" t="s">
        <v>29</v>
      </c>
      <c r="J11180">
        <v>1</v>
      </c>
      <c r="K11180">
        <f>1-888-207-1506</f>
        <v>-2600</v>
      </c>
      <c r="L11180" t="s">
        <v>34653</v>
      </c>
      <c r="M11180" t="s">
        <v>34654</v>
      </c>
      <c r="N11180">
        <v>98</v>
      </c>
      <c r="O11180" t="s">
        <v>134</v>
      </c>
      <c r="P11180" t="s">
        <v>618</v>
      </c>
      <c r="Q11180">
        <v>52</v>
      </c>
      <c r="R11180">
        <v>-9.5500000000000002E-2</v>
      </c>
    </row>
    <row r="11181" spans="1:18" x14ac:dyDescent="0.2">
      <c r="A11181" t="s">
        <v>6586</v>
      </c>
      <c r="B11181" t="s">
        <v>24593</v>
      </c>
      <c r="C11181">
        <v>1</v>
      </c>
      <c r="D11181" s="1">
        <v>44379.833067129628</v>
      </c>
      <c r="E11181" t="s">
        <v>34655</v>
      </c>
      <c r="F11181" t="s">
        <v>6588</v>
      </c>
      <c r="G11181" t="s">
        <v>34655</v>
      </c>
      <c r="H11181" t="s">
        <v>6590</v>
      </c>
      <c r="I11181" t="s">
        <v>29</v>
      </c>
      <c r="J11181">
        <v>1</v>
      </c>
      <c r="K11181">
        <f>1-888-207-1506</f>
        <v>-2600</v>
      </c>
      <c r="L11181" t="s">
        <v>34656</v>
      </c>
      <c r="M11181" t="s">
        <v>34657</v>
      </c>
      <c r="N11181">
        <v>162</v>
      </c>
      <c r="O11181" t="s">
        <v>134</v>
      </c>
      <c r="P11181" t="s">
        <v>29</v>
      </c>
      <c r="Q11181">
        <v>41</v>
      </c>
      <c r="R11181">
        <v>-74.459199999999996</v>
      </c>
    </row>
    <row r="11182" spans="1:18" x14ac:dyDescent="0.2">
      <c r="A11182" t="s">
        <v>2349</v>
      </c>
      <c r="B11182" t="s">
        <v>4281</v>
      </c>
      <c r="C11182">
        <v>1</v>
      </c>
      <c r="D11182" s="1">
        <v>44379.840752314813</v>
      </c>
      <c r="E11182" t="s">
        <v>34658</v>
      </c>
      <c r="F11182" t="s">
        <v>31524</v>
      </c>
      <c r="G11182" t="s">
        <v>34658</v>
      </c>
      <c r="H11182" t="s">
        <v>2353</v>
      </c>
      <c r="I11182" t="s">
        <v>29</v>
      </c>
      <c r="J11182">
        <v>1</v>
      </c>
      <c r="K11182">
        <f>1-844-678-3976</f>
        <v>-5497</v>
      </c>
      <c r="L11182" t="s">
        <v>34659</v>
      </c>
      <c r="M11182" t="s">
        <v>34660</v>
      </c>
      <c r="N11182">
        <v>216</v>
      </c>
      <c r="O11182" t="s">
        <v>134</v>
      </c>
      <c r="P11182" t="s">
        <v>24</v>
      </c>
      <c r="Q11182">
        <v>50</v>
      </c>
      <c r="R11182">
        <v>8.7147000000000006</v>
      </c>
    </row>
    <row r="11183" spans="1:18" x14ac:dyDescent="0.2">
      <c r="A11183" t="s">
        <v>6586</v>
      </c>
      <c r="B11183" t="s">
        <v>4281</v>
      </c>
      <c r="C11183">
        <v>1</v>
      </c>
      <c r="D11183" s="1">
        <v>44379.859131944446</v>
      </c>
      <c r="E11183" t="s">
        <v>34661</v>
      </c>
      <c r="F11183" t="s">
        <v>6588</v>
      </c>
      <c r="G11183" t="s">
        <v>34661</v>
      </c>
      <c r="H11183" t="s">
        <v>6590</v>
      </c>
      <c r="I11183" t="s">
        <v>29</v>
      </c>
      <c r="J11183">
        <v>1</v>
      </c>
      <c r="K11183">
        <f>1-844-678-3976</f>
        <v>-5497</v>
      </c>
      <c r="L11183" t="s">
        <v>34662</v>
      </c>
      <c r="M11183" t="s">
        <v>34663</v>
      </c>
      <c r="N11183">
        <v>63</v>
      </c>
      <c r="O11183" t="s">
        <v>134</v>
      </c>
      <c r="P11183" t="s">
        <v>24</v>
      </c>
      <c r="Q11183">
        <v>50</v>
      </c>
      <c r="R11183">
        <v>8.6843000000000004</v>
      </c>
    </row>
    <row r="11184" spans="1:18" x14ac:dyDescent="0.2">
      <c r="A11184" t="s">
        <v>2349</v>
      </c>
      <c r="B11184" t="s">
        <v>2488</v>
      </c>
      <c r="C11184">
        <v>1</v>
      </c>
      <c r="D11184" s="1">
        <v>44379.885451388887</v>
      </c>
      <c r="E11184" t="s">
        <v>34664</v>
      </c>
      <c r="F11184" t="s">
        <v>31524</v>
      </c>
      <c r="G11184" t="s">
        <v>34664</v>
      </c>
      <c r="H11184" t="s">
        <v>2353</v>
      </c>
      <c r="I11184" t="s">
        <v>29</v>
      </c>
      <c r="J11184">
        <v>1</v>
      </c>
      <c r="K11184">
        <f>1-888-652-9887</f>
        <v>-11426</v>
      </c>
      <c r="L11184" t="s">
        <v>34665</v>
      </c>
      <c r="M11184" t="s">
        <v>34666</v>
      </c>
      <c r="N11184">
        <v>133</v>
      </c>
      <c r="O11184" t="s">
        <v>134</v>
      </c>
      <c r="P11184" t="s">
        <v>29</v>
      </c>
      <c r="Q11184">
        <v>41</v>
      </c>
      <c r="R11184">
        <v>-74.460599999999999</v>
      </c>
    </row>
    <row r="11185" spans="1:18" x14ac:dyDescent="0.2">
      <c r="A11185" t="s">
        <v>2349</v>
      </c>
      <c r="B11185" t="s">
        <v>6390</v>
      </c>
      <c r="C11185">
        <v>1</v>
      </c>
      <c r="D11185" s="1">
        <v>44379.888657407406</v>
      </c>
      <c r="E11185" t="s">
        <v>34667</v>
      </c>
      <c r="F11185" t="s">
        <v>31524</v>
      </c>
      <c r="G11185" t="s">
        <v>34667</v>
      </c>
      <c r="H11185" t="s">
        <v>2353</v>
      </c>
      <c r="I11185" t="s">
        <v>29</v>
      </c>
      <c r="J11185">
        <v>1</v>
      </c>
      <c r="K11185">
        <f>1-888-652-9887</f>
        <v>-11426</v>
      </c>
      <c r="L11185" t="s">
        <v>34668</v>
      </c>
      <c r="M11185" t="s">
        <v>34669</v>
      </c>
      <c r="N11185">
        <v>136</v>
      </c>
      <c r="O11185" t="s">
        <v>134</v>
      </c>
      <c r="P11185" t="s">
        <v>29</v>
      </c>
      <c r="Q11185">
        <v>37</v>
      </c>
      <c r="R11185">
        <v>-99.999999000000003</v>
      </c>
    </row>
    <row r="11186" spans="1:18" x14ac:dyDescent="0.2">
      <c r="A11186" t="s">
        <v>663</v>
      </c>
      <c r="B11186" t="s">
        <v>5784</v>
      </c>
      <c r="C11186">
        <v>1</v>
      </c>
      <c r="D11186" s="1">
        <v>44379.892731481479</v>
      </c>
      <c r="E11186" t="s">
        <v>34670</v>
      </c>
      <c r="F11186" t="s">
        <v>666</v>
      </c>
      <c r="G11186" t="s">
        <v>34671</v>
      </c>
      <c r="H11186" t="s">
        <v>667</v>
      </c>
      <c r="I11186" t="s">
        <v>29</v>
      </c>
      <c r="J11186">
        <v>1</v>
      </c>
      <c r="K11186">
        <f>1-844-589-5437</f>
        <v>-6869</v>
      </c>
      <c r="L11186" t="s">
        <v>34672</v>
      </c>
      <c r="M11186" t="s">
        <v>34673</v>
      </c>
      <c r="N11186" t="s">
        <v>25263</v>
      </c>
      <c r="O11186" t="s">
        <v>28</v>
      </c>
      <c r="P11186" t="s">
        <v>5789</v>
      </c>
      <c r="Q11186">
        <v>13</v>
      </c>
      <c r="R11186">
        <v>77.585499999999996</v>
      </c>
    </row>
    <row r="11187" spans="1:18" x14ac:dyDescent="0.2">
      <c r="A11187" t="s">
        <v>2349</v>
      </c>
      <c r="B11187" t="s">
        <v>1212</v>
      </c>
      <c r="C11187">
        <v>1</v>
      </c>
      <c r="D11187" s="1">
        <v>44379.899467592593</v>
      </c>
      <c r="E11187" t="s">
        <v>34674</v>
      </c>
      <c r="F11187" t="s">
        <v>31524</v>
      </c>
      <c r="G11187" t="s">
        <v>34674</v>
      </c>
      <c r="H11187" t="s">
        <v>2353</v>
      </c>
      <c r="I11187" t="s">
        <v>29</v>
      </c>
      <c r="J11187">
        <v>1</v>
      </c>
      <c r="K11187">
        <f>1-888-652-9887</f>
        <v>-11426</v>
      </c>
      <c r="L11187" t="s">
        <v>34675</v>
      </c>
      <c r="M11187" t="s">
        <v>34676</v>
      </c>
      <c r="N11187">
        <v>171</v>
      </c>
      <c r="O11187" t="s">
        <v>134</v>
      </c>
      <c r="P11187" t="s">
        <v>618</v>
      </c>
      <c r="Q11187">
        <v>52</v>
      </c>
      <c r="R11187">
        <v>-6.3799999999999996E-2</v>
      </c>
    </row>
    <row r="11188" spans="1:18" x14ac:dyDescent="0.2">
      <c r="A11188" t="s">
        <v>439</v>
      </c>
      <c r="B11188" t="s">
        <v>440</v>
      </c>
      <c r="C11188">
        <v>1</v>
      </c>
      <c r="D11188" s="1">
        <v>44379.922094907408</v>
      </c>
      <c r="E11188" t="s">
        <v>34677</v>
      </c>
      <c r="F11188" t="s">
        <v>442</v>
      </c>
      <c r="G11188" t="s">
        <v>34678</v>
      </c>
      <c r="H11188" t="s">
        <v>444</v>
      </c>
      <c r="I11188" t="s">
        <v>29</v>
      </c>
      <c r="J11188">
        <v>1</v>
      </c>
      <c r="K11188">
        <f>1-866-313-1107</f>
        <v>-2285</v>
      </c>
      <c r="L11188" t="s">
        <v>34679</v>
      </c>
      <c r="M11188" t="s">
        <v>34680</v>
      </c>
      <c r="N11188" t="s">
        <v>213</v>
      </c>
      <c r="O11188" t="s">
        <v>28</v>
      </c>
      <c r="P11188" t="s">
        <v>29</v>
      </c>
      <c r="Q11188">
        <v>39</v>
      </c>
      <c r="R11188">
        <v>-77.487399999999994</v>
      </c>
    </row>
    <row r="11189" spans="1:18" x14ac:dyDescent="0.2">
      <c r="A11189" t="s">
        <v>2349</v>
      </c>
      <c r="B11189" t="s">
        <v>4281</v>
      </c>
      <c r="C11189">
        <v>1</v>
      </c>
      <c r="D11189" s="1">
        <v>44379.934432870374</v>
      </c>
      <c r="E11189" t="s">
        <v>34681</v>
      </c>
      <c r="F11189" t="s">
        <v>2352</v>
      </c>
      <c r="G11189" t="s">
        <v>34681</v>
      </c>
      <c r="H11189" t="s">
        <v>2353</v>
      </c>
      <c r="I11189" t="s">
        <v>29</v>
      </c>
      <c r="J11189">
        <v>1</v>
      </c>
      <c r="K11189">
        <f>1-844-590-4994</f>
        <v>-6427</v>
      </c>
      <c r="L11189" t="s">
        <v>34682</v>
      </c>
      <c r="M11189" t="s">
        <v>34683</v>
      </c>
      <c r="N11189">
        <v>45</v>
      </c>
      <c r="O11189" t="s">
        <v>134</v>
      </c>
      <c r="P11189" t="s">
        <v>24</v>
      </c>
      <c r="Q11189">
        <v>50</v>
      </c>
      <c r="R11189">
        <v>8.7278500000000001</v>
      </c>
    </row>
    <row r="11190" spans="1:18" x14ac:dyDescent="0.2">
      <c r="A11190" t="s">
        <v>6586</v>
      </c>
      <c r="B11190" t="s">
        <v>28651</v>
      </c>
      <c r="C11190">
        <v>1</v>
      </c>
      <c r="D11190" s="1">
        <v>44379.95108796296</v>
      </c>
      <c r="E11190" t="s">
        <v>34684</v>
      </c>
      <c r="F11190" t="s">
        <v>6588</v>
      </c>
      <c r="G11190" t="s">
        <v>34684</v>
      </c>
      <c r="H11190" t="s">
        <v>6590</v>
      </c>
      <c r="I11190" t="s">
        <v>29</v>
      </c>
      <c r="J11190">
        <v>1</v>
      </c>
      <c r="K11190">
        <f>1-844-590-4994</f>
        <v>-6427</v>
      </c>
      <c r="L11190" t="s">
        <v>34685</v>
      </c>
      <c r="M11190" t="s">
        <v>34686</v>
      </c>
      <c r="N11190">
        <v>232</v>
      </c>
      <c r="O11190" t="s">
        <v>134</v>
      </c>
      <c r="P11190" t="s">
        <v>29</v>
      </c>
      <c r="Q11190">
        <v>33</v>
      </c>
      <c r="R11190">
        <v>-96.702799999999996</v>
      </c>
    </row>
    <row r="11191" spans="1:18" x14ac:dyDescent="0.2">
      <c r="A11191" t="s">
        <v>663</v>
      </c>
      <c r="B11191" t="s">
        <v>1212</v>
      </c>
      <c r="C11191">
        <v>1</v>
      </c>
      <c r="D11191" s="1">
        <v>44379.986886574072</v>
      </c>
      <c r="E11191" t="s">
        <v>34687</v>
      </c>
      <c r="F11191" t="s">
        <v>666</v>
      </c>
      <c r="G11191" t="s">
        <v>34688</v>
      </c>
      <c r="H11191" t="s">
        <v>667</v>
      </c>
      <c r="I11191" t="s">
        <v>29</v>
      </c>
      <c r="J11191">
        <v>1</v>
      </c>
      <c r="K11191">
        <f>1-844-729-3853</f>
        <v>-5425</v>
      </c>
      <c r="L11191" t="s">
        <v>34689</v>
      </c>
      <c r="M11191" t="s">
        <v>34690</v>
      </c>
      <c r="N11191" t="s">
        <v>452</v>
      </c>
      <c r="O11191" t="s">
        <v>28</v>
      </c>
      <c r="P11191" t="s">
        <v>618</v>
      </c>
      <c r="Q11191">
        <v>52</v>
      </c>
      <c r="R11191">
        <v>-0.62150000000000005</v>
      </c>
    </row>
    <row r="11192" spans="1:18" x14ac:dyDescent="0.2">
      <c r="A11192" t="s">
        <v>2349</v>
      </c>
      <c r="B11192" t="s">
        <v>1212</v>
      </c>
      <c r="C11192">
        <v>1</v>
      </c>
      <c r="D11192" s="1">
        <v>44380.013229166667</v>
      </c>
      <c r="E11192" t="s">
        <v>34691</v>
      </c>
      <c r="F11192" t="s">
        <v>33409</v>
      </c>
      <c r="G11192" t="s">
        <v>34691</v>
      </c>
      <c r="H11192" t="s">
        <v>2353</v>
      </c>
      <c r="I11192" t="s">
        <v>29</v>
      </c>
      <c r="J11192">
        <v>1</v>
      </c>
      <c r="K11192">
        <f>1-844-594-9577</f>
        <v>-11014</v>
      </c>
      <c r="L11192" t="s">
        <v>34692</v>
      </c>
      <c r="M11192" t="s">
        <v>34693</v>
      </c>
      <c r="N11192">
        <v>128</v>
      </c>
      <c r="O11192" t="s">
        <v>134</v>
      </c>
      <c r="P11192" t="s">
        <v>618</v>
      </c>
      <c r="Q11192">
        <v>52</v>
      </c>
      <c r="R11192">
        <v>-6.3799999999999996E-2</v>
      </c>
    </row>
    <row r="11193" spans="1:18" x14ac:dyDescent="0.2">
      <c r="A11193" t="s">
        <v>6586</v>
      </c>
      <c r="B11193" t="s">
        <v>20854</v>
      </c>
      <c r="C11193">
        <v>1</v>
      </c>
      <c r="D11193" s="1">
        <v>44380.024502314816</v>
      </c>
      <c r="E11193" t="s">
        <v>34694</v>
      </c>
      <c r="F11193" t="s">
        <v>6588</v>
      </c>
      <c r="G11193" t="s">
        <v>34694</v>
      </c>
      <c r="H11193" t="s">
        <v>6590</v>
      </c>
      <c r="I11193" t="s">
        <v>29</v>
      </c>
      <c r="J11193">
        <v>1</v>
      </c>
      <c r="K11193">
        <f>1-844-594-9577</f>
        <v>-11014</v>
      </c>
      <c r="L11193" t="s">
        <v>34695</v>
      </c>
      <c r="M11193" t="s">
        <v>34696</v>
      </c>
      <c r="N11193">
        <v>59</v>
      </c>
      <c r="O11193" t="s">
        <v>134</v>
      </c>
      <c r="P11193" t="s">
        <v>29</v>
      </c>
      <c r="Q11193">
        <v>38</v>
      </c>
      <c r="R11193">
        <v>-99.999999000000003</v>
      </c>
    </row>
    <row r="11194" spans="1:18" x14ac:dyDescent="0.2">
      <c r="A11194" t="s">
        <v>2349</v>
      </c>
      <c r="B11194" t="s">
        <v>454</v>
      </c>
      <c r="C11194">
        <v>1</v>
      </c>
      <c r="D11194" s="1">
        <v>44380.031655092593</v>
      </c>
      <c r="E11194" t="s">
        <v>34697</v>
      </c>
      <c r="F11194" t="s">
        <v>31524</v>
      </c>
      <c r="G11194" t="s">
        <v>34697</v>
      </c>
      <c r="H11194" t="s">
        <v>2353</v>
      </c>
      <c r="I11194" t="s">
        <v>29</v>
      </c>
      <c r="J11194">
        <v>1</v>
      </c>
      <c r="K11194">
        <f>1-844-594-9577</f>
        <v>-11014</v>
      </c>
      <c r="L11194" t="s">
        <v>34698</v>
      </c>
      <c r="M11194" t="s">
        <v>34699</v>
      </c>
      <c r="N11194">
        <v>130</v>
      </c>
      <c r="O11194" t="s">
        <v>134</v>
      </c>
      <c r="P11194" t="s">
        <v>461</v>
      </c>
      <c r="Q11194">
        <v>52</v>
      </c>
      <c r="R11194">
        <v>4.6562999999999999</v>
      </c>
    </row>
    <row r="11195" spans="1:18" x14ac:dyDescent="0.2">
      <c r="A11195" t="s">
        <v>2233</v>
      </c>
      <c r="B11195" t="s">
        <v>1638</v>
      </c>
      <c r="C11195">
        <v>1</v>
      </c>
      <c r="D11195" s="1">
        <v>44382.853321759256</v>
      </c>
      <c r="E11195" t="s">
        <v>34700</v>
      </c>
      <c r="F11195" t="s">
        <v>2236</v>
      </c>
      <c r="G11195" t="s">
        <v>34701</v>
      </c>
      <c r="H11195" t="s">
        <v>2237</v>
      </c>
      <c r="I11195" t="s">
        <v>29</v>
      </c>
      <c r="J11195">
        <v>1</v>
      </c>
      <c r="K11195">
        <f>1-888-357-8966</f>
        <v>-10210</v>
      </c>
      <c r="L11195" t="s">
        <v>34702</v>
      </c>
      <c r="M11195" t="s">
        <v>34703</v>
      </c>
      <c r="N11195" t="s">
        <v>278</v>
      </c>
      <c r="O11195" t="s">
        <v>28</v>
      </c>
      <c r="P11195" t="s">
        <v>292</v>
      </c>
      <c r="Q11195">
        <v>49</v>
      </c>
      <c r="R11195">
        <v>2.35222</v>
      </c>
    </row>
    <row r="11196" spans="1:18" x14ac:dyDescent="0.2">
      <c r="A11196" t="s">
        <v>2233</v>
      </c>
      <c r="B11196" t="s">
        <v>27251</v>
      </c>
      <c r="C11196">
        <v>39</v>
      </c>
      <c r="D11196" s="1">
        <v>44382.517916666664</v>
      </c>
      <c r="E11196" t="s">
        <v>34704</v>
      </c>
      <c r="F11196" t="s">
        <v>2236</v>
      </c>
      <c r="G11196" t="s">
        <v>34705</v>
      </c>
      <c r="H11196" t="s">
        <v>2237</v>
      </c>
      <c r="I11196" t="s">
        <v>6404</v>
      </c>
      <c r="J11196">
        <v>39</v>
      </c>
      <c r="K11196">
        <f>39-2-3601-7992</f>
        <v>-11556</v>
      </c>
      <c r="L11196" t="s">
        <v>34706</v>
      </c>
      <c r="M11196" t="s">
        <v>34707</v>
      </c>
      <c r="N11196" t="s">
        <v>278</v>
      </c>
      <c r="O11196" t="s">
        <v>28</v>
      </c>
      <c r="P11196" t="s">
        <v>618</v>
      </c>
      <c r="Q11196">
        <v>53</v>
      </c>
      <c r="R11196">
        <v>-2.2426300000000001</v>
      </c>
    </row>
    <row r="11197" spans="1:18" x14ac:dyDescent="0.2">
      <c r="A11197" t="s">
        <v>439</v>
      </c>
      <c r="B11197" t="s">
        <v>4321</v>
      </c>
      <c r="C11197">
        <v>1</v>
      </c>
      <c r="D11197" s="1">
        <v>44382.716087962966</v>
      </c>
      <c r="E11197" t="s">
        <v>34708</v>
      </c>
      <c r="F11197" t="s">
        <v>442</v>
      </c>
      <c r="G11197" t="s">
        <v>34709</v>
      </c>
      <c r="H11197" t="s">
        <v>444</v>
      </c>
      <c r="I11197" t="s">
        <v>29</v>
      </c>
      <c r="J11197">
        <v>1</v>
      </c>
      <c r="K11197">
        <f>1-855-545-1973</f>
        <v>-3372</v>
      </c>
      <c r="L11197" s="2" t="s">
        <v>34710</v>
      </c>
      <c r="M11197" t="s">
        <v>34711</v>
      </c>
      <c r="N11197" t="s">
        <v>213</v>
      </c>
      <c r="O11197" t="s">
        <v>28</v>
      </c>
      <c r="P11197" t="s">
        <v>29</v>
      </c>
      <c r="Q11197">
        <v>42</v>
      </c>
      <c r="R11197">
        <v>-87.629800000000003</v>
      </c>
    </row>
    <row r="11198" spans="1:18" x14ac:dyDescent="0.2">
      <c r="A11198" t="s">
        <v>439</v>
      </c>
      <c r="B11198" t="s">
        <v>440</v>
      </c>
      <c r="C11198">
        <v>1</v>
      </c>
      <c r="D11198" s="1">
        <v>44380.864675925928</v>
      </c>
      <c r="E11198" t="s">
        <v>34712</v>
      </c>
      <c r="F11198" t="s">
        <v>442</v>
      </c>
      <c r="G11198" t="s">
        <v>34713</v>
      </c>
      <c r="H11198" t="s">
        <v>444</v>
      </c>
      <c r="I11198" t="s">
        <v>29</v>
      </c>
      <c r="J11198">
        <v>1</v>
      </c>
      <c r="K11198">
        <f>1-888-728-1484</f>
        <v>-3099</v>
      </c>
      <c r="L11198" t="s">
        <v>34714</v>
      </c>
      <c r="M11198" t="s">
        <v>34715</v>
      </c>
      <c r="N11198" t="s">
        <v>213</v>
      </c>
      <c r="O11198" t="s">
        <v>28</v>
      </c>
      <c r="P11198" t="s">
        <v>29</v>
      </c>
      <c r="Q11198">
        <v>39</v>
      </c>
      <c r="R11198">
        <v>-77.487399999999994</v>
      </c>
    </row>
    <row r="11199" spans="1:18" x14ac:dyDescent="0.2">
      <c r="A11199" t="s">
        <v>663</v>
      </c>
      <c r="B11199" t="s">
        <v>664</v>
      </c>
      <c r="C11199">
        <v>1</v>
      </c>
      <c r="D11199" s="1">
        <v>44381.000925925924</v>
      </c>
      <c r="E11199" t="s">
        <v>34716</v>
      </c>
      <c r="F11199" t="s">
        <v>666</v>
      </c>
      <c r="G11199" t="s">
        <v>34717</v>
      </c>
      <c r="H11199" t="s">
        <v>667</v>
      </c>
      <c r="I11199" t="s">
        <v>29</v>
      </c>
      <c r="J11199">
        <v>1</v>
      </c>
      <c r="K11199">
        <f>1-888-888-8888</f>
        <v>-10663</v>
      </c>
      <c r="L11199" t="s">
        <v>34718</v>
      </c>
      <c r="M11199" t="s">
        <v>34719</v>
      </c>
      <c r="N11199" t="s">
        <v>3454</v>
      </c>
      <c r="O11199" t="s">
        <v>28</v>
      </c>
      <c r="P11199" t="s">
        <v>29</v>
      </c>
      <c r="Q11199">
        <v>37</v>
      </c>
      <c r="R11199">
        <v>-99.999999000000003</v>
      </c>
    </row>
    <row r="11200" spans="1:18" x14ac:dyDescent="0.2">
      <c r="A11200" t="s">
        <v>439</v>
      </c>
      <c r="B11200" t="s">
        <v>440</v>
      </c>
      <c r="C11200">
        <v>1</v>
      </c>
      <c r="D11200" s="1">
        <v>44381.966770833336</v>
      </c>
      <c r="E11200" t="s">
        <v>34720</v>
      </c>
      <c r="F11200" t="s">
        <v>442</v>
      </c>
      <c r="G11200" t="s">
        <v>34721</v>
      </c>
      <c r="H11200" t="s">
        <v>444</v>
      </c>
      <c r="I11200" t="s">
        <v>29</v>
      </c>
      <c r="J11200">
        <v>1</v>
      </c>
      <c r="K11200">
        <f>1-833-375-758</f>
        <v>-1965</v>
      </c>
      <c r="L11200" s="2" t="s">
        <v>34722</v>
      </c>
      <c r="M11200" t="s">
        <v>34723</v>
      </c>
      <c r="N11200" t="s">
        <v>447</v>
      </c>
      <c r="O11200" t="s">
        <v>28</v>
      </c>
      <c r="P11200" t="s">
        <v>29</v>
      </c>
      <c r="Q11200">
        <v>39</v>
      </c>
      <c r="R11200">
        <v>-77.487399999999994</v>
      </c>
    </row>
    <row r="11201" spans="1:18" x14ac:dyDescent="0.2">
      <c r="A11201" t="s">
        <v>2233</v>
      </c>
      <c r="B11201" t="s">
        <v>1638</v>
      </c>
      <c r="C11201">
        <v>1</v>
      </c>
      <c r="D11201" s="1">
        <v>44383.014513888891</v>
      </c>
      <c r="E11201" t="s">
        <v>34724</v>
      </c>
      <c r="F11201" t="s">
        <v>7023</v>
      </c>
      <c r="G11201" t="s">
        <v>34725</v>
      </c>
      <c r="H11201" t="s">
        <v>2237</v>
      </c>
      <c r="I11201" t="s">
        <v>29</v>
      </c>
      <c r="J11201">
        <v>1</v>
      </c>
      <c r="K11201">
        <f>1-888-436-8178</f>
        <v>-9501</v>
      </c>
      <c r="L11201" s="2" t="s">
        <v>34726</v>
      </c>
      <c r="M11201" t="s">
        <v>34727</v>
      </c>
      <c r="N11201" t="s">
        <v>278</v>
      </c>
      <c r="O11201" t="s">
        <v>28</v>
      </c>
      <c r="P11201" t="s">
        <v>292</v>
      </c>
      <c r="Q11201">
        <v>49</v>
      </c>
      <c r="R11201">
        <v>2.35222</v>
      </c>
    </row>
    <row r="11202" spans="1:18" x14ac:dyDescent="0.2">
      <c r="A11202" t="s">
        <v>439</v>
      </c>
      <c r="B11202" t="s">
        <v>4321</v>
      </c>
      <c r="C11202">
        <v>1</v>
      </c>
      <c r="D11202" s="1">
        <v>44383.019097222219</v>
      </c>
      <c r="E11202" t="s">
        <v>34728</v>
      </c>
      <c r="F11202" t="s">
        <v>442</v>
      </c>
      <c r="G11202" t="s">
        <v>34729</v>
      </c>
      <c r="H11202" t="s">
        <v>444</v>
      </c>
      <c r="I11202" t="s">
        <v>29</v>
      </c>
      <c r="J11202">
        <v>1</v>
      </c>
      <c r="K11202">
        <f>1-844-773-1326</f>
        <v>-2942</v>
      </c>
      <c r="L11202" s="2" t="s">
        <v>34730</v>
      </c>
      <c r="M11202" t="s">
        <v>34731</v>
      </c>
      <c r="N11202" t="s">
        <v>5354</v>
      </c>
      <c r="O11202" t="s">
        <v>28</v>
      </c>
      <c r="P11202" t="s">
        <v>29</v>
      </c>
      <c r="Q11202">
        <v>42</v>
      </c>
      <c r="R11202">
        <v>-87.629800000000003</v>
      </c>
    </row>
    <row r="11203" spans="1:18" x14ac:dyDescent="0.2">
      <c r="A11203" t="s">
        <v>439</v>
      </c>
      <c r="B11203" t="s">
        <v>4321</v>
      </c>
      <c r="C11203">
        <v>1</v>
      </c>
      <c r="D11203" s="1">
        <v>44383.878946759258</v>
      </c>
      <c r="E11203" t="s">
        <v>34732</v>
      </c>
      <c r="F11203" t="s">
        <v>442</v>
      </c>
      <c r="G11203" t="s">
        <v>34733</v>
      </c>
      <c r="H11203" t="s">
        <v>444</v>
      </c>
      <c r="I11203" t="s">
        <v>29</v>
      </c>
      <c r="J11203">
        <v>1</v>
      </c>
      <c r="K11203">
        <f>1-855-758-2250</f>
        <v>-3862</v>
      </c>
      <c r="L11203" t="s">
        <v>34734</v>
      </c>
      <c r="M11203" t="s">
        <v>34735</v>
      </c>
      <c r="N11203" t="s">
        <v>447</v>
      </c>
      <c r="O11203" t="s">
        <v>28</v>
      </c>
      <c r="P11203" t="s">
        <v>29</v>
      </c>
      <c r="Q11203">
        <v>42</v>
      </c>
      <c r="R11203">
        <v>-87.629800000000003</v>
      </c>
    </row>
    <row r="11204" spans="1:18" x14ac:dyDescent="0.2">
      <c r="A11204" t="s">
        <v>270</v>
      </c>
      <c r="B11204" t="s">
        <v>8080</v>
      </c>
      <c r="C11204">
        <v>1</v>
      </c>
      <c r="D11204" s="1">
        <v>44383.958738425928</v>
      </c>
      <c r="E11204" t="s">
        <v>34736</v>
      </c>
      <c r="F11204" t="s">
        <v>273</v>
      </c>
      <c r="G11204" t="s">
        <v>34737</v>
      </c>
      <c r="H11204" t="s">
        <v>275</v>
      </c>
      <c r="I11204" t="s">
        <v>29</v>
      </c>
      <c r="J11204">
        <v>1</v>
      </c>
      <c r="K11204">
        <f>1-888-248-3312</f>
        <v>-4447</v>
      </c>
      <c r="L11204" t="s">
        <v>34738</v>
      </c>
      <c r="M11204" t="s">
        <v>34739</v>
      </c>
      <c r="N11204" t="s">
        <v>278</v>
      </c>
      <c r="O11204" t="s">
        <v>28</v>
      </c>
      <c r="P11204" t="s">
        <v>8085</v>
      </c>
      <c r="Q11204">
        <v>-24</v>
      </c>
      <c r="R11204">
        <v>-46.633000000000003</v>
      </c>
    </row>
    <row r="11205" spans="1:18" x14ac:dyDescent="0.2">
      <c r="A11205" t="s">
        <v>663</v>
      </c>
      <c r="B11205" t="s">
        <v>2493</v>
      </c>
      <c r="C11205">
        <v>1</v>
      </c>
      <c r="D11205" s="1">
        <v>44383.999409722222</v>
      </c>
      <c r="E11205" t="s">
        <v>34740</v>
      </c>
      <c r="F11205" t="s">
        <v>666</v>
      </c>
      <c r="G11205" t="s">
        <v>34741</v>
      </c>
      <c r="H11205" t="s">
        <v>667</v>
      </c>
      <c r="I11205" t="s">
        <v>29</v>
      </c>
      <c r="J11205">
        <v>1</v>
      </c>
      <c r="K11205">
        <f>1-808-444-5253</f>
        <v>-6504</v>
      </c>
      <c r="L11205" t="s">
        <v>34742</v>
      </c>
      <c r="M11205" t="s">
        <v>34743</v>
      </c>
      <c r="N11205" t="s">
        <v>25263</v>
      </c>
      <c r="O11205" t="s">
        <v>28</v>
      </c>
      <c r="P11205" t="s">
        <v>29</v>
      </c>
      <c r="Q11205">
        <v>41</v>
      </c>
      <c r="R11205">
        <v>-74.024699999999996</v>
      </c>
    </row>
    <row r="11206" spans="1:18" x14ac:dyDescent="0.2">
      <c r="A11206" t="s">
        <v>663</v>
      </c>
      <c r="B11206" t="s">
        <v>664</v>
      </c>
      <c r="C11206">
        <v>1</v>
      </c>
      <c r="D11206" s="1">
        <v>44384.767743055556</v>
      </c>
      <c r="E11206" t="s">
        <v>34744</v>
      </c>
      <c r="F11206" t="s">
        <v>666</v>
      </c>
      <c r="G11206" t="s">
        <v>34745</v>
      </c>
      <c r="H11206" t="s">
        <v>667</v>
      </c>
      <c r="I11206" t="s">
        <v>29</v>
      </c>
      <c r="J11206">
        <v>1</v>
      </c>
      <c r="K11206">
        <f>1-844-844-591</f>
        <v>-2278</v>
      </c>
      <c r="L11206" t="s">
        <v>34746</v>
      </c>
      <c r="M11206" t="s">
        <v>34747</v>
      </c>
      <c r="N11206" t="s">
        <v>452</v>
      </c>
      <c r="O11206" t="s">
        <v>28</v>
      </c>
      <c r="P11206" t="s">
        <v>29</v>
      </c>
      <c r="Q11206">
        <v>37</v>
      </c>
      <c r="R11206">
        <v>-99.999999000000003</v>
      </c>
    </row>
    <row r="11207" spans="1:18" x14ac:dyDescent="0.2">
      <c r="A11207" t="s">
        <v>663</v>
      </c>
      <c r="B11207" t="s">
        <v>5784</v>
      </c>
      <c r="C11207">
        <v>1</v>
      </c>
      <c r="D11207" s="1">
        <v>44384.770949074074</v>
      </c>
      <c r="E11207" t="s">
        <v>34748</v>
      </c>
      <c r="F11207" t="s">
        <v>666</v>
      </c>
      <c r="G11207" t="s">
        <v>34749</v>
      </c>
      <c r="H11207" t="s">
        <v>667</v>
      </c>
      <c r="I11207" t="s">
        <v>29</v>
      </c>
      <c r="J11207">
        <v>1</v>
      </c>
      <c r="K11207">
        <f>1-831-525-9279</f>
        <v>-10634</v>
      </c>
      <c r="L11207" t="s">
        <v>34750</v>
      </c>
      <c r="M11207" t="s">
        <v>34751</v>
      </c>
      <c r="N11207" t="s">
        <v>25263</v>
      </c>
      <c r="O11207" t="s">
        <v>28</v>
      </c>
      <c r="P11207" t="s">
        <v>5789</v>
      </c>
      <c r="Q11207">
        <v>13</v>
      </c>
      <c r="R11207">
        <v>77.585499999999996</v>
      </c>
    </row>
    <row r="11208" spans="1:18" x14ac:dyDescent="0.2">
      <c r="A11208" t="s">
        <v>439</v>
      </c>
      <c r="B11208" t="s">
        <v>4321</v>
      </c>
      <c r="C11208">
        <v>1</v>
      </c>
      <c r="D11208" s="1">
        <v>44384.773622685185</v>
      </c>
      <c r="E11208" t="s">
        <v>34752</v>
      </c>
      <c r="F11208" t="s">
        <v>442</v>
      </c>
      <c r="G11208" t="s">
        <v>34753</v>
      </c>
      <c r="H11208" t="s">
        <v>444</v>
      </c>
      <c r="I11208" t="s">
        <v>29</v>
      </c>
      <c r="J11208">
        <v>1</v>
      </c>
      <c r="K11208">
        <f>1-855-442-7455</f>
        <v>-8751</v>
      </c>
      <c r="L11208" t="s">
        <v>34754</v>
      </c>
      <c r="M11208" t="s">
        <v>34755</v>
      </c>
      <c r="N11208" t="s">
        <v>213</v>
      </c>
      <c r="O11208" t="s">
        <v>28</v>
      </c>
      <c r="P11208" t="s">
        <v>29</v>
      </c>
      <c r="Q11208">
        <v>42</v>
      </c>
      <c r="R11208">
        <v>-87.629800000000003</v>
      </c>
    </row>
    <row r="11209" spans="1:18" x14ac:dyDescent="0.2">
      <c r="A11209" t="s">
        <v>439</v>
      </c>
      <c r="B11209" t="s">
        <v>440</v>
      </c>
      <c r="C11209">
        <v>1</v>
      </c>
      <c r="D11209" s="1">
        <v>44384.802268518521</v>
      </c>
      <c r="E11209" t="s">
        <v>34756</v>
      </c>
      <c r="F11209" t="s">
        <v>442</v>
      </c>
      <c r="G11209" t="s">
        <v>34757</v>
      </c>
      <c r="H11209" t="s">
        <v>444</v>
      </c>
      <c r="I11209" t="s">
        <v>29</v>
      </c>
      <c r="J11209">
        <v>1</v>
      </c>
      <c r="K11209">
        <f>1-855-651-2572</f>
        <v>-4077</v>
      </c>
      <c r="L11209" t="s">
        <v>34758</v>
      </c>
      <c r="M11209" t="s">
        <v>34759</v>
      </c>
      <c r="N11209" t="s">
        <v>447</v>
      </c>
      <c r="O11209" t="s">
        <v>28</v>
      </c>
      <c r="P11209" t="s">
        <v>29</v>
      </c>
      <c r="Q11209">
        <v>39</v>
      </c>
      <c r="R11209">
        <v>-77.487399999999994</v>
      </c>
    </row>
    <row r="11210" spans="1:18" x14ac:dyDescent="0.2">
      <c r="A11210" t="s">
        <v>663</v>
      </c>
      <c r="B11210" t="s">
        <v>1212</v>
      </c>
      <c r="C11210">
        <v>1</v>
      </c>
      <c r="D11210" s="1">
        <v>44384.851203703707</v>
      </c>
      <c r="E11210" t="s">
        <v>34760</v>
      </c>
      <c r="F11210" t="s">
        <v>666</v>
      </c>
      <c r="G11210" t="s">
        <v>34761</v>
      </c>
      <c r="H11210" t="s">
        <v>667</v>
      </c>
      <c r="I11210" t="s">
        <v>29</v>
      </c>
      <c r="J11210">
        <v>1</v>
      </c>
      <c r="K11210">
        <f>1-844-844-2361</f>
        <v>-4048</v>
      </c>
      <c r="L11210" t="s">
        <v>34762</v>
      </c>
      <c r="M11210" t="s">
        <v>34763</v>
      </c>
      <c r="N11210" t="s">
        <v>452</v>
      </c>
      <c r="O11210" t="s">
        <v>28</v>
      </c>
      <c r="P11210" t="s">
        <v>618</v>
      </c>
      <c r="Q11210">
        <v>52</v>
      </c>
      <c r="R11210">
        <v>-0.62150000000000005</v>
      </c>
    </row>
    <row r="11211" spans="1:18" x14ac:dyDescent="0.2">
      <c r="A11211" t="s">
        <v>439</v>
      </c>
      <c r="B11211" t="s">
        <v>4321</v>
      </c>
      <c r="C11211">
        <v>1</v>
      </c>
      <c r="D11211" s="1">
        <v>44384.864212962966</v>
      </c>
      <c r="E11211" t="s">
        <v>34764</v>
      </c>
      <c r="F11211" t="s">
        <v>442</v>
      </c>
      <c r="G11211" t="s">
        <v>34765</v>
      </c>
      <c r="H11211" t="s">
        <v>444</v>
      </c>
      <c r="I11211" t="s">
        <v>29</v>
      </c>
      <c r="J11211">
        <v>1</v>
      </c>
      <c r="K11211">
        <f>1-844-957-2875</f>
        <v>-4675</v>
      </c>
      <c r="L11211" t="s">
        <v>34766</v>
      </c>
      <c r="M11211" t="s">
        <v>34767</v>
      </c>
      <c r="N11211" t="s">
        <v>213</v>
      </c>
      <c r="O11211" t="s">
        <v>28</v>
      </c>
      <c r="P11211" t="s">
        <v>29</v>
      </c>
      <c r="Q11211">
        <v>42</v>
      </c>
      <c r="R11211">
        <v>-87.629800000000003</v>
      </c>
    </row>
    <row r="11212" spans="1:18" x14ac:dyDescent="0.2">
      <c r="A11212" t="s">
        <v>439</v>
      </c>
      <c r="B11212" t="s">
        <v>440</v>
      </c>
      <c r="C11212">
        <v>1</v>
      </c>
      <c r="D11212" s="1">
        <v>44384.900185185186</v>
      </c>
      <c r="E11212" t="s">
        <v>34768</v>
      </c>
      <c r="F11212" t="s">
        <v>442</v>
      </c>
      <c r="G11212" t="s">
        <v>34769</v>
      </c>
      <c r="H11212" t="s">
        <v>444</v>
      </c>
      <c r="I11212" t="s">
        <v>29</v>
      </c>
      <c r="J11212">
        <v>1</v>
      </c>
      <c r="K11212">
        <f>1-844-957-2878</f>
        <v>-4678</v>
      </c>
      <c r="L11212" s="2" t="s">
        <v>34770</v>
      </c>
      <c r="M11212" t="s">
        <v>34771</v>
      </c>
      <c r="N11212" t="s">
        <v>447</v>
      </c>
      <c r="O11212" t="s">
        <v>28</v>
      </c>
      <c r="P11212" t="s">
        <v>29</v>
      </c>
      <c r="Q11212">
        <v>39</v>
      </c>
      <c r="R11212">
        <v>-77.487399999999994</v>
      </c>
    </row>
    <row r="11213" spans="1:18" x14ac:dyDescent="0.2">
      <c r="A11213" t="s">
        <v>6586</v>
      </c>
      <c r="B11213" t="s">
        <v>28651</v>
      </c>
      <c r="C11213">
        <v>1</v>
      </c>
      <c r="D11213" s="1">
        <v>44384.834374999999</v>
      </c>
      <c r="E11213" t="s">
        <v>34772</v>
      </c>
      <c r="F11213" t="s">
        <v>6588</v>
      </c>
      <c r="G11213" t="s">
        <v>34773</v>
      </c>
      <c r="H11213" t="s">
        <v>6590</v>
      </c>
      <c r="I11213" t="s">
        <v>29</v>
      </c>
      <c r="J11213">
        <v>1</v>
      </c>
      <c r="K11213">
        <f>1-844-768-2438</f>
        <v>-4049</v>
      </c>
      <c r="L11213" t="s">
        <v>34774</v>
      </c>
      <c r="M11213" t="s">
        <v>34775</v>
      </c>
      <c r="N11213" t="s">
        <v>3282</v>
      </c>
      <c r="O11213" t="s">
        <v>28</v>
      </c>
      <c r="P11213" t="s">
        <v>29</v>
      </c>
      <c r="Q11213">
        <v>33</v>
      </c>
      <c r="R11213">
        <v>-96.702799999999996</v>
      </c>
    </row>
    <row r="11214" spans="1:18" x14ac:dyDescent="0.2">
      <c r="A11214" t="s">
        <v>3420</v>
      </c>
      <c r="B11214" t="s">
        <v>6921</v>
      </c>
      <c r="C11214">
        <v>1</v>
      </c>
      <c r="D11214" s="1">
        <v>44384.836435185185</v>
      </c>
      <c r="E11214" t="s">
        <v>34776</v>
      </c>
      <c r="F11214" t="s">
        <v>3422</v>
      </c>
      <c r="G11214" t="s">
        <v>34776</v>
      </c>
      <c r="H11214" t="s">
        <v>3423</v>
      </c>
      <c r="I11214" t="s">
        <v>29</v>
      </c>
      <c r="J11214">
        <v>1</v>
      </c>
      <c r="K11214">
        <f>1-844-972-3603</f>
        <v>-5418</v>
      </c>
      <c r="L11214" t="s">
        <v>34777</v>
      </c>
      <c r="M11214" t="s">
        <v>34778</v>
      </c>
      <c r="N11214">
        <v>139</v>
      </c>
      <c r="O11214" t="s">
        <v>134</v>
      </c>
      <c r="P11214" t="s">
        <v>29</v>
      </c>
      <c r="Q11214">
        <v>41</v>
      </c>
      <c r="R11214">
        <v>-95.860799999999998</v>
      </c>
    </row>
    <row r="11215" spans="1:18" x14ac:dyDescent="0.2">
      <c r="A11215" t="s">
        <v>439</v>
      </c>
      <c r="B11215" t="s">
        <v>4321</v>
      </c>
      <c r="C11215">
        <v>1</v>
      </c>
      <c r="D11215" s="1">
        <v>44384.925150462965</v>
      </c>
      <c r="E11215" t="s">
        <v>34779</v>
      </c>
      <c r="F11215" t="s">
        <v>442</v>
      </c>
      <c r="G11215" t="s">
        <v>34780</v>
      </c>
      <c r="H11215" t="s">
        <v>444</v>
      </c>
      <c r="I11215" t="s">
        <v>29</v>
      </c>
      <c r="J11215">
        <v>1</v>
      </c>
      <c r="K11215">
        <f>1-844-957-4768</f>
        <v>-6568</v>
      </c>
      <c r="L11215" t="s">
        <v>34781</v>
      </c>
      <c r="M11215" t="s">
        <v>34782</v>
      </c>
      <c r="N11215" t="s">
        <v>447</v>
      </c>
      <c r="O11215" t="s">
        <v>28</v>
      </c>
      <c r="P11215" t="s">
        <v>29</v>
      </c>
      <c r="Q11215">
        <v>42</v>
      </c>
      <c r="R11215">
        <v>-87.629800000000003</v>
      </c>
    </row>
    <row r="11216" spans="1:18" x14ac:dyDescent="0.2">
      <c r="A11216" t="s">
        <v>663</v>
      </c>
      <c r="B11216" t="s">
        <v>5784</v>
      </c>
      <c r="C11216">
        <v>1</v>
      </c>
      <c r="D11216" s="1">
        <v>44384.965219907404</v>
      </c>
      <c r="E11216" t="s">
        <v>34783</v>
      </c>
      <c r="F11216" t="s">
        <v>666</v>
      </c>
      <c r="G11216" t="s">
        <v>34784</v>
      </c>
      <c r="H11216" t="s">
        <v>667</v>
      </c>
      <c r="I11216" t="s">
        <v>29</v>
      </c>
      <c r="J11216">
        <v>1</v>
      </c>
      <c r="K11216">
        <f>1-831-525-9266</f>
        <v>-10621</v>
      </c>
      <c r="L11216" s="2" t="s">
        <v>34785</v>
      </c>
      <c r="M11216" t="s">
        <v>34786</v>
      </c>
      <c r="N11216" t="s">
        <v>25263</v>
      </c>
      <c r="O11216" t="s">
        <v>28</v>
      </c>
      <c r="P11216" t="s">
        <v>5789</v>
      </c>
      <c r="Q11216">
        <v>13</v>
      </c>
      <c r="R11216">
        <v>77.585499999999996</v>
      </c>
    </row>
    <row r="11217" spans="1:18" x14ac:dyDescent="0.2">
      <c r="A11217" t="s">
        <v>2233</v>
      </c>
      <c r="B11217" t="s">
        <v>440</v>
      </c>
      <c r="C11217">
        <v>1</v>
      </c>
      <c r="D11217" s="1">
        <v>44384.981099537035</v>
      </c>
      <c r="E11217" t="s">
        <v>34787</v>
      </c>
      <c r="F11217" t="s">
        <v>2236</v>
      </c>
      <c r="G11217" t="s">
        <v>34788</v>
      </c>
      <c r="H11217" t="s">
        <v>2237</v>
      </c>
      <c r="I11217" t="s">
        <v>29</v>
      </c>
      <c r="J11217">
        <v>1</v>
      </c>
      <c r="K11217">
        <f>1-844-854-8040</f>
        <v>-9737</v>
      </c>
      <c r="L11217" t="s">
        <v>34789</v>
      </c>
      <c r="M11217" t="s">
        <v>34790</v>
      </c>
      <c r="N11217" t="s">
        <v>5354</v>
      </c>
      <c r="O11217" t="s">
        <v>28</v>
      </c>
      <c r="P11217" t="s">
        <v>29</v>
      </c>
      <c r="Q11217">
        <v>39</v>
      </c>
      <c r="R11217">
        <v>-77.487399999999994</v>
      </c>
    </row>
    <row r="11218" spans="1:18" x14ac:dyDescent="0.2">
      <c r="A11218" t="s">
        <v>2233</v>
      </c>
      <c r="B11218" t="s">
        <v>440</v>
      </c>
      <c r="C11218">
        <v>1</v>
      </c>
      <c r="D11218" s="1">
        <v>44384.986087962963</v>
      </c>
      <c r="E11218" t="s">
        <v>34791</v>
      </c>
      <c r="F11218" t="s">
        <v>2236</v>
      </c>
      <c r="G11218" t="s">
        <v>34792</v>
      </c>
      <c r="H11218" t="s">
        <v>2237</v>
      </c>
      <c r="I11218" t="s">
        <v>29</v>
      </c>
      <c r="J11218">
        <v>1</v>
      </c>
      <c r="K11218">
        <f>1-844-854-8040</f>
        <v>-9737</v>
      </c>
      <c r="L11218" t="s">
        <v>34793</v>
      </c>
      <c r="M11218" t="s">
        <v>34794</v>
      </c>
      <c r="N11218" t="s">
        <v>5354</v>
      </c>
      <c r="O11218" t="s">
        <v>28</v>
      </c>
      <c r="P11218" t="s">
        <v>29</v>
      </c>
      <c r="Q11218">
        <v>39</v>
      </c>
      <c r="R11218">
        <v>-77.487399999999994</v>
      </c>
    </row>
    <row r="11219" spans="1:18" x14ac:dyDescent="0.2">
      <c r="A11219" t="s">
        <v>2233</v>
      </c>
      <c r="B11219" t="s">
        <v>440</v>
      </c>
      <c r="C11219">
        <v>1</v>
      </c>
      <c r="D11219" s="1">
        <v>44384.99895833333</v>
      </c>
      <c r="E11219" t="s">
        <v>34795</v>
      </c>
      <c r="F11219" t="s">
        <v>2236</v>
      </c>
      <c r="G11219" t="s">
        <v>34796</v>
      </c>
      <c r="H11219" t="s">
        <v>2237</v>
      </c>
      <c r="I11219" t="s">
        <v>29</v>
      </c>
      <c r="J11219">
        <v>1</v>
      </c>
      <c r="K11219">
        <f>1-833-251-9056</f>
        <v>-10139</v>
      </c>
      <c r="L11219" s="2" t="s">
        <v>34797</v>
      </c>
      <c r="M11219" t="s">
        <v>34798</v>
      </c>
      <c r="N11219" t="s">
        <v>5354</v>
      </c>
      <c r="O11219" t="s">
        <v>28</v>
      </c>
      <c r="P11219" t="s">
        <v>29</v>
      </c>
      <c r="Q11219">
        <v>39</v>
      </c>
      <c r="R11219">
        <v>-77.487399999999994</v>
      </c>
    </row>
    <row r="11220" spans="1:18" x14ac:dyDescent="0.2">
      <c r="A11220" t="s">
        <v>2233</v>
      </c>
      <c r="B11220" t="s">
        <v>2234</v>
      </c>
      <c r="C11220">
        <v>1</v>
      </c>
      <c r="D11220" s="1">
        <v>44385.013807870368</v>
      </c>
      <c r="E11220" t="s">
        <v>34799</v>
      </c>
      <c r="F11220" t="s">
        <v>2236</v>
      </c>
      <c r="G11220" t="s">
        <v>34800</v>
      </c>
      <c r="H11220" t="s">
        <v>2237</v>
      </c>
      <c r="I11220" t="s">
        <v>29</v>
      </c>
      <c r="J11220">
        <v>1</v>
      </c>
      <c r="K11220">
        <f>1-844-854-8040</f>
        <v>-9737</v>
      </c>
      <c r="L11220" s="2" t="s">
        <v>34801</v>
      </c>
      <c r="M11220" t="s">
        <v>34802</v>
      </c>
      <c r="N11220" t="s">
        <v>5354</v>
      </c>
      <c r="O11220" t="s">
        <v>28</v>
      </c>
      <c r="P11220" t="s">
        <v>29</v>
      </c>
      <c r="Q11220">
        <v>40</v>
      </c>
      <c r="R11220">
        <v>-83.114099999999993</v>
      </c>
    </row>
    <row r="11221" spans="1:18" x14ac:dyDescent="0.2">
      <c r="A11221" t="s">
        <v>2233</v>
      </c>
      <c r="B11221" t="s">
        <v>27251</v>
      </c>
      <c r="C11221">
        <v>1</v>
      </c>
      <c r="D11221" s="1">
        <v>44385.055706018517</v>
      </c>
      <c r="E11221" t="s">
        <v>34803</v>
      </c>
      <c r="F11221" t="s">
        <v>2236</v>
      </c>
      <c r="G11221" t="s">
        <v>34804</v>
      </c>
      <c r="H11221" t="s">
        <v>2237</v>
      </c>
      <c r="I11221" t="s">
        <v>29</v>
      </c>
      <c r="J11221">
        <v>1</v>
      </c>
      <c r="K11221">
        <f>1-888-527-7096</f>
        <v>-8510</v>
      </c>
      <c r="L11221" s="2" t="s">
        <v>34805</v>
      </c>
      <c r="M11221" t="s">
        <v>34806</v>
      </c>
      <c r="N11221" t="s">
        <v>278</v>
      </c>
      <c r="O11221" t="s">
        <v>28</v>
      </c>
      <c r="P11221" t="s">
        <v>618</v>
      </c>
      <c r="Q11221">
        <v>53</v>
      </c>
      <c r="R11221">
        <v>-2.2426300000000001</v>
      </c>
    </row>
    <row r="11222" spans="1:18" x14ac:dyDescent="0.2">
      <c r="A11222" t="s">
        <v>663</v>
      </c>
      <c r="B11222" t="s">
        <v>5784</v>
      </c>
      <c r="C11222">
        <v>1</v>
      </c>
      <c r="D11222" s="1">
        <v>44385.687557870369</v>
      </c>
      <c r="E11222" t="s">
        <v>34807</v>
      </c>
      <c r="F11222" t="s">
        <v>666</v>
      </c>
      <c r="G11222" t="s">
        <v>34808</v>
      </c>
      <c r="H11222" t="s">
        <v>667</v>
      </c>
      <c r="I11222" t="s">
        <v>29</v>
      </c>
      <c r="J11222">
        <v>1</v>
      </c>
      <c r="K11222">
        <f>1-831-525-9271</f>
        <v>-10626</v>
      </c>
      <c r="L11222" t="s">
        <v>34809</v>
      </c>
      <c r="M11222" t="s">
        <v>34810</v>
      </c>
      <c r="N11222" t="s">
        <v>25263</v>
      </c>
      <c r="O11222" t="s">
        <v>28</v>
      </c>
      <c r="P11222" t="s">
        <v>5789</v>
      </c>
      <c r="Q11222">
        <v>13</v>
      </c>
      <c r="R11222">
        <v>77.585499999999996</v>
      </c>
    </row>
    <row r="11223" spans="1:18" x14ac:dyDescent="0.2">
      <c r="A11223" t="s">
        <v>663</v>
      </c>
      <c r="B11223" t="s">
        <v>1212</v>
      </c>
      <c r="C11223">
        <v>1</v>
      </c>
      <c r="D11223" s="1">
        <v>44385.786608796298</v>
      </c>
      <c r="E11223" t="s">
        <v>34811</v>
      </c>
      <c r="F11223" t="s">
        <v>666</v>
      </c>
      <c r="G11223" t="s">
        <v>34812</v>
      </c>
      <c r="H11223" t="s">
        <v>667</v>
      </c>
      <c r="I11223" t="s">
        <v>29</v>
      </c>
      <c r="J11223">
        <v>1</v>
      </c>
      <c r="K11223">
        <f>1-844-844-2375</f>
        <v>-4062</v>
      </c>
      <c r="L11223" t="s">
        <v>34813</v>
      </c>
      <c r="M11223" t="s">
        <v>34814</v>
      </c>
      <c r="N11223" t="s">
        <v>452</v>
      </c>
      <c r="O11223" t="s">
        <v>28</v>
      </c>
      <c r="P11223" t="s">
        <v>618</v>
      </c>
      <c r="Q11223">
        <v>52</v>
      </c>
      <c r="R11223">
        <v>-0.62150000000000005</v>
      </c>
    </row>
    <row r="11224" spans="1:18" x14ac:dyDescent="0.2">
      <c r="A11224" t="s">
        <v>663</v>
      </c>
      <c r="B11224" t="s">
        <v>5784</v>
      </c>
      <c r="C11224">
        <v>1</v>
      </c>
      <c r="D11224" s="1">
        <v>44385.78696759259</v>
      </c>
      <c r="E11224" t="s">
        <v>34815</v>
      </c>
      <c r="F11224" t="s">
        <v>666</v>
      </c>
      <c r="G11224" t="s">
        <v>34816</v>
      </c>
      <c r="H11224" t="s">
        <v>667</v>
      </c>
      <c r="I11224" t="s">
        <v>29</v>
      </c>
      <c r="J11224">
        <v>1</v>
      </c>
      <c r="K11224">
        <f>1-831-525-9266</f>
        <v>-10621</v>
      </c>
      <c r="L11224" t="s">
        <v>34817</v>
      </c>
      <c r="M11224" t="s">
        <v>34818</v>
      </c>
      <c r="N11224" t="s">
        <v>25263</v>
      </c>
      <c r="O11224" t="s">
        <v>28</v>
      </c>
      <c r="P11224" t="s">
        <v>5789</v>
      </c>
      <c r="Q11224">
        <v>13</v>
      </c>
      <c r="R11224">
        <v>77.585499999999996</v>
      </c>
    </row>
    <row r="11225" spans="1:18" x14ac:dyDescent="0.2">
      <c r="A11225" t="s">
        <v>439</v>
      </c>
      <c r="B11225" t="s">
        <v>440</v>
      </c>
      <c r="C11225">
        <v>1</v>
      </c>
      <c r="D11225" s="1">
        <v>44385.792719907404</v>
      </c>
      <c r="E11225" t="s">
        <v>34819</v>
      </c>
      <c r="F11225" t="s">
        <v>442</v>
      </c>
      <c r="G11225" t="s">
        <v>34820</v>
      </c>
      <c r="H11225" t="s">
        <v>444</v>
      </c>
      <c r="I11225" t="s">
        <v>29</v>
      </c>
      <c r="J11225">
        <v>1</v>
      </c>
      <c r="K11225">
        <f>1-855-442-7455</f>
        <v>-8751</v>
      </c>
      <c r="L11225" t="s">
        <v>34821</v>
      </c>
      <c r="M11225" t="s">
        <v>34822</v>
      </c>
      <c r="N11225" t="s">
        <v>213</v>
      </c>
      <c r="O11225" t="s">
        <v>28</v>
      </c>
      <c r="P11225" t="s">
        <v>29</v>
      </c>
      <c r="Q11225">
        <v>39</v>
      </c>
      <c r="R11225">
        <v>-77.487399999999994</v>
      </c>
    </row>
    <row r="11226" spans="1:18" x14ac:dyDescent="0.2">
      <c r="A11226" t="s">
        <v>663</v>
      </c>
      <c r="B11226" t="s">
        <v>664</v>
      </c>
      <c r="C11226">
        <v>1</v>
      </c>
      <c r="D11226" s="1">
        <v>44385.81355324074</v>
      </c>
      <c r="E11226" t="s">
        <v>34823</v>
      </c>
      <c r="F11226" t="s">
        <v>666</v>
      </c>
      <c r="G11226" t="s">
        <v>34824</v>
      </c>
      <c r="H11226" t="s">
        <v>667</v>
      </c>
      <c r="I11226" t="s">
        <v>29</v>
      </c>
      <c r="J11226">
        <v>1</v>
      </c>
      <c r="K11226">
        <f>1-844-844-2394</f>
        <v>-4081</v>
      </c>
      <c r="L11226" s="2" t="s">
        <v>34825</v>
      </c>
      <c r="M11226" t="s">
        <v>34826</v>
      </c>
      <c r="N11226" t="s">
        <v>452</v>
      </c>
      <c r="O11226" t="s">
        <v>28</v>
      </c>
      <c r="P11226" t="s">
        <v>29</v>
      </c>
      <c r="Q11226">
        <v>37</v>
      </c>
      <c r="R11226">
        <v>-99.999999000000003</v>
      </c>
    </row>
    <row r="11227" spans="1:18" x14ac:dyDescent="0.2">
      <c r="A11227" t="s">
        <v>439</v>
      </c>
      <c r="B11227" t="s">
        <v>4321</v>
      </c>
      <c r="C11227">
        <v>1</v>
      </c>
      <c r="D11227" s="1">
        <v>44385.847268518519</v>
      </c>
      <c r="E11227" t="s">
        <v>34827</v>
      </c>
      <c r="F11227" t="s">
        <v>442</v>
      </c>
      <c r="G11227" t="s">
        <v>34828</v>
      </c>
      <c r="H11227" t="s">
        <v>444</v>
      </c>
      <c r="I11227" t="s">
        <v>29</v>
      </c>
      <c r="J11227">
        <v>1</v>
      </c>
      <c r="K11227">
        <f>1-866-329-1208</f>
        <v>-2402</v>
      </c>
      <c r="L11227" s="2" t="s">
        <v>34829</v>
      </c>
      <c r="M11227" t="s">
        <v>34830</v>
      </c>
      <c r="N11227" t="s">
        <v>213</v>
      </c>
      <c r="O11227" t="s">
        <v>28</v>
      </c>
      <c r="P11227" t="s">
        <v>29</v>
      </c>
      <c r="Q11227">
        <v>42</v>
      </c>
      <c r="R11227">
        <v>-87.629800000000003</v>
      </c>
    </row>
    <row r="11228" spans="1:18" x14ac:dyDescent="0.2">
      <c r="A11228" t="s">
        <v>663</v>
      </c>
      <c r="B11228" t="s">
        <v>454</v>
      </c>
      <c r="C11228">
        <v>1</v>
      </c>
      <c r="D11228" s="1">
        <v>44385.853391203702</v>
      </c>
      <c r="E11228" t="s">
        <v>34831</v>
      </c>
      <c r="F11228" t="s">
        <v>666</v>
      </c>
      <c r="G11228" t="s">
        <v>34831</v>
      </c>
      <c r="H11228" t="s">
        <v>667</v>
      </c>
      <c r="I11228" t="s">
        <v>29</v>
      </c>
      <c r="J11228">
        <v>1</v>
      </c>
      <c r="K11228">
        <f>1-888-690-7111</f>
        <v>-8688</v>
      </c>
      <c r="L11228" s="2" t="s">
        <v>34832</v>
      </c>
      <c r="M11228" t="s">
        <v>34833</v>
      </c>
      <c r="N11228">
        <v>45</v>
      </c>
      <c r="O11228" t="s">
        <v>134</v>
      </c>
      <c r="P11228" t="s">
        <v>461</v>
      </c>
      <c r="Q11228">
        <v>52</v>
      </c>
      <c r="R11228">
        <v>4.9391999999999996</v>
      </c>
    </row>
    <row r="11229" spans="1:18" x14ac:dyDescent="0.2">
      <c r="A11229" t="s">
        <v>663</v>
      </c>
      <c r="B11229" t="s">
        <v>1212</v>
      </c>
      <c r="C11229">
        <v>1</v>
      </c>
      <c r="D11229" s="1">
        <v>44385.88</v>
      </c>
      <c r="E11229" t="s">
        <v>34834</v>
      </c>
      <c r="F11229" t="s">
        <v>666</v>
      </c>
      <c r="G11229" t="s">
        <v>34835</v>
      </c>
      <c r="H11229" t="s">
        <v>667</v>
      </c>
      <c r="I11229" t="s">
        <v>29</v>
      </c>
      <c r="J11229">
        <v>1</v>
      </c>
      <c r="K11229">
        <f>1-844-844-2375</f>
        <v>-4062</v>
      </c>
      <c r="L11229" t="s">
        <v>34836</v>
      </c>
      <c r="M11229" t="s">
        <v>34837</v>
      </c>
      <c r="N11229" t="s">
        <v>452</v>
      </c>
      <c r="O11229" t="s">
        <v>28</v>
      </c>
      <c r="P11229" t="s">
        <v>618</v>
      </c>
      <c r="Q11229">
        <v>52</v>
      </c>
      <c r="R11229">
        <v>-0.62150000000000005</v>
      </c>
    </row>
    <row r="11230" spans="1:18" x14ac:dyDescent="0.2">
      <c r="A11230" t="s">
        <v>439</v>
      </c>
      <c r="B11230" t="s">
        <v>440</v>
      </c>
      <c r="C11230">
        <v>1</v>
      </c>
      <c r="D11230" s="1">
        <v>44385.952511574076</v>
      </c>
      <c r="E11230" t="s">
        <v>34838</v>
      </c>
      <c r="F11230" t="s">
        <v>442</v>
      </c>
      <c r="G11230" t="s">
        <v>34839</v>
      </c>
      <c r="H11230" t="s">
        <v>444</v>
      </c>
      <c r="I11230" t="s">
        <v>29</v>
      </c>
      <c r="J11230">
        <v>1</v>
      </c>
      <c r="K11230">
        <f>1-855-754-1933</f>
        <v>-3541</v>
      </c>
      <c r="L11230" s="2" t="s">
        <v>34840</v>
      </c>
      <c r="M11230" t="s">
        <v>34841</v>
      </c>
      <c r="N11230" t="s">
        <v>447</v>
      </c>
      <c r="O11230" t="s">
        <v>28</v>
      </c>
      <c r="P11230" t="s">
        <v>29</v>
      </c>
      <c r="Q11230">
        <v>39</v>
      </c>
      <c r="R11230">
        <v>-77.487399999999994</v>
      </c>
    </row>
    <row r="11231" spans="1:18" x14ac:dyDescent="0.2">
      <c r="A11231" t="s">
        <v>663</v>
      </c>
      <c r="B11231" t="s">
        <v>1212</v>
      </c>
      <c r="C11231">
        <v>1</v>
      </c>
      <c r="D11231" s="1">
        <v>44385.962962962964</v>
      </c>
      <c r="E11231" t="s">
        <v>34842</v>
      </c>
      <c r="F11231" t="s">
        <v>666</v>
      </c>
      <c r="G11231" t="s">
        <v>34843</v>
      </c>
      <c r="H11231" t="s">
        <v>667</v>
      </c>
      <c r="I11231" t="s">
        <v>29</v>
      </c>
      <c r="J11231">
        <v>1</v>
      </c>
      <c r="K11231">
        <f>1-844-844-2383</f>
        <v>-4070</v>
      </c>
      <c r="L11231" s="2" t="s">
        <v>34844</v>
      </c>
      <c r="M11231" t="s">
        <v>34845</v>
      </c>
      <c r="N11231" t="s">
        <v>452</v>
      </c>
      <c r="O11231" t="s">
        <v>28</v>
      </c>
      <c r="P11231" t="s">
        <v>618</v>
      </c>
      <c r="Q11231">
        <v>52</v>
      </c>
      <c r="R11231">
        <v>-0.62150000000000005</v>
      </c>
    </row>
    <row r="11232" spans="1:18" x14ac:dyDescent="0.2">
      <c r="A11232" t="s">
        <v>439</v>
      </c>
      <c r="B11232" t="s">
        <v>4321</v>
      </c>
      <c r="C11232">
        <v>1</v>
      </c>
      <c r="D11232" s="1">
        <v>44385.91</v>
      </c>
      <c r="E11232" t="s">
        <v>34846</v>
      </c>
      <c r="F11232" t="s">
        <v>442</v>
      </c>
      <c r="G11232" t="s">
        <v>34847</v>
      </c>
      <c r="H11232" t="s">
        <v>444</v>
      </c>
      <c r="I11232" t="s">
        <v>29</v>
      </c>
      <c r="J11232">
        <v>1</v>
      </c>
      <c r="K11232">
        <f>1-855-930-6201</f>
        <v>-7985</v>
      </c>
      <c r="L11232" s="2" t="s">
        <v>34848</v>
      </c>
      <c r="M11232" t="s">
        <v>34849</v>
      </c>
      <c r="N11232" t="s">
        <v>447</v>
      </c>
      <c r="O11232" t="s">
        <v>28</v>
      </c>
      <c r="P11232" t="s">
        <v>29</v>
      </c>
      <c r="Q11232">
        <v>42</v>
      </c>
      <c r="R11232">
        <v>-87.629800000000003</v>
      </c>
    </row>
    <row r="11233" spans="1:18" x14ac:dyDescent="0.2">
      <c r="A11233" t="s">
        <v>439</v>
      </c>
      <c r="B11233" t="s">
        <v>4321</v>
      </c>
      <c r="C11233">
        <v>1</v>
      </c>
      <c r="D11233" s="1">
        <v>44385.911597222221</v>
      </c>
      <c r="E11233" t="s">
        <v>34850</v>
      </c>
      <c r="F11233" t="s">
        <v>442</v>
      </c>
      <c r="G11233" t="s">
        <v>34851</v>
      </c>
      <c r="H11233" t="s">
        <v>444</v>
      </c>
      <c r="I11233" t="s">
        <v>29</v>
      </c>
      <c r="J11233">
        <v>1</v>
      </c>
      <c r="K11233">
        <f>1-844-781-1591</f>
        <v>-3215</v>
      </c>
      <c r="L11233" s="2" t="s">
        <v>34852</v>
      </c>
      <c r="M11233" t="s">
        <v>34853</v>
      </c>
      <c r="N11233" t="s">
        <v>447</v>
      </c>
      <c r="O11233" t="s">
        <v>28</v>
      </c>
      <c r="P11233" t="s">
        <v>29</v>
      </c>
      <c r="Q11233">
        <v>42</v>
      </c>
      <c r="R11233">
        <v>-87.629800000000003</v>
      </c>
    </row>
    <row r="11234" spans="1:18" x14ac:dyDescent="0.2">
      <c r="A11234" t="s">
        <v>439</v>
      </c>
      <c r="B11234" t="s">
        <v>4321</v>
      </c>
      <c r="C11234">
        <v>1</v>
      </c>
      <c r="D11234" s="1">
        <v>44385.913472222222</v>
      </c>
      <c r="E11234" t="s">
        <v>34854</v>
      </c>
      <c r="F11234" t="s">
        <v>442</v>
      </c>
      <c r="G11234" t="s">
        <v>34855</v>
      </c>
      <c r="H11234" t="s">
        <v>444</v>
      </c>
      <c r="I11234" t="s">
        <v>29</v>
      </c>
      <c r="J11234">
        <v>1</v>
      </c>
      <c r="K11234">
        <f>1-844-781-1595</f>
        <v>-3219</v>
      </c>
      <c r="L11234" s="2" t="s">
        <v>34856</v>
      </c>
      <c r="M11234" t="s">
        <v>34857</v>
      </c>
      <c r="N11234" t="s">
        <v>213</v>
      </c>
      <c r="O11234" t="s">
        <v>28</v>
      </c>
      <c r="P11234" t="s">
        <v>29</v>
      </c>
      <c r="Q11234">
        <v>42</v>
      </c>
      <c r="R11234">
        <v>-87.629800000000003</v>
      </c>
    </row>
    <row r="11235" spans="1:18" x14ac:dyDescent="0.2">
      <c r="A11235" t="s">
        <v>439</v>
      </c>
      <c r="B11235" t="s">
        <v>4321</v>
      </c>
      <c r="C11235">
        <v>1</v>
      </c>
      <c r="D11235" s="1">
        <v>44385.928865740738</v>
      </c>
      <c r="E11235" t="s">
        <v>34858</v>
      </c>
      <c r="F11235" t="s">
        <v>442</v>
      </c>
      <c r="G11235" t="s">
        <v>34859</v>
      </c>
      <c r="H11235" t="s">
        <v>444</v>
      </c>
      <c r="I11235" t="s">
        <v>29</v>
      </c>
      <c r="J11235">
        <v>1</v>
      </c>
      <c r="K11235">
        <f>1-844-791-2317</f>
        <v>-3951</v>
      </c>
      <c r="L11235" t="s">
        <v>34860</v>
      </c>
      <c r="M11235" t="s">
        <v>34861</v>
      </c>
      <c r="N11235" t="s">
        <v>447</v>
      </c>
      <c r="O11235" t="s">
        <v>28</v>
      </c>
      <c r="P11235" t="s">
        <v>29</v>
      </c>
      <c r="Q11235">
        <v>42</v>
      </c>
      <c r="R11235">
        <v>-87.629800000000003</v>
      </c>
    </row>
    <row r="11236" spans="1:18" x14ac:dyDescent="0.2">
      <c r="A11236" t="s">
        <v>439</v>
      </c>
      <c r="B11236" t="s">
        <v>440</v>
      </c>
      <c r="C11236">
        <v>1</v>
      </c>
      <c r="D11236" s="1">
        <v>44385.937789351854</v>
      </c>
      <c r="E11236" t="s">
        <v>34862</v>
      </c>
      <c r="F11236" t="s">
        <v>442</v>
      </c>
      <c r="G11236" t="s">
        <v>34863</v>
      </c>
      <c r="H11236" t="s">
        <v>444</v>
      </c>
      <c r="I11236" t="s">
        <v>29</v>
      </c>
      <c r="J11236">
        <v>1</v>
      </c>
      <c r="K11236">
        <f>1-855-741-3676</f>
        <v>-5271</v>
      </c>
      <c r="L11236" s="2" t="s">
        <v>34864</v>
      </c>
      <c r="M11236" t="s">
        <v>34865</v>
      </c>
      <c r="N11236" t="s">
        <v>213</v>
      </c>
      <c r="O11236" t="s">
        <v>28</v>
      </c>
      <c r="P11236" t="s">
        <v>29</v>
      </c>
      <c r="Q11236">
        <v>39</v>
      </c>
      <c r="R11236">
        <v>-77.487399999999994</v>
      </c>
    </row>
    <row r="11237" spans="1:18" x14ac:dyDescent="0.2">
      <c r="A11237" t="s">
        <v>439</v>
      </c>
      <c r="B11237" t="s">
        <v>6134</v>
      </c>
      <c r="C11237">
        <v>1</v>
      </c>
      <c r="D11237" s="1">
        <v>44385.944814814815</v>
      </c>
      <c r="E11237" t="s">
        <v>34866</v>
      </c>
      <c r="F11237" t="s">
        <v>442</v>
      </c>
      <c r="G11237" t="s">
        <v>34867</v>
      </c>
      <c r="H11237" t="s">
        <v>444</v>
      </c>
      <c r="I11237" t="s">
        <v>29</v>
      </c>
      <c r="J11237">
        <v>1</v>
      </c>
      <c r="K11237">
        <f>1-877-794-1189</f>
        <v>-2859</v>
      </c>
      <c r="L11237" s="2" t="s">
        <v>34868</v>
      </c>
      <c r="M11237" t="s">
        <v>34869</v>
      </c>
      <c r="N11237" t="s">
        <v>213</v>
      </c>
      <c r="O11237" t="s">
        <v>28</v>
      </c>
      <c r="P11237" t="s">
        <v>29</v>
      </c>
      <c r="Q11237">
        <v>33</v>
      </c>
      <c r="R11237">
        <v>-96.796999999999997</v>
      </c>
    </row>
    <row r="11238" spans="1:18" x14ac:dyDescent="0.2">
      <c r="A11238" t="s">
        <v>439</v>
      </c>
      <c r="B11238" t="s">
        <v>440</v>
      </c>
      <c r="C11238">
        <v>1</v>
      </c>
      <c r="D11238" s="1">
        <v>44386.002523148149</v>
      </c>
      <c r="E11238" t="s">
        <v>34870</v>
      </c>
      <c r="F11238" t="s">
        <v>442</v>
      </c>
      <c r="G11238" t="s">
        <v>34871</v>
      </c>
      <c r="H11238" t="s">
        <v>444</v>
      </c>
      <c r="I11238" t="s">
        <v>29</v>
      </c>
      <c r="J11238">
        <v>1</v>
      </c>
      <c r="K11238">
        <f>1-833-699-2177</f>
        <v>-3708</v>
      </c>
      <c r="L11238" s="2" t="s">
        <v>34872</v>
      </c>
      <c r="M11238" t="s">
        <v>34873</v>
      </c>
      <c r="N11238" t="s">
        <v>213</v>
      </c>
      <c r="O11238" t="s">
        <v>134</v>
      </c>
      <c r="P11238" t="s">
        <v>29</v>
      </c>
      <c r="Q11238">
        <v>39</v>
      </c>
      <c r="R11238">
        <v>-77.487399999999994</v>
      </c>
    </row>
    <row r="11239" spans="1:18" x14ac:dyDescent="0.2">
      <c r="A11239" t="s">
        <v>663</v>
      </c>
      <c r="B11239" t="s">
        <v>5784</v>
      </c>
      <c r="C11239">
        <v>1</v>
      </c>
      <c r="D11239" s="1">
        <v>44386.723379629628</v>
      </c>
      <c r="E11239" t="s">
        <v>34874</v>
      </c>
      <c r="F11239" t="s">
        <v>666</v>
      </c>
      <c r="G11239" t="s">
        <v>34875</v>
      </c>
      <c r="H11239" t="s">
        <v>667</v>
      </c>
      <c r="I11239" t="s">
        <v>29</v>
      </c>
      <c r="J11239">
        <v>1</v>
      </c>
      <c r="K11239">
        <f>1-808-444-5253</f>
        <v>-6504</v>
      </c>
      <c r="L11239" s="2" t="s">
        <v>34876</v>
      </c>
      <c r="M11239" t="s">
        <v>34877</v>
      </c>
      <c r="N11239" t="s">
        <v>25263</v>
      </c>
      <c r="O11239" t="s">
        <v>28</v>
      </c>
      <c r="P11239" t="s">
        <v>5789</v>
      </c>
      <c r="Q11239">
        <v>13</v>
      </c>
      <c r="R11239">
        <v>77.585499999999996</v>
      </c>
    </row>
    <row r="11240" spans="1:18" x14ac:dyDescent="0.2">
      <c r="A11240" t="s">
        <v>663</v>
      </c>
      <c r="B11240" t="s">
        <v>1212</v>
      </c>
      <c r="C11240">
        <v>1</v>
      </c>
      <c r="D11240" s="1">
        <v>44386.75273148148</v>
      </c>
      <c r="E11240" t="s">
        <v>34878</v>
      </c>
      <c r="F11240" t="s">
        <v>666</v>
      </c>
      <c r="G11240" t="s">
        <v>34879</v>
      </c>
      <c r="H11240" t="s">
        <v>667</v>
      </c>
      <c r="I11240" t="s">
        <v>29</v>
      </c>
      <c r="J11240">
        <v>1</v>
      </c>
      <c r="K11240">
        <f>1-844-844-991</f>
        <v>-2678</v>
      </c>
      <c r="L11240" s="2" t="s">
        <v>34880</v>
      </c>
      <c r="M11240" t="s">
        <v>34881</v>
      </c>
      <c r="N11240" t="s">
        <v>452</v>
      </c>
      <c r="O11240" t="s">
        <v>28</v>
      </c>
      <c r="P11240" t="s">
        <v>618</v>
      </c>
      <c r="Q11240">
        <v>52</v>
      </c>
      <c r="R11240">
        <v>-0.62150000000000005</v>
      </c>
    </row>
    <row r="11241" spans="1:18" x14ac:dyDescent="0.2">
      <c r="A11241" t="s">
        <v>663</v>
      </c>
      <c r="B11241" t="s">
        <v>1212</v>
      </c>
      <c r="C11241">
        <v>1</v>
      </c>
      <c r="D11241" s="1">
        <v>44386.753125000003</v>
      </c>
      <c r="E11241" t="s">
        <v>34882</v>
      </c>
      <c r="F11241" t="s">
        <v>666</v>
      </c>
      <c r="G11241" t="s">
        <v>34883</v>
      </c>
      <c r="H11241" t="s">
        <v>667</v>
      </c>
      <c r="I11241" t="s">
        <v>29</v>
      </c>
      <c r="J11241">
        <v>1</v>
      </c>
      <c r="K11241">
        <f>1-844-844-585</f>
        <v>-2272</v>
      </c>
      <c r="L11241" s="2" t="s">
        <v>34884</v>
      </c>
      <c r="M11241" t="s">
        <v>34885</v>
      </c>
      <c r="N11241" t="s">
        <v>452</v>
      </c>
      <c r="O11241" t="s">
        <v>28</v>
      </c>
      <c r="P11241" t="s">
        <v>618</v>
      </c>
      <c r="Q11241">
        <v>52</v>
      </c>
      <c r="R11241">
        <v>-0.62150000000000005</v>
      </c>
    </row>
    <row r="11242" spans="1:18" x14ac:dyDescent="0.2">
      <c r="A11242" t="s">
        <v>439</v>
      </c>
      <c r="B11242" t="s">
        <v>4321</v>
      </c>
      <c r="C11242">
        <v>1</v>
      </c>
      <c r="D11242" s="1">
        <v>44386.762395833335</v>
      </c>
      <c r="E11242" t="s">
        <v>34886</v>
      </c>
      <c r="F11242" t="s">
        <v>442</v>
      </c>
      <c r="G11242" t="s">
        <v>34887</v>
      </c>
      <c r="H11242" t="s">
        <v>444</v>
      </c>
      <c r="I11242" t="s">
        <v>29</v>
      </c>
      <c r="J11242">
        <v>1</v>
      </c>
      <c r="K11242">
        <f>1-866-326-1664</f>
        <v>-2855</v>
      </c>
      <c r="L11242" s="2" t="s">
        <v>34888</v>
      </c>
      <c r="M11242" t="s">
        <v>34889</v>
      </c>
      <c r="N11242" t="s">
        <v>447</v>
      </c>
      <c r="O11242" t="s">
        <v>28</v>
      </c>
      <c r="P11242" t="s">
        <v>29</v>
      </c>
      <c r="Q11242">
        <v>42</v>
      </c>
      <c r="R11242">
        <v>-87.629800000000003</v>
      </c>
    </row>
    <row r="11243" spans="1:18" x14ac:dyDescent="0.2">
      <c r="A11243" t="s">
        <v>439</v>
      </c>
      <c r="B11243" t="s">
        <v>4321</v>
      </c>
      <c r="C11243">
        <v>1</v>
      </c>
      <c r="D11243" s="1">
        <v>44386.764560185184</v>
      </c>
      <c r="E11243" t="s">
        <v>34890</v>
      </c>
      <c r="F11243" t="s">
        <v>442</v>
      </c>
      <c r="G11243" t="s">
        <v>34891</v>
      </c>
      <c r="H11243" t="s">
        <v>444</v>
      </c>
      <c r="I11243" t="s">
        <v>29</v>
      </c>
      <c r="J11243">
        <v>1</v>
      </c>
      <c r="K11243">
        <f>1-844-731-8936</f>
        <v>-10510</v>
      </c>
      <c r="L11243" s="2" t="s">
        <v>34892</v>
      </c>
      <c r="M11243" t="s">
        <v>34893</v>
      </c>
      <c r="N11243" t="s">
        <v>447</v>
      </c>
      <c r="O11243" t="s">
        <v>28</v>
      </c>
      <c r="P11243" t="s">
        <v>29</v>
      </c>
      <c r="Q11243">
        <v>42</v>
      </c>
      <c r="R11243">
        <v>-87.629800000000003</v>
      </c>
    </row>
    <row r="11244" spans="1:18" x14ac:dyDescent="0.2">
      <c r="A11244" t="s">
        <v>663</v>
      </c>
      <c r="B11244" t="s">
        <v>1212</v>
      </c>
      <c r="C11244">
        <v>1</v>
      </c>
      <c r="D11244" s="1">
        <v>44386.807152777779</v>
      </c>
      <c r="E11244" t="s">
        <v>34894</v>
      </c>
      <c r="F11244" t="s">
        <v>666</v>
      </c>
      <c r="G11244" t="s">
        <v>34895</v>
      </c>
      <c r="H11244" t="s">
        <v>667</v>
      </c>
      <c r="I11244" t="s">
        <v>29</v>
      </c>
      <c r="J11244">
        <v>1</v>
      </c>
      <c r="K11244">
        <f>1-844-844-585</f>
        <v>-2272</v>
      </c>
      <c r="L11244" s="2" t="s">
        <v>34896</v>
      </c>
      <c r="M11244" t="s">
        <v>34897</v>
      </c>
      <c r="N11244" t="s">
        <v>452</v>
      </c>
      <c r="O11244" t="s">
        <v>28</v>
      </c>
      <c r="P11244" t="s">
        <v>618</v>
      </c>
      <c r="Q11244">
        <v>52</v>
      </c>
      <c r="R11244">
        <v>-0.62150000000000005</v>
      </c>
    </row>
    <row r="11245" spans="1:18" x14ac:dyDescent="0.2">
      <c r="A11245" t="s">
        <v>439</v>
      </c>
      <c r="B11245" t="s">
        <v>4321</v>
      </c>
      <c r="C11245">
        <v>1</v>
      </c>
      <c r="D11245" s="1">
        <v>44386.807974537034</v>
      </c>
      <c r="E11245" t="s">
        <v>34898</v>
      </c>
      <c r="F11245" t="s">
        <v>442</v>
      </c>
      <c r="G11245" t="s">
        <v>34899</v>
      </c>
      <c r="H11245" t="s">
        <v>444</v>
      </c>
      <c r="I11245" t="s">
        <v>29</v>
      </c>
      <c r="J11245">
        <v>1</v>
      </c>
      <c r="K11245">
        <f>1-833-341-2372</f>
        <v>-3545</v>
      </c>
      <c r="L11245" s="2" t="s">
        <v>34900</v>
      </c>
      <c r="M11245" t="s">
        <v>34901</v>
      </c>
      <c r="N11245" t="s">
        <v>213</v>
      </c>
      <c r="O11245" t="s">
        <v>28</v>
      </c>
      <c r="P11245" t="s">
        <v>29</v>
      </c>
      <c r="Q11245">
        <v>42</v>
      </c>
      <c r="R11245">
        <v>-87.629800000000003</v>
      </c>
    </row>
    <row r="11246" spans="1:18" x14ac:dyDescent="0.2">
      <c r="A11246" t="s">
        <v>439</v>
      </c>
      <c r="B11246" t="s">
        <v>4321</v>
      </c>
      <c r="C11246">
        <v>1</v>
      </c>
      <c r="D11246" s="1">
        <v>44386.831944444442</v>
      </c>
      <c r="E11246" t="s">
        <v>34902</v>
      </c>
      <c r="F11246" t="s">
        <v>442</v>
      </c>
      <c r="G11246" t="s">
        <v>34903</v>
      </c>
      <c r="H11246" t="s">
        <v>444</v>
      </c>
      <c r="I11246" t="s">
        <v>29</v>
      </c>
      <c r="J11246">
        <v>1</v>
      </c>
      <c r="K11246">
        <f>1-855-584-2821</f>
        <v>-4259</v>
      </c>
      <c r="L11246" t="s">
        <v>34904</v>
      </c>
      <c r="M11246" t="s">
        <v>34905</v>
      </c>
      <c r="N11246" t="s">
        <v>213</v>
      </c>
      <c r="O11246" t="s">
        <v>28</v>
      </c>
      <c r="P11246" t="s">
        <v>29</v>
      </c>
      <c r="Q11246">
        <v>42</v>
      </c>
      <c r="R11246">
        <v>-87.629800000000003</v>
      </c>
    </row>
    <row r="11247" spans="1:18" x14ac:dyDescent="0.2">
      <c r="A11247" t="s">
        <v>2233</v>
      </c>
      <c r="B11247" t="s">
        <v>1212</v>
      </c>
      <c r="C11247">
        <v>1</v>
      </c>
      <c r="D11247" s="1">
        <v>44386.975624999999</v>
      </c>
      <c r="E11247" t="s">
        <v>34906</v>
      </c>
      <c r="F11247" t="s">
        <v>6618</v>
      </c>
      <c r="G11247" t="s">
        <v>34907</v>
      </c>
      <c r="H11247" t="s">
        <v>2237</v>
      </c>
      <c r="I11247" t="s">
        <v>29</v>
      </c>
      <c r="J11247">
        <v>1</v>
      </c>
      <c r="K11247">
        <f>1-866-407-3498</f>
        <v>-4770</v>
      </c>
      <c r="L11247" t="s">
        <v>34908</v>
      </c>
      <c r="M11247" t="s">
        <v>34909</v>
      </c>
      <c r="N11247" t="s">
        <v>278</v>
      </c>
      <c r="O11247" t="s">
        <v>28</v>
      </c>
      <c r="P11247" t="s">
        <v>618</v>
      </c>
      <c r="Q11247">
        <v>52</v>
      </c>
      <c r="R11247">
        <v>-0.12775800000000001</v>
      </c>
    </row>
    <row r="11248" spans="1:18" x14ac:dyDescent="0.2">
      <c r="A11248" t="s">
        <v>663</v>
      </c>
      <c r="B11248" t="s">
        <v>454</v>
      </c>
      <c r="C11248">
        <v>81</v>
      </c>
      <c r="D11248" s="1">
        <v>44386.998518518521</v>
      </c>
      <c r="E11248" t="s">
        <v>34910</v>
      </c>
      <c r="F11248" t="s">
        <v>666</v>
      </c>
      <c r="G11248" t="s">
        <v>34911</v>
      </c>
      <c r="H11248" t="s">
        <v>667</v>
      </c>
      <c r="I11248" t="s">
        <v>53</v>
      </c>
      <c r="J11248">
        <v>81</v>
      </c>
      <c r="K11248">
        <f>81-50-5532-873</f>
        <v>-6374</v>
      </c>
      <c r="L11248" t="s">
        <v>34912</v>
      </c>
      <c r="M11248" t="s">
        <v>34913</v>
      </c>
      <c r="N11248" t="s">
        <v>2475</v>
      </c>
      <c r="O11248" t="s">
        <v>28</v>
      </c>
      <c r="P11248" t="s">
        <v>461</v>
      </c>
      <c r="Q11248">
        <v>52</v>
      </c>
      <c r="R11248">
        <v>4.9391999999999996</v>
      </c>
    </row>
    <row r="11249" spans="1:18" x14ac:dyDescent="0.2">
      <c r="A11249" t="s">
        <v>439</v>
      </c>
      <c r="B11249" t="s">
        <v>440</v>
      </c>
      <c r="C11249">
        <v>1</v>
      </c>
      <c r="D11249" s="1">
        <v>44387.161400462966</v>
      </c>
      <c r="E11249" t="s">
        <v>34914</v>
      </c>
      <c r="F11249" t="s">
        <v>442</v>
      </c>
      <c r="G11249" t="s">
        <v>34915</v>
      </c>
      <c r="H11249" t="s">
        <v>444</v>
      </c>
      <c r="I11249" t="s">
        <v>29</v>
      </c>
      <c r="J11249">
        <v>1</v>
      </c>
      <c r="K11249">
        <f>1-866-341-123</f>
        <v>-1329</v>
      </c>
      <c r="L11249" t="s">
        <v>34916</v>
      </c>
      <c r="M11249" t="s">
        <v>34917</v>
      </c>
      <c r="N11249" t="s">
        <v>447</v>
      </c>
      <c r="O11249" t="s">
        <v>28</v>
      </c>
      <c r="P11249" t="s">
        <v>29</v>
      </c>
      <c r="Q11249">
        <v>39</v>
      </c>
      <c r="R11249">
        <v>-77.487399999999994</v>
      </c>
    </row>
    <row r="11250" spans="1:18" x14ac:dyDescent="0.2">
      <c r="A11250" t="s">
        <v>439</v>
      </c>
      <c r="B11250" t="s">
        <v>440</v>
      </c>
      <c r="C11250">
        <v>1</v>
      </c>
      <c r="D11250" s="1">
        <v>44387.819062499999</v>
      </c>
      <c r="E11250" t="s">
        <v>34918</v>
      </c>
      <c r="F11250" t="s">
        <v>442</v>
      </c>
      <c r="G11250" t="s">
        <v>34919</v>
      </c>
      <c r="H11250" t="s">
        <v>444</v>
      </c>
      <c r="I11250" t="s">
        <v>29</v>
      </c>
      <c r="J11250">
        <v>1</v>
      </c>
      <c r="K11250">
        <f>1-855-928-1676</f>
        <v>-3458</v>
      </c>
      <c r="L11250" t="s">
        <v>34920</v>
      </c>
      <c r="M11250" t="s">
        <v>34921</v>
      </c>
      <c r="N11250" t="s">
        <v>213</v>
      </c>
      <c r="O11250" t="s">
        <v>28</v>
      </c>
      <c r="P11250" t="s">
        <v>29</v>
      </c>
      <c r="Q11250">
        <v>39</v>
      </c>
      <c r="R11250">
        <v>-77.487399999999994</v>
      </c>
    </row>
    <row r="11251" spans="1:18" x14ac:dyDescent="0.2">
      <c r="A11251" t="s">
        <v>439</v>
      </c>
      <c r="B11251" t="s">
        <v>4321</v>
      </c>
      <c r="C11251">
        <v>1</v>
      </c>
      <c r="D11251" s="1">
        <v>44387.833067129628</v>
      </c>
      <c r="E11251" t="s">
        <v>34922</v>
      </c>
      <c r="F11251" t="s">
        <v>442</v>
      </c>
      <c r="G11251" t="s">
        <v>34923</v>
      </c>
      <c r="H11251" t="s">
        <v>444</v>
      </c>
      <c r="I11251" t="s">
        <v>29</v>
      </c>
      <c r="J11251">
        <v>1</v>
      </c>
      <c r="K11251">
        <f>1-866-341-123</f>
        <v>-1329</v>
      </c>
      <c r="L11251" t="s">
        <v>34924</v>
      </c>
      <c r="M11251" t="s">
        <v>34925</v>
      </c>
      <c r="N11251" t="s">
        <v>447</v>
      </c>
      <c r="O11251" t="s">
        <v>28</v>
      </c>
      <c r="P11251" t="s">
        <v>29</v>
      </c>
      <c r="Q11251">
        <v>42</v>
      </c>
      <c r="R11251">
        <v>-87.629800000000003</v>
      </c>
    </row>
    <row r="11252" spans="1:18" x14ac:dyDescent="0.2">
      <c r="A11252" t="s">
        <v>439</v>
      </c>
      <c r="B11252" t="s">
        <v>6134</v>
      </c>
      <c r="C11252">
        <v>1</v>
      </c>
      <c r="D11252" s="1">
        <v>44387.871145833335</v>
      </c>
      <c r="E11252" t="s">
        <v>34926</v>
      </c>
      <c r="F11252" t="s">
        <v>442</v>
      </c>
      <c r="G11252" t="s">
        <v>34927</v>
      </c>
      <c r="H11252" t="s">
        <v>444</v>
      </c>
      <c r="I11252" t="s">
        <v>29</v>
      </c>
      <c r="J11252">
        <v>1</v>
      </c>
      <c r="K11252">
        <f>1-877-344-307</f>
        <v>-1527</v>
      </c>
      <c r="L11252" t="s">
        <v>34928</v>
      </c>
      <c r="M11252" t="s">
        <v>34929</v>
      </c>
      <c r="N11252" t="s">
        <v>213</v>
      </c>
      <c r="O11252" t="s">
        <v>28</v>
      </c>
      <c r="P11252" t="s">
        <v>29</v>
      </c>
      <c r="Q11252">
        <v>33</v>
      </c>
      <c r="R11252">
        <v>-96.796999999999997</v>
      </c>
    </row>
    <row r="11253" spans="1:18" x14ac:dyDescent="0.2">
      <c r="A11253" t="s">
        <v>439</v>
      </c>
      <c r="B11253" t="s">
        <v>1412</v>
      </c>
      <c r="C11253">
        <v>1</v>
      </c>
      <c r="D11253" s="1">
        <v>44387.882754629631</v>
      </c>
      <c r="E11253" t="s">
        <v>34930</v>
      </c>
      <c r="F11253" t="s">
        <v>442</v>
      </c>
      <c r="G11253" t="s">
        <v>34931</v>
      </c>
      <c r="H11253" t="s">
        <v>444</v>
      </c>
      <c r="I11253" t="s">
        <v>29</v>
      </c>
      <c r="J11253">
        <v>1</v>
      </c>
      <c r="K11253">
        <f>1-877-537-626</f>
        <v>-2039</v>
      </c>
      <c r="L11253" t="s">
        <v>34932</v>
      </c>
      <c r="M11253" t="s">
        <v>34933</v>
      </c>
      <c r="N11253" t="s">
        <v>447</v>
      </c>
      <c r="O11253" t="s">
        <v>28</v>
      </c>
      <c r="P11253" t="s">
        <v>29</v>
      </c>
      <c r="Q11253">
        <v>41</v>
      </c>
      <c r="R11253">
        <v>-74.172399999999996</v>
      </c>
    </row>
    <row r="11254" spans="1:18" x14ac:dyDescent="0.2">
      <c r="A11254" t="s">
        <v>439</v>
      </c>
      <c r="B11254" t="s">
        <v>4321</v>
      </c>
      <c r="C11254">
        <v>1</v>
      </c>
      <c r="D11254" s="1">
        <v>44387.903171296297</v>
      </c>
      <c r="E11254" t="s">
        <v>34934</v>
      </c>
      <c r="F11254" t="s">
        <v>442</v>
      </c>
      <c r="G11254" t="s">
        <v>34935</v>
      </c>
      <c r="H11254" t="s">
        <v>444</v>
      </c>
      <c r="I11254" t="s">
        <v>29</v>
      </c>
      <c r="J11254">
        <v>1</v>
      </c>
      <c r="K11254">
        <f>1-866-989-1062</f>
        <v>-2916</v>
      </c>
      <c r="L11254" t="s">
        <v>34936</v>
      </c>
      <c r="M11254" t="s">
        <v>34937</v>
      </c>
      <c r="N11254" t="s">
        <v>447</v>
      </c>
      <c r="O11254" t="s">
        <v>28</v>
      </c>
      <c r="P11254" t="s">
        <v>29</v>
      </c>
      <c r="Q11254">
        <v>42</v>
      </c>
      <c r="R11254">
        <v>-87.629800000000003</v>
      </c>
    </row>
    <row r="11255" spans="1:18" x14ac:dyDescent="0.2">
      <c r="A11255" t="s">
        <v>663</v>
      </c>
      <c r="B11255" t="s">
        <v>1212</v>
      </c>
      <c r="C11255">
        <v>1</v>
      </c>
      <c r="D11255" s="1">
        <v>44387.905150462961</v>
      </c>
      <c r="E11255" t="s">
        <v>34938</v>
      </c>
      <c r="F11255" t="s">
        <v>666</v>
      </c>
      <c r="G11255" t="s">
        <v>34939</v>
      </c>
      <c r="H11255" t="s">
        <v>667</v>
      </c>
      <c r="I11255" t="s">
        <v>29</v>
      </c>
      <c r="J11255">
        <v>1</v>
      </c>
      <c r="K11255">
        <f>1-800-484-7355</f>
        <v>-8638</v>
      </c>
      <c r="L11255" t="s">
        <v>34940</v>
      </c>
      <c r="M11255" t="s">
        <v>34941</v>
      </c>
      <c r="N11255" t="s">
        <v>452</v>
      </c>
      <c r="O11255" t="s">
        <v>28</v>
      </c>
      <c r="P11255" t="s">
        <v>618</v>
      </c>
      <c r="Q11255">
        <v>52</v>
      </c>
      <c r="R11255">
        <v>-0.62150000000000005</v>
      </c>
    </row>
    <row r="11256" spans="1:18" x14ac:dyDescent="0.2">
      <c r="A11256" t="s">
        <v>439</v>
      </c>
      <c r="B11256" t="s">
        <v>4321</v>
      </c>
      <c r="C11256">
        <v>1</v>
      </c>
      <c r="D11256" s="1">
        <v>44387.969525462962</v>
      </c>
      <c r="E11256" t="s">
        <v>34942</v>
      </c>
      <c r="F11256" t="s">
        <v>442</v>
      </c>
      <c r="G11256" t="s">
        <v>34943</v>
      </c>
      <c r="H11256" t="s">
        <v>444</v>
      </c>
      <c r="I11256" t="s">
        <v>29</v>
      </c>
      <c r="J11256">
        <v>1</v>
      </c>
      <c r="K11256">
        <f>1-877-357-2861</f>
        <v>-4094</v>
      </c>
      <c r="L11256" t="s">
        <v>34944</v>
      </c>
      <c r="M11256" t="s">
        <v>34945</v>
      </c>
      <c r="N11256" t="s">
        <v>213</v>
      </c>
      <c r="O11256" t="s">
        <v>28</v>
      </c>
      <c r="P11256" t="s">
        <v>29</v>
      </c>
      <c r="Q11256">
        <v>42</v>
      </c>
      <c r="R11256">
        <v>-87.629800000000003</v>
      </c>
    </row>
    <row r="11257" spans="1:18" x14ac:dyDescent="0.2">
      <c r="A11257" t="s">
        <v>2233</v>
      </c>
      <c r="B11257" t="s">
        <v>27251</v>
      </c>
      <c r="C11257">
        <v>1</v>
      </c>
      <c r="D11257" s="1">
        <v>44387.973854166667</v>
      </c>
      <c r="E11257" t="s">
        <v>34946</v>
      </c>
      <c r="F11257" t="s">
        <v>2236</v>
      </c>
      <c r="G11257" t="s">
        <v>34947</v>
      </c>
      <c r="H11257" t="s">
        <v>2237</v>
      </c>
      <c r="I11257" t="s">
        <v>29</v>
      </c>
      <c r="J11257">
        <v>1</v>
      </c>
      <c r="K11257">
        <f>1-844-428-807</f>
        <v>-2078</v>
      </c>
      <c r="L11257" t="s">
        <v>34948</v>
      </c>
      <c r="M11257" t="s">
        <v>34949</v>
      </c>
      <c r="N11257" t="s">
        <v>278</v>
      </c>
      <c r="O11257" t="s">
        <v>28</v>
      </c>
      <c r="P11257" t="s">
        <v>618</v>
      </c>
      <c r="Q11257">
        <v>53</v>
      </c>
      <c r="R11257">
        <v>-2.2426300000000001</v>
      </c>
    </row>
    <row r="11258" spans="1:18" x14ac:dyDescent="0.2">
      <c r="A11258" t="s">
        <v>439</v>
      </c>
      <c r="B11258" t="s">
        <v>4321</v>
      </c>
      <c r="C11258">
        <v>1</v>
      </c>
      <c r="D11258" s="1">
        <v>44388.023773148147</v>
      </c>
      <c r="E11258" t="s">
        <v>34950</v>
      </c>
      <c r="F11258" t="s">
        <v>442</v>
      </c>
      <c r="G11258" t="s">
        <v>34951</v>
      </c>
      <c r="H11258" t="s">
        <v>444</v>
      </c>
      <c r="I11258" t="s">
        <v>29</v>
      </c>
      <c r="J11258">
        <v>1</v>
      </c>
      <c r="K11258">
        <f>1-877-354-4025</f>
        <v>-5255</v>
      </c>
      <c r="L11258" t="s">
        <v>34952</v>
      </c>
      <c r="M11258" t="s">
        <v>34953</v>
      </c>
      <c r="N11258" t="s">
        <v>447</v>
      </c>
      <c r="O11258" t="s">
        <v>28</v>
      </c>
      <c r="P11258" t="s">
        <v>29</v>
      </c>
      <c r="Q11258">
        <v>42</v>
      </c>
      <c r="R11258">
        <v>-87.629800000000003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PopupDB_FromTableau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2023-09-11T01:58:28Z</dcterms:created>
  <dcterms:modified xsi:type="dcterms:W3CDTF">2023-09-11T01:58:28Z</dcterms:modified>
</cp:coreProperties>
</file>